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6165" windowWidth="25230" windowHeight="6225" tabRatio="599" firstSheet="20"/>
  </bookViews>
  <sheets>
    <sheet name="INPUT" sheetId="1" r:id="rId1"/>
    <sheet name="PRINT" sheetId="2" r:id="rId2"/>
    <sheet name="SCH M" sheetId="3" r:id="rId3"/>
    <sheet name="SCH M-2.1" sheetId="4" r:id="rId4"/>
    <sheet name="SCH M-2.2" sheetId="5" r:id="rId5"/>
    <sheet name="SCH M-2.3" sheetId="6" r:id="rId6"/>
    <sheet name="Rate RS" sheetId="7" r:id="rId7"/>
    <sheet name="Rate DS" sheetId="8" r:id="rId8"/>
    <sheet name="Rate DT-Pri" sheetId="9" r:id="rId9"/>
    <sheet name="Rate DT-Sec" sheetId="10" r:id="rId10"/>
    <sheet name="Rate EH" sheetId="11" r:id="rId11"/>
    <sheet name="Rate SP GSFL" sheetId="12" r:id="rId12"/>
    <sheet name="Rate DP" sheetId="13" r:id="rId13"/>
    <sheet name="Rate TT" sheetId="14" r:id="rId14"/>
    <sheet name="Rate DT RTPM-P" sheetId="15" r:id="rId15"/>
    <sheet name="Rate DT RTP-P" sheetId="29" r:id="rId16"/>
    <sheet name="Rate DT RTPM-S" sheetId="16" r:id="rId17"/>
    <sheet name="Rate DT RTP-S" sheetId="30" r:id="rId18"/>
    <sheet name="Rate DS RTPM" sheetId="17" r:id="rId19"/>
    <sheet name="Rate DS RTP" sheetId="31" r:id="rId20"/>
    <sheet name="Rate TT RTPM" sheetId="18" r:id="rId21"/>
    <sheet name="Rate TT RTP" sheetId="33" r:id="rId22"/>
    <sheet name="Rate SL" sheetId="19" r:id="rId23"/>
    <sheet name="Rate TL" sheetId="20" r:id="rId24"/>
    <sheet name="Rate UOLS" sheetId="28" r:id="rId25"/>
    <sheet name="Rate OL" sheetId="21" r:id="rId26"/>
    <sheet name="Rate NSU" sheetId="22" r:id="rId27"/>
    <sheet name="Rate NSP" sheetId="23" r:id="rId28"/>
    <sheet name="Rate SC" sheetId="24" r:id="rId29"/>
    <sheet name="Rate SE" sheetId="25" r:id="rId30"/>
    <sheet name="SCH N" sheetId="26" r:id="rId31"/>
    <sheet name="BILL CALC" sheetId="27" r:id="rId32"/>
  </sheets>
  <definedNames>
    <definedName name="_Fill" localSheetId="12" hidden="1">'Rate DP'!$AS$917:$AS$934</definedName>
    <definedName name="_Fill" localSheetId="7" hidden="1">'Rate DS'!$AS$931:$AS$948</definedName>
    <definedName name="_Fill" localSheetId="19" hidden="1">'Rate DS RTP'!$AS$909:$AS$926</definedName>
    <definedName name="_Fill" localSheetId="18" hidden="1">'Rate DS RTPM'!$AS$903:$AS$920</definedName>
    <definedName name="_Fill" localSheetId="14" hidden="1">'Rate DT RTPM-P'!$AS$833:$AS$850</definedName>
    <definedName name="_Fill" localSheetId="16" hidden="1">'Rate DT RTPM-S'!$AS$897:$AS$914</definedName>
    <definedName name="_Fill" localSheetId="15" hidden="1">'Rate DT RTP-P'!$AS$833:$AS$850</definedName>
    <definedName name="_Fill" localSheetId="17" hidden="1">'Rate DT RTP-S'!$AS$903:$AS$920</definedName>
    <definedName name="_Fill" localSheetId="8" hidden="1">'Rate DT-Pri'!$AS$887:$AS$904</definedName>
    <definedName name="_Fill" localSheetId="9" hidden="1">'Rate DT-Sec'!$AS$883:$AS$900</definedName>
    <definedName name="_Fill" localSheetId="10" hidden="1">'Rate EH'!$AS$899:$AS$916</definedName>
    <definedName name="_Fill" localSheetId="27" hidden="1">'Rate NSP'!$AS$849:$AS$866</definedName>
    <definedName name="_Fill" localSheetId="26" hidden="1">'Rate NSU'!$AS$853:$AS$870</definedName>
    <definedName name="_Fill" localSheetId="25" hidden="1">'Rate OL'!$AS$940:$AS$957</definedName>
    <definedName name="_Fill" localSheetId="6" hidden="1">'Rate RS'!#REF!</definedName>
    <definedName name="_Fill" localSheetId="28" hidden="1">'Rate SC'!$AS$831:$AS$848</definedName>
    <definedName name="_Fill" localSheetId="29" hidden="1">'Rate SE'!$AS$869:$AS$886</definedName>
    <definedName name="_Fill" localSheetId="22" hidden="1">'Rate SL'!$AU$1126:$AU$1143</definedName>
    <definedName name="_Fill" localSheetId="11" hidden="1">'Rate SP GSFL'!$AS$934:$AS$951</definedName>
    <definedName name="_Fill" localSheetId="23" hidden="1">'Rate TL'!$AS$879:$AS$896</definedName>
    <definedName name="_Fill" localSheetId="13" hidden="1">'Rate TT'!$AS$883:$AS$900</definedName>
    <definedName name="_Fill" localSheetId="21" hidden="1">'Rate TT RTP'!$AS$849:$AS$866</definedName>
    <definedName name="_Fill" localSheetId="20" hidden="1">'Rate TT RTPM'!$AS$845:$AS$862</definedName>
    <definedName name="_Fill" localSheetId="24" hidden="1">'Rate UOLS'!$AS$842:$AS$859</definedName>
    <definedName name="_Fill" localSheetId="2" hidden="1">'SCH M'!#REF!</definedName>
    <definedName name="_Fill" localSheetId="3" hidden="1">'SCH M-2.1'!#REF!</definedName>
    <definedName name="_Fill" localSheetId="4" hidden="1">'SCH M-2.2'!#REF!</definedName>
    <definedName name="_Fill" localSheetId="5" hidden="1">'SCH M-2.3'!#REF!</definedName>
    <definedName name="_Fill" hidden="1">'SCH N'!$A$225:$A$242</definedName>
    <definedName name="_Regression_Int" localSheetId="12" hidden="1">1</definedName>
    <definedName name="_Regression_Int" localSheetId="7" hidden="1">1</definedName>
    <definedName name="_Regression_Int" localSheetId="19" hidden="1">1</definedName>
    <definedName name="_Regression_Int" localSheetId="18" hidden="1">1</definedName>
    <definedName name="_Regression_Int" localSheetId="14" hidden="1">1</definedName>
    <definedName name="_Regression_Int" localSheetId="16" hidden="1">1</definedName>
    <definedName name="_Regression_Int" localSheetId="15" hidden="1">1</definedName>
    <definedName name="_Regression_Int" localSheetId="17" hidden="1">1</definedName>
    <definedName name="_Regression_Int" localSheetId="8" hidden="1">1</definedName>
    <definedName name="_Regression_Int" localSheetId="9" hidden="1">1</definedName>
    <definedName name="_Regression_Int" localSheetId="10" hidden="1">1</definedName>
    <definedName name="_Regression_Int" localSheetId="27" hidden="1">1</definedName>
    <definedName name="_Regression_Int" localSheetId="26" hidden="1">1</definedName>
    <definedName name="_Regression_Int" localSheetId="25" hidden="1">1</definedName>
    <definedName name="_Regression_Int" localSheetId="6" hidden="1">1</definedName>
    <definedName name="_Regression_Int" localSheetId="28" hidden="1">1</definedName>
    <definedName name="_Regression_Int" localSheetId="29" hidden="1">1</definedName>
    <definedName name="_Regression_Int" localSheetId="22" hidden="1">1</definedName>
    <definedName name="_Regression_Int" localSheetId="11" hidden="1">1</definedName>
    <definedName name="_Regression_Int" localSheetId="23" hidden="1">1</definedName>
    <definedName name="_Regression_Int" localSheetId="13" hidden="1">1</definedName>
    <definedName name="_Regression_Int" localSheetId="21" hidden="1">1</definedName>
    <definedName name="_Regression_Int" localSheetId="20" hidden="1">1</definedName>
    <definedName name="_Regression_Int" localSheetId="24" hidden="1">1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CASE_NO">INPUT!$B$11</definedName>
    <definedName name="CUR_BASE_FUEL">INPUT!$C$20</definedName>
    <definedName name="CUR_DCI">INPUT!$C$171</definedName>
    <definedName name="CUR_DCI_DIST">INPUT!$C$172</definedName>
    <definedName name="CUR_DCI_DP">INPUT!$C$178</definedName>
    <definedName name="CUR_DCI_DTP">INPUT!$C$173</definedName>
    <definedName name="CUR_DCI_DTS">INPUT!$C$174</definedName>
    <definedName name="CUR_DCI_EH">INPUT!$C$175</definedName>
    <definedName name="CUR_DCI_GSFL">INPUT!$C$177</definedName>
    <definedName name="CUR_DCI_SL">INPUT!$C$180</definedName>
    <definedName name="CUR_DCI_SP">INPUT!$C$176</definedName>
    <definedName name="CUR_DP_CST">'Rate DP'!$AC$79</definedName>
    <definedName name="CUR_DP_DEMAND">'Rate DP'!$AC$83</definedName>
    <definedName name="CUR_DP_KWH1">'Rate DP'!$AC$87</definedName>
    <definedName name="CUR_DP_KWH2">'Rate DP'!$AC$88</definedName>
    <definedName name="CUR_DP_LMR">'Rate DP'!$AC$78</definedName>
    <definedName name="CUR_DP_RTP_COM" localSheetId="17">'Rate DT RTP-S'!$AC$77</definedName>
    <definedName name="CUR_DP_RTP_COM">'Rate DT RTPM-S'!$AC$74</definedName>
    <definedName name="CUR_DP_RTP_CUST" localSheetId="17">'Rate DT RTP-S'!$AC$71</definedName>
    <definedName name="CUR_DP_RTP_CUST">'Rate DT RTPM-S'!$AC$68</definedName>
    <definedName name="CUR_DP_RTP_KWH1" localSheetId="17">'Rate DT RTP-S'!$AC$75</definedName>
    <definedName name="CUR_DP_RTP_KWH1">'Rate DT RTPM-S'!$AC$72</definedName>
    <definedName name="CUR_DP_RTP_KWH2" localSheetId="17">'Rate DT RTP-S'!$AC$76</definedName>
    <definedName name="CUR_DP_RTP_KWH2">'Rate DT RTPM-S'!$AC$73</definedName>
    <definedName name="CUR_DS_CST_1">'Rate DS'!$AC$84</definedName>
    <definedName name="CUR_DS_CST_2">'Rate DS'!$AC$85</definedName>
    <definedName name="CUR_DS_DEM_1">'Rate DS'!$AC$89</definedName>
    <definedName name="CUR_DS_DEM_3">'Rate DS'!$AC$90</definedName>
    <definedName name="CUR_DS_KWH_1">'Rate DS'!$AC$94</definedName>
    <definedName name="CUR_DS_KWH_2">'Rate DS'!$AC$95</definedName>
    <definedName name="CUR_DS_KWH_3">'Rate DS'!$AC$96</definedName>
    <definedName name="CUR_DS_LMR">'Rate DS'!$AC$83</definedName>
    <definedName name="CUR_DS_RTP" localSheetId="19">'Rate DS RTP'!$T$48:$AQ$92</definedName>
    <definedName name="CUR_DS_RTP">'Rate DS RTPM'!$T$45:$AQ$86</definedName>
    <definedName name="CUR_DS_RTP_COM" localSheetId="19">'Rate DS RTP'!$AC$77</definedName>
    <definedName name="CUR_DS_RTP_COM">'Rate DS RTPM'!$AC$74</definedName>
    <definedName name="CUR_DS_RTP_CUST" localSheetId="19">'Rate DS RTP'!$AC$71</definedName>
    <definedName name="CUR_DS_RTP_CUST">'Rate DS RTPM'!$AC$68</definedName>
    <definedName name="CUR_DS_RTP_KWH1" localSheetId="19">'Rate DS RTP'!$AC$75</definedName>
    <definedName name="CUR_DS_RTP_KWH1">'Rate DS RTPM'!$AC$72</definedName>
    <definedName name="CUR_DS_RTP_KWH2" localSheetId="19">'Rate DS RTP'!$AC$76</definedName>
    <definedName name="CUR_DS_RTP_KWH2">'Rate DS RTPM'!$AC$73</definedName>
    <definedName name="CUR_DT_DISC">'Rate DT-Pri'!$AC$102</definedName>
    <definedName name="CUR_DT_DISC1">'Rate DT-Pri'!$AC$103</definedName>
    <definedName name="CUR_DT_PRI">'Rate DT-Pri'!$AC$95</definedName>
    <definedName name="CUR_DT_RTP_COM" localSheetId="15">'Rate DT RTP-P'!$AC$75</definedName>
    <definedName name="CUR_DT_RTP_COM">'Rate DT RTPM-P'!$AC$75</definedName>
    <definedName name="CUR_DT_RTP_CUST" localSheetId="15">'Rate DT RTP-P'!$AC$69</definedName>
    <definedName name="CUR_DT_RTP_CUST">'Rate DT RTPM-P'!$AC$69</definedName>
    <definedName name="CUR_DT_RTP_KWH1" localSheetId="15">'Rate DT RTP-P'!$AC$73</definedName>
    <definedName name="CUR_DT_RTP_KWH1">'Rate DT RTPM-P'!$AC$73</definedName>
    <definedName name="CUR_DT_RTP_KWH2" localSheetId="15">'Rate DT RTP-P'!$AC$74</definedName>
    <definedName name="CUR_DT_RTP_KWH2">'Rate DT RTPM-P'!$AC$74</definedName>
    <definedName name="CUR_DT_RTP_P" localSheetId="15">'Rate DT RTP-P'!$T$46:$AQ$87</definedName>
    <definedName name="CUR_DT_RTP_P">'Rate DT RTPM-P'!$T$46:$AQ$87</definedName>
    <definedName name="CUR_DT_RTP_S" localSheetId="17">'Rate DT RTP-S'!$T$48:$AQ$92</definedName>
    <definedName name="CUR_DT_RTP_S">'Rate DT RTPM-S'!$T$45:$AQ$86</definedName>
    <definedName name="CUR_DT_SEC">'Rate DT-Sec'!$T$71:$AQ$137</definedName>
    <definedName name="CUR_DT_SEC_CST1">'Rate DT-Sec'!$AC$93</definedName>
    <definedName name="CUR_DT_SEC_CST3">'Rate DT-Sec'!$AC$94</definedName>
    <definedName name="CUR_DT_SEC_DEMOFF">'Rate DT-Sec'!$AC$99</definedName>
    <definedName name="CUR_DT_SEC_DEMON">'Rate DT-Sec'!$AC$98</definedName>
    <definedName name="CUR_DT_SEC_SUMKWH">'Rate DT-Sec'!$AC$104</definedName>
    <definedName name="CUR_DT_SEC_WINKWH">'Rate DT-Sec'!$AC$120</definedName>
    <definedName name="CUR_DT_SEC_WINOFF">'Rate DT-Sec'!$AC$115</definedName>
    <definedName name="CUR_DT_SEC_WINON">'Rate DT-Sec'!$AC$114</definedName>
    <definedName name="CUR_DT_SUM_E_OFF">'Rate DT-Pri'!$AC$107</definedName>
    <definedName name="CUR_DT_SUM_E_ON">'Rate DT-Pri'!$AC$106</definedName>
    <definedName name="CUR_DT_SUM_PEAK_ON">'Rate DT-Pri'!$AC$98</definedName>
    <definedName name="CUR_DT_SUM_PK_OFF">'Rate DT-Pri'!$AC$99</definedName>
    <definedName name="CUR_DT_WIN_E_ON">'Rate DT-Pri'!$AC$123</definedName>
    <definedName name="CUR_DT_WIN_PEAK_ON">'Rate DT-Pri'!$AC$115</definedName>
    <definedName name="CUR_DT_WIN_PK_OFF">'Rate DT-Pri'!$AC$116</definedName>
    <definedName name="CUR_EH_CST_1">'Rate EH'!$AC$74</definedName>
    <definedName name="CUR_EH_CST_2">'Rate EH'!$AC$75</definedName>
    <definedName name="CUR_EH_CST_3">'Rate EH'!$AC$76</definedName>
    <definedName name="CUR_EH_KWH_1">'Rate EH'!$AC$83</definedName>
    <definedName name="CUR_ESM">INPUT!$C$168</definedName>
    <definedName name="CUR_FAC">INPUT!$C$19</definedName>
    <definedName name="CUR_FTR_DIST">INPUT!$C$186</definedName>
    <definedName name="CUR_FTR_DP">INPUT!$C$192</definedName>
    <definedName name="CUR_FTR_DTP">INPUT!$C$187</definedName>
    <definedName name="CUR_FTR_DTS">INPUT!$C$188</definedName>
    <definedName name="CUR_FTR_EH">INPUT!$C$189</definedName>
    <definedName name="CUR_FTR_GSFL">INPUT!$C$191</definedName>
    <definedName name="CUR_FTR_RES">INPUT!$C$185</definedName>
    <definedName name="CUR_FTR_SL">INPUT!$C$194</definedName>
    <definedName name="CUR_FTR_SP">INPUT!$C$190</definedName>
    <definedName name="CUR_FTR_TT">INPUT!$C$193</definedName>
    <definedName name="CUR_RS_CUST">'Rate RS'!$AB$66</definedName>
    <definedName name="CUR_RS_ENERGY">'Rate RS'!$AB$69</definedName>
    <definedName name="CUR_TT_KWH">INPUT!$C$124</definedName>
    <definedName name="CUR_TT_RTP" localSheetId="21">'Rate TT RTP'!$T$49:$AQ$92</definedName>
    <definedName name="CUR_TT_RTP">'Rate TT RTPM'!$T$47:$AQ$88</definedName>
    <definedName name="CUR_TT_RTP_COM" localSheetId="21">'Rate TT RTP'!$AC$78</definedName>
    <definedName name="CUR_TT_RTP_COM">'Rate TT RTPM'!$AC$76</definedName>
    <definedName name="CUR_TT_RTP_CUST" localSheetId="21">'Rate TT RTP'!$AC$72</definedName>
    <definedName name="CUR_TT_RTP_CUST">'Rate TT RTPM'!$AC$70</definedName>
    <definedName name="CUR_TT_RTP_KWH1" localSheetId="21">'Rate TT RTP'!$AC$76</definedName>
    <definedName name="CUR_TT_RTP_KWH1">'Rate TT RTPM'!$AC$74</definedName>
    <definedName name="CUR_TT_RTP_KWH2" localSheetId="21">'Rate TT RTP'!$AC$77</definedName>
    <definedName name="CUR_TT_RTP_KWH2">'Rate TT RTPM'!$AC$75</definedName>
    <definedName name="CUR_TT_SUM_CST">'Rate TT'!$AC$86</definedName>
    <definedName name="CUR_TT_SUM_PEAK">'Rate TT'!$AC$89</definedName>
    <definedName name="CUR_TT_SUM_PK_OFF">'Rate TT'!$AC$90</definedName>
    <definedName name="CUR_TT_WIN_CST">'Rate TT'!$AC$100</definedName>
    <definedName name="CUR_TT_WIN_PEAK">'Rate TT'!$AC$103</definedName>
    <definedName name="CUR_TT_WIN_PK_OFF">'Rate TT'!$AC$104</definedName>
    <definedName name="DATA_PERIOD">INPUT!$B$13</definedName>
    <definedName name="DATE">INPUT!$B$10</definedName>
    <definedName name="DCI_Name">INPUT!$B$200</definedName>
    <definedName name="DS_MSRE">INPUT!$C$24</definedName>
    <definedName name="DSM_DIST">INPUT!$C$30</definedName>
    <definedName name="DSM_RES">INPUT!$C$29</definedName>
    <definedName name="DSM_RS_CUST">INPUT!$J$29</definedName>
    <definedName name="DSM_TRANS">INPUT!$C$31</definedName>
    <definedName name="DSMR_Name">INPUT!$B$198</definedName>
    <definedName name="ESM_Name">INPUT!$B$199</definedName>
    <definedName name="FAC_Name">INPUT!$B$201</definedName>
    <definedName name="FTR_Name">INPUT!$B$202</definedName>
    <definedName name="HEA_Name">INPUT!$B$197</definedName>
    <definedName name="LT_COS_RATE">'Rate SL'!$AG$1</definedName>
    <definedName name="LT_MSRE">INPUT!$C$26</definedName>
    <definedName name="Migration_CC">#REF!</definedName>
    <definedName name="NAME">INPUT!$B$8</definedName>
    <definedName name="_xlnm.Print_Area" localSheetId="12">'Rate DP'!$A$1:$R$52</definedName>
    <definedName name="_xlnm.Print_Area" localSheetId="7">'Rate DS'!$A$1:$R$58</definedName>
    <definedName name="_xlnm.Print_Area" localSheetId="19">'Rate DS RTP'!$A$1:$R$44</definedName>
    <definedName name="_xlnm.Print_Area" localSheetId="18">'Rate DS RTPM'!$A$1:$R$41</definedName>
    <definedName name="_xlnm.Print_Area" localSheetId="14">'Rate DT RTPM-P'!$A$1:$R$42</definedName>
    <definedName name="_xlnm.Print_Area" localSheetId="16">'Rate DT RTPM-S'!$A$1:$R$41</definedName>
    <definedName name="_xlnm.Print_Area" localSheetId="15">'Rate DT RTP-P'!$A$1:$R$42</definedName>
    <definedName name="_xlnm.Print_Area" localSheetId="17">'Rate DT RTP-S'!$A$1:$R$44</definedName>
    <definedName name="_xlnm.Print_Area" localSheetId="8">'Rate DT-Pri'!$A$1:$R$69</definedName>
    <definedName name="_xlnm.Print_Area" localSheetId="9">'Rate DT-Sec'!$A$1:$R$67</definedName>
    <definedName name="_xlnm.Print_Area" localSheetId="10">'Rate EH'!$A$1:$R$49</definedName>
    <definedName name="_xlnm.Print_Area" localSheetId="27">'Rate NSP'!$A$1:$R$62</definedName>
    <definedName name="_xlnm.Print_Area" localSheetId="26">'Rate NSU'!$A$1:$R$51</definedName>
    <definedName name="_xlnm.Print_Area" localSheetId="25">'Rate OL'!$A$1:$R$83</definedName>
    <definedName name="_xlnm.Print_Area" localSheetId="6">'Rate RS'!$A$1:$R$47</definedName>
    <definedName name="_xlnm.Print_Area" localSheetId="28">'Rate SC'!$A$1:$R$79</definedName>
    <definedName name="_xlnm.Print_Area" localSheetId="29">'Rate SE'!$A$1:$R$58</definedName>
    <definedName name="_xlnm.Print_Area" localSheetId="22">'Rate SL'!$A$148:$R$218</definedName>
    <definedName name="_xlnm.Print_Area" localSheetId="11">'Rate SP GSFL'!$A$1:$R$68</definedName>
    <definedName name="_xlnm.Print_Area" localSheetId="23">'Rate TL'!$A$1:$R$53</definedName>
    <definedName name="_xlnm.Print_Area" localSheetId="13">'Rate TT'!$A$1:$R$63</definedName>
    <definedName name="_xlnm.Print_Area" localSheetId="21">'Rate TT RTP'!$A$1:$R$43</definedName>
    <definedName name="_xlnm.Print_Area" localSheetId="20">'Rate TT RTPM'!$A$1:$R$41</definedName>
    <definedName name="_xlnm.Print_Area" localSheetId="24">'Rate UOLS'!$A$1:$R$34</definedName>
    <definedName name="_xlnm.Print_Area" localSheetId="2">'SCH M'!$A$1:$K$75</definedName>
    <definedName name="_xlnm.Print_Area" localSheetId="3">'SCH M-2.1'!$A$1:$T$56</definedName>
    <definedName name="_xlnm.Print_Area" localSheetId="4">'SCH M-2.2'!$A$1:$X$70</definedName>
    <definedName name="_xlnm.Print_Area" localSheetId="5">'SCH M-2.3'!$A$1:$R$72</definedName>
    <definedName name="_xlnm.Print_Area" localSheetId="30">'SCH N'!$A$188:$S$252</definedName>
    <definedName name="PRO_BASE_FUEL">INPUT!$D$20</definedName>
    <definedName name="PRO_DCI">INPUT!$D$171</definedName>
    <definedName name="PRO_DCI_DIST">INPUT!$D$172</definedName>
    <definedName name="PRO_DCI_DP">INPUT!$D$178</definedName>
    <definedName name="PRO_DCI_DTP">INPUT!$D$173</definedName>
    <definedName name="PRO_DCI_DTS">INPUT!$D$174</definedName>
    <definedName name="PRO_DCI_EH">INPUT!$D$175</definedName>
    <definedName name="PRO_DCI_GSFL">INPUT!$D$177</definedName>
    <definedName name="PRO_DCI_SL">INPUT!$D$180</definedName>
    <definedName name="PRO_DCI_SP">INPUT!$D$176</definedName>
    <definedName name="PRO_DP_CST">'Rate DP'!$J$25</definedName>
    <definedName name="PRO_DP_DEMAND">'Rate DP'!$J$29</definedName>
    <definedName name="PRO_DP_KWH1">'Rate DP'!$J$33</definedName>
    <definedName name="PRO_DP_KWH2">'Rate DP'!$J$34</definedName>
    <definedName name="PRO_DP_LMR">'Rate DP'!$J$24</definedName>
    <definedName name="PRO_DP_RTP_COM" localSheetId="17">'Rate DT RTP-S'!$J$30</definedName>
    <definedName name="PRO_DP_RTP_COM">'Rate DT RTPM-S'!$J$30</definedName>
    <definedName name="PRO_DP_RTP_CUST" localSheetId="17">'Rate DT RTP-S'!$J$24</definedName>
    <definedName name="PRO_DP_RTP_CUST">'Rate DT RTPM-S'!$J$24</definedName>
    <definedName name="PRO_DP_RTP_KWH1" localSheetId="17">'Rate DT RTP-S'!$J$28</definedName>
    <definedName name="PRO_DP_RTP_KWH1">'Rate DT RTPM-S'!$J$28</definedName>
    <definedName name="PRO_DP_RTP_KWH2" localSheetId="17">'Rate DT RTP-S'!$J$29</definedName>
    <definedName name="PRO_DP_RTP_KWH2">'Rate DT RTPM-S'!$J$29</definedName>
    <definedName name="PRO_DS_CST_1">'Rate DS'!$J$26</definedName>
    <definedName name="PRO_DS_CST_2">'Rate DS'!$J$27</definedName>
    <definedName name="PRO_DS_DEM_1">'Rate DS'!$J$31</definedName>
    <definedName name="PRO_DS_DEM_3">'Rate DS'!$J$32</definedName>
    <definedName name="PRO_DS_KWH_1">'Rate DS'!$J$36</definedName>
    <definedName name="PRO_DS_KWH_2">'Rate DS'!$J$37</definedName>
    <definedName name="PRO_DS_KWH_3">'Rate DS'!$J$38</definedName>
    <definedName name="PRO_DS_LMR">'Rate DS'!$J$25</definedName>
    <definedName name="PRO_DS_MSRE">INPUT!$D$24</definedName>
    <definedName name="PRO_DS_RTP_COM" localSheetId="19">'Rate DS RTP'!$J$30</definedName>
    <definedName name="PRO_DS_RTP_COM">'Rate DS RTPM'!$J$30</definedName>
    <definedName name="PRO_DS_RTP_CUST" localSheetId="19">'Rate DS RTP'!$J$24</definedName>
    <definedName name="PRO_DS_RTP_CUST">'Rate DS RTPM'!$J$24</definedName>
    <definedName name="PRO_DS_RTP_KWH1" localSheetId="19">'Rate DS RTP'!$J$28</definedName>
    <definedName name="PRO_DS_RTP_KWH1">'Rate DS RTPM'!$J$28</definedName>
    <definedName name="PRO_DS_RTP_KWH2" localSheetId="19">'Rate DS RTP'!$J$29</definedName>
    <definedName name="PRO_DS_RTP_KWH2">'Rate DS RTPM'!$J$29</definedName>
    <definedName name="PRO_DSM_DIST">INPUT!$D$30</definedName>
    <definedName name="PRO_DSM_RES">INPUT!$D$29</definedName>
    <definedName name="PRO_DSM_TRANS">INPUT!$D$31</definedName>
    <definedName name="PRO_DT_DEMOFF">'Rate DT-Sec'!$J$29</definedName>
    <definedName name="PRO_DT_DEMON">'Rate DT-Sec'!$J$28</definedName>
    <definedName name="PRO_DT_DISC">'Rate DT-Pri'!$J$30</definedName>
    <definedName name="PRO_DT_DISC1">'Rate DT-Pri'!$J$31</definedName>
    <definedName name="PRO_DT_PRI">'Rate DT-Pri'!$J$23</definedName>
    <definedName name="PRO_DT_RTP_COM" localSheetId="15">'Rate DT RTP-P'!$J$30</definedName>
    <definedName name="PRO_DT_RTP_COM">'Rate DT RTPM-P'!$J$30</definedName>
    <definedName name="PRO_DT_RTP_CUST" localSheetId="15">'Rate DT RTP-P'!$J$24</definedName>
    <definedName name="PRO_DT_RTP_CUST">'Rate DT RTPM-P'!$J$24</definedName>
    <definedName name="PRO_DT_RTP_KWH1" localSheetId="15">'Rate DT RTP-P'!$J$28</definedName>
    <definedName name="PRO_DT_RTP_KWH1">'Rate DT RTPM-P'!$J$28</definedName>
    <definedName name="PRO_DT_RTP_KWH2" localSheetId="15">'Rate DT RTP-P'!$J$29</definedName>
    <definedName name="PRO_DT_RTP_KWH2">'Rate DT RTPM-P'!$J$29</definedName>
    <definedName name="PRO_DT_SEC_CST">'Rate DT-Sec'!$J$23</definedName>
    <definedName name="PRO_DT_SEC_CST3">'Rate DT-Sec'!$J$24</definedName>
    <definedName name="PRO_DT_SEC_DEMWINON">'Rate DT-Sec'!$J$44</definedName>
    <definedName name="PRO_DT_SEC_SUMKWH">'Rate DT-Sec'!$J$34</definedName>
    <definedName name="PRO_DT_SEC_WINKWH">'Rate DT-Sec'!$J$50</definedName>
    <definedName name="PRO_DT_SEC_WINOFF">'Rate DT-Sec'!$J$45</definedName>
    <definedName name="PRO_DT_SUM_E_OFF">'Rate DT-Pri'!$J$35</definedName>
    <definedName name="PRO_DT_SUM_E_ON">'Rate DT-Pri'!$J$34</definedName>
    <definedName name="PRO_DT_SUM_PEAK">'Rate DT-Pri'!$J$26</definedName>
    <definedName name="PRO_DT_SUM_PK_OFF">'Rate DT-Pri'!$J$27</definedName>
    <definedName name="PRO_DT_WIN_E_OFF">'Rate DT-Pri'!$J$52</definedName>
    <definedName name="PRO_DT_WIN_E_ON">'Rate DT-Pri'!$J$51</definedName>
    <definedName name="PRO_DT_WIN_PEAK">'Rate DT-Pri'!$J$43</definedName>
    <definedName name="PRO_DT_WIN_PK_OFF">'Rate DT-Pri'!$J$44</definedName>
    <definedName name="PRO_EH_CST_1">'Rate EH'!$J$24</definedName>
    <definedName name="PRO_EH_CST_2">'Rate EH'!$J$25</definedName>
    <definedName name="PRO_EH_CST_3">'Rate EH'!$J$26</definedName>
    <definedName name="PRO_EH_KWH_1">'Rate EH'!$J$33</definedName>
    <definedName name="PRO_ESM">INPUT!$D$168</definedName>
    <definedName name="PRO_FAC">INPUT!$D$19</definedName>
    <definedName name="PRO_FTR_DIST">INPUT!$D$186</definedName>
    <definedName name="PRO_FTR_DP">INPUT!$D$192</definedName>
    <definedName name="PRO_FTR_DTP">INPUT!$D$187</definedName>
    <definedName name="PRO_FTR_DTS">INPUT!$D$188</definedName>
    <definedName name="PRO_FTR_EH">INPUT!$D$189</definedName>
    <definedName name="PRO_FTR_GSFL">INPUT!$D$191</definedName>
    <definedName name="PRO_FTR_RES">INPUT!$D$185</definedName>
    <definedName name="PRO_FTR_SL">INPUT!$D$194</definedName>
    <definedName name="PRO_FTR_SP">INPUT!$D$190</definedName>
    <definedName name="PRO_FTR_TT">INPUT!$D$193</definedName>
    <definedName name="PRO_LT_MSRE">INPUT!$D$26</definedName>
    <definedName name="PRO_PSM">INPUT!$D$34</definedName>
    <definedName name="PRO_RS_CUST">'Rate RS'!$J$23</definedName>
    <definedName name="PRO_RS_ENERGY">'Rate RS'!$J$26</definedName>
    <definedName name="PRO_RS_MSRE">INPUT!$D$23</definedName>
    <definedName name="PRO_SUM_TT_ON_KWH">INPUT!$D$124</definedName>
    <definedName name="PRO_TT_MSRE">INPUT!$D$25</definedName>
    <definedName name="PRO_TT_OFF">INPUT!$D$126</definedName>
    <definedName name="PRO_TT_RTP_COM" localSheetId="21">'Rate TT RTP'!$J$30</definedName>
    <definedName name="PRO_TT_RTP_COM">'Rate TT RTPM'!$J$30</definedName>
    <definedName name="PRO_TT_RTP_CUST" localSheetId="21">'Rate TT RTP'!$J$24</definedName>
    <definedName name="PRO_TT_RTP_CUST">'Rate TT RTPM'!$J$24</definedName>
    <definedName name="PRO_TT_RTP_KWH1" localSheetId="21">'Rate TT RTP'!$J$28</definedName>
    <definedName name="PRO_TT_RTP_KWH1">'Rate TT RTPM'!$J$28</definedName>
    <definedName name="PRO_TT_RTP_KWH2" localSheetId="21">'Rate TT RTP'!$J$29</definedName>
    <definedName name="PRO_TT_RTP_KWH2">'Rate TT RTPM'!$J$29</definedName>
    <definedName name="PRO_TT_SUM_CST">'Rate TT'!$J$21</definedName>
    <definedName name="PRO_TT_SUM_PEAK">'Rate TT'!$J$24</definedName>
    <definedName name="PRO_TT_SUM_PK_OFF">'Rate TT'!$J$25</definedName>
    <definedName name="PRO_TT_WIN_CST">'Rate TT'!$J$35</definedName>
    <definedName name="PRO_TT_WIN_PEAK">'Rate TT'!$J$38</definedName>
    <definedName name="PRO_TT_WIN_PK_OFF">'Rate TT'!$J$39</definedName>
    <definedName name="PRO_WIN_TT_ON_KWH">INPUT!$D$125</definedName>
    <definedName name="PSM_Name">INPUT!$B$203</definedName>
    <definedName name="RS_MSRE">INPUT!$C$23</definedName>
    <definedName name="RS_PSM">INPUT!$C$34</definedName>
    <definedName name="SCH_M">'SCH M'!$A$1:$K$75</definedName>
    <definedName name="SCH_M_2.1">'SCH M-2.1'!$A$1:$T$56</definedName>
    <definedName name="SCH_M_2.2PG1">'SCH M-2.2'!$A$1:$X$70</definedName>
    <definedName name="SCH_M_2.2PG10">'Rate DT RTP-S'!$T$48:$AQ$91</definedName>
    <definedName name="SCH_M_2.2PG11">'Rate DS RTP'!$T$48:$AQ$91</definedName>
    <definedName name="SCH_M_2.2PG12">'Rate TT RTP'!$T$49:$AQ$91</definedName>
    <definedName name="SCH_M_2.2PG13" localSheetId="21">'Rate TT RTP'!$T$49:$AQ$91</definedName>
    <definedName name="SCH_M_2.2PG13">'Rate TT RTPM'!$T$47:$AQ$87</definedName>
    <definedName name="SCH_M_2.2PG14">'Rate SL'!$T$223:$AQ$288</definedName>
    <definedName name="SCH_M_2.2PG15">'Rate SL'!$T$289:$AQ$368</definedName>
    <definedName name="SCH_M_2.2PG16">'Rate SL'!$T$370:$AQ$440</definedName>
    <definedName name="SCH_M_2.2PG17">'Rate TL'!$T$54:$AQ$108</definedName>
    <definedName name="SCH_M_2.2PG18">'Rate UOLS'!$T$38:$AQ$73</definedName>
    <definedName name="SCH_M_2.2PG19">'Rate OL'!$T$87:$AQ$170</definedName>
    <definedName name="SCH_M_2.2PG2">'Rate RS'!$T$44:$AP$87</definedName>
    <definedName name="SCH_M_2.2PG20">'Rate NSU'!$T$53:$AQ$104</definedName>
    <definedName name="SCH_M_2.2PG21">'Rate NSP'!$T$66:$AQ$128</definedName>
    <definedName name="SCH_M_2.2PG22">'Rate SC'!$T$76:$AQ$154</definedName>
    <definedName name="SCH_M_2.2PG23">'Rate SE'!$T$59:$AQ$117</definedName>
    <definedName name="SCH_M_2.2PG3">'Rate DS'!$T$59:$AQ$115</definedName>
    <definedName name="SCH_M_2.2PG4">'Rate DT-Pri'!$T$73:$AQ$142</definedName>
    <definedName name="SCH_M_2.2PG5">'Rate DT-Sec'!$T$71:$AQ$137</definedName>
    <definedName name="SCH_M_2.2PG6">'Rate EH'!$T$51:$AQ$99</definedName>
    <definedName name="SCH_M_2.2PG7">'Rate SP GSFL'!$T$69:$AQ$135</definedName>
    <definedName name="SCH_M_2.2PG8">'Rate DP'!$T$55:$AQ$106</definedName>
    <definedName name="SCH_M_2.2PG9">'Rate TT'!$T$66:$AQ$127</definedName>
    <definedName name="SCH_M_2.3PG1">'SCH M-2.3'!$A$1:$R$72</definedName>
    <definedName name="SCH_M_2.3PG10">'Rate DT RTP-S'!$A$1:$R$44</definedName>
    <definedName name="SCH_M_2.3PG11">'Rate DS RTP'!$A$1:$R$44</definedName>
    <definedName name="SCH_M_2.3PG12">'Rate TT RTP'!$A$1:$R$43</definedName>
    <definedName name="SCH_M_2.3PG13" localSheetId="21">'Rate TT RTP'!$A$1:$R$43</definedName>
    <definedName name="SCH_M_2.3PG13">'Rate TT RTPM'!$A$1:$R$41</definedName>
    <definedName name="SCH_M_2.3PG14">'Rate SL'!$A$1:$R$66</definedName>
    <definedName name="SCH_M_2.3PG15">'Rate SL'!$A$67:$R$147</definedName>
    <definedName name="SCH_M_2.3PG16">'Rate SL'!$A$148:$R$218</definedName>
    <definedName name="SCH_M_2.3PG17">'Rate TL'!$A$1:$R$53</definedName>
    <definedName name="SCH_M_2.3PG18">'Rate UOLS'!$A$1:$R$34</definedName>
    <definedName name="SCH_M_2.3PG19">'Rate OL'!$A$1:$R$83</definedName>
    <definedName name="SCH_M_2.3PG2">'Rate RS'!$A$1:$R$47</definedName>
    <definedName name="SCH_M_2.3PG20">'Rate NSU'!$A$1:$R$51</definedName>
    <definedName name="SCH_M_2.3PG21">'Rate NSP'!$A$1:$R$62</definedName>
    <definedName name="SCH_M_2.3PG22">'Rate SC'!$A$1:$R$79</definedName>
    <definedName name="SCH_M_2.3PG23">'Rate SE'!$A$1:$R$58</definedName>
    <definedName name="SCH_M_2.3PG3">'Rate DS'!$A$1:$R$58</definedName>
    <definedName name="SCH_M_2.3PG4">'Rate DT-Pri'!$A$1:$R$69</definedName>
    <definedName name="SCH_M_2.3PG5">'Rate DT-Sec'!$A$1:$R$67</definedName>
    <definedName name="SCH_M_2.3PG6">'Rate EH'!$A$1:$R$49</definedName>
    <definedName name="SCH_M_2.3PG7">'Rate SP GSFL'!$A$1:$R$68</definedName>
    <definedName name="SCH_M_2.3PG8">'Rate DP'!$A$1:$R$52</definedName>
    <definedName name="SCH_M_2.3PG9">'Rate TT'!$A$1:$R$63</definedName>
    <definedName name="SCH_N_1">'SCH N'!$A$1:$S$35</definedName>
    <definedName name="SCH_N_2">'SCH N'!$A$36:$S$88</definedName>
    <definedName name="SCH_N_3">'SCH N'!$A$89:$S$136</definedName>
    <definedName name="SCH_N_4">'SCH N'!$A$137:$S$187</definedName>
    <definedName name="SCH_N_5">'SCH N'!$A$188:$S$252</definedName>
    <definedName name="SERVICE">INPUT!$D$12</definedName>
    <definedName name="TIME">INPUT!$B$6</definedName>
    <definedName name="TITLE">INPUT!$B$15</definedName>
    <definedName name="TT_MSRE">INPUT!$C$25</definedName>
    <definedName name="TYPE">INPUT!$B$14</definedName>
    <definedName name="WIT">INPUT!$D$38</definedName>
    <definedName name="Z_0BC1F393_8A13_47D5_BC6C_0C99615B5AB9_.wvu.PrintArea" localSheetId="12" hidden="1">'Rate DP'!$A$1:$R$52</definedName>
    <definedName name="Z_0BC1F393_8A13_47D5_BC6C_0C99615B5AB9_.wvu.PrintArea" localSheetId="7" hidden="1">'Rate DS'!$A$1:$R$58</definedName>
    <definedName name="Z_0BC1F393_8A13_47D5_BC6C_0C99615B5AB9_.wvu.PrintArea" localSheetId="19" hidden="1">'Rate DS RTP'!$A$1:$R$46</definedName>
    <definedName name="Z_0BC1F393_8A13_47D5_BC6C_0C99615B5AB9_.wvu.PrintArea" localSheetId="18" hidden="1">'Rate DS RTPM'!$A$1:$R$43</definedName>
    <definedName name="Z_0BC1F393_8A13_47D5_BC6C_0C99615B5AB9_.wvu.PrintArea" localSheetId="14" hidden="1">'Rate DT RTPM-P'!$A$1:$R$42</definedName>
    <definedName name="Z_0BC1F393_8A13_47D5_BC6C_0C99615B5AB9_.wvu.PrintArea" localSheetId="16" hidden="1">'Rate DT RTPM-S'!$A$1:$R$42</definedName>
    <definedName name="Z_0BC1F393_8A13_47D5_BC6C_0C99615B5AB9_.wvu.PrintArea" localSheetId="15" hidden="1">'Rate DT RTP-P'!$A$1:$R$42</definedName>
    <definedName name="Z_0BC1F393_8A13_47D5_BC6C_0C99615B5AB9_.wvu.PrintArea" localSheetId="17" hidden="1">'Rate DT RTP-S'!$A$1:$R$45</definedName>
    <definedName name="Z_0BC1F393_8A13_47D5_BC6C_0C99615B5AB9_.wvu.PrintArea" localSheetId="8" hidden="1">'Rate DT-Pri'!$A$1:$R$67</definedName>
    <definedName name="Z_0BC1F393_8A13_47D5_BC6C_0C99615B5AB9_.wvu.PrintArea" localSheetId="9" hidden="1">'Rate DT-Sec'!$A$1:$R$67</definedName>
    <definedName name="Z_0BC1F393_8A13_47D5_BC6C_0C99615B5AB9_.wvu.PrintArea" localSheetId="10" hidden="1">'Rate EH'!$A$1:$R$49</definedName>
    <definedName name="Z_0BC1F393_8A13_47D5_BC6C_0C99615B5AB9_.wvu.PrintArea" localSheetId="27" hidden="1">'Rate NSP'!$A$1:$R$62</definedName>
    <definedName name="Z_0BC1F393_8A13_47D5_BC6C_0C99615B5AB9_.wvu.PrintArea" localSheetId="26" hidden="1">'Rate NSU'!$A$1:$R$51</definedName>
    <definedName name="Z_0BC1F393_8A13_47D5_BC6C_0C99615B5AB9_.wvu.PrintArea" localSheetId="25" hidden="1">'Rate OL'!$A$1:$R$83</definedName>
    <definedName name="Z_0BC1F393_8A13_47D5_BC6C_0C99615B5AB9_.wvu.PrintArea" localSheetId="6" hidden="1">'Rate RS'!$A$1:$R$47</definedName>
    <definedName name="Z_0BC1F393_8A13_47D5_BC6C_0C99615B5AB9_.wvu.PrintArea" localSheetId="28" hidden="1">'Rate SC'!$A$1:$R$79</definedName>
    <definedName name="Z_0BC1F393_8A13_47D5_BC6C_0C99615B5AB9_.wvu.PrintArea" localSheetId="29" hidden="1">'Rate SE'!$A$1:$R$58</definedName>
    <definedName name="Z_0BC1F393_8A13_47D5_BC6C_0C99615B5AB9_.wvu.PrintArea" localSheetId="22" hidden="1">'Rate SL'!$A$67:$R$219</definedName>
    <definedName name="Z_0BC1F393_8A13_47D5_BC6C_0C99615B5AB9_.wvu.PrintArea" localSheetId="11" hidden="1">'Rate SP GSFL'!$A$1:$R$68</definedName>
    <definedName name="Z_0BC1F393_8A13_47D5_BC6C_0C99615B5AB9_.wvu.PrintArea" localSheetId="23" hidden="1">'Rate TL'!$A$1:$R$53</definedName>
    <definedName name="Z_0BC1F393_8A13_47D5_BC6C_0C99615B5AB9_.wvu.PrintArea" localSheetId="13" hidden="1">'Rate TT'!$A$1:$R$63</definedName>
    <definedName name="Z_0BC1F393_8A13_47D5_BC6C_0C99615B5AB9_.wvu.PrintArea" localSheetId="21" hidden="1">'Rate TT RTP'!$A$1:$R$44</definedName>
    <definedName name="Z_0BC1F393_8A13_47D5_BC6C_0C99615B5AB9_.wvu.PrintArea" localSheetId="20" hidden="1">'Rate TT RTPM'!$A$1:$R$42</definedName>
    <definedName name="Z_0BC1F393_8A13_47D5_BC6C_0C99615B5AB9_.wvu.PrintArea" localSheetId="24" hidden="1">'Rate UOLS'!$A$1:$R$34</definedName>
    <definedName name="Z_0BC1F393_8A13_47D5_BC6C_0C99615B5AB9_.wvu.PrintArea" localSheetId="2" hidden="1">'SCH M'!$A$1:$O$69</definedName>
    <definedName name="Z_0BC1F393_8A13_47D5_BC6C_0C99615B5AB9_.wvu.PrintArea" localSheetId="3" hidden="1">'SCH M-2.1'!$A$1:$T$56</definedName>
    <definedName name="Z_0BC1F393_8A13_47D5_BC6C_0C99615B5AB9_.wvu.PrintArea" localSheetId="4" hidden="1">'SCH M-2.2'!$A$1:$X$77</definedName>
    <definedName name="Z_0BC1F393_8A13_47D5_BC6C_0C99615B5AB9_.wvu.PrintArea" localSheetId="5" hidden="1">'SCH M-2.3'!$A$1:$R$72</definedName>
    <definedName name="Z_0BC1F393_8A13_47D5_BC6C_0C99615B5AB9_.wvu.PrintArea" localSheetId="30" hidden="1">'SCH N'!$A$188:$S$252</definedName>
    <definedName name="Z_0C49E549_011E_46F4_A82E_2CC8951A9C1E_.wvu.PrintArea" localSheetId="12" hidden="1">'Rate DP'!$A$1:$R$52</definedName>
    <definedName name="Z_0C49E549_011E_46F4_A82E_2CC8951A9C1E_.wvu.PrintArea" localSheetId="7" hidden="1">'Rate DS'!$A$1:$R$58</definedName>
    <definedName name="Z_0C49E549_011E_46F4_A82E_2CC8951A9C1E_.wvu.PrintArea" localSheetId="19" hidden="1">'Rate DS RTP'!$A$1:$R$46</definedName>
    <definedName name="Z_0C49E549_011E_46F4_A82E_2CC8951A9C1E_.wvu.PrintArea" localSheetId="18" hidden="1">'Rate DS RTPM'!$A$1:$R$43</definedName>
    <definedName name="Z_0C49E549_011E_46F4_A82E_2CC8951A9C1E_.wvu.PrintArea" localSheetId="14" hidden="1">'Rate DT RTPM-P'!$A$1:$R$42</definedName>
    <definedName name="Z_0C49E549_011E_46F4_A82E_2CC8951A9C1E_.wvu.PrintArea" localSheetId="16" hidden="1">'Rate DT RTPM-S'!$A$1:$R$42</definedName>
    <definedName name="Z_0C49E549_011E_46F4_A82E_2CC8951A9C1E_.wvu.PrintArea" localSheetId="15" hidden="1">'Rate DT RTP-P'!$A$1:$R$42</definedName>
    <definedName name="Z_0C49E549_011E_46F4_A82E_2CC8951A9C1E_.wvu.PrintArea" localSheetId="17" hidden="1">'Rate DT RTP-S'!$A$1:$R$45</definedName>
    <definedName name="Z_0C49E549_011E_46F4_A82E_2CC8951A9C1E_.wvu.PrintArea" localSheetId="8" hidden="1">'Rate DT-Pri'!$A$1:$R$67</definedName>
    <definedName name="Z_0C49E549_011E_46F4_A82E_2CC8951A9C1E_.wvu.PrintArea" localSheetId="9" hidden="1">'Rate DT-Sec'!$A$1:$R$67</definedName>
    <definedName name="Z_0C49E549_011E_46F4_A82E_2CC8951A9C1E_.wvu.PrintArea" localSheetId="10" hidden="1">'Rate EH'!$A$1:$R$49</definedName>
    <definedName name="Z_0C49E549_011E_46F4_A82E_2CC8951A9C1E_.wvu.PrintArea" localSheetId="27" hidden="1">'Rate NSP'!$A$1:$R$62</definedName>
    <definedName name="Z_0C49E549_011E_46F4_A82E_2CC8951A9C1E_.wvu.PrintArea" localSheetId="26" hidden="1">'Rate NSU'!$A$1:$R$51</definedName>
    <definedName name="Z_0C49E549_011E_46F4_A82E_2CC8951A9C1E_.wvu.PrintArea" localSheetId="25" hidden="1">'Rate OL'!$A$1:$R$83</definedName>
    <definedName name="Z_0C49E549_011E_46F4_A82E_2CC8951A9C1E_.wvu.PrintArea" localSheetId="6" hidden="1">'Rate RS'!$A$1:$R$47</definedName>
    <definedName name="Z_0C49E549_011E_46F4_A82E_2CC8951A9C1E_.wvu.PrintArea" localSheetId="28" hidden="1">'Rate SC'!$A$1:$R$79</definedName>
    <definedName name="Z_0C49E549_011E_46F4_A82E_2CC8951A9C1E_.wvu.PrintArea" localSheetId="29" hidden="1">'Rate SE'!$A$1:$R$58</definedName>
    <definedName name="Z_0C49E549_011E_46F4_A82E_2CC8951A9C1E_.wvu.PrintArea" localSheetId="22" hidden="1">'Rate SL'!$T$289:$AQ$440</definedName>
    <definedName name="Z_0C49E549_011E_46F4_A82E_2CC8951A9C1E_.wvu.PrintArea" localSheetId="11" hidden="1">'Rate SP GSFL'!$A$1:$R$68</definedName>
    <definedName name="Z_0C49E549_011E_46F4_A82E_2CC8951A9C1E_.wvu.PrintArea" localSheetId="23" hidden="1">'Rate TL'!$A$1:$R$53</definedName>
    <definedName name="Z_0C49E549_011E_46F4_A82E_2CC8951A9C1E_.wvu.PrintArea" localSheetId="13" hidden="1">'Rate TT'!$A$1:$R$63</definedName>
    <definedName name="Z_0C49E549_011E_46F4_A82E_2CC8951A9C1E_.wvu.PrintArea" localSheetId="21" hidden="1">'Rate TT RTP'!$A$1:$R$44</definedName>
    <definedName name="Z_0C49E549_011E_46F4_A82E_2CC8951A9C1E_.wvu.PrintArea" localSheetId="20" hidden="1">'Rate TT RTPM'!$A$1:$R$42</definedName>
    <definedName name="Z_0C49E549_011E_46F4_A82E_2CC8951A9C1E_.wvu.PrintArea" localSheetId="24" hidden="1">'Rate UOLS'!$A$1:$R$34</definedName>
    <definedName name="Z_0C49E549_011E_46F4_A82E_2CC8951A9C1E_.wvu.PrintArea" localSheetId="2" hidden="1">'SCH M'!$A$1:$K$75</definedName>
    <definedName name="Z_0C49E549_011E_46F4_A82E_2CC8951A9C1E_.wvu.PrintArea" localSheetId="3" hidden="1">'SCH M-2.1'!$A$1:$T$56</definedName>
    <definedName name="Z_0C49E549_011E_46F4_A82E_2CC8951A9C1E_.wvu.PrintArea" localSheetId="4" hidden="1">'SCH M-2.2'!$A$1:$X$77</definedName>
    <definedName name="Z_0C49E549_011E_46F4_A82E_2CC8951A9C1E_.wvu.PrintArea" localSheetId="5" hidden="1">'SCH M-2.3'!$A$1:$R$72</definedName>
    <definedName name="Z_0C49E549_011E_46F4_A82E_2CC8951A9C1E_.wvu.PrintArea" localSheetId="30" hidden="1">'SCH N'!$A$188:$S$252</definedName>
    <definedName name="Z_18BDED73_BFA0_442E_87EC_CED86EE4CF94_.wvu.PrintArea" localSheetId="12" hidden="1">'Rate DP'!$A$1:$R$52</definedName>
    <definedName name="Z_18BDED73_BFA0_442E_87EC_CED86EE4CF94_.wvu.PrintArea" localSheetId="7" hidden="1">'Rate DS'!$A$1:$R$58</definedName>
    <definedName name="Z_18BDED73_BFA0_442E_87EC_CED86EE4CF94_.wvu.PrintArea" localSheetId="19" hidden="1">'Rate DS RTP'!$A$1:$R$46</definedName>
    <definedName name="Z_18BDED73_BFA0_442E_87EC_CED86EE4CF94_.wvu.PrintArea" localSheetId="18" hidden="1">'Rate DS RTPM'!$A$1:$R$43</definedName>
    <definedName name="Z_18BDED73_BFA0_442E_87EC_CED86EE4CF94_.wvu.PrintArea" localSheetId="14" hidden="1">'Rate DT RTPM-P'!$A$1:$R$42</definedName>
    <definedName name="Z_18BDED73_BFA0_442E_87EC_CED86EE4CF94_.wvu.PrintArea" localSheetId="16" hidden="1">'Rate DT RTPM-S'!$A$1:$R$42</definedName>
    <definedName name="Z_18BDED73_BFA0_442E_87EC_CED86EE4CF94_.wvu.PrintArea" localSheetId="15" hidden="1">'Rate DT RTP-P'!$A$1:$R$42</definedName>
    <definedName name="Z_18BDED73_BFA0_442E_87EC_CED86EE4CF94_.wvu.PrintArea" localSheetId="17" hidden="1">'Rate DT RTP-S'!$A$1:$R$45</definedName>
    <definedName name="Z_18BDED73_BFA0_442E_87EC_CED86EE4CF94_.wvu.PrintArea" localSheetId="8" hidden="1">'Rate DT-Pri'!$A$1:$R$67</definedName>
    <definedName name="Z_18BDED73_BFA0_442E_87EC_CED86EE4CF94_.wvu.PrintArea" localSheetId="9" hidden="1">'Rate DT-Sec'!$A$1:$R$67</definedName>
    <definedName name="Z_18BDED73_BFA0_442E_87EC_CED86EE4CF94_.wvu.PrintArea" localSheetId="10" hidden="1">'Rate EH'!$A$1:$R$49</definedName>
    <definedName name="Z_18BDED73_BFA0_442E_87EC_CED86EE4CF94_.wvu.PrintArea" localSheetId="27" hidden="1">'Rate NSP'!$A$1:$R$62</definedName>
    <definedName name="Z_18BDED73_BFA0_442E_87EC_CED86EE4CF94_.wvu.PrintArea" localSheetId="26" hidden="1">'Rate NSU'!$A$1:$R$51</definedName>
    <definedName name="Z_18BDED73_BFA0_442E_87EC_CED86EE4CF94_.wvu.PrintArea" localSheetId="25" hidden="1">'Rate OL'!$A$1:$R$83</definedName>
    <definedName name="Z_18BDED73_BFA0_442E_87EC_CED86EE4CF94_.wvu.PrintArea" localSheetId="6" hidden="1">'Rate RS'!$A$1:$R$47</definedName>
    <definedName name="Z_18BDED73_BFA0_442E_87EC_CED86EE4CF94_.wvu.PrintArea" localSheetId="28" hidden="1">'Rate SC'!$A$1:$R$79</definedName>
    <definedName name="Z_18BDED73_BFA0_442E_87EC_CED86EE4CF94_.wvu.PrintArea" localSheetId="29" hidden="1">'Rate SE'!$A$1:$R$58</definedName>
    <definedName name="Z_18BDED73_BFA0_442E_87EC_CED86EE4CF94_.wvu.PrintArea" localSheetId="22" hidden="1">'Rate SL'!$A$67:$R$219</definedName>
    <definedName name="Z_18BDED73_BFA0_442E_87EC_CED86EE4CF94_.wvu.PrintArea" localSheetId="11" hidden="1">'Rate SP GSFL'!$A$1:$R$68</definedName>
    <definedName name="Z_18BDED73_BFA0_442E_87EC_CED86EE4CF94_.wvu.PrintArea" localSheetId="23" hidden="1">'Rate TL'!$A$1:$R$53</definedName>
    <definedName name="Z_18BDED73_BFA0_442E_87EC_CED86EE4CF94_.wvu.PrintArea" localSheetId="13" hidden="1">'Rate TT'!$A$1:$R$63</definedName>
    <definedName name="Z_18BDED73_BFA0_442E_87EC_CED86EE4CF94_.wvu.PrintArea" localSheetId="21" hidden="1">'Rate TT RTP'!$A$1:$R$44</definedName>
    <definedName name="Z_18BDED73_BFA0_442E_87EC_CED86EE4CF94_.wvu.PrintArea" localSheetId="20" hidden="1">'Rate TT RTPM'!$A$1:$R$42</definedName>
    <definedName name="Z_18BDED73_BFA0_442E_87EC_CED86EE4CF94_.wvu.PrintArea" localSheetId="24" hidden="1">'Rate UOLS'!$A$1:$R$34</definedName>
    <definedName name="Z_18BDED73_BFA0_442E_87EC_CED86EE4CF94_.wvu.PrintArea" localSheetId="2" hidden="1">'SCH M'!$A$1:$O$69</definedName>
    <definedName name="Z_18BDED73_BFA0_442E_87EC_CED86EE4CF94_.wvu.PrintArea" localSheetId="3" hidden="1">'SCH M-2.1'!$A$1:$T$56</definedName>
    <definedName name="Z_18BDED73_BFA0_442E_87EC_CED86EE4CF94_.wvu.PrintArea" localSheetId="4" hidden="1">'SCH M-2.2'!$A$1:$X$77</definedName>
    <definedName name="Z_18BDED73_BFA0_442E_87EC_CED86EE4CF94_.wvu.PrintArea" localSheetId="5" hidden="1">'SCH M-2.3'!$A$1:$R$72</definedName>
    <definedName name="Z_18BDED73_BFA0_442E_87EC_CED86EE4CF94_.wvu.PrintArea" localSheetId="30" hidden="1">'SCH N'!$A$188:$S$252</definedName>
    <definedName name="Z_195DF303_1BBD_4236_94B5_47432850B006_.wvu.PrintArea" localSheetId="12" hidden="1">'Rate DP'!$A$1:$R$52</definedName>
    <definedName name="Z_195DF303_1BBD_4236_94B5_47432850B006_.wvu.PrintArea" localSheetId="7" hidden="1">'Rate DS'!$A$1:$R$58</definedName>
    <definedName name="Z_195DF303_1BBD_4236_94B5_47432850B006_.wvu.PrintArea" localSheetId="19" hidden="1">'Rate DS RTP'!$A$1:$R$46</definedName>
    <definedName name="Z_195DF303_1BBD_4236_94B5_47432850B006_.wvu.PrintArea" localSheetId="18" hidden="1">'Rate DS RTPM'!$A$1:$R$43</definedName>
    <definedName name="Z_195DF303_1BBD_4236_94B5_47432850B006_.wvu.PrintArea" localSheetId="14" hidden="1">'Rate DT RTPM-P'!$A$1:$R$42</definedName>
    <definedName name="Z_195DF303_1BBD_4236_94B5_47432850B006_.wvu.PrintArea" localSheetId="16" hidden="1">'Rate DT RTPM-S'!$A$1:$R$42</definedName>
    <definedName name="Z_195DF303_1BBD_4236_94B5_47432850B006_.wvu.PrintArea" localSheetId="15" hidden="1">'Rate DT RTP-P'!$A$1:$R$42</definedName>
    <definedName name="Z_195DF303_1BBD_4236_94B5_47432850B006_.wvu.PrintArea" localSheetId="17" hidden="1">'Rate DT RTP-S'!$A$1:$R$45</definedName>
    <definedName name="Z_195DF303_1BBD_4236_94B5_47432850B006_.wvu.PrintArea" localSheetId="8" hidden="1">'Rate DT-Pri'!$A$1:$R$67</definedName>
    <definedName name="Z_195DF303_1BBD_4236_94B5_47432850B006_.wvu.PrintArea" localSheetId="9" hidden="1">'Rate DT-Sec'!$A$1:$R$67</definedName>
    <definedName name="Z_195DF303_1BBD_4236_94B5_47432850B006_.wvu.PrintArea" localSheetId="10" hidden="1">'Rate EH'!$A$1:$R$49</definedName>
    <definedName name="Z_195DF303_1BBD_4236_94B5_47432850B006_.wvu.PrintArea" localSheetId="27" hidden="1">'Rate NSP'!$A$1:$R$62</definedName>
    <definedName name="Z_195DF303_1BBD_4236_94B5_47432850B006_.wvu.PrintArea" localSheetId="26" hidden="1">'Rate NSU'!$A$1:$R$51</definedName>
    <definedName name="Z_195DF303_1BBD_4236_94B5_47432850B006_.wvu.PrintArea" localSheetId="25" hidden="1">'Rate OL'!$A$1:$R$83</definedName>
    <definedName name="Z_195DF303_1BBD_4236_94B5_47432850B006_.wvu.PrintArea" localSheetId="6" hidden="1">'Rate RS'!$A$1:$R$47</definedName>
    <definedName name="Z_195DF303_1BBD_4236_94B5_47432850B006_.wvu.PrintArea" localSheetId="28" hidden="1">'Rate SC'!$A$1:$R$79</definedName>
    <definedName name="Z_195DF303_1BBD_4236_94B5_47432850B006_.wvu.PrintArea" localSheetId="29" hidden="1">'Rate SE'!$A$1:$R$58</definedName>
    <definedName name="Z_195DF303_1BBD_4236_94B5_47432850B006_.wvu.PrintArea" localSheetId="22" hidden="1">'Rate SL'!$T$289:$AQ$440</definedName>
    <definedName name="Z_195DF303_1BBD_4236_94B5_47432850B006_.wvu.PrintArea" localSheetId="11" hidden="1">'Rate SP GSFL'!$A$1:$R$68</definedName>
    <definedName name="Z_195DF303_1BBD_4236_94B5_47432850B006_.wvu.PrintArea" localSheetId="23" hidden="1">'Rate TL'!$A$1:$R$53</definedName>
    <definedName name="Z_195DF303_1BBD_4236_94B5_47432850B006_.wvu.PrintArea" localSheetId="13" hidden="1">'Rate TT'!$A$1:$R$63</definedName>
    <definedName name="Z_195DF303_1BBD_4236_94B5_47432850B006_.wvu.PrintArea" localSheetId="21" hidden="1">'Rate TT RTP'!$A$1:$R$44</definedName>
    <definedName name="Z_195DF303_1BBD_4236_94B5_47432850B006_.wvu.PrintArea" localSheetId="20" hidden="1">'Rate TT RTPM'!$A$1:$R$42</definedName>
    <definedName name="Z_195DF303_1BBD_4236_94B5_47432850B006_.wvu.PrintArea" localSheetId="24" hidden="1">'Rate UOLS'!$A$1:$R$34</definedName>
    <definedName name="Z_195DF303_1BBD_4236_94B5_47432850B006_.wvu.PrintArea" localSheetId="2" hidden="1">'SCH M'!$A$1:$K$75</definedName>
    <definedName name="Z_195DF303_1BBD_4236_94B5_47432850B006_.wvu.PrintArea" localSheetId="3" hidden="1">'SCH M-2.1'!$A$1:$T$56</definedName>
    <definedName name="Z_195DF303_1BBD_4236_94B5_47432850B006_.wvu.PrintArea" localSheetId="4" hidden="1">'SCH M-2.2'!$A$1:$X$77</definedName>
    <definedName name="Z_195DF303_1BBD_4236_94B5_47432850B006_.wvu.PrintArea" localSheetId="5" hidden="1">'SCH M-2.3'!$A$1:$R$72</definedName>
    <definedName name="Z_195DF303_1BBD_4236_94B5_47432850B006_.wvu.PrintArea" localSheetId="30" hidden="1">'SCH N'!$A$188:$S$252</definedName>
    <definedName name="Z_2431C9E5_7CC2_4B8D_99C3_962247B1DBF5_.wvu.PrintArea" localSheetId="8" hidden="1">'Rate DT-Pri'!$T$73:$AQ$142</definedName>
    <definedName name="Z_2431C9E5_7CC2_4B8D_99C3_962247B1DBF5_.wvu.PrintArea" localSheetId="9" hidden="1">'Rate DT-Sec'!$T$71:$AQ$137</definedName>
    <definedName name="Z_2431C9E5_7CC2_4B8D_99C3_962247B1DBF5_.wvu.PrintArea" localSheetId="22" hidden="1">'Rate SL'!$T$289:$AQ$440</definedName>
    <definedName name="Z_2EA35095_1ADC_4CC7_8C3C_B487D65FA247_.wvu.PrintArea" localSheetId="12" hidden="1">'Rate DP'!$A$1:$R$52</definedName>
    <definedName name="Z_2EA35095_1ADC_4CC7_8C3C_B487D65FA247_.wvu.PrintArea" localSheetId="7" hidden="1">'Rate DS'!$A$1:$R$58</definedName>
    <definedName name="Z_2EA35095_1ADC_4CC7_8C3C_B487D65FA247_.wvu.PrintArea" localSheetId="19" hidden="1">'Rate DS RTP'!$A$1:$R$46</definedName>
    <definedName name="Z_2EA35095_1ADC_4CC7_8C3C_B487D65FA247_.wvu.PrintArea" localSheetId="18" hidden="1">'Rate DS RTPM'!$A$1:$R$43</definedName>
    <definedName name="Z_2EA35095_1ADC_4CC7_8C3C_B487D65FA247_.wvu.PrintArea" localSheetId="14" hidden="1">'Rate DT RTPM-P'!$A$1:$R$42</definedName>
    <definedName name="Z_2EA35095_1ADC_4CC7_8C3C_B487D65FA247_.wvu.PrintArea" localSheetId="16" hidden="1">'Rate DT RTPM-S'!$A$1:$R$42</definedName>
    <definedName name="Z_2EA35095_1ADC_4CC7_8C3C_B487D65FA247_.wvu.PrintArea" localSheetId="15" hidden="1">'Rate DT RTP-P'!$A$1:$R$42</definedName>
    <definedName name="Z_2EA35095_1ADC_4CC7_8C3C_B487D65FA247_.wvu.PrintArea" localSheetId="17" hidden="1">'Rate DT RTP-S'!$A$1:$R$45</definedName>
    <definedName name="Z_2EA35095_1ADC_4CC7_8C3C_B487D65FA247_.wvu.PrintArea" localSheetId="8" hidden="1">'Rate DT-Pri'!$A$1:$R$67</definedName>
    <definedName name="Z_2EA35095_1ADC_4CC7_8C3C_B487D65FA247_.wvu.PrintArea" localSheetId="9" hidden="1">'Rate DT-Sec'!$A$1:$R$67</definedName>
    <definedName name="Z_2EA35095_1ADC_4CC7_8C3C_B487D65FA247_.wvu.PrintArea" localSheetId="10" hidden="1">'Rate EH'!$A$1:$R$49</definedName>
    <definedName name="Z_2EA35095_1ADC_4CC7_8C3C_B487D65FA247_.wvu.PrintArea" localSheetId="27" hidden="1">'Rate NSP'!$A$1:$R$62</definedName>
    <definedName name="Z_2EA35095_1ADC_4CC7_8C3C_B487D65FA247_.wvu.PrintArea" localSheetId="26" hidden="1">'Rate NSU'!$A$1:$R$51</definedName>
    <definedName name="Z_2EA35095_1ADC_4CC7_8C3C_B487D65FA247_.wvu.PrintArea" localSheetId="25" hidden="1">'Rate OL'!$A$1:$R$83</definedName>
    <definedName name="Z_2EA35095_1ADC_4CC7_8C3C_B487D65FA247_.wvu.PrintArea" localSheetId="6" hidden="1">'Rate RS'!$A$1:$R$47</definedName>
    <definedName name="Z_2EA35095_1ADC_4CC7_8C3C_B487D65FA247_.wvu.PrintArea" localSheetId="28" hidden="1">'Rate SC'!$A$1:$R$79</definedName>
    <definedName name="Z_2EA35095_1ADC_4CC7_8C3C_B487D65FA247_.wvu.PrintArea" localSheetId="29" hidden="1">'Rate SE'!$A$1:$R$58</definedName>
    <definedName name="Z_2EA35095_1ADC_4CC7_8C3C_B487D65FA247_.wvu.PrintArea" localSheetId="22" hidden="1">'Rate SL'!$T$289:$AQ$440</definedName>
    <definedName name="Z_2EA35095_1ADC_4CC7_8C3C_B487D65FA247_.wvu.PrintArea" localSheetId="11" hidden="1">'Rate SP GSFL'!$A$1:$R$68</definedName>
    <definedName name="Z_2EA35095_1ADC_4CC7_8C3C_B487D65FA247_.wvu.PrintArea" localSheetId="23" hidden="1">'Rate TL'!$A$1:$R$53</definedName>
    <definedName name="Z_2EA35095_1ADC_4CC7_8C3C_B487D65FA247_.wvu.PrintArea" localSheetId="13" hidden="1">'Rate TT'!$A$1:$R$63</definedName>
    <definedName name="Z_2EA35095_1ADC_4CC7_8C3C_B487D65FA247_.wvu.PrintArea" localSheetId="21" hidden="1">'Rate TT RTP'!$A$1:$R$44</definedName>
    <definedName name="Z_2EA35095_1ADC_4CC7_8C3C_B487D65FA247_.wvu.PrintArea" localSheetId="20" hidden="1">'Rate TT RTPM'!$A$1:$R$42</definedName>
    <definedName name="Z_2EA35095_1ADC_4CC7_8C3C_B487D65FA247_.wvu.PrintArea" localSheetId="24" hidden="1">'Rate UOLS'!$A$1:$R$34</definedName>
    <definedName name="Z_2EA35095_1ADC_4CC7_8C3C_B487D65FA247_.wvu.PrintArea" localSheetId="2" hidden="1">'SCH M'!$A$1:$K$75</definedName>
    <definedName name="Z_2EA35095_1ADC_4CC7_8C3C_B487D65FA247_.wvu.PrintArea" localSheetId="3" hidden="1">'SCH M-2.1'!$A$1:$T$56</definedName>
    <definedName name="Z_2EA35095_1ADC_4CC7_8C3C_B487D65FA247_.wvu.PrintArea" localSheetId="4" hidden="1">'SCH M-2.2'!$A$1:$X$77</definedName>
    <definedName name="Z_2EA35095_1ADC_4CC7_8C3C_B487D65FA247_.wvu.PrintArea" localSheetId="5" hidden="1">'SCH M-2.3'!$A$1:$R$72</definedName>
    <definedName name="Z_2EA35095_1ADC_4CC7_8C3C_B487D65FA247_.wvu.PrintArea" localSheetId="30" hidden="1">'SCH N'!$A$188:$S$252</definedName>
    <definedName name="Z_35F19056_2E6F_4935_B863_78836FE990BF_.wvu.PrintArea" localSheetId="12" hidden="1">'Rate DP'!$A$1:$R$52</definedName>
    <definedName name="Z_35F19056_2E6F_4935_B863_78836FE990BF_.wvu.PrintArea" localSheetId="7" hidden="1">'Rate DS'!$A$1:$R$58</definedName>
    <definedName name="Z_35F19056_2E6F_4935_B863_78836FE990BF_.wvu.PrintArea" localSheetId="19" hidden="1">'Rate DS RTP'!$A$1:$R$46</definedName>
    <definedName name="Z_35F19056_2E6F_4935_B863_78836FE990BF_.wvu.PrintArea" localSheetId="18" hidden="1">'Rate DS RTPM'!$A$1:$R$43</definedName>
    <definedName name="Z_35F19056_2E6F_4935_B863_78836FE990BF_.wvu.PrintArea" localSheetId="14" hidden="1">'Rate DT RTPM-P'!$A$1:$R$42</definedName>
    <definedName name="Z_35F19056_2E6F_4935_B863_78836FE990BF_.wvu.PrintArea" localSheetId="16" hidden="1">'Rate DT RTPM-S'!$A$1:$R$42</definedName>
    <definedName name="Z_35F19056_2E6F_4935_B863_78836FE990BF_.wvu.PrintArea" localSheetId="15" hidden="1">'Rate DT RTP-P'!$A$1:$R$42</definedName>
    <definedName name="Z_35F19056_2E6F_4935_B863_78836FE990BF_.wvu.PrintArea" localSheetId="17" hidden="1">'Rate DT RTP-S'!$A$1:$R$45</definedName>
    <definedName name="Z_35F19056_2E6F_4935_B863_78836FE990BF_.wvu.PrintArea" localSheetId="8" hidden="1">'Rate DT-Pri'!$A$1:$R$67</definedName>
    <definedName name="Z_35F19056_2E6F_4935_B863_78836FE990BF_.wvu.PrintArea" localSheetId="9" hidden="1">'Rate DT-Sec'!$A$1:$R$67</definedName>
    <definedName name="Z_35F19056_2E6F_4935_B863_78836FE990BF_.wvu.PrintArea" localSheetId="10" hidden="1">'Rate EH'!$A$1:$R$49</definedName>
    <definedName name="Z_35F19056_2E6F_4935_B863_78836FE990BF_.wvu.PrintArea" localSheetId="27" hidden="1">'Rate NSP'!$A$1:$R$62</definedName>
    <definedName name="Z_35F19056_2E6F_4935_B863_78836FE990BF_.wvu.PrintArea" localSheetId="26" hidden="1">'Rate NSU'!$A$1:$R$51</definedName>
    <definedName name="Z_35F19056_2E6F_4935_B863_78836FE990BF_.wvu.PrintArea" localSheetId="25" hidden="1">'Rate OL'!$A$1:$R$83</definedName>
    <definedName name="Z_35F19056_2E6F_4935_B863_78836FE990BF_.wvu.PrintArea" localSheetId="6" hidden="1">'Rate RS'!$A$1:$R$47</definedName>
    <definedName name="Z_35F19056_2E6F_4935_B863_78836FE990BF_.wvu.PrintArea" localSheetId="28" hidden="1">'Rate SC'!$A$1:$R$79</definedName>
    <definedName name="Z_35F19056_2E6F_4935_B863_78836FE990BF_.wvu.PrintArea" localSheetId="29" hidden="1">'Rate SE'!$A$1:$R$58</definedName>
    <definedName name="Z_35F19056_2E6F_4935_B863_78836FE990BF_.wvu.PrintArea" localSheetId="22" hidden="1">'Rate SL'!$A$67:$R$219</definedName>
    <definedName name="Z_35F19056_2E6F_4935_B863_78836FE990BF_.wvu.PrintArea" localSheetId="11" hidden="1">'Rate SP GSFL'!$A$1:$R$68</definedName>
    <definedName name="Z_35F19056_2E6F_4935_B863_78836FE990BF_.wvu.PrintArea" localSheetId="23" hidden="1">'Rate TL'!$A$1:$R$53</definedName>
    <definedName name="Z_35F19056_2E6F_4935_B863_78836FE990BF_.wvu.PrintArea" localSheetId="13" hidden="1">'Rate TT'!$A$1:$R$63</definedName>
    <definedName name="Z_35F19056_2E6F_4935_B863_78836FE990BF_.wvu.PrintArea" localSheetId="21" hidden="1">'Rate TT RTP'!$A$1:$R$44</definedName>
    <definedName name="Z_35F19056_2E6F_4935_B863_78836FE990BF_.wvu.PrintArea" localSheetId="20" hidden="1">'Rate TT RTPM'!$A$1:$R$42</definedName>
    <definedName name="Z_35F19056_2E6F_4935_B863_78836FE990BF_.wvu.PrintArea" localSheetId="24" hidden="1">'Rate UOLS'!$A$1:$R$34</definedName>
    <definedName name="Z_35F19056_2E6F_4935_B863_78836FE990BF_.wvu.PrintArea" localSheetId="2" hidden="1">'SCH M'!$A$1:$O$71</definedName>
    <definedName name="Z_35F19056_2E6F_4935_B863_78836FE990BF_.wvu.PrintArea" localSheetId="3" hidden="1">'SCH M-2.1'!$A$1:$T$56</definedName>
    <definedName name="Z_35F19056_2E6F_4935_B863_78836FE990BF_.wvu.PrintArea" localSheetId="4" hidden="1">'SCH M-2.2'!$A$1:$X$77</definedName>
    <definedName name="Z_35F19056_2E6F_4935_B863_78836FE990BF_.wvu.PrintArea" localSheetId="5" hidden="1">'SCH M-2.3'!$A$1:$R$72</definedName>
    <definedName name="Z_35F19056_2E6F_4935_B863_78836FE990BF_.wvu.PrintArea" localSheetId="30" hidden="1">'SCH N'!$A$188:$S$252</definedName>
    <definedName name="Z_4BC93440_BA85_4935_A8C9_66DC6AE5DE5E_.wvu.PrintArea" localSheetId="12" hidden="1">'Rate DP'!$A$1:$R$52</definedName>
    <definedName name="Z_4BC93440_BA85_4935_A8C9_66DC6AE5DE5E_.wvu.PrintArea" localSheetId="7" hidden="1">'Rate DS'!$A$1:$R$58</definedName>
    <definedName name="Z_4BC93440_BA85_4935_A8C9_66DC6AE5DE5E_.wvu.PrintArea" localSheetId="19" hidden="1">'Rate DS RTP'!$A$1:$R$46</definedName>
    <definedName name="Z_4BC93440_BA85_4935_A8C9_66DC6AE5DE5E_.wvu.PrintArea" localSheetId="18" hidden="1">'Rate DS RTPM'!$A$1:$R$43</definedName>
    <definedName name="Z_4BC93440_BA85_4935_A8C9_66DC6AE5DE5E_.wvu.PrintArea" localSheetId="14" hidden="1">'Rate DT RTPM-P'!$A$1:$R$42</definedName>
    <definedName name="Z_4BC93440_BA85_4935_A8C9_66DC6AE5DE5E_.wvu.PrintArea" localSheetId="16" hidden="1">'Rate DT RTPM-S'!$A$1:$R$42</definedName>
    <definedName name="Z_4BC93440_BA85_4935_A8C9_66DC6AE5DE5E_.wvu.PrintArea" localSheetId="15" hidden="1">'Rate DT RTP-P'!$A$1:$R$42</definedName>
    <definedName name="Z_4BC93440_BA85_4935_A8C9_66DC6AE5DE5E_.wvu.PrintArea" localSheetId="17" hidden="1">'Rate DT RTP-S'!$A$1:$R$45</definedName>
    <definedName name="Z_4BC93440_BA85_4935_A8C9_66DC6AE5DE5E_.wvu.PrintArea" localSheetId="8" hidden="1">'Rate DT-Pri'!$T$73:$AQ$142</definedName>
    <definedName name="Z_4BC93440_BA85_4935_A8C9_66DC6AE5DE5E_.wvu.PrintArea" localSheetId="9" hidden="1">'Rate DT-Sec'!$T$71:$AQ$137</definedName>
    <definedName name="Z_4BC93440_BA85_4935_A8C9_66DC6AE5DE5E_.wvu.PrintArea" localSheetId="10" hidden="1">'Rate EH'!$A$1:$R$49</definedName>
    <definedName name="Z_4BC93440_BA85_4935_A8C9_66DC6AE5DE5E_.wvu.PrintArea" localSheetId="27" hidden="1">'Rate NSP'!$T$66:$AQ$128</definedName>
    <definedName name="Z_4BC93440_BA85_4935_A8C9_66DC6AE5DE5E_.wvu.PrintArea" localSheetId="26" hidden="1">'Rate NSU'!$A$1:$R$51</definedName>
    <definedName name="Z_4BC93440_BA85_4935_A8C9_66DC6AE5DE5E_.wvu.PrintArea" localSheetId="25" hidden="1">'Rate OL'!$A$1:$R$83</definedName>
    <definedName name="Z_4BC93440_BA85_4935_A8C9_66DC6AE5DE5E_.wvu.PrintArea" localSheetId="6" hidden="1">'Rate RS'!$A$1:$R$47</definedName>
    <definedName name="Z_4BC93440_BA85_4935_A8C9_66DC6AE5DE5E_.wvu.PrintArea" localSheetId="28" hidden="1">'Rate SC'!$A$1:$R$79</definedName>
    <definedName name="Z_4BC93440_BA85_4935_A8C9_66DC6AE5DE5E_.wvu.PrintArea" localSheetId="29" hidden="1">'Rate SE'!$A$1:$R$58</definedName>
    <definedName name="Z_4BC93440_BA85_4935_A8C9_66DC6AE5DE5E_.wvu.PrintArea" localSheetId="22" hidden="1">'Rate SL'!$T$289:$AQ$440</definedName>
    <definedName name="Z_4BC93440_BA85_4935_A8C9_66DC6AE5DE5E_.wvu.PrintArea" localSheetId="11" hidden="1">'Rate SP GSFL'!$A$1:$R$68</definedName>
    <definedName name="Z_4BC93440_BA85_4935_A8C9_66DC6AE5DE5E_.wvu.PrintArea" localSheetId="23" hidden="1">'Rate TL'!$A$1:$R$53</definedName>
    <definedName name="Z_4BC93440_BA85_4935_A8C9_66DC6AE5DE5E_.wvu.PrintArea" localSheetId="13" hidden="1">'Rate TT'!$A$1:$R$63</definedName>
    <definedName name="Z_4BC93440_BA85_4935_A8C9_66DC6AE5DE5E_.wvu.PrintArea" localSheetId="21" hidden="1">'Rate TT RTP'!$A$1:$R$44</definedName>
    <definedName name="Z_4BC93440_BA85_4935_A8C9_66DC6AE5DE5E_.wvu.PrintArea" localSheetId="20" hidden="1">'Rate TT RTPM'!$A$1:$R$42</definedName>
    <definedName name="Z_4BC93440_BA85_4935_A8C9_66DC6AE5DE5E_.wvu.PrintArea" localSheetId="24" hidden="1">'Rate UOLS'!$A$1:$R$34</definedName>
    <definedName name="Z_4BC93440_BA85_4935_A8C9_66DC6AE5DE5E_.wvu.PrintArea" localSheetId="2" hidden="1">'SCH M'!$A$1:$K$75</definedName>
    <definedName name="Z_4BC93440_BA85_4935_A8C9_66DC6AE5DE5E_.wvu.PrintArea" localSheetId="3" hidden="1">'SCH M-2.1'!$A$1:$T$56</definedName>
    <definedName name="Z_4BC93440_BA85_4935_A8C9_66DC6AE5DE5E_.wvu.PrintArea" localSheetId="4" hidden="1">'SCH M-2.2'!$A$1:$X$77</definedName>
    <definedName name="Z_4BC93440_BA85_4935_A8C9_66DC6AE5DE5E_.wvu.PrintArea" localSheetId="5" hidden="1">'SCH M-2.3'!$A$1:$R$72</definedName>
    <definedName name="Z_4BC93440_BA85_4935_A8C9_66DC6AE5DE5E_.wvu.PrintArea" localSheetId="30" hidden="1">'SCH N'!$A$188:$S$252</definedName>
    <definedName name="Z_6B3D5C27_2FDE_4561_9575_1E98BFB869D0_.wvu.PrintArea" localSheetId="12" hidden="1">'Rate DP'!$A$1:$R$52</definedName>
    <definedName name="Z_6B3D5C27_2FDE_4561_9575_1E98BFB869D0_.wvu.PrintArea" localSheetId="7" hidden="1">'Rate DS'!$A$1:$R$58</definedName>
    <definedName name="Z_6B3D5C27_2FDE_4561_9575_1E98BFB869D0_.wvu.PrintArea" localSheetId="19" hidden="1">'Rate DS RTP'!$A$1:$R$46</definedName>
    <definedName name="Z_6B3D5C27_2FDE_4561_9575_1E98BFB869D0_.wvu.PrintArea" localSheetId="18" hidden="1">'Rate DS RTPM'!$A$1:$R$43</definedName>
    <definedName name="Z_6B3D5C27_2FDE_4561_9575_1E98BFB869D0_.wvu.PrintArea" localSheetId="14" hidden="1">'Rate DT RTPM-P'!$A$1:$R$42</definedName>
    <definedName name="Z_6B3D5C27_2FDE_4561_9575_1E98BFB869D0_.wvu.PrintArea" localSheetId="16" hidden="1">'Rate DT RTPM-S'!$A$1:$R$42</definedName>
    <definedName name="Z_6B3D5C27_2FDE_4561_9575_1E98BFB869D0_.wvu.PrintArea" localSheetId="15" hidden="1">'Rate DT RTP-P'!$A$1:$R$42</definedName>
    <definedName name="Z_6B3D5C27_2FDE_4561_9575_1E98BFB869D0_.wvu.PrintArea" localSheetId="17" hidden="1">'Rate DT RTP-S'!$A$1:$R$45</definedName>
    <definedName name="Z_6B3D5C27_2FDE_4561_9575_1E98BFB869D0_.wvu.PrintArea" localSheetId="8" hidden="1">'Rate DT-Pri'!$A$1:$R$67</definedName>
    <definedName name="Z_6B3D5C27_2FDE_4561_9575_1E98BFB869D0_.wvu.PrintArea" localSheetId="9" hidden="1">'Rate DT-Sec'!$A$1:$R$67</definedName>
    <definedName name="Z_6B3D5C27_2FDE_4561_9575_1E98BFB869D0_.wvu.PrintArea" localSheetId="10" hidden="1">'Rate EH'!$A$1:$R$49</definedName>
    <definedName name="Z_6B3D5C27_2FDE_4561_9575_1E98BFB869D0_.wvu.PrintArea" localSheetId="27" hidden="1">'Rate NSP'!$A$1:$R$62</definedName>
    <definedName name="Z_6B3D5C27_2FDE_4561_9575_1E98BFB869D0_.wvu.PrintArea" localSheetId="26" hidden="1">'Rate NSU'!$A$1:$R$51</definedName>
    <definedName name="Z_6B3D5C27_2FDE_4561_9575_1E98BFB869D0_.wvu.PrintArea" localSheetId="25" hidden="1">'Rate OL'!$A$1:$R$83</definedName>
    <definedName name="Z_6B3D5C27_2FDE_4561_9575_1E98BFB869D0_.wvu.PrintArea" localSheetId="6" hidden="1">'Rate RS'!$A$1:$R$47</definedName>
    <definedName name="Z_6B3D5C27_2FDE_4561_9575_1E98BFB869D0_.wvu.PrintArea" localSheetId="28" hidden="1">'Rate SC'!$A$1:$R$79</definedName>
    <definedName name="Z_6B3D5C27_2FDE_4561_9575_1E98BFB869D0_.wvu.PrintArea" localSheetId="29" hidden="1">'Rate SE'!$A$1:$R$58</definedName>
    <definedName name="Z_6B3D5C27_2FDE_4561_9575_1E98BFB869D0_.wvu.PrintArea" localSheetId="22" hidden="1">'Rate SL'!$T$289:$AQ$440</definedName>
    <definedName name="Z_6B3D5C27_2FDE_4561_9575_1E98BFB869D0_.wvu.PrintArea" localSheetId="11" hidden="1">'Rate SP GSFL'!$A$1:$R$68</definedName>
    <definedName name="Z_6B3D5C27_2FDE_4561_9575_1E98BFB869D0_.wvu.PrintArea" localSheetId="23" hidden="1">'Rate TL'!$A$1:$R$53</definedName>
    <definedName name="Z_6B3D5C27_2FDE_4561_9575_1E98BFB869D0_.wvu.PrintArea" localSheetId="13" hidden="1">'Rate TT'!$A$1:$R$63</definedName>
    <definedName name="Z_6B3D5C27_2FDE_4561_9575_1E98BFB869D0_.wvu.PrintArea" localSheetId="21" hidden="1">'Rate TT RTP'!$A$1:$R$44</definedName>
    <definedName name="Z_6B3D5C27_2FDE_4561_9575_1E98BFB869D0_.wvu.PrintArea" localSheetId="20" hidden="1">'Rate TT RTPM'!$A$1:$R$42</definedName>
    <definedName name="Z_6B3D5C27_2FDE_4561_9575_1E98BFB869D0_.wvu.PrintArea" localSheetId="24" hidden="1">'Rate UOLS'!$A$1:$R$34</definedName>
    <definedName name="Z_6B3D5C27_2FDE_4561_9575_1E98BFB869D0_.wvu.PrintArea" localSheetId="2" hidden="1">'SCH M'!$A$1:$O$69</definedName>
    <definedName name="Z_6B3D5C27_2FDE_4561_9575_1E98BFB869D0_.wvu.PrintArea" localSheetId="3" hidden="1">'SCH M-2.1'!$A$1:$T$56</definedName>
    <definedName name="Z_6B3D5C27_2FDE_4561_9575_1E98BFB869D0_.wvu.PrintArea" localSheetId="4" hidden="1">'SCH M-2.2'!$A$1:$X$77</definedName>
    <definedName name="Z_6B3D5C27_2FDE_4561_9575_1E98BFB869D0_.wvu.PrintArea" localSheetId="5" hidden="1">'SCH M-2.3'!$A$1:$R$72</definedName>
    <definedName name="Z_6B3D5C27_2FDE_4561_9575_1E98BFB869D0_.wvu.PrintArea" localSheetId="30" hidden="1">'SCH N'!$A$188:$S$252</definedName>
    <definedName name="Z_8FB94551_8874_4095_B8FB_5316E0D2FD2C_.wvu.PrintArea" localSheetId="12" hidden="1">'Rate DP'!$A$1:$R$52</definedName>
    <definedName name="Z_8FB94551_8874_4095_B8FB_5316E0D2FD2C_.wvu.PrintArea" localSheetId="7" hidden="1">'Rate DS'!$A$1:$R$58</definedName>
    <definedName name="Z_8FB94551_8874_4095_B8FB_5316E0D2FD2C_.wvu.PrintArea" localSheetId="19" hidden="1">'Rate DS RTP'!$A$1:$R$46</definedName>
    <definedName name="Z_8FB94551_8874_4095_B8FB_5316E0D2FD2C_.wvu.PrintArea" localSheetId="18" hidden="1">'Rate DS RTPM'!$A$1:$R$43</definedName>
    <definedName name="Z_8FB94551_8874_4095_B8FB_5316E0D2FD2C_.wvu.PrintArea" localSheetId="14" hidden="1">'Rate DT RTPM-P'!$A$1:$R$42</definedName>
    <definedName name="Z_8FB94551_8874_4095_B8FB_5316E0D2FD2C_.wvu.PrintArea" localSheetId="16" hidden="1">'Rate DT RTPM-S'!$A$1:$R$42</definedName>
    <definedName name="Z_8FB94551_8874_4095_B8FB_5316E0D2FD2C_.wvu.PrintArea" localSheetId="15" hidden="1">'Rate DT RTP-P'!$A$1:$R$42</definedName>
    <definedName name="Z_8FB94551_8874_4095_B8FB_5316E0D2FD2C_.wvu.PrintArea" localSheetId="17" hidden="1">'Rate DT RTP-S'!$A$1:$R$45</definedName>
    <definedName name="Z_8FB94551_8874_4095_B8FB_5316E0D2FD2C_.wvu.PrintArea" localSheetId="8" hidden="1">'Rate DT-Pri'!$A$1:$R$67</definedName>
    <definedName name="Z_8FB94551_8874_4095_B8FB_5316E0D2FD2C_.wvu.PrintArea" localSheetId="9" hidden="1">'Rate DT-Sec'!$A$1:$R$67</definedName>
    <definedName name="Z_8FB94551_8874_4095_B8FB_5316E0D2FD2C_.wvu.PrintArea" localSheetId="10" hidden="1">'Rate EH'!$A$1:$R$49</definedName>
    <definedName name="Z_8FB94551_8874_4095_B8FB_5316E0D2FD2C_.wvu.PrintArea" localSheetId="27" hidden="1">'Rate NSP'!$A$1:$R$62</definedName>
    <definedName name="Z_8FB94551_8874_4095_B8FB_5316E0D2FD2C_.wvu.PrintArea" localSheetId="26" hidden="1">'Rate NSU'!$A$1:$R$51</definedName>
    <definedName name="Z_8FB94551_8874_4095_B8FB_5316E0D2FD2C_.wvu.PrintArea" localSheetId="25" hidden="1">'Rate OL'!$A$1:$R$83</definedName>
    <definedName name="Z_8FB94551_8874_4095_B8FB_5316E0D2FD2C_.wvu.PrintArea" localSheetId="6" hidden="1">'Rate RS'!$A$1:$R$47</definedName>
    <definedName name="Z_8FB94551_8874_4095_B8FB_5316E0D2FD2C_.wvu.PrintArea" localSheetId="28" hidden="1">'Rate SC'!$A$1:$R$79</definedName>
    <definedName name="Z_8FB94551_8874_4095_B8FB_5316E0D2FD2C_.wvu.PrintArea" localSheetId="29" hidden="1">'Rate SE'!$A$1:$R$58</definedName>
    <definedName name="Z_8FB94551_8874_4095_B8FB_5316E0D2FD2C_.wvu.PrintArea" localSheetId="22" hidden="1">'Rate SL'!$T$289:$AQ$440</definedName>
    <definedName name="Z_8FB94551_8874_4095_B8FB_5316E0D2FD2C_.wvu.PrintArea" localSheetId="11" hidden="1">'Rate SP GSFL'!$A$1:$R$68</definedName>
    <definedName name="Z_8FB94551_8874_4095_B8FB_5316E0D2FD2C_.wvu.PrintArea" localSheetId="23" hidden="1">'Rate TL'!$A$1:$R$53</definedName>
    <definedName name="Z_8FB94551_8874_4095_B8FB_5316E0D2FD2C_.wvu.PrintArea" localSheetId="13" hidden="1">'Rate TT'!$A$1:$R$63</definedName>
    <definedName name="Z_8FB94551_8874_4095_B8FB_5316E0D2FD2C_.wvu.PrintArea" localSheetId="21" hidden="1">'Rate TT RTP'!$A$1:$R$44</definedName>
    <definedName name="Z_8FB94551_8874_4095_B8FB_5316E0D2FD2C_.wvu.PrintArea" localSheetId="20" hidden="1">'Rate TT RTPM'!$A$1:$R$42</definedName>
    <definedName name="Z_8FB94551_8874_4095_B8FB_5316E0D2FD2C_.wvu.PrintArea" localSheetId="24" hidden="1">'Rate UOLS'!$A$1:$R$34</definedName>
    <definedName name="Z_8FB94551_8874_4095_B8FB_5316E0D2FD2C_.wvu.PrintArea" localSheetId="2" hidden="1">'SCH M'!$A$1:$K$75</definedName>
    <definedName name="Z_8FB94551_8874_4095_B8FB_5316E0D2FD2C_.wvu.PrintArea" localSheetId="3" hidden="1">'SCH M-2.1'!$A$1:$T$56</definedName>
    <definedName name="Z_8FB94551_8874_4095_B8FB_5316E0D2FD2C_.wvu.PrintArea" localSheetId="4" hidden="1">'SCH M-2.2'!$A$1:$X$77</definedName>
    <definedName name="Z_8FB94551_8874_4095_B8FB_5316E0D2FD2C_.wvu.PrintArea" localSheetId="5" hidden="1">'SCH M-2.3'!$A$1:$R$72</definedName>
    <definedName name="Z_8FB94551_8874_4095_B8FB_5316E0D2FD2C_.wvu.PrintArea" localSheetId="30" hidden="1">'SCH N'!$A$188:$S$252</definedName>
    <definedName name="Z_8FC77C99_DBF7_40B8_99B8_01B75826CDCB_.wvu.PrintArea" localSheetId="12" hidden="1">'Rate DP'!$A$1:$R$52</definedName>
    <definedName name="Z_8FC77C99_DBF7_40B8_99B8_01B75826CDCB_.wvu.PrintArea" localSheetId="7" hidden="1">'Rate DS'!$A$1:$R$58</definedName>
    <definedName name="Z_8FC77C99_DBF7_40B8_99B8_01B75826CDCB_.wvu.PrintArea" localSheetId="19" hidden="1">'Rate DS RTP'!$A$1:$R$46</definedName>
    <definedName name="Z_8FC77C99_DBF7_40B8_99B8_01B75826CDCB_.wvu.PrintArea" localSheetId="18" hidden="1">'Rate DS RTPM'!$A$1:$R$43</definedName>
    <definedName name="Z_8FC77C99_DBF7_40B8_99B8_01B75826CDCB_.wvu.PrintArea" localSheetId="14" hidden="1">'Rate DT RTPM-P'!$A$1:$R$42</definedName>
    <definedName name="Z_8FC77C99_DBF7_40B8_99B8_01B75826CDCB_.wvu.PrintArea" localSheetId="16" hidden="1">'Rate DT RTPM-S'!$A$1:$R$42</definedName>
    <definedName name="Z_8FC77C99_DBF7_40B8_99B8_01B75826CDCB_.wvu.PrintArea" localSheetId="15" hidden="1">'Rate DT RTP-P'!$A$1:$R$42</definedName>
    <definedName name="Z_8FC77C99_DBF7_40B8_99B8_01B75826CDCB_.wvu.PrintArea" localSheetId="17" hidden="1">'Rate DT RTP-S'!$A$1:$R$45</definedName>
    <definedName name="Z_8FC77C99_DBF7_40B8_99B8_01B75826CDCB_.wvu.PrintArea" localSheetId="8" hidden="1">'Rate DT-Pri'!$A$1:$R$67</definedName>
    <definedName name="Z_8FC77C99_DBF7_40B8_99B8_01B75826CDCB_.wvu.PrintArea" localSheetId="9" hidden="1">'Rate DT-Sec'!$A$1:$R$67</definedName>
    <definedName name="Z_8FC77C99_DBF7_40B8_99B8_01B75826CDCB_.wvu.PrintArea" localSheetId="10" hidden="1">'Rate EH'!$A$1:$R$49</definedName>
    <definedName name="Z_8FC77C99_DBF7_40B8_99B8_01B75826CDCB_.wvu.PrintArea" localSheetId="27" hidden="1">'Rate NSP'!$A$1:$R$62</definedName>
    <definedName name="Z_8FC77C99_DBF7_40B8_99B8_01B75826CDCB_.wvu.PrintArea" localSheetId="26" hidden="1">'Rate NSU'!$A$1:$R$51</definedName>
    <definedName name="Z_8FC77C99_DBF7_40B8_99B8_01B75826CDCB_.wvu.PrintArea" localSheetId="25" hidden="1">'Rate OL'!$A$1:$R$83</definedName>
    <definedName name="Z_8FC77C99_DBF7_40B8_99B8_01B75826CDCB_.wvu.PrintArea" localSheetId="6" hidden="1">'Rate RS'!$A$1:$R$47</definedName>
    <definedName name="Z_8FC77C99_DBF7_40B8_99B8_01B75826CDCB_.wvu.PrintArea" localSheetId="28" hidden="1">'Rate SC'!$A$1:$R$79</definedName>
    <definedName name="Z_8FC77C99_DBF7_40B8_99B8_01B75826CDCB_.wvu.PrintArea" localSheetId="29" hidden="1">'Rate SE'!$A$1:$R$58</definedName>
    <definedName name="Z_8FC77C99_DBF7_40B8_99B8_01B75826CDCB_.wvu.PrintArea" localSheetId="22" hidden="1">'Rate SL'!$T$289:$AQ$440</definedName>
    <definedName name="Z_8FC77C99_DBF7_40B8_99B8_01B75826CDCB_.wvu.PrintArea" localSheetId="11" hidden="1">'Rate SP GSFL'!$A$1:$R$68</definedName>
    <definedName name="Z_8FC77C99_DBF7_40B8_99B8_01B75826CDCB_.wvu.PrintArea" localSheetId="23" hidden="1">'Rate TL'!$A$1:$R$53</definedName>
    <definedName name="Z_8FC77C99_DBF7_40B8_99B8_01B75826CDCB_.wvu.PrintArea" localSheetId="13" hidden="1">'Rate TT'!$A$1:$R$63</definedName>
    <definedName name="Z_8FC77C99_DBF7_40B8_99B8_01B75826CDCB_.wvu.PrintArea" localSheetId="21" hidden="1">'Rate TT RTP'!$A$1:$R$44</definedName>
    <definedName name="Z_8FC77C99_DBF7_40B8_99B8_01B75826CDCB_.wvu.PrintArea" localSheetId="20" hidden="1">'Rate TT RTPM'!$A$1:$R$42</definedName>
    <definedName name="Z_8FC77C99_DBF7_40B8_99B8_01B75826CDCB_.wvu.PrintArea" localSheetId="24" hidden="1">'Rate UOLS'!$A$1:$R$34</definedName>
    <definedName name="Z_8FC77C99_DBF7_40B8_99B8_01B75826CDCB_.wvu.PrintArea" localSheetId="2" hidden="1">'SCH M'!$A$1:$K$75</definedName>
    <definedName name="Z_8FC77C99_DBF7_40B8_99B8_01B75826CDCB_.wvu.PrintArea" localSheetId="3" hidden="1">'SCH M-2.1'!$A$1:$T$56</definedName>
    <definedName name="Z_8FC77C99_DBF7_40B8_99B8_01B75826CDCB_.wvu.PrintArea" localSheetId="4" hidden="1">'SCH M-2.2'!$A$1:$X$77</definedName>
    <definedName name="Z_8FC77C99_DBF7_40B8_99B8_01B75826CDCB_.wvu.PrintArea" localSheetId="5" hidden="1">'SCH M-2.3'!$A$1:$R$72</definedName>
    <definedName name="Z_8FC77C99_DBF7_40B8_99B8_01B75826CDCB_.wvu.PrintArea" localSheetId="30" hidden="1">'SCH N'!$A$188:$S$252</definedName>
    <definedName name="Z_F562D92E_120C_4AE9_9663_89E64D41DC53_.wvu.PrintArea" localSheetId="12" hidden="1">'Rate DP'!$A$1:$R$52</definedName>
    <definedName name="Z_F562D92E_120C_4AE9_9663_89E64D41DC53_.wvu.PrintArea" localSheetId="7" hidden="1">'Rate DS'!$A$1:$R$58</definedName>
    <definedName name="Z_F562D92E_120C_4AE9_9663_89E64D41DC53_.wvu.PrintArea" localSheetId="19" hidden="1">'Rate DS RTP'!$A$1:$R$46</definedName>
    <definedName name="Z_F562D92E_120C_4AE9_9663_89E64D41DC53_.wvu.PrintArea" localSheetId="18" hidden="1">'Rate DS RTPM'!$A$1:$R$43</definedName>
    <definedName name="Z_F562D92E_120C_4AE9_9663_89E64D41DC53_.wvu.PrintArea" localSheetId="14" hidden="1">'Rate DT RTPM-P'!$A$1:$R$42</definedName>
    <definedName name="Z_F562D92E_120C_4AE9_9663_89E64D41DC53_.wvu.PrintArea" localSheetId="16" hidden="1">'Rate DT RTPM-S'!$A$1:$R$42</definedName>
    <definedName name="Z_F562D92E_120C_4AE9_9663_89E64D41DC53_.wvu.PrintArea" localSheetId="15" hidden="1">'Rate DT RTP-P'!$A$1:$R$42</definedName>
    <definedName name="Z_F562D92E_120C_4AE9_9663_89E64D41DC53_.wvu.PrintArea" localSheetId="17" hidden="1">'Rate DT RTP-S'!$A$1:$R$45</definedName>
    <definedName name="Z_F562D92E_120C_4AE9_9663_89E64D41DC53_.wvu.PrintArea" localSheetId="8" hidden="1">'Rate DT-Pri'!$A$1:$R$67</definedName>
    <definedName name="Z_F562D92E_120C_4AE9_9663_89E64D41DC53_.wvu.PrintArea" localSheetId="9" hidden="1">'Rate DT-Sec'!$A$1:$R$67</definedName>
    <definedName name="Z_F562D92E_120C_4AE9_9663_89E64D41DC53_.wvu.PrintArea" localSheetId="10" hidden="1">'Rate EH'!$A$1:$R$49</definedName>
    <definedName name="Z_F562D92E_120C_4AE9_9663_89E64D41DC53_.wvu.PrintArea" localSheetId="27" hidden="1">'Rate NSP'!$A$1:$R$62</definedName>
    <definedName name="Z_F562D92E_120C_4AE9_9663_89E64D41DC53_.wvu.PrintArea" localSheetId="26" hidden="1">'Rate NSU'!$A$1:$R$51</definedName>
    <definedName name="Z_F562D92E_120C_4AE9_9663_89E64D41DC53_.wvu.PrintArea" localSheetId="25" hidden="1">'Rate OL'!$A$1:$R$83</definedName>
    <definedName name="Z_F562D92E_120C_4AE9_9663_89E64D41DC53_.wvu.PrintArea" localSheetId="6" hidden="1">'Rate RS'!$A$1:$R$47</definedName>
    <definedName name="Z_F562D92E_120C_4AE9_9663_89E64D41DC53_.wvu.PrintArea" localSheetId="28" hidden="1">'Rate SC'!$A$1:$R$79</definedName>
    <definedName name="Z_F562D92E_120C_4AE9_9663_89E64D41DC53_.wvu.PrintArea" localSheetId="29" hidden="1">'Rate SE'!$A$1:$R$58</definedName>
    <definedName name="Z_F562D92E_120C_4AE9_9663_89E64D41DC53_.wvu.PrintArea" localSheetId="22" hidden="1">'Rate SL'!$A$67:$R$219</definedName>
    <definedName name="Z_F562D92E_120C_4AE9_9663_89E64D41DC53_.wvu.PrintArea" localSheetId="11" hidden="1">'Rate SP GSFL'!$A$1:$R$68</definedName>
    <definedName name="Z_F562D92E_120C_4AE9_9663_89E64D41DC53_.wvu.PrintArea" localSheetId="23" hidden="1">'Rate TL'!$A$1:$R$53</definedName>
    <definedName name="Z_F562D92E_120C_4AE9_9663_89E64D41DC53_.wvu.PrintArea" localSheetId="13" hidden="1">'Rate TT'!$A$1:$R$63</definedName>
    <definedName name="Z_F562D92E_120C_4AE9_9663_89E64D41DC53_.wvu.PrintArea" localSheetId="21" hidden="1">'Rate TT RTP'!$A$1:$R$44</definedName>
    <definedName name="Z_F562D92E_120C_4AE9_9663_89E64D41DC53_.wvu.PrintArea" localSheetId="20" hidden="1">'Rate TT RTPM'!$A$1:$R$42</definedName>
    <definedName name="Z_F562D92E_120C_4AE9_9663_89E64D41DC53_.wvu.PrintArea" localSheetId="24" hidden="1">'Rate UOLS'!$A$1:$R$34</definedName>
    <definedName name="Z_F562D92E_120C_4AE9_9663_89E64D41DC53_.wvu.PrintArea" localSheetId="2" hidden="1">'SCH M'!$A$1:$O$71</definedName>
    <definedName name="Z_F562D92E_120C_4AE9_9663_89E64D41DC53_.wvu.PrintArea" localSheetId="3" hidden="1">'SCH M-2.1'!$A$1:$T$56</definedName>
    <definedName name="Z_F562D92E_120C_4AE9_9663_89E64D41DC53_.wvu.PrintArea" localSheetId="4" hidden="1">'SCH M-2.2'!$A$1:$X$77</definedName>
    <definedName name="Z_F562D92E_120C_4AE9_9663_89E64D41DC53_.wvu.PrintArea" localSheetId="5" hidden="1">'SCH M-2.3'!$A$1:$R$72</definedName>
    <definedName name="Z_F562D92E_120C_4AE9_9663_89E64D41DC53_.wvu.PrintArea" localSheetId="30" hidden="1">'SCH N'!$A$188:$S$252</definedName>
  </definedNames>
  <calcPr calcId="145621"/>
  <customWorkbookViews>
    <customWorkbookView name="Jeffrey R. Bailey - Personal View" guid="{195DF303-1BBD-4236-94B5-47432850B006}" mergeInterval="0" personalView="1" maximized="1" windowWidth="1020" windowHeight="550" tabRatio="599" activeSheetId="1"/>
    <customWorkbookView name="Donald J. Rottinghaus - Personal View" guid="{0C49E549-011E-46F4-A82E-2CC8951A9C1E}" mergeInterval="0" personalView="1" maximized="1" windowWidth="1276" windowHeight="763" tabRatio="599" activeSheetId="4"/>
    <customWorkbookView name="Mark E. Musick - Personal View" guid="{4BC93440-BA85-4935-A8C9-66DC6AE5DE5E}" mergeInterval="0" personalView="1" maximized="1" windowWidth="796" windowHeight="439" tabRatio="599" activeSheetId="7"/>
    <customWorkbookView name="Brad Beagle - Personal View" guid="{2431C9E5-7CC2-4B8D-99C3-962247B1DBF5}" mergeInterval="0" personalView="1" maximized="1" windowWidth="1271" windowHeight="897" tabRatio="599" activeSheetId="3"/>
    <customWorkbookView name="Jeff Pipher - Personal View" guid="{2EA35095-1ADC-4CC7-8C3C-B487D65FA247}" mergeInterval="0" personalView="1" xWindow="5" yWindow="29" windowWidth="684" windowHeight="318" tabRatio="599" activeSheetId="13"/>
    <customWorkbookView name="t01869 - Personal View" guid="{8FC77C99-DBF7-40B8-99B8-01B75826CDCB}" mergeInterval="0" personalView="1" maximized="1" windowWidth="1020" windowHeight="651" tabRatio="599" activeSheetId="2" showStatusbar="0"/>
    <customWorkbookView name="Bass Chaser - Personal View" guid="{8FB94551-8874-4095-B8FB-5316E0D2FD2C}" mergeInterval="0" personalView="1" maximized="1" windowWidth="1020" windowHeight="659" tabRatio="599" activeSheetId="1"/>
    <customWorkbookView name="bjb - Personal View" guid="{6B3D5C27-2FDE-4561-9575-1E98BFB869D0}" mergeInterval="0" personalView="1" maximized="1" windowWidth="1266" windowHeight="878" tabRatio="599" activeSheetId="8"/>
    <customWorkbookView name="rhe - Personal View" guid="{0BC1F393-8A13-47D5-BC6C-0C99615B5AB9}" mergeInterval="0" personalView="1" maximized="1" windowWidth="1276" windowHeight="915" tabRatio="599" activeSheetId="3"/>
    <customWorkbookView name="t93779 - Personal View" guid="{18BDED73-BFA0-442E-87EC-CED86EE4CF94}" mergeInterval="0" personalView="1" maximized="1" windowWidth="1276" windowHeight="862" tabRatio="599" activeSheetId="3"/>
    <customWorkbookView name="Administrator - Personal View" guid="{35F19056-2E6F-4935-B863-78836FE990BF}" mergeInterval="0" personalView="1" maximized="1" windowWidth="1020" windowHeight="605" tabRatio="599" activeSheetId="3"/>
    <customWorkbookView name="ramshof - Personal View" guid="{F562D92E-120C-4AE9-9663-89E64D41DC53}" mergeInterval="0" personalView="1" maximized="1" xWindow="1" yWindow="1" windowWidth="1280" windowHeight="806" tabRatio="599" activeSheetId="1"/>
  </customWorkbookViews>
</workbook>
</file>

<file path=xl/calcChain.xml><?xml version="1.0" encoding="utf-8"?>
<calcChain xmlns="http://schemas.openxmlformats.org/spreadsheetml/2006/main">
  <c r="N30" i="28" l="1"/>
  <c r="H38" i="4" l="1"/>
  <c r="F38" i="4"/>
  <c r="H36" i="4"/>
  <c r="F36" i="4"/>
  <c r="H51" i="5"/>
  <c r="F51" i="5"/>
  <c r="H49" i="5"/>
  <c r="F49" i="5"/>
  <c r="H51" i="6"/>
  <c r="F51" i="6"/>
  <c r="H49" i="6"/>
  <c r="F49" i="6"/>
  <c r="AK109" i="23"/>
  <c r="AK107" i="23"/>
  <c r="AK129" i="21"/>
  <c r="AK133" i="21"/>
  <c r="AK74" i="22" l="1"/>
  <c r="AK87" i="22"/>
  <c r="P54" i="25" l="1"/>
  <c r="AM112" i="25"/>
  <c r="L58" i="5"/>
  <c r="L64" i="5"/>
  <c r="L61" i="6"/>
  <c r="AC407" i="19" l="1"/>
  <c r="AC406" i="19"/>
  <c r="AC405" i="19"/>
  <c r="AC358" i="19" l="1"/>
  <c r="AC280" i="19"/>
  <c r="AC279" i="19"/>
  <c r="AC277" i="19"/>
  <c r="AC265" i="19"/>
  <c r="AC256" i="19"/>
  <c r="AC253" i="19"/>
  <c r="AC252" i="19"/>
  <c r="AC250" i="19"/>
  <c r="AC248" i="19"/>
  <c r="AC247" i="19"/>
  <c r="AC246" i="19"/>
  <c r="AC245" i="19"/>
  <c r="V420" i="19"/>
  <c r="V419" i="19"/>
  <c r="V418" i="19"/>
  <c r="V417" i="19"/>
  <c r="V416" i="19"/>
  <c r="V415" i="19"/>
  <c r="V414" i="19"/>
  <c r="V413" i="19"/>
  <c r="V412" i="19"/>
  <c r="V411" i="19"/>
  <c r="V410" i="19"/>
  <c r="V409" i="19"/>
  <c r="V408" i="19"/>
  <c r="V407" i="19"/>
  <c r="V406" i="19"/>
  <c r="V405" i="19"/>
  <c r="V404" i="19"/>
  <c r="V403" i="19"/>
  <c r="V402" i="19"/>
  <c r="V401" i="19"/>
  <c r="V398" i="19"/>
  <c r="V397" i="19"/>
  <c r="V396" i="19"/>
  <c r="V395" i="19"/>
  <c r="V394" i="19"/>
  <c r="V393" i="19"/>
  <c r="V392" i="19"/>
  <c r="V391" i="19"/>
  <c r="V390" i="19"/>
  <c r="V361" i="19"/>
  <c r="V360" i="19"/>
  <c r="V359" i="19"/>
  <c r="V358" i="19"/>
  <c r="V357" i="19"/>
  <c r="V356" i="19"/>
  <c r="V355" i="19"/>
  <c r="V354" i="19"/>
  <c r="V353" i="19"/>
  <c r="V351" i="19"/>
  <c r="V350" i="19"/>
  <c r="V349" i="19"/>
  <c r="V348" i="19"/>
  <c r="V347" i="19"/>
  <c r="V346" i="19"/>
  <c r="V345" i="19"/>
  <c r="V344" i="19"/>
  <c r="V343" i="19"/>
  <c r="V342" i="19"/>
  <c r="V341" i="19"/>
  <c r="V340" i="19"/>
  <c r="V339" i="19"/>
  <c r="V338" i="19"/>
  <c r="V337" i="19"/>
  <c r="V336" i="19"/>
  <c r="V335" i="19"/>
  <c r="V333" i="19"/>
  <c r="V332" i="19"/>
  <c r="V331" i="19"/>
  <c r="V329" i="19"/>
  <c r="V328" i="19"/>
  <c r="V327" i="19"/>
  <c r="V326" i="19"/>
  <c r="V325" i="19"/>
  <c r="V324" i="19"/>
  <c r="V323" i="19"/>
  <c r="V322" i="19"/>
  <c r="V321" i="19"/>
  <c r="V320" i="19"/>
  <c r="V315" i="19"/>
  <c r="V314" i="19"/>
  <c r="V313" i="19"/>
  <c r="V312" i="19"/>
  <c r="V311" i="19"/>
  <c r="V310" i="19"/>
  <c r="V309" i="19"/>
  <c r="V280" i="19"/>
  <c r="V279" i="19"/>
  <c r="V278" i="19"/>
  <c r="V277" i="19"/>
  <c r="V276" i="19"/>
  <c r="V275" i="19"/>
  <c r="V274" i="19"/>
  <c r="V273" i="19"/>
  <c r="V272" i="19"/>
  <c r="V271" i="19"/>
  <c r="V270" i="19"/>
  <c r="V269" i="19"/>
  <c r="V268" i="19"/>
  <c r="V267" i="19"/>
  <c r="V266" i="19"/>
  <c r="V265" i="19"/>
  <c r="V264" i="19"/>
  <c r="V263" i="19"/>
  <c r="V261" i="19"/>
  <c r="V260" i="19"/>
  <c r="V259" i="19"/>
  <c r="V258" i="19"/>
  <c r="V257" i="19"/>
  <c r="V256" i="19"/>
  <c r="V255" i="19"/>
  <c r="V253" i="19"/>
  <c r="V252" i="19"/>
  <c r="V251" i="19"/>
  <c r="V250" i="19"/>
  <c r="V249" i="19"/>
  <c r="V248" i="19"/>
  <c r="V247" i="19"/>
  <c r="V246" i="19"/>
  <c r="V245" i="19"/>
  <c r="V244" i="19"/>
  <c r="V243" i="19"/>
  <c r="AE250" i="19" l="1"/>
  <c r="AM421" i="19" l="1"/>
  <c r="P199" i="19"/>
  <c r="O242" i="26" l="1"/>
  <c r="O241" i="26"/>
  <c r="O240" i="26"/>
  <c r="O239" i="26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3" i="26"/>
  <c r="O222" i="26"/>
  <c r="O221" i="26"/>
  <c r="O220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178" i="26"/>
  <c r="O177" i="26"/>
  <c r="O176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27" i="26"/>
  <c r="O126" i="26"/>
  <c r="O125" i="26"/>
  <c r="O124" i="26"/>
  <c r="O123" i="26"/>
  <c r="O122" i="26"/>
  <c r="O121" i="26"/>
  <c r="O120" i="26"/>
  <c r="O119" i="26"/>
  <c r="O118" i="26"/>
  <c r="O116" i="26"/>
  <c r="O115" i="26"/>
  <c r="O114" i="26"/>
  <c r="O113" i="26"/>
  <c r="O112" i="26"/>
  <c r="O111" i="26"/>
  <c r="O110" i="26"/>
  <c r="O109" i="26"/>
  <c r="O108" i="26"/>
  <c r="O107" i="26"/>
  <c r="O67" i="26"/>
  <c r="O74" i="26"/>
  <c r="O73" i="26"/>
  <c r="O72" i="26"/>
  <c r="O71" i="26"/>
  <c r="O70" i="26"/>
  <c r="O69" i="26"/>
  <c r="O68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AC77" i="30" l="1"/>
  <c r="J30" i="30" l="1"/>
  <c r="L49" i="25" l="1"/>
  <c r="L69" i="24"/>
  <c r="L42" i="22"/>
  <c r="L202" i="19"/>
  <c r="J201" i="19"/>
  <c r="J32" i="12"/>
  <c r="J63" i="5" l="1"/>
  <c r="H47" i="4" l="1"/>
  <c r="V63" i="5"/>
  <c r="T63" i="5"/>
  <c r="L63" i="5" l="1"/>
  <c r="AC84" i="31"/>
  <c r="AA84" i="31"/>
  <c r="J37" i="31"/>
  <c r="L37" i="31" s="1"/>
  <c r="R37" i="31" s="1"/>
  <c r="C37" i="31"/>
  <c r="V84" i="31" s="1"/>
  <c r="T84" i="31"/>
  <c r="AC84" i="30"/>
  <c r="AE84" i="30" s="1"/>
  <c r="AK84" i="30" s="1"/>
  <c r="AA84" i="30"/>
  <c r="T84" i="30"/>
  <c r="J37" i="30"/>
  <c r="L37" i="30" s="1"/>
  <c r="C37" i="30"/>
  <c r="V84" i="30" s="1"/>
  <c r="AI84" i="30" l="1"/>
  <c r="AE84" i="31"/>
  <c r="AO84" i="31" s="1"/>
  <c r="AQ84" i="31" s="1"/>
  <c r="AO84" i="30"/>
  <c r="AQ84" i="30" s="1"/>
  <c r="R37" i="30"/>
  <c r="L112" i="19"/>
  <c r="AK84" i="31" l="1"/>
  <c r="AI84" i="31"/>
  <c r="H53" i="9" l="1"/>
  <c r="P35" i="7" l="1"/>
  <c r="AC108" i="25"/>
  <c r="AC107" i="25"/>
  <c r="J50" i="25"/>
  <c r="L50" i="25" s="1"/>
  <c r="J49" i="25"/>
  <c r="AQ144" i="24"/>
  <c r="AK144" i="24"/>
  <c r="AC145" i="24"/>
  <c r="AC144" i="24"/>
  <c r="J70" i="24"/>
  <c r="L70" i="24" s="1"/>
  <c r="J69" i="24"/>
  <c r="AQ118" i="23"/>
  <c r="AK118" i="23"/>
  <c r="AC119" i="23"/>
  <c r="AC118" i="23"/>
  <c r="J54" i="23"/>
  <c r="J53" i="23"/>
  <c r="AQ94" i="22"/>
  <c r="AK94" i="22"/>
  <c r="AC95" i="22"/>
  <c r="AC94" i="22"/>
  <c r="J43" i="22"/>
  <c r="L43" i="22" s="1"/>
  <c r="J42" i="22"/>
  <c r="AQ160" i="21"/>
  <c r="AK160" i="21"/>
  <c r="AC161" i="21"/>
  <c r="AC160" i="21"/>
  <c r="J75" i="21"/>
  <c r="J74" i="21"/>
  <c r="AC62" i="28"/>
  <c r="AC63" i="28"/>
  <c r="J26" i="28"/>
  <c r="J25" i="28"/>
  <c r="AC97" i="20"/>
  <c r="AC98" i="20"/>
  <c r="J45" i="20"/>
  <c r="J44" i="20"/>
  <c r="AE424" i="19"/>
  <c r="AC424" i="19"/>
  <c r="AC425" i="19"/>
  <c r="AE425" i="19" s="1"/>
  <c r="J203" i="19"/>
  <c r="L203" i="19" s="1"/>
  <c r="J202" i="19"/>
  <c r="AC85" i="33"/>
  <c r="J37" i="33"/>
  <c r="AC85" i="31"/>
  <c r="J38" i="31"/>
  <c r="AC85" i="30"/>
  <c r="J38" i="30"/>
  <c r="AC118" i="14" l="1"/>
  <c r="J53" i="14"/>
  <c r="AC98" i="13" l="1"/>
  <c r="AC96" i="13"/>
  <c r="J44" i="13"/>
  <c r="J42" i="13"/>
  <c r="AC124" i="12"/>
  <c r="AC122" i="12"/>
  <c r="AC103" i="12"/>
  <c r="AC101" i="12"/>
  <c r="J57" i="12" l="1"/>
  <c r="J55" i="12"/>
  <c r="J56" i="12"/>
  <c r="J36" i="12"/>
  <c r="J34" i="12"/>
  <c r="J33" i="12"/>
  <c r="AC91" i="11" l="1"/>
  <c r="AC89" i="11"/>
  <c r="J41" i="11"/>
  <c r="L41" i="11" s="1"/>
  <c r="J39" i="11"/>
  <c r="L39" i="11" s="1"/>
  <c r="AC128" i="10"/>
  <c r="AC129" i="10"/>
  <c r="AC127" i="10"/>
  <c r="J59" i="10"/>
  <c r="J57" i="10"/>
  <c r="J58" i="10"/>
  <c r="AC133" i="9" l="1"/>
  <c r="AC131" i="9"/>
  <c r="J59" i="9"/>
  <c r="J61" i="9"/>
  <c r="C39" i="30" l="1"/>
  <c r="C35" i="30"/>
  <c r="C38" i="30"/>
  <c r="C36" i="30"/>
  <c r="H64" i="24" l="1"/>
  <c r="F37" i="21" l="1"/>
  <c r="F33" i="21"/>
  <c r="F40" i="21"/>
  <c r="F24" i="21"/>
  <c r="F22" i="21"/>
  <c r="F56" i="19" l="1"/>
  <c r="F27" i="19"/>
  <c r="AC109" i="14" l="1"/>
  <c r="AC108" i="14"/>
  <c r="AC95" i="14"/>
  <c r="AC94" i="14"/>
  <c r="T122" i="14"/>
  <c r="T120" i="14"/>
  <c r="T119" i="14"/>
  <c r="T118" i="14"/>
  <c r="T117" i="14"/>
  <c r="T116" i="14"/>
  <c r="T115" i="14"/>
  <c r="T114" i="14"/>
  <c r="T112" i="14"/>
  <c r="T111" i="14"/>
  <c r="T110" i="14"/>
  <c r="T109" i="14"/>
  <c r="T108" i="14"/>
  <c r="T107" i="14"/>
  <c r="T105" i="14"/>
  <c r="T104" i="14"/>
  <c r="T103" i="14"/>
  <c r="T102" i="14"/>
  <c r="T100" i="14"/>
  <c r="T99" i="14"/>
  <c r="T97" i="14"/>
  <c r="T96" i="14"/>
  <c r="T95" i="14"/>
  <c r="T94" i="14"/>
  <c r="T93" i="14"/>
  <c r="T91" i="14"/>
  <c r="T90" i="14"/>
  <c r="T89" i="14"/>
  <c r="T88" i="14"/>
  <c r="T86" i="14"/>
  <c r="T85" i="14"/>
  <c r="T84" i="14"/>
  <c r="J44" i="14"/>
  <c r="J30" i="14"/>
  <c r="L44" i="14" l="1"/>
  <c r="AA94" i="14" l="1"/>
  <c r="AE94" i="14" s="1"/>
  <c r="AO94" i="14" s="1"/>
  <c r="AA108" i="14"/>
  <c r="AE108" i="14" s="1"/>
  <c r="AO108" i="14" s="1"/>
  <c r="L30" i="14"/>
  <c r="AA95" i="14"/>
  <c r="AE95" i="14" s="1"/>
  <c r="H45" i="14"/>
  <c r="AB206" i="26" s="1"/>
  <c r="H31" i="14"/>
  <c r="AA206" i="26" s="1"/>
  <c r="R44" i="14"/>
  <c r="C247" i="26"/>
  <c r="C246" i="26"/>
  <c r="C185" i="26"/>
  <c r="C183" i="26"/>
  <c r="C133" i="26"/>
  <c r="C131" i="26"/>
  <c r="C86" i="26"/>
  <c r="C84" i="26"/>
  <c r="C33" i="26"/>
  <c r="C31" i="26"/>
  <c r="C51" i="25"/>
  <c r="C50" i="25"/>
  <c r="C49" i="25"/>
  <c r="C48" i="25"/>
  <c r="C71" i="24"/>
  <c r="C70" i="24"/>
  <c r="C69" i="24"/>
  <c r="C68" i="24"/>
  <c r="C55" i="23"/>
  <c r="C54" i="23"/>
  <c r="C53" i="23"/>
  <c r="C52" i="23"/>
  <c r="C44" i="22"/>
  <c r="C43" i="22"/>
  <c r="C42" i="22"/>
  <c r="C41" i="22"/>
  <c r="C76" i="21"/>
  <c r="C75" i="21"/>
  <c r="C74" i="21"/>
  <c r="C73" i="21"/>
  <c r="C27" i="28"/>
  <c r="C26" i="28"/>
  <c r="C25" i="28"/>
  <c r="C24" i="28"/>
  <c r="C46" i="20"/>
  <c r="C45" i="20"/>
  <c r="C44" i="20"/>
  <c r="C43" i="20"/>
  <c r="C204" i="19"/>
  <c r="C203" i="19"/>
  <c r="C202" i="19"/>
  <c r="C201" i="19"/>
  <c r="C38" i="33"/>
  <c r="C37" i="33"/>
  <c r="C36" i="33"/>
  <c r="C35" i="33"/>
  <c r="C39" i="31"/>
  <c r="C38" i="31"/>
  <c r="C36" i="31"/>
  <c r="C35" i="31"/>
  <c r="C54" i="14"/>
  <c r="C53" i="14"/>
  <c r="C52" i="14"/>
  <c r="C51" i="14"/>
  <c r="C50" i="14"/>
  <c r="C45" i="13"/>
  <c r="C44" i="13"/>
  <c r="C43" i="13"/>
  <c r="C42" i="13"/>
  <c r="C41" i="13"/>
  <c r="C40" i="13"/>
  <c r="C58" i="12"/>
  <c r="C57" i="12"/>
  <c r="C56" i="12"/>
  <c r="C55" i="12"/>
  <c r="C54" i="12"/>
  <c r="C53" i="12"/>
  <c r="C37" i="12"/>
  <c r="C36" i="12"/>
  <c r="C35" i="12"/>
  <c r="C34" i="12"/>
  <c r="C33" i="12"/>
  <c r="C32" i="12"/>
  <c r="C42" i="11"/>
  <c r="C41" i="11"/>
  <c r="C40" i="11"/>
  <c r="C39" i="11"/>
  <c r="C38" i="11"/>
  <c r="C37" i="11"/>
  <c r="C60" i="10"/>
  <c r="C59" i="10"/>
  <c r="C58" i="10"/>
  <c r="C57" i="10"/>
  <c r="C56" i="10"/>
  <c r="C55" i="10"/>
  <c r="C62" i="9"/>
  <c r="C61" i="9"/>
  <c r="C60" i="9"/>
  <c r="C59" i="9"/>
  <c r="C58" i="9"/>
  <c r="C57" i="9"/>
  <c r="C50" i="8"/>
  <c r="C49" i="8"/>
  <c r="C48" i="8"/>
  <c r="C47" i="8"/>
  <c r="C46" i="8"/>
  <c r="C45" i="8"/>
  <c r="C37" i="7"/>
  <c r="C36" i="7"/>
  <c r="C35" i="7"/>
  <c r="C34" i="7"/>
  <c r="C33" i="7"/>
  <c r="C32" i="7"/>
  <c r="C31" i="7"/>
  <c r="AE96" i="14" l="1"/>
  <c r="AI95" i="14"/>
  <c r="H46" i="14"/>
  <c r="AA110" i="14"/>
  <c r="H32" i="14"/>
  <c r="AA96" i="14"/>
  <c r="AC89" i="13"/>
  <c r="AA89" i="13"/>
  <c r="H47" i="14" l="1"/>
  <c r="L53" i="14" s="1"/>
  <c r="H57" i="14"/>
  <c r="AE89" i="13"/>
  <c r="AO89" i="13" s="1"/>
  <c r="C250" i="26"/>
  <c r="C249" i="26"/>
  <c r="C136" i="26"/>
  <c r="C135" i="26"/>
  <c r="C134" i="26"/>
  <c r="C132" i="26"/>
  <c r="C130" i="26"/>
  <c r="C129" i="26"/>
  <c r="C248" i="26"/>
  <c r="C245" i="26"/>
  <c r="C244" i="26"/>
  <c r="N178" i="26"/>
  <c r="N177" i="26"/>
  <c r="N176" i="26"/>
  <c r="N175" i="26"/>
  <c r="N174" i="26"/>
  <c r="N173" i="26"/>
  <c r="N172" i="26"/>
  <c r="N171" i="26"/>
  <c r="N170" i="26"/>
  <c r="N169" i="26"/>
  <c r="N168" i="26"/>
  <c r="N167" i="26"/>
  <c r="N166" i="26"/>
  <c r="N165" i="26"/>
  <c r="N164" i="26"/>
  <c r="N163" i="26"/>
  <c r="N162" i="26"/>
  <c r="N161" i="26"/>
  <c r="N160" i="26"/>
  <c r="N159" i="26"/>
  <c r="N158" i="26"/>
  <c r="N157" i="26"/>
  <c r="N156" i="26"/>
  <c r="N155" i="26"/>
  <c r="C187" i="26"/>
  <c r="C186" i="26"/>
  <c r="C184" i="26"/>
  <c r="N127" i="26"/>
  <c r="N126" i="26"/>
  <c r="N125" i="26"/>
  <c r="N124" i="26"/>
  <c r="N123" i="26"/>
  <c r="N122" i="26"/>
  <c r="N121" i="26"/>
  <c r="N120" i="26"/>
  <c r="N119" i="26"/>
  <c r="N118" i="26"/>
  <c r="N116" i="26"/>
  <c r="N115" i="26"/>
  <c r="N114" i="26"/>
  <c r="N113" i="26"/>
  <c r="N112" i="26"/>
  <c r="N111" i="26"/>
  <c r="N110" i="26"/>
  <c r="N109" i="26"/>
  <c r="N108" i="26"/>
  <c r="N107" i="26"/>
  <c r="C85" i="26"/>
  <c r="C88" i="26"/>
  <c r="C87" i="26"/>
  <c r="O79" i="26"/>
  <c r="O78" i="26"/>
  <c r="O77" i="26"/>
  <c r="N79" i="26"/>
  <c r="N78" i="26"/>
  <c r="N77" i="26"/>
  <c r="N74" i="26"/>
  <c r="N73" i="26"/>
  <c r="N72" i="26"/>
  <c r="N71" i="26"/>
  <c r="N70" i="26"/>
  <c r="N69" i="26"/>
  <c r="N68" i="26"/>
  <c r="N67" i="26"/>
  <c r="N66" i="26"/>
  <c r="N65" i="26"/>
  <c r="N64" i="26"/>
  <c r="N63" i="26"/>
  <c r="N62" i="26"/>
  <c r="N61" i="26"/>
  <c r="N60" i="26"/>
  <c r="N59" i="26"/>
  <c r="N58" i="26"/>
  <c r="N57" i="26"/>
  <c r="N56" i="26"/>
  <c r="N55" i="26"/>
  <c r="N54" i="26"/>
  <c r="C35" i="26"/>
  <c r="O26" i="26"/>
  <c r="N26" i="26"/>
  <c r="O25" i="26"/>
  <c r="N25" i="26"/>
  <c r="O24" i="26"/>
  <c r="N24" i="26"/>
  <c r="O23" i="26"/>
  <c r="N23" i="26"/>
  <c r="O22" i="26"/>
  <c r="N22" i="26"/>
  <c r="O21" i="26"/>
  <c r="N21" i="26"/>
  <c r="N20" i="26"/>
  <c r="O20" i="26"/>
  <c r="C32" i="26"/>
  <c r="C34" i="26"/>
  <c r="L54" i="14" l="1"/>
  <c r="AC109" i="25"/>
  <c r="AE109" i="25" s="1"/>
  <c r="AE108" i="25"/>
  <c r="AO108" i="25" s="1"/>
  <c r="AQ108" i="25" s="1"/>
  <c r="AE107" i="25"/>
  <c r="AC106" i="25"/>
  <c r="V108" i="25"/>
  <c r="V107" i="25"/>
  <c r="V106" i="25"/>
  <c r="V109" i="25"/>
  <c r="T112" i="25"/>
  <c r="T110" i="25"/>
  <c r="T109" i="25"/>
  <c r="T108" i="25"/>
  <c r="T107" i="25"/>
  <c r="T106" i="25"/>
  <c r="T105" i="25"/>
  <c r="AC146" i="24"/>
  <c r="AC143" i="24"/>
  <c r="V145" i="24"/>
  <c r="V144" i="24"/>
  <c r="V143" i="24"/>
  <c r="V146" i="24"/>
  <c r="T149" i="24"/>
  <c r="T147" i="24"/>
  <c r="T146" i="24"/>
  <c r="T145" i="24"/>
  <c r="T144" i="24"/>
  <c r="T143" i="24"/>
  <c r="T142" i="24"/>
  <c r="J51" i="25"/>
  <c r="L51" i="25" s="1"/>
  <c r="J48" i="25"/>
  <c r="J71" i="24"/>
  <c r="L71" i="24" s="1"/>
  <c r="J68" i="24"/>
  <c r="AC120" i="23"/>
  <c r="AC117" i="23"/>
  <c r="V119" i="23"/>
  <c r="V118" i="23"/>
  <c r="V117" i="23"/>
  <c r="V120" i="23"/>
  <c r="T123" i="23"/>
  <c r="T121" i="23"/>
  <c r="T120" i="23"/>
  <c r="T119" i="23"/>
  <c r="T118" i="23"/>
  <c r="T117" i="23"/>
  <c r="T116" i="23"/>
  <c r="J55" i="23"/>
  <c r="J52" i="23"/>
  <c r="AC96" i="22"/>
  <c r="AE96" i="22" s="1"/>
  <c r="AE95" i="22"/>
  <c r="AE94" i="22"/>
  <c r="AC93" i="22"/>
  <c r="V95" i="22"/>
  <c r="V94" i="22"/>
  <c r="V93" i="22"/>
  <c r="V96" i="22"/>
  <c r="T99" i="22"/>
  <c r="T97" i="22"/>
  <c r="T96" i="22"/>
  <c r="T95" i="22"/>
  <c r="T94" i="22"/>
  <c r="T93" i="22"/>
  <c r="T92" i="22"/>
  <c r="J44" i="22"/>
  <c r="L44" i="22" s="1"/>
  <c r="R42" i="22"/>
  <c r="J41" i="22"/>
  <c r="AC162" i="21"/>
  <c r="AC159" i="21"/>
  <c r="V161" i="21"/>
  <c r="V160" i="21"/>
  <c r="V159" i="21"/>
  <c r="V162" i="21"/>
  <c r="T165" i="21"/>
  <c r="T163" i="21"/>
  <c r="T162" i="21"/>
  <c r="T161" i="21"/>
  <c r="T160" i="21"/>
  <c r="T159" i="21"/>
  <c r="T158" i="21"/>
  <c r="J76" i="21"/>
  <c r="J73" i="21"/>
  <c r="AC64" i="28"/>
  <c r="AC61" i="28"/>
  <c r="V63" i="28"/>
  <c r="V62" i="28"/>
  <c r="V61" i="28"/>
  <c r="V64" i="28"/>
  <c r="T67" i="28"/>
  <c r="T65" i="28"/>
  <c r="T64" i="28"/>
  <c r="T63" i="28"/>
  <c r="T62" i="28"/>
  <c r="T61" i="28"/>
  <c r="T60" i="28"/>
  <c r="J27" i="28"/>
  <c r="J24" i="28"/>
  <c r="V98" i="20"/>
  <c r="V97" i="20"/>
  <c r="V96" i="20"/>
  <c r="V99" i="20"/>
  <c r="T102" i="20"/>
  <c r="T100" i="20"/>
  <c r="T99" i="20"/>
  <c r="T98" i="20"/>
  <c r="T97" i="20"/>
  <c r="T96" i="20"/>
  <c r="T95" i="20"/>
  <c r="AC96" i="20"/>
  <c r="J43" i="20"/>
  <c r="AC423" i="19"/>
  <c r="V425" i="19"/>
  <c r="V424" i="19"/>
  <c r="V423" i="19"/>
  <c r="V426" i="19"/>
  <c r="T433" i="19"/>
  <c r="T432" i="19"/>
  <c r="T431" i="19"/>
  <c r="T430" i="19"/>
  <c r="T429" i="19"/>
  <c r="T427" i="19"/>
  <c r="T426" i="19"/>
  <c r="T425" i="19"/>
  <c r="T424" i="19"/>
  <c r="T423" i="19"/>
  <c r="T422" i="19"/>
  <c r="J54" i="12"/>
  <c r="AC84" i="33"/>
  <c r="J36" i="33"/>
  <c r="V86" i="33"/>
  <c r="V85" i="33"/>
  <c r="V84" i="33"/>
  <c r="V83" i="33"/>
  <c r="T89" i="33"/>
  <c r="T87" i="33"/>
  <c r="T86" i="33"/>
  <c r="T85" i="33"/>
  <c r="T84" i="33"/>
  <c r="T83" i="33"/>
  <c r="T82" i="33"/>
  <c r="AC86" i="31"/>
  <c r="AC83" i="31"/>
  <c r="AC82" i="31"/>
  <c r="J39" i="31"/>
  <c r="J36" i="31"/>
  <c r="V86" i="31"/>
  <c r="V85" i="31"/>
  <c r="V83" i="31"/>
  <c r="V82" i="31"/>
  <c r="T89" i="31"/>
  <c r="T87" i="31"/>
  <c r="T86" i="31"/>
  <c r="T85" i="31"/>
  <c r="T83" i="31"/>
  <c r="T82" i="31"/>
  <c r="T81" i="31"/>
  <c r="AC86" i="30"/>
  <c r="AC83" i="30"/>
  <c r="AC82" i="30"/>
  <c r="V86" i="30"/>
  <c r="V85" i="30"/>
  <c r="V83" i="30"/>
  <c r="V82" i="30"/>
  <c r="T89" i="30"/>
  <c r="T87" i="30"/>
  <c r="T86" i="30"/>
  <c r="T85" i="30"/>
  <c r="T83" i="30"/>
  <c r="T82" i="30"/>
  <c r="T81" i="30"/>
  <c r="Q35" i="30"/>
  <c r="J36" i="30"/>
  <c r="AC119" i="14"/>
  <c r="AC117" i="14"/>
  <c r="AC115" i="14"/>
  <c r="AC116" i="14"/>
  <c r="V119" i="14"/>
  <c r="V118" i="14"/>
  <c r="V117" i="14"/>
  <c r="V116" i="14"/>
  <c r="V115" i="14"/>
  <c r="J51" i="14"/>
  <c r="AC99" i="13"/>
  <c r="AC97" i="13"/>
  <c r="AC95" i="13"/>
  <c r="AC94" i="13"/>
  <c r="V99" i="13"/>
  <c r="V98" i="13"/>
  <c r="V97" i="13"/>
  <c r="V96" i="13"/>
  <c r="V95" i="13"/>
  <c r="V94" i="13"/>
  <c r="T102" i="13"/>
  <c r="T100" i="13"/>
  <c r="T99" i="13"/>
  <c r="T98" i="13"/>
  <c r="T97" i="13"/>
  <c r="T96" i="13"/>
  <c r="T95" i="13"/>
  <c r="T94" i="13"/>
  <c r="T93" i="13"/>
  <c r="J45" i="13"/>
  <c r="J43" i="13"/>
  <c r="J41" i="13"/>
  <c r="AC125" i="12"/>
  <c r="AC123" i="12"/>
  <c r="AC121" i="12"/>
  <c r="AC120" i="12"/>
  <c r="AC104" i="12"/>
  <c r="AC102" i="12"/>
  <c r="AC100" i="12"/>
  <c r="AC99" i="12"/>
  <c r="T128" i="12"/>
  <c r="T126" i="12"/>
  <c r="T125" i="12"/>
  <c r="T124" i="12"/>
  <c r="T123" i="12"/>
  <c r="T122" i="12"/>
  <c r="T121" i="12"/>
  <c r="T120" i="12"/>
  <c r="T119" i="12"/>
  <c r="T117" i="12"/>
  <c r="T116" i="12"/>
  <c r="T115" i="12"/>
  <c r="T114" i="12"/>
  <c r="T112" i="12"/>
  <c r="T110" i="12"/>
  <c r="T107" i="12"/>
  <c r="T105" i="12"/>
  <c r="T104" i="12"/>
  <c r="T103" i="12"/>
  <c r="T102" i="12"/>
  <c r="T101" i="12"/>
  <c r="T100" i="12"/>
  <c r="T99" i="12"/>
  <c r="V125" i="12"/>
  <c r="V124" i="12"/>
  <c r="V123" i="12"/>
  <c r="V122" i="12"/>
  <c r="V121" i="12"/>
  <c r="V120" i="12"/>
  <c r="V104" i="12"/>
  <c r="V103" i="12"/>
  <c r="V102" i="12"/>
  <c r="V101" i="12"/>
  <c r="V100" i="12"/>
  <c r="V99" i="12"/>
  <c r="J58" i="12"/>
  <c r="J37" i="12"/>
  <c r="J35" i="12"/>
  <c r="AC92" i="11"/>
  <c r="AC90" i="11"/>
  <c r="AC88" i="11"/>
  <c r="AC87" i="11"/>
  <c r="V92" i="11"/>
  <c r="V91" i="11"/>
  <c r="V90" i="11"/>
  <c r="V89" i="11"/>
  <c r="V88" i="11"/>
  <c r="V87" i="11"/>
  <c r="T95" i="11"/>
  <c r="T93" i="11"/>
  <c r="T92" i="11"/>
  <c r="T91" i="11"/>
  <c r="T90" i="11"/>
  <c r="T89" i="11"/>
  <c r="T88" i="11"/>
  <c r="T87" i="11"/>
  <c r="T86" i="11"/>
  <c r="J42" i="11"/>
  <c r="J40" i="11"/>
  <c r="J38" i="11"/>
  <c r="AC130" i="10"/>
  <c r="AC126" i="10"/>
  <c r="AC125" i="10"/>
  <c r="T133" i="10"/>
  <c r="T131" i="10"/>
  <c r="T130" i="10"/>
  <c r="T129" i="10"/>
  <c r="T128" i="10"/>
  <c r="T127" i="10"/>
  <c r="T126" i="10"/>
  <c r="V130" i="10"/>
  <c r="V129" i="10"/>
  <c r="V128" i="10"/>
  <c r="V127" i="10"/>
  <c r="V126" i="10"/>
  <c r="V125" i="10"/>
  <c r="T125" i="10"/>
  <c r="J60" i="10"/>
  <c r="J56" i="10"/>
  <c r="AO95" i="22" l="1"/>
  <c r="AQ95" i="22" s="1"/>
  <c r="AK95" i="22"/>
  <c r="AI94" i="22"/>
  <c r="R43" i="22"/>
  <c r="AI95" i="22"/>
  <c r="AO107" i="25"/>
  <c r="AQ107" i="25" s="1"/>
  <c r="AK107" i="25"/>
  <c r="AK108" i="25"/>
  <c r="AO94" i="22"/>
  <c r="J62" i="9"/>
  <c r="J60" i="9"/>
  <c r="J58" i="9"/>
  <c r="AC134" i="9"/>
  <c r="AC132" i="9"/>
  <c r="AC130" i="9"/>
  <c r="AC129" i="9"/>
  <c r="V134" i="9"/>
  <c r="V133" i="9"/>
  <c r="V132" i="9"/>
  <c r="V131" i="9"/>
  <c r="V130" i="9"/>
  <c r="V129" i="9"/>
  <c r="T137" i="9"/>
  <c r="T135" i="9"/>
  <c r="T134" i="9"/>
  <c r="T133" i="9"/>
  <c r="T132" i="9"/>
  <c r="T131" i="9"/>
  <c r="T130" i="9"/>
  <c r="T129" i="9"/>
  <c r="T128" i="9"/>
  <c r="AC107" i="8"/>
  <c r="AC105" i="8"/>
  <c r="AC104" i="8"/>
  <c r="V108" i="8"/>
  <c r="V107" i="8"/>
  <c r="V106" i="8"/>
  <c r="V105" i="8"/>
  <c r="V104" i="8"/>
  <c r="V103" i="8"/>
  <c r="T111" i="8"/>
  <c r="T109" i="8"/>
  <c r="T108" i="8"/>
  <c r="T107" i="8"/>
  <c r="T106" i="8"/>
  <c r="T105" i="8"/>
  <c r="T104" i="8"/>
  <c r="T103" i="8"/>
  <c r="T102" i="8"/>
  <c r="J47" i="8"/>
  <c r="J34" i="7"/>
  <c r="L34" i="7" s="1"/>
  <c r="J46" i="8"/>
  <c r="J49" i="8"/>
  <c r="AB79" i="7"/>
  <c r="T83" i="7"/>
  <c r="T81" i="7"/>
  <c r="T80" i="7"/>
  <c r="T79" i="7"/>
  <c r="T78" i="7"/>
  <c r="T77" i="7"/>
  <c r="T76" i="7"/>
  <c r="T75" i="7"/>
  <c r="T74" i="7"/>
  <c r="V78" i="7"/>
  <c r="V77" i="7"/>
  <c r="V76" i="7"/>
  <c r="V75" i="7"/>
  <c r="V74" i="7"/>
  <c r="V80" i="7"/>
  <c r="V79" i="7"/>
  <c r="J36" i="7"/>
  <c r="L36" i="7" s="1"/>
  <c r="R36" i="7" l="1"/>
  <c r="M23" i="27" l="1"/>
  <c r="M22" i="27"/>
  <c r="M21" i="27"/>
  <c r="D23" i="27"/>
  <c r="D22" i="27"/>
  <c r="D21" i="27"/>
  <c r="AB77" i="7" l="1"/>
  <c r="AB76" i="7"/>
  <c r="J33" i="7"/>
  <c r="J35" i="7"/>
  <c r="AA92" i="20" l="1"/>
  <c r="Y92" i="20"/>
  <c r="AA85" i="20"/>
  <c r="Y85" i="20"/>
  <c r="AA77" i="20"/>
  <c r="Y77" i="20"/>
  <c r="AC82" i="8" l="1"/>
  <c r="J24" i="8"/>
  <c r="H198" i="19" l="1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6" i="19"/>
  <c r="H175" i="19"/>
  <c r="H174" i="19"/>
  <c r="H173" i="19"/>
  <c r="H172" i="19"/>
  <c r="H171" i="19"/>
  <c r="H170" i="19"/>
  <c r="H169" i="19"/>
  <c r="H168" i="19"/>
  <c r="H139" i="19"/>
  <c r="H138" i="19"/>
  <c r="H137" i="19"/>
  <c r="H136" i="19"/>
  <c r="H135" i="19"/>
  <c r="H134" i="19"/>
  <c r="H133" i="19"/>
  <c r="H132" i="19"/>
  <c r="H131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1" i="19"/>
  <c r="H110" i="19"/>
  <c r="H109" i="19"/>
  <c r="H107" i="19"/>
  <c r="H106" i="19"/>
  <c r="H105" i="19"/>
  <c r="H104" i="19"/>
  <c r="H103" i="19"/>
  <c r="H102" i="19"/>
  <c r="H101" i="19"/>
  <c r="H100" i="19"/>
  <c r="H99" i="19"/>
  <c r="H98" i="19"/>
  <c r="H93" i="19"/>
  <c r="H92" i="19"/>
  <c r="H91" i="19"/>
  <c r="H90" i="19"/>
  <c r="H89" i="19"/>
  <c r="H88" i="19"/>
  <c r="H87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39" i="19"/>
  <c r="H38" i="19"/>
  <c r="H37" i="19"/>
  <c r="H36" i="19"/>
  <c r="H35" i="19"/>
  <c r="H34" i="19"/>
  <c r="H33" i="19"/>
  <c r="H31" i="19"/>
  <c r="H30" i="19"/>
  <c r="H29" i="19"/>
  <c r="H28" i="19"/>
  <c r="H27" i="19"/>
  <c r="H26" i="19"/>
  <c r="H25" i="19"/>
  <c r="H24" i="19"/>
  <c r="H23" i="19"/>
  <c r="H22" i="19"/>
  <c r="H21" i="19"/>
  <c r="H40" i="20" l="1"/>
  <c r="L44" i="20" l="1"/>
  <c r="L45" i="20"/>
  <c r="H68" i="21"/>
  <c r="H67" i="21"/>
  <c r="H66" i="21"/>
  <c r="H64" i="21"/>
  <c r="H63" i="21"/>
  <c r="H61" i="21"/>
  <c r="H56" i="21"/>
  <c r="H55" i="21"/>
  <c r="H54" i="21"/>
  <c r="H52" i="21"/>
  <c r="H51" i="21"/>
  <c r="H50" i="21"/>
  <c r="H49" i="21"/>
  <c r="H48" i="21"/>
  <c r="H47" i="21"/>
  <c r="H46" i="21"/>
  <c r="H43" i="21"/>
  <c r="H42" i="21"/>
  <c r="H41" i="21"/>
  <c r="H40" i="21"/>
  <c r="H37" i="21"/>
  <c r="H36" i="21"/>
  <c r="H35" i="21"/>
  <c r="H34" i="21"/>
  <c r="H33" i="21"/>
  <c r="H32" i="21"/>
  <c r="H29" i="21"/>
  <c r="H28" i="21"/>
  <c r="H27" i="21"/>
  <c r="H24" i="21"/>
  <c r="H23" i="21"/>
  <c r="H22" i="21"/>
  <c r="H21" i="21"/>
  <c r="R44" i="20" l="1"/>
  <c r="R45" i="20"/>
  <c r="H32" i="24"/>
  <c r="F45" i="19" l="1"/>
  <c r="F43" i="19"/>
  <c r="H23" i="22" l="1"/>
  <c r="H22" i="22"/>
  <c r="H36" i="22"/>
  <c r="H29" i="23"/>
  <c r="H36" i="23"/>
  <c r="H30" i="22" l="1"/>
  <c r="H29" i="22"/>
  <c r="H28" i="22"/>
  <c r="H35" i="22"/>
  <c r="H47" i="23"/>
  <c r="H33" i="23"/>
  <c r="H31" i="23"/>
  <c r="H22" i="23"/>
  <c r="H21" i="23"/>
  <c r="H44" i="25"/>
  <c r="H43" i="25"/>
  <c r="H42" i="25"/>
  <c r="H39" i="25"/>
  <c r="H38" i="25"/>
  <c r="H37" i="25"/>
  <c r="H36" i="25"/>
  <c r="H35" i="25"/>
  <c r="H34" i="25"/>
  <c r="H33" i="25"/>
  <c r="H30" i="25"/>
  <c r="H29" i="25"/>
  <c r="H28" i="25"/>
  <c r="H25" i="25"/>
  <c r="H24" i="25"/>
  <c r="H23" i="25"/>
  <c r="H22" i="25"/>
  <c r="H26" i="22"/>
  <c r="H29" i="4" l="1"/>
  <c r="F29" i="4"/>
  <c r="H39" i="5"/>
  <c r="F39" i="5"/>
  <c r="H39" i="6"/>
  <c r="F39" i="6"/>
  <c r="AC77" i="33" l="1"/>
  <c r="AC76" i="33"/>
  <c r="AC72" i="33"/>
  <c r="J30" i="33"/>
  <c r="J29" i="33"/>
  <c r="J28" i="33"/>
  <c r="J24" i="33"/>
  <c r="AC75" i="18"/>
  <c r="AC74" i="18"/>
  <c r="AC70" i="18"/>
  <c r="J30" i="18"/>
  <c r="J29" i="18"/>
  <c r="J28" i="18"/>
  <c r="J24" i="18"/>
  <c r="AC76" i="31"/>
  <c r="AC75" i="31"/>
  <c r="AC71" i="31"/>
  <c r="J29" i="31"/>
  <c r="J28" i="31"/>
  <c r="J24" i="31"/>
  <c r="AC73" i="17"/>
  <c r="AC72" i="17"/>
  <c r="AC68" i="17"/>
  <c r="J30" i="17"/>
  <c r="J29" i="17"/>
  <c r="J28" i="17"/>
  <c r="J24" i="17"/>
  <c r="AC76" i="30"/>
  <c r="AC75" i="30"/>
  <c r="AC71" i="30"/>
  <c r="J29" i="30"/>
  <c r="J28" i="30"/>
  <c r="J24" i="30"/>
  <c r="J30" i="16"/>
  <c r="J29" i="16"/>
  <c r="J28" i="16"/>
  <c r="J24" i="16"/>
  <c r="AC73" i="16"/>
  <c r="AC72" i="16"/>
  <c r="AC68" i="16"/>
  <c r="J30" i="29"/>
  <c r="J29" i="29"/>
  <c r="J28" i="29"/>
  <c r="J24" i="29"/>
  <c r="AC75" i="29"/>
  <c r="AC74" i="29"/>
  <c r="AC73" i="29"/>
  <c r="AC69" i="29"/>
  <c r="AC78" i="33"/>
  <c r="J30" i="15"/>
  <c r="J29" i="15"/>
  <c r="J28" i="15"/>
  <c r="J24" i="15"/>
  <c r="AC75" i="15"/>
  <c r="AC74" i="15"/>
  <c r="AC73" i="15"/>
  <c r="AC69" i="15"/>
  <c r="AC74" i="17"/>
  <c r="AC76" i="18"/>
  <c r="AC77" i="31" l="1"/>
  <c r="AC74" i="16"/>
  <c r="AC104" i="14"/>
  <c r="AC103" i="14"/>
  <c r="AC90" i="14"/>
  <c r="AC89" i="14"/>
  <c r="AC86" i="14"/>
  <c r="J21" i="14"/>
  <c r="AC88" i="13"/>
  <c r="AC87" i="13"/>
  <c r="AC83" i="13"/>
  <c r="AC79" i="13"/>
  <c r="AC78" i="13"/>
  <c r="J25" i="13"/>
  <c r="J24" i="13"/>
  <c r="AC116" i="12"/>
  <c r="AC115" i="12"/>
  <c r="AC112" i="12"/>
  <c r="AC95" i="12"/>
  <c r="AC92" i="12"/>
  <c r="J25" i="12"/>
  <c r="AC83" i="11"/>
  <c r="AC80" i="11"/>
  <c r="AC76" i="11"/>
  <c r="AC75" i="11"/>
  <c r="AC74" i="11"/>
  <c r="J30" i="11"/>
  <c r="J26" i="11"/>
  <c r="J25" i="11"/>
  <c r="J24" i="11"/>
  <c r="AC94" i="10"/>
  <c r="AC93" i="10"/>
  <c r="J24" i="10"/>
  <c r="J23" i="10"/>
  <c r="J23" i="9"/>
  <c r="AC123" i="9"/>
  <c r="AC116" i="9"/>
  <c r="AC115" i="9"/>
  <c r="AC107" i="9"/>
  <c r="AC106" i="9"/>
  <c r="AC103" i="9"/>
  <c r="AC102" i="9"/>
  <c r="AC99" i="9"/>
  <c r="AC98" i="9"/>
  <c r="AC95" i="9"/>
  <c r="AC98" i="8"/>
  <c r="AC97" i="8"/>
  <c r="AC96" i="8"/>
  <c r="AC95" i="8"/>
  <c r="AC94" i="8"/>
  <c r="AC90" i="8"/>
  <c r="AC89" i="8"/>
  <c r="AC85" i="8"/>
  <c r="AC84" i="8"/>
  <c r="AC83" i="8"/>
  <c r="J31" i="8"/>
  <c r="J27" i="8"/>
  <c r="L27" i="8" s="1"/>
  <c r="J26" i="8"/>
  <c r="L26" i="8" s="1"/>
  <c r="J25" i="8"/>
  <c r="AB69" i="7"/>
  <c r="AB66" i="7"/>
  <c r="J23" i="7"/>
  <c r="L23" i="7" s="1"/>
  <c r="J30" i="31" l="1"/>
  <c r="D38" i="27"/>
  <c r="D34" i="27"/>
  <c r="D30" i="27"/>
  <c r="D26" i="27"/>
  <c r="D36" i="27"/>
  <c r="D28" i="27"/>
  <c r="D35" i="27"/>
  <c r="D27" i="27"/>
  <c r="D41" i="27"/>
  <c r="D37" i="27"/>
  <c r="D33" i="27"/>
  <c r="D29" i="27"/>
  <c r="D25" i="27"/>
  <c r="D40" i="27"/>
  <c r="D32" i="27"/>
  <c r="D24" i="27"/>
  <c r="D39" i="27"/>
  <c r="D31" i="27"/>
  <c r="AM87" i="33"/>
  <c r="AC86" i="33"/>
  <c r="T58" i="33"/>
  <c r="AO57" i="33"/>
  <c r="T57" i="33"/>
  <c r="AO55" i="33"/>
  <c r="T55" i="33"/>
  <c r="T54" i="33"/>
  <c r="T53" i="33"/>
  <c r="T52" i="33"/>
  <c r="T51" i="33"/>
  <c r="T50" i="33"/>
  <c r="T49" i="33"/>
  <c r="Y72" i="33"/>
  <c r="A10" i="33"/>
  <c r="R9" i="33"/>
  <c r="A9" i="33"/>
  <c r="A7" i="33"/>
  <c r="A6" i="33"/>
  <c r="A5" i="33"/>
  <c r="A4" i="33"/>
  <c r="A3" i="33"/>
  <c r="A2" i="33"/>
  <c r="A1" i="33"/>
  <c r="AM87" i="31"/>
  <c r="T57" i="31"/>
  <c r="AO56" i="31"/>
  <c r="T56" i="31"/>
  <c r="AO54" i="31"/>
  <c r="T54" i="31"/>
  <c r="T53" i="31"/>
  <c r="T52" i="31"/>
  <c r="T51" i="31"/>
  <c r="T50" i="31"/>
  <c r="T49" i="31"/>
  <c r="T48" i="31"/>
  <c r="P40" i="31"/>
  <c r="Y71" i="31"/>
  <c r="A10" i="31"/>
  <c r="R9" i="31"/>
  <c r="A9" i="31"/>
  <c r="A7" i="31"/>
  <c r="A6" i="31"/>
  <c r="A5" i="31"/>
  <c r="A4" i="31"/>
  <c r="A3" i="31"/>
  <c r="A2" i="31"/>
  <c r="A1" i="31"/>
  <c r="AM87" i="30"/>
  <c r="T57" i="30"/>
  <c r="AO56" i="30"/>
  <c r="T56" i="30"/>
  <c r="AO54" i="30"/>
  <c r="T54" i="30"/>
  <c r="T53" i="30"/>
  <c r="T52" i="30"/>
  <c r="T51" i="30"/>
  <c r="T50" i="30"/>
  <c r="T49" i="30"/>
  <c r="T48" i="30"/>
  <c r="P40" i="30"/>
  <c r="L24" i="30"/>
  <c r="L25" i="30" s="1"/>
  <c r="Y71" i="30"/>
  <c r="A10" i="30"/>
  <c r="R9" i="30"/>
  <c r="A9" i="30"/>
  <c r="A7" i="30"/>
  <c r="A6" i="30"/>
  <c r="A5" i="30"/>
  <c r="A4" i="30"/>
  <c r="A3" i="30"/>
  <c r="A2" i="30"/>
  <c r="A1" i="30"/>
  <c r="AC81" i="29"/>
  <c r="Y77" i="29"/>
  <c r="AE73" i="29"/>
  <c r="AO73" i="29" s="1"/>
  <c r="AA73" i="29"/>
  <c r="AE69" i="29"/>
  <c r="AE70" i="29" s="1"/>
  <c r="Y69" i="29"/>
  <c r="T55" i="29"/>
  <c r="AO54" i="29"/>
  <c r="T54" i="29"/>
  <c r="AO52" i="29"/>
  <c r="T52" i="29"/>
  <c r="T51" i="29"/>
  <c r="T50" i="29"/>
  <c r="T49" i="29"/>
  <c r="T48" i="29"/>
  <c r="T47" i="29"/>
  <c r="T46" i="29"/>
  <c r="P37" i="29"/>
  <c r="F32" i="29"/>
  <c r="F39" i="29" s="1"/>
  <c r="Y84" i="29" s="1"/>
  <c r="H31" i="29"/>
  <c r="AA76" i="29" s="1"/>
  <c r="AA77" i="29" s="1"/>
  <c r="H29" i="29"/>
  <c r="H30" i="29" s="1"/>
  <c r="L28" i="29"/>
  <c r="L24" i="29"/>
  <c r="L25" i="29" s="1"/>
  <c r="A10" i="29"/>
  <c r="R9" i="29"/>
  <c r="A9" i="29"/>
  <c r="A7" i="29"/>
  <c r="A6" i="29"/>
  <c r="A5" i="29"/>
  <c r="A4" i="29"/>
  <c r="A3" i="29"/>
  <c r="A2" i="29"/>
  <c r="A1" i="29"/>
  <c r="J39" i="30"/>
  <c r="AC83" i="33"/>
  <c r="AI73" i="29" l="1"/>
  <c r="R28" i="29"/>
  <c r="R24" i="29"/>
  <c r="R25" i="29" s="1"/>
  <c r="AI69" i="29"/>
  <c r="AI70" i="29" s="1"/>
  <c r="AC80" i="29"/>
  <c r="J35" i="33"/>
  <c r="F32" i="33"/>
  <c r="F41" i="33" s="1"/>
  <c r="F42" i="6" s="1"/>
  <c r="L24" i="33"/>
  <c r="L25" i="33" s="1"/>
  <c r="F32" i="31"/>
  <c r="F42" i="31" s="1"/>
  <c r="F41" i="6" s="1"/>
  <c r="L24" i="31"/>
  <c r="L25" i="31" s="1"/>
  <c r="R24" i="30"/>
  <c r="R25" i="30" s="1"/>
  <c r="AK69" i="29"/>
  <c r="AE72" i="33"/>
  <c r="Y80" i="33"/>
  <c r="Y89" i="33" s="1"/>
  <c r="J38" i="33"/>
  <c r="Y79" i="31"/>
  <c r="Y89" i="31" s="1"/>
  <c r="AE71" i="31"/>
  <c r="Y79" i="30"/>
  <c r="AE71" i="30"/>
  <c r="F32" i="30"/>
  <c r="F42" i="30" s="1"/>
  <c r="J36" i="29"/>
  <c r="AE81" i="29"/>
  <c r="AE80" i="29"/>
  <c r="AK70" i="29"/>
  <c r="P30" i="29"/>
  <c r="P31" i="29" s="1"/>
  <c r="P32" i="29" s="1"/>
  <c r="P39" i="29" s="1"/>
  <c r="P39" i="6" s="1"/>
  <c r="AA75" i="29"/>
  <c r="L30" i="29"/>
  <c r="L29" i="29"/>
  <c r="H32" i="29"/>
  <c r="AO69" i="29"/>
  <c r="AO70" i="29" s="1"/>
  <c r="AK73" i="29"/>
  <c r="AA74" i="29"/>
  <c r="AE74" i="29" s="1"/>
  <c r="J35" i="29" l="1"/>
  <c r="J53" i="12"/>
  <c r="J35" i="31"/>
  <c r="J40" i="13"/>
  <c r="J37" i="11"/>
  <c r="J55" i="10"/>
  <c r="J57" i="9"/>
  <c r="F41" i="5"/>
  <c r="F31" i="4"/>
  <c r="F32" i="4"/>
  <c r="F42" i="5"/>
  <c r="Y89" i="30"/>
  <c r="F40" i="6"/>
  <c r="AI72" i="33"/>
  <c r="AK72" i="33" s="1"/>
  <c r="R24" i="31"/>
  <c r="R25" i="31" s="1"/>
  <c r="J35" i="30"/>
  <c r="R24" i="33"/>
  <c r="R25" i="33" s="1"/>
  <c r="AO72" i="33"/>
  <c r="AE73" i="33"/>
  <c r="AE72" i="31"/>
  <c r="AO71" i="31"/>
  <c r="AI71" i="31"/>
  <c r="AE72" i="30"/>
  <c r="AI71" i="30"/>
  <c r="AO71" i="30"/>
  <c r="AO72" i="30" s="1"/>
  <c r="H39" i="29"/>
  <c r="AA84" i="29" s="1"/>
  <c r="L35" i="29"/>
  <c r="L36" i="29"/>
  <c r="R30" i="29"/>
  <c r="AK74" i="29"/>
  <c r="AO74" i="29"/>
  <c r="AI74" i="29"/>
  <c r="R29" i="29"/>
  <c r="R31" i="29" s="1"/>
  <c r="R32" i="29" s="1"/>
  <c r="L31" i="29"/>
  <c r="L32" i="29" s="1"/>
  <c r="AE75" i="29"/>
  <c r="AI75" i="29" s="1"/>
  <c r="AM75" i="29"/>
  <c r="AM76" i="29" s="1"/>
  <c r="AM77" i="29" s="1"/>
  <c r="AM84" i="29" s="1"/>
  <c r="AK80" i="29"/>
  <c r="AE82" i="29"/>
  <c r="AO80" i="29"/>
  <c r="AK81" i="29"/>
  <c r="AO81" i="29"/>
  <c r="P29" i="4" l="1"/>
  <c r="T39" i="5"/>
  <c r="F40" i="5"/>
  <c r="F30" i="4"/>
  <c r="AQ72" i="33"/>
  <c r="AO73" i="33"/>
  <c r="AI73" i="33"/>
  <c r="AK73" i="33" s="1"/>
  <c r="AK71" i="31"/>
  <c r="AI72" i="31"/>
  <c r="AK72" i="31" s="1"/>
  <c r="AQ71" i="31"/>
  <c r="AO72" i="31"/>
  <c r="AK71" i="30"/>
  <c r="AQ71" i="30"/>
  <c r="AI72" i="30"/>
  <c r="AK82" i="29"/>
  <c r="L37" i="29"/>
  <c r="L39" i="29" s="1"/>
  <c r="L39" i="6" s="1"/>
  <c r="R35" i="29"/>
  <c r="AI80" i="29"/>
  <c r="AI76" i="29"/>
  <c r="AI77" i="29" s="1"/>
  <c r="AO82" i="29"/>
  <c r="AO75" i="29"/>
  <c r="AO76" i="29" s="1"/>
  <c r="AK75" i="29"/>
  <c r="AI81" i="29"/>
  <c r="R36" i="29"/>
  <c r="AE76" i="29"/>
  <c r="AQ72" i="31" l="1"/>
  <c r="AQ73" i="33"/>
  <c r="AQ72" i="30"/>
  <c r="AK72" i="30"/>
  <c r="AO77" i="29"/>
  <c r="AO84" i="29"/>
  <c r="R37" i="29"/>
  <c r="R39" i="29" s="1"/>
  <c r="AK76" i="29"/>
  <c r="AE77" i="29"/>
  <c r="AI82" i="29"/>
  <c r="AI84" i="29" s="1"/>
  <c r="P39" i="5" s="1"/>
  <c r="E39" i="3" l="1"/>
  <c r="V39" i="5"/>
  <c r="X39" i="5" s="1"/>
  <c r="R29" i="4"/>
  <c r="R39" i="6"/>
  <c r="G39" i="3"/>
  <c r="AK77" i="29"/>
  <c r="AE84" i="29"/>
  <c r="AK84" i="29" l="1"/>
  <c r="L39" i="5"/>
  <c r="R39" i="5" s="1"/>
  <c r="J29" i="4"/>
  <c r="F39" i="10" l="1"/>
  <c r="P45" i="4" l="1"/>
  <c r="J45" i="4"/>
  <c r="H45" i="4"/>
  <c r="L45" i="4" s="1"/>
  <c r="F45" i="4"/>
  <c r="P61" i="6"/>
  <c r="R61" i="6"/>
  <c r="G65" i="3" s="1"/>
  <c r="H61" i="6"/>
  <c r="J61" i="6" s="1"/>
  <c r="F61" i="6"/>
  <c r="V61" i="5"/>
  <c r="E65" i="3" s="1"/>
  <c r="J61" i="5"/>
  <c r="J62" i="5"/>
  <c r="J60" i="5"/>
  <c r="J59" i="5"/>
  <c r="I65" i="3" l="1"/>
  <c r="K65" i="3" s="1"/>
  <c r="R45" i="4"/>
  <c r="P61" i="5"/>
  <c r="AC414" i="19"/>
  <c r="AC413" i="19"/>
  <c r="AC412" i="19"/>
  <c r="AC398" i="19"/>
  <c r="AC397" i="19"/>
  <c r="AC394" i="19"/>
  <c r="AC391" i="19"/>
  <c r="AC348" i="19"/>
  <c r="AC342" i="19"/>
  <c r="AC339" i="19"/>
  <c r="AC338" i="19"/>
  <c r="AC336" i="19"/>
  <c r="AC337" i="19"/>
  <c r="AC270" i="19"/>
  <c r="AC269" i="19"/>
  <c r="AC260" i="19"/>
  <c r="AC258" i="19"/>
  <c r="AC257" i="19"/>
  <c r="Y414" i="19"/>
  <c r="Y413" i="19"/>
  <c r="Y398" i="19"/>
  <c r="Y397" i="19"/>
  <c r="Y396" i="19"/>
  <c r="AE396" i="19" s="1"/>
  <c r="Y395" i="19"/>
  <c r="Y394" i="19"/>
  <c r="AE394" i="19" s="1"/>
  <c r="Y391" i="19"/>
  <c r="Y348" i="19"/>
  <c r="Y347" i="19"/>
  <c r="AE347" i="19" s="1"/>
  <c r="Y342" i="19"/>
  <c r="Y339" i="19"/>
  <c r="Y338" i="19"/>
  <c r="Y336" i="19"/>
  <c r="Y270" i="19"/>
  <c r="Y261" i="19"/>
  <c r="Y260" i="19"/>
  <c r="Y259" i="19"/>
  <c r="Y258" i="19"/>
  <c r="Y257" i="19"/>
  <c r="Y256" i="19"/>
  <c r="Y255" i="19"/>
  <c r="AA258" i="19"/>
  <c r="AA257" i="19"/>
  <c r="AA256" i="19"/>
  <c r="AA260" i="19"/>
  <c r="AA270" i="19"/>
  <c r="AA336" i="19"/>
  <c r="AA339" i="19"/>
  <c r="AA338" i="19"/>
  <c r="AA342" i="19"/>
  <c r="AA391" i="19"/>
  <c r="AA394" i="19"/>
  <c r="AA414" i="19"/>
  <c r="AA413" i="19"/>
  <c r="AA398" i="19"/>
  <c r="AA396" i="19"/>
  <c r="AA397" i="19"/>
  <c r="AA348" i="19"/>
  <c r="AA347" i="19"/>
  <c r="H45" i="25"/>
  <c r="F45" i="25"/>
  <c r="F65" i="24"/>
  <c r="F74" i="24" s="1"/>
  <c r="AC99" i="20"/>
  <c r="F40" i="20"/>
  <c r="F49" i="20" s="1"/>
  <c r="J46" i="20"/>
  <c r="L46" i="20" s="1"/>
  <c r="AC426" i="19"/>
  <c r="J204" i="19"/>
  <c r="L204" i="19" s="1"/>
  <c r="AM83" i="18"/>
  <c r="AI80" i="18"/>
  <c r="AC82" i="18"/>
  <c r="AC81" i="18"/>
  <c r="J36" i="18"/>
  <c r="J35" i="18"/>
  <c r="F32" i="18"/>
  <c r="F39" i="18" s="1"/>
  <c r="AC80" i="17"/>
  <c r="AC79" i="17"/>
  <c r="AM81" i="17"/>
  <c r="J36" i="17"/>
  <c r="J35" i="17"/>
  <c r="P37" i="17"/>
  <c r="F32" i="17"/>
  <c r="F39" i="17" s="1"/>
  <c r="AM81" i="16"/>
  <c r="AC80" i="16"/>
  <c r="AC79" i="16"/>
  <c r="J36" i="16"/>
  <c r="J35" i="16"/>
  <c r="P37" i="16"/>
  <c r="F32" i="16"/>
  <c r="F39" i="16" s="1"/>
  <c r="AC81" i="15"/>
  <c r="AC80" i="15"/>
  <c r="P37" i="15"/>
  <c r="F32" i="15"/>
  <c r="F39" i="15" s="1"/>
  <c r="J36" i="15"/>
  <c r="J35" i="15"/>
  <c r="J54" i="14"/>
  <c r="J52" i="14"/>
  <c r="J50" i="14"/>
  <c r="L50" i="14" s="1"/>
  <c r="AE348" i="19" l="1"/>
  <c r="AE258" i="19"/>
  <c r="R51" i="25"/>
  <c r="AE342" i="19"/>
  <c r="AE260" i="19"/>
  <c r="AE391" i="19"/>
  <c r="X61" i="5"/>
  <c r="R61" i="5"/>
  <c r="AE398" i="19"/>
  <c r="AE339" i="19"/>
  <c r="AE338" i="19"/>
  <c r="AE336" i="19"/>
  <c r="AE414" i="19"/>
  <c r="AE270" i="19"/>
  <c r="AE413" i="19"/>
  <c r="AE257" i="19"/>
  <c r="AE256" i="19"/>
  <c r="AK396" i="19"/>
  <c r="AK347" i="19"/>
  <c r="H49" i="20"/>
  <c r="F50" i="12"/>
  <c r="F29" i="12"/>
  <c r="AM126" i="9"/>
  <c r="AC108" i="8"/>
  <c r="AC106" i="8"/>
  <c r="AC103" i="8"/>
  <c r="J50" i="8"/>
  <c r="J48" i="8"/>
  <c r="J45" i="8"/>
  <c r="AB80" i="7"/>
  <c r="AB78" i="7"/>
  <c r="AB75" i="7"/>
  <c r="AB74" i="7"/>
  <c r="J37" i="7"/>
  <c r="L37" i="7" s="1"/>
  <c r="J32" i="7"/>
  <c r="L32" i="7" s="1"/>
  <c r="J31" i="7"/>
  <c r="L31" i="7" s="1"/>
  <c r="A10" i="6"/>
  <c r="A10" i="5"/>
  <c r="A10" i="4"/>
  <c r="R9" i="8"/>
  <c r="AO67" i="8"/>
  <c r="R9" i="9"/>
  <c r="AO81" i="9"/>
  <c r="AO79" i="10"/>
  <c r="R9" i="10"/>
  <c r="AO59" i="11"/>
  <c r="R9" i="11"/>
  <c r="R9" i="12"/>
  <c r="AO77" i="12"/>
  <c r="R9" i="13"/>
  <c r="AO63" i="13"/>
  <c r="AO74" i="14"/>
  <c r="R9" i="15"/>
  <c r="AO54" i="15"/>
  <c r="AO53" i="16"/>
  <c r="R9" i="16"/>
  <c r="AO53" i="17"/>
  <c r="R9" i="17"/>
  <c r="AO55" i="18"/>
  <c r="A194" i="26"/>
  <c r="A193" i="26"/>
  <c r="A191" i="26"/>
  <c r="A189" i="26"/>
  <c r="A188" i="26"/>
  <c r="A143" i="26"/>
  <c r="A142" i="26"/>
  <c r="A140" i="26"/>
  <c r="A138" i="26"/>
  <c r="A137" i="26"/>
  <c r="A95" i="26"/>
  <c r="A94" i="26"/>
  <c r="A92" i="26"/>
  <c r="A90" i="26"/>
  <c r="A89" i="26"/>
  <c r="A42" i="26"/>
  <c r="A41" i="26"/>
  <c r="A39" i="26"/>
  <c r="A37" i="26"/>
  <c r="A36" i="26"/>
  <c r="A7" i="26"/>
  <c r="A6" i="26"/>
  <c r="A4" i="26"/>
  <c r="A2" i="26"/>
  <c r="A1" i="26"/>
  <c r="AO67" i="25"/>
  <c r="T65" i="25"/>
  <c r="T64" i="25"/>
  <c r="T63" i="25"/>
  <c r="T62" i="25"/>
  <c r="T61" i="25"/>
  <c r="T60" i="25"/>
  <c r="T59" i="25"/>
  <c r="A7" i="25"/>
  <c r="A6" i="25"/>
  <c r="A5" i="25"/>
  <c r="A4" i="25"/>
  <c r="A3" i="25"/>
  <c r="A2" i="25"/>
  <c r="A1" i="25"/>
  <c r="AO84" i="24"/>
  <c r="T82" i="24"/>
  <c r="T81" i="24"/>
  <c r="T80" i="24"/>
  <c r="T79" i="24"/>
  <c r="T78" i="24"/>
  <c r="T77" i="24"/>
  <c r="T76" i="24"/>
  <c r="A7" i="24"/>
  <c r="A6" i="24"/>
  <c r="A5" i="24"/>
  <c r="A4" i="24"/>
  <c r="A3" i="24"/>
  <c r="A2" i="24"/>
  <c r="A1" i="24"/>
  <c r="AO74" i="23"/>
  <c r="T72" i="23"/>
  <c r="T71" i="23"/>
  <c r="T70" i="23"/>
  <c r="T69" i="23"/>
  <c r="T68" i="23"/>
  <c r="T67" i="23"/>
  <c r="T66" i="23"/>
  <c r="A7" i="23"/>
  <c r="A6" i="23"/>
  <c r="A5" i="23"/>
  <c r="A4" i="23"/>
  <c r="A3" i="23"/>
  <c r="A2" i="23"/>
  <c r="A1" i="23"/>
  <c r="AO61" i="22"/>
  <c r="T59" i="22"/>
  <c r="T58" i="22"/>
  <c r="T57" i="22"/>
  <c r="T56" i="22"/>
  <c r="T55" i="22"/>
  <c r="T54" i="22"/>
  <c r="T53" i="22"/>
  <c r="A7" i="22"/>
  <c r="A6" i="22"/>
  <c r="A5" i="22"/>
  <c r="A4" i="22"/>
  <c r="A3" i="22"/>
  <c r="A2" i="22"/>
  <c r="A1" i="22"/>
  <c r="AO95" i="21"/>
  <c r="T93" i="21"/>
  <c r="T92" i="21"/>
  <c r="T91" i="21"/>
  <c r="T90" i="21"/>
  <c r="T89" i="21"/>
  <c r="T88" i="21"/>
  <c r="T87" i="21"/>
  <c r="A7" i="21"/>
  <c r="A6" i="21"/>
  <c r="A5" i="21"/>
  <c r="A4" i="21"/>
  <c r="A3" i="21"/>
  <c r="A2" i="21"/>
  <c r="A1" i="21"/>
  <c r="AO46" i="28"/>
  <c r="T44" i="28"/>
  <c r="T43" i="28"/>
  <c r="T42" i="28"/>
  <c r="T41" i="28"/>
  <c r="T40" i="28"/>
  <c r="T39" i="28"/>
  <c r="T38" i="28"/>
  <c r="A7" i="28"/>
  <c r="A6" i="28"/>
  <c r="A5" i="28"/>
  <c r="A4" i="28"/>
  <c r="A3" i="28"/>
  <c r="A2" i="28"/>
  <c r="A1" i="28"/>
  <c r="AO62" i="20"/>
  <c r="T60" i="20"/>
  <c r="T59" i="20"/>
  <c r="T58" i="20"/>
  <c r="T57" i="20"/>
  <c r="T56" i="20"/>
  <c r="T55" i="20"/>
  <c r="T54" i="20"/>
  <c r="A7" i="20"/>
  <c r="A6" i="20"/>
  <c r="A5" i="20"/>
  <c r="A4" i="20"/>
  <c r="A3" i="20"/>
  <c r="A2" i="20"/>
  <c r="A1" i="20"/>
  <c r="T376" i="19"/>
  <c r="T375" i="19"/>
  <c r="T295" i="19"/>
  <c r="T294" i="19"/>
  <c r="T374" i="19"/>
  <c r="T373" i="19"/>
  <c r="T372" i="19"/>
  <c r="T371" i="19"/>
  <c r="T370" i="19"/>
  <c r="T293" i="19"/>
  <c r="T292" i="19"/>
  <c r="T291" i="19"/>
  <c r="T290" i="19"/>
  <c r="T289" i="19"/>
  <c r="AO231" i="19"/>
  <c r="AO229" i="19"/>
  <c r="T223" i="19"/>
  <c r="T229" i="19"/>
  <c r="T228" i="19"/>
  <c r="T227" i="19"/>
  <c r="T226" i="19"/>
  <c r="T225" i="19"/>
  <c r="T224" i="19"/>
  <c r="A154" i="19"/>
  <c r="A153" i="19"/>
  <c r="A152" i="19"/>
  <c r="A151" i="19"/>
  <c r="A150" i="19"/>
  <c r="A149" i="19"/>
  <c r="A148" i="19"/>
  <c r="A73" i="19"/>
  <c r="A72" i="19"/>
  <c r="A71" i="19"/>
  <c r="A70" i="19"/>
  <c r="A69" i="19"/>
  <c r="A68" i="19"/>
  <c r="A67" i="19"/>
  <c r="A7" i="19"/>
  <c r="A6" i="19"/>
  <c r="A5" i="19"/>
  <c r="A4" i="19"/>
  <c r="A3" i="19"/>
  <c r="A2" i="19"/>
  <c r="A1" i="19"/>
  <c r="T53" i="18"/>
  <c r="T52" i="18"/>
  <c r="T51" i="18"/>
  <c r="T50" i="18"/>
  <c r="T49" i="18"/>
  <c r="T48" i="18"/>
  <c r="T47" i="18"/>
  <c r="A7" i="18"/>
  <c r="A6" i="18"/>
  <c r="A5" i="18"/>
  <c r="A4" i="18"/>
  <c r="A3" i="18"/>
  <c r="A2" i="18"/>
  <c r="A1" i="18"/>
  <c r="T51" i="17"/>
  <c r="T50" i="17"/>
  <c r="T49" i="17"/>
  <c r="T48" i="17"/>
  <c r="T47" i="17"/>
  <c r="T46" i="17"/>
  <c r="T45" i="17"/>
  <c r="A7" i="17"/>
  <c r="A6" i="17"/>
  <c r="A5" i="17"/>
  <c r="A4" i="17"/>
  <c r="A3" i="17"/>
  <c r="A2" i="17"/>
  <c r="A1" i="17"/>
  <c r="T51" i="16"/>
  <c r="T50" i="16"/>
  <c r="T49" i="16"/>
  <c r="T48" i="16"/>
  <c r="T47" i="16"/>
  <c r="T46" i="16"/>
  <c r="T45" i="16"/>
  <c r="A7" i="16"/>
  <c r="A6" i="16"/>
  <c r="A5" i="16"/>
  <c r="A4" i="16"/>
  <c r="A3" i="16"/>
  <c r="A2" i="16"/>
  <c r="A1" i="16"/>
  <c r="T52" i="15"/>
  <c r="T51" i="15"/>
  <c r="T50" i="15"/>
  <c r="T49" i="15"/>
  <c r="T48" i="15"/>
  <c r="T47" i="15"/>
  <c r="T46" i="15"/>
  <c r="A7" i="15"/>
  <c r="A6" i="15"/>
  <c r="A5" i="15"/>
  <c r="A4" i="15"/>
  <c r="A3" i="15"/>
  <c r="A2" i="15"/>
  <c r="A1" i="15"/>
  <c r="T72" i="14"/>
  <c r="T71" i="14"/>
  <c r="T70" i="14"/>
  <c r="T69" i="14"/>
  <c r="T68" i="14"/>
  <c r="T67" i="14"/>
  <c r="T66" i="14"/>
  <c r="A7" i="14"/>
  <c r="A6" i="14"/>
  <c r="A5" i="14"/>
  <c r="A4" i="14"/>
  <c r="A3" i="14"/>
  <c r="A2" i="14"/>
  <c r="A1" i="14"/>
  <c r="T61" i="13"/>
  <c r="T60" i="13"/>
  <c r="T59" i="13"/>
  <c r="T58" i="13"/>
  <c r="T57" i="13"/>
  <c r="T56" i="13"/>
  <c r="T55" i="13"/>
  <c r="A7" i="13"/>
  <c r="A6" i="13"/>
  <c r="A5" i="13"/>
  <c r="A4" i="13"/>
  <c r="A3" i="13"/>
  <c r="A2" i="13"/>
  <c r="A1" i="13"/>
  <c r="T75" i="12"/>
  <c r="T74" i="12"/>
  <c r="T73" i="12"/>
  <c r="T72" i="12"/>
  <c r="T71" i="12"/>
  <c r="T70" i="12"/>
  <c r="T69" i="12"/>
  <c r="A7" i="12"/>
  <c r="A6" i="12"/>
  <c r="A5" i="12"/>
  <c r="A4" i="12"/>
  <c r="A3" i="12"/>
  <c r="A2" i="12"/>
  <c r="A1" i="12"/>
  <c r="T57" i="11"/>
  <c r="T56" i="11"/>
  <c r="T55" i="11"/>
  <c r="T54" i="11"/>
  <c r="T53" i="11"/>
  <c r="T52" i="11"/>
  <c r="T51" i="11"/>
  <c r="A7" i="11"/>
  <c r="A6" i="11"/>
  <c r="A5" i="11"/>
  <c r="A4" i="11"/>
  <c r="A3" i="11"/>
  <c r="A2" i="11"/>
  <c r="A1" i="11"/>
  <c r="T77" i="10"/>
  <c r="T76" i="10"/>
  <c r="T75" i="10"/>
  <c r="T74" i="10"/>
  <c r="T73" i="10"/>
  <c r="T72" i="10"/>
  <c r="T71" i="10"/>
  <c r="A7" i="10"/>
  <c r="A6" i="10"/>
  <c r="A5" i="10"/>
  <c r="A4" i="10"/>
  <c r="A3" i="10"/>
  <c r="A2" i="10"/>
  <c r="A1" i="10"/>
  <c r="T79" i="9"/>
  <c r="T78" i="9"/>
  <c r="T77" i="9"/>
  <c r="T76" i="9"/>
  <c r="T75" i="9"/>
  <c r="T74" i="9"/>
  <c r="T73" i="9"/>
  <c r="A7" i="9"/>
  <c r="A6" i="9"/>
  <c r="A5" i="9"/>
  <c r="A4" i="9"/>
  <c r="A3" i="9"/>
  <c r="A2" i="9"/>
  <c r="A1" i="9"/>
  <c r="T65" i="8"/>
  <c r="T64" i="8"/>
  <c r="T63" i="8"/>
  <c r="T62" i="8"/>
  <c r="T61" i="8"/>
  <c r="T60" i="8"/>
  <c r="T59" i="8"/>
  <c r="A7" i="8"/>
  <c r="A6" i="8"/>
  <c r="A5" i="8"/>
  <c r="A4" i="8"/>
  <c r="A3" i="8"/>
  <c r="A2" i="8"/>
  <c r="A1" i="8"/>
  <c r="AN52" i="7"/>
  <c r="T50" i="7"/>
  <c r="T49" i="7"/>
  <c r="T48" i="7"/>
  <c r="T47" i="7"/>
  <c r="T46" i="7"/>
  <c r="T45" i="7"/>
  <c r="T44" i="7"/>
  <c r="R9" i="7"/>
  <c r="A7" i="7"/>
  <c r="A6" i="7"/>
  <c r="A5" i="7"/>
  <c r="A4" i="7"/>
  <c r="A3" i="7"/>
  <c r="A2" i="7"/>
  <c r="A1" i="7"/>
  <c r="R9" i="6"/>
  <c r="A7" i="6"/>
  <c r="A6" i="6"/>
  <c r="A5" i="6"/>
  <c r="A4" i="6"/>
  <c r="A3" i="6"/>
  <c r="A2" i="6"/>
  <c r="A1" i="6"/>
  <c r="V9" i="5"/>
  <c r="A7" i="5"/>
  <c r="A6" i="5"/>
  <c r="A5" i="5"/>
  <c r="A4" i="5"/>
  <c r="A3" i="5"/>
  <c r="A2" i="5"/>
  <c r="A1" i="5"/>
  <c r="R9" i="4"/>
  <c r="A7" i="4"/>
  <c r="A6" i="4"/>
  <c r="A5" i="4"/>
  <c r="A4" i="4"/>
  <c r="A2" i="4"/>
  <c r="A1" i="4"/>
  <c r="I10" i="3"/>
  <c r="A8" i="3"/>
  <c r="A7" i="3"/>
  <c r="A5" i="3"/>
  <c r="A4" i="3"/>
  <c r="A2" i="3"/>
  <c r="A1" i="3"/>
  <c r="P242" i="26"/>
  <c r="P241" i="26"/>
  <c r="P240" i="26"/>
  <c r="P239" i="26"/>
  <c r="P238" i="26"/>
  <c r="P237" i="26"/>
  <c r="P236" i="26"/>
  <c r="P235" i="26"/>
  <c r="P234" i="26"/>
  <c r="P233" i="26"/>
  <c r="P232" i="26"/>
  <c r="P231" i="26"/>
  <c r="P230" i="26"/>
  <c r="P229" i="26"/>
  <c r="P228" i="26"/>
  <c r="P227" i="26"/>
  <c r="P226" i="26"/>
  <c r="P225" i="26"/>
  <c r="P223" i="26"/>
  <c r="P222" i="26"/>
  <c r="P221" i="26"/>
  <c r="P220" i="26"/>
  <c r="P219" i="26"/>
  <c r="P218" i="26"/>
  <c r="P217" i="26"/>
  <c r="P216" i="26"/>
  <c r="P215" i="26"/>
  <c r="P214" i="26"/>
  <c r="P213" i="26"/>
  <c r="P212" i="26"/>
  <c r="P211" i="26"/>
  <c r="P210" i="26"/>
  <c r="P209" i="26"/>
  <c r="P208" i="26"/>
  <c r="P207" i="26"/>
  <c r="P206" i="26"/>
  <c r="P178" i="26"/>
  <c r="P177" i="26"/>
  <c r="P176" i="26"/>
  <c r="P175" i="26"/>
  <c r="P174" i="26"/>
  <c r="P173" i="26"/>
  <c r="P172" i="26"/>
  <c r="P171" i="26"/>
  <c r="P170" i="26"/>
  <c r="P169" i="26"/>
  <c r="P168" i="26"/>
  <c r="P167" i="26"/>
  <c r="P166" i="26"/>
  <c r="P165" i="26"/>
  <c r="P164" i="26"/>
  <c r="P163" i="26"/>
  <c r="P162" i="26"/>
  <c r="P161" i="26"/>
  <c r="P160" i="26"/>
  <c r="P159" i="26"/>
  <c r="P158" i="26"/>
  <c r="P157" i="26"/>
  <c r="P156" i="26"/>
  <c r="P155" i="26"/>
  <c r="P127" i="26"/>
  <c r="P126" i="26"/>
  <c r="P125" i="26"/>
  <c r="P124" i="26"/>
  <c r="P123" i="26"/>
  <c r="P122" i="26"/>
  <c r="P121" i="26"/>
  <c r="P120" i="26"/>
  <c r="P119" i="26"/>
  <c r="P118" i="26"/>
  <c r="P116" i="26"/>
  <c r="P115" i="26"/>
  <c r="P114" i="26"/>
  <c r="P113" i="26"/>
  <c r="P112" i="26"/>
  <c r="P111" i="26"/>
  <c r="P110" i="26"/>
  <c r="P109" i="26"/>
  <c r="P108" i="26"/>
  <c r="P107" i="26"/>
  <c r="F77" i="26"/>
  <c r="P79" i="26"/>
  <c r="P78" i="26"/>
  <c r="P77" i="26"/>
  <c r="P74" i="26"/>
  <c r="P73" i="26"/>
  <c r="P72" i="26"/>
  <c r="P71" i="26"/>
  <c r="P70" i="26"/>
  <c r="P69" i="26"/>
  <c r="P68" i="26"/>
  <c r="P67" i="26"/>
  <c r="P66" i="26"/>
  <c r="P65" i="26"/>
  <c r="P64" i="26"/>
  <c r="P63" i="26"/>
  <c r="P62" i="26"/>
  <c r="P61" i="26"/>
  <c r="P60" i="26"/>
  <c r="P59" i="26"/>
  <c r="P58" i="26"/>
  <c r="P57" i="26"/>
  <c r="P56" i="26"/>
  <c r="P55" i="26"/>
  <c r="P54" i="26"/>
  <c r="J64" i="5"/>
  <c r="J58" i="5"/>
  <c r="P64" i="6"/>
  <c r="P62" i="6"/>
  <c r="P60" i="6"/>
  <c r="P59" i="6"/>
  <c r="P58" i="6"/>
  <c r="L59" i="6"/>
  <c r="P59" i="5" s="1"/>
  <c r="L58" i="6"/>
  <c r="P58" i="5" s="1"/>
  <c r="R58" i="5" s="1"/>
  <c r="A11" i="3"/>
  <c r="AA96" i="25"/>
  <c r="AA94" i="25"/>
  <c r="AA93" i="25"/>
  <c r="AA97" i="25"/>
  <c r="Y97" i="25"/>
  <c r="Y96" i="25"/>
  <c r="AA95" i="25"/>
  <c r="Y95" i="25"/>
  <c r="Y94" i="25"/>
  <c r="Y93" i="25"/>
  <c r="AA92" i="25"/>
  <c r="Y92" i="25"/>
  <c r="AA88" i="25"/>
  <c r="Y88" i="25"/>
  <c r="AE88" i="25" s="1"/>
  <c r="Y87" i="25"/>
  <c r="AA86" i="25"/>
  <c r="Y86" i="25"/>
  <c r="F69" i="21"/>
  <c r="H69" i="21"/>
  <c r="AA154" i="21"/>
  <c r="Y154" i="21"/>
  <c r="AA153" i="21"/>
  <c r="Y153" i="21"/>
  <c r="AA152" i="21"/>
  <c r="Y152" i="21"/>
  <c r="AA150" i="21"/>
  <c r="Y150" i="21"/>
  <c r="AA149" i="21"/>
  <c r="Y149" i="21"/>
  <c r="AA147" i="21"/>
  <c r="Y147" i="21"/>
  <c r="AA142" i="21"/>
  <c r="Y142" i="21"/>
  <c r="AA141" i="21"/>
  <c r="Y141" i="21"/>
  <c r="AA140" i="21"/>
  <c r="Y140" i="21"/>
  <c r="AA138" i="21"/>
  <c r="Y138" i="21"/>
  <c r="AA137" i="21"/>
  <c r="Y137" i="21"/>
  <c r="AE137" i="21" s="1"/>
  <c r="AK137" i="21" s="1"/>
  <c r="AY138" i="21"/>
  <c r="AX138" i="21"/>
  <c r="AU138" i="21" s="1"/>
  <c r="AE138" i="21"/>
  <c r="AK138" i="21" s="1"/>
  <c r="AY137" i="21"/>
  <c r="AX137" i="21"/>
  <c r="AU137" i="21" s="1"/>
  <c r="V71" i="28"/>
  <c r="V70" i="28"/>
  <c r="AU58" i="28"/>
  <c r="AY55" i="28"/>
  <c r="AX55" i="28"/>
  <c r="T46" i="28"/>
  <c r="AO44" i="28"/>
  <c r="C34" i="28"/>
  <c r="C33" i="28"/>
  <c r="R9" i="28"/>
  <c r="A9" i="28"/>
  <c r="AO378" i="19"/>
  <c r="T378" i="19"/>
  <c r="AO376" i="19"/>
  <c r="Y401" i="19"/>
  <c r="AE401" i="19" s="1"/>
  <c r="AX401" i="19"/>
  <c r="AT401" i="19" s="1"/>
  <c r="AY401" i="19"/>
  <c r="T365" i="19"/>
  <c r="T364" i="19"/>
  <c r="R156" i="19"/>
  <c r="A156" i="19"/>
  <c r="A143" i="19"/>
  <c r="A142" i="19"/>
  <c r="Y335" i="19"/>
  <c r="AE335" i="19" s="1"/>
  <c r="F94" i="19"/>
  <c r="AY405" i="19"/>
  <c r="AX405" i="19"/>
  <c r="AT405" i="19" s="1"/>
  <c r="AY321" i="19"/>
  <c r="AX321" i="19"/>
  <c r="AT321" i="19" s="1"/>
  <c r="AC419" i="19"/>
  <c r="AC418" i="19"/>
  <c r="AC416" i="19"/>
  <c r="AC410" i="19"/>
  <c r="AC404" i="19"/>
  <c r="AC402" i="19"/>
  <c r="AC392" i="19"/>
  <c r="AC360" i="19"/>
  <c r="AC357" i="19"/>
  <c r="AC355" i="19"/>
  <c r="AC354" i="19"/>
  <c r="AC351" i="19"/>
  <c r="AC350" i="19"/>
  <c r="AC346" i="19"/>
  <c r="AC345" i="19"/>
  <c r="AC344" i="19"/>
  <c r="AC329" i="19"/>
  <c r="AC327" i="19"/>
  <c r="AC326" i="19"/>
  <c r="AC324" i="19"/>
  <c r="AC323" i="19"/>
  <c r="AC322" i="19"/>
  <c r="AC315" i="19"/>
  <c r="AC313" i="19"/>
  <c r="AC312" i="19"/>
  <c r="AC275" i="19"/>
  <c r="AC274" i="19"/>
  <c r="AC273" i="19"/>
  <c r="AC272" i="19"/>
  <c r="AC267" i="19"/>
  <c r="AC266" i="19"/>
  <c r="AY411" i="19"/>
  <c r="AX411" i="19"/>
  <c r="AT411" i="19" s="1"/>
  <c r="Y411" i="19"/>
  <c r="AE411" i="19" s="1"/>
  <c r="AY409" i="19"/>
  <c r="AX409" i="19"/>
  <c r="AT409" i="19" s="1"/>
  <c r="Y409" i="19"/>
  <c r="AE409" i="19" s="1"/>
  <c r="AY407" i="19"/>
  <c r="AX407" i="19"/>
  <c r="AT407" i="19" s="1"/>
  <c r="Y407" i="19"/>
  <c r="AE407" i="19" s="1"/>
  <c r="AY395" i="19"/>
  <c r="AX395" i="19"/>
  <c r="AT395" i="19" s="1"/>
  <c r="AE395" i="19"/>
  <c r="AY390" i="19"/>
  <c r="AX390" i="19"/>
  <c r="AT390" i="19" s="1"/>
  <c r="Y390" i="19"/>
  <c r="AE390" i="19" s="1"/>
  <c r="AY359" i="19"/>
  <c r="AX359" i="19"/>
  <c r="AT359" i="19" s="1"/>
  <c r="Y359" i="19"/>
  <c r="AE359" i="19" s="1"/>
  <c r="AA411" i="19"/>
  <c r="AA409" i="19"/>
  <c r="AA407" i="19"/>
  <c r="AA395" i="19"/>
  <c r="AA390" i="19"/>
  <c r="AA359" i="19"/>
  <c r="AA335" i="19"/>
  <c r="AY335" i="19"/>
  <c r="AX335" i="19"/>
  <c r="AT335" i="19" s="1"/>
  <c r="A62" i="19"/>
  <c r="A61" i="19"/>
  <c r="A215" i="19"/>
  <c r="A214" i="19"/>
  <c r="T284" i="19"/>
  <c r="T283" i="19"/>
  <c r="AY417" i="19"/>
  <c r="AX417" i="19"/>
  <c r="AT417" i="19" s="1"/>
  <c r="Y417" i="19"/>
  <c r="AE417" i="19" s="1"/>
  <c r="AY415" i="19"/>
  <c r="AX415" i="19"/>
  <c r="AT415" i="19" s="1"/>
  <c r="Y415" i="19"/>
  <c r="AA420" i="19"/>
  <c r="AA418" i="19"/>
  <c r="AA417" i="19"/>
  <c r="AA416" i="19"/>
  <c r="AA415" i="19"/>
  <c r="AA412" i="19"/>
  <c r="Y420" i="19"/>
  <c r="AA419" i="19"/>
  <c r="Y419" i="19"/>
  <c r="Y418" i="19"/>
  <c r="Y416" i="19"/>
  <c r="Y412" i="19"/>
  <c r="AA410" i="19"/>
  <c r="Y410" i="19"/>
  <c r="Y405" i="19"/>
  <c r="AA405" i="19"/>
  <c r="AA401" i="19"/>
  <c r="Y321" i="19"/>
  <c r="AA321" i="19"/>
  <c r="AA261" i="19"/>
  <c r="AA259" i="19"/>
  <c r="AA255" i="19"/>
  <c r="J35" i="14"/>
  <c r="AC119" i="10"/>
  <c r="AC115" i="10"/>
  <c r="AC114" i="10"/>
  <c r="AC99" i="10"/>
  <c r="AC98" i="10"/>
  <c r="AC104" i="10"/>
  <c r="AC103" i="10"/>
  <c r="T56" i="18"/>
  <c r="A10" i="18"/>
  <c r="T54" i="17"/>
  <c r="A10" i="17"/>
  <c r="T54" i="16"/>
  <c r="A10" i="16"/>
  <c r="T55" i="15"/>
  <c r="A10" i="15"/>
  <c r="T75" i="14"/>
  <c r="A10" i="14"/>
  <c r="T64" i="13"/>
  <c r="A10" i="13"/>
  <c r="T78" i="12"/>
  <c r="A10" i="12"/>
  <c r="T60" i="11"/>
  <c r="A10" i="11"/>
  <c r="T80" i="10"/>
  <c r="A10" i="10"/>
  <c r="T82" i="9"/>
  <c r="A10" i="9"/>
  <c r="V114" i="8"/>
  <c r="C56" i="8"/>
  <c r="A10" i="8"/>
  <c r="T68" i="8"/>
  <c r="T53" i="7"/>
  <c r="A10" i="7"/>
  <c r="C29" i="26"/>
  <c r="F26" i="26"/>
  <c r="F25" i="26"/>
  <c r="F24" i="26"/>
  <c r="F23" i="26"/>
  <c r="F22" i="26"/>
  <c r="F21" i="26"/>
  <c r="C28" i="26"/>
  <c r="F20" i="26"/>
  <c r="H13" i="27"/>
  <c r="H12" i="27"/>
  <c r="H11" i="27"/>
  <c r="H10" i="27"/>
  <c r="H9" i="27"/>
  <c r="H8" i="27"/>
  <c r="H7" i="27"/>
  <c r="C13" i="27"/>
  <c r="C12" i="27"/>
  <c r="C11" i="27"/>
  <c r="C10" i="27"/>
  <c r="C9" i="27"/>
  <c r="C8" i="27"/>
  <c r="C7" i="27"/>
  <c r="B13" i="27"/>
  <c r="B12" i="27"/>
  <c r="B11" i="27"/>
  <c r="B10" i="27"/>
  <c r="B9" i="27"/>
  <c r="B8" i="27"/>
  <c r="B7" i="27"/>
  <c r="V86" i="7"/>
  <c r="C43" i="7"/>
  <c r="AE251" i="19" l="1"/>
  <c r="R49" i="25"/>
  <c r="AI107" i="25"/>
  <c r="R50" i="25"/>
  <c r="AI108" i="25"/>
  <c r="AA155" i="21"/>
  <c r="Y155" i="21"/>
  <c r="H94" i="19"/>
  <c r="P94" i="19" s="1"/>
  <c r="R46" i="20"/>
  <c r="AE86" i="25"/>
  <c r="AE87" i="25"/>
  <c r="AK409" i="19"/>
  <c r="AK395" i="19"/>
  <c r="AK390" i="19"/>
  <c r="AE415" i="19"/>
  <c r="AK417" i="19"/>
  <c r="AE321" i="19"/>
  <c r="AK321" i="19" s="1"/>
  <c r="F7" i="27"/>
  <c r="F8" i="27"/>
  <c r="B21" i="27"/>
  <c r="C21" i="27"/>
  <c r="F21" i="27"/>
  <c r="G21" i="27"/>
  <c r="H21" i="27"/>
  <c r="K21" i="27"/>
  <c r="L21" i="27"/>
  <c r="P21" i="27"/>
  <c r="Q21" i="27"/>
  <c r="B22" i="27"/>
  <c r="C22" i="27"/>
  <c r="F22" i="27"/>
  <c r="G22" i="27"/>
  <c r="H22" i="27"/>
  <c r="K22" i="27"/>
  <c r="L22" i="27"/>
  <c r="P22" i="27"/>
  <c r="Q22" i="27"/>
  <c r="B23" i="27"/>
  <c r="C23" i="27"/>
  <c r="F23" i="27"/>
  <c r="G23" i="27"/>
  <c r="H23" i="27"/>
  <c r="K23" i="27"/>
  <c r="L23" i="27"/>
  <c r="P23" i="27"/>
  <c r="Q23" i="27"/>
  <c r="B24" i="27"/>
  <c r="C24" i="27"/>
  <c r="F24" i="27"/>
  <c r="G24" i="27"/>
  <c r="H24" i="27"/>
  <c r="K24" i="27"/>
  <c r="L24" i="27"/>
  <c r="P24" i="27"/>
  <c r="Q24" i="27"/>
  <c r="B25" i="27"/>
  <c r="C25" i="27"/>
  <c r="F25" i="27"/>
  <c r="G25" i="27"/>
  <c r="H25" i="27"/>
  <c r="K25" i="27"/>
  <c r="L25" i="27"/>
  <c r="Q25" i="27"/>
  <c r="B26" i="27"/>
  <c r="C26" i="27"/>
  <c r="F26" i="27"/>
  <c r="G26" i="27"/>
  <c r="H26" i="27"/>
  <c r="K26" i="27"/>
  <c r="L26" i="27"/>
  <c r="Q26" i="27"/>
  <c r="B27" i="27"/>
  <c r="C27" i="27"/>
  <c r="F27" i="27"/>
  <c r="G27" i="27"/>
  <c r="H27" i="27"/>
  <c r="K27" i="27"/>
  <c r="L27" i="27"/>
  <c r="Q27" i="27"/>
  <c r="B28" i="27"/>
  <c r="C28" i="27"/>
  <c r="F28" i="27"/>
  <c r="G28" i="27"/>
  <c r="H28" i="27"/>
  <c r="K28" i="27"/>
  <c r="L28" i="27"/>
  <c r="Q28" i="27"/>
  <c r="B29" i="27"/>
  <c r="C29" i="27"/>
  <c r="F29" i="27"/>
  <c r="G29" i="27"/>
  <c r="H29" i="27"/>
  <c r="K29" i="27"/>
  <c r="L29" i="27"/>
  <c r="Q29" i="27"/>
  <c r="B30" i="27"/>
  <c r="C30" i="27"/>
  <c r="F30" i="27"/>
  <c r="G30" i="27"/>
  <c r="H30" i="27"/>
  <c r="K30" i="27"/>
  <c r="L30" i="27"/>
  <c r="Q30" i="27"/>
  <c r="B31" i="27"/>
  <c r="C31" i="27"/>
  <c r="F31" i="27"/>
  <c r="G31" i="27"/>
  <c r="H31" i="27"/>
  <c r="K31" i="27"/>
  <c r="L31" i="27"/>
  <c r="Q31" i="27"/>
  <c r="B32" i="27"/>
  <c r="C32" i="27"/>
  <c r="F32" i="27"/>
  <c r="G32" i="27"/>
  <c r="H32" i="27"/>
  <c r="K32" i="27"/>
  <c r="L32" i="27"/>
  <c r="B33" i="27"/>
  <c r="C33" i="27"/>
  <c r="F33" i="27"/>
  <c r="G33" i="27"/>
  <c r="H33" i="27"/>
  <c r="K33" i="27"/>
  <c r="L33" i="27"/>
  <c r="Q33" i="27"/>
  <c r="B34" i="27"/>
  <c r="C34" i="27"/>
  <c r="F34" i="27"/>
  <c r="G34" i="27"/>
  <c r="H34" i="27"/>
  <c r="K34" i="27"/>
  <c r="L34" i="27"/>
  <c r="Q34" i="27"/>
  <c r="B35" i="27"/>
  <c r="C35" i="27"/>
  <c r="F35" i="27"/>
  <c r="G35" i="27"/>
  <c r="H35" i="27"/>
  <c r="K35" i="27"/>
  <c r="L35" i="27"/>
  <c r="B36" i="27"/>
  <c r="C36" i="27"/>
  <c r="F36" i="27"/>
  <c r="G36" i="27"/>
  <c r="H36" i="27"/>
  <c r="K36" i="27"/>
  <c r="L36" i="27"/>
  <c r="Q36" i="27"/>
  <c r="B37" i="27"/>
  <c r="C37" i="27"/>
  <c r="F37" i="27"/>
  <c r="G37" i="27"/>
  <c r="H37" i="27"/>
  <c r="K37" i="27"/>
  <c r="L37" i="27"/>
  <c r="Q37" i="27"/>
  <c r="B38" i="27"/>
  <c r="C38" i="27"/>
  <c r="F38" i="27"/>
  <c r="G38" i="27"/>
  <c r="H38" i="27"/>
  <c r="K38" i="27"/>
  <c r="L38" i="27"/>
  <c r="B39" i="27"/>
  <c r="C39" i="27"/>
  <c r="F39" i="27"/>
  <c r="G39" i="27"/>
  <c r="H39" i="27"/>
  <c r="K39" i="27"/>
  <c r="L39" i="27"/>
  <c r="Q39" i="27"/>
  <c r="B40" i="27"/>
  <c r="C40" i="27"/>
  <c r="F40" i="27"/>
  <c r="G40" i="27"/>
  <c r="H40" i="27"/>
  <c r="K40" i="27"/>
  <c r="L40" i="27"/>
  <c r="B41" i="27"/>
  <c r="C41" i="27"/>
  <c r="F41" i="27"/>
  <c r="G41" i="27"/>
  <c r="H41" i="27"/>
  <c r="K41" i="27"/>
  <c r="L41" i="27"/>
  <c r="B45" i="27"/>
  <c r="F45" i="27"/>
  <c r="K45" i="27"/>
  <c r="B46" i="27"/>
  <c r="F46" i="27"/>
  <c r="K46" i="27"/>
  <c r="B47" i="27"/>
  <c r="F47" i="27"/>
  <c r="K47" i="27"/>
  <c r="A9" i="26"/>
  <c r="R9" i="26"/>
  <c r="K20" i="26"/>
  <c r="L20" i="26"/>
  <c r="P20" i="26"/>
  <c r="K21" i="26"/>
  <c r="L21" i="26"/>
  <c r="P21" i="26"/>
  <c r="K22" i="26"/>
  <c r="L22" i="26"/>
  <c r="P22" i="26"/>
  <c r="K23" i="26"/>
  <c r="L23" i="26"/>
  <c r="P23" i="26"/>
  <c r="K24" i="26"/>
  <c r="L24" i="26"/>
  <c r="P24" i="26"/>
  <c r="K25" i="26"/>
  <c r="L25" i="26"/>
  <c r="P25" i="26"/>
  <c r="K26" i="26"/>
  <c r="L26" i="26"/>
  <c r="P26" i="26"/>
  <c r="C30" i="26"/>
  <c r="A44" i="26"/>
  <c r="R44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7" i="26"/>
  <c r="L77" i="26"/>
  <c r="F78" i="26"/>
  <c r="K78" i="26"/>
  <c r="L78" i="26"/>
  <c r="F79" i="26"/>
  <c r="K79" i="26"/>
  <c r="L79" i="26"/>
  <c r="C82" i="26"/>
  <c r="C83" i="26"/>
  <c r="A97" i="26"/>
  <c r="R97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A145" i="26"/>
  <c r="R145" i="26"/>
  <c r="F155" i="26"/>
  <c r="K155" i="26"/>
  <c r="L155" i="26"/>
  <c r="F156" i="26"/>
  <c r="K156" i="26"/>
  <c r="L156" i="26"/>
  <c r="F157" i="26"/>
  <c r="K157" i="26"/>
  <c r="L157" i="26"/>
  <c r="F158" i="26"/>
  <c r="K158" i="26"/>
  <c r="L158" i="26"/>
  <c r="F159" i="26"/>
  <c r="K159" i="26"/>
  <c r="L159" i="26"/>
  <c r="F160" i="26"/>
  <c r="K160" i="26"/>
  <c r="L160" i="26"/>
  <c r="F161" i="26"/>
  <c r="K161" i="26"/>
  <c r="L161" i="26"/>
  <c r="F162" i="26"/>
  <c r="K162" i="26"/>
  <c r="L162" i="26"/>
  <c r="F163" i="26"/>
  <c r="K163" i="26"/>
  <c r="L163" i="26"/>
  <c r="F164" i="26"/>
  <c r="K164" i="26"/>
  <c r="L164" i="26"/>
  <c r="F165" i="26"/>
  <c r="K165" i="26"/>
  <c r="L165" i="26"/>
  <c r="F166" i="26"/>
  <c r="K166" i="26"/>
  <c r="L166" i="26"/>
  <c r="F167" i="26"/>
  <c r="K167" i="26"/>
  <c r="L167" i="26"/>
  <c r="F168" i="26"/>
  <c r="K168" i="26"/>
  <c r="L168" i="26"/>
  <c r="F169" i="26"/>
  <c r="K169" i="26"/>
  <c r="L169" i="26"/>
  <c r="F170" i="26"/>
  <c r="K170" i="26"/>
  <c r="L170" i="26"/>
  <c r="F171" i="26"/>
  <c r="K171" i="26"/>
  <c r="L171" i="26"/>
  <c r="F172" i="26"/>
  <c r="K172" i="26"/>
  <c r="L172" i="26"/>
  <c r="F173" i="26"/>
  <c r="K173" i="26"/>
  <c r="L173" i="26"/>
  <c r="F174" i="26"/>
  <c r="K174" i="26"/>
  <c r="L174" i="26"/>
  <c r="F175" i="26"/>
  <c r="K175" i="26"/>
  <c r="L175" i="26"/>
  <c r="F176" i="26"/>
  <c r="K176" i="26"/>
  <c r="L176" i="26"/>
  <c r="F177" i="26"/>
  <c r="K177" i="26"/>
  <c r="L177" i="26"/>
  <c r="F178" i="26"/>
  <c r="K178" i="26"/>
  <c r="L178" i="26"/>
  <c r="C181" i="26"/>
  <c r="C182" i="26"/>
  <c r="A196" i="26"/>
  <c r="R196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A9" i="25"/>
  <c r="R9" i="25"/>
  <c r="AA87" i="25"/>
  <c r="F54" i="25"/>
  <c r="F53" i="6" s="1"/>
  <c r="H54" i="25"/>
  <c r="H53" i="6" s="1"/>
  <c r="C57" i="25"/>
  <c r="C58" i="25"/>
  <c r="AO65" i="25"/>
  <c r="T67" i="25"/>
  <c r="Y80" i="25"/>
  <c r="AA80" i="25"/>
  <c r="AW80" i="25"/>
  <c r="Y81" i="25"/>
  <c r="AA81" i="25"/>
  <c r="Y82" i="25"/>
  <c r="AA82" i="25"/>
  <c r="Y83" i="25"/>
  <c r="AA83" i="25"/>
  <c r="Y91" i="25"/>
  <c r="AA91" i="25"/>
  <c r="AE96" i="25"/>
  <c r="Y100" i="25"/>
  <c r="AA100" i="25"/>
  <c r="Y101" i="25"/>
  <c r="AA101" i="25"/>
  <c r="Y102" i="25"/>
  <c r="AA102" i="25"/>
  <c r="V115" i="25"/>
  <c r="V116" i="25"/>
  <c r="A9" i="24"/>
  <c r="R9" i="24"/>
  <c r="AA109" i="24"/>
  <c r="AA111" i="24"/>
  <c r="AA116" i="24"/>
  <c r="AA118" i="24"/>
  <c r="AA122" i="24"/>
  <c r="AA126" i="24"/>
  <c r="AA128" i="24"/>
  <c r="AA130" i="24"/>
  <c r="AA136" i="24"/>
  <c r="C77" i="24"/>
  <c r="C78" i="24"/>
  <c r="AO82" i="24"/>
  <c r="T84" i="24"/>
  <c r="Y97" i="24"/>
  <c r="AA97" i="24"/>
  <c r="Y98" i="24"/>
  <c r="AA98" i="24"/>
  <c r="Y99" i="24"/>
  <c r="AA99" i="24"/>
  <c r="Y102" i="24"/>
  <c r="AA102" i="24"/>
  <c r="Y103" i="24"/>
  <c r="AA103" i="24"/>
  <c r="Y104" i="24"/>
  <c r="AA104" i="24"/>
  <c r="Y107" i="24"/>
  <c r="AA107" i="24"/>
  <c r="AW107" i="24"/>
  <c r="Y108" i="24"/>
  <c r="AA108" i="24"/>
  <c r="Y109" i="24"/>
  <c r="Y110" i="24"/>
  <c r="AA110" i="24"/>
  <c r="Y111" i="24"/>
  <c r="Y115" i="24"/>
  <c r="AA115" i="24"/>
  <c r="Y116" i="24"/>
  <c r="Y117" i="24"/>
  <c r="AA117" i="24"/>
  <c r="Y118" i="24"/>
  <c r="Y121" i="24"/>
  <c r="AA121" i="24"/>
  <c r="Y122" i="24"/>
  <c r="Y123" i="24"/>
  <c r="AA123" i="24"/>
  <c r="Y126" i="24"/>
  <c r="Y127" i="24"/>
  <c r="AA127" i="24"/>
  <c r="Y128" i="24"/>
  <c r="Y129" i="24"/>
  <c r="AA129" i="24"/>
  <c r="Y130" i="24"/>
  <c r="Y131" i="24"/>
  <c r="AA131" i="24"/>
  <c r="Y132" i="24"/>
  <c r="AA132" i="24"/>
  <c r="Y135" i="24"/>
  <c r="AA135" i="24"/>
  <c r="Y136" i="24"/>
  <c r="Y139" i="24"/>
  <c r="AA139" i="24"/>
  <c r="AE139" i="24" s="1"/>
  <c r="V152" i="24"/>
  <c r="V153" i="24"/>
  <c r="A9" i="23"/>
  <c r="R9" i="23"/>
  <c r="F23" i="23"/>
  <c r="H23" i="23"/>
  <c r="F37" i="23"/>
  <c r="H37" i="23"/>
  <c r="F48" i="23"/>
  <c r="H48" i="23"/>
  <c r="Q48" i="23"/>
  <c r="C61" i="23"/>
  <c r="C62" i="23"/>
  <c r="AO72" i="23"/>
  <c r="T74" i="23"/>
  <c r="Y86" i="23"/>
  <c r="AA86" i="23"/>
  <c r="Y87" i="23"/>
  <c r="AA87" i="23"/>
  <c r="Y88" i="23"/>
  <c r="Y94" i="23"/>
  <c r="AA94" i="23"/>
  <c r="Y96" i="23"/>
  <c r="AA96" i="23"/>
  <c r="Y98" i="23"/>
  <c r="AA98" i="23"/>
  <c r="Y101" i="23"/>
  <c r="AA101" i="23"/>
  <c r="Y107" i="23"/>
  <c r="AA107" i="23"/>
  <c r="Y109" i="23"/>
  <c r="AA109" i="23"/>
  <c r="Y112" i="23"/>
  <c r="AA112" i="23"/>
  <c r="V126" i="23"/>
  <c r="V127" i="23"/>
  <c r="A9" i="22"/>
  <c r="R9" i="22"/>
  <c r="F31" i="22"/>
  <c r="H31" i="22"/>
  <c r="F37" i="22"/>
  <c r="F38" i="22" s="1"/>
  <c r="H37" i="22"/>
  <c r="C50" i="22"/>
  <c r="C51" i="22"/>
  <c r="AO59" i="22"/>
  <c r="T61" i="22"/>
  <c r="Y74" i="22"/>
  <c r="AA74" i="22"/>
  <c r="Y75" i="22"/>
  <c r="AA75" i="22"/>
  <c r="Y78" i="22"/>
  <c r="AA78" i="22"/>
  <c r="Y80" i="22"/>
  <c r="AA80" i="22"/>
  <c r="Y81" i="22"/>
  <c r="AA81" i="22"/>
  <c r="Y82" i="22"/>
  <c r="AA82" i="22"/>
  <c r="Y83" i="22"/>
  <c r="Y87" i="22"/>
  <c r="AA87" i="22"/>
  <c r="Y88" i="22"/>
  <c r="AA88" i="22"/>
  <c r="V102" i="22"/>
  <c r="V103" i="22"/>
  <c r="A9" i="21"/>
  <c r="R9" i="21"/>
  <c r="F57" i="21"/>
  <c r="F70" i="21" s="1"/>
  <c r="F79" i="21" s="1"/>
  <c r="H57" i="21"/>
  <c r="H70" i="21" s="1"/>
  <c r="C82" i="21"/>
  <c r="C83" i="21"/>
  <c r="AO93" i="21"/>
  <c r="T95" i="21"/>
  <c r="Y107" i="21"/>
  <c r="AA107" i="21"/>
  <c r="AX107" i="21"/>
  <c r="AU107" i="21" s="1"/>
  <c r="AY107" i="21"/>
  <c r="Y108" i="21"/>
  <c r="AA108" i="21"/>
  <c r="AX108" i="21"/>
  <c r="AU108" i="21" s="1"/>
  <c r="AY108" i="21"/>
  <c r="Y109" i="21"/>
  <c r="AA109" i="21"/>
  <c r="AX109" i="21"/>
  <c r="AU109" i="21" s="1"/>
  <c r="AY109" i="21"/>
  <c r="Y110" i="21"/>
  <c r="AA110" i="21"/>
  <c r="AX110" i="21"/>
  <c r="AU110" i="21" s="1"/>
  <c r="AY110" i="21"/>
  <c r="Y118" i="21"/>
  <c r="AA118" i="21"/>
  <c r="AX118" i="21"/>
  <c r="AU118" i="21" s="1"/>
  <c r="AY118" i="21"/>
  <c r="Y119" i="21"/>
  <c r="AA119" i="21"/>
  <c r="AX119" i="21"/>
  <c r="AU119" i="21" s="1"/>
  <c r="AY119" i="21"/>
  <c r="Y120" i="21"/>
  <c r="AA120" i="21"/>
  <c r="AX120" i="21"/>
  <c r="AY120" i="21"/>
  <c r="Y121" i="21"/>
  <c r="AA121" i="21"/>
  <c r="AX121" i="21"/>
  <c r="AY121" i="21"/>
  <c r="Y122" i="21"/>
  <c r="AA122" i="21"/>
  <c r="AX122" i="21"/>
  <c r="AU122" i="21" s="1"/>
  <c r="AY122" i="21"/>
  <c r="Y123" i="21"/>
  <c r="AA123" i="21"/>
  <c r="AX123" i="21"/>
  <c r="AY123" i="21"/>
  <c r="Y113" i="21"/>
  <c r="AA113" i="21"/>
  <c r="AX113" i="21"/>
  <c r="AU113" i="21" s="1"/>
  <c r="AY113" i="21"/>
  <c r="Y114" i="21"/>
  <c r="AA114" i="21"/>
  <c r="AX114" i="21"/>
  <c r="AY114" i="21"/>
  <c r="Y115" i="21"/>
  <c r="AA115" i="21"/>
  <c r="AX115" i="21"/>
  <c r="AU115" i="21" s="1"/>
  <c r="AY115" i="21"/>
  <c r="Y126" i="21"/>
  <c r="AA126" i="21"/>
  <c r="AX126" i="21"/>
  <c r="AY126" i="21"/>
  <c r="Y127" i="21"/>
  <c r="AA127" i="21"/>
  <c r="AX127" i="21"/>
  <c r="AU127" i="21" s="1"/>
  <c r="AY127" i="21"/>
  <c r="Y128" i="21"/>
  <c r="AA128" i="21"/>
  <c r="AX128" i="21"/>
  <c r="AY128" i="21"/>
  <c r="Y129" i="21"/>
  <c r="AA129" i="21"/>
  <c r="AX129" i="21"/>
  <c r="AU129" i="21" s="1"/>
  <c r="AY129" i="21"/>
  <c r="Y132" i="21"/>
  <c r="AA132" i="21"/>
  <c r="AX132" i="21"/>
  <c r="AY132" i="21"/>
  <c r="Y133" i="21"/>
  <c r="AA133" i="21"/>
  <c r="AX133" i="21"/>
  <c r="AU133" i="21" s="1"/>
  <c r="AY133" i="21"/>
  <c r="Y134" i="21"/>
  <c r="AA134" i="21"/>
  <c r="AX134" i="21"/>
  <c r="AY134" i="21"/>
  <c r="Y135" i="21"/>
  <c r="AA135" i="21"/>
  <c r="AX135" i="21"/>
  <c r="AU135" i="21" s="1"/>
  <c r="AY135" i="21"/>
  <c r="Y136" i="21"/>
  <c r="AA136" i="21"/>
  <c r="AX136" i="21"/>
  <c r="AY136" i="21"/>
  <c r="AX140" i="21"/>
  <c r="AU140" i="21" s="1"/>
  <c r="AY140" i="21"/>
  <c r="AX141" i="21"/>
  <c r="AY141" i="21"/>
  <c r="AX142" i="21"/>
  <c r="AU142" i="21" s="1"/>
  <c r="AY142" i="21"/>
  <c r="AX149" i="21"/>
  <c r="AU149" i="21" s="1"/>
  <c r="AY149" i="21"/>
  <c r="AX150" i="21"/>
  <c r="AY150" i="21"/>
  <c r="AX147" i="21"/>
  <c r="AU147" i="21" s="1"/>
  <c r="AY147" i="21"/>
  <c r="AX152" i="21"/>
  <c r="AY152" i="21"/>
  <c r="AX153" i="21"/>
  <c r="AU153" i="21" s="1"/>
  <c r="AY153" i="21"/>
  <c r="AX154" i="21"/>
  <c r="AY154" i="21"/>
  <c r="V168" i="21"/>
  <c r="V169" i="21"/>
  <c r="A9" i="20"/>
  <c r="R9" i="20"/>
  <c r="C52" i="20"/>
  <c r="C53" i="20"/>
  <c r="AO60" i="20"/>
  <c r="T62" i="20"/>
  <c r="AE77" i="20"/>
  <c r="AI85" i="20"/>
  <c r="Y93" i="20"/>
  <c r="Y102" i="20" s="1"/>
  <c r="F47" i="5" s="1"/>
  <c r="V105" i="20"/>
  <c r="V106" i="20"/>
  <c r="A9" i="19"/>
  <c r="R9" i="19"/>
  <c r="A75" i="19"/>
  <c r="R75" i="19"/>
  <c r="F199" i="19"/>
  <c r="F211" i="19" s="1"/>
  <c r="F46" i="6" s="1"/>
  <c r="H199" i="19"/>
  <c r="F210" i="19"/>
  <c r="T231" i="19"/>
  <c r="AX239" i="19"/>
  <c r="AY239" i="19"/>
  <c r="Y244" i="19"/>
  <c r="AA244" i="19"/>
  <c r="AW244" i="19"/>
  <c r="AX244" i="19" s="1"/>
  <c r="Y245" i="19"/>
  <c r="AA245" i="19"/>
  <c r="Y243" i="19"/>
  <c r="AA243" i="19"/>
  <c r="AW243" i="19"/>
  <c r="AX243" i="19" s="1"/>
  <c r="Y246" i="19"/>
  <c r="AA246" i="19"/>
  <c r="Y247" i="19"/>
  <c r="AA247" i="19"/>
  <c r="Y248" i="19"/>
  <c r="AA248" i="19"/>
  <c r="Y249" i="19"/>
  <c r="AA249" i="19"/>
  <c r="Y250" i="19"/>
  <c r="AA250" i="19"/>
  <c r="AX250" i="19"/>
  <c r="AY250" i="19"/>
  <c r="Y251" i="19"/>
  <c r="AA251" i="19"/>
  <c r="Y252" i="19"/>
  <c r="AA252" i="19"/>
  <c r="AX252" i="19"/>
  <c r="AY252" i="19"/>
  <c r="Y253" i="19"/>
  <c r="AA253" i="19"/>
  <c r="AX255" i="19"/>
  <c r="AT255" i="19" s="1"/>
  <c r="AY255" i="19"/>
  <c r="AX259" i="19"/>
  <c r="AY259" i="19"/>
  <c r="AX261" i="19"/>
  <c r="AT261" i="19" s="1"/>
  <c r="AY261" i="19"/>
  <c r="Y264" i="19"/>
  <c r="AA264" i="19"/>
  <c r="AX264" i="19"/>
  <c r="AY264" i="19"/>
  <c r="Y263" i="19"/>
  <c r="AA263" i="19"/>
  <c r="AX263" i="19"/>
  <c r="AY263" i="19"/>
  <c r="Y265" i="19"/>
  <c r="AA265" i="19"/>
  <c r="Y266" i="19"/>
  <c r="AA266" i="19"/>
  <c r="Y267" i="19"/>
  <c r="AA267" i="19"/>
  <c r="Y268" i="19"/>
  <c r="AA268" i="19"/>
  <c r="AX268" i="19"/>
  <c r="AY268" i="19"/>
  <c r="Y269" i="19"/>
  <c r="AA269" i="19"/>
  <c r="Y271" i="19"/>
  <c r="AA271" i="19"/>
  <c r="AX271" i="19"/>
  <c r="AY271" i="19"/>
  <c r="Y272" i="19"/>
  <c r="AA272" i="19"/>
  <c r="Y273" i="19"/>
  <c r="AA273" i="19"/>
  <c r="Y274" i="19"/>
  <c r="AA274" i="19"/>
  <c r="Y275" i="19"/>
  <c r="AA275" i="19"/>
  <c r="Y276" i="19"/>
  <c r="AA276" i="19"/>
  <c r="AX276" i="19"/>
  <c r="AY276" i="19"/>
  <c r="Y277" i="19"/>
  <c r="AA277" i="19"/>
  <c r="AX277" i="19"/>
  <c r="AY277" i="19"/>
  <c r="Y278" i="19"/>
  <c r="AA278" i="19"/>
  <c r="Y279" i="19"/>
  <c r="AA279" i="19"/>
  <c r="AN279" i="19"/>
  <c r="Y280" i="19"/>
  <c r="AA280" i="19"/>
  <c r="Y309" i="19"/>
  <c r="AA309" i="19"/>
  <c r="AX309" i="19"/>
  <c r="AT309" i="19" s="1"/>
  <c r="AY309" i="19"/>
  <c r="Y310" i="19"/>
  <c r="AA310" i="19"/>
  <c r="AX310" i="19"/>
  <c r="AY310" i="19"/>
  <c r="Y311" i="19"/>
  <c r="AA311" i="19"/>
  <c r="AX311" i="19"/>
  <c r="AY311" i="19"/>
  <c r="Y312" i="19"/>
  <c r="AA312" i="19"/>
  <c r="Y313" i="19"/>
  <c r="AA313" i="19"/>
  <c r="Y314" i="19"/>
  <c r="AA314" i="19"/>
  <c r="AX314" i="19"/>
  <c r="AY314" i="19"/>
  <c r="Y315" i="19"/>
  <c r="AA315" i="19"/>
  <c r="AO295" i="19"/>
  <c r="T297" i="19"/>
  <c r="AO297" i="19"/>
  <c r="Y320" i="19"/>
  <c r="AA320" i="19"/>
  <c r="AX320" i="19"/>
  <c r="AY320" i="19"/>
  <c r="Y322" i="19"/>
  <c r="AA322" i="19"/>
  <c r="Y323" i="19"/>
  <c r="AA323" i="19"/>
  <c r="Y324" i="19"/>
  <c r="AA324" i="19"/>
  <c r="Y325" i="19"/>
  <c r="AA325" i="19"/>
  <c r="AX325" i="19"/>
  <c r="AY325" i="19"/>
  <c r="Y326" i="19"/>
  <c r="AA326" i="19"/>
  <c r="Y327" i="19"/>
  <c r="AA327" i="19"/>
  <c r="Y328" i="19"/>
  <c r="AA328" i="19"/>
  <c r="AX328" i="19"/>
  <c r="AY328" i="19"/>
  <c r="Y329" i="19"/>
  <c r="AA329" i="19"/>
  <c r="Y331" i="19"/>
  <c r="AA331" i="19"/>
  <c r="AX331" i="19"/>
  <c r="AY331" i="19"/>
  <c r="Y332" i="19"/>
  <c r="AA332" i="19"/>
  <c r="AX332" i="19"/>
  <c r="AT332" i="19" s="1"/>
  <c r="AY332" i="19"/>
  <c r="Y333" i="19"/>
  <c r="AA333" i="19"/>
  <c r="AX333" i="19"/>
  <c r="AY333" i="19"/>
  <c r="Y337" i="19"/>
  <c r="AA337" i="19"/>
  <c r="AX337" i="19"/>
  <c r="AT337" i="19" s="1"/>
  <c r="AY337" i="19"/>
  <c r="Y340" i="19"/>
  <c r="AA340" i="19"/>
  <c r="AX340" i="19"/>
  <c r="AY340" i="19"/>
  <c r="Y341" i="19"/>
  <c r="AA341" i="19"/>
  <c r="AX341" i="19"/>
  <c r="AT341" i="19" s="1"/>
  <c r="AY341" i="19"/>
  <c r="Y343" i="19"/>
  <c r="AA343" i="19"/>
  <c r="AX343" i="19"/>
  <c r="AY343" i="19"/>
  <c r="Y344" i="19"/>
  <c r="AA344" i="19"/>
  <c r="Y345" i="19"/>
  <c r="AA345" i="19"/>
  <c r="Y346" i="19"/>
  <c r="AA346" i="19"/>
  <c r="Y349" i="19"/>
  <c r="AA349" i="19"/>
  <c r="AX349" i="19"/>
  <c r="AY349" i="19"/>
  <c r="Y350" i="19"/>
  <c r="AA350" i="19"/>
  <c r="Y351" i="19"/>
  <c r="AA351" i="19"/>
  <c r="Y353" i="19"/>
  <c r="AA353" i="19"/>
  <c r="AX353" i="19"/>
  <c r="AT353" i="19" s="1"/>
  <c r="AY353" i="19"/>
  <c r="Y354" i="19"/>
  <c r="AA354" i="19"/>
  <c r="Y355" i="19"/>
  <c r="AA355" i="19"/>
  <c r="Y356" i="19"/>
  <c r="AA356" i="19"/>
  <c r="AX356" i="19"/>
  <c r="AY356" i="19"/>
  <c r="Y357" i="19"/>
  <c r="AA357" i="19"/>
  <c r="Y358" i="19"/>
  <c r="AA358" i="19"/>
  <c r="AX358" i="19"/>
  <c r="AT358" i="19" s="1"/>
  <c r="AY358" i="19"/>
  <c r="Y360" i="19"/>
  <c r="AA360" i="19"/>
  <c r="Y361" i="19"/>
  <c r="AA361" i="19"/>
  <c r="AX361" i="19"/>
  <c r="AT361" i="19" s="1"/>
  <c r="AY361" i="19"/>
  <c r="Y392" i="19"/>
  <c r="AA392" i="19"/>
  <c r="Y393" i="19"/>
  <c r="AA393" i="19"/>
  <c r="AX393" i="19"/>
  <c r="AY393" i="19"/>
  <c r="Y402" i="19"/>
  <c r="AA402" i="19"/>
  <c r="Y403" i="19"/>
  <c r="AA403" i="19"/>
  <c r="AX403" i="19"/>
  <c r="AY403" i="19"/>
  <c r="Y404" i="19"/>
  <c r="AA404" i="19"/>
  <c r="Y406" i="19"/>
  <c r="AA406" i="19"/>
  <c r="AX406" i="19"/>
  <c r="AT406" i="19" s="1"/>
  <c r="AY406" i="19"/>
  <c r="Y408" i="19"/>
  <c r="AA408" i="19"/>
  <c r="AX420" i="19"/>
  <c r="AY420" i="19"/>
  <c r="Y430" i="19"/>
  <c r="AE430" i="19" s="1"/>
  <c r="Y431" i="19"/>
  <c r="AE431" i="19" s="1"/>
  <c r="T436" i="19"/>
  <c r="T437" i="19"/>
  <c r="A9" i="18"/>
  <c r="R9" i="18"/>
  <c r="L24" i="18"/>
  <c r="R24" i="18" s="1"/>
  <c r="R25" i="18" s="1"/>
  <c r="L28" i="18"/>
  <c r="R28" i="18" s="1"/>
  <c r="H29" i="18"/>
  <c r="L29" i="18" s="1"/>
  <c r="AO53" i="18"/>
  <c r="T55" i="18"/>
  <c r="Y70" i="18"/>
  <c r="AA74" i="18"/>
  <c r="AE74" i="18" s="1"/>
  <c r="A9" i="17"/>
  <c r="L24" i="17"/>
  <c r="L28" i="17"/>
  <c r="R28" i="17" s="1"/>
  <c r="H29" i="17"/>
  <c r="L29" i="17" s="1"/>
  <c r="R29" i="17" s="1"/>
  <c r="H31" i="17"/>
  <c r="H32" i="17" s="1"/>
  <c r="AO51" i="17"/>
  <c r="T53" i="17"/>
  <c r="Y68" i="17"/>
  <c r="AA72" i="17"/>
  <c r="AE72" i="17" s="1"/>
  <c r="A9" i="16"/>
  <c r="L24" i="16"/>
  <c r="R24" i="16" s="1"/>
  <c r="R25" i="16" s="1"/>
  <c r="L28" i="16"/>
  <c r="H29" i="16"/>
  <c r="L29" i="16" s="1"/>
  <c r="H31" i="16"/>
  <c r="Y83" i="16"/>
  <c r="AO51" i="16"/>
  <c r="T53" i="16"/>
  <c r="Y68" i="16"/>
  <c r="AA72" i="16"/>
  <c r="AE72" i="16" s="1"/>
  <c r="A9" i="15"/>
  <c r="L24" i="15"/>
  <c r="R24" i="15" s="1"/>
  <c r="R25" i="15" s="1"/>
  <c r="L28" i="15"/>
  <c r="R28" i="15" s="1"/>
  <c r="H29" i="15"/>
  <c r="L29" i="15" s="1"/>
  <c r="R29" i="15" s="1"/>
  <c r="H31" i="15"/>
  <c r="H32" i="15" s="1"/>
  <c r="AO52" i="15"/>
  <c r="T54" i="15"/>
  <c r="Y69" i="15"/>
  <c r="AA73" i="15"/>
  <c r="AE73" i="15" s="1"/>
  <c r="AA74" i="15"/>
  <c r="AE74" i="15" s="1"/>
  <c r="AO74" i="15" s="1"/>
  <c r="A9" i="14"/>
  <c r="R9" i="14"/>
  <c r="C60" i="14"/>
  <c r="C61" i="14"/>
  <c r="AO72" i="14"/>
  <c r="T74" i="14"/>
  <c r="AC100" i="14"/>
  <c r="V125" i="14"/>
  <c r="V126" i="14"/>
  <c r="A9" i="13"/>
  <c r="C51" i="13"/>
  <c r="C52" i="13"/>
  <c r="AO61" i="13"/>
  <c r="T63" i="13"/>
  <c r="V105" i="13"/>
  <c r="V106" i="13"/>
  <c r="A9" i="12"/>
  <c r="R23" i="12"/>
  <c r="L25" i="12"/>
  <c r="F40" i="12"/>
  <c r="Y107" i="12" s="1"/>
  <c r="F61" i="12"/>
  <c r="Y128" i="12" s="1"/>
  <c r="C64" i="12"/>
  <c r="C65" i="12"/>
  <c r="AO75" i="12"/>
  <c r="T77" i="12"/>
  <c r="Y90" i="12"/>
  <c r="AE90" i="12"/>
  <c r="Y92" i="12"/>
  <c r="Y112" i="12"/>
  <c r="AE112" i="12" s="1"/>
  <c r="Y115" i="12"/>
  <c r="Y116" i="12"/>
  <c r="V131" i="12"/>
  <c r="V132" i="12"/>
  <c r="A9" i="11"/>
  <c r="L26" i="11"/>
  <c r="R26" i="11" s="1"/>
  <c r="C48" i="11"/>
  <c r="C49" i="11"/>
  <c r="AO57" i="11"/>
  <c r="T59" i="11"/>
  <c r="Y76" i="11"/>
  <c r="AE76" i="11" s="1"/>
  <c r="AE80" i="11"/>
  <c r="V98" i="11"/>
  <c r="V99" i="11"/>
  <c r="A9" i="10"/>
  <c r="L23" i="10"/>
  <c r="H37" i="10"/>
  <c r="J39" i="10"/>
  <c r="L39" i="10" s="1"/>
  <c r="J40" i="10"/>
  <c r="C66" i="10"/>
  <c r="C67" i="10"/>
  <c r="AO77" i="10"/>
  <c r="T79" i="10"/>
  <c r="Y93" i="10"/>
  <c r="AE93" i="10" s="1"/>
  <c r="Y109" i="10"/>
  <c r="AC109" i="10"/>
  <c r="AC110" i="10"/>
  <c r="V136" i="10"/>
  <c r="V137" i="10"/>
  <c r="A9" i="9"/>
  <c r="H38" i="9"/>
  <c r="J40" i="9"/>
  <c r="C68" i="9"/>
  <c r="C69" i="9"/>
  <c r="AO79" i="9"/>
  <c r="T81" i="9"/>
  <c r="AC112" i="9"/>
  <c r="AC119" i="9"/>
  <c r="AC120" i="9"/>
  <c r="AC124" i="9"/>
  <c r="AC120" i="10" s="1"/>
  <c r="V140" i="9"/>
  <c r="V141" i="9"/>
  <c r="A9" i="8"/>
  <c r="C57" i="8"/>
  <c r="AO65" i="8"/>
  <c r="T67" i="8"/>
  <c r="V115" i="8"/>
  <c r="A9" i="7"/>
  <c r="C44" i="7"/>
  <c r="AN50" i="7"/>
  <c r="T52" i="7"/>
  <c r="V87" i="7"/>
  <c r="A9" i="6"/>
  <c r="F47" i="6"/>
  <c r="H47" i="6"/>
  <c r="F52" i="6"/>
  <c r="F57" i="6"/>
  <c r="H57" i="6"/>
  <c r="F58" i="6"/>
  <c r="H58" i="6"/>
  <c r="J58" i="6" s="1"/>
  <c r="R58" i="6"/>
  <c r="G62" i="3" s="1"/>
  <c r="F59" i="6"/>
  <c r="H59" i="6"/>
  <c r="J59" i="6" s="1"/>
  <c r="R59" i="6"/>
  <c r="G63" i="3" s="1"/>
  <c r="F60" i="6"/>
  <c r="H60" i="6"/>
  <c r="J60" i="6" s="1"/>
  <c r="F62" i="6"/>
  <c r="H62" i="6"/>
  <c r="J62" i="6" s="1"/>
  <c r="F64" i="6"/>
  <c r="H64" i="6"/>
  <c r="J64" i="6" s="1"/>
  <c r="A9" i="5"/>
  <c r="T57" i="5"/>
  <c r="V58" i="5"/>
  <c r="R59" i="5"/>
  <c r="V59" i="5"/>
  <c r="R43" i="4" s="1"/>
  <c r="V60" i="5"/>
  <c r="R44" i="4" s="1"/>
  <c r="V62" i="5"/>
  <c r="A9" i="4"/>
  <c r="F41" i="4"/>
  <c r="H41" i="4"/>
  <c r="F42" i="4"/>
  <c r="H42" i="4"/>
  <c r="J42" i="4"/>
  <c r="L42" i="4"/>
  <c r="P42" i="4"/>
  <c r="F43" i="4"/>
  <c r="H43" i="4"/>
  <c r="J43" i="4"/>
  <c r="L43" i="4"/>
  <c r="P43" i="4"/>
  <c r="F44" i="4"/>
  <c r="H44" i="4"/>
  <c r="L44" i="4" s="1"/>
  <c r="J44" i="4"/>
  <c r="P44" i="4"/>
  <c r="F46" i="4"/>
  <c r="H46" i="4"/>
  <c r="L46" i="4" s="1"/>
  <c r="J46" i="4"/>
  <c r="P46" i="4"/>
  <c r="R46" i="4"/>
  <c r="F48" i="4"/>
  <c r="H48" i="4"/>
  <c r="L48" i="4" s="1"/>
  <c r="P48" i="4"/>
  <c r="A10" i="3"/>
  <c r="E62" i="3"/>
  <c r="E66" i="3"/>
  <c r="J47" i="4" l="1"/>
  <c r="R42" i="4"/>
  <c r="X58" i="5"/>
  <c r="Q178" i="26"/>
  <c r="Q177" i="26"/>
  <c r="Q176" i="26"/>
  <c r="Q175" i="26"/>
  <c r="Q174" i="26"/>
  <c r="Q173" i="26"/>
  <c r="Q172" i="26"/>
  <c r="Q171" i="26"/>
  <c r="Q170" i="26"/>
  <c r="Q169" i="26"/>
  <c r="Q168" i="26"/>
  <c r="Q167" i="26"/>
  <c r="Q166" i="26"/>
  <c r="Q165" i="26"/>
  <c r="Q164" i="26"/>
  <c r="Q163" i="26"/>
  <c r="Q162" i="26"/>
  <c r="Q161" i="26"/>
  <c r="Q160" i="26"/>
  <c r="Q159" i="26"/>
  <c r="Q158" i="26"/>
  <c r="Q157" i="26"/>
  <c r="Q156" i="26"/>
  <c r="Q155" i="26"/>
  <c r="Q25" i="26"/>
  <c r="Q77" i="26"/>
  <c r="Q21" i="26"/>
  <c r="Q26" i="26"/>
  <c r="Q22" i="26"/>
  <c r="Q79" i="26"/>
  <c r="Q78" i="26"/>
  <c r="Q23" i="26"/>
  <c r="Q24" i="26"/>
  <c r="Q20" i="26"/>
  <c r="L74" i="21"/>
  <c r="L73" i="21"/>
  <c r="L75" i="21"/>
  <c r="L76" i="21"/>
  <c r="R76" i="21" s="1"/>
  <c r="F34" i="4"/>
  <c r="AE120" i="21"/>
  <c r="F47" i="22"/>
  <c r="F50" i="6" s="1"/>
  <c r="H47" i="22"/>
  <c r="H50" i="6" s="1"/>
  <c r="H38" i="22"/>
  <c r="AA88" i="23"/>
  <c r="AA73" i="17"/>
  <c r="AE73" i="17" s="1"/>
  <c r="AO73" i="17" s="1"/>
  <c r="AI74" i="18"/>
  <c r="AI72" i="16"/>
  <c r="AK72" i="16" s="1"/>
  <c r="AA73" i="16"/>
  <c r="AE73" i="16" s="1"/>
  <c r="AO73" i="16" s="1"/>
  <c r="F26" i="4"/>
  <c r="F30" i="5"/>
  <c r="F30" i="6"/>
  <c r="E64" i="3"/>
  <c r="AA76" i="15"/>
  <c r="AA77" i="15" s="1"/>
  <c r="AE81" i="15" s="1"/>
  <c r="AO81" i="15" s="1"/>
  <c r="AA75" i="17"/>
  <c r="AA76" i="17" s="1"/>
  <c r="AA83" i="17" s="1"/>
  <c r="AA75" i="18"/>
  <c r="AE75" i="18" s="1"/>
  <c r="AI75" i="18" s="1"/>
  <c r="E63" i="3"/>
  <c r="I63" i="3" s="1"/>
  <c r="K63" i="3" s="1"/>
  <c r="R28" i="16"/>
  <c r="P41" i="4"/>
  <c r="L57" i="5"/>
  <c r="L65" i="5" s="1"/>
  <c r="F29" i="6"/>
  <c r="F29" i="5"/>
  <c r="F25" i="4"/>
  <c r="AE70" i="18"/>
  <c r="AI70" i="18" s="1"/>
  <c r="AK70" i="18" s="1"/>
  <c r="Y78" i="18"/>
  <c r="Y85" i="18" s="1"/>
  <c r="AE68" i="17"/>
  <c r="AE69" i="17" s="1"/>
  <c r="Y76" i="17"/>
  <c r="Y83" i="17" s="1"/>
  <c r="AE68" i="16"/>
  <c r="AI68" i="16" s="1"/>
  <c r="AK68" i="16" s="1"/>
  <c r="Y76" i="16"/>
  <c r="AE80" i="15"/>
  <c r="AE69" i="15"/>
  <c r="AE70" i="15" s="1"/>
  <c r="Y77" i="15"/>
  <c r="AI90" i="12"/>
  <c r="AE92" i="12"/>
  <c r="AO92" i="12" s="1"/>
  <c r="Y96" i="12"/>
  <c r="Y117" i="12"/>
  <c r="AA103" i="25"/>
  <c r="Y103" i="25"/>
  <c r="Y112" i="25" s="1"/>
  <c r="Y140" i="24"/>
  <c r="Y149" i="24" s="1"/>
  <c r="AA140" i="24"/>
  <c r="H65" i="24"/>
  <c r="F49" i="23"/>
  <c r="F58" i="23" s="1"/>
  <c r="H49" i="23"/>
  <c r="H79" i="21"/>
  <c r="AE92" i="20"/>
  <c r="AA93" i="20"/>
  <c r="AE97" i="20" s="1"/>
  <c r="AK97" i="20" s="1"/>
  <c r="Y421" i="19"/>
  <c r="H39" i="17"/>
  <c r="L36" i="17"/>
  <c r="L35" i="17"/>
  <c r="R24" i="17"/>
  <c r="R25" i="17" s="1"/>
  <c r="AA75" i="16"/>
  <c r="AA76" i="16" s="1"/>
  <c r="H32" i="16"/>
  <c r="L36" i="15"/>
  <c r="L35" i="15"/>
  <c r="H39" i="15"/>
  <c r="AA84" i="15" s="1"/>
  <c r="R25" i="12"/>
  <c r="T65" i="5"/>
  <c r="AO80" i="11"/>
  <c r="AQ80" i="11" s="1"/>
  <c r="AI76" i="11"/>
  <c r="AO76" i="11"/>
  <c r="AQ76" i="11" s="1"/>
  <c r="L63" i="6"/>
  <c r="P63" i="5" s="1"/>
  <c r="R63" i="5" s="1"/>
  <c r="L60" i="6"/>
  <c r="L62" i="6"/>
  <c r="E56" i="3"/>
  <c r="P57" i="6"/>
  <c r="E57" i="3"/>
  <c r="P63" i="6"/>
  <c r="AA113" i="23"/>
  <c r="AA102" i="23"/>
  <c r="I26" i="27"/>
  <c r="F59" i="26" s="1"/>
  <c r="Q59" i="26" s="1"/>
  <c r="I27" i="27"/>
  <c r="F60" i="26" s="1"/>
  <c r="Q60" i="26" s="1"/>
  <c r="I25" i="27"/>
  <c r="F58" i="26" s="1"/>
  <c r="Q58" i="26" s="1"/>
  <c r="AA89" i="22"/>
  <c r="AA83" i="22"/>
  <c r="P47" i="22"/>
  <c r="P50" i="6" s="1"/>
  <c r="AA143" i="21"/>
  <c r="AA156" i="21" s="1"/>
  <c r="Y316" i="19"/>
  <c r="AK415" i="19"/>
  <c r="AA316" i="19"/>
  <c r="AY243" i="19"/>
  <c r="AY244" i="19"/>
  <c r="AA421" i="19"/>
  <c r="H211" i="19"/>
  <c r="H46" i="6" s="1"/>
  <c r="AO74" i="18"/>
  <c r="L25" i="18"/>
  <c r="H31" i="18"/>
  <c r="H32" i="18" s="1"/>
  <c r="H30" i="18"/>
  <c r="H30" i="17"/>
  <c r="L25" i="17"/>
  <c r="H30" i="15"/>
  <c r="H30" i="16"/>
  <c r="AO72" i="16"/>
  <c r="L25" i="16"/>
  <c r="AI74" i="15"/>
  <c r="L30" i="15"/>
  <c r="L31" i="15" s="1"/>
  <c r="L25" i="15"/>
  <c r="AO90" i="12"/>
  <c r="R39" i="10"/>
  <c r="AE109" i="10"/>
  <c r="R23" i="10"/>
  <c r="I28" i="27"/>
  <c r="F61" i="26" s="1"/>
  <c r="Q61" i="26" s="1"/>
  <c r="P49" i="20"/>
  <c r="P47" i="6" s="1"/>
  <c r="AO430" i="19"/>
  <c r="AO112" i="12"/>
  <c r="I31" i="27"/>
  <c r="F64" i="26" s="1"/>
  <c r="Q64" i="26" s="1"/>
  <c r="I30" i="27"/>
  <c r="F63" i="26" s="1"/>
  <c r="Q63" i="26" s="1"/>
  <c r="I29" i="27"/>
  <c r="F62" i="26" s="1"/>
  <c r="Q62" i="26" s="1"/>
  <c r="I47" i="27"/>
  <c r="I46" i="27"/>
  <c r="I45" i="27"/>
  <c r="I23" i="27"/>
  <c r="F56" i="26" s="1"/>
  <c r="Q56" i="26" s="1"/>
  <c r="I22" i="27"/>
  <c r="F55" i="26" s="1"/>
  <c r="Q55" i="26" s="1"/>
  <c r="I21" i="27"/>
  <c r="F54" i="26" s="1"/>
  <c r="Q54" i="26" s="1"/>
  <c r="I32" i="27"/>
  <c r="F65" i="26" s="1"/>
  <c r="Q65" i="26" s="1"/>
  <c r="I24" i="27"/>
  <c r="F57" i="26" s="1"/>
  <c r="Q57" i="26" s="1"/>
  <c r="F11" i="27"/>
  <c r="F13" i="27"/>
  <c r="F9" i="27"/>
  <c r="F10" i="27"/>
  <c r="F12" i="27"/>
  <c r="AE355" i="19"/>
  <c r="P47" i="4"/>
  <c r="AE244" i="19"/>
  <c r="AE402" i="19"/>
  <c r="AE350" i="19"/>
  <c r="AT349" i="19"/>
  <c r="AE329" i="19"/>
  <c r="AT328" i="19"/>
  <c r="AE322" i="19"/>
  <c r="AT320" i="19"/>
  <c r="AE312" i="19"/>
  <c r="AT311" i="19"/>
  <c r="AE278" i="19"/>
  <c r="AT277" i="19"/>
  <c r="AE272" i="19"/>
  <c r="AE275" i="19"/>
  <c r="AT271" i="19"/>
  <c r="AE265" i="19"/>
  <c r="AT263" i="19"/>
  <c r="AE267" i="19"/>
  <c r="AT250" i="19"/>
  <c r="I62" i="3"/>
  <c r="K62" i="3" s="1"/>
  <c r="AE419" i="19"/>
  <c r="AE416" i="19"/>
  <c r="AE408" i="19"/>
  <c r="AE406" i="19"/>
  <c r="AE397" i="19"/>
  <c r="AE361" i="19"/>
  <c r="AE358" i="19"/>
  <c r="AE349" i="19"/>
  <c r="AE341" i="19"/>
  <c r="AE337" i="19"/>
  <c r="AE332" i="19"/>
  <c r="AE328" i="19"/>
  <c r="AE320" i="19"/>
  <c r="AE311" i="19"/>
  <c r="AE309" i="19"/>
  <c r="AE277" i="19"/>
  <c r="AE263" i="19"/>
  <c r="AE261" i="19"/>
  <c r="AE255" i="19"/>
  <c r="AE153" i="21"/>
  <c r="AE147" i="21"/>
  <c r="AE149" i="21"/>
  <c r="AU120" i="21"/>
  <c r="AE81" i="22"/>
  <c r="AE78" i="22"/>
  <c r="AE74" i="22"/>
  <c r="AE112" i="23"/>
  <c r="AE107" i="23"/>
  <c r="AE86" i="23"/>
  <c r="AE131" i="24"/>
  <c r="AE127" i="24"/>
  <c r="AE123" i="24"/>
  <c r="AE121" i="24"/>
  <c r="AE117" i="24"/>
  <c r="AE115" i="24"/>
  <c r="AE110" i="24"/>
  <c r="AE108" i="24"/>
  <c r="I41" i="27"/>
  <c r="F74" i="26" s="1"/>
  <c r="Q74" i="26" s="1"/>
  <c r="I40" i="27"/>
  <c r="F73" i="26" s="1"/>
  <c r="Q73" i="26" s="1"/>
  <c r="I39" i="27"/>
  <c r="F72" i="26" s="1"/>
  <c r="Q72" i="26" s="1"/>
  <c r="I38" i="27"/>
  <c r="F71" i="26" s="1"/>
  <c r="Q71" i="26" s="1"/>
  <c r="I37" i="27"/>
  <c r="F70" i="26" s="1"/>
  <c r="Q70" i="26" s="1"/>
  <c r="I36" i="27"/>
  <c r="F69" i="26" s="1"/>
  <c r="Q69" i="26" s="1"/>
  <c r="I35" i="27"/>
  <c r="F68" i="26" s="1"/>
  <c r="Q68" i="26" s="1"/>
  <c r="I34" i="27"/>
  <c r="F67" i="26" s="1"/>
  <c r="Q67" i="26" s="1"/>
  <c r="I33" i="27"/>
  <c r="F66" i="26" s="1"/>
  <c r="Q66" i="26" s="1"/>
  <c r="AE280" i="19"/>
  <c r="AE271" i="19"/>
  <c r="AE142" i="21"/>
  <c r="AE140" i="21"/>
  <c r="AK140" i="21" s="1"/>
  <c r="AE135" i="21"/>
  <c r="AK135" i="21" s="1"/>
  <c r="AE133" i="21"/>
  <c r="AE129" i="21"/>
  <c r="AE127" i="21"/>
  <c r="AE115" i="21"/>
  <c r="AE113" i="21"/>
  <c r="AE122" i="21"/>
  <c r="AE88" i="22"/>
  <c r="AE101" i="23"/>
  <c r="AE96" i="23"/>
  <c r="AE135" i="24"/>
  <c r="AE129" i="24"/>
  <c r="AE103" i="24"/>
  <c r="AE99" i="24"/>
  <c r="AE97" i="24"/>
  <c r="AE102" i="25"/>
  <c r="AK102" i="25" s="1"/>
  <c r="AE100" i="25"/>
  <c r="AE97" i="25"/>
  <c r="AE93" i="25"/>
  <c r="AI93" i="10"/>
  <c r="AO93" i="10"/>
  <c r="AK93" i="10"/>
  <c r="R29" i="18"/>
  <c r="AT420" i="19"/>
  <c r="AE420" i="19"/>
  <c r="AE418" i="19"/>
  <c r="AE410" i="19"/>
  <c r="AE412" i="19"/>
  <c r="AT403" i="19"/>
  <c r="AE403" i="19"/>
  <c r="AE405" i="19"/>
  <c r="AT393" i="19"/>
  <c r="AE393" i="19"/>
  <c r="AE392" i="19"/>
  <c r="AE360" i="19"/>
  <c r="AT356" i="19"/>
  <c r="AE356" i="19"/>
  <c r="AE404" i="19"/>
  <c r="AE357" i="19"/>
  <c r="AO73" i="15"/>
  <c r="R29" i="16"/>
  <c r="AO72" i="17"/>
  <c r="AO431" i="19"/>
  <c r="AE432" i="19"/>
  <c r="AE343" i="19"/>
  <c r="AT343" i="19"/>
  <c r="AE340" i="19"/>
  <c r="AT340" i="19"/>
  <c r="AE333" i="19"/>
  <c r="AT333" i="19"/>
  <c r="AE331" i="19"/>
  <c r="AT331" i="19"/>
  <c r="AE325" i="19"/>
  <c r="AE327" i="19"/>
  <c r="AT325" i="19"/>
  <c r="AE314" i="19"/>
  <c r="AT314" i="19"/>
  <c r="AE310" i="19"/>
  <c r="AT310" i="19"/>
  <c r="AE276" i="19"/>
  <c r="AT276" i="19"/>
  <c r="AE264" i="19"/>
  <c r="AT264" i="19"/>
  <c r="AE259" i="19"/>
  <c r="AT259" i="19"/>
  <c r="AE252" i="19"/>
  <c r="AT252" i="19"/>
  <c r="AT244" i="19"/>
  <c r="AE154" i="21"/>
  <c r="AU154" i="21"/>
  <c r="AE152" i="21"/>
  <c r="AU152" i="21"/>
  <c r="AE150" i="21"/>
  <c r="AU150" i="21"/>
  <c r="AE346" i="19"/>
  <c r="AE345" i="19"/>
  <c r="AE344" i="19"/>
  <c r="AE326" i="19"/>
  <c r="AE315" i="19"/>
  <c r="AE253" i="19"/>
  <c r="AE243" i="19"/>
  <c r="AE245" i="19"/>
  <c r="AE268" i="19"/>
  <c r="AT268" i="19"/>
  <c r="AT243" i="19"/>
  <c r="AE246" i="19"/>
  <c r="AE249" i="19"/>
  <c r="AE248" i="19"/>
  <c r="AE141" i="21"/>
  <c r="AK141" i="21" s="1"/>
  <c r="AU141" i="21"/>
  <c r="AE136" i="21"/>
  <c r="AK136" i="21" s="1"/>
  <c r="AU136" i="21"/>
  <c r="AE134" i="21"/>
  <c r="AK134" i="21" s="1"/>
  <c r="AU134" i="21"/>
  <c r="AE132" i="21"/>
  <c r="AU132" i="21"/>
  <c r="AE128" i="21"/>
  <c r="AK128" i="21" s="1"/>
  <c r="AU128" i="21"/>
  <c r="AE126" i="21"/>
  <c r="AU126" i="21"/>
  <c r="AE114" i="21"/>
  <c r="AU114" i="21"/>
  <c r="AE123" i="21"/>
  <c r="AU123" i="21"/>
  <c r="AE121" i="21"/>
  <c r="AU121" i="21"/>
  <c r="X59" i="5"/>
  <c r="AK80" i="11"/>
  <c r="AK76" i="11"/>
  <c r="AK74" i="15"/>
  <c r="AI73" i="15"/>
  <c r="AI72" i="17"/>
  <c r="AK74" i="18"/>
  <c r="Y432" i="19"/>
  <c r="AE354" i="19"/>
  <c r="AE353" i="19"/>
  <c r="AE269" i="19"/>
  <c r="AE247" i="19"/>
  <c r="AE82" i="22"/>
  <c r="AE80" i="22"/>
  <c r="AE75" i="22"/>
  <c r="AE109" i="23"/>
  <c r="AE87" i="23"/>
  <c r="AE136" i="24"/>
  <c r="AE130" i="24"/>
  <c r="AE126" i="24"/>
  <c r="AE122" i="24"/>
  <c r="AE118" i="24"/>
  <c r="AE116" i="24"/>
  <c r="AE111" i="24"/>
  <c r="AE109" i="24"/>
  <c r="AE351" i="19"/>
  <c r="AE324" i="19"/>
  <c r="AE323" i="19"/>
  <c r="AE313" i="19"/>
  <c r="AE279" i="19"/>
  <c r="AE274" i="19"/>
  <c r="AE273" i="19"/>
  <c r="AE266" i="19"/>
  <c r="Y143" i="21"/>
  <c r="Y156" i="21" s="1"/>
  <c r="Y165" i="21" s="1"/>
  <c r="AE119" i="21"/>
  <c r="AE118" i="21"/>
  <c r="AE108" i="21"/>
  <c r="AE107" i="21"/>
  <c r="AE87" i="22"/>
  <c r="AE98" i="23"/>
  <c r="AE94" i="23"/>
  <c r="AE132" i="24"/>
  <c r="AE128" i="24"/>
  <c r="AE104" i="24"/>
  <c r="AE102" i="24"/>
  <c r="AE98" i="24"/>
  <c r="AE101" i="25"/>
  <c r="AE95" i="25"/>
  <c r="AE94" i="25"/>
  <c r="AE92" i="25"/>
  <c r="AK96" i="25"/>
  <c r="AE110" i="21"/>
  <c r="AE109" i="21"/>
  <c r="AE107" i="24"/>
  <c r="Y89" i="22"/>
  <c r="Y90" i="22" s="1"/>
  <c r="Y99" i="22" s="1"/>
  <c r="Y113" i="23"/>
  <c r="Y102" i="23"/>
  <c r="AE82" i="25"/>
  <c r="AE81" i="25"/>
  <c r="AE80" i="25"/>
  <c r="AE91" i="25"/>
  <c r="AE83" i="25"/>
  <c r="AE93" i="20" l="1"/>
  <c r="AO69" i="15"/>
  <c r="AO70" i="15" s="1"/>
  <c r="P38" i="25"/>
  <c r="P22" i="25"/>
  <c r="V64" i="5"/>
  <c r="V65" i="5" s="1"/>
  <c r="J48" i="4"/>
  <c r="L64" i="6"/>
  <c r="AE71" i="18"/>
  <c r="AI71" i="18" s="1"/>
  <c r="AK71" i="18" s="1"/>
  <c r="R69" i="24"/>
  <c r="AE146" i="24"/>
  <c r="AE145" i="24"/>
  <c r="AE144" i="24"/>
  <c r="AE160" i="21"/>
  <c r="AO160" i="21" s="1"/>
  <c r="AE162" i="21"/>
  <c r="AI162" i="21" s="1"/>
  <c r="AE159" i="21"/>
  <c r="AK159" i="21" s="1"/>
  <c r="AE161" i="21"/>
  <c r="AE88" i="23"/>
  <c r="L55" i="23"/>
  <c r="L53" i="23"/>
  <c r="L54" i="23"/>
  <c r="L52" i="23"/>
  <c r="AE98" i="20"/>
  <c r="AK98" i="20" s="1"/>
  <c r="AE99" i="20"/>
  <c r="AM316" i="19"/>
  <c r="AI424" i="19"/>
  <c r="AI425" i="19"/>
  <c r="AE426" i="19"/>
  <c r="AI426" i="19" s="1"/>
  <c r="R203" i="19"/>
  <c r="R74" i="21"/>
  <c r="R75" i="21"/>
  <c r="AI69" i="16"/>
  <c r="R202" i="19"/>
  <c r="R73" i="21"/>
  <c r="L77" i="21"/>
  <c r="Y433" i="19"/>
  <c r="F46" i="5" s="1"/>
  <c r="AA433" i="19"/>
  <c r="H46" i="5" s="1"/>
  <c r="P79" i="21"/>
  <c r="P49" i="6" s="1"/>
  <c r="AO70" i="18"/>
  <c r="AQ70" i="18" s="1"/>
  <c r="AI69" i="15"/>
  <c r="AI70" i="15" s="1"/>
  <c r="AI73" i="17"/>
  <c r="AK73" i="17" s="1"/>
  <c r="AQ72" i="16"/>
  <c r="L32" i="15"/>
  <c r="AI92" i="12"/>
  <c r="AK92" i="12" s="1"/>
  <c r="P44" i="25"/>
  <c r="P35" i="22"/>
  <c r="AE79" i="17"/>
  <c r="AI79" i="17" s="1"/>
  <c r="AK79" i="17" s="1"/>
  <c r="P32" i="20"/>
  <c r="R32" i="20" s="1"/>
  <c r="AO68" i="17"/>
  <c r="AO69" i="17" s="1"/>
  <c r="AI68" i="17"/>
  <c r="AO68" i="16"/>
  <c r="AO69" i="16" s="1"/>
  <c r="AE80" i="17"/>
  <c r="AI80" i="17" s="1"/>
  <c r="AO75" i="18"/>
  <c r="AQ75" i="18" s="1"/>
  <c r="AQ74" i="18"/>
  <c r="AI73" i="16"/>
  <c r="AQ73" i="16" s="1"/>
  <c r="AE69" i="16"/>
  <c r="AK109" i="10"/>
  <c r="AO109" i="10"/>
  <c r="AI109" i="10"/>
  <c r="AE113" i="23"/>
  <c r="P36" i="22"/>
  <c r="P26" i="22"/>
  <c r="P37" i="22"/>
  <c r="P30" i="25"/>
  <c r="N61" i="5"/>
  <c r="N64" i="5"/>
  <c r="X63" i="5"/>
  <c r="R63" i="6"/>
  <c r="G57" i="3" s="1"/>
  <c r="I57" i="3" s="1"/>
  <c r="K57" i="3" s="1"/>
  <c r="N57" i="5"/>
  <c r="N60" i="5"/>
  <c r="N63" i="5"/>
  <c r="N62" i="5"/>
  <c r="N58" i="5"/>
  <c r="N59" i="5"/>
  <c r="J57" i="5"/>
  <c r="L57" i="6"/>
  <c r="J41" i="4"/>
  <c r="L41" i="4" s="1"/>
  <c r="AA90" i="22"/>
  <c r="AI96" i="22" s="1"/>
  <c r="AE80" i="16"/>
  <c r="AE79" i="16"/>
  <c r="AI80" i="15"/>
  <c r="AE82" i="15"/>
  <c r="AO80" i="15"/>
  <c r="AQ90" i="12"/>
  <c r="AA112" i="25"/>
  <c r="AE103" i="25"/>
  <c r="F53" i="5"/>
  <c r="F40" i="4"/>
  <c r="F52" i="5"/>
  <c r="F39" i="4"/>
  <c r="AE140" i="24"/>
  <c r="AA149" i="24"/>
  <c r="Y114" i="23"/>
  <c r="Y123" i="23" s="1"/>
  <c r="AA114" i="23"/>
  <c r="AA165" i="21"/>
  <c r="AM165" i="21" s="1"/>
  <c r="R36" i="15"/>
  <c r="AI81" i="15"/>
  <c r="R44" i="22"/>
  <c r="AK80" i="15"/>
  <c r="R204" i="19"/>
  <c r="AA102" i="20"/>
  <c r="H74" i="24"/>
  <c r="H58" i="23"/>
  <c r="AE155" i="21"/>
  <c r="H39" i="18"/>
  <c r="L36" i="18"/>
  <c r="L35" i="18"/>
  <c r="R35" i="17"/>
  <c r="L37" i="17"/>
  <c r="R36" i="17"/>
  <c r="H39" i="16"/>
  <c r="L36" i="16"/>
  <c r="L35" i="16"/>
  <c r="R35" i="15"/>
  <c r="L37" i="15"/>
  <c r="P39" i="25"/>
  <c r="P28" i="22"/>
  <c r="P22" i="22"/>
  <c r="P29" i="22"/>
  <c r="P31" i="22"/>
  <c r="P39" i="20"/>
  <c r="P65" i="6"/>
  <c r="R41" i="4"/>
  <c r="R47" i="4"/>
  <c r="P25" i="25"/>
  <c r="P35" i="25"/>
  <c r="P42" i="25"/>
  <c r="P62" i="5"/>
  <c r="R62" i="6"/>
  <c r="G66" i="3" s="1"/>
  <c r="I66" i="3" s="1"/>
  <c r="K66" i="3" s="1"/>
  <c r="P60" i="5"/>
  <c r="R60" i="6"/>
  <c r="P24" i="25"/>
  <c r="P34" i="25"/>
  <c r="P37" i="25"/>
  <c r="P28" i="25"/>
  <c r="P53" i="6"/>
  <c r="P33" i="25"/>
  <c r="P36" i="25"/>
  <c r="P43" i="25"/>
  <c r="P29" i="25"/>
  <c r="P23" i="25"/>
  <c r="P23" i="22"/>
  <c r="AE316" i="19"/>
  <c r="P211" i="19"/>
  <c r="L30" i="18"/>
  <c r="P30" i="18"/>
  <c r="P31" i="18" s="1"/>
  <c r="AA76" i="18"/>
  <c r="AM76" i="18" s="1"/>
  <c r="AA77" i="18"/>
  <c r="AA78" i="18" s="1"/>
  <c r="P30" i="17"/>
  <c r="P31" i="17" s="1"/>
  <c r="AA74" i="17"/>
  <c r="L30" i="17"/>
  <c r="AQ73" i="17"/>
  <c r="AA75" i="15"/>
  <c r="P30" i="15"/>
  <c r="AA74" i="16"/>
  <c r="L30" i="16"/>
  <c r="P30" i="16"/>
  <c r="P31" i="16" s="1"/>
  <c r="F43" i="6"/>
  <c r="Y84" i="15"/>
  <c r="P24" i="20"/>
  <c r="AE83" i="22"/>
  <c r="F50" i="5"/>
  <c r="F37" i="4"/>
  <c r="AE421" i="19"/>
  <c r="AK72" i="17"/>
  <c r="AE102" i="23"/>
  <c r="AE89" i="22"/>
  <c r="AE143" i="21"/>
  <c r="AO432" i="19"/>
  <c r="AQ72" i="17"/>
  <c r="AK73" i="15"/>
  <c r="AK75" i="18"/>
  <c r="AK69" i="15"/>
  <c r="T49" i="5" l="1"/>
  <c r="P36" i="4"/>
  <c r="AO161" i="21"/>
  <c r="AQ161" i="21" s="1"/>
  <c r="AK161" i="21"/>
  <c r="AO145" i="24"/>
  <c r="AQ145" i="24" s="1"/>
  <c r="AK145" i="24"/>
  <c r="AM102" i="25"/>
  <c r="AO102" i="25" s="1"/>
  <c r="AQ102" i="25" s="1"/>
  <c r="AM80" i="25"/>
  <c r="AO80" i="25" s="1"/>
  <c r="P133" i="19"/>
  <c r="P107" i="19"/>
  <c r="L65" i="6"/>
  <c r="N59" i="6" s="1"/>
  <c r="R64" i="6"/>
  <c r="G67" i="3" s="1"/>
  <c r="P64" i="5"/>
  <c r="R48" i="4"/>
  <c r="E67" i="3"/>
  <c r="E68" i="3" s="1"/>
  <c r="AQ69" i="16"/>
  <c r="AO71" i="18"/>
  <c r="AQ71" i="18" s="1"/>
  <c r="AI144" i="24"/>
  <c r="AO144" i="24"/>
  <c r="R70" i="24"/>
  <c r="AI145" i="24"/>
  <c r="AI160" i="21"/>
  <c r="AI161" i="21"/>
  <c r="AE163" i="21"/>
  <c r="AO159" i="21"/>
  <c r="AQ159" i="21" s="1"/>
  <c r="R77" i="21"/>
  <c r="AI159" i="21"/>
  <c r="AE119" i="23"/>
  <c r="AE117" i="23"/>
  <c r="AE120" i="23"/>
  <c r="AI120" i="23" s="1"/>
  <c r="AE118" i="23"/>
  <c r="AO118" i="23" s="1"/>
  <c r="R52" i="23"/>
  <c r="L56" i="23"/>
  <c r="R54" i="23"/>
  <c r="R53" i="23"/>
  <c r="AO98" i="20"/>
  <c r="AQ98" i="20" s="1"/>
  <c r="AI98" i="20"/>
  <c r="AO97" i="20"/>
  <c r="AQ97" i="20" s="1"/>
  <c r="AI97" i="20"/>
  <c r="AK424" i="19"/>
  <c r="AO424" i="19"/>
  <c r="AQ424" i="19" s="1"/>
  <c r="AO425" i="19"/>
  <c r="AQ425" i="19" s="1"/>
  <c r="AK425" i="19"/>
  <c r="AK73" i="16"/>
  <c r="AM107" i="21"/>
  <c r="AO107" i="21" s="1"/>
  <c r="AM118" i="21"/>
  <c r="AO118" i="21" s="1"/>
  <c r="AK69" i="16"/>
  <c r="AE114" i="23"/>
  <c r="P69" i="21"/>
  <c r="F33" i="4"/>
  <c r="AM433" i="19"/>
  <c r="H33" i="4"/>
  <c r="P57" i="21"/>
  <c r="P21" i="21" s="1"/>
  <c r="AA123" i="23"/>
  <c r="AQ92" i="12"/>
  <c r="AO79" i="17"/>
  <c r="AQ79" i="17" s="1"/>
  <c r="P38" i="22"/>
  <c r="R57" i="6"/>
  <c r="G56" i="3" s="1"/>
  <c r="I56" i="3" s="1"/>
  <c r="K56" i="3" s="1"/>
  <c r="AE156" i="21"/>
  <c r="AQ68" i="17"/>
  <c r="AM87" i="25"/>
  <c r="AO87" i="25" s="1"/>
  <c r="AQ87" i="25" s="1"/>
  <c r="AE81" i="17"/>
  <c r="AI69" i="17"/>
  <c r="AK69" i="17" s="1"/>
  <c r="AK68" i="17"/>
  <c r="AQ68" i="16"/>
  <c r="AO80" i="17"/>
  <c r="AQ80" i="17" s="1"/>
  <c r="AI81" i="17"/>
  <c r="AK80" i="17"/>
  <c r="AI80" i="16"/>
  <c r="AK80" i="16" s="1"/>
  <c r="AM150" i="21"/>
  <c r="AO150" i="21" s="1"/>
  <c r="AM123" i="21"/>
  <c r="AO123" i="21" s="1"/>
  <c r="AM147" i="21"/>
  <c r="AO147" i="21" s="1"/>
  <c r="AM149" i="21"/>
  <c r="AO149" i="21" s="1"/>
  <c r="T53" i="5"/>
  <c r="AM94" i="25"/>
  <c r="AO94" i="25" s="1"/>
  <c r="AA99" i="22"/>
  <c r="AM99" i="22" s="1"/>
  <c r="AI82" i="15"/>
  <c r="AM86" i="25"/>
  <c r="AO86" i="25" s="1"/>
  <c r="AM88" i="25"/>
  <c r="AO88" i="25" s="1"/>
  <c r="AM96" i="25"/>
  <c r="AO96" i="25" s="1"/>
  <c r="AQ96" i="25" s="1"/>
  <c r="P30" i="22"/>
  <c r="H40" i="4"/>
  <c r="H53" i="5"/>
  <c r="P40" i="4"/>
  <c r="AM97" i="25"/>
  <c r="AO97" i="25" s="1"/>
  <c r="P57" i="5"/>
  <c r="J57" i="6"/>
  <c r="R37" i="15"/>
  <c r="AM83" i="25"/>
  <c r="AO83" i="25" s="1"/>
  <c r="AM101" i="25"/>
  <c r="AO101" i="25" s="1"/>
  <c r="AE82" i="18"/>
  <c r="AI82" i="18" s="1"/>
  <c r="AK82" i="18" s="1"/>
  <c r="AA85" i="18"/>
  <c r="AE81" i="18"/>
  <c r="AI81" i="18" s="1"/>
  <c r="AI79" i="16"/>
  <c r="AK79" i="16" s="1"/>
  <c r="AE81" i="16"/>
  <c r="AO79" i="16"/>
  <c r="AO80" i="16"/>
  <c r="AO82" i="15"/>
  <c r="AK70" i="15"/>
  <c r="AM82" i="25"/>
  <c r="AO82" i="25" s="1"/>
  <c r="AM92" i="25"/>
  <c r="AO92" i="25" s="1"/>
  <c r="AM81" i="25"/>
  <c r="AO81" i="25" s="1"/>
  <c r="AM100" i="25"/>
  <c r="AO100" i="25" s="1"/>
  <c r="AM91" i="25"/>
  <c r="AO91" i="25" s="1"/>
  <c r="AM95" i="25"/>
  <c r="AO95" i="25" s="1"/>
  <c r="AM93" i="25"/>
  <c r="AO93" i="25" s="1"/>
  <c r="AO109" i="25"/>
  <c r="AI109" i="25"/>
  <c r="AO146" i="24"/>
  <c r="AE90" i="22"/>
  <c r="AO96" i="22"/>
  <c r="AO162" i="21"/>
  <c r="R71" i="24"/>
  <c r="AI146" i="24"/>
  <c r="R55" i="23"/>
  <c r="AK96" i="22"/>
  <c r="AK81" i="15"/>
  <c r="AK162" i="21"/>
  <c r="AK82" i="15"/>
  <c r="P34" i="19"/>
  <c r="P36" i="19"/>
  <c r="P35" i="19"/>
  <c r="P48" i="19"/>
  <c r="P38" i="19"/>
  <c r="P114" i="19"/>
  <c r="P126" i="19"/>
  <c r="P125" i="19"/>
  <c r="P117" i="19"/>
  <c r="P116" i="19"/>
  <c r="P169" i="19"/>
  <c r="P120" i="19"/>
  <c r="P174" i="19"/>
  <c r="P172" i="19"/>
  <c r="P176" i="19"/>
  <c r="P192" i="19"/>
  <c r="P191" i="19"/>
  <c r="P28" i="19"/>
  <c r="AO426" i="19"/>
  <c r="AK426" i="19"/>
  <c r="H47" i="5"/>
  <c r="AM102" i="20"/>
  <c r="H34" i="4"/>
  <c r="AO99" i="20"/>
  <c r="AI99" i="20"/>
  <c r="P45" i="25"/>
  <c r="H52" i="6"/>
  <c r="P74" i="24"/>
  <c r="P58" i="23"/>
  <c r="P40" i="20"/>
  <c r="P23" i="19"/>
  <c r="R36" i="18"/>
  <c r="R35" i="18"/>
  <c r="L37" i="18"/>
  <c r="P32" i="18"/>
  <c r="P39" i="18" s="1"/>
  <c r="R37" i="17"/>
  <c r="P32" i="17"/>
  <c r="P39" i="17" s="1"/>
  <c r="R36" i="16"/>
  <c r="R35" i="16"/>
  <c r="L37" i="16"/>
  <c r="AA83" i="16"/>
  <c r="P32" i="16"/>
  <c r="P39" i="16" s="1"/>
  <c r="L39" i="15"/>
  <c r="J39" i="6" s="1"/>
  <c r="G64" i="3"/>
  <c r="R60" i="5"/>
  <c r="X60" i="5"/>
  <c r="R62" i="5"/>
  <c r="X62" i="5"/>
  <c r="H50" i="5"/>
  <c r="AM137" i="21"/>
  <c r="AO137" i="21" s="1"/>
  <c r="AQ137" i="21" s="1"/>
  <c r="AM138" i="21"/>
  <c r="AO138" i="21" s="1"/>
  <c r="AQ138" i="21" s="1"/>
  <c r="AM110" i="21"/>
  <c r="AO110" i="21" s="1"/>
  <c r="AM109" i="21"/>
  <c r="AO109" i="21" s="1"/>
  <c r="AM126" i="21"/>
  <c r="AO126" i="21" s="1"/>
  <c r="AM140" i="21"/>
  <c r="AO140" i="21" s="1"/>
  <c r="AQ140" i="21" s="1"/>
  <c r="AM152" i="21"/>
  <c r="AO152" i="21" s="1"/>
  <c r="AM155" i="21"/>
  <c r="AM122" i="21"/>
  <c r="AO122" i="21" s="1"/>
  <c r="AM115" i="21"/>
  <c r="AO115" i="21" s="1"/>
  <c r="AM128" i="21"/>
  <c r="AO128" i="21" s="1"/>
  <c r="AQ128" i="21" s="1"/>
  <c r="AM133" i="21"/>
  <c r="AO133" i="21" s="1"/>
  <c r="AQ133" i="21" s="1"/>
  <c r="AM135" i="21"/>
  <c r="AO135" i="21" s="1"/>
  <c r="AQ135" i="21" s="1"/>
  <c r="AM141" i="21"/>
  <c r="AO141" i="21" s="1"/>
  <c r="AQ141" i="21" s="1"/>
  <c r="AM143" i="21"/>
  <c r="AM108" i="21"/>
  <c r="AO108" i="21" s="1"/>
  <c r="AM119" i="21"/>
  <c r="AO119" i="21" s="1"/>
  <c r="AM121" i="21"/>
  <c r="AO121" i="21" s="1"/>
  <c r="AM114" i="21"/>
  <c r="AO114" i="21" s="1"/>
  <c r="AM132" i="21"/>
  <c r="AO132" i="21" s="1"/>
  <c r="AM154" i="21"/>
  <c r="AO154" i="21" s="1"/>
  <c r="AM120" i="21"/>
  <c r="AO120" i="21" s="1"/>
  <c r="AM113" i="21"/>
  <c r="AO113" i="21" s="1"/>
  <c r="AM127" i="21"/>
  <c r="AO127" i="21" s="1"/>
  <c r="AM129" i="21"/>
  <c r="AO129" i="21" s="1"/>
  <c r="AQ129" i="21" s="1"/>
  <c r="AM134" i="21"/>
  <c r="AO134" i="21" s="1"/>
  <c r="AQ134" i="21" s="1"/>
  <c r="AM136" i="21"/>
  <c r="AO136" i="21" s="1"/>
  <c r="AQ136" i="21" s="1"/>
  <c r="AM142" i="21"/>
  <c r="AO142" i="21" s="1"/>
  <c r="AM153" i="21"/>
  <c r="AO153" i="21" s="1"/>
  <c r="P187" i="19"/>
  <c r="P189" i="19"/>
  <c r="P173" i="19"/>
  <c r="P185" i="19"/>
  <c r="P137" i="19"/>
  <c r="P168" i="19"/>
  <c r="P195" i="19"/>
  <c r="P113" i="19"/>
  <c r="P99" i="19"/>
  <c r="P193" i="19"/>
  <c r="P183" i="19"/>
  <c r="P197" i="19"/>
  <c r="P186" i="19"/>
  <c r="P182" i="19"/>
  <c r="P175" i="19"/>
  <c r="P136" i="19"/>
  <c r="P131" i="19"/>
  <c r="P128" i="19"/>
  <c r="P118" i="19"/>
  <c r="P109" i="19"/>
  <c r="P103" i="19"/>
  <c r="P101" i="19"/>
  <c r="P92" i="19"/>
  <c r="P90" i="19"/>
  <c r="P55" i="19"/>
  <c r="P47" i="19"/>
  <c r="P39" i="19"/>
  <c r="P31" i="19"/>
  <c r="P27" i="19"/>
  <c r="P25" i="19"/>
  <c r="P22" i="19"/>
  <c r="P198" i="19"/>
  <c r="P188" i="19"/>
  <c r="P181" i="19"/>
  <c r="P171" i="19"/>
  <c r="P138" i="19"/>
  <c r="P127" i="19"/>
  <c r="P123" i="19"/>
  <c r="P119" i="19"/>
  <c r="P110" i="19"/>
  <c r="P105" i="19"/>
  <c r="P98" i="19"/>
  <c r="P93" i="19"/>
  <c r="P87" i="19"/>
  <c r="P57" i="19"/>
  <c r="P54" i="19"/>
  <c r="P52" i="19"/>
  <c r="P50" i="19"/>
  <c r="P45" i="19"/>
  <c r="P43" i="19"/>
  <c r="P37" i="19"/>
  <c r="P29" i="19"/>
  <c r="P194" i="19"/>
  <c r="P184" i="19"/>
  <c r="P179" i="19"/>
  <c r="P139" i="19"/>
  <c r="P135" i="19"/>
  <c r="P129" i="19"/>
  <c r="P121" i="19"/>
  <c r="P111" i="19"/>
  <c r="P102" i="19"/>
  <c r="P100" i="19"/>
  <c r="P91" i="19"/>
  <c r="P88" i="19"/>
  <c r="P49" i="19"/>
  <c r="P41" i="19"/>
  <c r="P33" i="19"/>
  <c r="P26" i="19"/>
  <c r="P24" i="19"/>
  <c r="P196" i="19"/>
  <c r="P190" i="19"/>
  <c r="P180" i="19"/>
  <c r="P170" i="19"/>
  <c r="P134" i="19"/>
  <c r="P132" i="19"/>
  <c r="P124" i="19"/>
  <c r="P122" i="19"/>
  <c r="P115" i="19"/>
  <c r="P106" i="19"/>
  <c r="P104" i="19"/>
  <c r="P89" i="19"/>
  <c r="P58" i="19"/>
  <c r="P56" i="19"/>
  <c r="P53" i="19"/>
  <c r="P51" i="19"/>
  <c r="P46" i="19"/>
  <c r="P44" i="19"/>
  <c r="P42" i="19"/>
  <c r="P30" i="19"/>
  <c r="P21" i="19"/>
  <c r="P46" i="6"/>
  <c r="AE76" i="18"/>
  <c r="AM77" i="18"/>
  <c r="AM78" i="18" s="1"/>
  <c r="AM85" i="18" s="1"/>
  <c r="L31" i="18"/>
  <c r="L32" i="18" s="1"/>
  <c r="R30" i="18"/>
  <c r="R31" i="18" s="1"/>
  <c r="R30" i="17"/>
  <c r="R31" i="17" s="1"/>
  <c r="R32" i="17" s="1"/>
  <c r="L31" i="17"/>
  <c r="AE74" i="17"/>
  <c r="AM74" i="17"/>
  <c r="AM75" i="17" s="1"/>
  <c r="AM76" i="17" s="1"/>
  <c r="AM83" i="17" s="1"/>
  <c r="AE75" i="15"/>
  <c r="AM75" i="15"/>
  <c r="AM76" i="15" s="1"/>
  <c r="AM77" i="15" s="1"/>
  <c r="AM84" i="15" s="1"/>
  <c r="P31" i="15"/>
  <c r="R30" i="15"/>
  <c r="R31" i="15" s="1"/>
  <c r="R32" i="15" s="1"/>
  <c r="AM74" i="16"/>
  <c r="AM75" i="16" s="1"/>
  <c r="AM76" i="16" s="1"/>
  <c r="AM83" i="16" s="1"/>
  <c r="AE74" i="16"/>
  <c r="L31" i="16"/>
  <c r="L32" i="16" s="1"/>
  <c r="R30" i="16"/>
  <c r="R31" i="16" s="1"/>
  <c r="R32" i="16" s="1"/>
  <c r="F43" i="5"/>
  <c r="AK94" i="23"/>
  <c r="AQ69" i="17"/>
  <c r="P36" i="23" l="1"/>
  <c r="P51" i="6"/>
  <c r="P21" i="23"/>
  <c r="P66" i="21"/>
  <c r="P68" i="21"/>
  <c r="AM80" i="22"/>
  <c r="AO80" i="22" s="1"/>
  <c r="AM81" i="22"/>
  <c r="AO81" i="22" s="1"/>
  <c r="AM243" i="19"/>
  <c r="AO243" i="19" s="1"/>
  <c r="AO119" i="23"/>
  <c r="AQ119" i="23" s="1"/>
  <c r="AK119" i="23"/>
  <c r="AI117" i="23"/>
  <c r="AK117" i="23"/>
  <c r="AM355" i="19"/>
  <c r="AO355" i="19" s="1"/>
  <c r="AM329" i="19"/>
  <c r="AO329" i="19" s="1"/>
  <c r="AM250" i="19"/>
  <c r="AO250" i="19" s="1"/>
  <c r="N60" i="6"/>
  <c r="N57" i="6"/>
  <c r="N64" i="6"/>
  <c r="N62" i="6"/>
  <c r="N63" i="6"/>
  <c r="N58" i="6"/>
  <c r="N61" i="6"/>
  <c r="P65" i="5"/>
  <c r="X65" i="5" s="1"/>
  <c r="R64" i="5"/>
  <c r="X64" i="5"/>
  <c r="I67" i="3"/>
  <c r="K67" i="3" s="1"/>
  <c r="AI163" i="21"/>
  <c r="AK163" i="21" s="1"/>
  <c r="AO120" i="23"/>
  <c r="AQ120" i="23" s="1"/>
  <c r="AI118" i="23"/>
  <c r="AI119" i="23"/>
  <c r="R56" i="23"/>
  <c r="AO117" i="23"/>
  <c r="AQ117" i="23" s="1"/>
  <c r="AE121" i="23"/>
  <c r="AE123" i="23" s="1"/>
  <c r="P63" i="21"/>
  <c r="AQ162" i="21"/>
  <c r="AO163" i="21"/>
  <c r="AQ426" i="19"/>
  <c r="AQ96" i="22"/>
  <c r="AK109" i="25"/>
  <c r="P37" i="21"/>
  <c r="P67" i="21"/>
  <c r="P61" i="21"/>
  <c r="P64" i="21"/>
  <c r="AM343" i="19"/>
  <c r="AO343" i="19" s="1"/>
  <c r="P27" i="21"/>
  <c r="P33" i="21"/>
  <c r="P55" i="21"/>
  <c r="P34" i="21"/>
  <c r="P46" i="21"/>
  <c r="AM358" i="19"/>
  <c r="AO358" i="19" s="1"/>
  <c r="AM315" i="19"/>
  <c r="AO315" i="19" s="1"/>
  <c r="AM403" i="19"/>
  <c r="AO403" i="19" s="1"/>
  <c r="AM274" i="19"/>
  <c r="AO274" i="19" s="1"/>
  <c r="T46" i="5"/>
  <c r="AM255" i="19"/>
  <c r="AO255" i="19" s="1"/>
  <c r="AM259" i="19"/>
  <c r="AO259" i="19" s="1"/>
  <c r="AM344" i="19"/>
  <c r="AO344" i="19" s="1"/>
  <c r="AM314" i="19"/>
  <c r="AO314" i="19" s="1"/>
  <c r="AM415" i="19"/>
  <c r="AO415" i="19" s="1"/>
  <c r="AQ415" i="19" s="1"/>
  <c r="AM348" i="19"/>
  <c r="AO348" i="19" s="1"/>
  <c r="AM360" i="19"/>
  <c r="AO360" i="19" s="1"/>
  <c r="AQ360" i="19" s="1"/>
  <c r="AM350" i="19"/>
  <c r="AO350" i="19" s="1"/>
  <c r="AM277" i="19"/>
  <c r="AO277" i="19" s="1"/>
  <c r="AM325" i="19"/>
  <c r="AO325" i="19" s="1"/>
  <c r="AQ325" i="19" s="1"/>
  <c r="AM267" i="19"/>
  <c r="AO267" i="19" s="1"/>
  <c r="AM395" i="19"/>
  <c r="AO395" i="19" s="1"/>
  <c r="AQ395" i="19" s="1"/>
  <c r="AM336" i="19"/>
  <c r="AO336" i="19" s="1"/>
  <c r="AM420" i="19"/>
  <c r="AO420" i="19" s="1"/>
  <c r="AQ420" i="19" s="1"/>
  <c r="AM406" i="19"/>
  <c r="AO406" i="19" s="1"/>
  <c r="AM328" i="19"/>
  <c r="AO328" i="19" s="1"/>
  <c r="AM246" i="19"/>
  <c r="AO246" i="19" s="1"/>
  <c r="AM279" i="19"/>
  <c r="AO279" i="19" s="1"/>
  <c r="AM260" i="19"/>
  <c r="AO260" i="19" s="1"/>
  <c r="AM410" i="19"/>
  <c r="AO410" i="19" s="1"/>
  <c r="AM354" i="19"/>
  <c r="AO354" i="19" s="1"/>
  <c r="AM397" i="19"/>
  <c r="AO397" i="19" s="1"/>
  <c r="AM346" i="19"/>
  <c r="AO346" i="19" s="1"/>
  <c r="AM326" i="19"/>
  <c r="AO326" i="19" s="1"/>
  <c r="AM269" i="19"/>
  <c r="AO269" i="19" s="1"/>
  <c r="AM245" i="19"/>
  <c r="AO245" i="19" s="1"/>
  <c r="AM323" i="19"/>
  <c r="AO323" i="19" s="1"/>
  <c r="AM276" i="19"/>
  <c r="AO276" i="19" s="1"/>
  <c r="AM265" i="19"/>
  <c r="AO265" i="19" s="1"/>
  <c r="AM409" i="19"/>
  <c r="AO409" i="19" s="1"/>
  <c r="AQ409" i="19" s="1"/>
  <c r="AM257" i="19"/>
  <c r="AO257" i="19" s="1"/>
  <c r="AM396" i="19"/>
  <c r="AO396" i="19" s="1"/>
  <c r="AQ396" i="19" s="1"/>
  <c r="AM393" i="19"/>
  <c r="AO393" i="19" s="1"/>
  <c r="AQ393" i="19" s="1"/>
  <c r="AM416" i="19"/>
  <c r="AO416" i="19" s="1"/>
  <c r="AM353" i="19"/>
  <c r="AO353" i="19" s="1"/>
  <c r="AQ353" i="19" s="1"/>
  <c r="AM337" i="19"/>
  <c r="AO337" i="19" s="1"/>
  <c r="AM309" i="19"/>
  <c r="AO309" i="19" s="1"/>
  <c r="AQ309" i="19" s="1"/>
  <c r="AM249" i="19"/>
  <c r="AO249" i="19" s="1"/>
  <c r="AM333" i="19"/>
  <c r="AO333" i="19" s="1"/>
  <c r="AQ333" i="19" s="1"/>
  <c r="AM312" i="19"/>
  <c r="AO312" i="19" s="1"/>
  <c r="AM272" i="19"/>
  <c r="AO272" i="19" s="1"/>
  <c r="AM251" i="19"/>
  <c r="AO251" i="19" s="1"/>
  <c r="AM321" i="19"/>
  <c r="AO321" i="19" s="1"/>
  <c r="AQ321" i="19" s="1"/>
  <c r="AM359" i="19"/>
  <c r="AO359" i="19" s="1"/>
  <c r="AQ359" i="19" s="1"/>
  <c r="AM339" i="19"/>
  <c r="AO339" i="19" s="1"/>
  <c r="AM398" i="19"/>
  <c r="AO398" i="19" s="1"/>
  <c r="AM412" i="19"/>
  <c r="AO412" i="19" s="1"/>
  <c r="AQ412" i="19" s="1"/>
  <c r="AM392" i="19"/>
  <c r="AO392" i="19" s="1"/>
  <c r="P33" i="4"/>
  <c r="AM408" i="19"/>
  <c r="AO408" i="19" s="1"/>
  <c r="AM361" i="19"/>
  <c r="AO361" i="19" s="1"/>
  <c r="AM351" i="19"/>
  <c r="AO351" i="19" s="1"/>
  <c r="AM345" i="19"/>
  <c r="AO345" i="19" s="1"/>
  <c r="AM332" i="19"/>
  <c r="AO332" i="19" s="1"/>
  <c r="AQ332" i="19" s="1"/>
  <c r="AM320" i="19"/>
  <c r="AO320" i="19" s="1"/>
  <c r="AM280" i="19"/>
  <c r="AO280" i="19" s="1"/>
  <c r="AM261" i="19"/>
  <c r="AO261" i="19" s="1"/>
  <c r="AQ261" i="19" s="1"/>
  <c r="AM247" i="19"/>
  <c r="AO247" i="19" s="1"/>
  <c r="AM244" i="19"/>
  <c r="AO244" i="19" s="1"/>
  <c r="AM331" i="19"/>
  <c r="AO331" i="19" s="1"/>
  <c r="AQ331" i="19" s="1"/>
  <c r="AM322" i="19"/>
  <c r="AO322" i="19" s="1"/>
  <c r="AM310" i="19"/>
  <c r="AO310" i="19" s="1"/>
  <c r="AM275" i="19"/>
  <c r="AO275" i="19" s="1"/>
  <c r="AM268" i="19"/>
  <c r="AO268" i="19" s="1"/>
  <c r="AM264" i="19"/>
  <c r="AO264" i="19" s="1"/>
  <c r="AM248" i="19"/>
  <c r="AO248" i="19" s="1"/>
  <c r="AM405" i="19"/>
  <c r="AO405" i="19" s="1"/>
  <c r="AM417" i="19"/>
  <c r="AO417" i="19" s="1"/>
  <c r="AQ417" i="19" s="1"/>
  <c r="AM335" i="19"/>
  <c r="AO335" i="19" s="1"/>
  <c r="AQ335" i="19" s="1"/>
  <c r="AM407" i="19"/>
  <c r="AO407" i="19" s="1"/>
  <c r="AM338" i="19"/>
  <c r="AO338" i="19" s="1"/>
  <c r="AM391" i="19"/>
  <c r="AO391" i="19" s="1"/>
  <c r="AM342" i="19"/>
  <c r="AO342" i="19" s="1"/>
  <c r="AM418" i="19"/>
  <c r="AO418" i="19" s="1"/>
  <c r="AM402" i="19"/>
  <c r="AO402" i="19" s="1"/>
  <c r="AM356" i="19"/>
  <c r="AO356" i="19" s="1"/>
  <c r="AM419" i="19"/>
  <c r="AO419" i="19" s="1"/>
  <c r="AM404" i="19"/>
  <c r="AO404" i="19" s="1"/>
  <c r="AM357" i="19"/>
  <c r="AO357" i="19" s="1"/>
  <c r="AM349" i="19"/>
  <c r="AO349" i="19" s="1"/>
  <c r="AM341" i="19"/>
  <c r="AO341" i="19" s="1"/>
  <c r="AQ341" i="19" s="1"/>
  <c r="AM327" i="19"/>
  <c r="AO327" i="19" s="1"/>
  <c r="AM311" i="19"/>
  <c r="AO311" i="19" s="1"/>
  <c r="AM271" i="19"/>
  <c r="AO271" i="19" s="1"/>
  <c r="AM253" i="19"/>
  <c r="AO253" i="19" s="1"/>
  <c r="AM340" i="19"/>
  <c r="AO340" i="19" s="1"/>
  <c r="AQ340" i="19" s="1"/>
  <c r="AM324" i="19"/>
  <c r="AO324" i="19" s="1"/>
  <c r="AM313" i="19"/>
  <c r="AO313" i="19" s="1"/>
  <c r="AQ313" i="19" s="1"/>
  <c r="AM278" i="19"/>
  <c r="AO278" i="19" s="1"/>
  <c r="AM273" i="19"/>
  <c r="AO273" i="19" s="1"/>
  <c r="AM266" i="19"/>
  <c r="AO266" i="19" s="1"/>
  <c r="AM252" i="19"/>
  <c r="AO252" i="19" s="1"/>
  <c r="AM263" i="19"/>
  <c r="AO263" i="19" s="1"/>
  <c r="AM390" i="19"/>
  <c r="AO390" i="19" s="1"/>
  <c r="AQ390" i="19" s="1"/>
  <c r="AM411" i="19"/>
  <c r="AO411" i="19" s="1"/>
  <c r="AQ411" i="19" s="1"/>
  <c r="AM258" i="19"/>
  <c r="AO258" i="19" s="1"/>
  <c r="AM347" i="19"/>
  <c r="AO347" i="19" s="1"/>
  <c r="AQ347" i="19" s="1"/>
  <c r="AM256" i="19"/>
  <c r="AO256" i="19" s="1"/>
  <c r="AM401" i="19"/>
  <c r="AO401" i="19" s="1"/>
  <c r="AM414" i="19"/>
  <c r="AO414" i="19" s="1"/>
  <c r="AQ414" i="19" s="1"/>
  <c r="AM394" i="19"/>
  <c r="AO394" i="19" s="1"/>
  <c r="AQ394" i="19" s="1"/>
  <c r="AM270" i="19"/>
  <c r="AO270" i="19" s="1"/>
  <c r="AM413" i="19"/>
  <c r="AO413" i="19" s="1"/>
  <c r="AQ413" i="19" s="1"/>
  <c r="P41" i="21"/>
  <c r="P36" i="21"/>
  <c r="P70" i="21"/>
  <c r="P54" i="21"/>
  <c r="P32" i="21"/>
  <c r="P43" i="21"/>
  <c r="P49" i="21"/>
  <c r="P29" i="21"/>
  <c r="P51" i="21"/>
  <c r="P40" i="21"/>
  <c r="P52" i="21"/>
  <c r="P23" i="21"/>
  <c r="P48" i="21"/>
  <c r="P47" i="21"/>
  <c r="P24" i="21"/>
  <c r="P35" i="21"/>
  <c r="P50" i="21"/>
  <c r="P22" i="21"/>
  <c r="P42" i="21"/>
  <c r="P28" i="21"/>
  <c r="P56" i="21"/>
  <c r="AE165" i="21"/>
  <c r="H37" i="4"/>
  <c r="AM123" i="23"/>
  <c r="AQ79" i="16"/>
  <c r="AM74" i="22"/>
  <c r="AO74" i="22" s="1"/>
  <c r="AQ74" i="22" s="1"/>
  <c r="AM87" i="22"/>
  <c r="AO87" i="22" s="1"/>
  <c r="AQ87" i="22" s="1"/>
  <c r="AM83" i="22"/>
  <c r="AO83" i="22" s="1"/>
  <c r="AM82" i="22"/>
  <c r="AO82" i="22" s="1"/>
  <c r="T50" i="5"/>
  <c r="AM88" i="22"/>
  <c r="AO88" i="22" s="1"/>
  <c r="AO81" i="17"/>
  <c r="AQ81" i="17" s="1"/>
  <c r="R65" i="6"/>
  <c r="AM78" i="22"/>
  <c r="AO78" i="22" s="1"/>
  <c r="P37" i="4"/>
  <c r="AM89" i="22"/>
  <c r="AM75" i="22"/>
  <c r="AO75" i="22" s="1"/>
  <c r="R39" i="17"/>
  <c r="AK81" i="17"/>
  <c r="AQ80" i="16"/>
  <c r="R39" i="15"/>
  <c r="AI81" i="16"/>
  <c r="AK81" i="16" s="1"/>
  <c r="R37" i="16"/>
  <c r="R39" i="16" s="1"/>
  <c r="AO103" i="25"/>
  <c r="AI76" i="18"/>
  <c r="AI77" i="18" s="1"/>
  <c r="AI78" i="18" s="1"/>
  <c r="R57" i="5"/>
  <c r="X57" i="5"/>
  <c r="AM103" i="25"/>
  <c r="AQ109" i="25"/>
  <c r="AO82" i="18"/>
  <c r="AQ82" i="18" s="1"/>
  <c r="R37" i="18"/>
  <c r="AK81" i="18"/>
  <c r="AO81" i="18"/>
  <c r="AE83" i="18"/>
  <c r="AI83" i="18"/>
  <c r="AO81" i="16"/>
  <c r="AM156" i="21"/>
  <c r="AK120" i="23"/>
  <c r="AQ146" i="24"/>
  <c r="AK146" i="24"/>
  <c r="AM85" i="20"/>
  <c r="AO85" i="20" s="1"/>
  <c r="P34" i="4"/>
  <c r="AM92" i="20"/>
  <c r="AM77" i="20"/>
  <c r="AO77" i="20" s="1"/>
  <c r="T47" i="5"/>
  <c r="AK99" i="20"/>
  <c r="AQ99" i="20"/>
  <c r="P52" i="6"/>
  <c r="P61" i="24"/>
  <c r="P48" i="24"/>
  <c r="P35" i="24"/>
  <c r="P23" i="24"/>
  <c r="P54" i="24"/>
  <c r="P43" i="24"/>
  <c r="P32" i="24"/>
  <c r="P55" i="24"/>
  <c r="P42" i="24"/>
  <c r="P29" i="24"/>
  <c r="P60" i="24"/>
  <c r="P51" i="24"/>
  <c r="P36" i="24"/>
  <c r="P24" i="24"/>
  <c r="P34" i="24"/>
  <c r="P47" i="24"/>
  <c r="P56" i="24"/>
  <c r="P33" i="24"/>
  <c r="P46" i="24"/>
  <c r="P57" i="24"/>
  <c r="P28" i="24"/>
  <c r="P41" i="24"/>
  <c r="P53" i="24"/>
  <c r="P64" i="24"/>
  <c r="P27" i="24"/>
  <c r="P40" i="24"/>
  <c r="P52" i="24"/>
  <c r="P22" i="24"/>
  <c r="AM149" i="24"/>
  <c r="H52" i="5"/>
  <c r="H39" i="4"/>
  <c r="P47" i="23"/>
  <c r="P22" i="23"/>
  <c r="P29" i="23"/>
  <c r="P23" i="23"/>
  <c r="P37" i="23"/>
  <c r="P33" i="23"/>
  <c r="P31" i="23"/>
  <c r="P48" i="23"/>
  <c r="P44" i="23"/>
  <c r="P42" i="23"/>
  <c r="L39" i="18"/>
  <c r="R32" i="18"/>
  <c r="L32" i="17"/>
  <c r="L39" i="16"/>
  <c r="P32" i="15"/>
  <c r="P39" i="15" s="1"/>
  <c r="G68" i="3"/>
  <c r="I64" i="3"/>
  <c r="AO155" i="21"/>
  <c r="AO143" i="21"/>
  <c r="AE77" i="18"/>
  <c r="AE78" i="18" s="1"/>
  <c r="AO76" i="18"/>
  <c r="AE75" i="17"/>
  <c r="AE76" i="17" s="1"/>
  <c r="AO74" i="17"/>
  <c r="AI74" i="17"/>
  <c r="AE76" i="15"/>
  <c r="AE77" i="15" s="1"/>
  <c r="AI75" i="15"/>
  <c r="AI76" i="15" s="1"/>
  <c r="AI77" i="15" s="1"/>
  <c r="AI84" i="15" s="1"/>
  <c r="AO75" i="15"/>
  <c r="AE75" i="16"/>
  <c r="AI74" i="16"/>
  <c r="AO74" i="16"/>
  <c r="AO75" i="16" s="1"/>
  <c r="AO76" i="16" s="1"/>
  <c r="J36" i="4" l="1"/>
  <c r="L36" i="4" s="1"/>
  <c r="AG154" i="21"/>
  <c r="L49" i="5"/>
  <c r="AM86" i="23"/>
  <c r="AO86" i="23" s="1"/>
  <c r="T51" i="5"/>
  <c r="P38" i="4"/>
  <c r="AG118" i="23"/>
  <c r="L51" i="5"/>
  <c r="J38" i="4"/>
  <c r="L38" i="4" s="1"/>
  <c r="AG86" i="23"/>
  <c r="AG88" i="23"/>
  <c r="R65" i="5"/>
  <c r="AG94" i="23"/>
  <c r="AG119" i="23"/>
  <c r="AI121" i="23"/>
  <c r="AK121" i="23" s="1"/>
  <c r="AG107" i="23"/>
  <c r="AG109" i="23"/>
  <c r="AG101" i="23"/>
  <c r="AG113" i="23"/>
  <c r="AE106" i="25"/>
  <c r="AO121" i="23"/>
  <c r="AQ163" i="21"/>
  <c r="AG87" i="23"/>
  <c r="AG120" i="23"/>
  <c r="AG96" i="23"/>
  <c r="AG114" i="23"/>
  <c r="AG121" i="23"/>
  <c r="AG98" i="23"/>
  <c r="AG102" i="23"/>
  <c r="AG112" i="23"/>
  <c r="AG117" i="23"/>
  <c r="AG118" i="21"/>
  <c r="AG107" i="21"/>
  <c r="AG156" i="21"/>
  <c r="AG161" i="21"/>
  <c r="AG159" i="21"/>
  <c r="AG160" i="21"/>
  <c r="AQ81" i="16"/>
  <c r="AO316" i="19"/>
  <c r="AO421" i="19"/>
  <c r="AG108" i="21"/>
  <c r="AG129" i="21"/>
  <c r="AG135" i="21"/>
  <c r="AG123" i="21"/>
  <c r="AG142" i="21"/>
  <c r="AG134" i="21"/>
  <c r="AG128" i="21"/>
  <c r="AG115" i="21"/>
  <c r="AG138" i="21"/>
  <c r="AG163" i="21"/>
  <c r="AG155" i="21"/>
  <c r="AG121" i="21"/>
  <c r="AG114" i="21"/>
  <c r="AG140" i="21"/>
  <c r="AG162" i="21"/>
  <c r="AG132" i="21"/>
  <c r="AG126" i="21"/>
  <c r="AG127" i="21"/>
  <c r="AG149" i="21"/>
  <c r="AG150" i="21"/>
  <c r="AG119" i="21"/>
  <c r="AG109" i="21"/>
  <c r="AG110" i="21"/>
  <c r="AG120" i="21"/>
  <c r="AG147" i="21"/>
  <c r="AG137" i="21"/>
  <c r="AG133" i="21"/>
  <c r="AG152" i="21"/>
  <c r="AG141" i="21"/>
  <c r="AG136" i="21"/>
  <c r="AG122" i="21"/>
  <c r="AG113" i="21"/>
  <c r="AG143" i="21"/>
  <c r="AG153" i="21"/>
  <c r="AM101" i="23"/>
  <c r="AO101" i="23" s="1"/>
  <c r="AM112" i="23"/>
  <c r="AO112" i="23" s="1"/>
  <c r="AM94" i="23"/>
  <c r="AO94" i="23" s="1"/>
  <c r="AM88" i="23"/>
  <c r="AM109" i="23"/>
  <c r="AO109" i="23" s="1"/>
  <c r="AQ109" i="23" s="1"/>
  <c r="AM96" i="23"/>
  <c r="AO96" i="23" s="1"/>
  <c r="AM98" i="23"/>
  <c r="AO98" i="23" s="1"/>
  <c r="AM113" i="23"/>
  <c r="AM87" i="23"/>
  <c r="AO87" i="23" s="1"/>
  <c r="AM107" i="23"/>
  <c r="AO107" i="23" s="1"/>
  <c r="AQ107" i="23" s="1"/>
  <c r="AM102" i="23"/>
  <c r="AM90" i="22"/>
  <c r="AO89" i="22"/>
  <c r="AK76" i="18"/>
  <c r="R39" i="18"/>
  <c r="AK83" i="18"/>
  <c r="AI85" i="18"/>
  <c r="AK78" i="18"/>
  <c r="AE85" i="18"/>
  <c r="AG77" i="18" s="1"/>
  <c r="AO83" i="18"/>
  <c r="AQ83" i="18" s="1"/>
  <c r="AQ81" i="18"/>
  <c r="AE83" i="17"/>
  <c r="AG76" i="17" s="1"/>
  <c r="AE76" i="16"/>
  <c r="AK77" i="15"/>
  <c r="AE84" i="15"/>
  <c r="AO156" i="21"/>
  <c r="AO165" i="21" s="1"/>
  <c r="AO83" i="16"/>
  <c r="AO92" i="20"/>
  <c r="AO93" i="20" s="1"/>
  <c r="AM93" i="20"/>
  <c r="P65" i="24"/>
  <c r="T52" i="5"/>
  <c r="AM131" i="24"/>
  <c r="AO131" i="24" s="1"/>
  <c r="AM136" i="24"/>
  <c r="AO136" i="24" s="1"/>
  <c r="AM130" i="24"/>
  <c r="AO130" i="24" s="1"/>
  <c r="AM126" i="24"/>
  <c r="AO126" i="24" s="1"/>
  <c r="AM118" i="24"/>
  <c r="AO118" i="24" s="1"/>
  <c r="AM111" i="24"/>
  <c r="AO111" i="24" s="1"/>
  <c r="AM107" i="24"/>
  <c r="AO107" i="24" s="1"/>
  <c r="AM102" i="24"/>
  <c r="AO102" i="24" s="1"/>
  <c r="AM121" i="24"/>
  <c r="AO121" i="24" s="1"/>
  <c r="AM115" i="24"/>
  <c r="AO115" i="24" s="1"/>
  <c r="AM108" i="24"/>
  <c r="AO108" i="24" s="1"/>
  <c r="AM99" i="24"/>
  <c r="AO99" i="24" s="1"/>
  <c r="AM97" i="24"/>
  <c r="P39" i="4"/>
  <c r="AM127" i="24"/>
  <c r="AO127" i="24" s="1"/>
  <c r="AM139" i="24"/>
  <c r="AO139" i="24" s="1"/>
  <c r="AM135" i="24"/>
  <c r="AO135" i="24" s="1"/>
  <c r="AM129" i="24"/>
  <c r="AO129" i="24" s="1"/>
  <c r="AM132" i="24"/>
  <c r="AO132" i="24" s="1"/>
  <c r="AM128" i="24"/>
  <c r="AO128" i="24" s="1"/>
  <c r="AM122" i="24"/>
  <c r="AO122" i="24" s="1"/>
  <c r="AM116" i="24"/>
  <c r="AO116" i="24" s="1"/>
  <c r="AM109" i="24"/>
  <c r="AO109" i="24" s="1"/>
  <c r="AM104" i="24"/>
  <c r="AO104" i="24" s="1"/>
  <c r="AM98" i="24"/>
  <c r="AO98" i="24" s="1"/>
  <c r="AM123" i="24"/>
  <c r="AO123" i="24" s="1"/>
  <c r="AM117" i="24"/>
  <c r="AO117" i="24" s="1"/>
  <c r="AM110" i="24"/>
  <c r="AO110" i="24" s="1"/>
  <c r="AM103" i="24"/>
  <c r="AO103" i="24" s="1"/>
  <c r="P49" i="23"/>
  <c r="L39" i="17"/>
  <c r="K64" i="3"/>
  <c r="I68" i="3"/>
  <c r="K68" i="3" s="1"/>
  <c r="AQ76" i="18"/>
  <c r="AO77" i="18"/>
  <c r="AO78" i="18" s="1"/>
  <c r="AK77" i="18"/>
  <c r="AK74" i="17"/>
  <c r="AI75" i="17"/>
  <c r="AI76" i="17" s="1"/>
  <c r="AQ74" i="17"/>
  <c r="AO75" i="17"/>
  <c r="AO76" i="17" s="1"/>
  <c r="AK76" i="15"/>
  <c r="AK75" i="15"/>
  <c r="AO76" i="15"/>
  <c r="AO77" i="15" s="1"/>
  <c r="AK74" i="16"/>
  <c r="AQ74" i="16"/>
  <c r="AI75" i="16"/>
  <c r="AI76" i="16" s="1"/>
  <c r="J51" i="5" l="1"/>
  <c r="J49" i="5"/>
  <c r="V49" i="5"/>
  <c r="E49" i="3"/>
  <c r="R36" i="4"/>
  <c r="AQ121" i="23"/>
  <c r="AE110" i="25"/>
  <c r="AO106" i="25"/>
  <c r="AK106" i="25"/>
  <c r="AE423" i="19"/>
  <c r="AO90" i="22"/>
  <c r="AM114" i="23"/>
  <c r="AQ94" i="23"/>
  <c r="AO102" i="23"/>
  <c r="AO113" i="23"/>
  <c r="AO88" i="23"/>
  <c r="AG78" i="18"/>
  <c r="AG76" i="18"/>
  <c r="AG75" i="17"/>
  <c r="AG83" i="18"/>
  <c r="AG81" i="18"/>
  <c r="AG82" i="18"/>
  <c r="AK76" i="17"/>
  <c r="AI83" i="17"/>
  <c r="AG79" i="17"/>
  <c r="AG80" i="17"/>
  <c r="AG81" i="17"/>
  <c r="AK76" i="16"/>
  <c r="AI83" i="16"/>
  <c r="AE83" i="16"/>
  <c r="AQ76" i="16"/>
  <c r="AQ76" i="17"/>
  <c r="AO83" i="17"/>
  <c r="AQ78" i="18"/>
  <c r="AO85" i="18"/>
  <c r="AE96" i="20"/>
  <c r="AK96" i="20" s="1"/>
  <c r="AO97" i="24"/>
  <c r="AO140" i="24" s="1"/>
  <c r="AM140" i="24"/>
  <c r="AG71" i="18"/>
  <c r="AK85" i="18"/>
  <c r="AG75" i="18"/>
  <c r="AG74" i="18"/>
  <c r="AG70" i="18"/>
  <c r="AQ77" i="18"/>
  <c r="AG69" i="17"/>
  <c r="AG74" i="17"/>
  <c r="AG72" i="17"/>
  <c r="AG68" i="17"/>
  <c r="AG73" i="17"/>
  <c r="AQ75" i="17"/>
  <c r="AK75" i="17"/>
  <c r="AO84" i="15"/>
  <c r="AK84" i="15"/>
  <c r="J39" i="5"/>
  <c r="L29" i="4"/>
  <c r="AK75" i="16"/>
  <c r="AQ75" i="16"/>
  <c r="AE143" i="24" l="1"/>
  <c r="AK143" i="24" s="1"/>
  <c r="AO423" i="19"/>
  <c r="AE427" i="19"/>
  <c r="AK423" i="19"/>
  <c r="AQ106" i="25"/>
  <c r="AO110" i="25"/>
  <c r="AE93" i="22"/>
  <c r="AK93" i="22" s="1"/>
  <c r="AE112" i="25"/>
  <c r="AG110" i="25" s="1"/>
  <c r="AE100" i="20"/>
  <c r="AE102" i="20" s="1"/>
  <c r="AO96" i="20"/>
  <c r="AO114" i="23"/>
  <c r="AG74" i="16"/>
  <c r="AG75" i="16"/>
  <c r="AG79" i="16"/>
  <c r="AG80" i="16"/>
  <c r="AG81" i="16"/>
  <c r="AG68" i="16"/>
  <c r="AG72" i="16"/>
  <c r="AG69" i="16"/>
  <c r="AG73" i="16"/>
  <c r="AG76" i="16"/>
  <c r="AQ85" i="18"/>
  <c r="AK83" i="17"/>
  <c r="AQ83" i="17"/>
  <c r="AK83" i="16"/>
  <c r="AQ83" i="16"/>
  <c r="AG96" i="20" l="1"/>
  <c r="AG92" i="20"/>
  <c r="AE147" i="24"/>
  <c r="AE149" i="24" s="1"/>
  <c r="AO143" i="24"/>
  <c r="AQ143" i="24" s="1"/>
  <c r="AO100" i="20"/>
  <c r="AO102" i="20" s="1"/>
  <c r="V47" i="5" s="1"/>
  <c r="AQ96" i="20"/>
  <c r="AO93" i="22"/>
  <c r="AE97" i="22"/>
  <c r="AG108" i="25"/>
  <c r="AG81" i="25"/>
  <c r="AG102" i="25"/>
  <c r="L53" i="5"/>
  <c r="J53" i="5" s="1"/>
  <c r="AG86" i="25"/>
  <c r="AG107" i="25"/>
  <c r="AG101" i="25"/>
  <c r="AG103" i="25"/>
  <c r="AG97" i="25"/>
  <c r="AG94" i="25"/>
  <c r="AG95" i="25"/>
  <c r="AG109" i="25"/>
  <c r="AG92" i="25"/>
  <c r="AG106" i="25"/>
  <c r="AG82" i="25"/>
  <c r="J40" i="4"/>
  <c r="L40" i="4" s="1"/>
  <c r="AG91" i="25"/>
  <c r="AG88" i="25"/>
  <c r="AG93" i="25"/>
  <c r="AG83" i="25"/>
  <c r="AG87" i="25"/>
  <c r="AG96" i="25"/>
  <c r="AG100" i="25"/>
  <c r="AG80" i="25"/>
  <c r="AE433" i="19"/>
  <c r="AO112" i="25"/>
  <c r="AQ423" i="19"/>
  <c r="AO427" i="19"/>
  <c r="AG100" i="20"/>
  <c r="L47" i="5"/>
  <c r="J47" i="5" s="1"/>
  <c r="AG99" i="20"/>
  <c r="AG98" i="20"/>
  <c r="AG93" i="20"/>
  <c r="AG77" i="20"/>
  <c r="AG85" i="20"/>
  <c r="AG97" i="20"/>
  <c r="J34" i="4"/>
  <c r="L34" i="4" s="1"/>
  <c r="AO123" i="23"/>
  <c r="I39" i="3"/>
  <c r="K39" i="3" s="1"/>
  <c r="R38" i="4" l="1"/>
  <c r="E51" i="3"/>
  <c r="V51" i="5"/>
  <c r="AG147" i="24"/>
  <c r="AG139" i="24"/>
  <c r="AG427" i="19"/>
  <c r="AG421" i="19"/>
  <c r="AG420" i="19"/>
  <c r="AG314" i="19"/>
  <c r="AO147" i="24"/>
  <c r="AO149" i="24" s="1"/>
  <c r="R39" i="4" s="1"/>
  <c r="E47" i="3"/>
  <c r="R34" i="4"/>
  <c r="AO97" i="22"/>
  <c r="AO99" i="22" s="1"/>
  <c r="V50" i="5" s="1"/>
  <c r="AQ93" i="22"/>
  <c r="AG108" i="24"/>
  <c r="AG129" i="24"/>
  <c r="AG99" i="24"/>
  <c r="AG123" i="24"/>
  <c r="AG110" i="24"/>
  <c r="AG128" i="24"/>
  <c r="AG136" i="24"/>
  <c r="AG109" i="24"/>
  <c r="AG140" i="24"/>
  <c r="AG127" i="24"/>
  <c r="AG97" i="24"/>
  <c r="AG121" i="24"/>
  <c r="AG107" i="24"/>
  <c r="AG104" i="24"/>
  <c r="AG145" i="24"/>
  <c r="AG117" i="24"/>
  <c r="AG115" i="24"/>
  <c r="AG126" i="24"/>
  <c r="AG130" i="24"/>
  <c r="AG144" i="24"/>
  <c r="AG131" i="24"/>
  <c r="L52" i="5"/>
  <c r="J52" i="5" s="1"/>
  <c r="J39" i="4"/>
  <c r="AG111" i="24"/>
  <c r="AG98" i="24"/>
  <c r="AG116" i="24"/>
  <c r="AG103" i="24"/>
  <c r="AG146" i="24"/>
  <c r="AG118" i="24"/>
  <c r="AG122" i="24"/>
  <c r="AG135" i="24"/>
  <c r="AG102" i="24"/>
  <c r="AG132" i="24"/>
  <c r="AG143" i="24"/>
  <c r="AE99" i="22"/>
  <c r="AO433" i="19"/>
  <c r="R40" i="4"/>
  <c r="V53" i="5"/>
  <c r="E53" i="3"/>
  <c r="AG424" i="19"/>
  <c r="AG412" i="19"/>
  <c r="AG356" i="19"/>
  <c r="AG255" i="19"/>
  <c r="AG244" i="19"/>
  <c r="AG267" i="19"/>
  <c r="AG259" i="19"/>
  <c r="AG276" i="19"/>
  <c r="AG245" i="19"/>
  <c r="AG404" i="19"/>
  <c r="AG344" i="19"/>
  <c r="AG411" i="19"/>
  <c r="AG398" i="19"/>
  <c r="AG396" i="19"/>
  <c r="AG347" i="19"/>
  <c r="AG260" i="19"/>
  <c r="AG256" i="19"/>
  <c r="AG316" i="19"/>
  <c r="AG315" i="19"/>
  <c r="AG357" i="19"/>
  <c r="AG249" i="19"/>
  <c r="AG354" i="19"/>
  <c r="AG326" i="19"/>
  <c r="AG272" i="19"/>
  <c r="AG337" i="19"/>
  <c r="AG419" i="19"/>
  <c r="AG277" i="19"/>
  <c r="AG397" i="19"/>
  <c r="AG335" i="19"/>
  <c r="AG309" i="19"/>
  <c r="AG426" i="19"/>
  <c r="AG278" i="19"/>
  <c r="AG265" i="19"/>
  <c r="AG280" i="19"/>
  <c r="AG401" i="19"/>
  <c r="AG325" i="19"/>
  <c r="AG343" i="19"/>
  <c r="J33" i="4"/>
  <c r="L33" i="4" s="1"/>
  <c r="AG416" i="19"/>
  <c r="AG323" i="19"/>
  <c r="AG430" i="19"/>
  <c r="AG311" i="19"/>
  <c r="AG341" i="19"/>
  <c r="AG332" i="19"/>
  <c r="AG333" i="19"/>
  <c r="AG392" i="19"/>
  <c r="AG432" i="19"/>
  <c r="AG418" i="19"/>
  <c r="AG268" i="19"/>
  <c r="AG361" i="19"/>
  <c r="AG406" i="19"/>
  <c r="AG329" i="19"/>
  <c r="AG269" i="19"/>
  <c r="AG327" i="19"/>
  <c r="AG263" i="19"/>
  <c r="AG417" i="19"/>
  <c r="AG405" i="19"/>
  <c r="AG414" i="19"/>
  <c r="AG391" i="19"/>
  <c r="AG338" i="19"/>
  <c r="AG360" i="19"/>
  <c r="AG247" i="19"/>
  <c r="AG331" i="19"/>
  <c r="AG264" i="19"/>
  <c r="AG403" i="19"/>
  <c r="AG351" i="19"/>
  <c r="AG312" i="19"/>
  <c r="AG402" i="19"/>
  <c r="AG251" i="19"/>
  <c r="AG349" i="19"/>
  <c r="AG321" i="19"/>
  <c r="AG395" i="19"/>
  <c r="AG313" i="19"/>
  <c r="AG425" i="19"/>
  <c r="AG320" i="19"/>
  <c r="AG350" i="19"/>
  <c r="AG266" i="19"/>
  <c r="AG324" i="19"/>
  <c r="AG355" i="19"/>
  <c r="AG253" i="19"/>
  <c r="AG246" i="19"/>
  <c r="AG279" i="19"/>
  <c r="AG390" i="19"/>
  <c r="AG407" i="19"/>
  <c r="AG394" i="19"/>
  <c r="AG342" i="19"/>
  <c r="AG339" i="19"/>
  <c r="AG257" i="19"/>
  <c r="AG345" i="19"/>
  <c r="AG274" i="19"/>
  <c r="AG248" i="19"/>
  <c r="AG252" i="19"/>
  <c r="AG346" i="19"/>
  <c r="AG273" i="19"/>
  <c r="AG328" i="19"/>
  <c r="AG408" i="19"/>
  <c r="AG270" i="19"/>
  <c r="AG340" i="19"/>
  <c r="AG275" i="19"/>
  <c r="AG322" i="19"/>
  <c r="AG359" i="19"/>
  <c r="AG336" i="19"/>
  <c r="AG353" i="19"/>
  <c r="AG415" i="19"/>
  <c r="AG413" i="19"/>
  <c r="AG258" i="19"/>
  <c r="AG310" i="19"/>
  <c r="AG431" i="19"/>
  <c r="AG358" i="19"/>
  <c r="AG409" i="19"/>
  <c r="AG348" i="19"/>
  <c r="AG393" i="19"/>
  <c r="AG410" i="19"/>
  <c r="AG271" i="19"/>
  <c r="L46" i="5"/>
  <c r="J46" i="5" s="1"/>
  <c r="AG250" i="19"/>
  <c r="AG243" i="19"/>
  <c r="AG261" i="19"/>
  <c r="AG423" i="19"/>
  <c r="AG97" i="22" l="1"/>
  <c r="AG74" i="22"/>
  <c r="AG81" i="22"/>
  <c r="L39" i="4"/>
  <c r="V52" i="5"/>
  <c r="E52" i="3"/>
  <c r="R37" i="4"/>
  <c r="E50" i="3"/>
  <c r="AG90" i="22"/>
  <c r="AG75" i="22"/>
  <c r="AG80" i="22"/>
  <c r="AG95" i="22"/>
  <c r="AG88" i="22"/>
  <c r="AG96" i="22"/>
  <c r="AG94" i="22"/>
  <c r="AG89" i="22"/>
  <c r="AG78" i="22"/>
  <c r="J37" i="4"/>
  <c r="L37" i="4" s="1"/>
  <c r="L50" i="5"/>
  <c r="J50" i="5" s="1"/>
  <c r="AG82" i="22"/>
  <c r="AG87" i="22"/>
  <c r="AG93" i="22"/>
  <c r="E46" i="3"/>
  <c r="R33" i="4"/>
  <c r="V46" i="5"/>
  <c r="AG83" i="22" l="1"/>
  <c r="L25" i="8" l="1"/>
  <c r="Y83" i="8"/>
  <c r="AE83" i="8" s="1"/>
  <c r="AO83" i="8" l="1"/>
  <c r="R25" i="8"/>
  <c r="AI83" i="8"/>
  <c r="AK83" i="8" l="1"/>
  <c r="AQ83" i="8"/>
  <c r="H29" i="12" l="1"/>
  <c r="AA95" i="12"/>
  <c r="H40" i="12"/>
  <c r="Y82" i="8"/>
  <c r="AE82" i="8" s="1"/>
  <c r="L24" i="8"/>
  <c r="L37" i="12" l="1"/>
  <c r="L32" i="12"/>
  <c r="L36" i="12"/>
  <c r="L34" i="12"/>
  <c r="H29" i="6"/>
  <c r="AA107" i="12"/>
  <c r="AE95" i="12"/>
  <c r="AA96" i="12"/>
  <c r="P35" i="12"/>
  <c r="F28" i="8"/>
  <c r="Y84" i="8"/>
  <c r="AE84" i="8" s="1"/>
  <c r="AA96" i="8"/>
  <c r="AE96" i="8" s="1"/>
  <c r="AI82" i="8"/>
  <c r="R24" i="8"/>
  <c r="AA90" i="8"/>
  <c r="AE90" i="8" s="1"/>
  <c r="AA98" i="8"/>
  <c r="AE98" i="8" s="1"/>
  <c r="AO82" i="8"/>
  <c r="AA75" i="31"/>
  <c r="AE75" i="31" s="1"/>
  <c r="H31" i="31"/>
  <c r="H29" i="31"/>
  <c r="L28" i="31"/>
  <c r="AA97" i="8"/>
  <c r="AE97" i="8" s="1"/>
  <c r="Y85" i="8"/>
  <c r="AE85" i="8" s="1"/>
  <c r="H33" i="8"/>
  <c r="AA89" i="8"/>
  <c r="AE89" i="8" s="1"/>
  <c r="L31" i="8"/>
  <c r="F40" i="7"/>
  <c r="F21" i="6" s="1"/>
  <c r="F22" i="6" s="1"/>
  <c r="X66" i="7"/>
  <c r="AD74" i="7" s="1"/>
  <c r="F28" i="7"/>
  <c r="AE101" i="12" l="1"/>
  <c r="AE104" i="12"/>
  <c r="AI104" i="12" s="1"/>
  <c r="AK104" i="12" s="1"/>
  <c r="AE99" i="12"/>
  <c r="AI99" i="12" s="1"/>
  <c r="AE103" i="12"/>
  <c r="AK103" i="12" s="1"/>
  <c r="AA91" i="8"/>
  <c r="L47" i="8"/>
  <c r="R47" i="8" s="1"/>
  <c r="R34" i="12"/>
  <c r="R36" i="12"/>
  <c r="R32" i="12"/>
  <c r="AO95" i="12"/>
  <c r="AE96" i="12"/>
  <c r="AM102" i="12"/>
  <c r="R37" i="12"/>
  <c r="H29" i="5"/>
  <c r="H25" i="4"/>
  <c r="P38" i="12"/>
  <c r="P40" i="12" s="1"/>
  <c r="P29" i="6" s="1"/>
  <c r="R35" i="12"/>
  <c r="AI89" i="8"/>
  <c r="R31" i="8"/>
  <c r="R27" i="8"/>
  <c r="AI85" i="8"/>
  <c r="AK85" i="8" s="1"/>
  <c r="AO75" i="31"/>
  <c r="AO90" i="8"/>
  <c r="F42" i="8"/>
  <c r="F53" i="8" s="1"/>
  <c r="Y86" i="8"/>
  <c r="AO89" i="8"/>
  <c r="AE91" i="8"/>
  <c r="AO85" i="8"/>
  <c r="AI75" i="31"/>
  <c r="R28" i="31"/>
  <c r="AK82" i="8"/>
  <c r="H41" i="8"/>
  <c r="P48" i="8" s="1"/>
  <c r="AA94" i="8"/>
  <c r="AE94" i="8" s="1"/>
  <c r="H30" i="31"/>
  <c r="AA76" i="31"/>
  <c r="AE76" i="31" s="1"/>
  <c r="L29" i="31"/>
  <c r="AE86" i="8"/>
  <c r="AO98" i="8"/>
  <c r="AA95" i="8"/>
  <c r="AE95" i="8" s="1"/>
  <c r="AO84" i="8"/>
  <c r="AO86" i="8" s="1"/>
  <c r="AO97" i="8"/>
  <c r="AA78" i="31"/>
  <c r="AA79" i="31" s="1"/>
  <c r="AE85" i="31" s="1"/>
  <c r="AK85" i="31" s="1"/>
  <c r="H32" i="31"/>
  <c r="L38" i="31" s="1"/>
  <c r="AQ82" i="8"/>
  <c r="L28" i="8"/>
  <c r="AO96" i="8"/>
  <c r="R26" i="8"/>
  <c r="AI84" i="8"/>
  <c r="AK84" i="8" s="1"/>
  <c r="R23" i="7"/>
  <c r="R31" i="7"/>
  <c r="AD66" i="7"/>
  <c r="X71" i="7"/>
  <c r="X83" i="7"/>
  <c r="H28" i="7"/>
  <c r="H40" i="7"/>
  <c r="H21" i="6" s="1"/>
  <c r="Z69" i="7"/>
  <c r="J28" i="12" l="1"/>
  <c r="L28" i="12" s="1"/>
  <c r="L29" i="12" s="1"/>
  <c r="AE86" i="31"/>
  <c r="AE82" i="31"/>
  <c r="L39" i="31"/>
  <c r="L35" i="31"/>
  <c r="AE105" i="8"/>
  <c r="R28" i="8"/>
  <c r="AO103" i="12"/>
  <c r="AQ103" i="12" s="1"/>
  <c r="AD75" i="7"/>
  <c r="AH75" i="7" s="1"/>
  <c r="AD80" i="7"/>
  <c r="AD79" i="7"/>
  <c r="AD77" i="7"/>
  <c r="AN77" i="7" s="1"/>
  <c r="AK101" i="12"/>
  <c r="AO101" i="12"/>
  <c r="AQ101" i="12" s="1"/>
  <c r="AI101" i="12"/>
  <c r="AQ85" i="8"/>
  <c r="AI103" i="12"/>
  <c r="AL78" i="7"/>
  <c r="Y100" i="8"/>
  <c r="AO85" i="31"/>
  <c r="AQ85" i="31" s="1"/>
  <c r="AK99" i="12"/>
  <c r="AM105" i="12"/>
  <c r="AM107" i="12" s="1"/>
  <c r="AO102" i="12"/>
  <c r="AQ102" i="12" s="1"/>
  <c r="AO99" i="12"/>
  <c r="AO96" i="12"/>
  <c r="AO104" i="12"/>
  <c r="AQ104" i="12" s="1"/>
  <c r="AQ84" i="8"/>
  <c r="AA77" i="31"/>
  <c r="P31" i="31"/>
  <c r="P32" i="31" s="1"/>
  <c r="P42" i="31" s="1"/>
  <c r="P41" i="6" s="1"/>
  <c r="L30" i="31"/>
  <c r="H42" i="8"/>
  <c r="L49" i="8" s="1"/>
  <c r="AA99" i="8"/>
  <c r="F25" i="6"/>
  <c r="Y111" i="8"/>
  <c r="AQ75" i="31"/>
  <c r="H42" i="31"/>
  <c r="H41" i="6" s="1"/>
  <c r="AI86" i="8"/>
  <c r="AK86" i="8" s="1"/>
  <c r="AK75" i="31"/>
  <c r="AA89" i="31"/>
  <c r="AO95" i="8"/>
  <c r="AI76" i="31"/>
  <c r="AK76" i="31" s="1"/>
  <c r="R29" i="31"/>
  <c r="AE99" i="8"/>
  <c r="AO94" i="8"/>
  <c r="AO91" i="8"/>
  <c r="AQ89" i="8"/>
  <c r="AO76" i="31"/>
  <c r="R37" i="7"/>
  <c r="R34" i="7"/>
  <c r="AH74" i="7"/>
  <c r="AN74" i="7"/>
  <c r="H22" i="6"/>
  <c r="F20" i="4"/>
  <c r="F21" i="5"/>
  <c r="F22" i="5" s="1"/>
  <c r="R32" i="7"/>
  <c r="R35" i="7"/>
  <c r="P38" i="7"/>
  <c r="P40" i="7" s="1"/>
  <c r="P21" i="6" s="1"/>
  <c r="P22" i="6" s="1"/>
  <c r="Z83" i="7"/>
  <c r="Z71" i="7"/>
  <c r="AD69" i="7"/>
  <c r="AD71" i="7" s="1"/>
  <c r="AN66" i="7"/>
  <c r="AH66" i="7"/>
  <c r="AE100" i="8" l="1"/>
  <c r="AI95" i="12"/>
  <c r="AI96" i="12" s="1"/>
  <c r="R28" i="12"/>
  <c r="R29" i="12" s="1"/>
  <c r="L33" i="12" s="1"/>
  <c r="J26" i="7"/>
  <c r="L26" i="7" s="1"/>
  <c r="L28" i="7" s="1"/>
  <c r="AT95" i="8"/>
  <c r="AT94" i="8"/>
  <c r="AE100" i="12"/>
  <c r="AK100" i="12" s="1"/>
  <c r="AE108" i="8"/>
  <c r="AE103" i="8"/>
  <c r="L50" i="8"/>
  <c r="L45" i="8"/>
  <c r="AT97" i="8"/>
  <c r="AT98" i="8"/>
  <c r="AT96" i="8"/>
  <c r="AH77" i="7"/>
  <c r="AQ86" i="8"/>
  <c r="AO105" i="8"/>
  <c r="AQ105" i="8" s="1"/>
  <c r="AI105" i="8"/>
  <c r="AK105" i="8" s="1"/>
  <c r="R38" i="31"/>
  <c r="AI85" i="31"/>
  <c r="AN79" i="7"/>
  <c r="AH79" i="7"/>
  <c r="AQ99" i="12"/>
  <c r="P25" i="4"/>
  <c r="T29" i="5"/>
  <c r="AQ76" i="31"/>
  <c r="AO86" i="31"/>
  <c r="R39" i="31"/>
  <c r="AI86" i="31"/>
  <c r="AK86" i="31" s="1"/>
  <c r="AM106" i="8"/>
  <c r="AA100" i="8"/>
  <c r="AE107" i="8" s="1"/>
  <c r="AO107" i="8" s="1"/>
  <c r="AQ107" i="8" s="1"/>
  <c r="AM78" i="31"/>
  <c r="AM79" i="31" s="1"/>
  <c r="AM89" i="31" s="1"/>
  <c r="AE77" i="31"/>
  <c r="AI77" i="31" s="1"/>
  <c r="AK77" i="31" s="1"/>
  <c r="AI82" i="31"/>
  <c r="AK82" i="31" s="1"/>
  <c r="R35" i="31"/>
  <c r="F21" i="4"/>
  <c r="F25" i="5"/>
  <c r="H53" i="8"/>
  <c r="AO82" i="31"/>
  <c r="L31" i="31"/>
  <c r="R30" i="31"/>
  <c r="R31" i="31" s="1"/>
  <c r="R32" i="31" s="1"/>
  <c r="AO99" i="8"/>
  <c r="AT99" i="8" s="1"/>
  <c r="AT91" i="8" s="1"/>
  <c r="H31" i="4"/>
  <c r="H41" i="5"/>
  <c r="R48" i="8"/>
  <c r="P51" i="8"/>
  <c r="P53" i="8" s="1"/>
  <c r="P25" i="6" s="1"/>
  <c r="AN78" i="7"/>
  <c r="AP78" i="7" s="1"/>
  <c r="AL81" i="7"/>
  <c r="AL83" i="7" s="1"/>
  <c r="AN80" i="7"/>
  <c r="AN69" i="7"/>
  <c r="AN71" i="7" s="1"/>
  <c r="H21" i="5"/>
  <c r="H20" i="4"/>
  <c r="AJ66" i="7"/>
  <c r="AP66" i="7"/>
  <c r="AN75" i="7"/>
  <c r="AJ74" i="7"/>
  <c r="AP74" i="7"/>
  <c r="AH80" i="7"/>
  <c r="AH69" i="7" l="1"/>
  <c r="AH71" i="7" s="1"/>
  <c r="AJ71" i="7" s="1"/>
  <c r="R26" i="7"/>
  <c r="R28" i="7" s="1"/>
  <c r="L33" i="7" s="1"/>
  <c r="R33" i="7" s="1"/>
  <c r="R38" i="7" s="1"/>
  <c r="R40" i="7" s="1"/>
  <c r="R21" i="6" s="1"/>
  <c r="R22" i="6" s="1"/>
  <c r="AQ96" i="12"/>
  <c r="AK96" i="12"/>
  <c r="I13" i="27"/>
  <c r="L13" i="27" s="1"/>
  <c r="I11" i="27"/>
  <c r="L11" i="27" s="1"/>
  <c r="G26" i="26"/>
  <c r="H26" i="26" s="1"/>
  <c r="I26" i="26" s="1"/>
  <c r="AK95" i="12"/>
  <c r="AQ95" i="12"/>
  <c r="G23" i="26"/>
  <c r="H23" i="26" s="1"/>
  <c r="I23" i="26" s="1"/>
  <c r="I10" i="27"/>
  <c r="L10" i="27" s="1"/>
  <c r="G21" i="26"/>
  <c r="H21" i="26" s="1"/>
  <c r="I21" i="26" s="1"/>
  <c r="I7" i="27"/>
  <c r="L7" i="27" s="1"/>
  <c r="G24" i="26"/>
  <c r="G20" i="26"/>
  <c r="M20" i="26" s="1"/>
  <c r="R20" i="26" s="1"/>
  <c r="S20" i="26" s="1"/>
  <c r="I9" i="27"/>
  <c r="L9" i="27" s="1"/>
  <c r="G25" i="26"/>
  <c r="M25" i="26" s="1"/>
  <c r="R25" i="26" s="1"/>
  <c r="S25" i="26" s="1"/>
  <c r="G22" i="26"/>
  <c r="I12" i="27"/>
  <c r="L12" i="27" s="1"/>
  <c r="I8" i="27"/>
  <c r="L8" i="27" s="1"/>
  <c r="R33" i="12"/>
  <c r="R38" i="12" s="1"/>
  <c r="R40" i="12" s="1"/>
  <c r="L38" i="12"/>
  <c r="L36" i="31"/>
  <c r="R36" i="31" s="1"/>
  <c r="R40" i="31" s="1"/>
  <c r="R42" i="31" s="1"/>
  <c r="AO100" i="12"/>
  <c r="AQ100" i="12" s="1"/>
  <c r="AE105" i="12"/>
  <c r="AE107" i="12" s="1"/>
  <c r="AG103" i="12" s="1"/>
  <c r="AD76" i="7"/>
  <c r="AP77" i="7"/>
  <c r="AJ77" i="7"/>
  <c r="AJ79" i="7"/>
  <c r="AP79" i="7"/>
  <c r="AI100" i="12"/>
  <c r="AI105" i="12" s="1"/>
  <c r="R49" i="8"/>
  <c r="AI107" i="8"/>
  <c r="AK107" i="8" s="1"/>
  <c r="AQ86" i="31"/>
  <c r="AQ82" i="31"/>
  <c r="AI103" i="8"/>
  <c r="R45" i="8"/>
  <c r="T41" i="5"/>
  <c r="P31" i="4"/>
  <c r="AM109" i="8"/>
  <c r="AM111" i="8" s="1"/>
  <c r="AO106" i="8"/>
  <c r="AQ106" i="8" s="1"/>
  <c r="R50" i="8"/>
  <c r="AI108" i="8"/>
  <c r="AK108" i="8" s="1"/>
  <c r="AI78" i="31"/>
  <c r="AO100" i="8"/>
  <c r="L32" i="31"/>
  <c r="H25" i="6"/>
  <c r="AA111" i="8"/>
  <c r="AO103" i="8"/>
  <c r="AE78" i="31"/>
  <c r="AO77" i="31"/>
  <c r="AO108" i="8"/>
  <c r="AJ69" i="7"/>
  <c r="AP69" i="7"/>
  <c r="T21" i="5"/>
  <c r="T22" i="5" s="1"/>
  <c r="P20" i="4"/>
  <c r="H22" i="5"/>
  <c r="AJ80" i="7"/>
  <c r="AP80" i="7"/>
  <c r="AJ75" i="7"/>
  <c r="AP75" i="7"/>
  <c r="AP71" i="7"/>
  <c r="L38" i="7" l="1"/>
  <c r="L40" i="7" s="1"/>
  <c r="M26" i="26"/>
  <c r="R26" i="26" s="1"/>
  <c r="S26" i="26" s="1"/>
  <c r="M21" i="26"/>
  <c r="R21" i="26" s="1"/>
  <c r="S21" i="26" s="1"/>
  <c r="AH76" i="7"/>
  <c r="AJ76" i="7" s="1"/>
  <c r="M23" i="26"/>
  <c r="R23" i="26" s="1"/>
  <c r="S23" i="26" s="1"/>
  <c r="H20" i="26"/>
  <c r="I20" i="26" s="1"/>
  <c r="H24" i="26"/>
  <c r="I24" i="26" s="1"/>
  <c r="M24" i="26"/>
  <c r="R24" i="26" s="1"/>
  <c r="S24" i="26" s="1"/>
  <c r="M22" i="26"/>
  <c r="R22" i="26" s="1"/>
  <c r="S22" i="26" s="1"/>
  <c r="H22" i="26"/>
  <c r="I22" i="26" s="1"/>
  <c r="H25" i="26"/>
  <c r="I25" i="26" s="1"/>
  <c r="L40" i="12"/>
  <c r="R29" i="6"/>
  <c r="G29" i="3"/>
  <c r="AE104" i="8"/>
  <c r="AE109" i="8" s="1"/>
  <c r="AE111" i="8" s="1"/>
  <c r="AG99" i="8" s="1"/>
  <c r="AG92" i="12"/>
  <c r="L40" i="31"/>
  <c r="L42" i="31" s="1"/>
  <c r="N30" i="31" s="1"/>
  <c r="AN76" i="7"/>
  <c r="AN81" i="7" s="1"/>
  <c r="AN83" i="7" s="1"/>
  <c r="E21" i="3" s="1"/>
  <c r="G21" i="3"/>
  <c r="G22" i="3" s="1"/>
  <c r="AO105" i="12"/>
  <c r="AO107" i="12" s="1"/>
  <c r="V29" i="5" s="1"/>
  <c r="AG99" i="12"/>
  <c r="AG96" i="12"/>
  <c r="AG90" i="12"/>
  <c r="AG105" i="12"/>
  <c r="AG104" i="12"/>
  <c r="J25" i="4"/>
  <c r="L25" i="4" s="1"/>
  <c r="AG100" i="12"/>
  <c r="AG95" i="12"/>
  <c r="L29" i="5"/>
  <c r="J29" i="5" s="1"/>
  <c r="AG101" i="12"/>
  <c r="AK105" i="12"/>
  <c r="AH81" i="7"/>
  <c r="AD81" i="7"/>
  <c r="AD83" i="7" s="1"/>
  <c r="AF79" i="7" s="1"/>
  <c r="AI107" i="12"/>
  <c r="AK107" i="12" s="1"/>
  <c r="AQ108" i="8"/>
  <c r="AE79" i="31"/>
  <c r="P21" i="4"/>
  <c r="T25" i="5"/>
  <c r="AQ77" i="31"/>
  <c r="AO78" i="31"/>
  <c r="AQ103" i="8"/>
  <c r="H21" i="4"/>
  <c r="H25" i="5"/>
  <c r="R41" i="6"/>
  <c r="G41" i="3"/>
  <c r="AK78" i="31"/>
  <c r="AI79" i="31"/>
  <c r="AK103" i="8"/>
  <c r="N38" i="12" l="1"/>
  <c r="N32" i="12"/>
  <c r="N36" i="12"/>
  <c r="N37" i="12"/>
  <c r="L29" i="6"/>
  <c r="J29" i="6" s="1"/>
  <c r="N34" i="12"/>
  <c r="N29" i="12"/>
  <c r="N23" i="12"/>
  <c r="N25" i="12"/>
  <c r="N28" i="12"/>
  <c r="N33" i="12"/>
  <c r="R20" i="4"/>
  <c r="V21" i="5"/>
  <c r="V22" i="5" s="1"/>
  <c r="AP76" i="7"/>
  <c r="R25" i="4"/>
  <c r="N25" i="31"/>
  <c r="N37" i="31"/>
  <c r="E29" i="3"/>
  <c r="AQ105" i="12"/>
  <c r="N28" i="7"/>
  <c r="N36" i="7"/>
  <c r="N34" i="7"/>
  <c r="N35" i="7"/>
  <c r="N31" i="7"/>
  <c r="N33" i="7"/>
  <c r="N37" i="7"/>
  <c r="N23" i="7"/>
  <c r="L21" i="6"/>
  <c r="N26" i="7"/>
  <c r="N32" i="7"/>
  <c r="N38" i="7"/>
  <c r="N28" i="31"/>
  <c r="AJ81" i="7"/>
  <c r="AF71" i="7"/>
  <c r="AF66" i="7"/>
  <c r="AF81" i="7"/>
  <c r="AF80" i="7"/>
  <c r="AF77" i="7"/>
  <c r="L21" i="5"/>
  <c r="L22" i="5" s="1"/>
  <c r="N40" i="31"/>
  <c r="AF75" i="7"/>
  <c r="J20" i="4"/>
  <c r="AF76" i="7"/>
  <c r="AH83" i="7"/>
  <c r="AP81" i="7"/>
  <c r="AF69" i="7"/>
  <c r="AF74" i="7"/>
  <c r="AO104" i="8"/>
  <c r="L41" i="6"/>
  <c r="J41" i="6" s="1"/>
  <c r="N35" i="31"/>
  <c r="N36" i="31"/>
  <c r="AQ107" i="12"/>
  <c r="P29" i="5"/>
  <c r="X29" i="5" s="1"/>
  <c r="AK79" i="31"/>
  <c r="N32" i="31"/>
  <c r="N29" i="31"/>
  <c r="N24" i="31"/>
  <c r="N38" i="31"/>
  <c r="N31" i="31"/>
  <c r="N39" i="31"/>
  <c r="AG109" i="8"/>
  <c r="AG105" i="8"/>
  <c r="AG104" i="8"/>
  <c r="AG107" i="8"/>
  <c r="AG85" i="8"/>
  <c r="AG94" i="8"/>
  <c r="AG86" i="8"/>
  <c r="AG100" i="8"/>
  <c r="L25" i="5"/>
  <c r="J25" i="5" s="1"/>
  <c r="AG83" i="8"/>
  <c r="J21" i="4"/>
  <c r="AG82" i="8"/>
  <c r="AG98" i="8"/>
  <c r="AG84" i="8"/>
  <c r="AG97" i="8"/>
  <c r="AG90" i="8"/>
  <c r="AG96" i="8"/>
  <c r="AG89" i="8"/>
  <c r="AG91" i="8"/>
  <c r="AG95" i="8"/>
  <c r="AG108" i="8"/>
  <c r="AG103" i="8"/>
  <c r="AO79" i="31"/>
  <c r="AQ78" i="31"/>
  <c r="J21" i="5"/>
  <c r="I21" i="3"/>
  <c r="I22" i="3" s="1"/>
  <c r="E22" i="3"/>
  <c r="L21" i="4" l="1"/>
  <c r="L20" i="4"/>
  <c r="I29" i="3"/>
  <c r="K29" i="3" s="1"/>
  <c r="AE83" i="31"/>
  <c r="AK83" i="31" s="1"/>
  <c r="L22" i="6"/>
  <c r="J22" i="6" s="1"/>
  <c r="J21" i="6"/>
  <c r="AQ104" i="8"/>
  <c r="AO109" i="8"/>
  <c r="AO111" i="8" s="1"/>
  <c r="AJ83" i="7"/>
  <c r="P21" i="5"/>
  <c r="AP83" i="7"/>
  <c r="R29" i="5"/>
  <c r="K21" i="3"/>
  <c r="AQ79" i="31"/>
  <c r="K22" i="3"/>
  <c r="N21" i="5"/>
  <c r="J22" i="5"/>
  <c r="AE87" i="31" l="1"/>
  <c r="AE89" i="31" s="1"/>
  <c r="AG83" i="31" s="1"/>
  <c r="AO83" i="31"/>
  <c r="AO87" i="31" s="1"/>
  <c r="AO89" i="31" s="1"/>
  <c r="V41" i="5" s="1"/>
  <c r="AI83" i="31"/>
  <c r="AI87" i="31" s="1"/>
  <c r="N21" i="6"/>
  <c r="V25" i="5"/>
  <c r="R21" i="4"/>
  <c r="E25" i="3"/>
  <c r="P22" i="5"/>
  <c r="R21" i="5"/>
  <c r="X21" i="5"/>
  <c r="AG82" i="31" l="1"/>
  <c r="AG87" i="31"/>
  <c r="AG76" i="31"/>
  <c r="AQ83" i="31"/>
  <c r="AG78" i="31"/>
  <c r="AG79" i="31"/>
  <c r="AG86" i="31"/>
  <c r="AG72" i="31"/>
  <c r="AG71" i="31"/>
  <c r="AG77" i="31"/>
  <c r="AG84" i="31"/>
  <c r="L41" i="5"/>
  <c r="J41" i="5" s="1"/>
  <c r="AG75" i="31"/>
  <c r="AG85" i="31"/>
  <c r="J31" i="4"/>
  <c r="L31" i="4" s="1"/>
  <c r="R31" i="4"/>
  <c r="AQ87" i="31"/>
  <c r="E41" i="3"/>
  <c r="R22" i="5"/>
  <c r="X22" i="5"/>
  <c r="AK87" i="31"/>
  <c r="AI89" i="31"/>
  <c r="I41" i="3" l="1"/>
  <c r="K41" i="3" s="1"/>
  <c r="P41" i="5"/>
  <c r="AK89" i="31"/>
  <c r="AQ89" i="31"/>
  <c r="R41" i="5" l="1"/>
  <c r="X41" i="5"/>
  <c r="Y78" i="13" l="1"/>
  <c r="AE78" i="13" s="1"/>
  <c r="L24" i="13"/>
  <c r="R24" i="13" l="1"/>
  <c r="AI78" i="13"/>
  <c r="AO78" i="13"/>
  <c r="AK78" i="13" l="1"/>
  <c r="AQ78" i="13"/>
  <c r="F26" i="13" l="1"/>
  <c r="Y79" i="13"/>
  <c r="AE79" i="13" s="1"/>
  <c r="L25" i="13"/>
  <c r="L26" i="13" s="1"/>
  <c r="AO79" i="13" l="1"/>
  <c r="AO80" i="13" s="1"/>
  <c r="AE80" i="13"/>
  <c r="R25" i="13"/>
  <c r="R26" i="13" s="1"/>
  <c r="AI79" i="13"/>
  <c r="AI80" i="13" s="1"/>
  <c r="F37" i="13"/>
  <c r="F48" i="13"/>
  <c r="Y80" i="13"/>
  <c r="AQ80" i="13" l="1"/>
  <c r="AK79" i="13"/>
  <c r="AK80" i="13" s="1"/>
  <c r="AQ79" i="13"/>
  <c r="Y91" i="13"/>
  <c r="Y102" i="13"/>
  <c r="F31" i="6"/>
  <c r="F27" i="4" l="1"/>
  <c r="F31" i="5"/>
  <c r="AA83" i="13" l="1"/>
  <c r="AE83" i="13" s="1"/>
  <c r="H30" i="13"/>
  <c r="H36" i="13"/>
  <c r="AA90" i="13" s="1"/>
  <c r="AA88" i="13"/>
  <c r="AE88" i="13" s="1"/>
  <c r="L42" i="13" l="1"/>
  <c r="AA116" i="12"/>
  <c r="AE116" i="12" s="1"/>
  <c r="AA115" i="12"/>
  <c r="H50" i="12"/>
  <c r="H61" i="12"/>
  <c r="AA84" i="13"/>
  <c r="AO88" i="13"/>
  <c r="AA87" i="13"/>
  <c r="AE87" i="13" s="1"/>
  <c r="AE90" i="13" s="1"/>
  <c r="AE84" i="13"/>
  <c r="AO83" i="13"/>
  <c r="AE96" i="13" l="1"/>
  <c r="AI96" i="13" s="1"/>
  <c r="L57" i="12"/>
  <c r="R57" i="12" s="1"/>
  <c r="L55" i="12"/>
  <c r="L58" i="12"/>
  <c r="L53" i="12"/>
  <c r="AO84" i="13"/>
  <c r="R42" i="13"/>
  <c r="AO116" i="12"/>
  <c r="AA128" i="12"/>
  <c r="H30" i="6"/>
  <c r="P56" i="12"/>
  <c r="AE115" i="12"/>
  <c r="AA117" i="12"/>
  <c r="AE91" i="13"/>
  <c r="AO87" i="13"/>
  <c r="H48" i="13"/>
  <c r="AA91" i="13"/>
  <c r="AE98" i="13" s="1"/>
  <c r="AK98" i="13" s="1"/>
  <c r="H37" i="13"/>
  <c r="L44" i="13" s="1"/>
  <c r="R44" i="13" s="1"/>
  <c r="L45" i="13" l="1"/>
  <c r="L40" i="13"/>
  <c r="AE99" i="13"/>
  <c r="AE94" i="13"/>
  <c r="AE122" i="12"/>
  <c r="AI122" i="12" s="1"/>
  <c r="AE125" i="12"/>
  <c r="AE124" i="12"/>
  <c r="AE120" i="12"/>
  <c r="AI120" i="12" s="1"/>
  <c r="AI98" i="13"/>
  <c r="AO98" i="13"/>
  <c r="AQ98" i="13" s="1"/>
  <c r="AK96" i="13"/>
  <c r="AO96" i="13"/>
  <c r="AQ96" i="13" s="1"/>
  <c r="R55" i="12"/>
  <c r="AE117" i="12"/>
  <c r="AO90" i="13"/>
  <c r="R58" i="12"/>
  <c r="AM123" i="12"/>
  <c r="R53" i="12"/>
  <c r="AO115" i="12"/>
  <c r="P59" i="12"/>
  <c r="P61" i="12" s="1"/>
  <c r="P30" i="6" s="1"/>
  <c r="R56" i="12"/>
  <c r="H30" i="5"/>
  <c r="H26" i="4"/>
  <c r="H31" i="6"/>
  <c r="AA102" i="13"/>
  <c r="P43" i="13"/>
  <c r="AM97" i="13"/>
  <c r="AK122" i="12" l="1"/>
  <c r="AO122" i="12"/>
  <c r="AQ122" i="12" s="1"/>
  <c r="AO117" i="12"/>
  <c r="AO91" i="13"/>
  <c r="AI125" i="12"/>
  <c r="AK125" i="12" s="1"/>
  <c r="AO125" i="12"/>
  <c r="AK120" i="12"/>
  <c r="AO120" i="12"/>
  <c r="AK124" i="12"/>
  <c r="AO124" i="12"/>
  <c r="AQ124" i="12" s="1"/>
  <c r="AI124" i="12"/>
  <c r="AM126" i="12"/>
  <c r="AM128" i="12" s="1"/>
  <c r="AO123" i="12"/>
  <c r="AQ123" i="12" s="1"/>
  <c r="AO97" i="13"/>
  <c r="AM100" i="13"/>
  <c r="AM102" i="13" s="1"/>
  <c r="R40" i="13"/>
  <c r="AI94" i="13"/>
  <c r="AO94" i="13"/>
  <c r="R43" i="13"/>
  <c r="P46" i="13"/>
  <c r="P48" i="13" s="1"/>
  <c r="P31" i="6" s="1"/>
  <c r="AO99" i="13"/>
  <c r="H31" i="5"/>
  <c r="H27" i="4"/>
  <c r="AI99" i="13"/>
  <c r="R45" i="13"/>
  <c r="AE121" i="12" l="1"/>
  <c r="J29" i="13"/>
  <c r="L29" i="13" s="1"/>
  <c r="R29" i="13" s="1"/>
  <c r="R30" i="13" s="1"/>
  <c r="AE95" i="13"/>
  <c r="AK95" i="13" s="1"/>
  <c r="AQ97" i="13"/>
  <c r="AQ94" i="13"/>
  <c r="AQ125" i="12"/>
  <c r="AQ120" i="12"/>
  <c r="P26" i="4"/>
  <c r="T30" i="5"/>
  <c r="AK94" i="13"/>
  <c r="P27" i="4"/>
  <c r="T31" i="5"/>
  <c r="AQ99" i="13"/>
  <c r="AK99" i="13"/>
  <c r="J34" i="13" l="1"/>
  <c r="L34" i="13" s="1"/>
  <c r="AI88" i="13" s="1"/>
  <c r="AK88" i="13" s="1"/>
  <c r="J35" i="13"/>
  <c r="L35" i="13" s="1"/>
  <c r="R35" i="13" s="1"/>
  <c r="AI83" i="13"/>
  <c r="AK83" i="13" s="1"/>
  <c r="L30" i="13"/>
  <c r="AK121" i="12"/>
  <c r="AE126" i="12"/>
  <c r="AO121" i="12"/>
  <c r="AO95" i="13"/>
  <c r="AE100" i="13"/>
  <c r="AE102" i="13" s="1"/>
  <c r="AG90" i="13" l="1"/>
  <c r="AG79" i="13"/>
  <c r="R34" i="13"/>
  <c r="AQ88" i="13"/>
  <c r="AI89" i="13"/>
  <c r="AQ89" i="13" s="1"/>
  <c r="J33" i="13"/>
  <c r="G173" i="26" s="1"/>
  <c r="H173" i="26" s="1"/>
  <c r="I173" i="26" s="1"/>
  <c r="AQ83" i="13"/>
  <c r="AI84" i="13"/>
  <c r="AK84" i="13" s="1"/>
  <c r="AO100" i="13"/>
  <c r="AO102" i="13" s="1"/>
  <c r="V31" i="5" s="1"/>
  <c r="AQ95" i="13"/>
  <c r="AG78" i="13"/>
  <c r="AG91" i="13"/>
  <c r="J27" i="4"/>
  <c r="L27" i="4" s="1"/>
  <c r="AG87" i="13"/>
  <c r="AG88" i="13"/>
  <c r="AG98" i="13"/>
  <c r="AG80" i="13"/>
  <c r="AG95" i="13"/>
  <c r="AG83" i="13"/>
  <c r="AG96" i="13"/>
  <c r="AG89" i="13"/>
  <c r="AG99" i="13"/>
  <c r="AG84" i="13"/>
  <c r="AG94" i="13"/>
  <c r="AG100" i="13"/>
  <c r="AQ121" i="12"/>
  <c r="AO126" i="12"/>
  <c r="L31" i="5"/>
  <c r="J31" i="5" s="1"/>
  <c r="AE128" i="12"/>
  <c r="AG116" i="12" s="1"/>
  <c r="G167" i="26" l="1"/>
  <c r="M167" i="26" s="1"/>
  <c r="R167" i="26" s="1"/>
  <c r="S167" i="26" s="1"/>
  <c r="G157" i="26"/>
  <c r="M157" i="26" s="1"/>
  <c r="R157" i="26" s="1"/>
  <c r="S157" i="26" s="1"/>
  <c r="AK89" i="13"/>
  <c r="G172" i="26"/>
  <c r="H172" i="26" s="1"/>
  <c r="I172" i="26" s="1"/>
  <c r="G156" i="26"/>
  <c r="G168" i="26"/>
  <c r="H168" i="26" s="1"/>
  <c r="I168" i="26" s="1"/>
  <c r="G163" i="26"/>
  <c r="H163" i="26" s="1"/>
  <c r="I163" i="26" s="1"/>
  <c r="G166" i="26"/>
  <c r="M166" i="26" s="1"/>
  <c r="R166" i="26" s="1"/>
  <c r="S166" i="26" s="1"/>
  <c r="G174" i="26"/>
  <c r="H174" i="26" s="1"/>
  <c r="I174" i="26" s="1"/>
  <c r="G178" i="26"/>
  <c r="H178" i="26" s="1"/>
  <c r="I178" i="26" s="1"/>
  <c r="G169" i="26"/>
  <c r="H169" i="26" s="1"/>
  <c r="I169" i="26" s="1"/>
  <c r="M173" i="26"/>
  <c r="R173" i="26" s="1"/>
  <c r="S173" i="26" s="1"/>
  <c r="G177" i="26"/>
  <c r="M177" i="26" s="1"/>
  <c r="R177" i="26" s="1"/>
  <c r="S177" i="26" s="1"/>
  <c r="G161" i="26"/>
  <c r="M161" i="26" s="1"/>
  <c r="R161" i="26" s="1"/>
  <c r="S161" i="26" s="1"/>
  <c r="G155" i="26"/>
  <c r="H155" i="26" s="1"/>
  <c r="I155" i="26" s="1"/>
  <c r="G164" i="26"/>
  <c r="M164" i="26" s="1"/>
  <c r="R164" i="26" s="1"/>
  <c r="S164" i="26" s="1"/>
  <c r="G170" i="26"/>
  <c r="M170" i="26" s="1"/>
  <c r="R170" i="26" s="1"/>
  <c r="S170" i="26" s="1"/>
  <c r="G176" i="26"/>
  <c r="M176" i="26" s="1"/>
  <c r="R176" i="26" s="1"/>
  <c r="S176" i="26" s="1"/>
  <c r="G165" i="26"/>
  <c r="H165" i="26" s="1"/>
  <c r="I165" i="26" s="1"/>
  <c r="G175" i="26"/>
  <c r="M175" i="26" s="1"/>
  <c r="R175" i="26" s="1"/>
  <c r="S175" i="26" s="1"/>
  <c r="G158" i="26"/>
  <c r="M158" i="26" s="1"/>
  <c r="R158" i="26" s="1"/>
  <c r="S158" i="26" s="1"/>
  <c r="G171" i="26"/>
  <c r="M171" i="26" s="1"/>
  <c r="R171" i="26" s="1"/>
  <c r="S171" i="26" s="1"/>
  <c r="G162" i="26"/>
  <c r="L33" i="13"/>
  <c r="G159" i="26"/>
  <c r="H159" i="26" s="1"/>
  <c r="I159" i="26" s="1"/>
  <c r="G160" i="26"/>
  <c r="M165" i="26"/>
  <c r="R165" i="26" s="1"/>
  <c r="S165" i="26" s="1"/>
  <c r="AQ84" i="13"/>
  <c r="E31" i="3"/>
  <c r="R27" i="4"/>
  <c r="AO128" i="12"/>
  <c r="AG112" i="12"/>
  <c r="AG124" i="12"/>
  <c r="AG122" i="12"/>
  <c r="AG121" i="12"/>
  <c r="AG126" i="12"/>
  <c r="L30" i="5"/>
  <c r="AG117" i="12"/>
  <c r="J26" i="4"/>
  <c r="AG115" i="12"/>
  <c r="AG125" i="12"/>
  <c r="AG120" i="12"/>
  <c r="H167" i="26" l="1"/>
  <c r="I167" i="26" s="1"/>
  <c r="L36" i="13"/>
  <c r="L37" i="13" s="1"/>
  <c r="H157" i="26"/>
  <c r="I157" i="26" s="1"/>
  <c r="M172" i="26"/>
  <c r="R172" i="26" s="1"/>
  <c r="S172" i="26" s="1"/>
  <c r="R33" i="13"/>
  <c r="H164" i="26"/>
  <c r="I164" i="26" s="1"/>
  <c r="M168" i="26"/>
  <c r="R168" i="26" s="1"/>
  <c r="S168" i="26" s="1"/>
  <c r="H177" i="26"/>
  <c r="I177" i="26" s="1"/>
  <c r="M174" i="26"/>
  <c r="R174" i="26" s="1"/>
  <c r="S174" i="26" s="1"/>
  <c r="M169" i="26"/>
  <c r="R169" i="26" s="1"/>
  <c r="S169" i="26" s="1"/>
  <c r="H158" i="26"/>
  <c r="I158" i="26" s="1"/>
  <c r="M159" i="26"/>
  <c r="R159" i="26" s="1"/>
  <c r="S159" i="26" s="1"/>
  <c r="H170" i="26"/>
  <c r="I170" i="26" s="1"/>
  <c r="M163" i="26"/>
  <c r="R163" i="26" s="1"/>
  <c r="S163" i="26" s="1"/>
  <c r="AI87" i="13"/>
  <c r="AK87" i="13" s="1"/>
  <c r="H166" i="26"/>
  <c r="I166" i="26" s="1"/>
  <c r="H176" i="26"/>
  <c r="I176" i="26" s="1"/>
  <c r="M156" i="26"/>
  <c r="R156" i="26" s="1"/>
  <c r="S156" i="26" s="1"/>
  <c r="H156" i="26"/>
  <c r="I156" i="26" s="1"/>
  <c r="M178" i="26"/>
  <c r="R178" i="26" s="1"/>
  <c r="S178" i="26" s="1"/>
  <c r="H171" i="26"/>
  <c r="I171" i="26" s="1"/>
  <c r="H161" i="26"/>
  <c r="I161" i="26" s="1"/>
  <c r="H162" i="26"/>
  <c r="I162" i="26" s="1"/>
  <c r="M162" i="26"/>
  <c r="R162" i="26" s="1"/>
  <c r="S162" i="26" s="1"/>
  <c r="H160" i="26"/>
  <c r="I160" i="26" s="1"/>
  <c r="M160" i="26"/>
  <c r="R160" i="26" s="1"/>
  <c r="S160" i="26" s="1"/>
  <c r="M155" i="26"/>
  <c r="R155" i="26" s="1"/>
  <c r="S155" i="26" s="1"/>
  <c r="H175" i="26"/>
  <c r="I175" i="26" s="1"/>
  <c r="L26" i="4"/>
  <c r="R26" i="4"/>
  <c r="J30" i="5"/>
  <c r="V30" i="5"/>
  <c r="E30" i="3"/>
  <c r="F63" i="6"/>
  <c r="F65" i="6" s="1"/>
  <c r="F65" i="5"/>
  <c r="F47" i="4"/>
  <c r="R36" i="13" l="1"/>
  <c r="R37" i="13" s="1"/>
  <c r="AI90" i="13"/>
  <c r="AI91" i="13" s="1"/>
  <c r="AQ87" i="13"/>
  <c r="L41" i="13"/>
  <c r="R41" i="13" s="1"/>
  <c r="R46" i="13" s="1"/>
  <c r="R48" i="13" s="1"/>
  <c r="R31" i="6" s="1"/>
  <c r="F46" i="14"/>
  <c r="H65" i="5"/>
  <c r="H63" i="6"/>
  <c r="AK90" i="13" l="1"/>
  <c r="AQ90" i="13"/>
  <c r="L46" i="13"/>
  <c r="L48" i="13" s="1"/>
  <c r="AI95" i="13"/>
  <c r="AI100" i="13" s="1"/>
  <c r="AQ100" i="13" s="1"/>
  <c r="G31" i="3"/>
  <c r="I31" i="3" s="1"/>
  <c r="K31" i="3" s="1"/>
  <c r="AK91" i="13"/>
  <c r="AQ91" i="13"/>
  <c r="Y94" i="10"/>
  <c r="AE94" i="10" s="1"/>
  <c r="F41" i="10"/>
  <c r="Y112" i="9"/>
  <c r="AE112" i="9" s="1"/>
  <c r="F41" i="9"/>
  <c r="L40" i="9"/>
  <c r="L40" i="10"/>
  <c r="F25" i="10"/>
  <c r="Y100" i="14"/>
  <c r="AE100" i="14" s="1"/>
  <c r="L35" i="14"/>
  <c r="Y111" i="14"/>
  <c r="F32" i="14"/>
  <c r="AA76" i="33"/>
  <c r="AE76" i="33" s="1"/>
  <c r="H29" i="33"/>
  <c r="L28" i="33"/>
  <c r="AA80" i="11"/>
  <c r="H65" i="6"/>
  <c r="J63" i="6"/>
  <c r="L47" i="4"/>
  <c r="N37" i="13" l="1"/>
  <c r="N40" i="13"/>
  <c r="N33" i="13"/>
  <c r="N25" i="13"/>
  <c r="N35" i="13"/>
  <c r="N46" i="13"/>
  <c r="AI102" i="13"/>
  <c r="AQ102" i="13" s="1"/>
  <c r="N44" i="13"/>
  <c r="N24" i="13"/>
  <c r="N45" i="13"/>
  <c r="N41" i="13"/>
  <c r="N26" i="13"/>
  <c r="N29" i="13"/>
  <c r="N42" i="13"/>
  <c r="N36" i="13"/>
  <c r="L31" i="6"/>
  <c r="J31" i="6" s="1"/>
  <c r="N34" i="13"/>
  <c r="N30" i="13"/>
  <c r="AK100" i="13"/>
  <c r="L24" i="10"/>
  <c r="AI94" i="10" s="1"/>
  <c r="AK94" i="10" s="1"/>
  <c r="F57" i="14"/>
  <c r="F47" i="14"/>
  <c r="AA124" i="9"/>
  <c r="AE124" i="9" s="1"/>
  <c r="Y110" i="10"/>
  <c r="AE110" i="10" s="1"/>
  <c r="AO110" i="10" s="1"/>
  <c r="AO111" i="10" s="1"/>
  <c r="AA115" i="10"/>
  <c r="AE115" i="10" s="1"/>
  <c r="AE113" i="9"/>
  <c r="AO112" i="9"/>
  <c r="AO113" i="9" s="1"/>
  <c r="AA103" i="10"/>
  <c r="AE103" i="10" s="1"/>
  <c r="H46" i="10"/>
  <c r="AA114" i="10"/>
  <c r="AE114" i="10" s="1"/>
  <c r="F35" i="10"/>
  <c r="Y95" i="10"/>
  <c r="Y111" i="10"/>
  <c r="F51" i="10"/>
  <c r="Y121" i="10" s="1"/>
  <c r="AA106" i="9"/>
  <c r="AE106" i="9" s="1"/>
  <c r="AA98" i="10"/>
  <c r="AE98" i="10" s="1"/>
  <c r="AA75" i="30"/>
  <c r="AE75" i="30" s="1"/>
  <c r="H31" i="30"/>
  <c r="H29" i="30"/>
  <c r="L28" i="30"/>
  <c r="R40" i="10"/>
  <c r="R41" i="10" s="1"/>
  <c r="L41" i="10"/>
  <c r="R40" i="9"/>
  <c r="R41" i="9" s="1"/>
  <c r="L41" i="9"/>
  <c r="AI112" i="9"/>
  <c r="AK112" i="9" s="1"/>
  <c r="H30" i="10"/>
  <c r="Y107" i="26" s="1"/>
  <c r="H35" i="10"/>
  <c r="H36" i="9"/>
  <c r="H54" i="9" s="1"/>
  <c r="L61" i="9" s="1"/>
  <c r="AO94" i="10"/>
  <c r="AO95" i="10" s="1"/>
  <c r="AE95" i="10"/>
  <c r="Y95" i="9"/>
  <c r="AE95" i="9" s="1"/>
  <c r="L23" i="9"/>
  <c r="F24" i="9"/>
  <c r="AA120" i="10"/>
  <c r="AE120" i="10" s="1"/>
  <c r="AA123" i="9"/>
  <c r="AE123" i="9" s="1"/>
  <c r="F53" i="9"/>
  <c r="Y125" i="9" s="1"/>
  <c r="Y113" i="9"/>
  <c r="AA119" i="10"/>
  <c r="AE119" i="10" s="1"/>
  <c r="H51" i="10"/>
  <c r="AA90" i="14"/>
  <c r="AE90" i="14" s="1"/>
  <c r="AO95" i="14"/>
  <c r="H31" i="33"/>
  <c r="L37" i="33" s="1"/>
  <c r="AA77" i="33"/>
  <c r="AE77" i="33" s="1"/>
  <c r="H30" i="33"/>
  <c r="L29" i="33"/>
  <c r="R30" i="14"/>
  <c r="AO76" i="33"/>
  <c r="AI100" i="14"/>
  <c r="AK100" i="14" s="1"/>
  <c r="R35" i="14"/>
  <c r="L21" i="14"/>
  <c r="Y86" i="14"/>
  <c r="AE86" i="14" s="1"/>
  <c r="AO100" i="14"/>
  <c r="H26" i="14"/>
  <c r="AA89" i="14"/>
  <c r="AE89" i="14" s="1"/>
  <c r="AA97" i="14"/>
  <c r="R28" i="33"/>
  <c r="AI76" i="33"/>
  <c r="AK76" i="33" s="1"/>
  <c r="L30" i="11"/>
  <c r="AI80" i="11" s="1"/>
  <c r="J65" i="6"/>
  <c r="AK102" i="13" l="1"/>
  <c r="P31" i="5"/>
  <c r="R31" i="5" s="1"/>
  <c r="L57" i="10"/>
  <c r="R57" i="10" s="1"/>
  <c r="AO96" i="14"/>
  <c r="R41" i="11"/>
  <c r="AA116" i="10"/>
  <c r="Y206" i="26"/>
  <c r="F223" i="26" s="1"/>
  <c r="Q223" i="26" s="1"/>
  <c r="L25" i="10"/>
  <c r="R24" i="10"/>
  <c r="R25" i="10" s="1"/>
  <c r="R30" i="11"/>
  <c r="AI110" i="10"/>
  <c r="AI111" i="10" s="1"/>
  <c r="AA125" i="9"/>
  <c r="AK95" i="14"/>
  <c r="AE111" i="10"/>
  <c r="AA116" i="9"/>
  <c r="AE116" i="9" s="1"/>
  <c r="H49" i="9"/>
  <c r="AA119" i="9"/>
  <c r="AE119" i="9" s="1"/>
  <c r="W107" i="26"/>
  <c r="AA105" i="10"/>
  <c r="H63" i="10"/>
  <c r="H27" i="6" s="1"/>
  <c r="X107" i="26"/>
  <c r="AA121" i="10"/>
  <c r="H52" i="10"/>
  <c r="L59" i="10" s="1"/>
  <c r="R23" i="9"/>
  <c r="R24" i="9" s="1"/>
  <c r="AI95" i="9"/>
  <c r="AK95" i="9" s="1"/>
  <c r="L24" i="9"/>
  <c r="AA99" i="10"/>
  <c r="AE99" i="10" s="1"/>
  <c r="AE100" i="10" s="1"/>
  <c r="L29" i="30"/>
  <c r="AA76" i="30"/>
  <c r="AE76" i="30" s="1"/>
  <c r="H30" i="30"/>
  <c r="AO114" i="10"/>
  <c r="AE116" i="10"/>
  <c r="AO115" i="10"/>
  <c r="AO119" i="10"/>
  <c r="AE96" i="9"/>
  <c r="AO95" i="9"/>
  <c r="AO96" i="9" s="1"/>
  <c r="AA103" i="9"/>
  <c r="AE103" i="9" s="1"/>
  <c r="H32" i="30"/>
  <c r="L38" i="30" s="1"/>
  <c r="AA78" i="30"/>
  <c r="AA79" i="30" s="1"/>
  <c r="AE85" i="30" s="1"/>
  <c r="AA99" i="9"/>
  <c r="AE99" i="9" s="1"/>
  <c r="AO106" i="9"/>
  <c r="AO120" i="10"/>
  <c r="AA115" i="9"/>
  <c r="AE115" i="9" s="1"/>
  <c r="AO75" i="30"/>
  <c r="AA100" i="10"/>
  <c r="AA108" i="9"/>
  <c r="AO103" i="10"/>
  <c r="H28" i="9"/>
  <c r="AA100" i="9" s="1"/>
  <c r="AA98" i="9"/>
  <c r="AE98" i="9" s="1"/>
  <c r="AO123" i="9"/>
  <c r="F36" i="9"/>
  <c r="Y96" i="9"/>
  <c r="AO124" i="9"/>
  <c r="AA107" i="9"/>
  <c r="AE107" i="9" s="1"/>
  <c r="AA104" i="10"/>
  <c r="AE104" i="10" s="1"/>
  <c r="AI113" i="9"/>
  <c r="AK113" i="9" s="1"/>
  <c r="AQ112" i="9"/>
  <c r="R28" i="30"/>
  <c r="AI75" i="30"/>
  <c r="AO98" i="10"/>
  <c r="AA120" i="9"/>
  <c r="AE120" i="9" s="1"/>
  <c r="Y105" i="10"/>
  <c r="Y122" i="10" s="1"/>
  <c r="Y133" i="10" s="1"/>
  <c r="F52" i="10"/>
  <c r="F63" i="10"/>
  <c r="F27" i="6" s="1"/>
  <c r="Z107" i="26"/>
  <c r="AA102" i="9"/>
  <c r="AE102" i="9" s="1"/>
  <c r="H32" i="9"/>
  <c r="AA104" i="9" s="1"/>
  <c r="AQ94" i="10"/>
  <c r="AI95" i="10"/>
  <c r="AK95" i="10" s="1"/>
  <c r="AO77" i="33"/>
  <c r="AA103" i="14"/>
  <c r="AE103" i="14" s="1"/>
  <c r="H40" i="14"/>
  <c r="AA105" i="14" s="1"/>
  <c r="AO89" i="14"/>
  <c r="AE91" i="14"/>
  <c r="AE97" i="14" s="1"/>
  <c r="AO86" i="14"/>
  <c r="H32" i="33"/>
  <c r="AA79" i="33"/>
  <c r="AA80" i="33" s="1"/>
  <c r="AE85" i="33" s="1"/>
  <c r="AO90" i="14"/>
  <c r="AA104" i="14"/>
  <c r="AE104" i="14" s="1"/>
  <c r="F35" i="6"/>
  <c r="Y97" i="14"/>
  <c r="AI77" i="33"/>
  <c r="AK77" i="33" s="1"/>
  <c r="R29" i="33"/>
  <c r="AQ76" i="33"/>
  <c r="AA109" i="14"/>
  <c r="AE109" i="14" s="1"/>
  <c r="AE110" i="14" s="1"/>
  <c r="AA91" i="14"/>
  <c r="AQ100" i="14"/>
  <c r="R21" i="14"/>
  <c r="AI86" i="14"/>
  <c r="AK86" i="14" s="1"/>
  <c r="P31" i="33"/>
  <c r="P32" i="33" s="1"/>
  <c r="P41" i="33" s="1"/>
  <c r="P42" i="6" s="1"/>
  <c r="L30" i="33"/>
  <c r="AA78" i="33"/>
  <c r="AQ95" i="14"/>
  <c r="Y75" i="11"/>
  <c r="AE75" i="11" s="1"/>
  <c r="L25" i="11"/>
  <c r="L24" i="11"/>
  <c r="Y74" i="11"/>
  <c r="AE74" i="11" s="1"/>
  <c r="F27" i="11"/>
  <c r="H34" i="11"/>
  <c r="AA83" i="11"/>
  <c r="AO107" i="9" l="1"/>
  <c r="X31" i="5"/>
  <c r="F36" i="6"/>
  <c r="AK85" i="30"/>
  <c r="AO85" i="30"/>
  <c r="AQ85" i="30" s="1"/>
  <c r="AE83" i="33"/>
  <c r="AE86" i="33"/>
  <c r="AE127" i="10"/>
  <c r="L38" i="33"/>
  <c r="L35" i="33"/>
  <c r="R53" i="14"/>
  <c r="L42" i="11"/>
  <c r="L37" i="11"/>
  <c r="AE82" i="30"/>
  <c r="AE86" i="30"/>
  <c r="P58" i="10"/>
  <c r="L55" i="10"/>
  <c r="L60" i="10"/>
  <c r="AE89" i="11"/>
  <c r="AE91" i="11"/>
  <c r="L35" i="30"/>
  <c r="L39" i="30"/>
  <c r="F209" i="26"/>
  <c r="Q209" i="26" s="1"/>
  <c r="F213" i="26"/>
  <c r="Q213" i="26" s="1"/>
  <c r="F210" i="26"/>
  <c r="Q210" i="26" s="1"/>
  <c r="F215" i="26"/>
  <c r="Q215" i="26" s="1"/>
  <c r="F222" i="26"/>
  <c r="Q222" i="26" s="1"/>
  <c r="F221" i="26"/>
  <c r="Q221" i="26" s="1"/>
  <c r="F206" i="26"/>
  <c r="Q206" i="26" s="1"/>
  <c r="F208" i="26"/>
  <c r="Q208" i="26" s="1"/>
  <c r="F211" i="26"/>
  <c r="Q211" i="26" s="1"/>
  <c r="F212" i="26"/>
  <c r="Q212" i="26" s="1"/>
  <c r="F218" i="26"/>
  <c r="Q218" i="26" s="1"/>
  <c r="F217" i="26"/>
  <c r="Q217" i="26" s="1"/>
  <c r="F219" i="26"/>
  <c r="Q219" i="26" s="1"/>
  <c r="F220" i="26"/>
  <c r="Q220" i="26" s="1"/>
  <c r="F214" i="26"/>
  <c r="Q214" i="26" s="1"/>
  <c r="F216" i="26"/>
  <c r="Q216" i="26" s="1"/>
  <c r="F207" i="26"/>
  <c r="Q207" i="26" s="1"/>
  <c r="AQ110" i="10"/>
  <c r="H45" i="9"/>
  <c r="AA126" i="9"/>
  <c r="AE133" i="9" s="1"/>
  <c r="AK110" i="10"/>
  <c r="AQ86" i="14"/>
  <c r="Y112" i="14"/>
  <c r="Y122" i="14" s="1"/>
  <c r="AE105" i="10"/>
  <c r="AA122" i="10"/>
  <c r="AE129" i="10" s="1"/>
  <c r="AI129" i="10" s="1"/>
  <c r="AE117" i="9"/>
  <c r="AO115" i="9"/>
  <c r="H42" i="30"/>
  <c r="AO103" i="9"/>
  <c r="AI96" i="9"/>
  <c r="AK96" i="9" s="1"/>
  <c r="AQ95" i="9"/>
  <c r="AO102" i="9"/>
  <c r="F27" i="5"/>
  <c r="F23" i="4"/>
  <c r="AQ113" i="9"/>
  <c r="AE100" i="9"/>
  <c r="AO98" i="9"/>
  <c r="AA77" i="30"/>
  <c r="L30" i="30"/>
  <c r="P31" i="30"/>
  <c r="P32" i="30" s="1"/>
  <c r="P42" i="30" s="1"/>
  <c r="P40" i="6" s="1"/>
  <c r="P43" i="6" s="1"/>
  <c r="AK111" i="10"/>
  <c r="AQ111" i="10"/>
  <c r="AO99" i="10"/>
  <c r="AO100" i="10" s="1"/>
  <c r="AO119" i="9"/>
  <c r="AK75" i="30"/>
  <c r="AQ75" i="30"/>
  <c r="Y108" i="9"/>
  <c r="Y126" i="9" s="1"/>
  <c r="F54" i="9"/>
  <c r="R59" i="10"/>
  <c r="AO99" i="9"/>
  <c r="AO116" i="10"/>
  <c r="AO121" i="10" s="1"/>
  <c r="AO76" i="30"/>
  <c r="F108" i="26"/>
  <c r="Q108" i="26" s="1"/>
  <c r="F114" i="26"/>
  <c r="Q114" i="26" s="1"/>
  <c r="F107" i="26"/>
  <c r="Q107" i="26" s="1"/>
  <c r="F113" i="26"/>
  <c r="Q113" i="26" s="1"/>
  <c r="F111" i="26"/>
  <c r="Q111" i="26" s="1"/>
  <c r="F109" i="26"/>
  <c r="Q109" i="26" s="1"/>
  <c r="F115" i="26"/>
  <c r="Q115" i="26" s="1"/>
  <c r="F112" i="26"/>
  <c r="Q112" i="26" s="1"/>
  <c r="F110" i="26"/>
  <c r="Q110" i="26" s="1"/>
  <c r="F116" i="26"/>
  <c r="Q116" i="26" s="1"/>
  <c r="AQ95" i="10"/>
  <c r="AO120" i="9"/>
  <c r="AO104" i="10"/>
  <c r="AE121" i="10"/>
  <c r="R29" i="30"/>
  <c r="AI76" i="30"/>
  <c r="F118" i="26"/>
  <c r="Q118" i="26" s="1"/>
  <c r="F121" i="26"/>
  <c r="Q121" i="26" s="1"/>
  <c r="F119" i="26"/>
  <c r="Q119" i="26" s="1"/>
  <c r="F124" i="26"/>
  <c r="Q124" i="26" s="1"/>
  <c r="F120" i="26"/>
  <c r="Q120" i="26" s="1"/>
  <c r="F123" i="26"/>
  <c r="Q123" i="26" s="1"/>
  <c r="F126" i="26"/>
  <c r="Q126" i="26" s="1"/>
  <c r="F122" i="26"/>
  <c r="Q122" i="26" s="1"/>
  <c r="F127" i="26"/>
  <c r="Q127" i="26" s="1"/>
  <c r="F125" i="26"/>
  <c r="Q125" i="26" s="1"/>
  <c r="AO116" i="9"/>
  <c r="AA121" i="9"/>
  <c r="AE105" i="14"/>
  <c r="AE111" i="14" s="1"/>
  <c r="AE112" i="14" s="1"/>
  <c r="AO103" i="14"/>
  <c r="AO109" i="14"/>
  <c r="H41" i="33"/>
  <c r="H42" i="6" s="1"/>
  <c r="AO91" i="14"/>
  <c r="AO97" i="14" s="1"/>
  <c r="AQ77" i="33"/>
  <c r="AI109" i="14"/>
  <c r="Z206" i="26"/>
  <c r="AA111" i="14"/>
  <c r="AA112" i="14" s="1"/>
  <c r="AE118" i="14" s="1"/>
  <c r="H35" i="6"/>
  <c r="AA89" i="33"/>
  <c r="AE78" i="33"/>
  <c r="AM79" i="33"/>
  <c r="AM80" i="33" s="1"/>
  <c r="AM89" i="33" s="1"/>
  <c r="R30" i="33"/>
  <c r="R31" i="33" s="1"/>
  <c r="R32" i="33" s="1"/>
  <c r="L36" i="33" s="1"/>
  <c r="L31" i="33"/>
  <c r="AO104" i="14"/>
  <c r="L27" i="11"/>
  <c r="AI74" i="11"/>
  <c r="AK74" i="11" s="1"/>
  <c r="R24" i="11"/>
  <c r="AA84" i="11"/>
  <c r="AE83" i="11"/>
  <c r="P40" i="11"/>
  <c r="H45" i="11"/>
  <c r="H28" i="6" s="1"/>
  <c r="AI75" i="11"/>
  <c r="AK75" i="11" s="1"/>
  <c r="R25" i="11"/>
  <c r="AO74" i="11"/>
  <c r="AE77" i="11"/>
  <c r="Y77" i="11"/>
  <c r="F34" i="11"/>
  <c r="F45" i="11" s="1"/>
  <c r="F28" i="6" s="1"/>
  <c r="AO75" i="11"/>
  <c r="AM128" i="10" l="1"/>
  <c r="AO128" i="10" s="1"/>
  <c r="AE130" i="10"/>
  <c r="AI130" i="10" s="1"/>
  <c r="AK130" i="10" s="1"/>
  <c r="AE125" i="10"/>
  <c r="AE129" i="9"/>
  <c r="AE134" i="9"/>
  <c r="AO134" i="9" s="1"/>
  <c r="R61" i="9"/>
  <c r="L59" i="9"/>
  <c r="R59" i="9" s="1"/>
  <c r="AE87" i="11"/>
  <c r="AI87" i="11" s="1"/>
  <c r="AE92" i="11"/>
  <c r="AE119" i="14"/>
  <c r="AE115" i="14"/>
  <c r="L62" i="9"/>
  <c r="R62" i="9" s="1"/>
  <c r="L57" i="9"/>
  <c r="R57" i="9" s="1"/>
  <c r="L39" i="33"/>
  <c r="AO110" i="14"/>
  <c r="AM132" i="9"/>
  <c r="AM135" i="9" s="1"/>
  <c r="AM137" i="9" s="1"/>
  <c r="AO129" i="10"/>
  <c r="AQ129" i="10" s="1"/>
  <c r="AK129" i="10"/>
  <c r="AA117" i="9"/>
  <c r="AK91" i="11"/>
  <c r="AO91" i="11"/>
  <c r="AQ91" i="11" s="1"/>
  <c r="AI91" i="11"/>
  <c r="AI127" i="10"/>
  <c r="AO127" i="10"/>
  <c r="AQ127" i="10" s="1"/>
  <c r="AK127" i="10"/>
  <c r="P60" i="9"/>
  <c r="P63" i="9" s="1"/>
  <c r="P65" i="9" s="1"/>
  <c r="P26" i="6" s="1"/>
  <c r="H65" i="9"/>
  <c r="AA137" i="9" s="1"/>
  <c r="F240" i="26"/>
  <c r="Q240" i="26" s="1"/>
  <c r="F236" i="26"/>
  <c r="Q236" i="26" s="1"/>
  <c r="F232" i="26"/>
  <c r="Q232" i="26" s="1"/>
  <c r="F228" i="26"/>
  <c r="Q228" i="26" s="1"/>
  <c r="F238" i="26"/>
  <c r="Q238" i="26" s="1"/>
  <c r="F230" i="26"/>
  <c r="Q230" i="26" s="1"/>
  <c r="F237" i="26"/>
  <c r="Q237" i="26" s="1"/>
  <c r="F233" i="26"/>
  <c r="Q233" i="26" s="1"/>
  <c r="F225" i="26"/>
  <c r="Q225" i="26" s="1"/>
  <c r="F239" i="26"/>
  <c r="Q239" i="26" s="1"/>
  <c r="F235" i="26"/>
  <c r="Q235" i="26" s="1"/>
  <c r="F231" i="26"/>
  <c r="Q231" i="26" s="1"/>
  <c r="F227" i="26"/>
  <c r="Q227" i="26" s="1"/>
  <c r="F242" i="26"/>
  <c r="Q242" i="26" s="1"/>
  <c r="F234" i="26"/>
  <c r="Q234" i="26" s="1"/>
  <c r="F226" i="26"/>
  <c r="Q226" i="26" s="1"/>
  <c r="F241" i="26"/>
  <c r="Q241" i="26" s="1"/>
  <c r="F229" i="26"/>
  <c r="Q229" i="26" s="1"/>
  <c r="AQ75" i="11"/>
  <c r="AA133" i="10"/>
  <c r="H27" i="5" s="1"/>
  <c r="R27" i="11"/>
  <c r="AI77" i="11"/>
  <c r="AK77" i="11" s="1"/>
  <c r="F28" i="4"/>
  <c r="F35" i="5"/>
  <c r="F36" i="5" s="1"/>
  <c r="AK109" i="14"/>
  <c r="AI118" i="14"/>
  <c r="AO105" i="10"/>
  <c r="AO122" i="10" s="1"/>
  <c r="AK76" i="30"/>
  <c r="AQ76" i="30"/>
  <c r="AE122" i="10"/>
  <c r="AO86" i="30"/>
  <c r="F65" i="9"/>
  <c r="R60" i="10"/>
  <c r="AO100" i="9"/>
  <c r="AO104" i="9" s="1"/>
  <c r="AO108" i="9" s="1"/>
  <c r="AQ96" i="9"/>
  <c r="H40" i="6"/>
  <c r="H43" i="6" s="1"/>
  <c r="AA89" i="30"/>
  <c r="AO117" i="9"/>
  <c r="AO121" i="9" s="1"/>
  <c r="AO125" i="9" s="1"/>
  <c r="AO82" i="30"/>
  <c r="R55" i="10"/>
  <c r="AE104" i="9"/>
  <c r="R38" i="30"/>
  <c r="AI85" i="30"/>
  <c r="AE121" i="9"/>
  <c r="R30" i="30"/>
  <c r="R31" i="30" s="1"/>
  <c r="R32" i="30" s="1"/>
  <c r="L36" i="30" s="1"/>
  <c r="L31" i="30"/>
  <c r="AI82" i="30"/>
  <c r="R35" i="30"/>
  <c r="P61" i="10"/>
  <c r="P63" i="10" s="1"/>
  <c r="P27" i="6" s="1"/>
  <c r="R58" i="10"/>
  <c r="AM78" i="30"/>
  <c r="AM79" i="30" s="1"/>
  <c r="AM89" i="30" s="1"/>
  <c r="AE77" i="30"/>
  <c r="AI86" i="30"/>
  <c r="R39" i="30"/>
  <c r="R37" i="33"/>
  <c r="AI85" i="33"/>
  <c r="L32" i="33"/>
  <c r="AI78" i="33"/>
  <c r="AI79" i="33" s="1"/>
  <c r="AI80" i="33" s="1"/>
  <c r="AO78" i="33"/>
  <c r="AE79" i="33"/>
  <c r="H42" i="5"/>
  <c r="H32" i="4"/>
  <c r="H36" i="6"/>
  <c r="AQ109" i="14"/>
  <c r="T42" i="5"/>
  <c r="P32" i="4"/>
  <c r="AO85" i="33"/>
  <c r="AQ85" i="33" s="1"/>
  <c r="AK85" i="33"/>
  <c r="AO83" i="33"/>
  <c r="AA122" i="14"/>
  <c r="AM117" i="14"/>
  <c r="R38" i="33"/>
  <c r="AI86" i="33"/>
  <c r="AK86" i="33" s="1"/>
  <c r="AO86" i="33"/>
  <c r="AO118" i="14"/>
  <c r="AQ118" i="14" s="1"/>
  <c r="AK118" i="14"/>
  <c r="P52" i="14"/>
  <c r="P55" i="14" s="1"/>
  <c r="P57" i="14" s="1"/>
  <c r="AI83" i="33"/>
  <c r="R35" i="33"/>
  <c r="AO105" i="14"/>
  <c r="R40" i="11"/>
  <c r="P43" i="11"/>
  <c r="P45" i="11" s="1"/>
  <c r="P28" i="6" s="1"/>
  <c r="AA95" i="11"/>
  <c r="AM90" i="11"/>
  <c r="Y84" i="11"/>
  <c r="Y95" i="11" s="1"/>
  <c r="AE84" i="11"/>
  <c r="R37" i="11"/>
  <c r="R39" i="11"/>
  <c r="AO77" i="11"/>
  <c r="AQ74" i="11"/>
  <c r="R42" i="11"/>
  <c r="AO83" i="11"/>
  <c r="AM131" i="10" l="1"/>
  <c r="AM133" i="10" s="1"/>
  <c r="T27" i="5" s="1"/>
  <c r="AI129" i="9"/>
  <c r="AK129" i="9" s="1"/>
  <c r="AO129" i="9"/>
  <c r="AO111" i="14"/>
  <c r="AE126" i="10"/>
  <c r="AE131" i="10" s="1"/>
  <c r="AE133" i="10" s="1"/>
  <c r="AE131" i="9"/>
  <c r="AI131" i="9" s="1"/>
  <c r="AI133" i="9"/>
  <c r="AO132" i="9"/>
  <c r="H26" i="6"/>
  <c r="H32" i="6" s="1"/>
  <c r="R36" i="33"/>
  <c r="R39" i="33" s="1"/>
  <c r="R41" i="33" s="1"/>
  <c r="G42" i="3" s="1"/>
  <c r="R36" i="30"/>
  <c r="R40" i="30" s="1"/>
  <c r="R42" i="30" s="1"/>
  <c r="R60" i="9"/>
  <c r="AO130" i="10"/>
  <c r="AQ130" i="10" s="1"/>
  <c r="AI134" i="9"/>
  <c r="AK134" i="9" s="1"/>
  <c r="AQ128" i="10"/>
  <c r="H23" i="4"/>
  <c r="AO125" i="10"/>
  <c r="AI125" i="10"/>
  <c r="AK125" i="10" s="1"/>
  <c r="P32" i="6"/>
  <c r="R50" i="14"/>
  <c r="AO126" i="9"/>
  <c r="T26" i="5"/>
  <c r="P22" i="4"/>
  <c r="AQ82" i="30"/>
  <c r="AK82" i="30"/>
  <c r="L32" i="30"/>
  <c r="AE125" i="9"/>
  <c r="Y137" i="9"/>
  <c r="F26" i="6"/>
  <c r="H26" i="5"/>
  <c r="H22" i="4"/>
  <c r="AK86" i="30"/>
  <c r="AQ86" i="30"/>
  <c r="AI77" i="30"/>
  <c r="AO77" i="30"/>
  <c r="AO78" i="30" s="1"/>
  <c r="AO79" i="30" s="1"/>
  <c r="AE78" i="30"/>
  <c r="AE108" i="9"/>
  <c r="H40" i="5"/>
  <c r="H43" i="5" s="1"/>
  <c r="H30" i="4"/>
  <c r="T40" i="5"/>
  <c r="T43" i="5" s="1"/>
  <c r="P30" i="4"/>
  <c r="AQ86" i="33"/>
  <c r="AO115" i="14"/>
  <c r="AK79" i="33"/>
  <c r="AE80" i="33"/>
  <c r="AI115" i="14"/>
  <c r="AQ78" i="33"/>
  <c r="AO79" i="33"/>
  <c r="AI119" i="14"/>
  <c r="AK119" i="14" s="1"/>
  <c r="AO119" i="14"/>
  <c r="L41" i="33"/>
  <c r="R52" i="14"/>
  <c r="P35" i="6"/>
  <c r="P36" i="6" s="1"/>
  <c r="AO117" i="14"/>
  <c r="AM120" i="14"/>
  <c r="AM122" i="14" s="1"/>
  <c r="AK83" i="33"/>
  <c r="R54" i="14"/>
  <c r="H28" i="4"/>
  <c r="H35" i="5"/>
  <c r="AQ83" i="33"/>
  <c r="AK78" i="33"/>
  <c r="AM93" i="11"/>
  <c r="AM95" i="11" s="1"/>
  <c r="AO90" i="11"/>
  <c r="AQ90" i="11" s="1"/>
  <c r="AO87" i="11"/>
  <c r="AK87" i="11"/>
  <c r="F24" i="4"/>
  <c r="F28" i="5"/>
  <c r="AO84" i="11"/>
  <c r="AQ77" i="11"/>
  <c r="H28" i="5"/>
  <c r="H24" i="4"/>
  <c r="AI89" i="11"/>
  <c r="AO89" i="11"/>
  <c r="AQ89" i="11" s="1"/>
  <c r="AK89" i="11"/>
  <c r="AI92" i="11"/>
  <c r="AK92" i="11" s="1"/>
  <c r="AO92" i="11"/>
  <c r="AG122" i="10" l="1"/>
  <c r="AG98" i="10"/>
  <c r="AG116" i="10"/>
  <c r="N39" i="33"/>
  <c r="N30" i="33"/>
  <c r="N31" i="33"/>
  <c r="AG125" i="10"/>
  <c r="AQ132" i="9"/>
  <c r="P23" i="4"/>
  <c r="AE130" i="9"/>
  <c r="AO130" i="9" s="1"/>
  <c r="F32" i="6"/>
  <c r="AE88" i="11"/>
  <c r="AQ129" i="9"/>
  <c r="AE83" i="30"/>
  <c r="AK83" i="30" s="1"/>
  <c r="AK126" i="10"/>
  <c r="AO126" i="10"/>
  <c r="AQ126" i="10" s="1"/>
  <c r="AQ117" i="14"/>
  <c r="AQ134" i="9"/>
  <c r="L40" i="30"/>
  <c r="L42" i="30" s="1"/>
  <c r="AQ125" i="10"/>
  <c r="AO133" i="9"/>
  <c r="AQ133" i="9" s="1"/>
  <c r="AK133" i="9"/>
  <c r="AO131" i="9"/>
  <c r="AQ131" i="9" s="1"/>
  <c r="AK131" i="9"/>
  <c r="R42" i="6"/>
  <c r="N32" i="33"/>
  <c r="AG131" i="10"/>
  <c r="AG93" i="10"/>
  <c r="J23" i="4"/>
  <c r="L27" i="5"/>
  <c r="AG109" i="10"/>
  <c r="AG110" i="10"/>
  <c r="AG94" i="10"/>
  <c r="AG114" i="10"/>
  <c r="AG95" i="10"/>
  <c r="AG111" i="10"/>
  <c r="AG120" i="10"/>
  <c r="AG103" i="10"/>
  <c r="AG119" i="10"/>
  <c r="AG127" i="10"/>
  <c r="AG115" i="10"/>
  <c r="AG99" i="10"/>
  <c r="AG104" i="10"/>
  <c r="AG129" i="10"/>
  <c r="AG105" i="10"/>
  <c r="AG100" i="10"/>
  <c r="AG121" i="10"/>
  <c r="AG130" i="10"/>
  <c r="AG126" i="10"/>
  <c r="R40" i="6"/>
  <c r="G40" i="3"/>
  <c r="G43" i="3" s="1"/>
  <c r="AK77" i="30"/>
  <c r="AQ77" i="30"/>
  <c r="AI78" i="30"/>
  <c r="AE126" i="9"/>
  <c r="AE79" i="30"/>
  <c r="F26" i="5"/>
  <c r="F32" i="5" s="1"/>
  <c r="F22" i="4"/>
  <c r="N25" i="33"/>
  <c r="L42" i="6"/>
  <c r="N24" i="33"/>
  <c r="N28" i="33"/>
  <c r="N29" i="33"/>
  <c r="N36" i="33"/>
  <c r="N38" i="33"/>
  <c r="N37" i="33"/>
  <c r="N35" i="33"/>
  <c r="AQ79" i="33"/>
  <c r="AO80" i="33"/>
  <c r="AQ115" i="14"/>
  <c r="AO112" i="14"/>
  <c r="AK80" i="33"/>
  <c r="T35" i="5"/>
  <c r="T36" i="5" s="1"/>
  <c r="P28" i="4"/>
  <c r="H36" i="5"/>
  <c r="AQ119" i="14"/>
  <c r="AK115" i="14"/>
  <c r="P24" i="4"/>
  <c r="T28" i="5"/>
  <c r="T32" i="5" s="1"/>
  <c r="AQ87" i="11"/>
  <c r="AQ92" i="11"/>
  <c r="H32" i="5"/>
  <c r="N37" i="30" l="1"/>
  <c r="N30" i="30"/>
  <c r="AE135" i="9"/>
  <c r="AE137" i="9" s="1"/>
  <c r="J24" i="14"/>
  <c r="L24" i="14" s="1"/>
  <c r="R24" i="14" s="1"/>
  <c r="AE84" i="33"/>
  <c r="AE116" i="14"/>
  <c r="J38" i="14"/>
  <c r="L38" i="14" s="1"/>
  <c r="R38" i="14" s="1"/>
  <c r="J25" i="14"/>
  <c r="L25" i="14" s="1"/>
  <c r="R25" i="14" s="1"/>
  <c r="AI83" i="30"/>
  <c r="AI87" i="30" s="1"/>
  <c r="AO83" i="30"/>
  <c r="AO87" i="30" s="1"/>
  <c r="AO89" i="30" s="1"/>
  <c r="E40" i="3" s="1"/>
  <c r="AE87" i="30"/>
  <c r="AE89" i="30" s="1"/>
  <c r="AG84" i="30" s="1"/>
  <c r="AO131" i="10"/>
  <c r="AO133" i="10" s="1"/>
  <c r="V27" i="5" s="1"/>
  <c r="N40" i="30"/>
  <c r="N39" i="30"/>
  <c r="N29" i="30"/>
  <c r="M35" i="30"/>
  <c r="AK130" i="9"/>
  <c r="N36" i="30"/>
  <c r="N28" i="30"/>
  <c r="L40" i="6"/>
  <c r="J40" i="6" s="1"/>
  <c r="N31" i="30"/>
  <c r="N35" i="30"/>
  <c r="N24" i="30"/>
  <c r="N38" i="30"/>
  <c r="N32" i="30"/>
  <c r="N25" i="30"/>
  <c r="AO135" i="9"/>
  <c r="AO137" i="9" s="1"/>
  <c r="R22" i="4" s="1"/>
  <c r="AQ130" i="9"/>
  <c r="AQ80" i="33"/>
  <c r="AO88" i="11"/>
  <c r="AE93" i="11"/>
  <c r="AE95" i="11" s="1"/>
  <c r="AK88" i="11"/>
  <c r="R43" i="6"/>
  <c r="J27" i="5"/>
  <c r="AQ78" i="30"/>
  <c r="AI79" i="30"/>
  <c r="AK78" i="30"/>
  <c r="R23" i="4"/>
  <c r="L23" i="4"/>
  <c r="J42" i="6"/>
  <c r="AG93" i="11" l="1"/>
  <c r="AG75" i="11"/>
  <c r="AG126" i="9"/>
  <c r="AG107" i="9"/>
  <c r="I40" i="3"/>
  <c r="K40" i="3" s="1"/>
  <c r="AI89" i="14"/>
  <c r="AK89" i="14" s="1"/>
  <c r="R26" i="14"/>
  <c r="AI103" i="14"/>
  <c r="AK103" i="14" s="1"/>
  <c r="AI90" i="14"/>
  <c r="L26" i="14"/>
  <c r="J39" i="14"/>
  <c r="L39" i="14" s="1"/>
  <c r="AI104" i="14" s="1"/>
  <c r="AK104" i="14" s="1"/>
  <c r="AQ83" i="30"/>
  <c r="E27" i="3"/>
  <c r="J26" i="9"/>
  <c r="J28" i="10" s="1"/>
  <c r="L28" i="10" s="1"/>
  <c r="J30" i="9"/>
  <c r="J47" i="9" s="1"/>
  <c r="L47" i="9" s="1"/>
  <c r="J27" i="9"/>
  <c r="J29" i="10" s="1"/>
  <c r="L29" i="10" s="1"/>
  <c r="J43" i="9"/>
  <c r="L43" i="9" s="1"/>
  <c r="J44" i="9"/>
  <c r="L44" i="9" s="1"/>
  <c r="J31" i="9"/>
  <c r="J48" i="9" s="1"/>
  <c r="L48" i="9" s="1"/>
  <c r="J34" i="9"/>
  <c r="J51" i="9"/>
  <c r="L51" i="9" s="1"/>
  <c r="L43" i="6"/>
  <c r="N42" i="6" s="1"/>
  <c r="V26" i="5"/>
  <c r="E26" i="3"/>
  <c r="R30" i="4"/>
  <c r="V40" i="5"/>
  <c r="AG88" i="11"/>
  <c r="L28" i="5"/>
  <c r="J28" i="5" s="1"/>
  <c r="AG84" i="11"/>
  <c r="AG87" i="11"/>
  <c r="AG91" i="11"/>
  <c r="AG76" i="11"/>
  <c r="AG92" i="11"/>
  <c r="J24" i="4"/>
  <c r="L24" i="4" s="1"/>
  <c r="AG77" i="11"/>
  <c r="AG74" i="11"/>
  <c r="AG89" i="11"/>
  <c r="AG83" i="11"/>
  <c r="AG80" i="11"/>
  <c r="AQ87" i="30"/>
  <c r="AK87" i="30"/>
  <c r="AE87" i="33"/>
  <c r="AO84" i="33"/>
  <c r="AK84" i="33"/>
  <c r="AI84" i="33"/>
  <c r="AI87" i="33" s="1"/>
  <c r="AI89" i="33" s="1"/>
  <c r="P42" i="5" s="1"/>
  <c r="AQ88" i="11"/>
  <c r="AO93" i="11"/>
  <c r="AE120" i="14"/>
  <c r="AK116" i="14"/>
  <c r="AO116" i="14"/>
  <c r="J22" i="4"/>
  <c r="L26" i="5"/>
  <c r="AG112" i="9"/>
  <c r="AG106" i="9"/>
  <c r="AG113" i="9"/>
  <c r="AG123" i="9"/>
  <c r="AG124" i="9"/>
  <c r="AG95" i="9"/>
  <c r="AG98" i="9"/>
  <c r="AG119" i="9"/>
  <c r="AG115" i="9"/>
  <c r="AG120" i="9"/>
  <c r="AG96" i="9"/>
  <c r="AG102" i="9"/>
  <c r="AG99" i="9"/>
  <c r="AG116" i="9"/>
  <c r="AG103" i="9"/>
  <c r="AG134" i="9"/>
  <c r="AG130" i="9"/>
  <c r="AG133" i="9"/>
  <c r="AG100" i="9"/>
  <c r="AG131" i="9"/>
  <c r="AG117" i="9"/>
  <c r="AG129" i="9"/>
  <c r="AG135" i="9"/>
  <c r="AG121" i="9"/>
  <c r="AG104" i="9"/>
  <c r="AG108" i="9"/>
  <c r="AG125" i="9"/>
  <c r="J30" i="4"/>
  <c r="AG83" i="30"/>
  <c r="L40" i="5"/>
  <c r="AG72" i="30"/>
  <c r="AG85" i="30"/>
  <c r="AG71" i="30"/>
  <c r="AG75" i="30"/>
  <c r="AG76" i="30"/>
  <c r="AG86" i="30"/>
  <c r="AG82" i="30"/>
  <c r="AG77" i="30"/>
  <c r="AG87" i="30"/>
  <c r="AG78" i="30"/>
  <c r="AQ79" i="30"/>
  <c r="AK79" i="30"/>
  <c r="AI89" i="30"/>
  <c r="AG79" i="30"/>
  <c r="J48" i="12" l="1"/>
  <c r="L48" i="12" s="1"/>
  <c r="R48" i="12" s="1"/>
  <c r="J45" i="12"/>
  <c r="L45" i="12" s="1"/>
  <c r="AI112" i="12" s="1"/>
  <c r="AQ89" i="14"/>
  <c r="AI91" i="14"/>
  <c r="AQ91" i="14" s="1"/>
  <c r="AQ103" i="14"/>
  <c r="AI105" i="14"/>
  <c r="AK105" i="14" s="1"/>
  <c r="AQ90" i="14"/>
  <c r="AK90" i="14"/>
  <c r="AQ104" i="14"/>
  <c r="L40" i="14"/>
  <c r="R40" i="14" s="1"/>
  <c r="R39" i="14"/>
  <c r="J45" i="10"/>
  <c r="L45" i="10" s="1"/>
  <c r="AI115" i="10" s="1"/>
  <c r="J44" i="10"/>
  <c r="L44" i="10" s="1"/>
  <c r="L26" i="9"/>
  <c r="AI98" i="9" s="1"/>
  <c r="L27" i="9"/>
  <c r="AI99" i="9" s="1"/>
  <c r="L31" i="9"/>
  <c r="R31" i="9" s="1"/>
  <c r="L30" i="9"/>
  <c r="R30" i="9" s="1"/>
  <c r="N40" i="6"/>
  <c r="L34" i="9"/>
  <c r="R34" i="9" s="1"/>
  <c r="J33" i="10"/>
  <c r="L33" i="10" s="1"/>
  <c r="AI103" i="10" s="1"/>
  <c r="N39" i="6"/>
  <c r="N41" i="6"/>
  <c r="J43" i="6"/>
  <c r="J49" i="10"/>
  <c r="L49" i="10" s="1"/>
  <c r="AI119" i="10" s="1"/>
  <c r="AI120" i="9"/>
  <c r="R48" i="9"/>
  <c r="L45" i="9"/>
  <c r="L49" i="9" s="1"/>
  <c r="R43" i="9"/>
  <c r="AI115" i="9"/>
  <c r="AI99" i="10"/>
  <c r="R29" i="10"/>
  <c r="L30" i="10"/>
  <c r="R28" i="10"/>
  <c r="AI98" i="10"/>
  <c r="R51" i="9"/>
  <c r="AI123" i="9"/>
  <c r="R47" i="9"/>
  <c r="AI119" i="9"/>
  <c r="R44" i="9"/>
  <c r="AI116" i="9"/>
  <c r="L32" i="5"/>
  <c r="AQ84" i="33"/>
  <c r="AO87" i="33"/>
  <c r="AK87" i="33"/>
  <c r="AE89" i="33"/>
  <c r="AE122" i="14"/>
  <c r="AQ116" i="14"/>
  <c r="AO120" i="14"/>
  <c r="AO95" i="11"/>
  <c r="AK89" i="30"/>
  <c r="AQ89" i="30"/>
  <c r="P40" i="5"/>
  <c r="J26" i="5"/>
  <c r="L30" i="4"/>
  <c r="L22" i="4"/>
  <c r="J40" i="5"/>
  <c r="AG120" i="14" l="1"/>
  <c r="AG97" i="14"/>
  <c r="AG78" i="33"/>
  <c r="AG86" i="33"/>
  <c r="N28" i="5"/>
  <c r="G217" i="26"/>
  <c r="J35" i="9"/>
  <c r="G107" i="26" s="1"/>
  <c r="H107" i="26" s="1"/>
  <c r="I107" i="26" s="1"/>
  <c r="AI115" i="12"/>
  <c r="AK115" i="12" s="1"/>
  <c r="J49" i="12"/>
  <c r="L49" i="12" s="1"/>
  <c r="R49" i="12" s="1"/>
  <c r="R45" i="12"/>
  <c r="J33" i="11"/>
  <c r="G78" i="26" s="1"/>
  <c r="AK112" i="12"/>
  <c r="AQ112" i="12"/>
  <c r="AK91" i="14"/>
  <c r="AQ105" i="14"/>
  <c r="G235" i="26"/>
  <c r="M235" i="26" s="1"/>
  <c r="R235" i="26" s="1"/>
  <c r="S235" i="26" s="1"/>
  <c r="G234" i="26"/>
  <c r="H234" i="26" s="1"/>
  <c r="I234" i="26" s="1"/>
  <c r="G242" i="26"/>
  <c r="H242" i="26" s="1"/>
  <c r="I242" i="26" s="1"/>
  <c r="G226" i="26"/>
  <c r="H226" i="26" s="1"/>
  <c r="I226" i="26" s="1"/>
  <c r="G227" i="26"/>
  <c r="H227" i="26" s="1"/>
  <c r="I227" i="26" s="1"/>
  <c r="G237" i="26"/>
  <c r="H237" i="26" s="1"/>
  <c r="I237" i="26" s="1"/>
  <c r="G232" i="26"/>
  <c r="H232" i="26" s="1"/>
  <c r="I232" i="26" s="1"/>
  <c r="G225" i="26"/>
  <c r="H225" i="26" s="1"/>
  <c r="I225" i="26" s="1"/>
  <c r="G236" i="26"/>
  <c r="M236" i="26" s="1"/>
  <c r="R236" i="26" s="1"/>
  <c r="S236" i="26" s="1"/>
  <c r="G229" i="26"/>
  <c r="M229" i="26" s="1"/>
  <c r="R229" i="26" s="1"/>
  <c r="S229" i="26" s="1"/>
  <c r="G239" i="26"/>
  <c r="M239" i="26" s="1"/>
  <c r="R239" i="26" s="1"/>
  <c r="S239" i="26" s="1"/>
  <c r="G228" i="26"/>
  <c r="M228" i="26" s="1"/>
  <c r="R228" i="26" s="1"/>
  <c r="S228" i="26" s="1"/>
  <c r="G238" i="26"/>
  <c r="M238" i="26" s="1"/>
  <c r="R238" i="26" s="1"/>
  <c r="S238" i="26" s="1"/>
  <c r="G231" i="26"/>
  <c r="H231" i="26" s="1"/>
  <c r="I231" i="26" s="1"/>
  <c r="G240" i="26"/>
  <c r="M240" i="26" s="1"/>
  <c r="R240" i="26" s="1"/>
  <c r="S240" i="26" s="1"/>
  <c r="G233" i="26"/>
  <c r="H233" i="26" s="1"/>
  <c r="I233" i="26" s="1"/>
  <c r="J43" i="14"/>
  <c r="L43" i="14" s="1"/>
  <c r="L45" i="14" s="1"/>
  <c r="G230" i="26"/>
  <c r="H230" i="26" s="1"/>
  <c r="I230" i="26" s="1"/>
  <c r="G241" i="26"/>
  <c r="H241" i="26" s="1"/>
  <c r="I241" i="26" s="1"/>
  <c r="R45" i="10"/>
  <c r="L46" i="10"/>
  <c r="AI102" i="9"/>
  <c r="AQ102" i="9" s="1"/>
  <c r="R27" i="9"/>
  <c r="R44" i="10"/>
  <c r="AI114" i="10"/>
  <c r="AI116" i="10" s="1"/>
  <c r="R26" i="9"/>
  <c r="L28" i="9"/>
  <c r="L32" i="9" s="1"/>
  <c r="AI106" i="9"/>
  <c r="AQ106" i="9" s="1"/>
  <c r="AI103" i="9"/>
  <c r="AK103" i="9" s="1"/>
  <c r="R33" i="10"/>
  <c r="R49" i="10"/>
  <c r="R30" i="10"/>
  <c r="J29" i="14"/>
  <c r="L29" i="14" s="1"/>
  <c r="G222" i="26"/>
  <c r="G218" i="26"/>
  <c r="G206" i="26"/>
  <c r="G213" i="26"/>
  <c r="G208" i="26"/>
  <c r="G209" i="26"/>
  <c r="G221" i="26"/>
  <c r="G223" i="26"/>
  <c r="AQ116" i="9"/>
  <c r="AK116" i="9"/>
  <c r="AQ103" i="10"/>
  <c r="AK103" i="10"/>
  <c r="AQ123" i="9"/>
  <c r="AK123" i="9"/>
  <c r="AK98" i="10"/>
  <c r="AI100" i="10"/>
  <c r="AK99" i="10"/>
  <c r="AQ99" i="10"/>
  <c r="AQ119" i="10"/>
  <c r="AK119" i="10"/>
  <c r="AK115" i="9"/>
  <c r="AI117" i="9"/>
  <c r="AK98" i="9"/>
  <c r="AI100" i="9"/>
  <c r="AK119" i="9"/>
  <c r="AQ119" i="9"/>
  <c r="R45" i="9"/>
  <c r="R49" i="9" s="1"/>
  <c r="AK120" i="9"/>
  <c r="AQ120" i="9"/>
  <c r="AK115" i="10"/>
  <c r="AQ115" i="10"/>
  <c r="AQ99" i="9"/>
  <c r="AK99" i="9"/>
  <c r="N25" i="5"/>
  <c r="J32" i="5"/>
  <c r="N31" i="5"/>
  <c r="N27" i="5"/>
  <c r="N29" i="5"/>
  <c r="N26" i="5"/>
  <c r="N30" i="5"/>
  <c r="AG79" i="33"/>
  <c r="J32" i="4"/>
  <c r="L32" i="4" s="1"/>
  <c r="AK89" i="33"/>
  <c r="AG73" i="33"/>
  <c r="AG83" i="33"/>
  <c r="AG77" i="33"/>
  <c r="AG80" i="33"/>
  <c r="AG72" i="33"/>
  <c r="AG85" i="33"/>
  <c r="AG76" i="33"/>
  <c r="L42" i="5"/>
  <c r="AG84" i="33"/>
  <c r="AQ87" i="33"/>
  <c r="AO89" i="33"/>
  <c r="AG87" i="33"/>
  <c r="AO122" i="14"/>
  <c r="E28" i="3"/>
  <c r="R24" i="4"/>
  <c r="V28" i="5"/>
  <c r="AG94" i="14"/>
  <c r="AG86" i="14"/>
  <c r="AG91" i="14"/>
  <c r="AG111" i="14"/>
  <c r="AG109" i="14"/>
  <c r="AG108" i="14"/>
  <c r="AG95" i="14"/>
  <c r="J28" i="4"/>
  <c r="L28" i="4" s="1"/>
  <c r="AG90" i="14"/>
  <c r="AG115" i="14"/>
  <c r="AG110" i="14"/>
  <c r="AG112" i="14"/>
  <c r="AG100" i="14"/>
  <c r="AG104" i="14"/>
  <c r="AG105" i="14"/>
  <c r="AG119" i="14"/>
  <c r="AG96" i="14"/>
  <c r="L35" i="5"/>
  <c r="AG89" i="14"/>
  <c r="AG103" i="14"/>
  <c r="AG118" i="14"/>
  <c r="AG116" i="14"/>
  <c r="X40" i="5"/>
  <c r="R40" i="5"/>
  <c r="P43" i="5"/>
  <c r="G108" i="26" l="1"/>
  <c r="H108" i="26" s="1"/>
  <c r="I108" i="26" s="1"/>
  <c r="G210" i="26"/>
  <c r="H210" i="26" s="1"/>
  <c r="I210" i="26" s="1"/>
  <c r="G219" i="26"/>
  <c r="H219" i="26" s="1"/>
  <c r="I219" i="26" s="1"/>
  <c r="G220" i="26"/>
  <c r="H220" i="26" s="1"/>
  <c r="I220" i="26" s="1"/>
  <c r="G216" i="26"/>
  <c r="M216" i="26" s="1"/>
  <c r="R216" i="26" s="1"/>
  <c r="S216" i="26" s="1"/>
  <c r="G215" i="26"/>
  <c r="H215" i="26" s="1"/>
  <c r="I215" i="26" s="1"/>
  <c r="L35" i="9"/>
  <c r="R35" i="9" s="1"/>
  <c r="G116" i="26"/>
  <c r="J52" i="9"/>
  <c r="G123" i="26" s="1"/>
  <c r="M123" i="26" s="1"/>
  <c r="R123" i="26" s="1"/>
  <c r="S123" i="26" s="1"/>
  <c r="G214" i="26"/>
  <c r="H214" i="26" s="1"/>
  <c r="I214" i="26" s="1"/>
  <c r="G211" i="26"/>
  <c r="H211" i="26" s="1"/>
  <c r="I211" i="26" s="1"/>
  <c r="G207" i="26"/>
  <c r="M207" i="26" s="1"/>
  <c r="R207" i="26" s="1"/>
  <c r="S207" i="26" s="1"/>
  <c r="G212" i="26"/>
  <c r="M212" i="26" s="1"/>
  <c r="R212" i="26" s="1"/>
  <c r="S212" i="26" s="1"/>
  <c r="J34" i="10"/>
  <c r="L34" i="10" s="1"/>
  <c r="G113" i="26"/>
  <c r="G112" i="26"/>
  <c r="M112" i="26" s="1"/>
  <c r="R112" i="26" s="1"/>
  <c r="S112" i="26" s="1"/>
  <c r="G114" i="26"/>
  <c r="M114" i="26" s="1"/>
  <c r="R114" i="26" s="1"/>
  <c r="S114" i="26" s="1"/>
  <c r="G115" i="26"/>
  <c r="M115" i="26" s="1"/>
  <c r="R115" i="26" s="1"/>
  <c r="S115" i="26" s="1"/>
  <c r="R28" i="9"/>
  <c r="R32" i="9" s="1"/>
  <c r="R36" i="9" s="1"/>
  <c r="G110" i="26"/>
  <c r="M110" i="26" s="1"/>
  <c r="R110" i="26" s="1"/>
  <c r="S110" i="26" s="1"/>
  <c r="G111" i="26"/>
  <c r="M111" i="26" s="1"/>
  <c r="R111" i="26" s="1"/>
  <c r="S111" i="26" s="1"/>
  <c r="G109" i="26"/>
  <c r="H109" i="26" s="1"/>
  <c r="I109" i="26" s="1"/>
  <c r="M107" i="26"/>
  <c r="R107" i="26" s="1"/>
  <c r="S107" i="26" s="1"/>
  <c r="J32" i="8"/>
  <c r="M28" i="27" s="1"/>
  <c r="M234" i="26"/>
  <c r="R234" i="26" s="1"/>
  <c r="S234" i="26" s="1"/>
  <c r="AQ115" i="12"/>
  <c r="M233" i="26"/>
  <c r="R233" i="26" s="1"/>
  <c r="S233" i="26" s="1"/>
  <c r="AI116" i="12"/>
  <c r="AK116" i="12" s="1"/>
  <c r="G77" i="26"/>
  <c r="H77" i="26" s="1"/>
  <c r="I77" i="26" s="1"/>
  <c r="L50" i="12"/>
  <c r="O46" i="27"/>
  <c r="R46" i="27" s="1"/>
  <c r="R50" i="12"/>
  <c r="O45" i="27"/>
  <c r="R45" i="27" s="1"/>
  <c r="O47" i="27"/>
  <c r="R47" i="27" s="1"/>
  <c r="G79" i="26"/>
  <c r="H79" i="26" s="1"/>
  <c r="I79" i="26" s="1"/>
  <c r="L33" i="11"/>
  <c r="R33" i="11" s="1"/>
  <c r="R34" i="11" s="1"/>
  <c r="M227" i="26"/>
  <c r="R227" i="26" s="1"/>
  <c r="S227" i="26" s="1"/>
  <c r="M78" i="26"/>
  <c r="R78" i="26" s="1"/>
  <c r="S78" i="26" s="1"/>
  <c r="H78" i="26"/>
  <c r="I78" i="26" s="1"/>
  <c r="H235" i="26"/>
  <c r="I235" i="26" s="1"/>
  <c r="H236" i="26"/>
  <c r="I236" i="26" s="1"/>
  <c r="AI108" i="14"/>
  <c r="AK108" i="14" s="1"/>
  <c r="R43" i="14"/>
  <c r="R45" i="14" s="1"/>
  <c r="R46" i="14" s="1"/>
  <c r="H238" i="26"/>
  <c r="I238" i="26" s="1"/>
  <c r="M241" i="26"/>
  <c r="R241" i="26" s="1"/>
  <c r="S241" i="26" s="1"/>
  <c r="H228" i="26"/>
  <c r="I228" i="26" s="1"/>
  <c r="M237" i="26"/>
  <c r="R237" i="26" s="1"/>
  <c r="S237" i="26" s="1"/>
  <c r="H239" i="26"/>
  <c r="I239" i="26" s="1"/>
  <c r="H240" i="26"/>
  <c r="I240" i="26" s="1"/>
  <c r="M226" i="26"/>
  <c r="R226" i="26" s="1"/>
  <c r="S226" i="26" s="1"/>
  <c r="M225" i="26"/>
  <c r="R225" i="26" s="1"/>
  <c r="S225" i="26" s="1"/>
  <c r="M230" i="26"/>
  <c r="R230" i="26" s="1"/>
  <c r="S230" i="26" s="1"/>
  <c r="H229" i="26"/>
  <c r="I229" i="26" s="1"/>
  <c r="R46" i="10"/>
  <c r="M231" i="26"/>
  <c r="R231" i="26" s="1"/>
  <c r="S231" i="26" s="1"/>
  <c r="M242" i="26"/>
  <c r="R242" i="26" s="1"/>
  <c r="S242" i="26" s="1"/>
  <c r="M232" i="26"/>
  <c r="R232" i="26" s="1"/>
  <c r="S232" i="26" s="1"/>
  <c r="AK102" i="9"/>
  <c r="AK114" i="10"/>
  <c r="AK106" i="9"/>
  <c r="AQ103" i="9"/>
  <c r="M221" i="26"/>
  <c r="R221" i="26" s="1"/>
  <c r="S221" i="26" s="1"/>
  <c r="H221" i="26"/>
  <c r="I221" i="26" s="1"/>
  <c r="M208" i="26"/>
  <c r="R208" i="26" s="1"/>
  <c r="S208" i="26" s="1"/>
  <c r="H208" i="26"/>
  <c r="I208" i="26" s="1"/>
  <c r="M206" i="26"/>
  <c r="R206" i="26" s="1"/>
  <c r="S206" i="26" s="1"/>
  <c r="H206" i="26"/>
  <c r="I206" i="26" s="1"/>
  <c r="M222" i="26"/>
  <c r="R222" i="26" s="1"/>
  <c r="S222" i="26" s="1"/>
  <c r="H222" i="26"/>
  <c r="I222" i="26" s="1"/>
  <c r="L46" i="14"/>
  <c r="M217" i="26"/>
  <c r="R217" i="26" s="1"/>
  <c r="S217" i="26" s="1"/>
  <c r="H217" i="26"/>
  <c r="I217" i="26" s="1"/>
  <c r="M223" i="26"/>
  <c r="R223" i="26" s="1"/>
  <c r="S223" i="26" s="1"/>
  <c r="H223" i="26"/>
  <c r="I223" i="26" s="1"/>
  <c r="M209" i="26"/>
  <c r="R209" i="26" s="1"/>
  <c r="S209" i="26" s="1"/>
  <c r="H209" i="26"/>
  <c r="I209" i="26" s="1"/>
  <c r="M213" i="26"/>
  <c r="R213" i="26" s="1"/>
  <c r="S213" i="26" s="1"/>
  <c r="H213" i="26"/>
  <c r="I213" i="26" s="1"/>
  <c r="M218" i="26"/>
  <c r="R218" i="26" s="1"/>
  <c r="S218" i="26" s="1"/>
  <c r="H218" i="26"/>
  <c r="I218" i="26" s="1"/>
  <c r="R29" i="14"/>
  <c r="R31" i="14" s="1"/>
  <c r="R32" i="14" s="1"/>
  <c r="AI94" i="14"/>
  <c r="L31" i="14"/>
  <c r="AQ117" i="9"/>
  <c r="AI121" i="9"/>
  <c r="AK117" i="9"/>
  <c r="AK116" i="10"/>
  <c r="AQ116" i="10"/>
  <c r="AK100" i="10"/>
  <c r="AQ100" i="10"/>
  <c r="AI104" i="9"/>
  <c r="AQ100" i="9"/>
  <c r="AK100" i="9"/>
  <c r="R32" i="4"/>
  <c r="E42" i="3"/>
  <c r="AQ89" i="33"/>
  <c r="V42" i="5"/>
  <c r="J42" i="5"/>
  <c r="L43" i="5"/>
  <c r="R43" i="5" s="1"/>
  <c r="R42" i="5"/>
  <c r="L36" i="5"/>
  <c r="J35" i="5"/>
  <c r="E32" i="3"/>
  <c r="V32" i="5"/>
  <c r="V35" i="5"/>
  <c r="V36" i="5" s="1"/>
  <c r="R28" i="4"/>
  <c r="E35" i="3"/>
  <c r="M210" i="26" l="1"/>
  <c r="R210" i="26" s="1"/>
  <c r="S210" i="26" s="1"/>
  <c r="M215" i="26"/>
  <c r="R215" i="26" s="1"/>
  <c r="S215" i="26" s="1"/>
  <c r="M214" i="26"/>
  <c r="R214" i="26" s="1"/>
  <c r="S214" i="26" s="1"/>
  <c r="M108" i="26"/>
  <c r="R108" i="26" s="1"/>
  <c r="S108" i="26" s="1"/>
  <c r="L36" i="9"/>
  <c r="AI107" i="9"/>
  <c r="AQ107" i="9" s="1"/>
  <c r="M219" i="26"/>
  <c r="R219" i="26" s="1"/>
  <c r="S219" i="26" s="1"/>
  <c r="M211" i="26"/>
  <c r="R211" i="26" s="1"/>
  <c r="S211" i="26" s="1"/>
  <c r="H207" i="26"/>
  <c r="I207" i="26" s="1"/>
  <c r="M77" i="26"/>
  <c r="R77" i="26" s="1"/>
  <c r="S77" i="26" s="1"/>
  <c r="H123" i="26"/>
  <c r="I123" i="26" s="1"/>
  <c r="J50" i="10"/>
  <c r="L50" i="10" s="1"/>
  <c r="AI120" i="10" s="1"/>
  <c r="AQ120" i="10" s="1"/>
  <c r="G125" i="26"/>
  <c r="H125" i="26" s="1"/>
  <c r="I125" i="26" s="1"/>
  <c r="G126" i="26"/>
  <c r="M126" i="26" s="1"/>
  <c r="R126" i="26" s="1"/>
  <c r="S126" i="26" s="1"/>
  <c r="M41" i="27"/>
  <c r="M32" i="27"/>
  <c r="M220" i="26"/>
  <c r="R220" i="26" s="1"/>
  <c r="S220" i="26" s="1"/>
  <c r="M109" i="26"/>
  <c r="R109" i="26" s="1"/>
  <c r="S109" i="26" s="1"/>
  <c r="H216" i="26"/>
  <c r="I216" i="26" s="1"/>
  <c r="M24" i="27"/>
  <c r="M30" i="27"/>
  <c r="M29" i="27"/>
  <c r="M116" i="26"/>
  <c r="R116" i="26" s="1"/>
  <c r="S116" i="26" s="1"/>
  <c r="H116" i="26"/>
  <c r="I116" i="26" s="1"/>
  <c r="H212" i="26"/>
  <c r="I212" i="26" s="1"/>
  <c r="M26" i="27"/>
  <c r="M38" i="27"/>
  <c r="M40" i="27"/>
  <c r="H114" i="26"/>
  <c r="I114" i="26" s="1"/>
  <c r="G122" i="26"/>
  <c r="H122" i="26" s="1"/>
  <c r="I122" i="26" s="1"/>
  <c r="L52" i="9"/>
  <c r="L53" i="9" s="1"/>
  <c r="G120" i="26"/>
  <c r="G127" i="26"/>
  <c r="H127" i="26" s="1"/>
  <c r="I127" i="26" s="1"/>
  <c r="H115" i="26"/>
  <c r="I115" i="26" s="1"/>
  <c r="G118" i="26"/>
  <c r="M118" i="26" s="1"/>
  <c r="R118" i="26" s="1"/>
  <c r="S118" i="26" s="1"/>
  <c r="G121" i="26"/>
  <c r="M121" i="26" s="1"/>
  <c r="R121" i="26" s="1"/>
  <c r="S121" i="26" s="1"/>
  <c r="M34" i="27"/>
  <c r="M36" i="27"/>
  <c r="H112" i="26"/>
  <c r="I112" i="26" s="1"/>
  <c r="G119" i="26"/>
  <c r="G124" i="26"/>
  <c r="M113" i="26"/>
  <c r="R113" i="26" s="1"/>
  <c r="S113" i="26" s="1"/>
  <c r="H113" i="26"/>
  <c r="I113" i="26" s="1"/>
  <c r="H111" i="26"/>
  <c r="I111" i="26" s="1"/>
  <c r="H110" i="26"/>
  <c r="I110" i="26" s="1"/>
  <c r="AI104" i="10"/>
  <c r="R34" i="10"/>
  <c r="R35" i="10" s="1"/>
  <c r="L35" i="10"/>
  <c r="L32" i="8"/>
  <c r="AI90" i="8" s="1"/>
  <c r="AQ90" i="8" s="1"/>
  <c r="M25" i="27"/>
  <c r="M31" i="27"/>
  <c r="M37" i="27"/>
  <c r="M39" i="27"/>
  <c r="M33" i="27"/>
  <c r="M27" i="27"/>
  <c r="M35" i="27"/>
  <c r="AQ116" i="12"/>
  <c r="AI117" i="12"/>
  <c r="L54" i="12"/>
  <c r="L59" i="12" s="1"/>
  <c r="M79" i="26"/>
  <c r="R79" i="26" s="1"/>
  <c r="S79" i="26" s="1"/>
  <c r="AI83" i="11"/>
  <c r="AQ83" i="11" s="1"/>
  <c r="L34" i="11"/>
  <c r="L38" i="11"/>
  <c r="R47" i="14"/>
  <c r="AI110" i="14"/>
  <c r="AQ110" i="14" s="1"/>
  <c r="AQ108" i="14"/>
  <c r="L32" i="14"/>
  <c r="L47" i="14" s="1"/>
  <c r="AQ94" i="14"/>
  <c r="AK94" i="14"/>
  <c r="AI96" i="14"/>
  <c r="AQ104" i="9"/>
  <c r="AK104" i="9"/>
  <c r="AK121" i="9"/>
  <c r="AQ121" i="9"/>
  <c r="V43" i="5"/>
  <c r="X43" i="5" s="1"/>
  <c r="X42" i="5"/>
  <c r="N40" i="5"/>
  <c r="N41" i="5"/>
  <c r="N42" i="5"/>
  <c r="J43" i="5"/>
  <c r="N39" i="5"/>
  <c r="I42" i="3"/>
  <c r="I43" i="3" s="1"/>
  <c r="E43" i="3"/>
  <c r="N35" i="5"/>
  <c r="J36" i="5"/>
  <c r="E36" i="3"/>
  <c r="H126" i="26" l="1"/>
  <c r="I126" i="26" s="1"/>
  <c r="AK107" i="9"/>
  <c r="L54" i="9"/>
  <c r="R54" i="9" s="1"/>
  <c r="L58" i="9" s="1"/>
  <c r="AI130" i="9" s="1"/>
  <c r="AI135" i="9" s="1"/>
  <c r="AK135" i="9" s="1"/>
  <c r="M125" i="26"/>
  <c r="R125" i="26" s="1"/>
  <c r="S125" i="26" s="1"/>
  <c r="AI108" i="9"/>
  <c r="AQ108" i="9" s="1"/>
  <c r="L51" i="10"/>
  <c r="L52" i="10" s="1"/>
  <c r="R50" i="10"/>
  <c r="R51" i="10" s="1"/>
  <c r="R52" i="10" s="1"/>
  <c r="L56" i="10" s="1"/>
  <c r="L61" i="10" s="1"/>
  <c r="AI121" i="10"/>
  <c r="AK120" i="10"/>
  <c r="H121" i="26"/>
  <c r="I121" i="26" s="1"/>
  <c r="AI91" i="8"/>
  <c r="AQ91" i="8" s="1"/>
  <c r="H118" i="26"/>
  <c r="I118" i="26" s="1"/>
  <c r="H124" i="26"/>
  <c r="I124" i="26" s="1"/>
  <c r="M124" i="26"/>
  <c r="R124" i="26" s="1"/>
  <c r="S124" i="26" s="1"/>
  <c r="M119" i="26"/>
  <c r="R119" i="26" s="1"/>
  <c r="S119" i="26" s="1"/>
  <c r="H119" i="26"/>
  <c r="I119" i="26" s="1"/>
  <c r="M127" i="26"/>
  <c r="R127" i="26" s="1"/>
  <c r="S127" i="26" s="1"/>
  <c r="M120" i="26"/>
  <c r="R120" i="26" s="1"/>
  <c r="S120" i="26" s="1"/>
  <c r="H120" i="26"/>
  <c r="I120" i="26" s="1"/>
  <c r="M122" i="26"/>
  <c r="R122" i="26" s="1"/>
  <c r="S122" i="26" s="1"/>
  <c r="AI124" i="9"/>
  <c r="R52" i="9"/>
  <c r="R53" i="9" s="1"/>
  <c r="AQ104" i="10"/>
  <c r="AK104" i="10"/>
  <c r="AI105" i="10"/>
  <c r="AK90" i="8"/>
  <c r="L33" i="8"/>
  <c r="R32" i="8"/>
  <c r="R33" i="8" s="1"/>
  <c r="L51" i="14"/>
  <c r="R51" i="14" s="1"/>
  <c r="R55" i="14" s="1"/>
  <c r="R57" i="14" s="1"/>
  <c r="R35" i="6" s="1"/>
  <c r="R36" i="6" s="1"/>
  <c r="R54" i="12"/>
  <c r="R59" i="12" s="1"/>
  <c r="R61" i="12" s="1"/>
  <c r="G30" i="3" s="1"/>
  <c r="I30" i="3" s="1"/>
  <c r="K30" i="3" s="1"/>
  <c r="AI121" i="12"/>
  <c r="AI126" i="12" s="1"/>
  <c r="AQ126" i="12" s="1"/>
  <c r="AK117" i="12"/>
  <c r="AQ117" i="12"/>
  <c r="AI84" i="11"/>
  <c r="AQ84" i="11" s="1"/>
  <c r="AK83" i="11"/>
  <c r="L43" i="11"/>
  <c r="R38" i="11"/>
  <c r="R43" i="11" s="1"/>
  <c r="R45" i="11" s="1"/>
  <c r="AI88" i="11"/>
  <c r="AI93" i="11" s="1"/>
  <c r="L61" i="12"/>
  <c r="AK110" i="14"/>
  <c r="AI111" i="14"/>
  <c r="AQ111" i="14" s="1"/>
  <c r="AQ96" i="14"/>
  <c r="AK96" i="14"/>
  <c r="AI97" i="14"/>
  <c r="K43" i="3"/>
  <c r="K42" i="3"/>
  <c r="N59" i="12" l="1"/>
  <c r="N53" i="12"/>
  <c r="L63" i="9"/>
  <c r="L65" i="9" s="1"/>
  <c r="N58" i="9" s="1"/>
  <c r="AK108" i="9"/>
  <c r="AQ135" i="9"/>
  <c r="R58" i="9"/>
  <c r="R63" i="9" s="1"/>
  <c r="R65" i="9" s="1"/>
  <c r="G26" i="3" s="1"/>
  <c r="I26" i="3" s="1"/>
  <c r="AK91" i="8"/>
  <c r="L63" i="10"/>
  <c r="N56" i="10" s="1"/>
  <c r="R56" i="10"/>
  <c r="R61" i="10" s="1"/>
  <c r="R63" i="10" s="1"/>
  <c r="G27" i="3" s="1"/>
  <c r="I27" i="3" s="1"/>
  <c r="K27" i="3" s="1"/>
  <c r="AI126" i="10"/>
  <c r="AI131" i="10" s="1"/>
  <c r="AK131" i="10" s="1"/>
  <c r="AK121" i="10"/>
  <c r="AQ121" i="10"/>
  <c r="AI116" i="14"/>
  <c r="AI120" i="14" s="1"/>
  <c r="AK120" i="14" s="1"/>
  <c r="AK126" i="12"/>
  <c r="AK124" i="9"/>
  <c r="AQ124" i="9"/>
  <c r="AI125" i="9"/>
  <c r="N35" i="10"/>
  <c r="R30" i="6"/>
  <c r="AK105" i="10"/>
  <c r="AQ105" i="10"/>
  <c r="AI122" i="10"/>
  <c r="AK122" i="10" s="1"/>
  <c r="G35" i="3"/>
  <c r="I35" i="3" s="1"/>
  <c r="L55" i="14"/>
  <c r="L57" i="14" s="1"/>
  <c r="AK84" i="11"/>
  <c r="AI128" i="12"/>
  <c r="AK128" i="12" s="1"/>
  <c r="J40" i="8"/>
  <c r="L40" i="8" s="1"/>
  <c r="AI98" i="8" s="1"/>
  <c r="J39" i="8"/>
  <c r="L39" i="8" s="1"/>
  <c r="AI97" i="8" s="1"/>
  <c r="AI95" i="11"/>
  <c r="AK93" i="11"/>
  <c r="AQ93" i="11"/>
  <c r="L45" i="11"/>
  <c r="N25" i="11" s="1"/>
  <c r="R28" i="6"/>
  <c r="G28" i="3"/>
  <c r="I28" i="3" s="1"/>
  <c r="K28" i="3" s="1"/>
  <c r="N54" i="12"/>
  <c r="N57" i="12"/>
  <c r="L30" i="6"/>
  <c r="J30" i="6" s="1"/>
  <c r="N55" i="12"/>
  <c r="N58" i="12"/>
  <c r="N49" i="12"/>
  <c r="N45" i="12"/>
  <c r="N48" i="12"/>
  <c r="N50" i="12"/>
  <c r="AK111" i="14"/>
  <c r="L26" i="6"/>
  <c r="J26" i="6" s="1"/>
  <c r="N44" i="9"/>
  <c r="N31" i="9"/>
  <c r="N57" i="9"/>
  <c r="N36" i="9"/>
  <c r="N32" i="9"/>
  <c r="N24" i="9"/>
  <c r="N49" i="9"/>
  <c r="N41" i="9"/>
  <c r="N40" i="9"/>
  <c r="N62" i="9"/>
  <c r="N23" i="9"/>
  <c r="N26" i="9"/>
  <c r="N34" i="9"/>
  <c r="N27" i="9"/>
  <c r="N51" i="9"/>
  <c r="N61" i="9"/>
  <c r="N43" i="9"/>
  <c r="N53" i="9"/>
  <c r="N48" i="9"/>
  <c r="N45" i="9"/>
  <c r="N63" i="9"/>
  <c r="AK97" i="14"/>
  <c r="AQ97" i="14"/>
  <c r="AI112" i="14"/>
  <c r="N23" i="10" l="1"/>
  <c r="N52" i="9"/>
  <c r="N47" i="9"/>
  <c r="N59" i="9"/>
  <c r="N30" i="9"/>
  <c r="N54" i="9"/>
  <c r="N28" i="9"/>
  <c r="N35" i="9"/>
  <c r="N50" i="10"/>
  <c r="N57" i="10"/>
  <c r="N30" i="10"/>
  <c r="N52" i="10"/>
  <c r="N39" i="10"/>
  <c r="N45" i="10"/>
  <c r="N55" i="14"/>
  <c r="N44" i="14"/>
  <c r="N45" i="14"/>
  <c r="N41" i="10"/>
  <c r="N44" i="10"/>
  <c r="R26" i="6"/>
  <c r="N55" i="10"/>
  <c r="N28" i="10"/>
  <c r="N49" i="10"/>
  <c r="N29" i="10"/>
  <c r="N61" i="10"/>
  <c r="N25" i="10"/>
  <c r="L27" i="6"/>
  <c r="J27" i="6" s="1"/>
  <c r="N24" i="10"/>
  <c r="N43" i="14"/>
  <c r="N60" i="10"/>
  <c r="AI133" i="10"/>
  <c r="AK133" i="10" s="1"/>
  <c r="N59" i="10"/>
  <c r="N46" i="10"/>
  <c r="N51" i="10"/>
  <c r="N34" i="10"/>
  <c r="N40" i="10"/>
  <c r="N33" i="10"/>
  <c r="R27" i="6"/>
  <c r="AQ120" i="14"/>
  <c r="P30" i="5"/>
  <c r="R30" i="5" s="1"/>
  <c r="AQ131" i="10"/>
  <c r="AQ128" i="12"/>
  <c r="AQ125" i="9"/>
  <c r="AI126" i="9"/>
  <c r="AK125" i="9"/>
  <c r="G36" i="3"/>
  <c r="N26" i="14"/>
  <c r="N32" i="14"/>
  <c r="N31" i="14"/>
  <c r="N38" i="14"/>
  <c r="L35" i="6"/>
  <c r="J35" i="6" s="1"/>
  <c r="N53" i="14"/>
  <c r="N40" i="14"/>
  <c r="N24" i="14"/>
  <c r="N39" i="14"/>
  <c r="N30" i="14"/>
  <c r="N50" i="14"/>
  <c r="N25" i="14"/>
  <c r="N47" i="14"/>
  <c r="N51" i="14"/>
  <c r="N29" i="14"/>
  <c r="N46" i="14"/>
  <c r="N21" i="14"/>
  <c r="N54" i="14"/>
  <c r="N35" i="14"/>
  <c r="J38" i="8"/>
  <c r="L38" i="8" s="1"/>
  <c r="R38" i="8" s="1"/>
  <c r="R40" i="8"/>
  <c r="R39" i="8"/>
  <c r="J37" i="8"/>
  <c r="L37" i="8" s="1"/>
  <c r="J36" i="8"/>
  <c r="O37" i="27" s="1"/>
  <c r="N38" i="11"/>
  <c r="N42" i="11"/>
  <c r="N24" i="11"/>
  <c r="L28" i="6"/>
  <c r="J28" i="6" s="1"/>
  <c r="N27" i="11"/>
  <c r="N26" i="11"/>
  <c r="N33" i="11"/>
  <c r="N30" i="11"/>
  <c r="N41" i="11"/>
  <c r="N39" i="11"/>
  <c r="N40" i="11"/>
  <c r="N37" i="11"/>
  <c r="N34" i="11"/>
  <c r="N43" i="11"/>
  <c r="AQ95" i="11"/>
  <c r="AK95" i="11"/>
  <c r="P28" i="5"/>
  <c r="AK98" i="8"/>
  <c r="AQ98" i="8"/>
  <c r="AQ97" i="8"/>
  <c r="AK97" i="8"/>
  <c r="AK112" i="14"/>
  <c r="AQ112" i="14"/>
  <c r="AI122" i="14"/>
  <c r="I36" i="3"/>
  <c r="K36" i="3" s="1"/>
  <c r="K35" i="3"/>
  <c r="K26" i="3"/>
  <c r="X30" i="5" l="1"/>
  <c r="AQ133" i="10"/>
  <c r="P27" i="5"/>
  <c r="R27" i="5" s="1"/>
  <c r="O24" i="27"/>
  <c r="R24" i="27" s="1"/>
  <c r="G57" i="26" s="1"/>
  <c r="M57" i="26" s="1"/>
  <c r="R57" i="26" s="1"/>
  <c r="S57" i="26" s="1"/>
  <c r="O25" i="27"/>
  <c r="AQ126" i="9"/>
  <c r="AI137" i="9"/>
  <c r="AK126" i="9"/>
  <c r="P39" i="27"/>
  <c r="Q32" i="27"/>
  <c r="Q41" i="27"/>
  <c r="L36" i="6"/>
  <c r="N35" i="6" s="1"/>
  <c r="P40" i="27"/>
  <c r="O40" i="27"/>
  <c r="Q35" i="27"/>
  <c r="Q38" i="27"/>
  <c r="P30" i="27"/>
  <c r="P27" i="27"/>
  <c r="Q40" i="27"/>
  <c r="P29" i="27"/>
  <c r="P37" i="27"/>
  <c r="R37" i="27" s="1"/>
  <c r="G70" i="26" s="1"/>
  <c r="P31" i="27"/>
  <c r="P36" i="27"/>
  <c r="P35" i="27"/>
  <c r="O35" i="27"/>
  <c r="AI96" i="8"/>
  <c r="AQ96" i="8" s="1"/>
  <c r="O29" i="27"/>
  <c r="O39" i="27"/>
  <c r="O23" i="27"/>
  <c r="R23" i="27" s="1"/>
  <c r="G56" i="26" s="1"/>
  <c r="M56" i="26" s="1"/>
  <c r="R56" i="26" s="1"/>
  <c r="S56" i="26" s="1"/>
  <c r="O33" i="27"/>
  <c r="O41" i="27"/>
  <c r="O26" i="27"/>
  <c r="O34" i="27"/>
  <c r="P38" i="27"/>
  <c r="P28" i="27"/>
  <c r="P34" i="27"/>
  <c r="P41" i="27"/>
  <c r="P26" i="27"/>
  <c r="P33" i="27"/>
  <c r="P32" i="27"/>
  <c r="P25" i="27"/>
  <c r="R25" i="27" s="1"/>
  <c r="G58" i="26" s="1"/>
  <c r="H58" i="26" s="1"/>
  <c r="I58" i="26" s="1"/>
  <c r="O30" i="27"/>
  <c r="O38" i="27"/>
  <c r="O36" i="27"/>
  <c r="L36" i="8"/>
  <c r="R36" i="8" s="1"/>
  <c r="O27" i="27"/>
  <c r="R27" i="27" s="1"/>
  <c r="G60" i="26" s="1"/>
  <c r="H60" i="26" s="1"/>
  <c r="I60" i="26" s="1"/>
  <c r="O28" i="27"/>
  <c r="R28" i="27" s="1"/>
  <c r="G61" i="26" s="1"/>
  <c r="H61" i="26" s="1"/>
  <c r="I61" i="26" s="1"/>
  <c r="O22" i="27"/>
  <c r="R22" i="27" s="1"/>
  <c r="G55" i="26" s="1"/>
  <c r="H55" i="26" s="1"/>
  <c r="I55" i="26" s="1"/>
  <c r="O21" i="27"/>
  <c r="R21" i="27" s="1"/>
  <c r="G54" i="26" s="1"/>
  <c r="M54" i="26" s="1"/>
  <c r="R54" i="26" s="1"/>
  <c r="S54" i="26" s="1"/>
  <c r="O32" i="27"/>
  <c r="O31" i="27"/>
  <c r="R31" i="27" s="1"/>
  <c r="G64" i="26" s="1"/>
  <c r="M64" i="26" s="1"/>
  <c r="R64" i="26" s="1"/>
  <c r="S64" i="26" s="1"/>
  <c r="R28" i="5"/>
  <c r="X28" i="5"/>
  <c r="R37" i="8"/>
  <c r="AI95" i="8"/>
  <c r="P35" i="5"/>
  <c r="AK122" i="14"/>
  <c r="AQ122" i="14"/>
  <c r="X35" i="5" s="1"/>
  <c r="H57" i="26" l="1"/>
  <c r="I57" i="26" s="1"/>
  <c r="R40" i="27"/>
  <c r="G73" i="26" s="1"/>
  <c r="M73" i="26" s="1"/>
  <c r="R73" i="26" s="1"/>
  <c r="S73" i="26" s="1"/>
  <c r="AK96" i="8"/>
  <c r="H56" i="26"/>
  <c r="I56" i="26" s="1"/>
  <c r="R36" i="27"/>
  <c r="G69" i="26" s="1"/>
  <c r="R39" i="27"/>
  <c r="G72" i="26" s="1"/>
  <c r="M72" i="26" s="1"/>
  <c r="R72" i="26" s="1"/>
  <c r="S72" i="26" s="1"/>
  <c r="R35" i="27"/>
  <c r="G68" i="26" s="1"/>
  <c r="H68" i="26" s="1"/>
  <c r="I68" i="26" s="1"/>
  <c r="R41" i="27"/>
  <c r="G74" i="26" s="1"/>
  <c r="H74" i="26" s="1"/>
  <c r="I74" i="26" s="1"/>
  <c r="R30" i="27"/>
  <c r="G63" i="26" s="1"/>
  <c r="X27" i="5"/>
  <c r="AK137" i="9"/>
  <c r="P26" i="5"/>
  <c r="AQ137" i="9"/>
  <c r="J36" i="6"/>
  <c r="R29" i="27"/>
  <c r="G62" i="26" s="1"/>
  <c r="M62" i="26" s="1"/>
  <c r="R62" i="26" s="1"/>
  <c r="S62" i="26" s="1"/>
  <c r="R38" i="27"/>
  <c r="G71" i="26" s="1"/>
  <c r="H71" i="26" s="1"/>
  <c r="I71" i="26" s="1"/>
  <c r="R26" i="27"/>
  <c r="G59" i="26" s="1"/>
  <c r="M59" i="26" s="1"/>
  <c r="R59" i="26" s="1"/>
  <c r="S59" i="26" s="1"/>
  <c r="R33" i="27"/>
  <c r="G66" i="26" s="1"/>
  <c r="M66" i="26" s="1"/>
  <c r="R66" i="26" s="1"/>
  <c r="S66" i="26" s="1"/>
  <c r="R34" i="27"/>
  <c r="G67" i="26" s="1"/>
  <c r="H67" i="26" s="1"/>
  <c r="I67" i="26" s="1"/>
  <c r="R32" i="27"/>
  <c r="G65" i="26" s="1"/>
  <c r="H65" i="26" s="1"/>
  <c r="I65" i="26" s="1"/>
  <c r="H64" i="26"/>
  <c r="I64" i="26" s="1"/>
  <c r="M55" i="26"/>
  <c r="R55" i="26" s="1"/>
  <c r="S55" i="26" s="1"/>
  <c r="H54" i="26"/>
  <c r="I54" i="26" s="1"/>
  <c r="L41" i="8"/>
  <c r="L42" i="8" s="1"/>
  <c r="H69" i="26"/>
  <c r="I69" i="26" s="1"/>
  <c r="M69" i="26"/>
  <c r="R69" i="26" s="1"/>
  <c r="S69" i="26" s="1"/>
  <c r="AI94" i="8"/>
  <c r="AI99" i="8" s="1"/>
  <c r="M58" i="26"/>
  <c r="R58" i="26" s="1"/>
  <c r="S58" i="26" s="1"/>
  <c r="M60" i="26"/>
  <c r="R60" i="26" s="1"/>
  <c r="S60" i="26" s="1"/>
  <c r="M61" i="26"/>
  <c r="R61" i="26" s="1"/>
  <c r="S61" i="26" s="1"/>
  <c r="H63" i="26"/>
  <c r="I63" i="26" s="1"/>
  <c r="M63" i="26"/>
  <c r="R63" i="26" s="1"/>
  <c r="S63" i="26" s="1"/>
  <c r="AK95" i="8"/>
  <c r="AQ95" i="8"/>
  <c r="M70" i="26"/>
  <c r="R70" i="26" s="1"/>
  <c r="S70" i="26" s="1"/>
  <c r="H70" i="26"/>
  <c r="I70" i="26" s="1"/>
  <c r="R41" i="8"/>
  <c r="R42" i="8" s="1"/>
  <c r="L46" i="8" s="1"/>
  <c r="P36" i="5"/>
  <c r="R35" i="5"/>
  <c r="H73" i="26" l="1"/>
  <c r="I73" i="26" s="1"/>
  <c r="H72" i="26"/>
  <c r="I72" i="26" s="1"/>
  <c r="M74" i="26"/>
  <c r="R74" i="26" s="1"/>
  <c r="S74" i="26" s="1"/>
  <c r="H62" i="26"/>
  <c r="I62" i="26" s="1"/>
  <c r="M68" i="26"/>
  <c r="R68" i="26" s="1"/>
  <c r="S68" i="26" s="1"/>
  <c r="H66" i="26"/>
  <c r="I66" i="26" s="1"/>
  <c r="M71" i="26"/>
  <c r="R71" i="26" s="1"/>
  <c r="S71" i="26" s="1"/>
  <c r="H59" i="26"/>
  <c r="I59" i="26" s="1"/>
  <c r="R26" i="5"/>
  <c r="X26" i="5"/>
  <c r="AK94" i="8"/>
  <c r="M67" i="26"/>
  <c r="R67" i="26" s="1"/>
  <c r="S67" i="26" s="1"/>
  <c r="M65" i="26"/>
  <c r="R65" i="26" s="1"/>
  <c r="S65" i="26" s="1"/>
  <c r="AQ94" i="8"/>
  <c r="AI100" i="8"/>
  <c r="L51" i="8"/>
  <c r="L53" i="8" s="1"/>
  <c r="N37" i="8" s="1"/>
  <c r="R46" i="8"/>
  <c r="R51" i="8" s="1"/>
  <c r="R53" i="8" s="1"/>
  <c r="AI104" i="8"/>
  <c r="AQ99" i="8"/>
  <c r="AK99" i="8"/>
  <c r="R36" i="5"/>
  <c r="X36" i="5"/>
  <c r="N42" i="8" l="1"/>
  <c r="N46" i="8"/>
  <c r="AI109" i="8"/>
  <c r="AK104" i="8"/>
  <c r="N51" i="8"/>
  <c r="N28" i="8"/>
  <c r="N24" i="8"/>
  <c r="L25" i="6"/>
  <c r="N31" i="8"/>
  <c r="N50" i="8"/>
  <c r="N26" i="8"/>
  <c r="N49" i="8"/>
  <c r="N45" i="8"/>
  <c r="N25" i="8"/>
  <c r="N27" i="8"/>
  <c r="N47" i="8"/>
  <c r="N32" i="8"/>
  <c r="N33" i="8"/>
  <c r="N39" i="8"/>
  <c r="N40" i="8"/>
  <c r="N38" i="8"/>
  <c r="N36" i="8"/>
  <c r="N41" i="8"/>
  <c r="G25" i="3"/>
  <c r="R25" i="6"/>
  <c r="R32" i="6" s="1"/>
  <c r="AK100" i="8"/>
  <c r="AQ100" i="8"/>
  <c r="AQ109" i="8" l="1"/>
  <c r="AK109" i="8"/>
  <c r="AI111" i="8"/>
  <c r="I25" i="3"/>
  <c r="G32" i="3"/>
  <c r="J25" i="6"/>
  <c r="L32" i="6"/>
  <c r="N25" i="6" l="1"/>
  <c r="K25" i="3"/>
  <c r="I32" i="3"/>
  <c r="K32" i="3" s="1"/>
  <c r="N29" i="6"/>
  <c r="N30" i="6"/>
  <c r="J32" i="6"/>
  <c r="N31" i="6"/>
  <c r="N26" i="6"/>
  <c r="N27" i="6"/>
  <c r="N28" i="6"/>
  <c r="AQ111" i="8"/>
  <c r="P25" i="5"/>
  <c r="AK111" i="8"/>
  <c r="J193" i="19" l="1"/>
  <c r="L193" i="19" s="1"/>
  <c r="J185" i="19"/>
  <c r="L185" i="19" s="1"/>
  <c r="J198" i="19"/>
  <c r="L198" i="19" s="1"/>
  <c r="R198" i="19" s="1"/>
  <c r="J186" i="19"/>
  <c r="J189" i="19"/>
  <c r="J184" i="19"/>
  <c r="J187" i="19"/>
  <c r="L187" i="19" s="1"/>
  <c r="J195" i="19"/>
  <c r="J173" i="19"/>
  <c r="L173" i="19" s="1"/>
  <c r="AI395" i="19" s="1"/>
  <c r="J137" i="19"/>
  <c r="L137" i="19" s="1"/>
  <c r="J127" i="19"/>
  <c r="L127" i="19" s="1"/>
  <c r="J118" i="19"/>
  <c r="L118" i="19" s="1"/>
  <c r="J109" i="19"/>
  <c r="L109" i="19" s="1"/>
  <c r="R109" i="19" s="1"/>
  <c r="J98" i="19"/>
  <c r="L98" i="19" s="1"/>
  <c r="J87" i="19"/>
  <c r="L87" i="19" s="1"/>
  <c r="R87" i="19" s="1"/>
  <c r="J46" i="19"/>
  <c r="L46" i="19" s="1"/>
  <c r="J37" i="19"/>
  <c r="L37" i="19" s="1"/>
  <c r="J22" i="19"/>
  <c r="L22" i="19" s="1"/>
  <c r="J181" i="19"/>
  <c r="L181" i="19" s="1"/>
  <c r="J171" i="19"/>
  <c r="L171" i="19" s="1"/>
  <c r="J136" i="19"/>
  <c r="L136" i="19" s="1"/>
  <c r="AI358" i="19" s="1"/>
  <c r="J125" i="19"/>
  <c r="L125" i="19" s="1"/>
  <c r="J113" i="19"/>
  <c r="L113" i="19" s="1"/>
  <c r="J106" i="19"/>
  <c r="L106" i="19" s="1"/>
  <c r="AI328" i="19" s="1"/>
  <c r="J92" i="19"/>
  <c r="L92" i="19" s="1"/>
  <c r="J56" i="19"/>
  <c r="J42" i="19"/>
  <c r="L42" i="19" s="1"/>
  <c r="AI264" i="19" s="1"/>
  <c r="J33" i="19"/>
  <c r="L33" i="19" s="1"/>
  <c r="J179" i="19"/>
  <c r="L179" i="19" s="1"/>
  <c r="J168" i="19"/>
  <c r="L168" i="19" s="1"/>
  <c r="J134" i="19"/>
  <c r="L134" i="19" s="1"/>
  <c r="J121" i="19"/>
  <c r="J111" i="19"/>
  <c r="L111" i="19" s="1"/>
  <c r="AI333" i="19" s="1"/>
  <c r="AK333" i="19" s="1"/>
  <c r="J103" i="19"/>
  <c r="J89" i="19"/>
  <c r="L89" i="19" s="1"/>
  <c r="J54" i="19"/>
  <c r="J41" i="19"/>
  <c r="J29" i="19"/>
  <c r="J174" i="19"/>
  <c r="L174" i="19" s="1"/>
  <c r="J139" i="19"/>
  <c r="L139" i="19" s="1"/>
  <c r="J131" i="19"/>
  <c r="L131" i="19" s="1"/>
  <c r="J119" i="19"/>
  <c r="L119" i="19" s="1"/>
  <c r="J110" i="19"/>
  <c r="L110" i="19" s="1"/>
  <c r="J99" i="19"/>
  <c r="L99" i="19" s="1"/>
  <c r="R99" i="19" s="1"/>
  <c r="J88" i="19"/>
  <c r="L88" i="19" s="1"/>
  <c r="AI310" i="19" s="1"/>
  <c r="J49" i="19"/>
  <c r="L49" i="19" s="1"/>
  <c r="J39" i="19"/>
  <c r="L39" i="19" s="1"/>
  <c r="AI261" i="19" s="1"/>
  <c r="AK261" i="19" s="1"/>
  <c r="J27" i="19"/>
  <c r="J183" i="19"/>
  <c r="L183" i="19" s="1"/>
  <c r="R183" i="19" s="1"/>
  <c r="X25" i="5"/>
  <c r="R25" i="5"/>
  <c r="P32" i="5"/>
  <c r="J24" i="24"/>
  <c r="Y24" i="24" s="1"/>
  <c r="L184" i="19"/>
  <c r="AI406" i="19" s="1"/>
  <c r="J48" i="24"/>
  <c r="Y48" i="24" s="1"/>
  <c r="J27" i="21"/>
  <c r="J35" i="25"/>
  <c r="L35" i="25" s="1"/>
  <c r="J52" i="21"/>
  <c r="AE10" i="19"/>
  <c r="AG10" i="19" s="1"/>
  <c r="J29" i="22"/>
  <c r="L29" i="22" s="1"/>
  <c r="J22" i="22"/>
  <c r="L22" i="22" s="1"/>
  <c r="AE14" i="19"/>
  <c r="AG14" i="19" s="1"/>
  <c r="J208" i="19"/>
  <c r="L208" i="19" s="1"/>
  <c r="AI430" i="19" s="1"/>
  <c r="J36" i="21"/>
  <c r="J64" i="21"/>
  <c r="J42" i="23"/>
  <c r="Y42" i="23" s="1"/>
  <c r="J47" i="24"/>
  <c r="L47" i="24" s="1"/>
  <c r="J24" i="21"/>
  <c r="L24" i="21" s="1"/>
  <c r="J22" i="25"/>
  <c r="L22" i="25" s="1"/>
  <c r="J32" i="24"/>
  <c r="L32" i="24" s="1"/>
  <c r="J33" i="24"/>
  <c r="L33" i="24" s="1"/>
  <c r="J31" i="23"/>
  <c r="Y31" i="23" s="1"/>
  <c r="J35" i="24"/>
  <c r="L35" i="24" s="1"/>
  <c r="J24" i="20"/>
  <c r="L24" i="20" s="1"/>
  <c r="J23" i="25"/>
  <c r="J42" i="21"/>
  <c r="L42" i="21" s="1"/>
  <c r="J38" i="25"/>
  <c r="J66" i="21"/>
  <c r="L66" i="21" s="1"/>
  <c r="J50" i="21"/>
  <c r="J39" i="25"/>
  <c r="L39" i="25" s="1"/>
  <c r="J56" i="21"/>
  <c r="L56" i="21" s="1"/>
  <c r="J30" i="22"/>
  <c r="AE11" i="19"/>
  <c r="AG11" i="19" s="1"/>
  <c r="J22" i="23"/>
  <c r="L22" i="23" s="1"/>
  <c r="J44" i="23"/>
  <c r="L44" i="23" s="1"/>
  <c r="J29" i="25"/>
  <c r="AE5" i="19"/>
  <c r="AG5" i="19" s="1"/>
  <c r="J36" i="24"/>
  <c r="Y36" i="24" s="1"/>
  <c r="AE12" i="19"/>
  <c r="AG12" i="19" s="1"/>
  <c r="J37" i="25"/>
  <c r="J28" i="22"/>
  <c r="J23" i="24"/>
  <c r="L23" i="24" s="1"/>
  <c r="J53" i="24"/>
  <c r="Y53" i="24" s="1"/>
  <c r="J32" i="21"/>
  <c r="L32" i="21" s="1"/>
  <c r="J28" i="25"/>
  <c r="L28" i="25" s="1"/>
  <c r="J51" i="21"/>
  <c r="J23" i="21"/>
  <c r="J56" i="24"/>
  <c r="Y56" i="24" s="1"/>
  <c r="AE17" i="19"/>
  <c r="AG17" i="19" s="1"/>
  <c r="J25" i="25"/>
  <c r="L25" i="25" s="1"/>
  <c r="J40" i="21"/>
  <c r="L40" i="21" s="1"/>
  <c r="AE16" i="19"/>
  <c r="AG16" i="19" s="1"/>
  <c r="J68" i="21"/>
  <c r="J22" i="24"/>
  <c r="L22" i="24" s="1"/>
  <c r="J46" i="24"/>
  <c r="L46" i="24" s="1"/>
  <c r="AE9" i="19"/>
  <c r="AG9" i="19" s="1"/>
  <c r="J28" i="21"/>
  <c r="L28" i="21" s="1"/>
  <c r="J34" i="24"/>
  <c r="L34" i="24" s="1"/>
  <c r="J35" i="21"/>
  <c r="L35" i="21" s="1"/>
  <c r="J43" i="25"/>
  <c r="L43" i="25" s="1"/>
  <c r="J55" i="21"/>
  <c r="L55" i="21" s="1"/>
  <c r="J29" i="23"/>
  <c r="L29" i="23" s="1"/>
  <c r="J41" i="24"/>
  <c r="Y41" i="24" s="1"/>
  <c r="J64" i="24"/>
  <c r="Y64" i="24" s="1"/>
  <c r="J41" i="21"/>
  <c r="L41" i="21" s="1"/>
  <c r="AE15" i="19"/>
  <c r="AG15" i="19" s="1"/>
  <c r="J61" i="21"/>
  <c r="L61" i="21" s="1"/>
  <c r="J30" i="25"/>
  <c r="J35" i="22"/>
  <c r="J21" i="21"/>
  <c r="L21" i="21" s="1"/>
  <c r="J47" i="21"/>
  <c r="L47" i="21" s="1"/>
  <c r="J209" i="19"/>
  <c r="L209" i="19" s="1"/>
  <c r="R209" i="19" s="1"/>
  <c r="J37" i="21"/>
  <c r="L37" i="21" s="1"/>
  <c r="J34" i="25"/>
  <c r="L34" i="25" s="1"/>
  <c r="J21" i="28"/>
  <c r="J33" i="25"/>
  <c r="J46" i="21"/>
  <c r="J26" i="22"/>
  <c r="J28" i="24"/>
  <c r="Y28" i="24" s="1"/>
  <c r="J52" i="24"/>
  <c r="Y52" i="24" s="1"/>
  <c r="J29" i="21"/>
  <c r="L29" i="21" s="1"/>
  <c r="AE7" i="19"/>
  <c r="AG7" i="19" s="1"/>
  <c r="J55" i="24"/>
  <c r="Y55" i="24" s="1"/>
  <c r="J54" i="24"/>
  <c r="Y54" i="24" s="1"/>
  <c r="J57" i="24"/>
  <c r="Y57" i="24" s="1"/>
  <c r="J21" i="23"/>
  <c r="L21" i="23" s="1"/>
  <c r="J43" i="24"/>
  <c r="L43" i="24" s="1"/>
  <c r="J32" i="20"/>
  <c r="J24" i="25"/>
  <c r="L24" i="25" s="1"/>
  <c r="J43" i="21"/>
  <c r="L43" i="21" s="1"/>
  <c r="L41" i="19"/>
  <c r="J23" i="22"/>
  <c r="L23" i="22" s="1"/>
  <c r="J47" i="23"/>
  <c r="L47" i="23" s="1"/>
  <c r="AE13" i="19"/>
  <c r="AG13" i="19" s="1"/>
  <c r="J36" i="25"/>
  <c r="AE6" i="19"/>
  <c r="AG6" i="19" s="1"/>
  <c r="J61" i="24"/>
  <c r="L61" i="24" s="1"/>
  <c r="J34" i="21"/>
  <c r="L34" i="21" s="1"/>
  <c r="J42" i="25"/>
  <c r="J63" i="21"/>
  <c r="L63" i="21" s="1"/>
  <c r="J36" i="23"/>
  <c r="Y36" i="23" s="1"/>
  <c r="J40" i="24"/>
  <c r="Y40" i="24" s="1"/>
  <c r="J39" i="20"/>
  <c r="AE18" i="19"/>
  <c r="AG18" i="19" s="1"/>
  <c r="J29" i="24"/>
  <c r="Y29" i="24" s="1"/>
  <c r="J21" i="19"/>
  <c r="J51" i="24"/>
  <c r="L51" i="24" s="1"/>
  <c r="J22" i="21"/>
  <c r="L22" i="21" s="1"/>
  <c r="J49" i="21"/>
  <c r="J27" i="24"/>
  <c r="L27" i="24" s="1"/>
  <c r="AE8" i="19"/>
  <c r="AG8" i="19" s="1"/>
  <c r="J36" i="22"/>
  <c r="J42" i="24"/>
  <c r="Y42" i="24" s="1"/>
  <c r="J48" i="21"/>
  <c r="L48" i="21" s="1"/>
  <c r="J44" i="25"/>
  <c r="J54" i="21"/>
  <c r="J60" i="24"/>
  <c r="Y60" i="24" s="1"/>
  <c r="J67" i="21"/>
  <c r="L67" i="21" s="1"/>
  <c r="J33" i="23"/>
  <c r="Y33" i="23" s="1"/>
  <c r="J33" i="21"/>
  <c r="L33" i="21" s="1"/>
  <c r="L24" i="24" l="1"/>
  <c r="AI99" i="24" s="1"/>
  <c r="L30" i="25"/>
  <c r="AI88" i="25" s="1"/>
  <c r="L36" i="23"/>
  <c r="AI101" i="23" s="1"/>
  <c r="J28" i="19"/>
  <c r="L28" i="19" s="1"/>
  <c r="AI250" i="19" s="1"/>
  <c r="L29" i="25"/>
  <c r="R29" i="25" s="1"/>
  <c r="J101" i="19"/>
  <c r="L101" i="19" s="1"/>
  <c r="AI323" i="19" s="1"/>
  <c r="L46" i="21"/>
  <c r="R46" i="21" s="1"/>
  <c r="Y22" i="24"/>
  <c r="J30" i="19"/>
  <c r="L30" i="19" s="1"/>
  <c r="AI252" i="19" s="1"/>
  <c r="J31" i="19"/>
  <c r="J58" i="19"/>
  <c r="L58" i="19" s="1"/>
  <c r="R58" i="19" s="1"/>
  <c r="J57" i="19"/>
  <c r="L57" i="19" s="1"/>
  <c r="R57" i="19" s="1"/>
  <c r="L54" i="19"/>
  <c r="AI276" i="19" s="1"/>
  <c r="AQ276" i="19" s="1"/>
  <c r="J55" i="19"/>
  <c r="L55" i="19" s="1"/>
  <c r="R55" i="19" s="1"/>
  <c r="R208" i="19"/>
  <c r="R210" i="19" s="1"/>
  <c r="L21" i="19"/>
  <c r="AI243" i="19" s="1"/>
  <c r="J24" i="19"/>
  <c r="L24" i="19" s="1"/>
  <c r="J26" i="19"/>
  <c r="L26" i="19" s="1"/>
  <c r="AI248" i="19" s="1"/>
  <c r="J25" i="19"/>
  <c r="J23" i="19"/>
  <c r="L23" i="19" s="1"/>
  <c r="AI245" i="19" s="1"/>
  <c r="Y51" i="24"/>
  <c r="L64" i="21"/>
  <c r="R64" i="21" s="1"/>
  <c r="J196" i="19"/>
  <c r="L196" i="19" s="1"/>
  <c r="R196" i="19" s="1"/>
  <c r="Y32" i="24"/>
  <c r="L23" i="25"/>
  <c r="AI81" i="25" s="1"/>
  <c r="L28" i="24"/>
  <c r="AI103" i="24" s="1"/>
  <c r="L195" i="19"/>
  <c r="R195" i="19" s="1"/>
  <c r="L36" i="25"/>
  <c r="AI94" i="25" s="1"/>
  <c r="L31" i="23"/>
  <c r="R31" i="23" s="1"/>
  <c r="L53" i="24"/>
  <c r="AI128" i="24" s="1"/>
  <c r="L44" i="25"/>
  <c r="AI102" i="25" s="1"/>
  <c r="Y47" i="24"/>
  <c r="AI420" i="19"/>
  <c r="AK420" i="19" s="1"/>
  <c r="J122" i="19"/>
  <c r="L122" i="19" s="1"/>
  <c r="R122" i="19" s="1"/>
  <c r="L57" i="24"/>
  <c r="R57" i="24" s="1"/>
  <c r="J90" i="19"/>
  <c r="L90" i="19" s="1"/>
  <c r="AI312" i="19" s="1"/>
  <c r="J47" i="19"/>
  <c r="L47" i="19" s="1"/>
  <c r="AI269" i="19" s="1"/>
  <c r="J91" i="19"/>
  <c r="L91" i="19" s="1"/>
  <c r="R91" i="19" s="1"/>
  <c r="AI361" i="19"/>
  <c r="AK361" i="19" s="1"/>
  <c r="R139" i="19"/>
  <c r="AI340" i="19"/>
  <c r="AK340" i="19" s="1"/>
  <c r="R118" i="19"/>
  <c r="AI332" i="19"/>
  <c r="AK332" i="19" s="1"/>
  <c r="R110" i="19"/>
  <c r="L28" i="22"/>
  <c r="AI80" i="22" s="1"/>
  <c r="L30" i="22"/>
  <c r="AI82" i="22" s="1"/>
  <c r="L41" i="24"/>
  <c r="R41" i="24" s="1"/>
  <c r="R136" i="19"/>
  <c r="L23" i="21"/>
  <c r="R23" i="21" s="1"/>
  <c r="L36" i="21"/>
  <c r="R36" i="21" s="1"/>
  <c r="J115" i="19"/>
  <c r="L115" i="19" s="1"/>
  <c r="AI337" i="19" s="1"/>
  <c r="R184" i="19"/>
  <c r="R106" i="19"/>
  <c r="J117" i="19"/>
  <c r="L117" i="19" s="1"/>
  <c r="R117" i="19" s="1"/>
  <c r="R42" i="19"/>
  <c r="L52" i="21"/>
  <c r="AI138" i="21" s="1"/>
  <c r="L56" i="24"/>
  <c r="AI131" i="24" s="1"/>
  <c r="AI321" i="19"/>
  <c r="L50" i="21"/>
  <c r="R50" i="21" s="1"/>
  <c r="R88" i="19"/>
  <c r="J197" i="19"/>
  <c r="L197" i="19" s="1"/>
  <c r="AI419" i="19" s="1"/>
  <c r="L54" i="21"/>
  <c r="AI140" i="21" s="1"/>
  <c r="L33" i="23"/>
  <c r="AI98" i="23" s="1"/>
  <c r="AI331" i="19"/>
  <c r="AK331" i="19" s="1"/>
  <c r="Y21" i="23"/>
  <c r="L42" i="25"/>
  <c r="R42" i="25" s="1"/>
  <c r="L29" i="24"/>
  <c r="AI104" i="24" s="1"/>
  <c r="Y27" i="24"/>
  <c r="J34" i="19"/>
  <c r="L34" i="19" s="1"/>
  <c r="R34" i="19" s="1"/>
  <c r="Y34" i="24"/>
  <c r="L64" i="24"/>
  <c r="J104" i="19"/>
  <c r="L104" i="19" s="1"/>
  <c r="AI326" i="19" s="1"/>
  <c r="J182" i="19"/>
  <c r="L182" i="19" s="1"/>
  <c r="AI404" i="19" s="1"/>
  <c r="J169" i="19"/>
  <c r="L169" i="19" s="1"/>
  <c r="AI391" i="19" s="1"/>
  <c r="AK391" i="19" s="1"/>
  <c r="L29" i="19"/>
  <c r="AI251" i="19" s="1"/>
  <c r="J129" i="19"/>
  <c r="L129" i="19" s="1"/>
  <c r="R129" i="19" s="1"/>
  <c r="J52" i="19"/>
  <c r="L52" i="19" s="1"/>
  <c r="AI274" i="19" s="1"/>
  <c r="L48" i="24"/>
  <c r="AI123" i="24" s="1"/>
  <c r="L37" i="25"/>
  <c r="AI95" i="25" s="1"/>
  <c r="Y61" i="24"/>
  <c r="L39" i="20"/>
  <c r="R39" i="20" s="1"/>
  <c r="J138" i="19"/>
  <c r="L138" i="19" s="1"/>
  <c r="AI360" i="19" s="1"/>
  <c r="AK360" i="19" s="1"/>
  <c r="J190" i="19"/>
  <c r="L190" i="19" s="1"/>
  <c r="R190" i="19" s="1"/>
  <c r="L33" i="25"/>
  <c r="R33" i="25" s="1"/>
  <c r="Y43" i="24"/>
  <c r="Y44" i="23"/>
  <c r="J170" i="19"/>
  <c r="L170" i="19" s="1"/>
  <c r="R170" i="19" s="1"/>
  <c r="L121" i="19"/>
  <c r="AI343" i="19" s="1"/>
  <c r="L52" i="24"/>
  <c r="AI127" i="24" s="1"/>
  <c r="L49" i="21"/>
  <c r="AI135" i="21" s="1"/>
  <c r="L36" i="22"/>
  <c r="AI88" i="22" s="1"/>
  <c r="AQ88" i="22" s="1"/>
  <c r="J126" i="19"/>
  <c r="L126" i="19" s="1"/>
  <c r="R126" i="19" s="1"/>
  <c r="J191" i="19"/>
  <c r="L191" i="19" s="1"/>
  <c r="R191" i="19" s="1"/>
  <c r="L31" i="19"/>
  <c r="AI253" i="19" s="1"/>
  <c r="L25" i="19"/>
  <c r="R25" i="19" s="1"/>
  <c r="L35" i="22"/>
  <c r="R35" i="22" s="1"/>
  <c r="L60" i="24"/>
  <c r="R60" i="24" s="1"/>
  <c r="J180" i="19"/>
  <c r="L180" i="19" s="1"/>
  <c r="AI402" i="19" s="1"/>
  <c r="L38" i="25"/>
  <c r="R38" i="25" s="1"/>
  <c r="L68" i="21"/>
  <c r="J116" i="19"/>
  <c r="L116" i="19" s="1"/>
  <c r="R116" i="19" s="1"/>
  <c r="J44" i="19"/>
  <c r="L44" i="19" s="1"/>
  <c r="R44" i="19" s="1"/>
  <c r="J135" i="19"/>
  <c r="L135" i="19" s="1"/>
  <c r="R135" i="19" s="1"/>
  <c r="R111" i="19"/>
  <c r="L189" i="19"/>
  <c r="R189" i="19" s="1"/>
  <c r="J50" i="19"/>
  <c r="L50" i="19" s="1"/>
  <c r="AI272" i="19" s="1"/>
  <c r="J172" i="19"/>
  <c r="L172" i="19" s="1"/>
  <c r="AI394" i="19" s="1"/>
  <c r="AK394" i="19" s="1"/>
  <c r="R32" i="5"/>
  <c r="X32" i="5"/>
  <c r="J123" i="19"/>
  <c r="L123" i="19" s="1"/>
  <c r="AI345" i="19" s="1"/>
  <c r="L54" i="24"/>
  <c r="R54" i="24" s="1"/>
  <c r="L103" i="19"/>
  <c r="R103" i="19" s="1"/>
  <c r="L186" i="19"/>
  <c r="AI408" i="19" s="1"/>
  <c r="R173" i="19"/>
  <c r="L36" i="24"/>
  <c r="AI111" i="24" s="1"/>
  <c r="L27" i="21"/>
  <c r="R27" i="21" s="1"/>
  <c r="J194" i="19"/>
  <c r="L194" i="19" s="1"/>
  <c r="AI416" i="19" s="1"/>
  <c r="AI405" i="19"/>
  <c r="AK405" i="19" s="1"/>
  <c r="Y35" i="24"/>
  <c r="L51" i="21"/>
  <c r="R51" i="21" s="1"/>
  <c r="AI309" i="19"/>
  <c r="AK309" i="19" s="1"/>
  <c r="J175" i="19"/>
  <c r="L175" i="19" s="1"/>
  <c r="R175" i="19" s="1"/>
  <c r="J124" i="19"/>
  <c r="L124" i="19" s="1"/>
  <c r="R124" i="19" s="1"/>
  <c r="J188" i="19"/>
  <c r="L188" i="19" s="1"/>
  <c r="R188" i="19" s="1"/>
  <c r="J36" i="19"/>
  <c r="L36" i="19" s="1"/>
  <c r="R36" i="19" s="1"/>
  <c r="J176" i="19"/>
  <c r="L176" i="19" s="1"/>
  <c r="R176" i="19" s="1"/>
  <c r="J45" i="19"/>
  <c r="L45" i="19" s="1"/>
  <c r="R45" i="19" s="1"/>
  <c r="J120" i="19"/>
  <c r="L120" i="19" s="1"/>
  <c r="R120" i="19" s="1"/>
  <c r="Y33" i="24"/>
  <c r="Y46" i="24"/>
  <c r="L26" i="22"/>
  <c r="L55" i="24"/>
  <c r="AI130" i="24" s="1"/>
  <c r="J38" i="19"/>
  <c r="L38" i="19" s="1"/>
  <c r="R38" i="19" s="1"/>
  <c r="Y47" i="23"/>
  <c r="Y22" i="23"/>
  <c r="J51" i="19"/>
  <c r="L51" i="19" s="1"/>
  <c r="AI273" i="19" s="1"/>
  <c r="AI431" i="19"/>
  <c r="AI432" i="19" s="1"/>
  <c r="L210" i="19"/>
  <c r="J133" i="19"/>
  <c r="L133" i="19" s="1"/>
  <c r="J102" i="19"/>
  <c r="L102" i="19" s="1"/>
  <c r="R102" i="19" s="1"/>
  <c r="J114" i="19"/>
  <c r="L114" i="19" s="1"/>
  <c r="R114" i="19" s="1"/>
  <c r="J192" i="19"/>
  <c r="L192" i="19" s="1"/>
  <c r="R192" i="19" s="1"/>
  <c r="R39" i="19"/>
  <c r="J93" i="19"/>
  <c r="L93" i="19" s="1"/>
  <c r="AI315" i="19" s="1"/>
  <c r="J128" i="19"/>
  <c r="L128" i="19" s="1"/>
  <c r="R128" i="19" s="1"/>
  <c r="Y23" i="24"/>
  <c r="Y29" i="23"/>
  <c r="L27" i="19"/>
  <c r="J43" i="19"/>
  <c r="L43" i="19" s="1"/>
  <c r="R43" i="19" s="1"/>
  <c r="L40" i="24"/>
  <c r="R40" i="24" s="1"/>
  <c r="J35" i="19"/>
  <c r="L35" i="19" s="1"/>
  <c r="R35" i="19" s="1"/>
  <c r="L42" i="24"/>
  <c r="R42" i="24" s="1"/>
  <c r="J53" i="19"/>
  <c r="L53" i="19" s="1"/>
  <c r="AI275" i="19" s="1"/>
  <c r="J132" i="19"/>
  <c r="L132" i="19" s="1"/>
  <c r="AI354" i="19" s="1"/>
  <c r="L42" i="23"/>
  <c r="L48" i="23" s="1"/>
  <c r="J48" i="19"/>
  <c r="L48" i="19" s="1"/>
  <c r="R48" i="19" s="1"/>
  <c r="J105" i="19"/>
  <c r="L105" i="19" s="1"/>
  <c r="AI327" i="19" s="1"/>
  <c r="J107" i="19"/>
  <c r="L107" i="19" s="1"/>
  <c r="AI329" i="19" s="1"/>
  <c r="J100" i="19"/>
  <c r="L100" i="19" s="1"/>
  <c r="AI322" i="19" s="1"/>
  <c r="L56" i="19"/>
  <c r="R56" i="19" s="1"/>
  <c r="R24" i="25"/>
  <c r="AI82" i="25"/>
  <c r="AI93" i="25"/>
  <c r="R35" i="25"/>
  <c r="AI415" i="19"/>
  <c r="R193" i="19"/>
  <c r="AI108" i="24"/>
  <c r="R33" i="24"/>
  <c r="AI110" i="24"/>
  <c r="R35" i="24"/>
  <c r="R35" i="21"/>
  <c r="AI121" i="21"/>
  <c r="AI349" i="19"/>
  <c r="R127" i="19"/>
  <c r="R181" i="19"/>
  <c r="AI403" i="19"/>
  <c r="AI115" i="21"/>
  <c r="R29" i="21"/>
  <c r="AI259" i="19"/>
  <c r="R37" i="19"/>
  <c r="AI75" i="22"/>
  <c r="R23" i="22"/>
  <c r="R47" i="23"/>
  <c r="AI112" i="23"/>
  <c r="AI409" i="19"/>
  <c r="R187" i="19"/>
  <c r="AI271" i="19"/>
  <c r="R49" i="19"/>
  <c r="R67" i="21"/>
  <c r="AI153" i="21"/>
  <c r="AI92" i="25"/>
  <c r="R34" i="25"/>
  <c r="AQ430" i="19"/>
  <c r="AK430" i="19"/>
  <c r="AI142" i="21"/>
  <c r="R56" i="21"/>
  <c r="R171" i="19"/>
  <c r="AI393" i="19"/>
  <c r="AK393" i="19" s="1"/>
  <c r="R41" i="21"/>
  <c r="AI127" i="21"/>
  <c r="R46" i="19"/>
  <c r="AI268" i="19"/>
  <c r="AK358" i="19"/>
  <c r="AQ358" i="19"/>
  <c r="R22" i="24"/>
  <c r="AI97" i="24"/>
  <c r="AI101" i="25"/>
  <c r="R43" i="25"/>
  <c r="AI108" i="21"/>
  <c r="R22" i="21"/>
  <c r="AI80" i="25"/>
  <c r="R22" i="25"/>
  <c r="L23" i="23"/>
  <c r="AI86" i="23"/>
  <c r="R21" i="23"/>
  <c r="AI129" i="21"/>
  <c r="R43" i="21"/>
  <c r="R134" i="19"/>
  <c r="AI356" i="19"/>
  <c r="R119" i="19"/>
  <c r="AI341" i="19"/>
  <c r="AK341" i="19" s="1"/>
  <c r="AI407" i="19"/>
  <c r="R185" i="19"/>
  <c r="AI255" i="19"/>
  <c r="R33" i="19"/>
  <c r="AI107" i="21"/>
  <c r="R21" i="21"/>
  <c r="AI134" i="21"/>
  <c r="R48" i="21"/>
  <c r="AI133" i="21"/>
  <c r="R47" i="21"/>
  <c r="AK310" i="19"/>
  <c r="AQ310" i="19"/>
  <c r="R29" i="22"/>
  <c r="AI81" i="22"/>
  <c r="AI74" i="22"/>
  <c r="R22" i="22"/>
  <c r="R125" i="19"/>
  <c r="AI347" i="19"/>
  <c r="AK328" i="19"/>
  <c r="AQ328" i="19"/>
  <c r="R24" i="21"/>
  <c r="AI110" i="21"/>
  <c r="R179" i="19"/>
  <c r="AI401" i="19"/>
  <c r="AI77" i="20"/>
  <c r="R24" i="20"/>
  <c r="AI128" i="21"/>
  <c r="R42" i="21"/>
  <c r="AI109" i="24"/>
  <c r="R34" i="24"/>
  <c r="AI118" i="21"/>
  <c r="R32" i="21"/>
  <c r="AI136" i="24"/>
  <c r="R61" i="24"/>
  <c r="AI102" i="24"/>
  <c r="R27" i="24"/>
  <c r="AI109" i="23"/>
  <c r="R44" i="23"/>
  <c r="AI353" i="19"/>
  <c r="AK353" i="19" s="1"/>
  <c r="R131" i="19"/>
  <c r="AI107" i="24"/>
  <c r="R32" i="24"/>
  <c r="R46" i="24"/>
  <c r="AI121" i="24"/>
  <c r="R113" i="19"/>
  <c r="AI335" i="19"/>
  <c r="AK335" i="19" s="1"/>
  <c r="AQ264" i="19"/>
  <c r="AK264" i="19"/>
  <c r="AI118" i="24"/>
  <c r="R43" i="24"/>
  <c r="AI263" i="19"/>
  <c r="R41" i="19"/>
  <c r="AI120" i="21"/>
  <c r="R34" i="21"/>
  <c r="AI149" i="21"/>
  <c r="R63" i="21"/>
  <c r="R51" i="24"/>
  <c r="AI126" i="24"/>
  <c r="AI87" i="23"/>
  <c r="R22" i="23"/>
  <c r="AI244" i="19"/>
  <c r="R22" i="19"/>
  <c r="AI123" i="21"/>
  <c r="R37" i="21"/>
  <c r="AI119" i="21"/>
  <c r="R33" i="21"/>
  <c r="AK406" i="19"/>
  <c r="AQ406" i="19"/>
  <c r="AI122" i="24"/>
  <c r="R47" i="24"/>
  <c r="AI311" i="19"/>
  <c r="R89" i="19"/>
  <c r="AI359" i="19"/>
  <c r="AK359" i="19" s="1"/>
  <c r="R137" i="19"/>
  <c r="R66" i="21"/>
  <c r="AI152" i="21"/>
  <c r="AI320" i="19"/>
  <c r="R98" i="19"/>
  <c r="AI97" i="25"/>
  <c r="R39" i="25"/>
  <c r="AI83" i="25"/>
  <c r="R25" i="25"/>
  <c r="R55" i="21"/>
  <c r="AI141" i="21"/>
  <c r="R168" i="19"/>
  <c r="AI390" i="19"/>
  <c r="R92" i="19"/>
  <c r="AI314" i="19"/>
  <c r="R174" i="19"/>
  <c r="AI396" i="19"/>
  <c r="AI98" i="24"/>
  <c r="R23" i="24"/>
  <c r="R28" i="25"/>
  <c r="AI86" i="25"/>
  <c r="AI126" i="21"/>
  <c r="R40" i="21"/>
  <c r="R28" i="21"/>
  <c r="AI114" i="21"/>
  <c r="AI94" i="23"/>
  <c r="R29" i="23"/>
  <c r="AI147" i="21"/>
  <c r="R61" i="21"/>
  <c r="AI116" i="24" l="1"/>
  <c r="R24" i="24"/>
  <c r="AK75" i="22"/>
  <c r="AQ75" i="22"/>
  <c r="R64" i="24"/>
  <c r="R133" i="19"/>
  <c r="R36" i="23"/>
  <c r="R30" i="25"/>
  <c r="R30" i="19"/>
  <c r="AI132" i="21"/>
  <c r="AK132" i="21" s="1"/>
  <c r="AI313" i="19"/>
  <c r="AK313" i="19" s="1"/>
  <c r="AI87" i="25"/>
  <c r="AK87" i="25" s="1"/>
  <c r="AI417" i="19"/>
  <c r="AK276" i="19"/>
  <c r="AI122" i="21"/>
  <c r="AQ122" i="21" s="1"/>
  <c r="AI344" i="19"/>
  <c r="AK344" i="19" s="1"/>
  <c r="AI246" i="19"/>
  <c r="AK246" i="19" s="1"/>
  <c r="R24" i="19"/>
  <c r="AI277" i="19"/>
  <c r="AK277" i="19" s="1"/>
  <c r="R101" i="19"/>
  <c r="R54" i="19"/>
  <c r="AI132" i="24"/>
  <c r="R47" i="19"/>
  <c r="R21" i="19"/>
  <c r="AI150" i="21"/>
  <c r="AQ150" i="21" s="1"/>
  <c r="AQ361" i="19"/>
  <c r="R36" i="25"/>
  <c r="R44" i="25"/>
  <c r="AI96" i="23"/>
  <c r="AK96" i="23" s="1"/>
  <c r="L69" i="21"/>
  <c r="R23" i="25"/>
  <c r="R90" i="19"/>
  <c r="AI418" i="19"/>
  <c r="AK418" i="19" s="1"/>
  <c r="R28" i="22"/>
  <c r="R28" i="24"/>
  <c r="R53" i="24"/>
  <c r="AI109" i="21"/>
  <c r="AQ109" i="21" s="1"/>
  <c r="AQ391" i="19"/>
  <c r="R30" i="22"/>
  <c r="L31" i="22"/>
  <c r="R115" i="19"/>
  <c r="R197" i="19"/>
  <c r="R29" i="24"/>
  <c r="R29" i="19"/>
  <c r="R52" i="21"/>
  <c r="R48" i="24"/>
  <c r="AI139" i="24"/>
  <c r="AQ139" i="24" s="1"/>
  <c r="AI96" i="25"/>
  <c r="AI339" i="19"/>
  <c r="AK339" i="19" s="1"/>
  <c r="R56" i="24"/>
  <c r="R42" i="23"/>
  <c r="R48" i="23" s="1"/>
  <c r="AI78" i="22"/>
  <c r="AI83" i="22" s="1"/>
  <c r="AI136" i="21"/>
  <c r="AK431" i="19"/>
  <c r="AI412" i="19"/>
  <c r="AK412" i="19" s="1"/>
  <c r="AI351" i="19"/>
  <c r="AQ351" i="19" s="1"/>
  <c r="R123" i="19"/>
  <c r="R54" i="21"/>
  <c r="AI100" i="25"/>
  <c r="AK100" i="25" s="1"/>
  <c r="R52" i="19"/>
  <c r="AI279" i="19"/>
  <c r="AQ279" i="19" s="1"/>
  <c r="R36" i="22"/>
  <c r="R37" i="22" s="1"/>
  <c r="R93" i="19"/>
  <c r="AI92" i="20"/>
  <c r="AI93" i="20" s="1"/>
  <c r="L37" i="22"/>
  <c r="AI258" i="19"/>
  <c r="AQ258" i="19" s="1"/>
  <c r="AI280" i="19"/>
  <c r="AK280" i="19" s="1"/>
  <c r="AI87" i="22"/>
  <c r="AI89" i="22" s="1"/>
  <c r="L40" i="20"/>
  <c r="R50" i="19"/>
  <c r="AI357" i="19"/>
  <c r="AK357" i="19" s="1"/>
  <c r="R169" i="19"/>
  <c r="AI107" i="23"/>
  <c r="R107" i="19"/>
  <c r="AI247" i="19"/>
  <c r="AK247" i="19" s="1"/>
  <c r="AI266" i="19"/>
  <c r="AQ266" i="19" s="1"/>
  <c r="AQ431" i="19"/>
  <c r="R182" i="19"/>
  <c r="R33" i="23"/>
  <c r="R37" i="23" s="1"/>
  <c r="AI256" i="19"/>
  <c r="AQ256" i="19" s="1"/>
  <c r="R49" i="21"/>
  <c r="L37" i="23"/>
  <c r="L49" i="23" s="1"/>
  <c r="L58" i="23" s="1"/>
  <c r="AI257" i="19"/>
  <c r="AK257" i="19" s="1"/>
  <c r="R26" i="22"/>
  <c r="AQ405" i="19"/>
  <c r="AI342" i="19"/>
  <c r="AK342" i="19" s="1"/>
  <c r="AI324" i="19"/>
  <c r="AQ324" i="19" s="1"/>
  <c r="R180" i="19"/>
  <c r="R104" i="19"/>
  <c r="R52" i="24"/>
  <c r="AI135" i="24"/>
  <c r="AI325" i="19"/>
  <c r="AK325" i="19" s="1"/>
  <c r="L45" i="25"/>
  <c r="R37" i="25"/>
  <c r="R105" i="19"/>
  <c r="R132" i="19"/>
  <c r="R28" i="19"/>
  <c r="R138" i="19"/>
  <c r="R26" i="19"/>
  <c r="R23" i="19"/>
  <c r="AI154" i="21"/>
  <c r="AI348" i="19"/>
  <c r="AQ348" i="19" s="1"/>
  <c r="AI117" i="24"/>
  <c r="AI91" i="25"/>
  <c r="AK91" i="25" s="1"/>
  <c r="AI392" i="19"/>
  <c r="AK392" i="19" s="1"/>
  <c r="R68" i="21"/>
  <c r="R69" i="21" s="1"/>
  <c r="AI265" i="19"/>
  <c r="AK265" i="19" s="1"/>
  <c r="R55" i="24"/>
  <c r="AI398" i="19"/>
  <c r="AQ398" i="19" s="1"/>
  <c r="R186" i="19"/>
  <c r="R172" i="19"/>
  <c r="AI137" i="21"/>
  <c r="AI397" i="19"/>
  <c r="AQ397" i="19" s="1"/>
  <c r="R31" i="19"/>
  <c r="AI414" i="19"/>
  <c r="AK414" i="19" s="1"/>
  <c r="AI338" i="19"/>
  <c r="AK338" i="19" s="1"/>
  <c r="R36" i="24"/>
  <c r="AI410" i="19"/>
  <c r="AQ410" i="19" s="1"/>
  <c r="AI355" i="19"/>
  <c r="AK355" i="19" s="1"/>
  <c r="R51" i="19"/>
  <c r="AI346" i="19"/>
  <c r="AQ346" i="19" s="1"/>
  <c r="AI411" i="19"/>
  <c r="AK411" i="19" s="1"/>
  <c r="R121" i="19"/>
  <c r="AI413" i="19"/>
  <c r="AK413" i="19" s="1"/>
  <c r="AI129" i="24"/>
  <c r="L94" i="19"/>
  <c r="R194" i="19"/>
  <c r="AI267" i="19"/>
  <c r="AQ267" i="19" s="1"/>
  <c r="L199" i="19"/>
  <c r="AI113" i="21"/>
  <c r="AQ113" i="21" s="1"/>
  <c r="L57" i="21"/>
  <c r="R100" i="19"/>
  <c r="AI260" i="19"/>
  <c r="AK260" i="19" s="1"/>
  <c r="AI336" i="19"/>
  <c r="AQ336" i="19" s="1"/>
  <c r="R53" i="19"/>
  <c r="AI115" i="24"/>
  <c r="AI350" i="19"/>
  <c r="AQ350" i="19" s="1"/>
  <c r="L65" i="24"/>
  <c r="AI278" i="19"/>
  <c r="AQ278" i="19" s="1"/>
  <c r="AI249" i="19"/>
  <c r="R27" i="19"/>
  <c r="AI270" i="19"/>
  <c r="AQ270" i="19" s="1"/>
  <c r="AK114" i="21"/>
  <c r="AQ114" i="21"/>
  <c r="AK401" i="19"/>
  <c r="AQ401" i="19"/>
  <c r="AK251" i="19"/>
  <c r="AQ251" i="19"/>
  <c r="AK108" i="21"/>
  <c r="AQ108" i="21"/>
  <c r="AK101" i="25"/>
  <c r="AQ101" i="25"/>
  <c r="AQ92" i="25"/>
  <c r="AK92" i="25"/>
  <c r="AQ271" i="19"/>
  <c r="AK271" i="19"/>
  <c r="AK112" i="23"/>
  <c r="AQ112" i="23"/>
  <c r="AK121" i="21"/>
  <c r="AQ121" i="21"/>
  <c r="AK83" i="25"/>
  <c r="AQ83" i="25"/>
  <c r="AQ320" i="19"/>
  <c r="AK320" i="19"/>
  <c r="AK311" i="19"/>
  <c r="AQ311" i="19"/>
  <c r="AK354" i="19"/>
  <c r="AQ354" i="19"/>
  <c r="AK416" i="19"/>
  <c r="AQ416" i="19"/>
  <c r="AK250" i="19"/>
  <c r="AQ250" i="19"/>
  <c r="AQ244" i="19"/>
  <c r="AK244" i="19"/>
  <c r="AK88" i="25"/>
  <c r="AQ88" i="25"/>
  <c r="AK248" i="19"/>
  <c r="AQ248" i="19"/>
  <c r="AQ120" i="21"/>
  <c r="AK120" i="21"/>
  <c r="AK94" i="25"/>
  <c r="AQ94" i="25"/>
  <c r="AQ345" i="19"/>
  <c r="AK345" i="19"/>
  <c r="AK315" i="19"/>
  <c r="AQ315" i="19"/>
  <c r="AK118" i="21"/>
  <c r="AQ118" i="21"/>
  <c r="AK77" i="20"/>
  <c r="AQ77" i="20"/>
  <c r="AK253" i="19"/>
  <c r="AQ253" i="19"/>
  <c r="AK81" i="22"/>
  <c r="AQ81" i="22"/>
  <c r="AK255" i="19"/>
  <c r="AQ255" i="19"/>
  <c r="AQ407" i="19"/>
  <c r="AK407" i="19"/>
  <c r="AK356" i="19"/>
  <c r="AQ356" i="19"/>
  <c r="R23" i="23"/>
  <c r="AK81" i="25"/>
  <c r="AQ81" i="25"/>
  <c r="AK419" i="19"/>
  <c r="AQ419" i="19"/>
  <c r="AQ142" i="21"/>
  <c r="AK142" i="21"/>
  <c r="AK402" i="19"/>
  <c r="AQ402" i="19"/>
  <c r="AQ95" i="25"/>
  <c r="AK95" i="25"/>
  <c r="AQ153" i="21"/>
  <c r="AK153" i="21"/>
  <c r="AK349" i="19"/>
  <c r="AQ349" i="19"/>
  <c r="AQ404" i="19"/>
  <c r="AK404" i="19"/>
  <c r="AQ323" i="19"/>
  <c r="AK323" i="19"/>
  <c r="AK98" i="23"/>
  <c r="AQ98" i="23"/>
  <c r="AQ403" i="19"/>
  <c r="AK403" i="19"/>
  <c r="AQ82" i="25"/>
  <c r="AK82" i="25"/>
  <c r="AK86" i="25"/>
  <c r="AQ86" i="25"/>
  <c r="AK152" i="21"/>
  <c r="AQ152" i="21"/>
  <c r="AQ312" i="19"/>
  <c r="AK312" i="19"/>
  <c r="AK110" i="21"/>
  <c r="AQ110" i="21"/>
  <c r="AQ245" i="19"/>
  <c r="AK245" i="19"/>
  <c r="AK107" i="21"/>
  <c r="AQ107" i="21"/>
  <c r="R40" i="20"/>
  <c r="L43" i="20" s="1"/>
  <c r="AQ86" i="23"/>
  <c r="AK86" i="23"/>
  <c r="AI88" i="23"/>
  <c r="AQ337" i="19"/>
  <c r="AK337" i="19"/>
  <c r="AK268" i="19"/>
  <c r="AQ268" i="19"/>
  <c r="AK127" i="21"/>
  <c r="AQ127" i="21"/>
  <c r="AQ432" i="19"/>
  <c r="AK432" i="19"/>
  <c r="AQ274" i="19"/>
  <c r="AK274" i="19"/>
  <c r="AQ326" i="19"/>
  <c r="AK326" i="19"/>
  <c r="AK269" i="19"/>
  <c r="AQ269" i="19"/>
  <c r="AK101" i="23"/>
  <c r="AQ101" i="23"/>
  <c r="AQ322" i="19"/>
  <c r="AK322" i="19"/>
  <c r="AK314" i="19"/>
  <c r="AQ314" i="19"/>
  <c r="AQ147" i="21"/>
  <c r="AK147" i="21"/>
  <c r="AK126" i="21"/>
  <c r="AQ126" i="21"/>
  <c r="AK97" i="25"/>
  <c r="AQ97" i="25"/>
  <c r="AK252" i="19"/>
  <c r="AQ252" i="19"/>
  <c r="AK119" i="21"/>
  <c r="AQ119" i="21"/>
  <c r="AK123" i="21"/>
  <c r="AQ123" i="21"/>
  <c r="AK275" i="19"/>
  <c r="AQ275" i="19"/>
  <c r="AK87" i="23"/>
  <c r="AQ87" i="23"/>
  <c r="AK408" i="19"/>
  <c r="AQ408" i="19"/>
  <c r="AK149" i="21"/>
  <c r="AQ149" i="21"/>
  <c r="AQ263" i="19"/>
  <c r="AK263" i="19"/>
  <c r="AQ329" i="19"/>
  <c r="AK329" i="19"/>
  <c r="AK273" i="19"/>
  <c r="AQ273" i="19"/>
  <c r="AQ80" i="22"/>
  <c r="AK80" i="22"/>
  <c r="AK80" i="25"/>
  <c r="AQ80" i="25"/>
  <c r="AQ272" i="19"/>
  <c r="AK272" i="19"/>
  <c r="AQ82" i="22"/>
  <c r="AK82" i="22"/>
  <c r="AQ243" i="19"/>
  <c r="AK243" i="19"/>
  <c r="AK259" i="19"/>
  <c r="AQ259" i="19"/>
  <c r="AQ115" i="21"/>
  <c r="AK115" i="21"/>
  <c r="AQ343" i="19"/>
  <c r="AK343" i="19"/>
  <c r="AK93" i="25"/>
  <c r="AQ93" i="25"/>
  <c r="AQ327" i="19"/>
  <c r="AK327" i="19"/>
  <c r="N49" i="23" l="1"/>
  <c r="L51" i="6"/>
  <c r="J51" i="6" s="1"/>
  <c r="N23" i="23"/>
  <c r="AQ339" i="19"/>
  <c r="AQ246" i="19"/>
  <c r="AQ132" i="21"/>
  <c r="R45" i="25"/>
  <c r="L48" i="25" s="1"/>
  <c r="L52" i="25" s="1"/>
  <c r="L54" i="25" s="1"/>
  <c r="AK122" i="21"/>
  <c r="AQ344" i="19"/>
  <c r="AQ96" i="23"/>
  <c r="AQ277" i="19"/>
  <c r="AK150" i="21"/>
  <c r="AQ418" i="19"/>
  <c r="L70" i="21"/>
  <c r="L79" i="21" s="1"/>
  <c r="AK279" i="19"/>
  <c r="AI155" i="21"/>
  <c r="AK155" i="21" s="1"/>
  <c r="AK109" i="21"/>
  <c r="AI102" i="23"/>
  <c r="AK102" i="23" s="1"/>
  <c r="L38" i="22"/>
  <c r="R31" i="22"/>
  <c r="R38" i="22" s="1"/>
  <c r="L41" i="22" s="1"/>
  <c r="R41" i="22" s="1"/>
  <c r="R45" i="22" s="1"/>
  <c r="R47" i="22" s="1"/>
  <c r="G50" i="3" s="1"/>
  <c r="I50" i="3" s="1"/>
  <c r="K50" i="3" s="1"/>
  <c r="R65" i="24"/>
  <c r="L68" i="24" s="1"/>
  <c r="AI143" i="24" s="1"/>
  <c r="AI147" i="24" s="1"/>
  <c r="AK139" i="24"/>
  <c r="R57" i="21"/>
  <c r="R70" i="21" s="1"/>
  <c r="R79" i="21" s="1"/>
  <c r="AK266" i="19"/>
  <c r="AK78" i="22"/>
  <c r="AQ78" i="22"/>
  <c r="AI113" i="23"/>
  <c r="AK113" i="23" s="1"/>
  <c r="AQ265" i="19"/>
  <c r="AK351" i="19"/>
  <c r="AK410" i="19"/>
  <c r="AK256" i="19"/>
  <c r="AQ92" i="20"/>
  <c r="AK92" i="20"/>
  <c r="AK113" i="21"/>
  <c r="AQ100" i="25"/>
  <c r="AQ357" i="19"/>
  <c r="AK258" i="19"/>
  <c r="AQ280" i="19"/>
  <c r="AK324" i="19"/>
  <c r="AI103" i="25"/>
  <c r="AQ103" i="25" s="1"/>
  <c r="AQ247" i="19"/>
  <c r="AQ257" i="19"/>
  <c r="AQ342" i="19"/>
  <c r="AI140" i="24"/>
  <c r="AK140" i="24" s="1"/>
  <c r="AK348" i="19"/>
  <c r="AK154" i="21"/>
  <c r="AK346" i="19"/>
  <c r="AQ154" i="21"/>
  <c r="AK267" i="19"/>
  <c r="AQ91" i="25"/>
  <c r="AK397" i="19"/>
  <c r="AQ392" i="19"/>
  <c r="AQ338" i="19"/>
  <c r="AK398" i="19"/>
  <c r="AK278" i="19"/>
  <c r="AI143" i="21"/>
  <c r="AK143" i="21" s="1"/>
  <c r="AQ355" i="19"/>
  <c r="AK336" i="19"/>
  <c r="R94" i="19"/>
  <c r="AI316" i="19"/>
  <c r="AK316" i="19" s="1"/>
  <c r="R199" i="19"/>
  <c r="AI421" i="19"/>
  <c r="AK421" i="19" s="1"/>
  <c r="AK350" i="19"/>
  <c r="AQ260" i="19"/>
  <c r="AQ249" i="19"/>
  <c r="AK249" i="19"/>
  <c r="AK270" i="19"/>
  <c r="N53" i="23"/>
  <c r="N55" i="23"/>
  <c r="N21" i="23"/>
  <c r="N44" i="23"/>
  <c r="N37" i="23"/>
  <c r="N31" i="23"/>
  <c r="N33" i="23"/>
  <c r="N56" i="23"/>
  <c r="N42" i="23"/>
  <c r="N29" i="23"/>
  <c r="N36" i="23"/>
  <c r="N52" i="23"/>
  <c r="N48" i="23"/>
  <c r="N47" i="23"/>
  <c r="N22" i="23"/>
  <c r="N54" i="23"/>
  <c r="R49" i="23"/>
  <c r="R58" i="23" s="1"/>
  <c r="AK93" i="20"/>
  <c r="AQ93" i="20"/>
  <c r="AK88" i="23"/>
  <c r="AQ88" i="23"/>
  <c r="AI96" i="20"/>
  <c r="AI100" i="20" s="1"/>
  <c r="R43" i="20"/>
  <c r="R47" i="20" s="1"/>
  <c r="R49" i="20" s="1"/>
  <c r="L47" i="20"/>
  <c r="AQ83" i="22"/>
  <c r="AK83" i="22"/>
  <c r="AQ89" i="22"/>
  <c r="AK89" i="22"/>
  <c r="AI90" i="22"/>
  <c r="R49" i="6" l="1"/>
  <c r="G49" i="3"/>
  <c r="I49" i="3" s="1"/>
  <c r="K49" i="3" s="1"/>
  <c r="R51" i="6"/>
  <c r="G51" i="3"/>
  <c r="I51" i="3" s="1"/>
  <c r="K51" i="3" s="1"/>
  <c r="N70" i="21"/>
  <c r="L49" i="6"/>
  <c r="J49" i="6" s="1"/>
  <c r="N52" i="25"/>
  <c r="N22" i="25"/>
  <c r="N40" i="21"/>
  <c r="N52" i="21"/>
  <c r="AI106" i="25"/>
  <c r="AI110" i="25" s="1"/>
  <c r="AK110" i="25" s="1"/>
  <c r="AQ102" i="23"/>
  <c r="N24" i="21"/>
  <c r="N55" i="21"/>
  <c r="R48" i="25"/>
  <c r="R52" i="25" s="1"/>
  <c r="R54" i="25" s="1"/>
  <c r="R53" i="6" s="1"/>
  <c r="N36" i="21"/>
  <c r="AQ155" i="21"/>
  <c r="N33" i="21"/>
  <c r="N76" i="21"/>
  <c r="N21" i="21"/>
  <c r="N28" i="21"/>
  <c r="N75" i="21"/>
  <c r="N50" i="21"/>
  <c r="N49" i="21"/>
  <c r="N47" i="21"/>
  <c r="N48" i="21"/>
  <c r="N77" i="21"/>
  <c r="N67" i="21"/>
  <c r="N32" i="21"/>
  <c r="N23" i="21"/>
  <c r="N64" i="21"/>
  <c r="N41" i="21"/>
  <c r="N22" i="21"/>
  <c r="N34" i="21"/>
  <c r="N27" i="21"/>
  <c r="N29" i="21"/>
  <c r="N43" i="21"/>
  <c r="N35" i="21"/>
  <c r="N74" i="21"/>
  <c r="N42" i="21"/>
  <c r="N69" i="21"/>
  <c r="N73" i="21"/>
  <c r="N56" i="21"/>
  <c r="N46" i="21"/>
  <c r="N54" i="21"/>
  <c r="N37" i="21"/>
  <c r="N51" i="21"/>
  <c r="N57" i="21"/>
  <c r="N61" i="21"/>
  <c r="N68" i="21"/>
  <c r="N66" i="21"/>
  <c r="N63" i="21"/>
  <c r="L72" i="24"/>
  <c r="L74" i="24" s="1"/>
  <c r="N64" i="24" s="1"/>
  <c r="R68" i="24"/>
  <c r="R72" i="24" s="1"/>
  <c r="R74" i="24" s="1"/>
  <c r="G52" i="3" s="1"/>
  <c r="I52" i="3" s="1"/>
  <c r="K52" i="3" s="1"/>
  <c r="AK103" i="25"/>
  <c r="AI114" i="23"/>
  <c r="AQ114" i="23" s="1"/>
  <c r="AQ113" i="23"/>
  <c r="R50" i="6"/>
  <c r="AQ140" i="24"/>
  <c r="AI93" i="22"/>
  <c r="AI97" i="22" s="1"/>
  <c r="AQ97" i="22" s="1"/>
  <c r="AI156" i="21"/>
  <c r="AI165" i="21" s="1"/>
  <c r="P49" i="5" s="1"/>
  <c r="AQ421" i="19"/>
  <c r="L201" i="19"/>
  <c r="AI423" i="19" s="1"/>
  <c r="AI427" i="19" s="1"/>
  <c r="AQ427" i="19" s="1"/>
  <c r="L45" i="22"/>
  <c r="L47" i="22" s="1"/>
  <c r="N26" i="22" s="1"/>
  <c r="AQ316" i="19"/>
  <c r="AQ143" i="21"/>
  <c r="N48" i="25"/>
  <c r="L53" i="6"/>
  <c r="J53" i="6" s="1"/>
  <c r="N36" i="25"/>
  <c r="N45" i="25"/>
  <c r="N50" i="25"/>
  <c r="N23" i="25"/>
  <c r="N29" i="25"/>
  <c r="N35" i="25"/>
  <c r="N25" i="25"/>
  <c r="N38" i="25"/>
  <c r="N24" i="25"/>
  <c r="N39" i="25"/>
  <c r="N28" i="25"/>
  <c r="N43" i="25"/>
  <c r="N37" i="25"/>
  <c r="N30" i="25"/>
  <c r="N51" i="25"/>
  <c r="N44" i="25"/>
  <c r="N34" i="25"/>
  <c r="N33" i="25"/>
  <c r="N42" i="25"/>
  <c r="N49" i="25"/>
  <c r="L49" i="20"/>
  <c r="N47" i="20" s="1"/>
  <c r="G47" i="3"/>
  <c r="I47" i="3" s="1"/>
  <c r="K47" i="3" s="1"/>
  <c r="R47" i="6"/>
  <c r="AI149" i="24"/>
  <c r="AQ147" i="24"/>
  <c r="AK147" i="24"/>
  <c r="AK100" i="20"/>
  <c r="AQ100" i="20"/>
  <c r="AI102" i="20"/>
  <c r="AK90" i="22"/>
  <c r="AQ90" i="22"/>
  <c r="R49" i="5" l="1"/>
  <c r="X49" i="5"/>
  <c r="AQ110" i="25"/>
  <c r="AI112" i="25"/>
  <c r="AK112" i="25" s="1"/>
  <c r="G53" i="3"/>
  <c r="I53" i="3" s="1"/>
  <c r="K53" i="3" s="1"/>
  <c r="R52" i="6"/>
  <c r="AK114" i="23"/>
  <c r="AI123" i="23"/>
  <c r="N31" i="22"/>
  <c r="L205" i="19"/>
  <c r="L211" i="19" s="1"/>
  <c r="AK427" i="19"/>
  <c r="N44" i="22"/>
  <c r="AI433" i="19"/>
  <c r="AQ433" i="19" s="1"/>
  <c r="N43" i="22"/>
  <c r="N38" i="22"/>
  <c r="AK156" i="21"/>
  <c r="AK97" i="22"/>
  <c r="N28" i="22"/>
  <c r="N30" i="22"/>
  <c r="N45" i="22"/>
  <c r="R201" i="19"/>
  <c r="R205" i="19" s="1"/>
  <c r="R211" i="19" s="1"/>
  <c r="R46" i="6" s="1"/>
  <c r="AQ156" i="21"/>
  <c r="N35" i="22"/>
  <c r="AI99" i="22"/>
  <c r="AQ99" i="22" s="1"/>
  <c r="N23" i="22"/>
  <c r="L50" i="6"/>
  <c r="J50" i="6" s="1"/>
  <c r="N22" i="22"/>
  <c r="N37" i="22"/>
  <c r="N41" i="22"/>
  <c r="N29" i="22"/>
  <c r="N42" i="22"/>
  <c r="P50" i="5"/>
  <c r="X50" i="5" s="1"/>
  <c r="N68" i="24"/>
  <c r="L52" i="6"/>
  <c r="J52" i="6" s="1"/>
  <c r="N23" i="24"/>
  <c r="N29" i="24"/>
  <c r="N34" i="24"/>
  <c r="N48" i="24"/>
  <c r="N52" i="24"/>
  <c r="N43" i="24"/>
  <c r="N40" i="24"/>
  <c r="N65" i="24"/>
  <c r="N71" i="24"/>
  <c r="N36" i="24"/>
  <c r="N27" i="24"/>
  <c r="N47" i="24"/>
  <c r="N57" i="24"/>
  <c r="N22" i="24"/>
  <c r="N35" i="24"/>
  <c r="N54" i="24"/>
  <c r="N55" i="24"/>
  <c r="N46" i="24"/>
  <c r="N42" i="24"/>
  <c r="N70" i="24"/>
  <c r="N56" i="24"/>
  <c r="N69" i="24"/>
  <c r="N51" i="24"/>
  <c r="N61" i="24"/>
  <c r="N24" i="24"/>
  <c r="N32" i="24"/>
  <c r="N60" i="24"/>
  <c r="N28" i="24"/>
  <c r="N33" i="24"/>
  <c r="N41" i="24"/>
  <c r="N53" i="24"/>
  <c r="AQ149" i="24"/>
  <c r="AK149" i="24"/>
  <c r="P52" i="5"/>
  <c r="N44" i="20"/>
  <c r="N40" i="20"/>
  <c r="N45" i="20"/>
  <c r="N32" i="20"/>
  <c r="N24" i="20"/>
  <c r="N46" i="20"/>
  <c r="L47" i="6"/>
  <c r="J47" i="6" s="1"/>
  <c r="N39" i="20"/>
  <c r="N43" i="20"/>
  <c r="AQ165" i="21"/>
  <c r="AK165" i="21"/>
  <c r="AK102" i="20"/>
  <c r="AQ102" i="20"/>
  <c r="P47" i="5"/>
  <c r="N72" i="24"/>
  <c r="AQ123" i="23" l="1"/>
  <c r="P51" i="5"/>
  <c r="N205" i="19"/>
  <c r="N98" i="19"/>
  <c r="N133" i="19"/>
  <c r="N199" i="19"/>
  <c r="AQ112" i="25"/>
  <c r="P53" i="5"/>
  <c r="R53" i="5" s="1"/>
  <c r="AK123" i="23"/>
  <c r="AK433" i="19"/>
  <c r="G46" i="3"/>
  <c r="I46" i="3" s="1"/>
  <c r="K46" i="3" s="1"/>
  <c r="N87" i="19"/>
  <c r="P46" i="5"/>
  <c r="X46" i="5" s="1"/>
  <c r="N132" i="19"/>
  <c r="N170" i="19"/>
  <c r="N176" i="19"/>
  <c r="N118" i="19"/>
  <c r="N190" i="19"/>
  <c r="N23" i="19"/>
  <c r="N58" i="19"/>
  <c r="N195" i="19"/>
  <c r="N123" i="19"/>
  <c r="N45" i="19"/>
  <c r="N185" i="19"/>
  <c r="N37" i="19"/>
  <c r="N25" i="19"/>
  <c r="N113" i="19"/>
  <c r="N46" i="19"/>
  <c r="N196" i="19"/>
  <c r="N28" i="19"/>
  <c r="N103" i="19"/>
  <c r="N38" i="19"/>
  <c r="N120" i="19"/>
  <c r="N30" i="19"/>
  <c r="N33" i="19"/>
  <c r="N106" i="19"/>
  <c r="N48" i="19"/>
  <c r="N187" i="19"/>
  <c r="N197" i="19"/>
  <c r="N92" i="19"/>
  <c r="N114" i="19"/>
  <c r="N26" i="19"/>
  <c r="N193" i="19"/>
  <c r="N100" i="19"/>
  <c r="N47" i="19"/>
  <c r="N127" i="19"/>
  <c r="N171" i="19"/>
  <c r="N110" i="19"/>
  <c r="N31" i="19"/>
  <c r="N138" i="19"/>
  <c r="N203" i="19"/>
  <c r="N43" i="19"/>
  <c r="N94" i="19"/>
  <c r="N41" i="19"/>
  <c r="N109" i="19"/>
  <c r="N22" i="19"/>
  <c r="N24" i="19"/>
  <c r="N27" i="19"/>
  <c r="N89" i="19"/>
  <c r="N99" i="19"/>
  <c r="N104" i="19"/>
  <c r="N181" i="19"/>
  <c r="N57" i="19"/>
  <c r="N39" i="19"/>
  <c r="N168" i="19"/>
  <c r="N209" i="19"/>
  <c r="N93" i="19"/>
  <c r="N124" i="19"/>
  <c r="N179" i="19"/>
  <c r="N54" i="19"/>
  <c r="L46" i="6"/>
  <c r="N117" i="19"/>
  <c r="N105" i="19"/>
  <c r="N180" i="19"/>
  <c r="N172" i="19"/>
  <c r="N198" i="19"/>
  <c r="N42" i="19"/>
  <c r="N204" i="19"/>
  <c r="N35" i="19"/>
  <c r="N50" i="19"/>
  <c r="N201" i="19"/>
  <c r="N55" i="19"/>
  <c r="N188" i="19"/>
  <c r="N128" i="19"/>
  <c r="N169" i="19"/>
  <c r="N53" i="19"/>
  <c r="N125" i="19"/>
  <c r="N175" i="19"/>
  <c r="N194" i="19"/>
  <c r="N44" i="19"/>
  <c r="N126" i="19"/>
  <c r="N88" i="19"/>
  <c r="N107" i="19"/>
  <c r="N115" i="19"/>
  <c r="N137" i="19"/>
  <c r="N136" i="19"/>
  <c r="N189" i="19"/>
  <c r="N52" i="19"/>
  <c r="N131" i="19"/>
  <c r="N21" i="19"/>
  <c r="N121" i="19"/>
  <c r="N208" i="19"/>
  <c r="N129" i="19"/>
  <c r="N183" i="19"/>
  <c r="N91" i="19"/>
  <c r="N174" i="19"/>
  <c r="N34" i="19"/>
  <c r="N111" i="19"/>
  <c r="N139" i="19"/>
  <c r="N182" i="19"/>
  <c r="N192" i="19"/>
  <c r="N202" i="19"/>
  <c r="N173" i="19"/>
  <c r="N56" i="19"/>
  <c r="N51" i="19"/>
  <c r="N36" i="19"/>
  <c r="N135" i="19"/>
  <c r="N184" i="19"/>
  <c r="N134" i="19"/>
  <c r="N49" i="19"/>
  <c r="N90" i="19"/>
  <c r="N116" i="19"/>
  <c r="N186" i="19"/>
  <c r="N101" i="19"/>
  <c r="N210" i="19"/>
  <c r="N191" i="19"/>
  <c r="N102" i="19"/>
  <c r="N29" i="19"/>
  <c r="N119" i="19"/>
  <c r="N122" i="19"/>
  <c r="AK99" i="22"/>
  <c r="N36" i="22"/>
  <c r="R50" i="5"/>
  <c r="R47" i="5"/>
  <c r="X47" i="5"/>
  <c r="R52" i="5"/>
  <c r="X52" i="5"/>
  <c r="R51" i="5" l="1"/>
  <c r="X51" i="5"/>
  <c r="J46" i="6"/>
  <c r="X53" i="5"/>
  <c r="R46" i="5"/>
  <c r="F30" i="28" l="1"/>
  <c r="F48" i="6" s="1"/>
  <c r="F54" i="6" s="1"/>
  <c r="F67" i="6" s="1"/>
  <c r="Y58" i="28"/>
  <c r="Y67" i="28" s="1"/>
  <c r="F35" i="4" s="1"/>
  <c r="F49" i="4" s="1"/>
  <c r="F48" i="5" l="1"/>
  <c r="F54" i="5" s="1"/>
  <c r="F67" i="5" s="1"/>
  <c r="L25" i="28" l="1"/>
  <c r="L26" i="28"/>
  <c r="L27" i="28"/>
  <c r="H30" i="28"/>
  <c r="AA58" i="28"/>
  <c r="L21" i="28"/>
  <c r="R27" i="28" l="1"/>
  <c r="H48" i="6"/>
  <c r="H54" i="6" s="1"/>
  <c r="H67" i="6" s="1"/>
  <c r="P30" i="28"/>
  <c r="R26" i="28"/>
  <c r="AE62" i="28"/>
  <c r="AE63" i="28"/>
  <c r="AE58" i="28"/>
  <c r="AA67" i="28"/>
  <c r="AE64" i="28"/>
  <c r="R25" i="28"/>
  <c r="AI63" i="28" l="1"/>
  <c r="P21" i="28"/>
  <c r="R21" i="28" s="1"/>
  <c r="L24" i="28" s="1"/>
  <c r="P48" i="6"/>
  <c r="P54" i="6" s="1"/>
  <c r="P67" i="6" s="1"/>
  <c r="AI58" i="28"/>
  <c r="AI64" i="28"/>
  <c r="AK64" i="28" s="1"/>
  <c r="AO64" i="28"/>
  <c r="AK62" i="28"/>
  <c r="AO62" i="28"/>
  <c r="AQ62" i="28" s="1"/>
  <c r="AM67" i="28"/>
  <c r="H48" i="5"/>
  <c r="H35" i="4"/>
  <c r="AI62" i="28"/>
  <c r="AK63" i="28"/>
  <c r="AO63" i="28"/>
  <c r="AQ63" i="28" s="1"/>
  <c r="AQ64" i="28" l="1"/>
  <c r="H49" i="4"/>
  <c r="R24" i="28"/>
  <c r="R28" i="28" s="1"/>
  <c r="R30" i="28" s="1"/>
  <c r="L28" i="28"/>
  <c r="AM58" i="28"/>
  <c r="AO58" i="28" s="1"/>
  <c r="AE61" i="28" s="1"/>
  <c r="T48" i="5"/>
  <c r="T54" i="5" s="1"/>
  <c r="T67" i="5" s="1"/>
  <c r="P35" i="4"/>
  <c r="P49" i="4" s="1"/>
  <c r="H54" i="5"/>
  <c r="AQ58" i="28"/>
  <c r="AK58" i="28"/>
  <c r="AK61" i="28" l="1"/>
  <c r="AE65" i="28"/>
  <c r="AO61" i="28"/>
  <c r="R48" i="6"/>
  <c r="R54" i="6" s="1"/>
  <c r="R67" i="6" s="1"/>
  <c r="G48" i="3"/>
  <c r="L30" i="28"/>
  <c r="N28" i="28" s="1"/>
  <c r="H67" i="5"/>
  <c r="AI61" i="28"/>
  <c r="AI65" i="28" s="1"/>
  <c r="AO65" i="28" l="1"/>
  <c r="AO67" i="28" s="1"/>
  <c r="AQ61" i="28"/>
  <c r="L48" i="6"/>
  <c r="N21" i="28"/>
  <c r="N27" i="28"/>
  <c r="N26" i="28"/>
  <c r="N25" i="28"/>
  <c r="N24" i="28"/>
  <c r="AK65" i="28"/>
  <c r="AI67" i="28"/>
  <c r="G54" i="3"/>
  <c r="G59" i="3" s="1"/>
  <c r="AE67" i="28"/>
  <c r="AG65" i="28" s="1"/>
  <c r="AQ65" i="28" l="1"/>
  <c r="AG63" i="28"/>
  <c r="AG64" i="28"/>
  <c r="AG62" i="28"/>
  <c r="AG61" i="28"/>
  <c r="AQ67" i="28"/>
  <c r="P48" i="5"/>
  <c r="P54" i="5" s="1"/>
  <c r="AK67" i="28"/>
  <c r="J48" i="6"/>
  <c r="L54" i="6"/>
  <c r="N46" i="6" s="1"/>
  <c r="J35" i="4"/>
  <c r="L48" i="5"/>
  <c r="AG58" i="28"/>
  <c r="G70" i="3"/>
  <c r="E48" i="3"/>
  <c r="V48" i="5"/>
  <c r="R35" i="4"/>
  <c r="N51" i="6" l="1"/>
  <c r="N49" i="6"/>
  <c r="N48" i="6"/>
  <c r="E54" i="3"/>
  <c r="E59" i="3" s="1"/>
  <c r="I48" i="3"/>
  <c r="J49" i="4"/>
  <c r="L35" i="4"/>
  <c r="L54" i="5"/>
  <c r="R48" i="5"/>
  <c r="J48" i="5"/>
  <c r="R49" i="4"/>
  <c r="P67" i="5"/>
  <c r="V54" i="5"/>
  <c r="V67" i="5" s="1"/>
  <c r="X48" i="5"/>
  <c r="J54" i="6"/>
  <c r="N53" i="6"/>
  <c r="N52" i="6"/>
  <c r="N47" i="6"/>
  <c r="L67" i="6"/>
  <c r="N32" i="6" s="1"/>
  <c r="N50" i="6"/>
  <c r="T36" i="4" l="1"/>
  <c r="T38" i="4"/>
  <c r="N36" i="4"/>
  <c r="N38" i="4"/>
  <c r="N48" i="5"/>
  <c r="N51" i="5"/>
  <c r="N49" i="5"/>
  <c r="R54" i="5"/>
  <c r="T35" i="4"/>
  <c r="T20" i="4"/>
  <c r="N47" i="4"/>
  <c r="N39" i="4"/>
  <c r="N20" i="4"/>
  <c r="N21" i="4"/>
  <c r="N23" i="4"/>
  <c r="X54" i="5"/>
  <c r="N35" i="4"/>
  <c r="N43" i="4"/>
  <c r="N22" i="4"/>
  <c r="N29" i="4"/>
  <c r="N41" i="4"/>
  <c r="N30" i="4"/>
  <c r="N24" i="4"/>
  <c r="N27" i="4"/>
  <c r="N33" i="4"/>
  <c r="N40" i="4"/>
  <c r="N48" i="4"/>
  <c r="N26" i="4"/>
  <c r="N37" i="4"/>
  <c r="N44" i="4"/>
  <c r="N34" i="4"/>
  <c r="N45" i="4"/>
  <c r="N42" i="4"/>
  <c r="N28" i="4"/>
  <c r="N31" i="4"/>
  <c r="N46" i="4"/>
  <c r="N25" i="4"/>
  <c r="N32" i="4"/>
  <c r="L49" i="4"/>
  <c r="N65" i="6"/>
  <c r="N43" i="6"/>
  <c r="N22" i="6"/>
  <c r="N36" i="6"/>
  <c r="J67" i="6"/>
  <c r="N54" i="6"/>
  <c r="K48" i="3"/>
  <c r="I54" i="3"/>
  <c r="K54" i="3" s="1"/>
  <c r="X67" i="5"/>
  <c r="T41" i="4"/>
  <c r="T28" i="4"/>
  <c r="T47" i="4"/>
  <c r="T26" i="4"/>
  <c r="T27" i="4"/>
  <c r="T34" i="4"/>
  <c r="T32" i="4"/>
  <c r="T21" i="4"/>
  <c r="T22" i="4"/>
  <c r="T31" i="4"/>
  <c r="T33" i="4"/>
  <c r="T24" i="4"/>
  <c r="T46" i="4"/>
  <c r="T45" i="4"/>
  <c r="T43" i="4"/>
  <c r="T30" i="4"/>
  <c r="T48" i="4"/>
  <c r="T40" i="4"/>
  <c r="T44" i="4"/>
  <c r="T37" i="4"/>
  <c r="T29" i="4"/>
  <c r="T39" i="4"/>
  <c r="T23" i="4"/>
  <c r="T25" i="4"/>
  <c r="T42" i="4"/>
  <c r="N53" i="5"/>
  <c r="L67" i="5"/>
  <c r="N47" i="5"/>
  <c r="N46" i="5"/>
  <c r="N50" i="5"/>
  <c r="N52" i="5"/>
  <c r="J54" i="5"/>
  <c r="E70" i="3"/>
  <c r="I59" i="3"/>
  <c r="R67" i="5" l="1"/>
  <c r="N32" i="5"/>
  <c r="N54" i="5"/>
  <c r="N49" i="4"/>
  <c r="K59" i="3"/>
  <c r="I70" i="3"/>
  <c r="K70" i="3" s="1"/>
  <c r="N36" i="5"/>
  <c r="N65" i="5"/>
  <c r="N22" i="5"/>
  <c r="N43" i="5"/>
  <c r="J67" i="5"/>
  <c r="T49" i="4"/>
</calcChain>
</file>

<file path=xl/comments1.xml><?xml version="1.0" encoding="utf-8"?>
<comments xmlns="http://schemas.openxmlformats.org/spreadsheetml/2006/main">
  <authors>
    <author>Sailers, Bruce L</author>
  </authors>
  <commentList>
    <comment ref="H21" author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Source is  the UO summary file which includes OL &amp; NSP but we subtract out OL &amp; NSP by request from the deficiency letter.</t>
        </r>
      </text>
    </comment>
  </commentList>
</comments>
</file>

<file path=xl/sharedStrings.xml><?xml version="1.0" encoding="utf-8"?>
<sst xmlns="http://schemas.openxmlformats.org/spreadsheetml/2006/main" count="5468" uniqueCount="782">
  <si>
    <t>AUTOMATED RATE CASE FILING SYSTEM</t>
  </si>
  <si>
    <t>SERVICE:</t>
  </si>
  <si>
    <t>(ELECTRIC SERVICE)</t>
  </si>
  <si>
    <t>WITNESS:</t>
  </si>
  <si>
    <t>WITNESS RESPONSIBLE:</t>
  </si>
  <si>
    <t xml:space="preserve">  CURRENT ANNUALIZED</t>
  </si>
  <si>
    <t>PROPOSED</t>
  </si>
  <si>
    <t>% OF REV TO</t>
  </si>
  <si>
    <t>CURRENT</t>
  </si>
  <si>
    <t>REVENUE</t>
  </si>
  <si>
    <t>% INCR IN</t>
  </si>
  <si>
    <t>TOTAL</t>
  </si>
  <si>
    <t>REVENUE LESS</t>
  </si>
  <si>
    <t>TOTAL LESS</t>
  </si>
  <si>
    <t>MOST</t>
  </si>
  <si>
    <t>INCR LESS</t>
  </si>
  <si>
    <t xml:space="preserve">REV LESS </t>
  </si>
  <si>
    <t>LINE</t>
  </si>
  <si>
    <t>RATE</t>
  </si>
  <si>
    <t>CLASS /</t>
  </si>
  <si>
    <t>CUSTOMER</t>
  </si>
  <si>
    <t>FUEL COST</t>
  </si>
  <si>
    <t>FUEL COST REV</t>
  </si>
  <si>
    <t>% INCREASE</t>
  </si>
  <si>
    <t xml:space="preserve"> NO.</t>
  </si>
  <si>
    <t>CODE</t>
  </si>
  <si>
    <t>DESCRIPTION</t>
  </si>
  <si>
    <t>BILLS(1)</t>
  </si>
  <si>
    <t>SALES</t>
  </si>
  <si>
    <t>RATES</t>
  </si>
  <si>
    <t>(F + H)</t>
  </si>
  <si>
    <t>(F - K)</t>
  </si>
  <si>
    <t>(M / K)</t>
  </si>
  <si>
    <t>(K + H)</t>
  </si>
  <si>
    <t>(M / K1)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</si>
  <si>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</si>
  <si>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</si>
  <si>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</si>
  <si>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</si>
  <si>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</si>
  <si>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</si>
  <si>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</si>
  <si>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</si>
  <si>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</si>
  <si>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</si>
  <si>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</si>
  <si>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</si>
  <si>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</si>
  <si>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</si>
  <si>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(K1)</t>
  </si>
  <si>
    <t>(O)</t>
  </si>
  <si>
    <t>(KWH)</t>
  </si>
  <si>
    <t>($)</t>
  </si>
  <si>
    <t>(%)</t>
  </si>
  <si>
    <t>RS</t>
  </si>
  <si>
    <t>RESIDENTIAL</t>
  </si>
  <si>
    <t>SUMMER:</t>
  </si>
  <si>
    <t>BILLS</t>
  </si>
  <si>
    <t>TOTAL SUMMER</t>
  </si>
  <si>
    <t>WINTER:</t>
  </si>
  <si>
    <t>TOTAL WINTER</t>
  </si>
  <si>
    <t>(1) BILLS THAT TERMINATE IN RESPECTIVE RATE STEPS.</t>
  </si>
  <si>
    <t>TT</t>
  </si>
  <si>
    <t>TIME OF DAY</t>
  </si>
  <si>
    <t>CUSTOMER CHARGE</t>
  </si>
  <si>
    <t>DEMAND CHARGE:</t>
  </si>
  <si>
    <t xml:space="preserve">  ON PEAK KW</t>
  </si>
  <si>
    <t xml:space="preserve">  OFF PEAK KW</t>
  </si>
  <si>
    <t>TOTAL DEMAND</t>
  </si>
  <si>
    <t>ENERGY CHARGE:</t>
  </si>
  <si>
    <t xml:space="preserve">  ALL KWH</t>
  </si>
  <si>
    <t>($/UNIT)</t>
  </si>
  <si>
    <t>SE</t>
  </si>
  <si>
    <t xml:space="preserve">STREET LIGHTING - </t>
  </si>
  <si>
    <t xml:space="preserve"> OVERHEAD EQUIVALENT RATE</t>
  </si>
  <si>
    <t>SODIUM VAPOR</t>
  </si>
  <si>
    <t>MERCURY VAPOR</t>
  </si>
  <si>
    <t>SC</t>
  </si>
  <si>
    <t xml:space="preserve"> CUST OWNED/CUST MAINT</t>
  </si>
  <si>
    <t>ENERGY ONLY</t>
  </si>
  <si>
    <t>(1) THESE FIGURES REPRESENT NUMBER OF UNITS BILLED.</t>
  </si>
  <si>
    <t>SL</t>
  </si>
  <si>
    <t>STREET LIGHTING</t>
  </si>
  <si>
    <t>OVERHEAD DISTRIBUTION:</t>
  </si>
  <si>
    <t>UNDERGROUND DISTRIBUTION:</t>
  </si>
  <si>
    <t>TL</t>
  </si>
  <si>
    <t>TRAFFIC LIGHTING</t>
  </si>
  <si>
    <t xml:space="preserve">    SERVICE</t>
  </si>
  <si>
    <t>(A) WHERE COMPANY</t>
  </si>
  <si>
    <t xml:space="preserve">  ALL CONSUMPTION</t>
  </si>
  <si>
    <t>(B) WHERE COMPANY</t>
  </si>
  <si>
    <t>SUPPLIES ENERGY AND</t>
  </si>
  <si>
    <t>PROVIDES LIMITED</t>
  </si>
  <si>
    <t>MAINTENANCE:</t>
  </si>
  <si>
    <t>OL</t>
  </si>
  <si>
    <t xml:space="preserve">  50,000 LUMEN</t>
  </si>
  <si>
    <t>NSU</t>
  </si>
  <si>
    <t xml:space="preserve">  2,500 LUMEN MULTIPLE</t>
  </si>
  <si>
    <t xml:space="preserve">  2,500 LUMEN SERIES</t>
  </si>
  <si>
    <t xml:space="preserve">  21,000 LUMEN</t>
  </si>
  <si>
    <t>TOTAL COMPANY OWNED</t>
  </si>
  <si>
    <t>NSP</t>
  </si>
  <si>
    <t>POL</t>
  </si>
  <si>
    <t>TOTAL RATE POL</t>
  </si>
  <si>
    <t>URD</t>
  </si>
  <si>
    <t xml:space="preserve">  7,000 LUMEN, WITH</t>
  </si>
  <si>
    <t xml:space="preserve">  17' WOOD LAM POLE</t>
  </si>
  <si>
    <t xml:space="preserve">  30' WOOD POLE</t>
  </si>
  <si>
    <t>TOTAL RATE URD</t>
  </si>
  <si>
    <t>FL</t>
  </si>
  <si>
    <t xml:space="preserve">  35' WOOD POLE</t>
  </si>
  <si>
    <t xml:space="preserve">  50' WOOD POLE</t>
  </si>
  <si>
    <t>TOTAL RATE FL</t>
  </si>
  <si>
    <t>DS</t>
  </si>
  <si>
    <t>DP</t>
  </si>
  <si>
    <t>GSFL</t>
  </si>
  <si>
    <t>EH</t>
  </si>
  <si>
    <t>SP</t>
  </si>
  <si>
    <t>IS</t>
  </si>
  <si>
    <t>OTHER MISC</t>
  </si>
  <si>
    <t xml:space="preserve">    TOTAL</t>
  </si>
  <si>
    <t>PAGE 1 OF 5</t>
  </si>
  <si>
    <t>WORK PAPER REFERENCE NO(S).: SEE BELOW</t>
  </si>
  <si>
    <t>LEVEL</t>
  </si>
  <si>
    <t>DOLLAR</t>
  </si>
  <si>
    <t>PERCENT</t>
  </si>
  <si>
    <t>of</t>
  </si>
  <si>
    <t>INCREASE</t>
  </si>
  <si>
    <t>BILL</t>
  </si>
  <si>
    <t>KWH</t>
  </si>
  <si>
    <t>DEMAND</t>
  </si>
  <si>
    <t>USE</t>
  </si>
  <si>
    <t>(D - C)</t>
  </si>
  <si>
    <t>(E / C)</t>
  </si>
  <si>
    <t>FIRST</t>
  </si>
  <si>
    <t>SECOND</t>
  </si>
  <si>
    <t>THIRD</t>
  </si>
  <si>
    <t>CHARGE</t>
  </si>
  <si>
    <t>STEP</t>
  </si>
  <si>
    <t>(KW)</t>
  </si>
  <si>
    <t>NA</t>
  </si>
  <si>
    <t>WINTER</t>
  </si>
  <si>
    <t>PAGE 2 OF 5</t>
  </si>
  <si>
    <t>CST CHRG</t>
  </si>
  <si>
    <t>ALL KWH</t>
  </si>
  <si>
    <t>PAGE 5 OF 5</t>
  </si>
  <si>
    <t xml:space="preserve">   TT (SUMMER)</t>
  </si>
  <si>
    <t xml:space="preserve">   TT (WINTER)</t>
  </si>
  <si>
    <t>PAGE 3 OF 5</t>
  </si>
  <si>
    <t xml:space="preserve">   DT (SUMMER)</t>
  </si>
  <si>
    <t xml:space="preserve">   DT (WINTER)</t>
  </si>
  <si>
    <t>PROPOSED ANNUALIZED</t>
  </si>
  <si>
    <t>CURRENT ANNUALIZED</t>
  </si>
  <si>
    <t>SERVICE AT SECONDARY</t>
  </si>
  <si>
    <t>DISTRIBUTION VOLTAGE</t>
  </si>
  <si>
    <t>CUSTOMER CHARGE:</t>
  </si>
  <si>
    <t xml:space="preserve">  SINGLE PHASE</t>
  </si>
  <si>
    <t xml:space="preserve">  THREE PHASE</t>
  </si>
  <si>
    <t>TOTAL CUSTOMER CHARGE</t>
  </si>
  <si>
    <t xml:space="preserve">  FIRST 15 KW</t>
  </si>
  <si>
    <t xml:space="preserve">  ADDITIONAL KW</t>
  </si>
  <si>
    <t xml:space="preserve">  FIRST  6000 KWH</t>
  </si>
  <si>
    <t xml:space="preserve">  NEXT 300KWH/KW</t>
  </si>
  <si>
    <t xml:space="preserve">  ADDITIONAL KWH</t>
  </si>
  <si>
    <t>TOTAL ENERGY</t>
  </si>
  <si>
    <t>SERVICE AT</t>
  </si>
  <si>
    <t xml:space="preserve">  PRIMARY VOLTAGE</t>
  </si>
  <si>
    <t>SUB-TOTAL</t>
  </si>
  <si>
    <t>PRIMARY SERV. DIS.</t>
  </si>
  <si>
    <t>FIRST 1000 KW</t>
  </si>
  <si>
    <t>ADDITIONAL KW</t>
  </si>
  <si>
    <t>SERVICE AT PRIMARY</t>
  </si>
  <si>
    <t xml:space="preserve">  ALL KW</t>
  </si>
  <si>
    <t xml:space="preserve">  FIRST 300KWH/KW</t>
  </si>
  <si>
    <t>SMALL FIXED LOADS</t>
  </si>
  <si>
    <t xml:space="preserve">    ALL CONSUMPTION</t>
  </si>
  <si>
    <t>OPTIONAL RATE FOR</t>
  </si>
  <si>
    <t>ELEC. SPACE HEATING</t>
  </si>
  <si>
    <t>SCHEDULE M-2.3</t>
  </si>
  <si>
    <t>SCHEDULE M-2.2</t>
  </si>
  <si>
    <t>PAGE  1  OF  1</t>
  </si>
  <si>
    <t>CLASSIFICATION</t>
  </si>
  <si>
    <t>REVENUE AT</t>
  </si>
  <si>
    <t>CHANGE</t>
  </si>
  <si>
    <t>(D=C-B)</t>
  </si>
  <si>
    <t>(AMOUNT)</t>
  </si>
  <si>
    <t>SCHEDULE M</t>
  </si>
  <si>
    <t>(E=D / B)</t>
  </si>
  <si>
    <t xml:space="preserve">  TOTAL DISTRIBUTION</t>
  </si>
  <si>
    <t xml:space="preserve">  TOTAL TRANSMISSION</t>
  </si>
  <si>
    <t xml:space="preserve">  TOTAL LIGHTING</t>
  </si>
  <si>
    <t>TOTAL REVENUE</t>
  </si>
  <si>
    <t>WORK PAPER REFERENCE NO(S).:</t>
  </si>
  <si>
    <t>TYPICAL BILL COMPARISON</t>
  </si>
  <si>
    <t>SCHEDULE N</t>
  </si>
  <si>
    <t xml:space="preserve"> </t>
  </si>
  <si>
    <t>Summer</t>
  </si>
  <si>
    <t>Winter</t>
  </si>
  <si>
    <t xml:space="preserve">CURRENT RATE DS BILL      </t>
  </si>
  <si>
    <t xml:space="preserve">PROPOSED RATE DS BILL      </t>
  </si>
  <si>
    <t xml:space="preserve"> CURRENT RATE EH BILL      </t>
  </si>
  <si>
    <t xml:space="preserve">PROPOSED RATES EH BILL      </t>
  </si>
  <si>
    <t>PAGE 4 OF 5</t>
  </si>
  <si>
    <t>PRIMARY VOLTAGE</t>
  </si>
  <si>
    <t>CURRENT RATES RS BILL</t>
  </si>
  <si>
    <t>PROPOSED RATES RS BILL</t>
  </si>
  <si>
    <t>PRESENT</t>
  </si>
  <si>
    <t>% OF</t>
  </si>
  <si>
    <t xml:space="preserve">WORK PAPER REFERENCE NO(S).: </t>
  </si>
  <si>
    <t>SCHEDULE M-2.1</t>
  </si>
  <si>
    <t>AVERAGE</t>
  </si>
  <si>
    <t>(F=E/D)</t>
  </si>
  <si>
    <t>% OF REV</t>
  </si>
  <si>
    <t>TO TOTAL</t>
  </si>
  <si>
    <t xml:space="preserve">EXCLUSIVE OF </t>
  </si>
  <si>
    <t>NOTE: DETAIL CONTAINED ON SCHEDULES M-2.2 AND M-2.3.</t>
  </si>
  <si>
    <t>Input Areas in Grey</t>
  </si>
  <si>
    <t xml:space="preserve">  TOTAL RESIDENTIAL</t>
  </si>
  <si>
    <t>(KW/KWH)</t>
  </si>
  <si>
    <t>(¢/KWH)</t>
  </si>
  <si>
    <t>MINIMUM BILLS</t>
  </si>
  <si>
    <t xml:space="preserve">  LOAD RANGE 540 TO 720 HRS</t>
  </si>
  <si>
    <t xml:space="preserve">  LOAD RANGE LESS THAN 540 HRS</t>
  </si>
  <si>
    <t>MERCURY VAPOR :</t>
  </si>
  <si>
    <t>SODIUM VAPOR:</t>
  </si>
  <si>
    <t>DECORATIVE SODIUM VAPOR:</t>
  </si>
  <si>
    <t>MERCURY VAPOR:</t>
  </si>
  <si>
    <t>SUPPLIES ENERGY FROM A</t>
  </si>
  <si>
    <t>SEPARATELY METERED SOURCE</t>
  </si>
  <si>
    <t>AND PROVIDES LIMITED</t>
  </si>
  <si>
    <t>(C) WHERE COMPANY</t>
  </si>
  <si>
    <t>OUTDOOR LIGHTING SERV</t>
  </si>
  <si>
    <t xml:space="preserve">     7,000 LUMEN (OPEN)</t>
  </si>
  <si>
    <t xml:space="preserve">     7,000 LUMEN</t>
  </si>
  <si>
    <t xml:space="preserve">    10,000 LUMEN</t>
  </si>
  <si>
    <t xml:space="preserve">    21,000 LUMEN</t>
  </si>
  <si>
    <t xml:space="preserve">     9,500 LUMEN (OPEN)</t>
  </si>
  <si>
    <t xml:space="preserve">     9,500 LUMEN</t>
  </si>
  <si>
    <t xml:space="preserve">   16,000 LUMEN</t>
  </si>
  <si>
    <t xml:space="preserve">   22,000 LUMEN</t>
  </si>
  <si>
    <t xml:space="preserve">   50,000 LUMEN</t>
  </si>
  <si>
    <t xml:space="preserve">     7,000 LUMEN (4)</t>
  </si>
  <si>
    <t xml:space="preserve">  10,000 LUMEN</t>
  </si>
  <si>
    <t>DECORATIVE MV 7,000 LUMEN:</t>
  </si>
  <si>
    <t>DECORATIVE SV 9,500 LUMEN:</t>
  </si>
  <si>
    <t xml:space="preserve">     9,500 LUMEN  (OPEN)</t>
  </si>
  <si>
    <t xml:space="preserve">    22,000 LUMEN</t>
  </si>
  <si>
    <t xml:space="preserve">    50,000 LUMEN</t>
  </si>
  <si>
    <t xml:space="preserve">     TOWN &amp; COUNTRY</t>
  </si>
  <si>
    <t xml:space="preserve">     HOLOPHANE</t>
  </si>
  <si>
    <t xml:space="preserve">     GAS REPLICA</t>
  </si>
  <si>
    <t xml:space="preserve">     ASPEN</t>
  </si>
  <si>
    <t xml:space="preserve">     RECTILINEAR</t>
  </si>
  <si>
    <t xml:space="preserve">    22,000 LUMEN (RECTILINEAR)</t>
  </si>
  <si>
    <t xml:space="preserve">    50,000 LUMEN (RECTILINEAR)</t>
  </si>
  <si>
    <t xml:space="preserve">    50,000 LUMEN (SETBACK)</t>
  </si>
  <si>
    <t>(A) PRIVATE OUTDOOR LIGHTING UNITS:</t>
  </si>
  <si>
    <t xml:space="preserve">  MERCURY VAPOR:</t>
  </si>
  <si>
    <t xml:space="preserve">  SODIUM VAPOR (OH)</t>
  </si>
  <si>
    <t xml:space="preserve">       TOTAL POL UNITS</t>
  </si>
  <si>
    <t xml:space="preserve">  21,000 LUMEN MERCURY VAPOR</t>
  </si>
  <si>
    <t xml:space="preserve">       TOTAL FL UNITS</t>
  </si>
  <si>
    <t>(B) FLOODLIGHTING UNITS:</t>
  </si>
  <si>
    <t>NON STANDARD STREET LIGHT UNITS</t>
  </si>
  <si>
    <t>(A) COMPANY OWNED</t>
  </si>
  <si>
    <t>(1) BOULEVARD INCANDESCENT(UG):</t>
  </si>
  <si>
    <t>(2) HOLOPHANE DECORATIVE:</t>
  </si>
  <si>
    <t xml:space="preserve">  10,000 LUMEN MV W </t>
  </si>
  <si>
    <t xml:space="preserve">     17' FIBERGLASS POLE</t>
  </si>
  <si>
    <t>(3) STREET LGT UNITS (OH)</t>
  </si>
  <si>
    <t xml:space="preserve">    2,500 LUMEN INDANDESCENT</t>
  </si>
  <si>
    <t xml:space="preserve">    2,500 LUMEN MERCURY VAPOR</t>
  </si>
  <si>
    <t>(B) CUSTOMER OWNED WITH LTD MAINT</t>
  </si>
  <si>
    <t>TOTAL CUSTOMER OWNED</t>
  </si>
  <si>
    <t>NON STD PRIVATE OUTDOOR LIGHTING</t>
  </si>
  <si>
    <t xml:space="preserve">   2,500 LUMEN MERCURY (OPEN)</t>
  </si>
  <si>
    <t xml:space="preserve">   2,500 LUMEN MERCURY (ENCL)</t>
  </si>
  <si>
    <t>(A) PRIVATE OUTDOOR LIGHT UNITS:</t>
  </si>
  <si>
    <t xml:space="preserve">(B) OUTDOOR LIGHTING UNITS </t>
  </si>
  <si>
    <t xml:space="preserve">      -- SERVED UG RES DIST AREAS:</t>
  </si>
  <si>
    <t xml:space="preserve">  17' FIBERGLASS POLE</t>
  </si>
  <si>
    <t xml:space="preserve">  9,500 LUMEN TC 100 R</t>
  </si>
  <si>
    <t xml:space="preserve">  52,000 LUMEN, WITH</t>
  </si>
  <si>
    <t>MERCURY VAPOR 7,000 LUMEN:</t>
  </si>
  <si>
    <t xml:space="preserve">   TOWN &amp; COUNTRY</t>
  </si>
  <si>
    <t xml:space="preserve">    HOLOPHANE</t>
  </si>
  <si>
    <t xml:space="preserve">    GAS REPLICA</t>
  </si>
  <si>
    <t xml:space="preserve">    ASPEN</t>
  </si>
  <si>
    <t>SODIUM VAPOR 9,500 LUMEN:</t>
  </si>
  <si>
    <t xml:space="preserve">    RECTILINEAR</t>
  </si>
  <si>
    <t xml:space="preserve">  50,000 LUMEN (SETBACK)</t>
  </si>
  <si>
    <t xml:space="preserve">  50,000 LUMEN (RECTILINEAR)</t>
  </si>
  <si>
    <t xml:space="preserve">  22,000 LUMEN (RECTILINEAR)</t>
  </si>
  <si>
    <t>UOLS</t>
  </si>
  <si>
    <t>UNMETERED OUTDOOR LIGHTING SERV</t>
  </si>
  <si>
    <t>BASE RATE</t>
  </si>
  <si>
    <t>RESIDENTIAL SERV</t>
  </si>
  <si>
    <t>DISTRIBUTION SERV</t>
  </si>
  <si>
    <t>SPORTS SERV</t>
  </si>
  <si>
    <t>ELEC SPACE HEATING</t>
  </si>
  <si>
    <t>UNMTRD OUTDR LIGHT</t>
  </si>
  <si>
    <t>NON STD STREET LIGHT</t>
  </si>
  <si>
    <t>BAD CHECK CHARGES</t>
  </si>
  <si>
    <t xml:space="preserve">UOLS </t>
  </si>
  <si>
    <t>RENTS</t>
  </si>
  <si>
    <t>RECONNECTION CHGS</t>
  </si>
  <si>
    <t>RIDER</t>
  </si>
  <si>
    <t>DISTRIBUTION</t>
  </si>
  <si>
    <t>TRANSMISSION</t>
  </si>
  <si>
    <t>DSMR (2)</t>
  </si>
  <si>
    <t>DSMR (3)</t>
  </si>
  <si>
    <t>REAL TIME PRICING</t>
  </si>
  <si>
    <t xml:space="preserve"> CUST OWNED/LTD MAINT</t>
  </si>
  <si>
    <t>(4) WITH 30' WOOD POLE.</t>
  </si>
  <si>
    <t>(5) WITH 35' WOOD POLE.</t>
  </si>
  <si>
    <t>(3) WITH 17' WOOD LAMINATED POLE.</t>
  </si>
  <si>
    <t>(6) WITH 40' WOOD POLE.</t>
  </si>
  <si>
    <t>(7) WITH 12' ALUM POLE.</t>
  </si>
  <si>
    <t>(8) WITH 28' ALUM POLE.</t>
  </si>
  <si>
    <t>(9) WITH 30' ALUM POLE.</t>
  </si>
  <si>
    <t>(10) WITH 17' FIBERGLASS POLE.</t>
  </si>
  <si>
    <t>(11) WITH 12' FIBERGLASS POLE.</t>
  </si>
  <si>
    <t>(12) WITH 30' FIBERGLASS POLE.</t>
  </si>
  <si>
    <t>(13) WITH 35' FIBERGLASS POLE.</t>
  </si>
  <si>
    <t xml:space="preserve">     7,000 LUMEN (5)</t>
  </si>
  <si>
    <t xml:space="preserve">     7,000 LUMEN (6)</t>
  </si>
  <si>
    <t xml:space="preserve">    21,000 LUMEN (5)</t>
  </si>
  <si>
    <t xml:space="preserve">     9,500 LUMEN (4)</t>
  </si>
  <si>
    <t xml:space="preserve">     9,500 LUMEN (5)</t>
  </si>
  <si>
    <t xml:space="preserve">     9,500 LUMEN (6)</t>
  </si>
  <si>
    <t xml:space="preserve">   22,000 LUMEN (4)</t>
  </si>
  <si>
    <t xml:space="preserve">   22,000 LUMEN (5)</t>
  </si>
  <si>
    <t xml:space="preserve">   22,000 LUMEN (6)</t>
  </si>
  <si>
    <t xml:space="preserve">   50,000 LUMEN (5)</t>
  </si>
  <si>
    <t xml:space="preserve">   50,000 LUMEN (6)</t>
  </si>
  <si>
    <t xml:space="preserve">     7,000 LUMEN (8)</t>
  </si>
  <si>
    <t xml:space="preserve">  10,000 LUMEN (4)</t>
  </si>
  <si>
    <t xml:space="preserve">  10,000 LUMEN (8)</t>
  </si>
  <si>
    <t xml:space="preserve">  21,000 LUMEN (8)</t>
  </si>
  <si>
    <t>STREET LIGHTING -- CO OWNED &amp; MAINTAINED</t>
  </si>
  <si>
    <t>FLOOD LIGHT</t>
  </si>
  <si>
    <t>DS-RTP</t>
  </si>
  <si>
    <t>TT-RTP</t>
  </si>
  <si>
    <t xml:space="preserve">  TOTAL REAL TIME PRICING</t>
  </si>
  <si>
    <t xml:space="preserve"> TOTAL REAL TIME PRICING</t>
  </si>
  <si>
    <t>TOTAL OVERHEAD</t>
  </si>
  <si>
    <t>STREET LIGHTING -- CO OWNED &amp; MAINTAINED (CONT'D.)</t>
  </si>
  <si>
    <t>TOTAL UNDERGROUND</t>
  </si>
  <si>
    <t>METAL HALIDE:</t>
  </si>
  <si>
    <t xml:space="preserve">    GRANVILLE ACORN</t>
  </si>
  <si>
    <t xml:space="preserve">  METAL HALIDE:</t>
  </si>
  <si>
    <t xml:space="preserve">    20,500 LUMEN </t>
  </si>
  <si>
    <t xml:space="preserve">    36,000 LUMEN</t>
  </si>
  <si>
    <t xml:space="preserve">  SODIUM VAPOR:</t>
  </si>
  <si>
    <t xml:space="preserve">    22,000 LUMEN </t>
  </si>
  <si>
    <t xml:space="preserve">    30,000 LUMEN</t>
  </si>
  <si>
    <t xml:space="preserve">    27,500 LUMEN</t>
  </si>
  <si>
    <t xml:space="preserve">  METAL HALIDE</t>
  </si>
  <si>
    <t xml:space="preserve">    14,000 LUMEN</t>
  </si>
  <si>
    <t xml:space="preserve">    20,500 LUMEN</t>
  </si>
  <si>
    <t xml:space="preserve">  7,000 LUMEN  TOWN &amp; COUNTRY</t>
  </si>
  <si>
    <t xml:space="preserve">  7,000 LUMEN TOWN &amp; COUNTRY (3)</t>
  </si>
  <si>
    <t xml:space="preserve">  7,000 LUMEN TOWN &amp; COUNTRY (10)</t>
  </si>
  <si>
    <t xml:space="preserve">  7,000 LUMEN HOLOPHANE</t>
  </si>
  <si>
    <t xml:space="preserve">  7,000 LUMEN HOLOPHANE (10)</t>
  </si>
  <si>
    <t xml:space="preserve">  7,000 LUMEN ASPEN</t>
  </si>
  <si>
    <t xml:space="preserve">  7,000 LUMEN GRANVILLE (7)</t>
  </si>
  <si>
    <t>DECORATIVE MERCURY VAPOR:</t>
  </si>
  <si>
    <t xml:space="preserve">  9,500 LUMEN TOWN &amp; COUNTRY</t>
  </si>
  <si>
    <t xml:space="preserve">  9,500 LUMEN TOWN &amp; COUNTRY (10)</t>
  </si>
  <si>
    <t xml:space="preserve">  9,500 LUMEN HOLOPHANE</t>
  </si>
  <si>
    <t xml:space="preserve">  9,500 LUMEN HOLOPHANE (10)</t>
  </si>
  <si>
    <t xml:space="preserve">  9,500 LUMEN GRANVILLE (7)</t>
  </si>
  <si>
    <t xml:space="preserve">  9,500 LUMEN ASPEN (7)</t>
  </si>
  <si>
    <t xml:space="preserve">   27,500 LUMEN</t>
  </si>
  <si>
    <t>DECORATIVE METAL HALIDE:</t>
  </si>
  <si>
    <t xml:space="preserve"> 14,000 LUMEN GRANVILLE</t>
  </si>
  <si>
    <t xml:space="preserve">   16,000 LUMEN (5)</t>
  </si>
  <si>
    <t xml:space="preserve">   22,000 LUMEN (8)</t>
  </si>
  <si>
    <t xml:space="preserve">    10,000 LUMEN (5)</t>
  </si>
  <si>
    <t xml:space="preserve">     9,500 LUMEN (8)</t>
  </si>
  <si>
    <t xml:space="preserve">   50,000 LUMEN (8)</t>
  </si>
  <si>
    <t xml:space="preserve">   50,000 LUMEN (9)</t>
  </si>
  <si>
    <t xml:space="preserve"> 14,000 LUMEN TRADITIONAIRE (10)</t>
  </si>
  <si>
    <t xml:space="preserve">  9,500 LUMEN TRADITIONAIRE (10)</t>
  </si>
  <si>
    <t xml:space="preserve">   TRADITIONAIRE</t>
  </si>
  <si>
    <t>Pole Rate Increases</t>
  </si>
  <si>
    <t>w17</t>
  </si>
  <si>
    <t>w30</t>
  </si>
  <si>
    <t>w35</t>
  </si>
  <si>
    <t>w40</t>
  </si>
  <si>
    <t>a12</t>
  </si>
  <si>
    <t>a28</t>
  </si>
  <si>
    <t>a28h</t>
  </si>
  <si>
    <t>a30</t>
  </si>
  <si>
    <t>f17</t>
  </si>
  <si>
    <t>f30</t>
  </si>
  <si>
    <t>f35</t>
  </si>
  <si>
    <t>s27</t>
  </si>
  <si>
    <t>s27h</t>
  </si>
  <si>
    <t>f12</t>
  </si>
  <si>
    <t>code</t>
  </si>
  <si>
    <t>base fuel</t>
  </si>
  <si>
    <t>annual kwh</t>
  </si>
  <si>
    <t>current</t>
  </si>
  <si>
    <t>proposed</t>
  </si>
  <si>
    <t>($/UNIT)/</t>
  </si>
  <si>
    <t>ADD'L FACILITIES CHARGE:</t>
  </si>
  <si>
    <t xml:space="preserve">    OVERHEAD</t>
  </si>
  <si>
    <t xml:space="preserve">    UNDERGROUND</t>
  </si>
  <si>
    <t>TOTAL ADD'L FACILITIES CHG</t>
  </si>
  <si>
    <t>TT  RTP</t>
  </si>
  <si>
    <t>DT  RTP</t>
  </si>
  <si>
    <t>DS RTP</t>
  </si>
  <si>
    <t>DS  RTP</t>
  </si>
  <si>
    <t>TIME OF DAY SERVICE AT</t>
  </si>
  <si>
    <t>TRANSMISSION VOLTAGE</t>
  </si>
  <si>
    <t xml:space="preserve">  BILLS  (Real-Time Pricing)</t>
  </si>
  <si>
    <t>($/KWH)</t>
  </si>
  <si>
    <t xml:space="preserve">  ANCILLARY SERVICES</t>
  </si>
  <si>
    <t>RESIDENTIAL SERVICE  (RS)</t>
  </si>
  <si>
    <t>DISTRIBUTION SERVICE  (DS)</t>
  </si>
  <si>
    <t>SPORTS SERVICE  (SP)</t>
  </si>
  <si>
    <t>SMALL FIXED LOADS  (GSFL)</t>
  </si>
  <si>
    <t>PRIMARY VOLTAGE  (DP)</t>
  </si>
  <si>
    <t>TIME OF DAY  (TT)</t>
  </si>
  <si>
    <t>DS-REAL TIME PRICING  (DS-RTP)</t>
  </si>
  <si>
    <t>TT-REAL TIME PRICING  (TT-RTP)</t>
  </si>
  <si>
    <t>STREET LIGHTING  (SL)</t>
  </si>
  <si>
    <t>TRAFFIC LIGHTING  (TL)</t>
  </si>
  <si>
    <t>REVENUE (2)</t>
  </si>
  <si>
    <t>RATES(3)</t>
  </si>
  <si>
    <t>RATES(1A)</t>
  </si>
  <si>
    <t>INTERDEPARTMENTAL</t>
  </si>
  <si>
    <t>SPECIAL CONTRACTS</t>
  </si>
  <si>
    <t>($/KW)</t>
  </si>
  <si>
    <t>WS</t>
  </si>
  <si>
    <t>8A</t>
  </si>
  <si>
    <t>(8A) WITH 28' ALUM POLE HEAVY GAUGE.</t>
  </si>
  <si>
    <t xml:space="preserve">     7,000 LUMEN (8A)</t>
  </si>
  <si>
    <t xml:space="preserve">   22,000 LUMEN (8A)</t>
  </si>
  <si>
    <t>($/KWH)/</t>
  </si>
  <si>
    <t>$ PER KWH</t>
  </si>
  <si>
    <t>TYPE OF FILING: _X_ ORIGINAL   ___UPDATED  ___ REVISED</t>
  </si>
  <si>
    <t xml:space="preserve">  STANDARD UNIT-COBRAHEAD</t>
  </si>
  <si>
    <t xml:space="preserve">    MERCURY VAPOR --</t>
  </si>
  <si>
    <t xml:space="preserve">   10,000 LUMEN</t>
  </si>
  <si>
    <t xml:space="preserve">   21,000 LUMEN</t>
  </si>
  <si>
    <t xml:space="preserve">  METAL HALIDE --</t>
  </si>
  <si>
    <t xml:space="preserve">   14,000 LUMEN</t>
  </si>
  <si>
    <t xml:space="preserve">   20,500 LUMEN</t>
  </si>
  <si>
    <t xml:space="preserve">   36,000 LUMEN</t>
  </si>
  <si>
    <t xml:space="preserve">  SODIUM VAPOR--</t>
  </si>
  <si>
    <t xml:space="preserve">    9,500 LUMEN</t>
  </si>
  <si>
    <t>DECORATIVE UNITS:</t>
  </si>
  <si>
    <t xml:space="preserve">   7,000 LUMEN MERCURY VAPOR--</t>
  </si>
  <si>
    <t xml:space="preserve">    TOWN &amp; COUNTRY</t>
  </si>
  <si>
    <t xml:space="preserve"> 14,000 LUMEN METAL HALIDE--</t>
  </si>
  <si>
    <t xml:space="preserve">    TRADITIONAIRE</t>
  </si>
  <si>
    <t xml:space="preserve">  9,500 LUMEN SODIUM VAPOR--</t>
  </si>
  <si>
    <t>SODIUM VAPOR --</t>
  </si>
  <si>
    <t>ANNUAL</t>
  </si>
  <si>
    <t>ID01</t>
  </si>
  <si>
    <t xml:space="preserve">  LOAD MANAGEMENT RIDER</t>
  </si>
  <si>
    <t>EXCLUDES ALL RIDERS AND FUEL</t>
  </si>
  <si>
    <t>FAC (1)</t>
  </si>
  <si>
    <t>GS-FL</t>
  </si>
  <si>
    <t>RIDERS</t>
  </si>
  <si>
    <t>PSM (5)</t>
  </si>
  <si>
    <t>FAC (2)</t>
  </si>
  <si>
    <t xml:space="preserve">  NON-CHURCH "CAP" RATE</t>
  </si>
  <si>
    <t xml:space="preserve">  CHURCH CAP RATE</t>
  </si>
  <si>
    <t>TIME OF DAY SERVICE AT SECONDARY</t>
  </si>
  <si>
    <t>TIME OF DAY SERVICE AT PRIMARY</t>
  </si>
  <si>
    <t xml:space="preserve">DT RTP </t>
  </si>
  <si>
    <t xml:space="preserve">REVENUE </t>
  </si>
  <si>
    <t>TOTAL RETAIL REVENUE</t>
  </si>
  <si>
    <t>DT PRIMARY-REAL TIME PRICING  (DT-RTP PRI)</t>
  </si>
  <si>
    <t>DT-RTP PRI</t>
  </si>
  <si>
    <t>DT-RTP SEC</t>
  </si>
  <si>
    <t xml:space="preserve">  COMMODITY CHARGES</t>
  </si>
  <si>
    <t>ENERGY CHARGE (3):</t>
  </si>
  <si>
    <t>BASE RATE (3):</t>
  </si>
  <si>
    <t>SUPPLIES ENERGY ONLY (3):</t>
  </si>
  <si>
    <t>MAINTENANCE (3):</t>
  </si>
  <si>
    <t xml:space="preserve"> BILL DATA LESS RIDERS</t>
  </si>
  <si>
    <t>tariff sheet</t>
  </si>
  <si>
    <t>rates less</t>
  </si>
  <si>
    <t>TIME OF DAY PRIMARY</t>
  </si>
  <si>
    <t>DT-SEC</t>
  </si>
  <si>
    <t>TIME OF DAY SECONDARY</t>
  </si>
  <si>
    <t>DT-PRI</t>
  </si>
  <si>
    <t>DT PRIMARY TIME OF DAY (DT-PRI)</t>
  </si>
  <si>
    <t>DT SECONDARY TIME OF DAY  (DT-SEC)</t>
  </si>
  <si>
    <t xml:space="preserve">  ALL  KWH</t>
  </si>
  <si>
    <t>DT SECONDARY-REAL TIME PRICING  (DT-RTP SEC)</t>
  </si>
  <si>
    <t xml:space="preserve">  ON PEAK KWH</t>
  </si>
  <si>
    <t xml:space="preserve">  OFF PEAK KWH</t>
  </si>
  <si>
    <t xml:space="preserve"> LIGHTING</t>
  </si>
  <si>
    <t>All Rates</t>
  </si>
  <si>
    <t>(4) 1.5% OF INSTALLED TRANSFORMER AMD METERING COSTS BUT NOT LESS THAN CUSTOMER CHARGE WHETHER SERVICE IS ON OR DISCONNECTED.</t>
  </si>
  <si>
    <t>SEASONAL SPORTS SERVICE</t>
  </si>
  <si>
    <t xml:space="preserve">   50,000 LUMEN SETBACK</t>
  </si>
  <si>
    <t xml:space="preserve">   50,000 LUMEN SETBACK (6)</t>
  </si>
  <si>
    <t xml:space="preserve">     9,500 LUMEN RECTILINEAR</t>
  </si>
  <si>
    <t xml:space="preserve">   22,000 LUMEN RECTILINEAR</t>
  </si>
  <si>
    <t xml:space="preserve">   50,000 LUMEN RECTILINEAR</t>
  </si>
  <si>
    <t xml:space="preserve">   50,000 LUMEN RECTILINEAR (5)</t>
  </si>
  <si>
    <t xml:space="preserve">   50,000 LUMEN RECTILINEAR (6)</t>
  </si>
  <si>
    <t xml:space="preserve">  22,000 LUMEN RECTILINEAR</t>
  </si>
  <si>
    <t xml:space="preserve">  50,000 LUMEN RECTILINEAR</t>
  </si>
  <si>
    <t xml:space="preserve">  50,000 LUMEN RECTILINEAR (12)</t>
  </si>
  <si>
    <t xml:space="preserve">  22,000 LUMEN RECTILINEAR (12)</t>
  </si>
  <si>
    <t xml:space="preserve">  50,000 LUMEN RECTILINEAR (13)</t>
  </si>
  <si>
    <t xml:space="preserve">  50,000 LUMEN SETBACK</t>
  </si>
  <si>
    <t xml:space="preserve">     9,500 LUMEN </t>
  </si>
  <si>
    <t xml:space="preserve">  7,000 LUMEN GRANVILLE </t>
  </si>
  <si>
    <t xml:space="preserve"> 14,000 LUMEN TRADITIONAIRE</t>
  </si>
  <si>
    <t xml:space="preserve">  9,500 LUMEN TRADITIONAIRE</t>
  </si>
  <si>
    <t xml:space="preserve">  9,500 LUMEN GRANVILLE </t>
  </si>
  <si>
    <t xml:space="preserve"> 14,000 LUMEN GAS REPLICA</t>
  </si>
  <si>
    <t>Lighting rate on</t>
  </si>
  <si>
    <t>Tariff Sheet</t>
  </si>
  <si>
    <t>less Base Fuel</t>
  </si>
  <si>
    <t>UNDERGROUND DISTRIBUTION (CONT'D.):</t>
  </si>
  <si>
    <t>DECORATIVE SV :</t>
  </si>
  <si>
    <t xml:space="preserve">     TRADITIONAIRE</t>
  </si>
  <si>
    <t xml:space="preserve">     GRANVILLE ACORN</t>
  </si>
  <si>
    <t>METAL HALIDE 14,000 LUMEN:</t>
  </si>
  <si>
    <t xml:space="preserve">   GRANVILLE ACORN</t>
  </si>
  <si>
    <t xml:space="preserve">   GAS REPLICA</t>
  </si>
  <si>
    <t>REVENUES AT PRESENT AND PROPOSED RATES</t>
  </si>
  <si>
    <t xml:space="preserve">RESIDENTIAL </t>
  </si>
  <si>
    <t>LIGHTING</t>
  </si>
  <si>
    <t>OTHER MISC REVENUE</t>
  </si>
  <si>
    <t xml:space="preserve">  TOTAL MISC REVENUE</t>
  </si>
  <si>
    <t>MINIMUM BILLS (4)</t>
  </si>
  <si>
    <t>ELECTRIC SPACE HEATING  (EH)</t>
  </si>
  <si>
    <t>UNMETERED OUTDOOR LIGHTING (UOLS)</t>
  </si>
  <si>
    <t>NON STANDARD STREET LIGHTING  (NSU)</t>
  </si>
  <si>
    <t>CUST OWNED STREET LIGHTING SERVICE  (SC)</t>
  </si>
  <si>
    <t>OVERHEAD EQUIV STREET LIGHTING SERVICE  (SE)</t>
  </si>
  <si>
    <t>RECONNECTION CHARGES</t>
  </si>
  <si>
    <t>OTHER MISCELLANEOUS</t>
  </si>
  <si>
    <t xml:space="preserve">  TOTAL MISCELLANEOUS REVENUE</t>
  </si>
  <si>
    <t>OTHER MISCELLANEOUS REVENUE</t>
  </si>
  <si>
    <t xml:space="preserve">CUST OWNED STREET LIGHTING </t>
  </si>
  <si>
    <t>OVR HD EQUIV STREET LIGHTING</t>
  </si>
  <si>
    <t>INCLUDES FUEL AND ALL RIDERS</t>
  </si>
  <si>
    <t xml:space="preserve"> CUSTOMER CHARGE IS BASED ON THREE PHASE SECONDARY SERVICE.</t>
  </si>
  <si>
    <t>SCHEDULE M-2.2       (CURRENT RATES)</t>
  </si>
  <si>
    <t>SCHEDULE M-2.3       (PROPOSED RATES)</t>
  </si>
  <si>
    <t>BASE FUEL COST:</t>
  </si>
  <si>
    <t>RIDERS:</t>
  </si>
  <si>
    <t xml:space="preserve">  TOTAL RATE RS EXCLUDING RIDERS</t>
  </si>
  <si>
    <t>PROFIT SHARING MECHANISM (PSM)</t>
  </si>
  <si>
    <t>DEMAND SIDE MANAGEMENT RIDER (DSMR)</t>
  </si>
  <si>
    <t xml:space="preserve">  TOTAL RIDERS</t>
  </si>
  <si>
    <t xml:space="preserve">  TOTAL RATE RS INCLUDING RIDERS</t>
  </si>
  <si>
    <t>TOTAL RATE DS EXCLUDING RIDERS</t>
  </si>
  <si>
    <t xml:space="preserve"> TOTAL RATE DS INCLUDING RIDERS</t>
  </si>
  <si>
    <t xml:space="preserve">  TOTAL RATE DT PRIMARY EXCLUDING RIDERS</t>
  </si>
  <si>
    <t xml:space="preserve">  TOTAL RATE DT PRIMARY INCLUDING RIDERS</t>
  </si>
  <si>
    <t xml:space="preserve">  TOTAL RATE DT SECONDARY INCLUDING RIDERS</t>
  </si>
  <si>
    <t xml:space="preserve">  TOTAL RATE DT SECONDARY EXCLUDING RIDERS</t>
  </si>
  <si>
    <t xml:space="preserve">  TOTAL RATE EH EXCLUDING RIDERS</t>
  </si>
  <si>
    <t xml:space="preserve">    TOTAL RATE EH INCLUDING RIDERS</t>
  </si>
  <si>
    <t xml:space="preserve">  TOTAL RATE SP EXCLUDING RIDERS</t>
  </si>
  <si>
    <t xml:space="preserve">  TOTAL RATE GS-FL EXCLUDING RIDERS</t>
  </si>
  <si>
    <t>TOTAL RATE GS-FL INCLUDING RIDERS</t>
  </si>
  <si>
    <t>TOTAL RATE SP INCLUDING RIDERS</t>
  </si>
  <si>
    <t xml:space="preserve">  TOTAL RATE DP EXCLUDING RIDERS</t>
  </si>
  <si>
    <t xml:space="preserve"> TOTAL RATE DP INCLUDING RIDERS</t>
  </si>
  <si>
    <t>TOTAL RATE DP INCLUDING RIDERS</t>
  </si>
  <si>
    <t xml:space="preserve">  TOTAL RATE TT EXCLUDING RIDERS</t>
  </si>
  <si>
    <t xml:space="preserve">  TOTAL RATE TT INCLUDING RIDERS</t>
  </si>
  <si>
    <t xml:space="preserve">  TOTAL RATE DT RTP PRIMARY EXCLUDING RIDERS</t>
  </si>
  <si>
    <t xml:space="preserve">  TOTAL RATE  DT RTP PRIMARY INCLUDING RIDERS</t>
  </si>
  <si>
    <t xml:space="preserve">  TOTAL RATE DT RTP SECONDARY EXCLUDING RIDERS</t>
  </si>
  <si>
    <t xml:space="preserve"> TOTAL RATE DT RTP SECONDARY INCLUDING RIDERS</t>
  </si>
  <si>
    <t xml:space="preserve">  TOTAL RATE  DT RTP SECONDARY INCLUDING RIDERS</t>
  </si>
  <si>
    <t xml:space="preserve">  TOTAL RATE  DS RTP INCLUDING RIDERS</t>
  </si>
  <si>
    <t xml:space="preserve">  TOTAL RATE DS RTP  EXCLUDING RIDERS</t>
  </si>
  <si>
    <t xml:space="preserve">  TOTAL RATE TT RTP  EXCLUDING RIDERS</t>
  </si>
  <si>
    <t xml:space="preserve">  TOTAL RATE  TT RTP INCLUDING RIDERS</t>
  </si>
  <si>
    <t xml:space="preserve">  TOTAL RIDERS NOT INCLUDED IN RATES ABOVE</t>
  </si>
  <si>
    <t xml:space="preserve">  TOTAL RATE TL  EXCLUDING RIDERS</t>
  </si>
  <si>
    <t xml:space="preserve">    TOTAL RATE TL INCLUDING RIDERS</t>
  </si>
  <si>
    <t>TOTAL RATE UOLS INCLUDING RIDERS</t>
  </si>
  <si>
    <t xml:space="preserve">  TOTAL RATE OL  EXCLUDING RIDERS</t>
  </si>
  <si>
    <t>TOTAL RATE OL INCLUDING RIDERS</t>
  </si>
  <si>
    <t>RIDERS NOT INCLUDED IN RATES ABOVE ($/KWH):</t>
  </si>
  <si>
    <t xml:space="preserve">  TOTAL RATE NSU  EXCLUDING RIDERS</t>
  </si>
  <si>
    <t>TOTAL RATE NSU INCLUDING RIDERS</t>
  </si>
  <si>
    <t xml:space="preserve">  TOTAL RATE NSP  EXCLUDING RIDERS</t>
  </si>
  <si>
    <t>TOTAL RATE NSP INCLUDING RIDERS</t>
  </si>
  <si>
    <t xml:space="preserve">  TOTAL RATE SC  EXCLUDING RIDERS</t>
  </si>
  <si>
    <t>TOTAL RATE SC INCLUDING RIDERS</t>
  </si>
  <si>
    <t xml:space="preserve">  TOTAL RATE SE  EXCLUDING RIDERS</t>
  </si>
  <si>
    <t xml:space="preserve">  TOTAL RATE SE INCLUDING RIDERS</t>
  </si>
  <si>
    <t>BILL (7)</t>
  </si>
  <si>
    <t>BILL (6)</t>
  </si>
  <si>
    <r>
      <t>BASE PERIOD WITH ALL RIDERS</t>
    </r>
    <r>
      <rPr>
        <b/>
        <sz val="11"/>
        <rFont val="Arial"/>
        <family val="2"/>
      </rPr>
      <t xml:space="preserve"> </t>
    </r>
  </si>
  <si>
    <t xml:space="preserve">TOTAL RATE SLI NCLUDING RIDERS </t>
  </si>
  <si>
    <t>TOTAL RATE SL INCLUDING RIDERS</t>
  </si>
  <si>
    <t>RIDERS NOT INCLUDED IN RATES ABOVE:</t>
  </si>
  <si>
    <t xml:space="preserve">    14,000 LUMEN (5)</t>
  </si>
  <si>
    <t xml:space="preserve">    14,000 LUMEN (6)</t>
  </si>
  <si>
    <t xml:space="preserve">    14,000 LUMEN (10)</t>
  </si>
  <si>
    <t xml:space="preserve">    20,500 LUMEN (6)</t>
  </si>
  <si>
    <t xml:space="preserve">   16,000 LUMEN (6)</t>
  </si>
  <si>
    <t xml:space="preserve">     9,500 LUMEN (6) </t>
  </si>
  <si>
    <t xml:space="preserve">     9,500 LUMEN (10)</t>
  </si>
  <si>
    <t xml:space="preserve">     9,500 LUMEN (13)</t>
  </si>
  <si>
    <t xml:space="preserve">   27,500 LUMEN (9)</t>
  </si>
  <si>
    <t xml:space="preserve"> 14,000 LUMEN TRADITIONAIRE (7)</t>
  </si>
  <si>
    <t xml:space="preserve"> 14,000 LUMEN GRANVILLE (11)</t>
  </si>
  <si>
    <t xml:space="preserve"> 14,500 LUMEN GAS REPLICA </t>
  </si>
  <si>
    <t xml:space="preserve"> 14,500 LUMEN GAS REPLICA (7)</t>
  </si>
  <si>
    <t xml:space="preserve"> 14,500 LUMEN GAS REPLICA (10)</t>
  </si>
  <si>
    <t xml:space="preserve">  9,500 LUMEN GRANVILLE (10)</t>
  </si>
  <si>
    <t xml:space="preserve">  9,500 LUMEN GRANVILLE (11)</t>
  </si>
  <si>
    <t>OVERHEAD DISTRIBUTION (CONT'D.):</t>
  </si>
  <si>
    <r>
      <t xml:space="preserve">RIDER MSR-E: </t>
    </r>
    <r>
      <rPr>
        <b/>
        <u/>
        <sz val="12"/>
        <color theme="5" tint="-0.249977111117893"/>
        <rFont val="Arial"/>
        <family val="2"/>
      </rPr>
      <t>(EFFECTIVE MAY 2010)</t>
    </r>
  </si>
  <si>
    <t>POLE AND LINE ATTACHMENTS</t>
  </si>
  <si>
    <t>DUKE ENERGY KENTUCKY, INC.</t>
  </si>
  <si>
    <t>B. L. SAILERS</t>
  </si>
  <si>
    <r>
      <t xml:space="preserve">RIDER PSM : </t>
    </r>
    <r>
      <rPr>
        <b/>
        <u/>
        <sz val="12"/>
        <color theme="5" tint="-0.249977111117893"/>
        <rFont val="Arial"/>
        <family val="2"/>
      </rPr>
      <t>(EFFECTIVE NOV 30, 2016)</t>
    </r>
  </si>
  <si>
    <r>
      <t>FUEL COSTS:</t>
    </r>
    <r>
      <rPr>
        <u/>
        <sz val="14"/>
        <color theme="5" tint="-0.249977111117893"/>
        <rFont val="Arial"/>
        <family val="2"/>
      </rPr>
      <t xml:space="preserve">  (BFC EFFECTIVE DEC 2006)</t>
    </r>
  </si>
  <si>
    <t>$ PER MONTH</t>
  </si>
  <si>
    <t>ENERGY CHARGE</t>
  </si>
  <si>
    <t xml:space="preserve">  Single Phase</t>
  </si>
  <si>
    <t xml:space="preserve">  Three Phase</t>
  </si>
  <si>
    <t xml:space="preserve">  First 6000</t>
  </si>
  <si>
    <t xml:space="preserve">  Next 300 KWH/KW</t>
  </si>
  <si>
    <t xml:space="preserve">  Additional</t>
  </si>
  <si>
    <t>DEMAND CHARGE</t>
  </si>
  <si>
    <t>$ PER KW</t>
  </si>
  <si>
    <t xml:space="preserve">  First 15 KW</t>
  </si>
  <si>
    <r>
      <t xml:space="preserve">RATE DS: </t>
    </r>
    <r>
      <rPr>
        <b/>
        <u/>
        <sz val="12"/>
        <color theme="5" tint="-0.249977111117893"/>
        <rFont val="Arial"/>
        <family val="2"/>
      </rPr>
      <t>(EFFECTIVE  AUGUST 31, 2015)</t>
    </r>
  </si>
  <si>
    <r>
      <t xml:space="preserve">RATE RS: </t>
    </r>
    <r>
      <rPr>
        <b/>
        <u/>
        <sz val="12"/>
        <color theme="5" tint="-0.249977111117893"/>
        <rFont val="Arial"/>
        <family val="2"/>
      </rPr>
      <t>(EFFECTIVE  AUGUST 31, 2015)</t>
    </r>
  </si>
  <si>
    <t>CAP RATES</t>
  </si>
  <si>
    <t xml:space="preserve">  NON-CHURCH</t>
  </si>
  <si>
    <t xml:space="preserve">  CHURCH</t>
  </si>
  <si>
    <r>
      <t xml:space="preserve">RIDER LM: </t>
    </r>
    <r>
      <rPr>
        <b/>
        <u/>
        <sz val="12"/>
        <color theme="5" tint="-0.249977111117893"/>
        <rFont val="Arial"/>
        <family val="2"/>
      </rPr>
      <t>(EFFECTIVE  SEPTEMBER 30, 2010)</t>
    </r>
  </si>
  <si>
    <r>
      <t xml:space="preserve">RATE DT: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</si>
  <si>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Primary Voltage</t>
  </si>
  <si>
    <t xml:space="preserve">  Summer On-Peak</t>
  </si>
  <si>
    <t xml:space="preserve">  Winter On-Peak</t>
  </si>
  <si>
    <t xml:space="preserve">  Off-Peak</t>
  </si>
  <si>
    <t xml:space="preserve">  Summer Off-Peak</t>
  </si>
  <si>
    <t xml:space="preserve">  Winter Off-Peak</t>
  </si>
  <si>
    <t xml:space="preserve">  Primary Service Discount First 1000 KW</t>
  </si>
  <si>
    <t xml:space="preserve">  Primary Service Discount Additional KW</t>
  </si>
  <si>
    <t xml:space="preserve">  All KWH</t>
  </si>
  <si>
    <t xml:space="preserve">  All KW</t>
  </si>
  <si>
    <r>
      <t xml:space="preserve">RATE EH: </t>
    </r>
    <r>
      <rPr>
        <b/>
        <u/>
        <sz val="12"/>
        <color theme="5" tint="-0.249977111117893"/>
        <rFont val="Arial"/>
        <family val="2"/>
      </rPr>
      <t>(EFFECTIVE  AUGUST 31, 2015)</t>
    </r>
  </si>
  <si>
    <r>
      <t xml:space="preserve">RATE SP: </t>
    </r>
    <r>
      <rPr>
        <b/>
        <u/>
        <sz val="12"/>
        <color theme="5" tint="-0.249977111117893"/>
        <rFont val="Arial"/>
        <family val="2"/>
      </rPr>
      <t>(EFFECTIVE  AUGUST 31, 2015)</t>
    </r>
  </si>
  <si>
    <r>
      <t xml:space="preserve">RATE GSFL: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</si>
  <si>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Minimum Bill</t>
  </si>
  <si>
    <t xml:space="preserve">  Loads &lt; 540 Hours Use per Month</t>
  </si>
  <si>
    <t xml:space="preserve">  Loads Between 540 to 720 Hours Use per Month</t>
  </si>
  <si>
    <t>MINIMUM BILL</t>
  </si>
  <si>
    <r>
      <t xml:space="preserve">RATE DP: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</si>
  <si>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First 300 KWH/KW</t>
  </si>
  <si>
    <r>
      <t xml:space="preserve">RATE TT: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</si>
  <si>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Customer Charge</t>
  </si>
  <si>
    <t xml:space="preserve">  Secondary Voltage</t>
  </si>
  <si>
    <t xml:space="preserve">  Transmission Voltage</t>
  </si>
  <si>
    <t>ENERGY DELIVERY CHARGE</t>
  </si>
  <si>
    <t>ANSCILLARY SERVICES CHARGE</t>
  </si>
  <si>
    <t>COMMODITY CHARGE</t>
  </si>
  <si>
    <t xml:space="preserve">  Distribution Service</t>
  </si>
  <si>
    <t xml:space="preserve">  Primary Service</t>
  </si>
  <si>
    <t xml:space="preserve">  Transmission Service</t>
  </si>
  <si>
    <r>
      <t xml:space="preserve">RATE RTP: </t>
    </r>
    <r>
      <rPr>
        <b/>
        <u/>
        <sz val="12"/>
        <color theme="5" tint="-0.249977111117893"/>
        <rFont val="Arial"/>
        <family val="2"/>
      </rPr>
      <t>(EFFECTIVE  June 1, 2012)</t>
    </r>
  </si>
  <si>
    <t>PROGRAM CHARGE</t>
  </si>
  <si>
    <t xml:space="preserve">  Program Charge</t>
  </si>
  <si>
    <t xml:space="preserve">PJM AND TRANSMISSION </t>
  </si>
  <si>
    <t>PJM AND TRANSMISSION</t>
  </si>
  <si>
    <t>Lighting kWh on</t>
  </si>
  <si>
    <t xml:space="preserve">   27,500 LUMEN (6)</t>
  </si>
  <si>
    <t xml:space="preserve">    21,000 LUMEN (6)</t>
  </si>
  <si>
    <t xml:space="preserve">  9,500 LUMEN GAS REPLICA (7)</t>
  </si>
  <si>
    <t xml:space="preserve">  9,500 LUMEN GAS REPLICA (10)</t>
  </si>
  <si>
    <t xml:space="preserve">  9,500 LUMEN GAS REPLICA (11)</t>
  </si>
  <si>
    <t xml:space="preserve">  7,000 LUMEN GAS REPLICA (7)</t>
  </si>
  <si>
    <t>Annual kwh</t>
  </si>
  <si>
    <t xml:space="preserve">  LOAD MANAGEMENT RIDER - NON-INTERVAL</t>
  </si>
  <si>
    <t xml:space="preserve">  LOAD MANAGEMENT RIDER - INTERVAL</t>
  </si>
  <si>
    <t>Annual kWh / Light</t>
  </si>
  <si>
    <t>EXCLUDES ALL RIDERS AND FUEL-UNFINISHED-NOT USED</t>
  </si>
  <si>
    <t>On-peak Energy %</t>
  </si>
  <si>
    <t>On-peak Demand %</t>
  </si>
  <si>
    <t>EXCLUDES TRANSMISSION</t>
  </si>
  <si>
    <t>(N-M) / M</t>
  </si>
  <si>
    <t>(C+G+H+L)</t>
  </si>
  <si>
    <t>DCI (5)</t>
  </si>
  <si>
    <t>PSM (7)</t>
  </si>
  <si>
    <t>BILL(1)(8)</t>
  </si>
  <si>
    <t>(D+G+H+I+J+K+L)</t>
  </si>
  <si>
    <t>PSM (6)</t>
  </si>
  <si>
    <t>(D+G+H+I+K+L)</t>
  </si>
  <si>
    <t>USE (8)</t>
  </si>
  <si>
    <t>BILL (6)(7)</t>
  </si>
  <si>
    <t xml:space="preserve">  CAP RATE KWH</t>
  </si>
  <si>
    <t xml:space="preserve">  Cap Rate</t>
  </si>
  <si>
    <t>RIDER NAMES:</t>
  </si>
  <si>
    <t>ESM (4)</t>
  </si>
  <si>
    <t>FTR (6)</t>
  </si>
  <si>
    <t>CANCELLED &amp; WITHDRAWN</t>
  </si>
  <si>
    <t>FUEL ADJUSTMENT CLAUSE (FAC):</t>
  </si>
  <si>
    <t>FTR (5)</t>
  </si>
  <si>
    <t>DCI (4)</t>
  </si>
  <si>
    <t>ESM (3)</t>
  </si>
  <si>
    <t>FTR (4)</t>
  </si>
  <si>
    <t xml:space="preserve">  On-Peak Summer</t>
  </si>
  <si>
    <t xml:space="preserve">  On-Peak Winter</t>
  </si>
  <si>
    <t>All Rates - Incremental + Adjustment %</t>
  </si>
  <si>
    <t>% of BASE REVENUE</t>
  </si>
  <si>
    <t>in decimal form; not % form</t>
  </si>
  <si>
    <t>DT-Primary</t>
  </si>
  <si>
    <t>DT-Secondary</t>
  </si>
  <si>
    <t>Street Lighting</t>
  </si>
  <si>
    <r>
      <t xml:space="preserve">RIDER DCI : </t>
    </r>
    <r>
      <rPr>
        <b/>
        <u/>
        <sz val="12"/>
        <color theme="5" tint="-0.249977111117893"/>
        <rFont val="Arial"/>
        <family val="2"/>
      </rPr>
      <t>(EFFECTIVE APR 1, 2018)</t>
    </r>
  </si>
  <si>
    <r>
      <t xml:space="preserve">RIDER FTR : </t>
    </r>
    <r>
      <rPr>
        <b/>
        <u/>
        <sz val="12"/>
        <color theme="5" tint="-0.249977111117893"/>
        <rFont val="Arial"/>
        <family val="2"/>
      </rPr>
      <t>(EFFECTIVE APR 1, 2018)</t>
    </r>
  </si>
  <si>
    <r>
      <t xml:space="preserve">RIDER ESM : </t>
    </r>
    <r>
      <rPr>
        <b/>
        <u/>
        <sz val="12"/>
        <color theme="5" tint="-0.249977111117893"/>
        <rFont val="Arial"/>
        <family val="2"/>
      </rPr>
      <t>(EFFECTIVE APR 1, 2018)</t>
    </r>
  </si>
  <si>
    <t xml:space="preserve">  DS &amp; DP (INTERVAL DATA RECORDER)</t>
  </si>
  <si>
    <t xml:space="preserve">  DS (NO INTERVAL DATA RECORDER)</t>
  </si>
  <si>
    <t>Increase in Street Lighting rate SL per COSS:</t>
  </si>
  <si>
    <r>
      <t xml:space="preserve">RATE RTP-M: </t>
    </r>
    <r>
      <rPr>
        <b/>
        <u/>
        <sz val="12"/>
        <color theme="5" tint="-0.249977111117893"/>
        <rFont val="Arial"/>
        <family val="2"/>
      </rPr>
      <t>(EFFECTIVE  June 1, 2012) (WITHDRAW &amp; CANCEL)</t>
    </r>
  </si>
  <si>
    <t>TEST PERIOD</t>
  </si>
  <si>
    <t>HEA $ / MONTH</t>
  </si>
  <si>
    <r>
      <t xml:space="preserve">RIDER DSMR: </t>
    </r>
    <r>
      <rPr>
        <b/>
        <u/>
        <sz val="12"/>
        <color theme="5" tint="-0.249977111117893"/>
        <rFont val="Arial"/>
        <family val="2"/>
      </rPr>
      <t>(EFFECTIVE JUNE 26,  2017)</t>
    </r>
  </si>
  <si>
    <t xml:space="preserve">RATE WS: </t>
  </si>
  <si>
    <t>Energy</t>
  </si>
  <si>
    <t xml:space="preserve">  Distribution Service (DS-Secondary)</t>
  </si>
  <si>
    <t xml:space="preserve">  Primary Service (DT-Secondary)</t>
  </si>
  <si>
    <t>not used</t>
  </si>
  <si>
    <t>CASE NO.   2017-00321</t>
  </si>
  <si>
    <t>6 Months Actual Ending May 31, 2017</t>
  </si>
  <si>
    <t>6 Months Actual and 6 Months Projected</t>
  </si>
  <si>
    <t>FOR THE TWELVE MONTHS ENDED November 30, 2017</t>
  </si>
  <si>
    <t>DATA: __X__ BASE PERIOD   ____FORECASTED PERIOD</t>
  </si>
  <si>
    <t>ANNUALIZED BASE YEAR REVENUES AT PROPOSED VS. MOST CURRENT RATES</t>
  </si>
  <si>
    <t>PRIVATE OUTDOOR LIGHTING (OL)</t>
  </si>
  <si>
    <t>NON STANDARD PRIVATE LIGHTING (NSP)</t>
  </si>
  <si>
    <t>PRIVATE OUTDR LIGHT</t>
  </si>
  <si>
    <t>NON STD PRIVATE LIGHT</t>
  </si>
  <si>
    <t>PAGE  1  OF  22</t>
  </si>
  <si>
    <t>PAGE  2  OF  22</t>
  </si>
  <si>
    <t>PAGE  3  OF  22</t>
  </si>
  <si>
    <t>PAGE  4  OF  22</t>
  </si>
  <si>
    <t>PAGE  5  OF  22</t>
  </si>
  <si>
    <t>PAGE  6  OF  22</t>
  </si>
  <si>
    <t>PAGE  7  OF  22</t>
  </si>
  <si>
    <t>PAGE  8  OF  22</t>
  </si>
  <si>
    <t>PAGE  9  OF  22</t>
  </si>
  <si>
    <t>PAGE  xx  OF  22</t>
  </si>
  <si>
    <t>PAGE xx  OF  22</t>
  </si>
  <si>
    <t>PAGE 10  OF  22</t>
  </si>
  <si>
    <t>PAGE  11  OF  22</t>
  </si>
  <si>
    <t>PAGE  12  OF  22</t>
  </si>
  <si>
    <t>PAGE 13  OF  22</t>
  </si>
  <si>
    <t>PAGE 14  OF  22</t>
  </si>
  <si>
    <t>PAGE 15  OF  22</t>
  </si>
  <si>
    <t>PAGE 16  OF  22</t>
  </si>
  <si>
    <t>PAGE  17  OF  22</t>
  </si>
  <si>
    <t>PAGE  18  OF  22</t>
  </si>
  <si>
    <t>PAGE  19  OF  22</t>
  </si>
  <si>
    <t>PAGE  20  OF  22</t>
  </si>
  <si>
    <t>PAGE  21 OF  22</t>
  </si>
  <si>
    <t>PAGE  22 OF  22</t>
  </si>
  <si>
    <t>BASE PERIOD REVENUES AT CURRENT RATES</t>
  </si>
  <si>
    <t>HOME ENERGY ASSISTANCE (HEA)</t>
  </si>
  <si>
    <t>ENVIRONMENTAL SURCHARGE MECHANISM RIDER (ESM)</t>
  </si>
  <si>
    <t>DISTRIBUTION CAPITAL INVESTMENT RIDER (DCI)</t>
  </si>
  <si>
    <t>FUEL ADJUSTMENT CLAUSE (FAC)</t>
  </si>
  <si>
    <t>FERC TRANSMISSION COST RECOVERY RECONCILIATION (FTR)</t>
  </si>
  <si>
    <r>
      <t xml:space="preserve">RIDERS NOT INCLUDED IN RATES ABOVE </t>
    </r>
    <r>
      <rPr>
        <b/>
        <i/>
        <sz val="11"/>
        <rFont val="Arial"/>
        <family val="2"/>
      </rPr>
      <t>($ PER KWH)</t>
    </r>
    <r>
      <rPr>
        <b/>
        <i/>
        <sz val="12"/>
        <rFont val="Arial"/>
        <family val="2"/>
      </rPr>
      <t>:</t>
    </r>
  </si>
  <si>
    <t>NOTE: DETAIL CONTAINED ON SCHEDULES M-2.2 PAGES 2 THROUGH 22.</t>
  </si>
  <si>
    <t>(1) DETAIL CONTAINED ON SCHEDULES M-2.3 PAGES 2 THROUGH 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</si>
</sst>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000_)"/>
    <numFmt numFmtId="166" formatCode="0.00_)"/>
    <numFmt numFmtId="167" formatCode="0.000_)"/>
    <numFmt numFmtId="168" formatCode="#,##0.0000_);\(#,##0.0000\)"/>
    <numFmt numFmtId="169" formatCode="0.0_)"/>
    <numFmt numFmtId="170" formatCode="#,##0.0_);\(#,##0.0\)"/>
    <numFmt numFmtId="171" formatCode="0_)"/>
    <numFmt numFmtId="172" formatCode="#,##0.000000_);\(#,##0.000000\)"/>
    <numFmt numFmtId="173" formatCode="0.00_);\(0.00\)"/>
    <numFmt numFmtId="174" formatCode="0.0000_);\(0.0000\)"/>
    <numFmt numFmtId="175" formatCode="0_);\(0\)"/>
    <numFmt numFmtId="176" formatCode="#,##0.000_);\(#,##0.000\)"/>
    <numFmt numFmtId="177" formatCode="0.000000_);\(0.000000\)"/>
    <numFmt numFmtId="178" formatCode="0.000000%"/>
    <numFmt numFmtId="179" formatCode="&quot;$&quot;#,##0.000000_);\(&quot;$&quot;#,##0.000000\)"/>
    <numFmt numFmtId="180" formatCode="0.000000"/>
    <numFmt numFmtId="181" formatCode="0.0_);\(0.0\)"/>
    <numFmt numFmtId="182" formatCode="0.000000_)"/>
    <numFmt numFmtId="183" formatCode="_(* #,##0_);_(* \(#,##0\);_(* &quot;-&quot;??_);_(@_)"/>
    <numFmt numFmtId="184" formatCode="_(* #,##0.000000_);_(* \(#,##0.000000\);_(* &quot;-&quot;??_);_(@_)"/>
    <numFmt numFmtId="185" formatCode="0.0000%"/>
  </numFmts>
  <fonts count="42" x14ac:knownFonts="1">
    <font>
      <sz val="12"/>
      <name val="Courier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u/>
      <sz val="12"/>
      <name val="Arial"/>
      <family val="2"/>
    </font>
    <font>
      <u val="double"/>
      <sz val="12"/>
      <name val="Arial"/>
      <family val="2"/>
    </font>
    <font>
      <sz val="8"/>
      <name val="Courier"/>
      <family val="3"/>
    </font>
    <font>
      <sz val="20"/>
      <name val="Arial"/>
      <family val="2"/>
    </font>
    <font>
      <b/>
      <sz val="11"/>
      <name val="Arial"/>
      <family val="2"/>
    </font>
    <font>
      <sz val="12"/>
      <color theme="8" tint="-0.499984740745262"/>
      <name val="Arial"/>
      <family val="2"/>
    </font>
    <font>
      <b/>
      <sz val="12"/>
      <color theme="5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5" tint="-0.249977111117893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2"/>
      <color rgb="FFC00000"/>
      <name val="Arial"/>
      <family val="2"/>
    </font>
    <font>
      <b/>
      <sz val="12"/>
      <color theme="3" tint="-0.249977111117893"/>
      <name val="Arial"/>
      <family val="2"/>
    </font>
    <font>
      <sz val="12"/>
      <color rgb="FFC00000"/>
      <name val="Arial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u/>
      <sz val="12"/>
      <color theme="5" tint="-0.249977111117893"/>
      <name val="Arial"/>
      <family val="2"/>
    </font>
    <font>
      <b/>
      <u/>
      <sz val="14"/>
      <color theme="5" tint="-0.249977111117893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b/>
      <sz val="12"/>
      <color rgb="FFFF0000"/>
      <name val="Arial"/>
      <family val="2"/>
    </font>
    <font>
      <b/>
      <sz val="8"/>
      <color theme="5" tint="-0.249977111117893"/>
      <name val="Arial"/>
      <family val="2"/>
    </font>
    <font>
      <b/>
      <sz val="12"/>
      <color rgb="FF000000"/>
      <name val="Arial"/>
      <family val="2"/>
    </font>
    <font>
      <b/>
      <sz val="12"/>
      <color rgb="FF000080"/>
      <name val="Courier"/>
      <family val="3"/>
    </font>
    <font>
      <b/>
      <sz val="8"/>
      <color rgb="FF000080"/>
      <name val="Arial"/>
      <family val="2"/>
    </font>
    <font>
      <b/>
      <sz val="8"/>
      <color rgb="FF000000"/>
      <name val="Arial"/>
      <family val="2"/>
    </font>
    <font>
      <b/>
      <sz val="8"/>
      <color rgb="FF996666"/>
      <name val="Arial"/>
      <family val="2"/>
    </font>
    <font>
      <u/>
      <sz val="14"/>
      <color theme="5" tint="-0.24997711111789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ourier"/>
      <family val="3"/>
    </font>
    <font>
      <sz val="12"/>
      <name val="Courier"/>
      <family val="3"/>
    </font>
    <font>
      <b/>
      <i/>
      <u/>
      <sz val="12"/>
      <name val="Arial"/>
      <family val="2"/>
    </font>
    <font>
      <i/>
      <sz val="11"/>
      <name val="Arial"/>
      <family val="2"/>
    </font>
    <font>
      <i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9">
    <xf numFmtId="0" fontId="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501">
    <xf numFmtId="0" fontId="0" fillId="0" borderId="0" xfId="0"/>
    <xf numFmtId="0" fontId="1" fillId="0" borderId="0" xfId="0" applyFont="1" applyProtection="1"/>
    <xf numFmtId="0" fontId="1" fillId="0" borderId="0" xfId="0" applyFont="1"/>
    <xf numFmtId="0" fontId="1" fillId="0" borderId="0" xfId="0" applyFont="1" applyAlignment="1" applyProtection="1">
      <alignment horizontal="center"/>
    </xf>
    <xf numFmtId="37" fontId="1" fillId="0" borderId="0" xfId="0" applyNumberFormat="1" applyFont="1" applyProtection="1"/>
    <xf numFmtId="39" fontId="1" fillId="0" borderId="0" xfId="0" applyNumberFormat="1" applyFont="1" applyProtection="1"/>
    <xf numFmtId="170" fontId="1" fillId="0" borderId="0" xfId="0" applyNumberFormat="1" applyFont="1" applyProtection="1"/>
    <xf numFmtId="166" fontId="1" fillId="0" borderId="0" xfId="0" applyNumberFormat="1" applyFont="1" applyProtection="1"/>
    <xf numFmtId="0" fontId="1" fillId="0" borderId="1" xfId="0" applyFont="1" applyBorder="1"/>
    <xf numFmtId="0" fontId="1" fillId="0" borderId="1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Continuous"/>
    </xf>
    <xf numFmtId="0" fontId="1" fillId="0" borderId="1" xfId="0" applyFont="1" applyBorder="1" applyAlignment="1">
      <alignment horizontal="centerContinuous"/>
    </xf>
    <xf numFmtId="39" fontId="1" fillId="0" borderId="0" xfId="0" applyNumberFormat="1" applyFont="1" applyAlignment="1" applyProtection="1">
      <alignment horizontal="center"/>
    </xf>
    <xf numFmtId="0" fontId="3" fillId="0" borderId="1" xfId="0" applyFont="1" applyBorder="1" applyAlignment="1" applyProtection="1">
      <alignment horizontal="centerContinuous"/>
    </xf>
    <xf numFmtId="39" fontId="2" fillId="0" borderId="0" xfId="0" applyNumberFormat="1" applyFont="1" applyProtection="1"/>
    <xf numFmtId="171" fontId="1" fillId="0" borderId="0" xfId="0" applyNumberFormat="1" applyFont="1" applyProtection="1"/>
    <xf numFmtId="0" fontId="1" fillId="2" borderId="0" xfId="0" applyFont="1" applyFill="1"/>
    <xf numFmtId="39" fontId="1" fillId="2" borderId="0" xfId="0" applyNumberFormat="1" applyFont="1" applyFill="1" applyProtection="1"/>
    <xf numFmtId="39" fontId="2" fillId="2" borderId="0" xfId="0" applyNumberFormat="1" applyFont="1" applyFill="1" applyProtection="1"/>
    <xf numFmtId="0" fontId="0" fillId="3" borderId="0" xfId="0" applyFill="1"/>
    <xf numFmtId="0" fontId="1" fillId="4" borderId="0" xfId="0" applyFont="1" applyFill="1"/>
    <xf numFmtId="0" fontId="1" fillId="4" borderId="0" xfId="0" applyFont="1" applyFill="1" applyAlignment="1" applyProtection="1">
      <alignment horizontal="left"/>
    </xf>
    <xf numFmtId="0" fontId="1" fillId="4" borderId="0" xfId="0" quotePrefix="1" applyFont="1" applyFill="1" applyAlignment="1" applyProtection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1" fillId="4" borderId="0" xfId="0" applyFont="1" applyFill="1" applyAlignment="1">
      <alignment horizontal="centerContinuous"/>
    </xf>
    <xf numFmtId="0" fontId="2" fillId="4" borderId="0" xfId="0" applyFont="1" applyFill="1" applyAlignment="1" applyProtection="1">
      <alignment horizontal="left"/>
      <protection locked="0"/>
    </xf>
    <xf numFmtId="172" fontId="5" fillId="4" borderId="0" xfId="0" applyNumberFormat="1" applyFont="1" applyFill="1" applyProtection="1">
      <protection locked="0"/>
    </xf>
    <xf numFmtId="0" fontId="2" fillId="4" borderId="0" xfId="0" applyFont="1" applyFill="1" applyProtection="1">
      <protection locked="0"/>
    </xf>
    <xf numFmtId="0" fontId="3" fillId="4" borderId="0" xfId="0" applyFont="1" applyFill="1"/>
    <xf numFmtId="0" fontId="6" fillId="4" borderId="0" xfId="0" applyFont="1" applyFill="1"/>
    <xf numFmtId="0" fontId="4" fillId="5" borderId="2" xfId="0" applyFont="1" applyFill="1" applyBorder="1" applyAlignment="1" applyProtection="1">
      <alignment horizontal="left"/>
      <protection locked="0"/>
    </xf>
    <xf numFmtId="0" fontId="1" fillId="5" borderId="3" xfId="0" applyFont="1" applyFill="1" applyBorder="1" applyAlignment="1">
      <alignment horizontal="centerContinuous"/>
    </xf>
    <xf numFmtId="0" fontId="1" fillId="5" borderId="4" xfId="0" applyFont="1" applyFill="1" applyBorder="1" applyAlignment="1">
      <alignment horizontal="centerContinuous"/>
    </xf>
    <xf numFmtId="0" fontId="3" fillId="5" borderId="4" xfId="0" applyFont="1" applyFill="1" applyBorder="1"/>
    <xf numFmtId="0" fontId="1" fillId="5" borderId="4" xfId="0" applyFont="1" applyFill="1" applyBorder="1"/>
    <xf numFmtId="0" fontId="3" fillId="5" borderId="2" xfId="0" applyFont="1" applyFill="1" applyBorder="1" applyAlignment="1" applyProtection="1">
      <alignment horizontal="left"/>
      <protection locked="0"/>
    </xf>
    <xf numFmtId="0" fontId="3" fillId="5" borderId="3" xfId="0" applyFont="1" applyFill="1" applyBorder="1"/>
    <xf numFmtId="0" fontId="3" fillId="5" borderId="3" xfId="0" applyFont="1" applyFill="1" applyBorder="1" applyAlignment="1" applyProtection="1">
      <alignment horizontal="left"/>
      <protection locked="0"/>
    </xf>
    <xf numFmtId="0" fontId="3" fillId="4" borderId="0" xfId="0" applyFont="1" applyFill="1" applyAlignment="1" applyProtection="1">
      <alignment horizontal="left"/>
      <protection locked="0"/>
    </xf>
    <xf numFmtId="0" fontId="3" fillId="4" borderId="0" xfId="0" applyFont="1" applyFill="1" applyAlignment="1" applyProtection="1">
      <alignment horizontal="left"/>
    </xf>
    <xf numFmtId="0" fontId="3" fillId="5" borderId="2" xfId="0" applyFont="1" applyFill="1" applyBorder="1" applyAlignment="1" applyProtection="1">
      <alignment horizontal="left"/>
    </xf>
    <xf numFmtId="0" fontId="3" fillId="0" borderId="0" xfId="0" applyFont="1" applyAlignment="1">
      <alignment horizontal="centerContinuous"/>
    </xf>
    <xf numFmtId="0" fontId="3" fillId="0" borderId="0" xfId="0" applyFont="1" applyAlignment="1" applyProtection="1">
      <alignment horizontal="centerContinuous"/>
    </xf>
    <xf numFmtId="0" fontId="3" fillId="0" borderId="0" xfId="0" applyFont="1" applyProtection="1"/>
    <xf numFmtId="0" fontId="3" fillId="0" borderId="0" xfId="0" applyFont="1" applyAlignment="1" applyProtection="1">
      <alignment horizontal="left"/>
    </xf>
    <xf numFmtId="0" fontId="3" fillId="0" borderId="1" xfId="0" applyFont="1" applyBorder="1" applyAlignment="1" applyProtection="1">
      <alignment horizontal="fill"/>
    </xf>
    <xf numFmtId="37" fontId="3" fillId="0" borderId="0" xfId="0" applyNumberFormat="1" applyFont="1" applyProtection="1"/>
    <xf numFmtId="169" fontId="3" fillId="0" borderId="0" xfId="0" applyNumberFormat="1" applyFont="1" applyProtection="1"/>
    <xf numFmtId="0" fontId="3" fillId="0" borderId="0" xfId="0" quotePrefix="1" applyFont="1" applyAlignment="1" applyProtection="1">
      <alignment horizontal="left"/>
    </xf>
    <xf numFmtId="0" fontId="3" fillId="0" borderId="0" xfId="0" quotePrefix="1" applyFont="1" applyAlignment="1">
      <alignment horizontal="left"/>
    </xf>
    <xf numFmtId="0" fontId="3" fillId="0" borderId="1" xfId="0" applyFont="1" applyBorder="1"/>
    <xf numFmtId="0" fontId="3" fillId="0" borderId="0" xfId="0" quotePrefix="1" applyFont="1" applyAlignment="1">
      <alignment horizontal="center"/>
    </xf>
    <xf numFmtId="37" fontId="1" fillId="0" borderId="1" xfId="0" applyNumberFormat="1" applyFont="1" applyBorder="1" applyProtection="1"/>
    <xf numFmtId="37" fontId="1" fillId="0" borderId="6" xfId="0" applyNumberFormat="1" applyFont="1" applyBorder="1" applyProtection="1"/>
    <xf numFmtId="37" fontId="1" fillId="0" borderId="0" xfId="0" applyNumberFormat="1" applyFont="1" applyBorder="1" applyProtection="1"/>
    <xf numFmtId="0" fontId="1" fillId="0" borderId="0" xfId="0" applyFont="1" applyBorder="1"/>
    <xf numFmtId="166" fontId="1" fillId="0" borderId="0" xfId="0" applyNumberFormat="1" applyFont="1" applyBorder="1" applyProtection="1"/>
    <xf numFmtId="37" fontId="1" fillId="0" borderId="0" xfId="0" applyNumberFormat="1" applyFont="1" applyProtection="1">
      <protection locked="0"/>
    </xf>
    <xf numFmtId="37" fontId="1" fillId="0" borderId="7" xfId="0" applyNumberFormat="1" applyFont="1" applyBorder="1" applyProtection="1"/>
    <xf numFmtId="170" fontId="1" fillId="0" borderId="0" xfId="0" applyNumberFormat="1" applyFont="1" applyBorder="1" applyProtection="1"/>
    <xf numFmtId="37" fontId="1" fillId="0" borderId="1" xfId="0" applyNumberFormat="1" applyFont="1" applyBorder="1"/>
    <xf numFmtId="37" fontId="1" fillId="0" borderId="0" xfId="0" applyNumberFormat="1" applyFont="1"/>
    <xf numFmtId="37" fontId="1" fillId="0" borderId="8" xfId="0" applyNumberFormat="1" applyFont="1" applyBorder="1" applyProtection="1"/>
    <xf numFmtId="39" fontId="1" fillId="0" borderId="0" xfId="0" applyNumberFormat="1" applyFont="1" applyBorder="1" applyAlignment="1" applyProtection="1">
      <alignment horizontal="right"/>
    </xf>
    <xf numFmtId="39" fontId="1" fillId="0" borderId="8" xfId="0" applyNumberFormat="1" applyFont="1" applyBorder="1" applyAlignment="1" applyProtection="1">
      <alignment horizontal="right"/>
    </xf>
    <xf numFmtId="10" fontId="7" fillId="0" borderId="0" xfId="0" applyNumberFormat="1" applyFont="1" applyBorder="1" applyAlignment="1" applyProtection="1">
      <alignment horizontal="center"/>
    </xf>
    <xf numFmtId="166" fontId="1" fillId="0" borderId="0" xfId="0" applyNumberFormat="1" applyFont="1" applyAlignment="1" applyProtection="1">
      <alignment horizontal="center"/>
    </xf>
    <xf numFmtId="0" fontId="1" fillId="0" borderId="0" xfId="0" applyFont="1" applyAlignment="1">
      <alignment horizontal="center"/>
    </xf>
    <xf numFmtId="10" fontId="1" fillId="0" borderId="0" xfId="0" applyNumberFormat="1" applyFont="1" applyBorder="1" applyAlignment="1" applyProtection="1">
      <alignment horizontal="center"/>
    </xf>
    <xf numFmtId="10" fontId="8" fillId="0" borderId="0" xfId="0" applyNumberFormat="1" applyFont="1" applyBorder="1" applyAlignment="1" applyProtection="1">
      <alignment horizontal="center"/>
    </xf>
    <xf numFmtId="0" fontId="1" fillId="0" borderId="0" xfId="0" applyFont="1" applyFill="1"/>
    <xf numFmtId="0" fontId="3" fillId="0" borderId="0" xfId="0" applyFont="1" applyFill="1" applyBorder="1" applyAlignment="1" applyProtection="1">
      <alignment horizontal="right"/>
    </xf>
    <xf numFmtId="0" fontId="3" fillId="5" borderId="9" xfId="0" applyFont="1" applyFill="1" applyBorder="1"/>
    <xf numFmtId="0" fontId="3" fillId="5" borderId="10" xfId="0" applyFont="1" applyFill="1" applyBorder="1"/>
    <xf numFmtId="0" fontId="1" fillId="5" borderId="3" xfId="0" applyFont="1" applyFill="1" applyBorder="1"/>
    <xf numFmtId="0" fontId="3" fillId="5" borderId="2" xfId="0" applyFont="1" applyFill="1" applyBorder="1"/>
    <xf numFmtId="177" fontId="3" fillId="5" borderId="11" xfId="0" applyNumberFormat="1" applyFont="1" applyFill="1" applyBorder="1" applyProtection="1">
      <protection locked="0"/>
    </xf>
    <xf numFmtId="177" fontId="3" fillId="4" borderId="0" xfId="0" applyNumberFormat="1" applyFont="1" applyFill="1" applyAlignment="1" applyProtection="1">
      <alignment horizontal="left"/>
      <protection locked="0"/>
    </xf>
    <xf numFmtId="37" fontId="1" fillId="0" borderId="0" xfId="0" applyNumberFormat="1" applyFont="1" applyFill="1" applyProtection="1">
      <protection locked="0"/>
    </xf>
    <xf numFmtId="37" fontId="1" fillId="0" borderId="0" xfId="0" applyNumberFormat="1" applyFont="1" applyFill="1" applyProtection="1"/>
    <xf numFmtId="0" fontId="3" fillId="0" borderId="0" xfId="0" applyFont="1" applyFill="1"/>
    <xf numFmtId="0" fontId="3" fillId="0" borderId="0" xfId="0" quotePrefix="1" applyFont="1" applyFill="1" applyAlignment="1" applyProtection="1">
      <alignment horizontal="left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0" fontId="1" fillId="4" borderId="0" xfId="0" applyFont="1" applyFill="1" applyBorder="1"/>
    <xf numFmtId="37" fontId="3" fillId="0" borderId="0" xfId="0" applyNumberFormat="1" applyFont="1"/>
    <xf numFmtId="39" fontId="1" fillId="0" borderId="0" xfId="0" applyNumberFormat="1" applyFont="1" applyFill="1" applyBorder="1" applyAlignment="1" applyProtection="1">
      <alignment horizontal="right"/>
    </xf>
    <xf numFmtId="183" fontId="3" fillId="0" borderId="0" xfId="0" applyNumberFormat="1" applyFont="1"/>
    <xf numFmtId="39" fontId="3" fillId="0" borderId="0" xfId="0" applyNumberFormat="1" applyFont="1" applyFill="1" applyBorder="1" applyAlignment="1" applyProtection="1">
      <alignment horizontal="left"/>
    </xf>
    <xf numFmtId="3" fontId="1" fillId="0" borderId="0" xfId="0" applyNumberFormat="1" applyFont="1"/>
    <xf numFmtId="22" fontId="3" fillId="0" borderId="0" xfId="0" applyNumberFormat="1" applyFont="1"/>
    <xf numFmtId="39" fontId="12" fillId="0" borderId="0" xfId="0" applyNumberFormat="1" applyFont="1" applyProtection="1"/>
    <xf numFmtId="0" fontId="14" fillId="0" borderId="0" xfId="0" applyFont="1"/>
    <xf numFmtId="0" fontId="15" fillId="0" borderId="0" xfId="0" applyFont="1"/>
    <xf numFmtId="0" fontId="14" fillId="0" borderId="0" xfId="0" applyFont="1" applyAlignment="1" applyProtection="1">
      <alignment horizontal="left"/>
    </xf>
    <xf numFmtId="168" fontId="1" fillId="0" borderId="0" xfId="0" applyNumberFormat="1" applyFont="1" applyBorder="1" applyAlignment="1" applyProtection="1">
      <alignment horizontal="right"/>
    </xf>
    <xf numFmtId="168" fontId="1" fillId="0" borderId="1" xfId="0" applyNumberFormat="1" applyFont="1" applyBorder="1" applyAlignment="1" applyProtection="1">
      <alignment horizontal="right"/>
    </xf>
    <xf numFmtId="168" fontId="1" fillId="0" borderId="6" xfId="0" applyNumberFormat="1" applyFont="1" applyBorder="1" applyAlignment="1" applyProtection="1">
      <alignment horizontal="right"/>
    </xf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fill"/>
    </xf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quotePrefix="1" applyFont="1" applyFill="1" applyBorder="1" applyAlignment="1" applyProtection="1">
      <alignment horizontal="center"/>
    </xf>
    <xf numFmtId="0" fontId="3" fillId="0" borderId="0" xfId="0" quotePrefix="1" applyFont="1" applyFill="1" applyBorder="1" applyAlignment="1">
      <alignment horizontal="center"/>
    </xf>
    <xf numFmtId="10" fontId="1" fillId="0" borderId="0" xfId="0" applyNumberFormat="1" applyFont="1" applyFill="1" applyBorder="1" applyAlignment="1" applyProtection="1">
      <alignment horizontal="center"/>
    </xf>
    <xf numFmtId="3" fontId="1" fillId="0" borderId="0" xfId="0" applyNumberFormat="1" applyFont="1" applyFill="1" applyBorder="1"/>
    <xf numFmtId="37" fontId="3" fillId="0" borderId="0" xfId="0" applyNumberFormat="1" applyFont="1" applyFill="1" applyBorder="1"/>
    <xf numFmtId="37" fontId="1" fillId="0" borderId="0" xfId="0" applyNumberFormat="1" applyFont="1" applyFill="1" applyBorder="1"/>
    <xf numFmtId="3" fontId="3" fillId="0" borderId="0" xfId="0" applyNumberFormat="1" applyFont="1" applyFill="1" applyBorder="1"/>
    <xf numFmtId="0" fontId="1" fillId="0" borderId="0" xfId="0" applyFont="1" applyFill="1" applyBorder="1" applyAlignment="1">
      <alignment horizontal="center"/>
    </xf>
    <xf numFmtId="0" fontId="17" fillId="0" borderId="0" xfId="0" applyFont="1" applyAlignment="1" applyProtection="1">
      <alignment horizontal="center"/>
    </xf>
    <xf numFmtId="0" fontId="18" fillId="6" borderId="2" xfId="0" applyFont="1" applyFill="1" applyBorder="1"/>
    <xf numFmtId="0" fontId="20" fillId="6" borderId="3" xfId="0" applyFont="1" applyFill="1" applyBorder="1"/>
    <xf numFmtId="0" fontId="20" fillId="6" borderId="4" xfId="0" applyFont="1" applyFill="1" applyBorder="1"/>
    <xf numFmtId="0" fontId="22" fillId="4" borderId="0" xfId="0" applyFont="1" applyFill="1" applyAlignment="1">
      <alignment horizontal="center"/>
    </xf>
    <xf numFmtId="0" fontId="18" fillId="6" borderId="3" xfId="0" applyFont="1" applyFill="1" applyBorder="1"/>
    <xf numFmtId="0" fontId="4" fillId="5" borderId="3" xfId="0" applyFont="1" applyFill="1" applyBorder="1" applyAlignment="1" applyProtection="1">
      <alignment horizontal="left"/>
      <protection locked="0"/>
    </xf>
    <xf numFmtId="0" fontId="3" fillId="4" borderId="0" xfId="0" applyFont="1" applyFill="1" applyAlignment="1" applyProtection="1">
      <protection locked="0"/>
    </xf>
    <xf numFmtId="0" fontId="22" fillId="4" borderId="0" xfId="0" applyFont="1" applyFill="1" applyAlignment="1"/>
    <xf numFmtId="0" fontId="24" fillId="4" borderId="0" xfId="0" applyFont="1" applyFill="1" applyAlignment="1"/>
    <xf numFmtId="0" fontId="24" fillId="4" borderId="0" xfId="0" applyFont="1" applyFill="1" applyBorder="1" applyAlignment="1" applyProtection="1">
      <alignment horizontal="left"/>
      <protection locked="0"/>
    </xf>
    <xf numFmtId="0" fontId="25" fillId="4" borderId="0" xfId="0" applyFont="1" applyFill="1"/>
    <xf numFmtId="0" fontId="3" fillId="6" borderId="2" xfId="0" applyFont="1" applyFill="1" applyBorder="1" applyAlignment="1" applyProtection="1">
      <alignment horizontal="left"/>
    </xf>
    <xf numFmtId="37" fontId="1" fillId="0" borderId="7" xfId="0" applyNumberFormat="1" applyFont="1" applyFill="1" applyBorder="1" applyProtection="1">
      <protection locked="0"/>
    </xf>
    <xf numFmtId="0" fontId="14" fillId="0" borderId="0" xfId="0" applyFont="1" applyAlignment="1" applyProtection="1">
      <alignment horizontal="center"/>
    </xf>
    <xf numFmtId="0" fontId="3" fillId="0" borderId="0" xfId="1" applyFont="1" applyFill="1"/>
    <xf numFmtId="0" fontId="3" fillId="0" borderId="0" xfId="1" applyFont="1" applyFill="1" applyAlignment="1" applyProtection="1">
      <alignment horizontal="left"/>
    </xf>
    <xf numFmtId="0" fontId="3" fillId="0" borderId="0" xfId="13" applyFont="1" applyFill="1"/>
    <xf numFmtId="0" fontId="3" fillId="0" borderId="0" xfId="13" applyFont="1" applyFill="1" applyAlignment="1" applyProtection="1">
      <alignment horizontal="left"/>
    </xf>
    <xf numFmtId="0" fontId="3" fillId="0" borderId="0" xfId="16" applyFont="1" applyFill="1"/>
    <xf numFmtId="0" fontId="3" fillId="0" borderId="0" xfId="16" quotePrefix="1" applyFont="1" applyFill="1" applyAlignment="1" applyProtection="1">
      <alignment horizontal="left"/>
    </xf>
    <xf numFmtId="0" fontId="3" fillId="0" borderId="0" xfId="17" quotePrefix="1" applyFont="1" applyFill="1" applyAlignment="1" applyProtection="1">
      <alignment horizontal="left"/>
    </xf>
    <xf numFmtId="0" fontId="3" fillId="0" borderId="0" xfId="19" quotePrefix="1" applyFont="1" applyFill="1" applyAlignment="1" applyProtection="1">
      <alignment horizontal="left"/>
    </xf>
    <xf numFmtId="0" fontId="3" fillId="0" borderId="0" xfId="21" quotePrefix="1" applyFont="1" applyFill="1" applyAlignment="1" applyProtection="1">
      <alignment horizontal="left"/>
    </xf>
    <xf numFmtId="0" fontId="3" fillId="0" borderId="0" xfId="21" applyFont="1" applyFill="1" applyAlignment="1" applyProtection="1">
      <alignment horizontal="left"/>
    </xf>
    <xf numFmtId="0" fontId="3" fillId="0" borderId="0" xfId="23" applyFont="1" applyFill="1" applyAlignment="1" applyProtection="1">
      <alignment horizontal="left"/>
    </xf>
    <xf numFmtId="0" fontId="3" fillId="0" borderId="0" xfId="25" applyFont="1" applyFill="1"/>
    <xf numFmtId="0" fontId="3" fillId="0" borderId="0" xfId="30" applyFont="1" applyFill="1"/>
    <xf numFmtId="0" fontId="3" fillId="0" borderId="0" xfId="31" applyFont="1" applyFill="1"/>
    <xf numFmtId="0" fontId="3" fillId="0" borderId="0" xfId="33" applyFont="1" applyFill="1"/>
    <xf numFmtId="0" fontId="3" fillId="0" borderId="0" xfId="35" applyFont="1" applyFill="1"/>
    <xf numFmtId="0" fontId="3" fillId="0" borderId="0" xfId="37" applyFont="1" applyFill="1"/>
    <xf numFmtId="0" fontId="3" fillId="0" borderId="0" xfId="39" applyFont="1" applyFill="1"/>
    <xf numFmtId="0" fontId="16" fillId="0" borderId="0" xfId="0" applyFont="1" applyFill="1"/>
    <xf numFmtId="0" fontId="3" fillId="0" borderId="0" xfId="28" applyFont="1" applyFill="1"/>
    <xf numFmtId="0" fontId="3" fillId="0" borderId="0" xfId="28" applyFont="1" applyFill="1" applyAlignment="1" applyProtection="1">
      <alignment horizontal="left"/>
    </xf>
    <xf numFmtId="0" fontId="3" fillId="0" borderId="0" xfId="42" applyFont="1" applyFill="1"/>
    <xf numFmtId="0" fontId="3" fillId="0" borderId="0" xfId="0" applyFont="1" applyFill="1" applyAlignment="1">
      <alignment horizontal="centerContinuous"/>
    </xf>
    <xf numFmtId="0" fontId="3" fillId="0" borderId="0" xfId="0" applyFont="1" applyFill="1" applyAlignment="1" applyProtection="1">
      <alignment horizontal="fill"/>
    </xf>
    <xf numFmtId="0" fontId="3" fillId="0" borderId="5" xfId="0" applyFont="1" applyFill="1" applyBorder="1"/>
    <xf numFmtId="0" fontId="3" fillId="0" borderId="0" xfId="0" applyFont="1" applyFill="1" applyAlignment="1" applyProtection="1">
      <alignment horizontal="left" indent="1"/>
    </xf>
    <xf numFmtId="0" fontId="3" fillId="0" borderId="0" xfId="0" applyFont="1" applyFill="1" applyBorder="1" applyAlignment="1" applyProtection="1">
      <alignment horizontal="left"/>
    </xf>
    <xf numFmtId="181" fontId="1" fillId="0" borderId="0" xfId="0" applyNumberFormat="1" applyFont="1" applyFill="1" applyProtection="1"/>
    <xf numFmtId="169" fontId="1" fillId="0" borderId="0" xfId="0" applyNumberFormat="1" applyFont="1" applyFill="1" applyProtection="1"/>
    <xf numFmtId="181" fontId="1" fillId="0" borderId="0" xfId="0" applyNumberFormat="1" applyFont="1" applyFill="1" applyAlignment="1" applyProtection="1">
      <alignment horizontal="right"/>
    </xf>
    <xf numFmtId="170" fontId="1" fillId="0" borderId="0" xfId="0" applyNumberFormat="1" applyFont="1" applyFill="1" applyProtection="1"/>
    <xf numFmtId="0" fontId="3" fillId="0" borderId="0" xfId="0" applyFont="1" applyFill="1" applyProtection="1"/>
    <xf numFmtId="175" fontId="1" fillId="0" borderId="0" xfId="0" applyNumberFormat="1" applyFont="1" applyFill="1"/>
    <xf numFmtId="37" fontId="1" fillId="0" borderId="0" xfId="0" applyNumberFormat="1" applyFont="1" applyFill="1"/>
    <xf numFmtId="39" fontId="1" fillId="0" borderId="0" xfId="0" applyNumberFormat="1" applyFont="1" applyFill="1" applyProtection="1"/>
    <xf numFmtId="37" fontId="1" fillId="0" borderId="0" xfId="0" applyNumberFormat="1" applyFont="1" applyFill="1" applyBorder="1" applyProtection="1"/>
    <xf numFmtId="181" fontId="1" fillId="0" borderId="0" xfId="0" applyNumberFormat="1" applyFont="1" applyFill="1"/>
    <xf numFmtId="181" fontId="1" fillId="0" borderId="0" xfId="0" applyNumberFormat="1" applyFont="1" applyFill="1" applyAlignment="1">
      <alignment horizontal="right"/>
    </xf>
    <xf numFmtId="181" fontId="1" fillId="0" borderId="1" xfId="0" applyNumberFormat="1" applyFont="1" applyFill="1" applyBorder="1" applyProtection="1"/>
    <xf numFmtId="37" fontId="1" fillId="0" borderId="1" xfId="0" applyNumberFormat="1" applyFont="1" applyFill="1" applyBorder="1" applyProtection="1"/>
    <xf numFmtId="181" fontId="1" fillId="0" borderId="1" xfId="0" applyNumberFormat="1" applyFont="1" applyFill="1" applyBorder="1" applyAlignment="1" applyProtection="1">
      <alignment horizontal="right"/>
    </xf>
    <xf numFmtId="37" fontId="1" fillId="0" borderId="7" xfId="0" applyNumberFormat="1" applyFont="1" applyFill="1" applyBorder="1" applyProtection="1"/>
    <xf numFmtId="181" fontId="1" fillId="0" borderId="7" xfId="0" applyNumberFormat="1" applyFont="1" applyFill="1" applyBorder="1" applyProtection="1"/>
    <xf numFmtId="181" fontId="1" fillId="0" borderId="7" xfId="0" applyNumberFormat="1" applyFont="1" applyFill="1" applyBorder="1" applyAlignment="1" applyProtection="1">
      <alignment horizontal="right"/>
    </xf>
    <xf numFmtId="181" fontId="1" fillId="0" borderId="0" xfId="0" applyNumberFormat="1" applyFont="1" applyFill="1" applyBorder="1" applyAlignment="1" applyProtection="1">
      <alignment horizontal="right"/>
    </xf>
    <xf numFmtId="0" fontId="16" fillId="0" borderId="0" xfId="0" applyFont="1" applyFill="1" applyAlignment="1" applyProtection="1">
      <alignment horizontal="left"/>
    </xf>
    <xf numFmtId="0" fontId="16" fillId="0" borderId="0" xfId="0" applyFont="1" applyFill="1" applyBorder="1"/>
    <xf numFmtId="0" fontId="16" fillId="0" borderId="0" xfId="0" quotePrefix="1" applyFont="1" applyFill="1" applyAlignment="1" applyProtection="1">
      <alignment horizontal="left"/>
    </xf>
    <xf numFmtId="181" fontId="16" fillId="0" borderId="0" xfId="0" applyNumberFormat="1" applyFont="1" applyFill="1"/>
    <xf numFmtId="0" fontId="16" fillId="0" borderId="0" xfId="0" quotePrefix="1" applyFont="1" applyFill="1" applyBorder="1" applyAlignment="1">
      <alignment horizontal="left"/>
    </xf>
    <xf numFmtId="0" fontId="11" fillId="0" borderId="0" xfId="0" applyFont="1" applyFill="1"/>
    <xf numFmtId="181" fontId="11" fillId="0" borderId="0" xfId="0" applyNumberFormat="1" applyFont="1" applyFill="1" applyAlignment="1">
      <alignment horizontal="right"/>
    </xf>
    <xf numFmtId="39" fontId="16" fillId="0" borderId="0" xfId="0" applyNumberFormat="1" applyFont="1" applyFill="1"/>
    <xf numFmtId="181" fontId="16" fillId="0" borderId="0" xfId="0" applyNumberFormat="1" applyFont="1" applyFill="1" applyBorder="1"/>
    <xf numFmtId="39" fontId="3" fillId="0" borderId="0" xfId="0" applyNumberFormat="1" applyFont="1" applyFill="1"/>
    <xf numFmtId="181" fontId="3" fillId="0" borderId="0" xfId="0" applyNumberFormat="1" applyFont="1" applyFill="1" applyBorder="1"/>
    <xf numFmtId="181" fontId="3" fillId="0" borderId="0" xfId="0" applyNumberFormat="1" applyFont="1" applyFill="1" applyAlignment="1">
      <alignment horizontal="right"/>
    </xf>
    <xf numFmtId="181" fontId="3" fillId="0" borderId="0" xfId="0" applyNumberFormat="1" applyFont="1" applyFill="1" applyBorder="1" applyAlignment="1" applyProtection="1">
      <alignment horizontal="center"/>
    </xf>
    <xf numFmtId="181" fontId="3" fillId="0" borderId="0" xfId="0" applyNumberFormat="1" applyFont="1" applyFill="1" applyBorder="1" applyAlignment="1">
      <alignment horizontal="right"/>
    </xf>
    <xf numFmtId="0" fontId="3" fillId="0" borderId="0" xfId="0" applyFont="1" applyFill="1" applyAlignment="1" applyProtection="1">
      <alignment horizontal="centerContinuous"/>
    </xf>
    <xf numFmtId="181" fontId="3" fillId="0" borderId="0" xfId="0" applyNumberFormat="1" applyFont="1" applyFill="1"/>
    <xf numFmtId="37" fontId="3" fillId="0" borderId="0" xfId="0" applyNumberFormat="1" applyFont="1" applyFill="1" applyProtection="1"/>
    <xf numFmtId="181" fontId="3" fillId="0" borderId="0" xfId="0" applyNumberFormat="1" applyFont="1" applyFill="1" applyAlignment="1">
      <alignment horizontal="centerContinuous"/>
    </xf>
    <xf numFmtId="181" fontId="3" fillId="0" borderId="0" xfId="0" applyNumberFormat="1" applyFont="1" applyFill="1" applyAlignment="1" applyProtection="1">
      <alignment horizontal="fill"/>
    </xf>
    <xf numFmtId="181" fontId="3" fillId="0" borderId="0" xfId="0" applyNumberFormat="1" applyFont="1" applyFill="1" applyAlignment="1" applyProtection="1">
      <alignment horizontal="right"/>
    </xf>
    <xf numFmtId="0" fontId="3" fillId="0" borderId="5" xfId="0" applyFont="1" applyFill="1" applyBorder="1" applyAlignment="1" applyProtection="1">
      <alignment horizontal="center"/>
    </xf>
    <xf numFmtId="181" fontId="3" fillId="0" borderId="5" xfId="0" applyNumberFormat="1" applyFont="1" applyFill="1" applyBorder="1" applyAlignment="1" applyProtection="1">
      <alignment horizontal="center"/>
    </xf>
    <xf numFmtId="181" fontId="3" fillId="0" borderId="0" xfId="0" applyNumberFormat="1" applyFont="1" applyFill="1" applyAlignment="1" applyProtection="1">
      <alignment horizontal="center"/>
    </xf>
    <xf numFmtId="0" fontId="3" fillId="0" borderId="0" xfId="0" quotePrefix="1" applyFont="1" applyFill="1" applyAlignment="1" applyProtection="1">
      <alignment horizontal="center"/>
    </xf>
    <xf numFmtId="181" fontId="1" fillId="0" borderId="0" xfId="0" applyNumberFormat="1" applyFont="1" applyFill="1" applyBorder="1" applyProtection="1"/>
    <xf numFmtId="169" fontId="1" fillId="0" borderId="0" xfId="0" applyNumberFormat="1" applyFont="1" applyFill="1" applyBorder="1" applyProtection="1"/>
    <xf numFmtId="170" fontId="1" fillId="0" borderId="0" xfId="0" applyNumberFormat="1" applyFont="1" applyFill="1" applyBorder="1" applyProtection="1"/>
    <xf numFmtId="37" fontId="3" fillId="0" borderId="0" xfId="0" applyNumberFormat="1" applyFont="1" applyFill="1" applyBorder="1" applyProtection="1"/>
    <xf numFmtId="170" fontId="3" fillId="0" borderId="0" xfId="0" applyNumberFormat="1" applyFont="1" applyFill="1" applyBorder="1" applyProtection="1"/>
    <xf numFmtId="0" fontId="3" fillId="0" borderId="0" xfId="0" applyFont="1" applyFill="1" applyBorder="1" applyProtection="1"/>
    <xf numFmtId="37" fontId="1" fillId="0" borderId="1" xfId="0" applyNumberFormat="1" applyFont="1" applyFill="1" applyBorder="1"/>
    <xf numFmtId="37" fontId="1" fillId="0" borderId="5" xfId="0" applyNumberFormat="1" applyFont="1" applyFill="1" applyBorder="1" applyProtection="1"/>
    <xf numFmtId="37" fontId="1" fillId="0" borderId="8" xfId="0" applyNumberFormat="1" applyFont="1" applyFill="1" applyBorder="1" applyProtection="1"/>
    <xf numFmtId="181" fontId="1" fillId="0" borderId="8" xfId="0" applyNumberFormat="1" applyFont="1" applyFill="1" applyBorder="1" applyProtection="1"/>
    <xf numFmtId="181" fontId="1" fillId="0" borderId="8" xfId="0" applyNumberFormat="1" applyFont="1" applyFill="1" applyBorder="1" applyAlignment="1" applyProtection="1">
      <alignment horizontal="right"/>
    </xf>
    <xf numFmtId="181" fontId="3" fillId="0" borderId="0" xfId="0" applyNumberFormat="1" applyFont="1" applyFill="1" applyBorder="1" applyAlignment="1" applyProtection="1">
      <alignment horizontal="fill"/>
    </xf>
    <xf numFmtId="181" fontId="3" fillId="0" borderId="0" xfId="0" applyNumberFormat="1" applyFont="1" applyFill="1" applyBorder="1" applyProtection="1"/>
    <xf numFmtId="169" fontId="3" fillId="0" borderId="0" xfId="0" applyNumberFormat="1" applyFont="1" applyFill="1" applyBorder="1" applyProtection="1"/>
    <xf numFmtId="37" fontId="3" fillId="0" borderId="0" xfId="0" applyNumberFormat="1" applyFont="1" applyFill="1" applyBorder="1" applyAlignment="1" applyProtection="1">
      <alignment horizontal="right"/>
    </xf>
    <xf numFmtId="181" fontId="3" fillId="0" borderId="0" xfId="0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 applyProtection="1"/>
    <xf numFmtId="7" fontId="3" fillId="0" borderId="0" xfId="0" applyNumberFormat="1" applyFont="1" applyFill="1" applyBorder="1" applyAlignment="1" applyProtection="1">
      <alignment horizontal="center"/>
    </xf>
    <xf numFmtId="7" fontId="3" fillId="0" borderId="0" xfId="0" applyNumberFormat="1" applyFont="1" applyFill="1" applyBorder="1" applyProtection="1"/>
    <xf numFmtId="0" fontId="3" fillId="0" borderId="0" xfId="43" applyFont="1" applyFill="1" applyProtection="1"/>
    <xf numFmtId="0" fontId="13" fillId="4" borderId="0" xfId="0" applyFont="1" applyFill="1" applyProtection="1">
      <protection locked="0"/>
    </xf>
    <xf numFmtId="0" fontId="13" fillId="4" borderId="0" xfId="0" applyFont="1" applyFill="1"/>
    <xf numFmtId="0" fontId="27" fillId="4" borderId="0" xfId="0" applyFont="1" applyFill="1"/>
    <xf numFmtId="37" fontId="3" fillId="0" borderId="0" xfId="1" applyNumberFormat="1" applyFont="1" applyFill="1"/>
    <xf numFmtId="0" fontId="3" fillId="0" borderId="0" xfId="0" applyFont="1"/>
    <xf numFmtId="0" fontId="3" fillId="0" borderId="0" xfId="0" applyFont="1" applyBorder="1"/>
    <xf numFmtId="0" fontId="28" fillId="4" borderId="0" xfId="0" applyFont="1" applyFill="1" applyProtection="1">
      <protection locked="0"/>
    </xf>
    <xf numFmtId="0" fontId="28" fillId="4" borderId="0" xfId="0" applyFont="1" applyFill="1"/>
    <xf numFmtId="37" fontId="3" fillId="0" borderId="0" xfId="0" applyNumberFormat="1" applyFont="1" applyFill="1" applyProtection="1">
      <protection locked="0"/>
    </xf>
    <xf numFmtId="0" fontId="1" fillId="4" borderId="0" xfId="0" applyFont="1" applyFill="1" applyAlignment="1" applyProtection="1">
      <alignment horizontal="left"/>
      <protection locked="0"/>
    </xf>
    <xf numFmtId="173" fontId="3" fillId="5" borderId="11" xfId="0" applyNumberFormat="1" applyFont="1" applyFill="1" applyBorder="1" applyProtection="1">
      <protection locked="0"/>
    </xf>
    <xf numFmtId="0" fontId="2" fillId="0" borderId="0" xfId="0" applyFont="1" applyFill="1" applyAlignment="1" applyProtection="1">
      <alignment horizontal="left"/>
      <protection locked="0"/>
    </xf>
    <xf numFmtId="37" fontId="3" fillId="0" borderId="0" xfId="0" applyNumberFormat="1" applyFont="1" applyFill="1"/>
    <xf numFmtId="37" fontId="1" fillId="0" borderId="0" xfId="0" applyNumberFormat="1" applyFont="1" applyFill="1" applyBorder="1" applyProtection="1">
      <protection locked="0"/>
    </xf>
    <xf numFmtId="183" fontId="3" fillId="0" borderId="0" xfId="56" applyNumberFormat="1" applyFont="1"/>
    <xf numFmtId="184" fontId="3" fillId="0" borderId="0" xfId="0" applyNumberFormat="1" applyFont="1"/>
    <xf numFmtId="172" fontId="1" fillId="4" borderId="0" xfId="0" applyNumberFormat="1" applyFont="1" applyFill="1"/>
    <xf numFmtId="0" fontId="3" fillId="4" borderId="0" xfId="0" applyFont="1" applyFill="1" applyProtection="1">
      <protection locked="0"/>
    </xf>
    <xf numFmtId="44" fontId="3" fillId="5" borderId="11" xfId="57" applyFont="1" applyFill="1" applyBorder="1" applyProtection="1">
      <protection locked="0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left"/>
    </xf>
    <xf numFmtId="0" fontId="14" fillId="0" borderId="0" xfId="0" applyFont="1" applyAlignment="1">
      <alignment horizontal="centerContinuous"/>
    </xf>
    <xf numFmtId="0" fontId="14" fillId="0" borderId="1" xfId="0" quotePrefix="1" applyFont="1" applyBorder="1" applyAlignment="1" applyProtection="1">
      <alignment horizontal="center"/>
    </xf>
    <xf numFmtId="0" fontId="14" fillId="0" borderId="1" xfId="0" applyFont="1" applyBorder="1" applyAlignment="1" applyProtection="1">
      <alignment horizontal="center"/>
    </xf>
    <xf numFmtId="0" fontId="14" fillId="0" borderId="1" xfId="0" applyFont="1" applyBorder="1"/>
    <xf numFmtId="0" fontId="17" fillId="0" borderId="0" xfId="0" applyFont="1" applyAlignment="1">
      <alignment horizontal="center"/>
    </xf>
    <xf numFmtId="0" fontId="17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 indent="1"/>
    </xf>
    <xf numFmtId="0" fontId="14" fillId="0" borderId="0" xfId="0" quotePrefix="1" applyFont="1" applyAlignment="1" applyProtection="1">
      <alignment horizontal="left" indent="1"/>
    </xf>
    <xf numFmtId="0" fontId="14" fillId="0" borderId="0" xfId="0" applyFont="1" applyAlignment="1">
      <alignment horizontal="left"/>
    </xf>
    <xf numFmtId="0" fontId="14" fillId="0" borderId="0" xfId="0" applyFont="1" applyProtection="1"/>
    <xf numFmtId="0" fontId="14" fillId="0" borderId="0" xfId="0" quotePrefix="1" applyFont="1" applyAlignment="1" applyProtection="1">
      <alignment horizontal="center"/>
    </xf>
    <xf numFmtId="37" fontId="3" fillId="0" borderId="0" xfId="0" applyNumberFormat="1" applyFont="1" applyFill="1" applyBorder="1" applyProtection="1">
      <protection locked="0"/>
    </xf>
    <xf numFmtId="0" fontId="14" fillId="0" borderId="0" xfId="0" applyFont="1" applyFill="1" applyAlignment="1" applyProtection="1">
      <alignment horizontal="left"/>
    </xf>
    <xf numFmtId="0" fontId="3" fillId="0" borderId="1" xfId="0" applyFont="1" applyFill="1" applyBorder="1" applyAlignment="1" applyProtection="1">
      <alignment horizontal="fill"/>
    </xf>
    <xf numFmtId="181" fontId="3" fillId="0" borderId="1" xfId="0" applyNumberFormat="1" applyFont="1" applyFill="1" applyBorder="1" applyAlignment="1" applyProtection="1">
      <alignment horizontal="fill"/>
    </xf>
    <xf numFmtId="0" fontId="14" fillId="0" borderId="0" xfId="0" applyFont="1" applyFill="1" applyAlignment="1" applyProtection="1">
      <alignment horizontal="center"/>
    </xf>
    <xf numFmtId="181" fontId="14" fillId="0" borderId="0" xfId="0" applyNumberFormat="1" applyFont="1" applyFill="1" applyAlignment="1" applyProtection="1">
      <alignment horizontal="center"/>
    </xf>
    <xf numFmtId="0" fontId="14" fillId="0" borderId="0" xfId="0" applyFont="1" applyFill="1"/>
    <xf numFmtId="0" fontId="16" fillId="0" borderId="0" xfId="0" applyFont="1" applyFill="1" applyAlignment="1" applyProtection="1">
      <alignment horizontal="center"/>
    </xf>
    <xf numFmtId="0" fontId="16" fillId="0" borderId="0" xfId="0" quotePrefix="1" applyFont="1" applyFill="1" applyAlignment="1" applyProtection="1">
      <alignment horizontal="center"/>
    </xf>
    <xf numFmtId="181" fontId="16" fillId="0" borderId="0" xfId="0" applyNumberFormat="1" applyFont="1" applyFill="1" applyAlignment="1" applyProtection="1">
      <alignment horizontal="center"/>
    </xf>
    <xf numFmtId="174" fontId="1" fillId="0" borderId="0" xfId="0" applyNumberFormat="1" applyFont="1" applyFill="1" applyAlignment="1" applyProtection="1">
      <alignment horizontal="center"/>
    </xf>
    <xf numFmtId="166" fontId="1" fillId="0" borderId="0" xfId="0" applyNumberFormat="1" applyFont="1" applyFill="1" applyProtection="1"/>
    <xf numFmtId="39" fontId="1" fillId="0" borderId="1" xfId="0" applyNumberFormat="1" applyFont="1" applyFill="1" applyBorder="1" applyProtection="1"/>
    <xf numFmtId="0" fontId="14" fillId="0" borderId="0" xfId="0" quotePrefix="1" applyFont="1" applyFill="1" applyAlignment="1" applyProtection="1">
      <alignment horizontal="left"/>
    </xf>
    <xf numFmtId="39" fontId="1" fillId="0" borderId="7" xfId="0" applyNumberFormat="1" applyFont="1" applyFill="1" applyBorder="1" applyProtection="1"/>
    <xf numFmtId="174" fontId="1" fillId="0" borderId="0" xfId="0" applyNumberFormat="1" applyFont="1" applyFill="1" applyAlignment="1" applyProtection="1">
      <alignment horizontal="center"/>
      <protection locked="0"/>
    </xf>
    <xf numFmtId="166" fontId="1" fillId="0" borderId="0" xfId="0" applyNumberFormat="1" applyFont="1" applyFill="1" applyProtection="1">
      <protection locked="0"/>
    </xf>
    <xf numFmtId="39" fontId="1" fillId="0" borderId="0" xfId="0" applyNumberFormat="1" applyFont="1" applyFill="1" applyBorder="1" applyProtection="1"/>
    <xf numFmtId="166" fontId="1" fillId="0" borderId="0" xfId="0" applyNumberFormat="1" applyFont="1" applyFill="1" applyBorder="1" applyProtection="1"/>
    <xf numFmtId="0" fontId="1" fillId="0" borderId="0" xfId="0" applyFont="1" applyFill="1" applyBorder="1" applyProtection="1"/>
    <xf numFmtId="37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177" fontId="1" fillId="0" borderId="0" xfId="0" applyNumberFormat="1" applyFont="1" applyFill="1" applyAlignment="1" applyProtection="1">
      <alignment horizontal="center"/>
    </xf>
    <xf numFmtId="37" fontId="1" fillId="0" borderId="6" xfId="0" applyNumberFormat="1" applyFont="1" applyFill="1" applyBorder="1" applyProtection="1"/>
    <xf numFmtId="39" fontId="1" fillId="0" borderId="6" xfId="0" applyNumberFormat="1" applyFont="1" applyFill="1" applyBorder="1" applyProtection="1"/>
    <xf numFmtId="0" fontId="1" fillId="0" borderId="0" xfId="0" applyFont="1" applyFill="1" applyAlignment="1">
      <alignment horizontal="center"/>
    </xf>
    <xf numFmtId="39" fontId="1" fillId="0" borderId="0" xfId="0" applyNumberFormat="1" applyFont="1" applyFill="1"/>
    <xf numFmtId="0" fontId="10" fillId="0" borderId="0" xfId="0" applyFont="1" applyFill="1" applyAlignment="1">
      <alignment horizontal="center"/>
    </xf>
    <xf numFmtId="183" fontId="3" fillId="0" borderId="0" xfId="0" applyNumberFormat="1" applyFont="1" applyFill="1"/>
    <xf numFmtId="5" fontId="3" fillId="0" borderId="0" xfId="0" applyNumberFormat="1" applyFont="1" applyFill="1"/>
    <xf numFmtId="174" fontId="1" fillId="0" borderId="0" xfId="0" applyNumberFormat="1" applyFont="1" applyFill="1" applyAlignment="1">
      <alignment horizontal="center"/>
    </xf>
    <xf numFmtId="7" fontId="3" fillId="0" borderId="0" xfId="0" applyNumberFormat="1" applyFont="1" applyFill="1" applyProtection="1">
      <protection locked="0"/>
    </xf>
    <xf numFmtId="7" fontId="1" fillId="0" borderId="0" xfId="0" applyNumberFormat="1" applyFont="1" applyFill="1" applyProtection="1">
      <protection locked="0"/>
    </xf>
    <xf numFmtId="0" fontId="1" fillId="0" borderId="0" xfId="0" applyFont="1" applyFill="1" applyProtection="1">
      <protection locked="0"/>
    </xf>
    <xf numFmtId="37" fontId="1" fillId="0" borderId="1" xfId="0" applyNumberFormat="1" applyFont="1" applyFill="1" applyBorder="1" applyProtection="1">
      <protection locked="0"/>
    </xf>
    <xf numFmtId="37" fontId="3" fillId="0" borderId="1" xfId="0" applyNumberFormat="1" applyFont="1" applyFill="1" applyBorder="1" applyProtection="1">
      <protection locked="0"/>
    </xf>
    <xf numFmtId="172" fontId="3" fillId="0" borderId="0" xfId="0" applyNumberFormat="1" applyFont="1" applyFill="1" applyProtection="1">
      <protection locked="0"/>
    </xf>
    <xf numFmtId="165" fontId="1" fillId="0" borderId="0" xfId="0" applyNumberFormat="1" applyFont="1" applyFill="1" applyProtection="1">
      <protection locked="0"/>
    </xf>
    <xf numFmtId="179" fontId="3" fillId="0" borderId="0" xfId="0" applyNumberFormat="1" applyFont="1" applyFill="1" applyProtection="1">
      <protection locked="0"/>
    </xf>
    <xf numFmtId="181" fontId="1" fillId="0" borderId="6" xfId="0" applyNumberFormat="1" applyFont="1" applyFill="1" applyBorder="1" applyProtection="1"/>
    <xf numFmtId="0" fontId="3" fillId="0" borderId="0" xfId="10" applyFont="1" applyFill="1"/>
    <xf numFmtId="168" fontId="1" fillId="0" borderId="0" xfId="0" applyNumberFormat="1" applyFont="1" applyFill="1" applyProtection="1">
      <protection locked="0"/>
    </xf>
    <xf numFmtId="0" fontId="3" fillId="0" borderId="0" xfId="0" applyFont="1" applyFill="1" applyAlignment="1" applyProtection="1"/>
    <xf numFmtId="177" fontId="3" fillId="0" borderId="0" xfId="0" applyNumberFormat="1" applyFont="1" applyFill="1" applyProtection="1">
      <protection locked="0"/>
    </xf>
    <xf numFmtId="181" fontId="3" fillId="0" borderId="0" xfId="0" applyNumberFormat="1" applyFont="1" applyFill="1" applyProtection="1"/>
    <xf numFmtId="181" fontId="3" fillId="0" borderId="0" xfId="0" applyNumberFormat="1" applyFont="1" applyFill="1" applyBorder="1" applyAlignment="1" applyProtection="1">
      <alignment horizontal="left"/>
    </xf>
    <xf numFmtId="0" fontId="40" fillId="0" borderId="0" xfId="0" applyFont="1" applyFill="1"/>
    <xf numFmtId="0" fontId="16" fillId="0" borderId="0" xfId="0" quotePrefix="1" applyFont="1" applyFill="1" applyAlignment="1">
      <alignment horizontal="center"/>
    </xf>
    <xf numFmtId="7" fontId="3" fillId="0" borderId="0" xfId="0" applyNumberFormat="1" applyFont="1" applyFill="1" applyBorder="1" applyProtection="1">
      <protection locked="0"/>
    </xf>
    <xf numFmtId="7" fontId="3" fillId="0" borderId="0" xfId="0" applyNumberFormat="1" applyFont="1" applyFill="1"/>
    <xf numFmtId="0" fontId="1" fillId="0" borderId="0" xfId="0" applyFont="1" applyFill="1" applyProtection="1"/>
    <xf numFmtId="169" fontId="1" fillId="0" borderId="7" xfId="0" applyNumberFormat="1" applyFont="1" applyFill="1" applyBorder="1" applyProtection="1"/>
    <xf numFmtId="168" fontId="3" fillId="0" borderId="0" xfId="0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7" fontId="3" fillId="0" borderId="0" xfId="0" applyNumberFormat="1" applyFont="1" applyFill="1" applyBorder="1"/>
    <xf numFmtId="177" fontId="1" fillId="0" borderId="0" xfId="0" applyNumberFormat="1" applyFont="1" applyFill="1" applyProtection="1"/>
    <xf numFmtId="177" fontId="3" fillId="0" borderId="0" xfId="0" applyNumberFormat="1" applyFont="1" applyFill="1" applyProtection="1"/>
    <xf numFmtId="169" fontId="1" fillId="0" borderId="6" xfId="0" applyNumberFormat="1" applyFont="1" applyFill="1" applyBorder="1" applyProtection="1"/>
    <xf numFmtId="166" fontId="3" fillId="0" borderId="0" xfId="0" applyNumberFormat="1" applyFont="1" applyFill="1" applyProtection="1"/>
    <xf numFmtId="0" fontId="3" fillId="0" borderId="0" xfId="10" applyFont="1" applyFill="1" applyBorder="1"/>
    <xf numFmtId="0" fontId="3" fillId="0" borderId="0" xfId="0" applyFont="1" applyFill="1" applyBorder="1" applyAlignment="1" applyProtection="1">
      <alignment horizontal="centerContinuous"/>
    </xf>
    <xf numFmtId="0" fontId="14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40" fillId="0" borderId="0" xfId="0" applyFont="1" applyFill="1" applyBorder="1"/>
    <xf numFmtId="181" fontId="40" fillId="0" borderId="0" xfId="0" applyNumberFormat="1" applyFont="1" applyFill="1"/>
    <xf numFmtId="0" fontId="3" fillId="0" borderId="0" xfId="0" applyFont="1" applyFill="1" applyBorder="1" applyProtection="1">
      <protection locked="0"/>
    </xf>
    <xf numFmtId="181" fontId="1" fillId="0" borderId="0" xfId="0" applyNumberFormat="1" applyFont="1" applyFill="1" applyProtection="1">
      <protection locked="0"/>
    </xf>
    <xf numFmtId="170" fontId="1" fillId="0" borderId="0" xfId="0" applyNumberFormat="1" applyFont="1" applyFill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0" fontId="3" fillId="0" borderId="12" xfId="0" applyFont="1" applyFill="1" applyBorder="1"/>
    <xf numFmtId="0" fontId="3" fillId="0" borderId="13" xfId="0" applyFont="1" applyFill="1" applyBorder="1"/>
    <xf numFmtId="0" fontId="3" fillId="0" borderId="14" xfId="0" applyFont="1" applyFill="1" applyBorder="1"/>
    <xf numFmtId="173" fontId="3" fillId="0" borderId="0" xfId="0" applyNumberFormat="1" applyFont="1" applyFill="1" applyProtection="1"/>
    <xf numFmtId="181" fontId="3" fillId="0" borderId="0" xfId="0" applyNumberFormat="1" applyFont="1" applyFill="1" applyBorder="1" applyProtection="1">
      <protection locked="0"/>
    </xf>
    <xf numFmtId="170" fontId="3" fillId="0" borderId="0" xfId="0" applyNumberFormat="1" applyFont="1" applyFill="1" applyBorder="1" applyProtection="1">
      <protection locked="0"/>
    </xf>
    <xf numFmtId="169" fontId="3" fillId="0" borderId="0" xfId="0" applyNumberFormat="1" applyFont="1" applyFill="1" applyBorder="1" applyProtection="1">
      <protection locked="0"/>
    </xf>
    <xf numFmtId="167" fontId="3" fillId="0" borderId="0" xfId="0" applyNumberFormat="1" applyFont="1" applyFill="1" applyBorder="1" applyProtection="1">
      <protection locked="0"/>
    </xf>
    <xf numFmtId="39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37" fontId="3" fillId="0" borderId="0" xfId="0" applyNumberFormat="1" applyFont="1" applyFill="1" applyBorder="1" applyAlignment="1" applyProtection="1">
      <alignment horizontal="fill"/>
    </xf>
    <xf numFmtId="37" fontId="3" fillId="0" borderId="0" xfId="0" applyNumberFormat="1" applyFont="1" applyFill="1" applyBorder="1" applyAlignment="1" applyProtection="1">
      <alignment horizontal="fill"/>
      <protection locked="0"/>
    </xf>
    <xf numFmtId="169" fontId="3" fillId="0" borderId="0" xfId="0" applyNumberFormat="1" applyFont="1" applyFill="1" applyBorder="1" applyAlignment="1" applyProtection="1">
      <alignment horizontal="fill"/>
    </xf>
    <xf numFmtId="39" fontId="3" fillId="0" borderId="0" xfId="0" applyNumberFormat="1" applyFont="1" applyFill="1" applyBorder="1" applyProtection="1"/>
    <xf numFmtId="39" fontId="3" fillId="0" borderId="0" xfId="0" applyNumberFormat="1" applyFont="1" applyFill="1" applyBorder="1" applyAlignment="1" applyProtection="1">
      <alignment horizontal="fill"/>
    </xf>
    <xf numFmtId="39" fontId="3" fillId="0" borderId="0" xfId="0" applyNumberFormat="1" applyFont="1" applyFill="1" applyBorder="1" applyAlignment="1" applyProtection="1">
      <alignment horizontal="center"/>
    </xf>
    <xf numFmtId="171" fontId="3" fillId="0" borderId="0" xfId="0" applyNumberFormat="1" applyFont="1" applyFill="1" applyBorder="1" applyProtection="1"/>
    <xf numFmtId="0" fontId="3" fillId="0" borderId="0" xfId="0" applyFont="1" applyFill="1" applyBorder="1" applyAlignment="1" applyProtection="1">
      <alignment horizontal="left"/>
      <protection locked="0"/>
    </xf>
    <xf numFmtId="167" fontId="1" fillId="0" borderId="0" xfId="0" applyNumberFormat="1" applyFont="1" applyFill="1" applyProtection="1">
      <protection locked="0"/>
    </xf>
    <xf numFmtId="168" fontId="3" fillId="0" borderId="0" xfId="0" applyNumberFormat="1" applyFont="1" applyFill="1" applyBorder="1" applyAlignment="1" applyProtection="1">
      <alignment horizontal="right"/>
    </xf>
    <xf numFmtId="169" fontId="1" fillId="0" borderId="1" xfId="0" applyNumberFormat="1" applyFont="1" applyFill="1" applyBorder="1" applyProtection="1"/>
    <xf numFmtId="37" fontId="3" fillId="0" borderId="7" xfId="0" applyNumberFormat="1" applyFont="1" applyFill="1" applyBorder="1" applyProtection="1"/>
    <xf numFmtId="16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fill"/>
    </xf>
    <xf numFmtId="0" fontId="1" fillId="0" borderId="0" xfId="0" applyFont="1" applyFill="1" applyBorder="1" applyAlignment="1" applyProtection="1">
      <alignment horizontal="center"/>
    </xf>
    <xf numFmtId="37" fontId="1" fillId="0" borderId="0" xfId="0" applyNumberFormat="1" applyFont="1" applyFill="1" applyBorder="1" applyAlignment="1" applyProtection="1">
      <alignment horizontal="right"/>
    </xf>
    <xf numFmtId="177" fontId="1" fillId="0" borderId="0" xfId="0" applyNumberFormat="1" applyFont="1" applyFill="1" applyProtection="1">
      <protection locked="0"/>
    </xf>
    <xf numFmtId="0" fontId="1" fillId="0" borderId="0" xfId="0" applyNumberFormat="1" applyFont="1" applyFill="1" applyBorder="1" applyAlignment="1" applyProtection="1"/>
    <xf numFmtId="39" fontId="3" fillId="0" borderId="0" xfId="0" applyNumberFormat="1" applyFont="1" applyFill="1" applyProtection="1">
      <protection locked="0"/>
    </xf>
    <xf numFmtId="181" fontId="40" fillId="0" borderId="0" xfId="0" applyNumberFormat="1" applyFont="1" applyFill="1" applyBorder="1"/>
    <xf numFmtId="181" fontId="1" fillId="0" borderId="0" xfId="0" applyNumberFormat="1" applyFont="1" applyFill="1" applyBorder="1"/>
    <xf numFmtId="39" fontId="1" fillId="0" borderId="0" xfId="0" applyNumberFormat="1" applyFont="1" applyFill="1" applyProtection="1">
      <protection locked="0"/>
    </xf>
    <xf numFmtId="37" fontId="3" fillId="0" borderId="1" xfId="0" applyNumberFormat="1" applyFont="1" applyFill="1" applyBorder="1" applyProtection="1"/>
    <xf numFmtId="166" fontId="1" fillId="0" borderId="0" xfId="0" applyNumberFormat="1" applyFont="1" applyFill="1" applyBorder="1" applyProtection="1">
      <protection locked="0"/>
    </xf>
    <xf numFmtId="172" fontId="1" fillId="0" borderId="0" xfId="0" applyNumberFormat="1" applyFont="1" applyFill="1" applyProtection="1">
      <protection locked="0"/>
    </xf>
    <xf numFmtId="172" fontId="1" fillId="0" borderId="0" xfId="0" applyNumberFormat="1" applyFont="1" applyFill="1" applyBorder="1" applyProtection="1">
      <protection locked="0"/>
    </xf>
    <xf numFmtId="165" fontId="1" fillId="0" borderId="0" xfId="0" applyNumberFormat="1" applyFont="1" applyFill="1" applyBorder="1" applyProtection="1">
      <protection locked="0"/>
    </xf>
    <xf numFmtId="177" fontId="1" fillId="0" borderId="0" xfId="0" applyNumberFormat="1" applyFont="1" applyFill="1" applyBorder="1" applyProtection="1">
      <protection locked="0"/>
    </xf>
    <xf numFmtId="7" fontId="1" fillId="0" borderId="0" xfId="0" applyNumberFormat="1" applyFont="1" applyFill="1" applyProtection="1"/>
    <xf numFmtId="7" fontId="3" fillId="0" borderId="0" xfId="0" applyNumberFormat="1" applyFont="1" applyFill="1" applyProtection="1"/>
    <xf numFmtId="0" fontId="26" fillId="0" borderId="0" xfId="0" applyFont="1" applyFill="1"/>
    <xf numFmtId="169" fontId="3" fillId="0" borderId="0" xfId="0" applyNumberFormat="1" applyFont="1" applyFill="1" applyProtection="1">
      <protection locked="0"/>
    </xf>
    <xf numFmtId="169" fontId="3" fillId="0" borderId="0" xfId="0" applyNumberFormat="1" applyFont="1" applyFill="1" applyProtection="1"/>
    <xf numFmtId="181" fontId="1" fillId="0" borderId="6" xfId="0" applyNumberFormat="1" applyFont="1" applyFill="1" applyBorder="1" applyAlignment="1" applyProtection="1">
      <alignment horizontal="right"/>
    </xf>
    <xf numFmtId="7" fontId="1" fillId="0" borderId="0" xfId="0" applyNumberFormat="1" applyFont="1" applyFill="1" applyAlignment="1" applyProtection="1">
      <alignment horizontal="center"/>
    </xf>
    <xf numFmtId="0" fontId="3" fillId="0" borderId="0" xfId="0" applyFont="1" applyFill="1" applyProtection="1">
      <protection locked="0"/>
    </xf>
    <xf numFmtId="0" fontId="3" fillId="0" borderId="0" xfId="0" quotePrefix="1" applyFont="1" applyFill="1" applyAlignment="1">
      <alignment horizontal="left"/>
    </xf>
    <xf numFmtId="0" fontId="1" fillId="0" borderId="0" xfId="0" applyFont="1" applyFill="1" applyAlignment="1" applyProtection="1">
      <alignment horizontal="center"/>
    </xf>
    <xf numFmtId="37" fontId="1" fillId="0" borderId="6" xfId="0" applyNumberFormat="1" applyFont="1" applyFill="1" applyBorder="1" applyProtection="1">
      <protection locked="0"/>
    </xf>
    <xf numFmtId="0" fontId="1" fillId="0" borderId="0" xfId="0" quotePrefix="1" applyFont="1" applyFill="1" applyAlignment="1" applyProtection="1">
      <alignment horizontal="center"/>
    </xf>
    <xf numFmtId="181" fontId="1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>
      <alignment horizontal="right"/>
    </xf>
    <xf numFmtId="0" fontId="3" fillId="0" borderId="0" xfId="0" applyFont="1" applyFill="1" applyAlignment="1" applyProtection="1">
      <alignment horizontal="right"/>
    </xf>
    <xf numFmtId="169" fontId="7" fillId="0" borderId="0" xfId="0" applyNumberFormat="1" applyFont="1" applyFill="1" applyProtection="1"/>
    <xf numFmtId="0" fontId="16" fillId="0" borderId="5" xfId="0" quotePrefix="1" applyFont="1" applyFill="1" applyBorder="1" applyAlignment="1" applyProtection="1">
      <alignment horizontal="center"/>
    </xf>
    <xf numFmtId="0" fontId="16" fillId="0" borderId="5" xfId="0" applyFont="1" applyFill="1" applyBorder="1" applyAlignment="1" applyProtection="1">
      <alignment horizontal="center"/>
    </xf>
    <xf numFmtId="167" fontId="3" fillId="0" borderId="0" xfId="0" applyNumberFormat="1" applyFont="1" applyFill="1" applyProtection="1">
      <protection locked="0"/>
    </xf>
    <xf numFmtId="172" fontId="3" fillId="0" borderId="0" xfId="0" applyNumberFormat="1" applyFont="1" applyFill="1" applyBorder="1" applyProtection="1">
      <protection locked="0"/>
    </xf>
    <xf numFmtId="0" fontId="1" fillId="0" borderId="1" xfId="0" applyFont="1" applyFill="1" applyBorder="1" applyProtection="1"/>
    <xf numFmtId="181" fontId="3" fillId="0" borderId="0" xfId="0" applyNumberFormat="1" applyFont="1" applyFill="1" applyBorder="1" applyAlignment="1">
      <alignment horizontal="centerContinuous"/>
    </xf>
    <xf numFmtId="181" fontId="16" fillId="0" borderId="5" xfId="0" applyNumberFormat="1" applyFont="1" applyFill="1" applyBorder="1" applyAlignment="1" applyProtection="1">
      <alignment horizontal="center"/>
    </xf>
    <xf numFmtId="182" fontId="3" fillId="0" borderId="0" xfId="0" applyNumberFormat="1" applyFont="1" applyFill="1" applyProtection="1"/>
    <xf numFmtId="168" fontId="1" fillId="0" borderId="0" xfId="0" applyNumberFormat="1" applyFont="1" applyFill="1" applyBorder="1" applyProtection="1">
      <protection locked="0"/>
    </xf>
    <xf numFmtId="37" fontId="1" fillId="0" borderId="7" xfId="0" applyNumberFormat="1" applyFont="1" applyFill="1" applyBorder="1"/>
    <xf numFmtId="177" fontId="1" fillId="0" borderId="0" xfId="0" applyNumberFormat="1" applyFont="1" applyFill="1"/>
    <xf numFmtId="0" fontId="1" fillId="0" borderId="7" xfId="0" applyFont="1" applyFill="1" applyBorder="1"/>
    <xf numFmtId="0" fontId="14" fillId="0" borderId="0" xfId="0" applyFont="1" applyFill="1" applyAlignment="1" applyProtection="1"/>
    <xf numFmtId="166" fontId="3" fillId="0" borderId="0" xfId="0" applyNumberFormat="1" applyFont="1" applyFill="1" applyProtection="1">
      <protection locked="0"/>
    </xf>
    <xf numFmtId="165" fontId="3" fillId="0" borderId="0" xfId="0" applyNumberFormat="1" applyFont="1" applyFill="1" applyProtection="1">
      <protection locked="0"/>
    </xf>
    <xf numFmtId="0" fontId="3" fillId="0" borderId="1" xfId="0" applyFont="1" applyFill="1" applyBorder="1"/>
    <xf numFmtId="0" fontId="3" fillId="0" borderId="1" xfId="0" applyFont="1" applyFill="1" applyBorder="1" applyAlignment="1" applyProtection="1">
      <alignment horizontal="center"/>
    </xf>
    <xf numFmtId="0" fontId="3" fillId="0" borderId="7" xfId="0" applyFont="1" applyFill="1" applyBorder="1"/>
    <xf numFmtId="177" fontId="3" fillId="0" borderId="0" xfId="0" applyNumberFormat="1" applyFont="1" applyFill="1" applyBorder="1" applyProtection="1">
      <protection locked="0"/>
    </xf>
    <xf numFmtId="39" fontId="3" fillId="0" borderId="0" xfId="0" applyNumberFormat="1" applyFont="1" applyFill="1" applyBorder="1"/>
    <xf numFmtId="2" fontId="3" fillId="0" borderId="0" xfId="0" applyNumberFormat="1" applyFont="1" applyFill="1" applyBorder="1"/>
    <xf numFmtId="175" fontId="3" fillId="0" borderId="0" xfId="0" applyNumberFormat="1" applyFont="1" applyFill="1"/>
    <xf numFmtId="0" fontId="14" fillId="0" borderId="0" xfId="0" applyFont="1" applyFill="1" applyBorder="1" applyAlignment="1" applyProtection="1">
      <alignment horizontal="left"/>
    </xf>
    <xf numFmtId="37" fontId="3" fillId="0" borderId="7" xfId="0" applyNumberFormat="1" applyFont="1" applyFill="1" applyBorder="1"/>
    <xf numFmtId="39" fontId="3" fillId="0" borderId="0" xfId="0" applyNumberFormat="1" applyFont="1" applyFill="1" applyProtection="1"/>
    <xf numFmtId="37" fontId="3" fillId="0" borderId="1" xfId="0" applyNumberFormat="1" applyFont="1" applyFill="1" applyBorder="1"/>
    <xf numFmtId="172" fontId="3" fillId="0" borderId="0" xfId="0" applyNumberFormat="1" applyFont="1" applyFill="1" applyBorder="1"/>
    <xf numFmtId="173" fontId="3" fillId="0" borderId="0" xfId="0" applyNumberFormat="1" applyFont="1" applyFill="1" applyBorder="1"/>
    <xf numFmtId="37" fontId="3" fillId="0" borderId="6" xfId="0" applyNumberFormat="1" applyFont="1" applyFill="1" applyBorder="1"/>
    <xf numFmtId="185" fontId="3" fillId="0" borderId="0" xfId="0" applyNumberFormat="1" applyFont="1" applyFill="1" applyBorder="1"/>
    <xf numFmtId="178" fontId="3" fillId="0" borderId="0" xfId="0" applyNumberFormat="1" applyFont="1" applyFill="1" applyBorder="1"/>
    <xf numFmtId="10" fontId="3" fillId="0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0" fontId="3" fillId="0" borderId="0" xfId="0" quotePrefix="1" applyFont="1" applyFill="1" applyBorder="1" applyAlignment="1">
      <alignment horizontal="right"/>
    </xf>
    <xf numFmtId="10" fontId="3" fillId="0" borderId="0" xfId="58" applyNumberFormat="1" applyFont="1" applyFill="1" applyBorder="1"/>
    <xf numFmtId="166" fontId="3" fillId="0" borderId="0" xfId="0" applyNumberFormat="1" applyFont="1" applyFill="1" applyBorder="1" applyAlignment="1" applyProtection="1">
      <alignment horizontal="right"/>
    </xf>
    <xf numFmtId="39" fontId="1" fillId="0" borderId="0" xfId="0" applyNumberFormat="1" applyFont="1" applyFill="1" applyBorder="1"/>
    <xf numFmtId="0" fontId="3" fillId="0" borderId="0" xfId="0" applyFont="1" applyFill="1" applyBorder="1" applyAlignment="1" applyProtection="1"/>
    <xf numFmtId="166" fontId="3" fillId="0" borderId="0" xfId="0" applyNumberFormat="1" applyFont="1" applyFill="1" applyBorder="1" applyAlignment="1">
      <alignment horizontal="right"/>
    </xf>
    <xf numFmtId="183" fontId="3" fillId="0" borderId="0" xfId="56" applyNumberFormat="1" applyFont="1" applyFill="1" applyBorder="1" applyAlignment="1"/>
    <xf numFmtId="0" fontId="3" fillId="0" borderId="0" xfId="0" applyFont="1" applyFill="1" applyBorder="1" applyAlignment="1"/>
    <xf numFmtId="0" fontId="3" fillId="0" borderId="0" xfId="43" applyFont="1" applyFill="1" applyBorder="1"/>
    <xf numFmtId="0" fontId="14" fillId="0" borderId="0" xfId="0" applyFont="1" applyFill="1" applyBorder="1"/>
    <xf numFmtId="0" fontId="3" fillId="0" borderId="0" xfId="46" applyFont="1" applyFill="1" applyProtection="1"/>
    <xf numFmtId="0" fontId="3" fillId="0" borderId="0" xfId="46" applyFont="1" applyFill="1" applyBorder="1"/>
    <xf numFmtId="39" fontId="3" fillId="0" borderId="0" xfId="0" applyNumberFormat="1" applyFont="1" applyFill="1" applyBorder="1" applyAlignment="1" applyProtection="1">
      <protection locked="0"/>
    </xf>
    <xf numFmtId="2" fontId="1" fillId="0" borderId="0" xfId="0" applyNumberFormat="1" applyFont="1" applyFill="1" applyBorder="1" applyAlignment="1" applyProtection="1">
      <alignment horizontal="right"/>
    </xf>
    <xf numFmtId="0" fontId="3" fillId="0" borderId="0" xfId="17" applyFont="1" applyFill="1"/>
    <xf numFmtId="0" fontId="3" fillId="0" borderId="0" xfId="19" applyFont="1" applyFill="1"/>
    <xf numFmtId="181" fontId="3" fillId="0" borderId="0" xfId="0" applyNumberFormat="1" applyFont="1" applyFill="1" applyBorder="1" applyAlignment="1" applyProtection="1">
      <alignment horizontal="centerContinuous"/>
    </xf>
    <xf numFmtId="0" fontId="3" fillId="0" borderId="0" xfId="47" applyFont="1" applyFill="1" applyProtection="1"/>
    <xf numFmtId="0" fontId="3" fillId="0" borderId="0" xfId="21" applyFont="1" applyFill="1"/>
    <xf numFmtId="0" fontId="3" fillId="0" borderId="0" xfId="23" applyFont="1" applyFill="1"/>
    <xf numFmtId="0" fontId="3" fillId="0" borderId="0" xfId="47" applyFont="1" applyFill="1" applyBorder="1"/>
    <xf numFmtId="0" fontId="3" fillId="0" borderId="0" xfId="47" applyFont="1" applyFill="1" applyBorder="1" applyProtection="1"/>
    <xf numFmtId="172" fontId="3" fillId="0" borderId="0" xfId="0" applyNumberFormat="1" applyFont="1" applyFill="1"/>
    <xf numFmtId="169" fontId="1" fillId="0" borderId="0" xfId="0" applyNumberFormat="1" applyFont="1" applyFill="1" applyBorder="1"/>
    <xf numFmtId="0" fontId="3" fillId="0" borderId="0" xfId="0" applyNumberFormat="1" applyFont="1" applyFill="1" applyBorder="1" applyProtection="1"/>
    <xf numFmtId="39" fontId="1" fillId="0" borderId="0" xfId="0" applyNumberFormat="1" applyFont="1" applyFill="1" applyBorder="1" applyProtection="1">
      <protection locked="0"/>
    </xf>
    <xf numFmtId="169" fontId="1" fillId="0" borderId="8" xfId="0" applyNumberFormat="1" applyFont="1" applyFill="1" applyBorder="1" applyProtection="1"/>
    <xf numFmtId="37" fontId="3" fillId="0" borderId="6" xfId="0" applyNumberFormat="1" applyFont="1" applyFill="1" applyBorder="1" applyProtection="1"/>
    <xf numFmtId="176" fontId="1" fillId="0" borderId="0" xfId="0" applyNumberFormat="1" applyFont="1" applyFill="1" applyBorder="1" applyProtection="1"/>
    <xf numFmtId="172" fontId="3" fillId="0" borderId="0" xfId="0" applyNumberFormat="1" applyFont="1" applyFill="1" applyBorder="1" applyAlignment="1" applyProtection="1">
      <alignment horizontal="right"/>
    </xf>
    <xf numFmtId="177" fontId="3" fillId="0" borderId="0" xfId="0" applyNumberFormat="1" applyFont="1" applyFill="1"/>
    <xf numFmtId="176" fontId="1" fillId="0" borderId="0" xfId="0" applyNumberFormat="1" applyFont="1" applyFill="1" applyBorder="1"/>
    <xf numFmtId="181" fontId="3" fillId="0" borderId="0" xfId="0" applyNumberFormat="1" applyFont="1" applyFill="1" applyAlignment="1" applyProtection="1">
      <alignment horizontal="left"/>
    </xf>
    <xf numFmtId="174" fontId="1" fillId="0" borderId="0" xfId="0" applyNumberFormat="1" applyFont="1" applyFill="1" applyProtection="1"/>
    <xf numFmtId="177" fontId="3" fillId="0" borderId="0" xfId="0" applyNumberFormat="1" applyFont="1" applyFill="1" applyBorder="1"/>
    <xf numFmtId="172" fontId="3" fillId="0" borderId="0" xfId="0" applyNumberFormat="1" applyFont="1" applyFill="1" applyProtection="1"/>
    <xf numFmtId="37" fontId="3" fillId="0" borderId="6" xfId="0" applyNumberFormat="1" applyFont="1" applyFill="1" applyBorder="1" applyProtection="1">
      <protection locked="0"/>
    </xf>
    <xf numFmtId="37" fontId="3" fillId="0" borderId="0" xfId="0" applyNumberFormat="1" applyFont="1" applyFill="1" applyBorder="1" applyAlignment="1" applyProtection="1">
      <alignment horizontal="left"/>
    </xf>
    <xf numFmtId="182" fontId="3" fillId="0" borderId="0" xfId="0" applyNumberFormat="1" applyFont="1" applyFill="1" applyBorder="1"/>
    <xf numFmtId="179" fontId="3" fillId="0" borderId="0" xfId="0" applyNumberFormat="1" applyFont="1" applyFill="1" applyBorder="1" applyProtection="1">
      <protection locked="0"/>
    </xf>
    <xf numFmtId="170" fontId="1" fillId="0" borderId="6" xfId="0" applyNumberFormat="1" applyFont="1" applyFill="1" applyBorder="1" applyProtection="1"/>
    <xf numFmtId="169" fontId="3" fillId="0" borderId="0" xfId="0" applyNumberFormat="1" applyFont="1" applyFill="1" applyBorder="1"/>
    <xf numFmtId="181" fontId="3" fillId="0" borderId="0" xfId="0" applyNumberFormat="1" applyFont="1" applyFill="1" applyAlignment="1" applyProtection="1">
      <alignment horizontal="centerContinuous"/>
    </xf>
    <xf numFmtId="0" fontId="14" fillId="0" borderId="5" xfId="0" applyFont="1" applyFill="1" applyBorder="1" applyAlignment="1" applyProtection="1">
      <alignment horizontal="center"/>
    </xf>
    <xf numFmtId="0" fontId="14" fillId="0" borderId="5" xfId="0" quotePrefix="1" applyFont="1" applyFill="1" applyBorder="1" applyAlignment="1" applyProtection="1">
      <alignment horizontal="center"/>
    </xf>
    <xf numFmtId="181" fontId="14" fillId="0" borderId="5" xfId="0" applyNumberFormat="1" applyFont="1" applyFill="1" applyBorder="1" applyAlignment="1" applyProtection="1">
      <alignment horizontal="center"/>
    </xf>
    <xf numFmtId="181" fontId="1" fillId="0" borderId="0" xfId="0" applyNumberFormat="1" applyFont="1" applyFill="1" applyBorder="1" applyAlignment="1" applyProtection="1">
      <alignment horizontal="center"/>
    </xf>
    <xf numFmtId="37" fontId="41" fillId="0" borderId="0" xfId="0" applyNumberFormat="1" applyFont="1" applyFill="1" applyBorder="1" applyProtection="1"/>
    <xf numFmtId="179" fontId="3" fillId="0" borderId="0" xfId="0" applyNumberFormat="1" applyFont="1" applyFill="1"/>
    <xf numFmtId="179" fontId="3" fillId="0" borderId="0" xfId="0" applyNumberFormat="1" applyFont="1" applyFill="1" applyBorder="1"/>
    <xf numFmtId="167" fontId="1" fillId="0" borderId="0" xfId="0" applyNumberFormat="1" applyFont="1" applyFill="1" applyBorder="1" applyProtection="1">
      <protection locked="0"/>
    </xf>
    <xf numFmtId="0" fontId="14" fillId="0" borderId="1" xfId="0" applyFont="1" applyFill="1" applyBorder="1" applyAlignment="1" applyProtection="1">
      <alignment horizontal="center"/>
    </xf>
    <xf numFmtId="0" fontId="16" fillId="0" borderId="0" xfId="0" quotePrefix="1" applyFont="1" applyFill="1" applyBorder="1" applyAlignment="1" applyProtection="1">
      <alignment horizontal="center"/>
    </xf>
    <xf numFmtId="0" fontId="14" fillId="0" borderId="0" xfId="0" quotePrefix="1" applyFont="1" applyFill="1" applyAlignment="1">
      <alignment horizontal="left"/>
    </xf>
    <xf numFmtId="0" fontId="1" fillId="0" borderId="0" xfId="0" applyNumberFormat="1" applyFont="1" applyFill="1" applyBorder="1" applyProtection="1"/>
    <xf numFmtId="39" fontId="3" fillId="0" borderId="0" xfId="0" applyNumberFormat="1" applyFont="1" applyFill="1" applyBorder="1" applyAlignment="1" applyProtection="1">
      <alignment horizontal="right"/>
    </xf>
    <xf numFmtId="39" fontId="3" fillId="0" borderId="0" xfId="0" applyNumberFormat="1" applyFont="1" applyFill="1" applyBorder="1" applyAlignment="1">
      <alignment horizontal="centerContinuous"/>
    </xf>
    <xf numFmtId="37" fontId="1" fillId="0" borderId="6" xfId="0" applyNumberFormat="1" applyFont="1" applyFill="1" applyBorder="1"/>
    <xf numFmtId="170" fontId="1" fillId="0" borderId="6" xfId="0" applyNumberFormat="1" applyFont="1" applyFill="1" applyBorder="1"/>
    <xf numFmtId="170" fontId="3" fillId="0" borderId="0" xfId="0" applyNumberFormat="1" applyFont="1" applyFill="1" applyBorder="1" applyAlignment="1" applyProtection="1">
      <alignment horizontal="right"/>
    </xf>
    <xf numFmtId="37" fontId="3" fillId="0" borderId="0" xfId="0" applyNumberFormat="1" applyFont="1" applyFill="1" applyBorder="1" applyAlignment="1">
      <alignment horizontal="right"/>
    </xf>
    <xf numFmtId="0" fontId="1" fillId="0" borderId="6" xfId="0" applyFont="1" applyFill="1" applyBorder="1"/>
    <xf numFmtId="181" fontId="1" fillId="0" borderId="6" xfId="0" applyNumberFormat="1" applyFont="1" applyFill="1" applyBorder="1"/>
    <xf numFmtId="39" fontId="16" fillId="0" borderId="0" xfId="0" quotePrefix="1" applyNumberFormat="1" applyFont="1" applyFill="1" applyAlignment="1">
      <alignment horizontal="center"/>
    </xf>
    <xf numFmtId="173" fontId="3" fillId="0" borderId="0" xfId="0" applyNumberFormat="1" applyFont="1" applyFill="1"/>
    <xf numFmtId="3" fontId="3" fillId="0" borderId="0" xfId="0" applyNumberFormat="1" applyFont="1" applyFill="1"/>
    <xf numFmtId="182" fontId="3" fillId="0" borderId="0" xfId="0" applyNumberFormat="1" applyFont="1" applyFill="1" applyProtection="1">
      <protection locked="0"/>
    </xf>
    <xf numFmtId="180" fontId="3" fillId="0" borderId="0" xfId="0" applyNumberFormat="1" applyFont="1" applyFill="1" applyBorder="1"/>
    <xf numFmtId="0" fontId="1" fillId="0" borderId="0" xfId="0" quotePrefix="1" applyFont="1" applyFill="1" applyBorder="1" applyAlignment="1" applyProtection="1">
      <alignment horizontal="center"/>
    </xf>
    <xf numFmtId="170" fontId="3" fillId="0" borderId="0" xfId="0" applyNumberFormat="1" applyFont="1" applyFill="1" applyBorder="1"/>
    <xf numFmtId="0" fontId="14" fillId="0" borderId="0" xfId="0" quotePrefix="1" applyFont="1" applyFill="1" applyBorder="1" applyAlignment="1">
      <alignment horizontal="left"/>
    </xf>
    <xf numFmtId="0" fontId="3" fillId="0" borderId="1" xfId="0" applyFont="1" applyFill="1" applyBorder="1" applyAlignment="1" applyProtection="1">
      <alignment horizontal="centerContinuous"/>
    </xf>
    <xf numFmtId="0" fontId="3" fillId="0" borderId="1" xfId="0" applyFont="1" applyFill="1" applyBorder="1" applyAlignment="1">
      <alignment horizontal="centerContinuous"/>
    </xf>
    <xf numFmtId="0" fontId="14" fillId="0" borderId="0" xfId="0" quotePrefix="1" applyFont="1" applyFill="1" applyAlignment="1" applyProtection="1">
      <alignment horizontal="center"/>
    </xf>
    <xf numFmtId="0" fontId="3" fillId="0" borderId="1" xfId="0" applyFont="1" applyFill="1" applyBorder="1" applyAlignment="1" applyProtection="1">
      <alignment horizontal="left"/>
    </xf>
    <xf numFmtId="0" fontId="14" fillId="0" borderId="1" xfId="0" quotePrefix="1" applyFont="1" applyFill="1" applyBorder="1" applyAlignment="1" applyProtection="1">
      <alignment horizontal="center"/>
    </xf>
    <xf numFmtId="0" fontId="1" fillId="0" borderId="0" xfId="0" applyFont="1" applyFill="1" applyAlignment="1" applyProtection="1">
      <alignment horizontal="left"/>
    </xf>
    <xf numFmtId="0" fontId="16" fillId="0" borderId="1" xfId="0" applyFont="1" applyFill="1" applyBorder="1" applyAlignment="1" applyProtection="1">
      <alignment horizontal="center"/>
    </xf>
    <xf numFmtId="0" fontId="16" fillId="0" borderId="1" xfId="0" quotePrefix="1" applyFont="1" applyFill="1" applyBorder="1" applyAlignment="1" applyProtection="1">
      <alignment horizontal="center"/>
    </xf>
    <xf numFmtId="0" fontId="24" fillId="4" borderId="0" xfId="0" applyFont="1" applyFill="1" applyAlignment="1" applyProtection="1">
      <alignment horizontal="left"/>
      <protection locked="0"/>
    </xf>
    <xf numFmtId="0" fontId="24" fillId="4" borderId="0" xfId="0" applyFont="1" applyFill="1" applyAlignment="1" applyProtection="1">
      <alignment horizontal="left"/>
    </xf>
    <xf numFmtId="0" fontId="21" fillId="4" borderId="0" xfId="0" applyFont="1" applyFill="1" applyAlignment="1">
      <alignment horizontal="center"/>
    </xf>
    <xf numFmtId="0" fontId="19" fillId="7" borderId="2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39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1" xfId="0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</cellXfs>
  <cellStyles count="59">
    <cellStyle name="Comma" xfId="56" builtinId="3"/>
    <cellStyle name="Currency" xfId="57" builtinId="4"/>
    <cellStyle name="Normal" xfId="0" builtinId="0"/>
    <cellStyle name="Normal 10" xfId="10"/>
    <cellStyle name="Normal 11" xfId="11"/>
    <cellStyle name="Normal 12" xfId="13"/>
    <cellStyle name="Normal 12 2" xfId="50"/>
    <cellStyle name="Normal 12 3" xfId="51"/>
    <cellStyle name="Normal 12 4" xfId="53"/>
    <cellStyle name="Normal 12 5" xfId="52"/>
    <cellStyle name="Normal 12 6" xfId="54"/>
    <cellStyle name="Normal 13" xfId="12"/>
    <cellStyle name="Normal 14" xfId="16"/>
    <cellStyle name="Normal 15" xfId="17"/>
    <cellStyle name="Normal 16" xfId="19"/>
    <cellStyle name="Normal 17" xfId="21"/>
    <cellStyle name="Normal 18" xfId="23"/>
    <cellStyle name="Normal 19" xfId="25"/>
    <cellStyle name="Normal 2" xfId="1"/>
    <cellStyle name="Normal 2 10" xfId="29"/>
    <cellStyle name="Normal 2 11" xfId="32"/>
    <cellStyle name="Normal 2 12" xfId="34"/>
    <cellStyle name="Normal 2 13" xfId="36"/>
    <cellStyle name="Normal 2 14" xfId="38"/>
    <cellStyle name="Normal 2 15" xfId="40"/>
    <cellStyle name="Normal 2 16" xfId="27"/>
    <cellStyle name="Normal 2 17" xfId="41"/>
    <cellStyle name="Normal 2 18" xfId="44"/>
    <cellStyle name="Normal 2 19" xfId="45"/>
    <cellStyle name="Normal 2 2" xfId="2"/>
    <cellStyle name="Normal 2 20" xfId="48"/>
    <cellStyle name="Normal 2 3" xfId="14"/>
    <cellStyle name="Normal 2 4" xfId="15"/>
    <cellStyle name="Normal 2 5" xfId="18"/>
    <cellStyle name="Normal 2 6" xfId="20"/>
    <cellStyle name="Normal 2 7" xfId="22"/>
    <cellStyle name="Normal 2 8" xfId="24"/>
    <cellStyle name="Normal 2 9" xfId="26"/>
    <cellStyle name="Normal 20" xfId="30"/>
    <cellStyle name="Normal 21" xfId="31"/>
    <cellStyle name="Normal 22" xfId="33"/>
    <cellStyle name="Normal 23" xfId="35"/>
    <cellStyle name="Normal 24" xfId="37"/>
    <cellStyle name="Normal 25" xfId="39"/>
    <cellStyle name="Normal 26" xfId="28"/>
    <cellStyle name="Normal 27" xfId="42"/>
    <cellStyle name="Normal 28" xfId="43"/>
    <cellStyle name="Normal 29" xfId="46"/>
    <cellStyle name="Normal 3" xfId="3"/>
    <cellStyle name="Normal 30" xfId="47"/>
    <cellStyle name="Normal 31" xfId="55"/>
    <cellStyle name="Normal 32" xfId="49"/>
    <cellStyle name="Normal 4" xfId="4"/>
    <cellStyle name="Normal 5" xfId="5"/>
    <cellStyle name="Normal 6" xfId="6"/>
    <cellStyle name="Normal 7" xfId="7"/>
    <cellStyle name="Normal 8" xfId="8"/>
    <cellStyle name="Normal 9" xfId="9"/>
    <cellStyle name="Percent" xfId="58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66CC"/>
      <color rgb="FF0000FF"/>
      <color rgb="FF3333FF"/>
      <color rgb="FF255997"/>
      <color rgb="FFB919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3</xdr:row>
          <xdr:rowOff>19050</xdr:rowOff>
        </xdr:from>
        <xdr:to>
          <xdr:col>7</xdr:col>
          <xdr:colOff>9525</xdr:colOff>
          <xdr:row>4</xdr:row>
          <xdr:rowOff>9525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3</xdr:row>
          <xdr:rowOff>0</xdr:rowOff>
        </xdr:from>
        <xdr:to>
          <xdr:col>20</xdr:col>
          <xdr:colOff>0</xdr:colOff>
          <xdr:row>4</xdr:row>
          <xdr:rowOff>9525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N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Typical Bill Comparison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9</xdr:row>
          <xdr:rowOff>9525</xdr:rowOff>
        </xdr:from>
        <xdr:to>
          <xdr:col>2</xdr:col>
          <xdr:colOff>9525</xdr:colOff>
          <xdr:row>10</xdr:row>
          <xdr:rowOff>9525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11</xdr:row>
          <xdr:rowOff>0</xdr:rowOff>
        </xdr:from>
        <xdr:to>
          <xdr:col>2</xdr:col>
          <xdr:colOff>0</xdr:colOff>
          <xdr:row>12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4</xdr:col>
          <xdr:colOff>0</xdr:colOff>
          <xdr:row>8</xdr:row>
          <xdr:rowOff>9525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180975</xdr:rowOff>
        </xdr:from>
        <xdr:to>
          <xdr:col>4</xdr:col>
          <xdr:colOff>0</xdr:colOff>
          <xdr:row>10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9525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9525</xdr:rowOff>
        </xdr:from>
        <xdr:to>
          <xdr:col>6</xdr:col>
          <xdr:colOff>0</xdr:colOff>
          <xdr:row>10</xdr:row>
          <xdr:rowOff>9525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7</xdr:row>
          <xdr:rowOff>0</xdr:rowOff>
        </xdr:from>
        <xdr:to>
          <xdr:col>6</xdr:col>
          <xdr:colOff>0</xdr:colOff>
          <xdr:row>8</xdr:row>
          <xdr:rowOff>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180975</xdr:rowOff>
        </xdr:from>
        <xdr:to>
          <xdr:col>4</xdr:col>
          <xdr:colOff>9525</xdr:colOff>
          <xdr:row>15</xdr:row>
          <xdr:rowOff>495300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10</xdr:row>
          <xdr:rowOff>180975</xdr:rowOff>
        </xdr:from>
        <xdr:to>
          <xdr:col>6</xdr:col>
          <xdr:colOff>0</xdr:colOff>
          <xdr:row>11</xdr:row>
          <xdr:rowOff>495300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11</xdr:row>
          <xdr:rowOff>495300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14-16)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15</xdr:row>
          <xdr:rowOff>0</xdr:rowOff>
        </xdr:from>
        <xdr:to>
          <xdr:col>10</xdr:col>
          <xdr:colOff>0</xdr:colOff>
          <xdr:row>16</xdr:row>
          <xdr:rowOff>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12</xdr:row>
          <xdr:rowOff>180975</xdr:rowOff>
        </xdr:from>
        <xdr:to>
          <xdr:col>8</xdr:col>
          <xdr:colOff>0</xdr:colOff>
          <xdr:row>13</xdr:row>
          <xdr:rowOff>495300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9</xdr:row>
          <xdr:rowOff>9525</xdr:rowOff>
        </xdr:from>
        <xdr:to>
          <xdr:col>10</xdr:col>
          <xdr:colOff>0</xdr:colOff>
          <xdr:row>10</xdr:row>
          <xdr:rowOff>9525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11</xdr:row>
          <xdr:rowOff>9525</xdr:rowOff>
        </xdr:from>
        <xdr:to>
          <xdr:col>10</xdr:col>
          <xdr:colOff>0</xdr:colOff>
          <xdr:row>12</xdr:row>
          <xdr:rowOff>28575</xdr:rowOff>
        </xdr:to>
        <xdr:sp macro="" textlink="">
          <xdr:nvSpPr>
            <xdr:cNvPr id="1042" name="Butto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9525</xdr:rowOff>
        </xdr:from>
        <xdr:to>
          <xdr:col>12</xdr:col>
          <xdr:colOff>0</xdr:colOff>
          <xdr:row>7</xdr:row>
          <xdr:rowOff>495300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742950</xdr:colOff>
          <xdr:row>9</xdr:row>
          <xdr:rowOff>0</xdr:rowOff>
        </xdr:from>
        <xdr:to>
          <xdr:col>12</xdr:col>
          <xdr:colOff>0</xdr:colOff>
          <xdr:row>10</xdr:row>
          <xdr:rowOff>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11</xdr:row>
          <xdr:rowOff>0</xdr:rowOff>
        </xdr:from>
        <xdr:to>
          <xdr:col>12</xdr:col>
          <xdr:colOff>0</xdr:colOff>
          <xdr:row>12</xdr:row>
          <xdr:rowOff>19050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7</xdr:row>
          <xdr:rowOff>9525</xdr:rowOff>
        </xdr:from>
        <xdr:to>
          <xdr:col>14</xdr:col>
          <xdr:colOff>0</xdr:colOff>
          <xdr:row>8</xdr:row>
          <xdr:rowOff>9525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8</xdr:row>
          <xdr:rowOff>180975</xdr:rowOff>
        </xdr:from>
        <xdr:to>
          <xdr:col>14</xdr:col>
          <xdr:colOff>0</xdr:colOff>
          <xdr:row>10</xdr:row>
          <xdr:rowOff>9525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</a:t>
              </a: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11</xdr:row>
          <xdr:rowOff>0</xdr:rowOff>
        </xdr:from>
        <xdr:to>
          <xdr:col>14</xdr:col>
          <xdr:colOff>0</xdr:colOff>
          <xdr:row>12</xdr:row>
          <xdr:rowOff>19050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9</xdr:row>
          <xdr:rowOff>9525</xdr:rowOff>
        </xdr:from>
        <xdr:to>
          <xdr:col>16</xdr:col>
          <xdr:colOff>0</xdr:colOff>
          <xdr:row>10</xdr:row>
          <xdr:rowOff>9525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7</xdr:row>
          <xdr:rowOff>9525</xdr:rowOff>
        </xdr:from>
        <xdr:to>
          <xdr:col>16</xdr:col>
          <xdr:colOff>0</xdr:colOff>
          <xdr:row>8</xdr:row>
          <xdr:rowOff>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15</xdr:row>
          <xdr:rowOff>0</xdr:rowOff>
        </xdr:from>
        <xdr:to>
          <xdr:col>14</xdr:col>
          <xdr:colOff>0</xdr:colOff>
          <xdr:row>16</xdr:row>
          <xdr:rowOff>9525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11</xdr:row>
          <xdr:rowOff>9525</xdr:rowOff>
        </xdr:from>
        <xdr:to>
          <xdr:col>16</xdr:col>
          <xdr:colOff>0</xdr:colOff>
          <xdr:row>11</xdr:row>
          <xdr:rowOff>495300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11</xdr:row>
          <xdr:rowOff>9525</xdr:rowOff>
        </xdr:from>
        <xdr:to>
          <xdr:col>18</xdr:col>
          <xdr:colOff>19050</xdr:colOff>
          <xdr:row>12</xdr:row>
          <xdr:rowOff>0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14-16)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15</xdr:row>
          <xdr:rowOff>9525</xdr:rowOff>
        </xdr:from>
        <xdr:to>
          <xdr:col>20</xdr:col>
          <xdr:colOff>0</xdr:colOff>
          <xdr:row>16</xdr:row>
          <xdr:rowOff>19050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12</xdr:row>
          <xdr:rowOff>171450</xdr:rowOff>
        </xdr:from>
        <xdr:to>
          <xdr:col>18</xdr:col>
          <xdr:colOff>0</xdr:colOff>
          <xdr:row>13</xdr:row>
          <xdr:rowOff>495300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8</xdr:row>
          <xdr:rowOff>180975</xdr:rowOff>
        </xdr:from>
        <xdr:to>
          <xdr:col>20</xdr:col>
          <xdr:colOff>9525</xdr:colOff>
          <xdr:row>10</xdr:row>
          <xdr:rowOff>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10</xdr:row>
          <xdr:rowOff>180975</xdr:rowOff>
        </xdr:from>
        <xdr:to>
          <xdr:col>20</xdr:col>
          <xdr:colOff>0</xdr:colOff>
          <xdr:row>12</xdr:row>
          <xdr:rowOff>0</xdr:rowOff>
        </xdr:to>
        <xdr:sp macro="" textlink="">
          <xdr:nvSpPr>
            <xdr:cNvPr id="1058" name="Button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</xdr:row>
          <xdr:rowOff>209550</xdr:rowOff>
        </xdr:from>
        <xdr:to>
          <xdr:col>13</xdr:col>
          <xdr:colOff>9525</xdr:colOff>
          <xdr:row>4</xdr:row>
          <xdr:rowOff>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M-2.1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at Average Rates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13</xdr:row>
          <xdr:rowOff>9525</xdr:rowOff>
        </xdr:from>
        <xdr:to>
          <xdr:col>10</xdr:col>
          <xdr:colOff>0</xdr:colOff>
          <xdr:row>14</xdr:row>
          <xdr:rowOff>19050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12</xdr:row>
          <xdr:rowOff>180975</xdr:rowOff>
        </xdr:from>
        <xdr:to>
          <xdr:col>20</xdr:col>
          <xdr:colOff>0</xdr:colOff>
          <xdr:row>13</xdr:row>
          <xdr:rowOff>485775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</xdr:row>
          <xdr:rowOff>9525</xdr:rowOff>
        </xdr:from>
        <xdr:to>
          <xdr:col>2</xdr:col>
          <xdr:colOff>9525</xdr:colOff>
          <xdr:row>13</xdr:row>
          <xdr:rowOff>495300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19050</xdr:rowOff>
        </xdr:from>
        <xdr:to>
          <xdr:col>12</xdr:col>
          <xdr:colOff>0</xdr:colOff>
          <xdr:row>13</xdr:row>
          <xdr:rowOff>495300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13</xdr:row>
          <xdr:rowOff>0</xdr:rowOff>
        </xdr:from>
        <xdr:to>
          <xdr:col>14</xdr:col>
          <xdr:colOff>0</xdr:colOff>
          <xdr:row>13</xdr:row>
          <xdr:rowOff>495300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180975</xdr:rowOff>
        </xdr:from>
        <xdr:to>
          <xdr:col>4</xdr:col>
          <xdr:colOff>9525</xdr:colOff>
          <xdr:row>13</xdr:row>
          <xdr:rowOff>485775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15</xdr:row>
          <xdr:rowOff>9525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6</xdr:row>
          <xdr:rowOff>180975</xdr:rowOff>
        </xdr:from>
        <xdr:to>
          <xdr:col>20</xdr:col>
          <xdr:colOff>0</xdr:colOff>
          <xdr:row>8</xdr:row>
          <xdr:rowOff>9525</xdr:rowOff>
        </xdr:to>
        <xdr:sp macro="" textlink="">
          <xdr:nvSpPr>
            <xdr:cNvPr id="1068" name="Button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7</xdr:row>
          <xdr:rowOff>0</xdr:rowOff>
        </xdr:from>
        <xdr:to>
          <xdr:col>10</xdr:col>
          <xdr:colOff>0</xdr:colOff>
          <xdr:row>8</xdr:row>
          <xdr:rowOff>19050</xdr:rowOff>
        </xdr:to>
        <xdr:sp macro="" textlink="">
          <xdr:nvSpPr>
            <xdr:cNvPr id="1069" name="Button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14</xdr:row>
          <xdr:rowOff>180975</xdr:rowOff>
        </xdr:from>
        <xdr:to>
          <xdr:col>8</xdr:col>
          <xdr:colOff>0</xdr:colOff>
          <xdr:row>16</xdr:row>
          <xdr:rowOff>9525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13</xdr:row>
          <xdr:rowOff>0</xdr:rowOff>
        </xdr:from>
        <xdr:to>
          <xdr:col>6</xdr:col>
          <xdr:colOff>0</xdr:colOff>
          <xdr:row>14</xdr:row>
          <xdr:rowOff>0</xdr:rowOff>
        </xdr:to>
        <xdr:sp macro="" textlink="">
          <xdr:nvSpPr>
            <xdr:cNvPr id="1071" name="Button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15</xdr:row>
          <xdr:rowOff>0</xdr:rowOff>
        </xdr:from>
        <xdr:to>
          <xdr:col>6</xdr:col>
          <xdr:colOff>0</xdr:colOff>
          <xdr:row>15</xdr:row>
          <xdr:rowOff>495300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7</xdr:row>
          <xdr:rowOff>9525</xdr:rowOff>
        </xdr:from>
        <xdr:to>
          <xdr:col>8</xdr:col>
          <xdr:colOff>9525</xdr:colOff>
          <xdr:row>8</xdr:row>
          <xdr:rowOff>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9</xdr:row>
          <xdr:rowOff>0</xdr:rowOff>
        </xdr:from>
        <xdr:to>
          <xdr:col>8</xdr:col>
          <xdr:colOff>0</xdr:colOff>
          <xdr:row>9</xdr:row>
          <xdr:rowOff>495300</xdr:rowOff>
        </xdr:to>
        <xdr:sp macro="" textlink="">
          <xdr:nvSpPr>
            <xdr:cNvPr id="1074" name="Button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13</xdr:row>
          <xdr:rowOff>9525</xdr:rowOff>
        </xdr:from>
        <xdr:to>
          <xdr:col>16</xdr:col>
          <xdr:colOff>0</xdr:colOff>
          <xdr:row>14</xdr:row>
          <xdr:rowOff>0</xdr:rowOff>
        </xdr:to>
        <xdr:sp macro="" textlink="">
          <xdr:nvSpPr>
            <xdr:cNvPr id="1075" name="Button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15</xdr:row>
          <xdr:rowOff>9525</xdr:rowOff>
        </xdr:from>
        <xdr:to>
          <xdr:col>16</xdr:col>
          <xdr:colOff>9525</xdr:colOff>
          <xdr:row>16</xdr:row>
          <xdr:rowOff>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7</xdr:row>
          <xdr:rowOff>9525</xdr:rowOff>
        </xdr:from>
        <xdr:to>
          <xdr:col>18</xdr:col>
          <xdr:colOff>9525</xdr:colOff>
          <xdr:row>7</xdr:row>
          <xdr:rowOff>495300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8</xdr:row>
          <xdr:rowOff>180975</xdr:rowOff>
        </xdr:from>
        <xdr:to>
          <xdr:col>18</xdr:col>
          <xdr:colOff>9525</xdr:colOff>
          <xdr:row>9</xdr:row>
          <xdr:rowOff>495300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(Pg13)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4.bin"/><Relationship Id="rId13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203.bin"/><Relationship Id="rId12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printerSettings" Target="../printerSettings/printerSettings202.bin"/><Relationship Id="rId11" Type="http://schemas.openxmlformats.org/officeDocument/2006/relationships/printerSettings" Target="../printerSettings/printerSettings207.bin"/><Relationship Id="rId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0.bin"/><Relationship Id="rId9" Type="http://schemas.openxmlformats.org/officeDocument/2006/relationships/printerSettings" Target="../printerSettings/printerSettings20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.bin"/><Relationship Id="rId18" Type="http://schemas.openxmlformats.org/officeDocument/2006/relationships/ctrlProp" Target="../ctrlProps/ctrlProp3.xml"/><Relationship Id="rId26" Type="http://schemas.openxmlformats.org/officeDocument/2006/relationships/ctrlProp" Target="../ctrlProps/ctrlProp11.xml"/><Relationship Id="rId39" Type="http://schemas.openxmlformats.org/officeDocument/2006/relationships/ctrlProp" Target="../ctrlProps/ctrlProp24.xml"/><Relationship Id="rId21" Type="http://schemas.openxmlformats.org/officeDocument/2006/relationships/ctrlProp" Target="../ctrlProps/ctrlProp6.xml"/><Relationship Id="rId34" Type="http://schemas.openxmlformats.org/officeDocument/2006/relationships/ctrlProp" Target="../ctrlProps/ctrlProp19.xml"/><Relationship Id="rId42" Type="http://schemas.openxmlformats.org/officeDocument/2006/relationships/ctrlProp" Target="../ctrlProps/ctrlProp27.xml"/><Relationship Id="rId47" Type="http://schemas.openxmlformats.org/officeDocument/2006/relationships/ctrlProp" Target="../ctrlProps/ctrlProp32.xml"/><Relationship Id="rId50" Type="http://schemas.openxmlformats.org/officeDocument/2006/relationships/ctrlProp" Target="../ctrlProps/ctrlProp35.xml"/><Relationship Id="rId55" Type="http://schemas.openxmlformats.org/officeDocument/2006/relationships/ctrlProp" Target="../ctrlProps/ctrlProp40.xml"/><Relationship Id="rId63" Type="http://schemas.openxmlformats.org/officeDocument/2006/relationships/ctrlProp" Target="../ctrlProps/ctrlProp48.xml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6" Type="http://schemas.openxmlformats.org/officeDocument/2006/relationships/ctrlProp" Target="../ctrlProps/ctrlProp1.xml"/><Relationship Id="rId20" Type="http://schemas.openxmlformats.org/officeDocument/2006/relationships/ctrlProp" Target="../ctrlProps/ctrlProp5.xml"/><Relationship Id="rId29" Type="http://schemas.openxmlformats.org/officeDocument/2006/relationships/ctrlProp" Target="../ctrlProps/ctrlProp14.xml"/><Relationship Id="rId41" Type="http://schemas.openxmlformats.org/officeDocument/2006/relationships/ctrlProp" Target="../ctrlProps/ctrlProp26.xml"/><Relationship Id="rId54" Type="http://schemas.openxmlformats.org/officeDocument/2006/relationships/ctrlProp" Target="../ctrlProps/ctrlProp39.xml"/><Relationship Id="rId62" Type="http://schemas.openxmlformats.org/officeDocument/2006/relationships/ctrlProp" Target="../ctrlProps/ctrlProp47.xml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24" Type="http://schemas.openxmlformats.org/officeDocument/2006/relationships/ctrlProp" Target="../ctrlProps/ctrlProp9.xml"/><Relationship Id="rId32" Type="http://schemas.openxmlformats.org/officeDocument/2006/relationships/ctrlProp" Target="../ctrlProps/ctrlProp17.xml"/><Relationship Id="rId37" Type="http://schemas.openxmlformats.org/officeDocument/2006/relationships/ctrlProp" Target="../ctrlProps/ctrlProp22.xml"/><Relationship Id="rId40" Type="http://schemas.openxmlformats.org/officeDocument/2006/relationships/ctrlProp" Target="../ctrlProps/ctrlProp25.xml"/><Relationship Id="rId45" Type="http://schemas.openxmlformats.org/officeDocument/2006/relationships/ctrlProp" Target="../ctrlProps/ctrlProp30.xml"/><Relationship Id="rId53" Type="http://schemas.openxmlformats.org/officeDocument/2006/relationships/ctrlProp" Target="../ctrlProps/ctrlProp38.xml"/><Relationship Id="rId58" Type="http://schemas.openxmlformats.org/officeDocument/2006/relationships/ctrlProp" Target="../ctrlProps/ctrlProp43.xml"/><Relationship Id="rId66" Type="http://schemas.openxmlformats.org/officeDocument/2006/relationships/ctrlProp" Target="../ctrlProps/ctrlProp51.xml"/><Relationship Id="rId5" Type="http://schemas.openxmlformats.org/officeDocument/2006/relationships/printerSettings" Target="../printerSettings/printerSettings18.bin"/><Relationship Id="rId15" Type="http://schemas.openxmlformats.org/officeDocument/2006/relationships/vmlDrawing" Target="../drawings/vmlDrawing1.vml"/><Relationship Id="rId23" Type="http://schemas.openxmlformats.org/officeDocument/2006/relationships/ctrlProp" Target="../ctrlProps/ctrlProp8.xml"/><Relationship Id="rId28" Type="http://schemas.openxmlformats.org/officeDocument/2006/relationships/ctrlProp" Target="../ctrlProps/ctrlProp13.xml"/><Relationship Id="rId36" Type="http://schemas.openxmlformats.org/officeDocument/2006/relationships/ctrlProp" Target="../ctrlProps/ctrlProp21.xml"/><Relationship Id="rId49" Type="http://schemas.openxmlformats.org/officeDocument/2006/relationships/ctrlProp" Target="../ctrlProps/ctrlProp34.xml"/><Relationship Id="rId57" Type="http://schemas.openxmlformats.org/officeDocument/2006/relationships/ctrlProp" Target="../ctrlProps/ctrlProp42.xml"/><Relationship Id="rId61" Type="http://schemas.openxmlformats.org/officeDocument/2006/relationships/ctrlProp" Target="../ctrlProps/ctrlProp46.xml"/><Relationship Id="rId10" Type="http://schemas.openxmlformats.org/officeDocument/2006/relationships/printerSettings" Target="../printerSettings/printerSettings23.bin"/><Relationship Id="rId19" Type="http://schemas.openxmlformats.org/officeDocument/2006/relationships/ctrlProp" Target="../ctrlProps/ctrlProp4.xml"/><Relationship Id="rId31" Type="http://schemas.openxmlformats.org/officeDocument/2006/relationships/ctrlProp" Target="../ctrlProps/ctrlProp16.xml"/><Relationship Id="rId44" Type="http://schemas.openxmlformats.org/officeDocument/2006/relationships/ctrlProp" Target="../ctrlProps/ctrlProp29.xml"/><Relationship Id="rId52" Type="http://schemas.openxmlformats.org/officeDocument/2006/relationships/ctrlProp" Target="../ctrlProps/ctrlProp37.xml"/><Relationship Id="rId60" Type="http://schemas.openxmlformats.org/officeDocument/2006/relationships/ctrlProp" Target="../ctrlProps/ctrlProp45.xml"/><Relationship Id="rId65" Type="http://schemas.openxmlformats.org/officeDocument/2006/relationships/ctrlProp" Target="../ctrlProps/ctrlProp50.xml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Relationship Id="rId14" Type="http://schemas.openxmlformats.org/officeDocument/2006/relationships/drawing" Target="../drawings/drawing1.xml"/><Relationship Id="rId22" Type="http://schemas.openxmlformats.org/officeDocument/2006/relationships/ctrlProp" Target="../ctrlProps/ctrlProp7.xml"/><Relationship Id="rId27" Type="http://schemas.openxmlformats.org/officeDocument/2006/relationships/ctrlProp" Target="../ctrlProps/ctrlProp12.xml"/><Relationship Id="rId30" Type="http://schemas.openxmlformats.org/officeDocument/2006/relationships/ctrlProp" Target="../ctrlProps/ctrlProp15.xml"/><Relationship Id="rId35" Type="http://schemas.openxmlformats.org/officeDocument/2006/relationships/ctrlProp" Target="../ctrlProps/ctrlProp20.xml"/><Relationship Id="rId43" Type="http://schemas.openxmlformats.org/officeDocument/2006/relationships/ctrlProp" Target="../ctrlProps/ctrlProp28.xml"/><Relationship Id="rId48" Type="http://schemas.openxmlformats.org/officeDocument/2006/relationships/ctrlProp" Target="../ctrlProps/ctrlProp33.xml"/><Relationship Id="rId56" Type="http://schemas.openxmlformats.org/officeDocument/2006/relationships/ctrlProp" Target="../ctrlProps/ctrlProp41.xml"/><Relationship Id="rId64" Type="http://schemas.openxmlformats.org/officeDocument/2006/relationships/ctrlProp" Target="../ctrlProps/ctrlProp49.xml"/><Relationship Id="rId8" Type="http://schemas.openxmlformats.org/officeDocument/2006/relationships/printerSettings" Target="../printerSettings/printerSettings21.bin"/><Relationship Id="rId51" Type="http://schemas.openxmlformats.org/officeDocument/2006/relationships/ctrlProp" Target="../ctrlProps/ctrlProp36.xml"/><Relationship Id="rId3" Type="http://schemas.openxmlformats.org/officeDocument/2006/relationships/printerSettings" Target="../printerSettings/printerSettings16.bin"/><Relationship Id="rId12" Type="http://schemas.openxmlformats.org/officeDocument/2006/relationships/printerSettings" Target="../printerSettings/printerSettings25.bin"/><Relationship Id="rId17" Type="http://schemas.openxmlformats.org/officeDocument/2006/relationships/ctrlProp" Target="../ctrlProps/ctrlProp2.xml"/><Relationship Id="rId25" Type="http://schemas.openxmlformats.org/officeDocument/2006/relationships/ctrlProp" Target="../ctrlProps/ctrlProp10.xml"/><Relationship Id="rId33" Type="http://schemas.openxmlformats.org/officeDocument/2006/relationships/ctrlProp" Target="../ctrlProps/ctrlProp18.xml"/><Relationship Id="rId38" Type="http://schemas.openxmlformats.org/officeDocument/2006/relationships/ctrlProp" Target="../ctrlProps/ctrlProp23.xml"/><Relationship Id="rId46" Type="http://schemas.openxmlformats.org/officeDocument/2006/relationships/ctrlProp" Target="../ctrlProps/ctrlProp31.xml"/><Relationship Id="rId59" Type="http://schemas.openxmlformats.org/officeDocument/2006/relationships/ctrlProp" Target="../ctrlProps/ctrlProp4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51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printerSettings" Target="../printerSettings/printerSettings249.bin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9.bin"/><Relationship Id="rId13" Type="http://schemas.openxmlformats.org/officeDocument/2006/relationships/printerSettings" Target="../printerSettings/printerSettings264.bin"/><Relationship Id="rId3" Type="http://schemas.openxmlformats.org/officeDocument/2006/relationships/printerSettings" Target="../printerSettings/printerSettings254.bin"/><Relationship Id="rId7" Type="http://schemas.openxmlformats.org/officeDocument/2006/relationships/printerSettings" Target="../printerSettings/printerSettings258.bin"/><Relationship Id="rId12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Relationship Id="rId6" Type="http://schemas.openxmlformats.org/officeDocument/2006/relationships/printerSettings" Target="../printerSettings/printerSettings257.bin"/><Relationship Id="rId11" Type="http://schemas.openxmlformats.org/officeDocument/2006/relationships/printerSettings" Target="../printerSettings/printerSettings262.bin"/><Relationship Id="rId5" Type="http://schemas.openxmlformats.org/officeDocument/2006/relationships/printerSettings" Target="../printerSettings/printerSettings256.bin"/><Relationship Id="rId10" Type="http://schemas.openxmlformats.org/officeDocument/2006/relationships/printerSettings" Target="../printerSettings/printerSettings261.bin"/><Relationship Id="rId4" Type="http://schemas.openxmlformats.org/officeDocument/2006/relationships/printerSettings" Target="../printerSettings/printerSettings255.bin"/><Relationship Id="rId9" Type="http://schemas.openxmlformats.org/officeDocument/2006/relationships/printerSettings" Target="../printerSettings/printerSettings26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6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3.bin"/><Relationship Id="rId13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68.bin"/><Relationship Id="rId7" Type="http://schemas.openxmlformats.org/officeDocument/2006/relationships/printerSettings" Target="../printerSettings/printerSettings272.bin"/><Relationship Id="rId12" Type="http://schemas.openxmlformats.org/officeDocument/2006/relationships/printerSettings" Target="../printerSettings/printerSettings277.bin"/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Relationship Id="rId6" Type="http://schemas.openxmlformats.org/officeDocument/2006/relationships/printerSettings" Target="../printerSettings/printerSettings271.bin"/><Relationship Id="rId11" Type="http://schemas.openxmlformats.org/officeDocument/2006/relationships/printerSettings" Target="../printerSettings/printerSettings276.bin"/><Relationship Id="rId5" Type="http://schemas.openxmlformats.org/officeDocument/2006/relationships/printerSettings" Target="../printerSettings/printerSettings270.bin"/><Relationship Id="rId10" Type="http://schemas.openxmlformats.org/officeDocument/2006/relationships/printerSettings" Target="../printerSettings/printerSettings275.bin"/><Relationship Id="rId4" Type="http://schemas.openxmlformats.org/officeDocument/2006/relationships/printerSettings" Target="../printerSettings/printerSettings269.bin"/><Relationship Id="rId9" Type="http://schemas.openxmlformats.org/officeDocument/2006/relationships/printerSettings" Target="../printerSettings/printerSettings27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6.bin"/><Relationship Id="rId13" Type="http://schemas.openxmlformats.org/officeDocument/2006/relationships/printerSettings" Target="../printerSettings/printerSettings291.bin"/><Relationship Id="rId3" Type="http://schemas.openxmlformats.org/officeDocument/2006/relationships/printerSettings" Target="../printerSettings/printerSettings281.bin"/><Relationship Id="rId7" Type="http://schemas.openxmlformats.org/officeDocument/2006/relationships/printerSettings" Target="../printerSettings/printerSettings285.bin"/><Relationship Id="rId12" Type="http://schemas.openxmlformats.org/officeDocument/2006/relationships/printerSettings" Target="../printerSettings/printerSettings290.bin"/><Relationship Id="rId2" Type="http://schemas.openxmlformats.org/officeDocument/2006/relationships/printerSettings" Target="../printerSettings/printerSettings280.bin"/><Relationship Id="rId1" Type="http://schemas.openxmlformats.org/officeDocument/2006/relationships/printerSettings" Target="../printerSettings/printerSettings279.bin"/><Relationship Id="rId6" Type="http://schemas.openxmlformats.org/officeDocument/2006/relationships/printerSettings" Target="../printerSettings/printerSettings284.bin"/><Relationship Id="rId11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3.bin"/><Relationship Id="rId10" Type="http://schemas.openxmlformats.org/officeDocument/2006/relationships/printerSettings" Target="../printerSettings/printerSettings288.bin"/><Relationship Id="rId4" Type="http://schemas.openxmlformats.org/officeDocument/2006/relationships/printerSettings" Target="../printerSettings/printerSettings282.bin"/><Relationship Id="rId9" Type="http://schemas.openxmlformats.org/officeDocument/2006/relationships/printerSettings" Target="../printerSettings/printerSettings28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9.bin"/><Relationship Id="rId13" Type="http://schemas.openxmlformats.org/officeDocument/2006/relationships/printerSettings" Target="../printerSettings/printerSettings304.bin"/><Relationship Id="rId3" Type="http://schemas.openxmlformats.org/officeDocument/2006/relationships/printerSettings" Target="../printerSettings/printerSettings294.bin"/><Relationship Id="rId7" Type="http://schemas.openxmlformats.org/officeDocument/2006/relationships/printerSettings" Target="../printerSettings/printerSettings298.bin"/><Relationship Id="rId12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Relationship Id="rId6" Type="http://schemas.openxmlformats.org/officeDocument/2006/relationships/printerSettings" Target="../printerSettings/printerSettings297.bin"/><Relationship Id="rId11" Type="http://schemas.openxmlformats.org/officeDocument/2006/relationships/printerSettings" Target="../printerSettings/printerSettings302.bin"/><Relationship Id="rId5" Type="http://schemas.openxmlformats.org/officeDocument/2006/relationships/printerSettings" Target="../printerSettings/printerSettings296.bin"/><Relationship Id="rId10" Type="http://schemas.openxmlformats.org/officeDocument/2006/relationships/printerSettings" Target="../printerSettings/printerSettings301.bin"/><Relationship Id="rId4" Type="http://schemas.openxmlformats.org/officeDocument/2006/relationships/printerSettings" Target="../printerSettings/printerSettings295.bin"/><Relationship Id="rId9" Type="http://schemas.openxmlformats.org/officeDocument/2006/relationships/printerSettings" Target="../printerSettings/printerSettings30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2.bin"/><Relationship Id="rId13" Type="http://schemas.openxmlformats.org/officeDocument/2006/relationships/printerSettings" Target="../printerSettings/printerSettings317.bin"/><Relationship Id="rId3" Type="http://schemas.openxmlformats.org/officeDocument/2006/relationships/printerSettings" Target="../printerSettings/printerSettings307.bin"/><Relationship Id="rId7" Type="http://schemas.openxmlformats.org/officeDocument/2006/relationships/printerSettings" Target="../printerSettings/printerSettings311.bin"/><Relationship Id="rId12" Type="http://schemas.openxmlformats.org/officeDocument/2006/relationships/printerSettings" Target="../printerSettings/printerSettings316.bin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Relationship Id="rId6" Type="http://schemas.openxmlformats.org/officeDocument/2006/relationships/printerSettings" Target="../printerSettings/printerSettings310.bin"/><Relationship Id="rId11" Type="http://schemas.openxmlformats.org/officeDocument/2006/relationships/printerSettings" Target="../printerSettings/printerSettings315.bin"/><Relationship Id="rId5" Type="http://schemas.openxmlformats.org/officeDocument/2006/relationships/printerSettings" Target="../printerSettings/printerSettings309.bin"/><Relationship Id="rId10" Type="http://schemas.openxmlformats.org/officeDocument/2006/relationships/printerSettings" Target="../printerSettings/printerSettings314.bin"/><Relationship Id="rId4" Type="http://schemas.openxmlformats.org/officeDocument/2006/relationships/printerSettings" Target="../printerSettings/printerSettings308.bin"/><Relationship Id="rId9" Type="http://schemas.openxmlformats.org/officeDocument/2006/relationships/printerSettings" Target="../printerSettings/printerSettings31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13" Type="http://schemas.openxmlformats.org/officeDocument/2006/relationships/printerSettings" Target="../printerSettings/printerSettings330.bin"/><Relationship Id="rId3" Type="http://schemas.openxmlformats.org/officeDocument/2006/relationships/printerSettings" Target="../printerSettings/printerSettings320.bin"/><Relationship Id="rId7" Type="http://schemas.openxmlformats.org/officeDocument/2006/relationships/printerSettings" Target="../printerSettings/printerSettings324.bin"/><Relationship Id="rId12" Type="http://schemas.openxmlformats.org/officeDocument/2006/relationships/printerSettings" Target="../printerSettings/printerSettings329.bin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11" Type="http://schemas.openxmlformats.org/officeDocument/2006/relationships/printerSettings" Target="../printerSettings/printerSettings328.bin"/><Relationship Id="rId5" Type="http://schemas.openxmlformats.org/officeDocument/2006/relationships/printerSettings" Target="../printerSettings/printerSettings322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1.bin"/><Relationship Id="rId9" Type="http://schemas.openxmlformats.org/officeDocument/2006/relationships/printerSettings" Target="../printerSettings/printerSettings326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13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1.bin"/><Relationship Id="rId13" Type="http://schemas.openxmlformats.org/officeDocument/2006/relationships/printerSettings" Target="../printerSettings/printerSettings356.bin"/><Relationship Id="rId3" Type="http://schemas.openxmlformats.org/officeDocument/2006/relationships/printerSettings" Target="../printerSettings/printerSettings346.bin"/><Relationship Id="rId7" Type="http://schemas.openxmlformats.org/officeDocument/2006/relationships/printerSettings" Target="../printerSettings/printerSettings350.bin"/><Relationship Id="rId12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Relationship Id="rId6" Type="http://schemas.openxmlformats.org/officeDocument/2006/relationships/printerSettings" Target="../printerSettings/printerSettings349.bin"/><Relationship Id="rId11" Type="http://schemas.openxmlformats.org/officeDocument/2006/relationships/printerSettings" Target="../printerSettings/printerSettings354.bin"/><Relationship Id="rId5" Type="http://schemas.openxmlformats.org/officeDocument/2006/relationships/printerSettings" Target="../printerSettings/printerSettings348.bin"/><Relationship Id="rId10" Type="http://schemas.openxmlformats.org/officeDocument/2006/relationships/printerSettings" Target="../printerSettings/printerSettings353.bin"/><Relationship Id="rId4" Type="http://schemas.openxmlformats.org/officeDocument/2006/relationships/printerSettings" Target="../printerSettings/printerSettings347.bin"/><Relationship Id="rId9" Type="http://schemas.openxmlformats.org/officeDocument/2006/relationships/printerSettings" Target="../printerSettings/printerSettings35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09"/>
  <sheetViews>
    <sheetView tabSelected="1" view="pageLayout" zoomScaleNormal="100" workbookViewId="0">
      <selection activeCell="L6" sqref="L6"/>
    </sheetView>
  </sheetViews>
  <sheetFormatPr defaultRowHeight="15" x14ac:dyDescent="0.2"/>
  <cols>
    <col min="1" max="1" width="4.88671875" style="2" customWidth="1"/>
    <col min="2" max="2" width="34.33203125" style="2" customWidth="1"/>
    <col min="3" max="4" width="12.77734375" style="2" customWidth="1"/>
    <col min="5" max="5" width="11.77734375" style="2" customWidth="1"/>
    <col min="6" max="7" width="8.88671875" style="2"/>
    <col min="8" max="9" width="12.77734375" style="2" customWidth="1"/>
    <col min="10" max="10" width="10.5546875" style="2" customWidth="1"/>
    <col min="11" max="16384" width="8.88671875" style="2"/>
  </cols>
  <sheetData>
    <row r="1" spans="1:12" ht="27.75" customHeight="1" x14ac:dyDescent="0.4">
      <c r="A1" s="489" t="s">
        <v>602</v>
      </c>
      <c r="B1" s="489"/>
      <c r="C1" s="489"/>
      <c r="D1" s="489"/>
      <c r="E1" s="489"/>
      <c r="F1" s="489"/>
      <c r="G1" s="489"/>
      <c r="H1" s="489"/>
      <c r="I1" s="489"/>
      <c r="J1" s="489"/>
      <c r="K1" s="20"/>
      <c r="L1" s="20"/>
    </row>
    <row r="2" spans="1:12" ht="15.75" x14ac:dyDescent="0.25">
      <c r="A2" s="2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2" ht="16.5" thickBot="1" x14ac:dyDescent="0.3">
      <c r="A4" s="29" t="s">
        <v>216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12" ht="16.5" thickBot="1" x14ac:dyDescent="0.3">
      <c r="A5" s="20"/>
      <c r="B5" s="114" t="s">
        <v>740</v>
      </c>
      <c r="C5" s="118"/>
      <c r="D5" s="115"/>
      <c r="E5" s="115"/>
      <c r="F5" s="116"/>
      <c r="G5" s="20"/>
      <c r="H5" s="20"/>
      <c r="I5" s="21"/>
      <c r="J5" s="20"/>
      <c r="K5" s="20"/>
      <c r="L5" s="20"/>
    </row>
    <row r="6" spans="1:12" ht="16.5" thickBot="1" x14ac:dyDescent="0.3">
      <c r="A6" s="20"/>
      <c r="B6" s="114" t="s">
        <v>741</v>
      </c>
      <c r="C6" s="118"/>
      <c r="D6" s="115"/>
      <c r="E6" s="115"/>
      <c r="F6" s="116"/>
      <c r="G6" s="20"/>
      <c r="H6" s="86"/>
      <c r="I6" s="22"/>
      <c r="J6" s="20"/>
      <c r="K6" s="20"/>
      <c r="L6" s="20"/>
    </row>
    <row r="7" spans="1:12" ht="16.5" thickBot="1" x14ac:dyDescent="0.3">
      <c r="A7" s="29"/>
      <c r="B7" s="20"/>
      <c r="C7" s="20"/>
      <c r="D7" s="20"/>
      <c r="E7" s="20"/>
      <c r="F7" s="20"/>
      <c r="G7" s="20"/>
      <c r="H7" s="20"/>
      <c r="I7" s="22"/>
      <c r="J7" s="20"/>
      <c r="K7" s="20"/>
      <c r="L7" s="20"/>
    </row>
    <row r="8" spans="1:12" ht="16.5" thickBot="1" x14ac:dyDescent="0.3">
      <c r="A8" s="20"/>
      <c r="B8" s="30" t="s">
        <v>625</v>
      </c>
      <c r="C8" s="119"/>
      <c r="D8" s="31"/>
      <c r="E8" s="31"/>
      <c r="F8" s="32"/>
      <c r="G8" s="24"/>
      <c r="H8" s="24"/>
      <c r="I8" s="21"/>
      <c r="J8" s="20"/>
      <c r="K8" s="20"/>
      <c r="L8" s="20"/>
    </row>
    <row r="9" spans="1:12" ht="16.5" thickBot="1" x14ac:dyDescent="0.3">
      <c r="A9" s="20"/>
      <c r="B9" s="23" t="s">
        <v>0</v>
      </c>
      <c r="C9" s="23"/>
      <c r="D9" s="24"/>
      <c r="E9" s="24"/>
      <c r="F9" s="24"/>
      <c r="G9" s="24"/>
      <c r="H9" s="24"/>
      <c r="I9" s="21"/>
      <c r="J9" s="20"/>
      <c r="K9" s="20"/>
      <c r="L9" s="20"/>
    </row>
    <row r="10" spans="1:12" ht="16.5" thickBot="1" x14ac:dyDescent="0.3">
      <c r="A10" s="20"/>
      <c r="B10" s="30" t="s">
        <v>742</v>
      </c>
      <c r="C10" s="119"/>
      <c r="D10" s="31"/>
      <c r="E10" s="31"/>
      <c r="F10" s="31"/>
      <c r="G10" s="32"/>
      <c r="H10" s="24"/>
      <c r="I10" s="21"/>
      <c r="J10" s="20"/>
      <c r="K10" s="20"/>
      <c r="L10" s="20"/>
    </row>
    <row r="11" spans="1:12" ht="16.5" thickBot="1" x14ac:dyDescent="0.3">
      <c r="A11" s="20"/>
      <c r="B11" s="75" t="s">
        <v>739</v>
      </c>
      <c r="C11" s="36"/>
      <c r="D11" s="74"/>
      <c r="E11" s="74"/>
      <c r="F11" s="74"/>
      <c r="G11" s="34"/>
      <c r="H11" s="20"/>
      <c r="I11" s="22"/>
      <c r="J11" s="20"/>
      <c r="K11" s="20"/>
      <c r="L11" s="20"/>
    </row>
    <row r="12" spans="1:12" ht="16.5" thickBot="1" x14ac:dyDescent="0.3">
      <c r="A12" s="20"/>
      <c r="B12" s="28" t="s">
        <v>1</v>
      </c>
      <c r="C12" s="28"/>
      <c r="D12" s="72" t="s">
        <v>2</v>
      </c>
      <c r="E12" s="73"/>
      <c r="F12" s="20"/>
      <c r="G12" s="20"/>
      <c r="H12" s="20"/>
      <c r="I12" s="22"/>
      <c r="J12" s="20"/>
      <c r="K12" s="20"/>
      <c r="L12" s="20"/>
    </row>
    <row r="13" spans="1:12" ht="16.5" thickBot="1" x14ac:dyDescent="0.3">
      <c r="A13" s="20"/>
      <c r="B13" s="35" t="s">
        <v>743</v>
      </c>
      <c r="C13" s="37"/>
      <c r="D13" s="36"/>
      <c r="E13" s="36"/>
      <c r="F13" s="36"/>
      <c r="G13" s="33"/>
      <c r="H13" s="20"/>
      <c r="I13" s="21"/>
      <c r="J13" s="20"/>
      <c r="K13" s="20"/>
      <c r="L13" s="20"/>
    </row>
    <row r="14" spans="1:12" ht="16.5" thickBot="1" x14ac:dyDescent="0.3">
      <c r="A14" s="20"/>
      <c r="B14" s="35" t="s">
        <v>443</v>
      </c>
      <c r="C14" s="37"/>
      <c r="D14" s="37"/>
      <c r="E14" s="36"/>
      <c r="F14" s="36"/>
      <c r="G14" s="33"/>
      <c r="H14" s="20"/>
      <c r="I14" s="21"/>
      <c r="J14" s="20"/>
      <c r="K14" s="20"/>
      <c r="L14" s="20"/>
    </row>
    <row r="15" spans="1:12" ht="16.5" thickBot="1" x14ac:dyDescent="0.3">
      <c r="A15" s="20"/>
      <c r="B15" s="125" t="s">
        <v>744</v>
      </c>
      <c r="C15" s="37"/>
      <c r="D15" s="37"/>
      <c r="E15" s="36"/>
      <c r="F15" s="36"/>
      <c r="G15" s="33"/>
      <c r="H15" s="20"/>
      <c r="I15" s="21"/>
      <c r="J15" s="20"/>
      <c r="K15" s="20"/>
      <c r="L15" s="20"/>
    </row>
    <row r="16" spans="1:12" ht="42" customHeight="1" x14ac:dyDescent="0.2">
      <c r="A16" s="20"/>
      <c r="B16" s="20"/>
      <c r="C16" s="20"/>
      <c r="D16" s="20"/>
      <c r="E16" s="20"/>
      <c r="F16" s="20"/>
      <c r="G16" s="20"/>
      <c r="H16" s="20"/>
      <c r="I16" s="21"/>
      <c r="J16" s="20"/>
      <c r="K16" s="20"/>
      <c r="L16" s="20"/>
    </row>
    <row r="17" spans="1:12" ht="19.5" customHeight="1" x14ac:dyDescent="0.25">
      <c r="A17" s="20"/>
      <c r="B17" s="20"/>
      <c r="C17" s="117" t="s">
        <v>8</v>
      </c>
      <c r="D17" s="117" t="s">
        <v>6</v>
      </c>
      <c r="E17" s="121"/>
      <c r="F17" s="20"/>
      <c r="G17" s="20"/>
      <c r="H17" s="20"/>
      <c r="I17" s="21"/>
      <c r="J17" s="20"/>
      <c r="K17" s="20"/>
      <c r="L17" s="20"/>
    </row>
    <row r="18" spans="1:12" ht="19.5" customHeight="1" thickBot="1" x14ac:dyDescent="0.3">
      <c r="A18" s="20"/>
      <c r="B18" s="122" t="s">
        <v>628</v>
      </c>
      <c r="C18" s="20"/>
      <c r="D18" s="20"/>
      <c r="E18" s="117"/>
      <c r="F18" s="20"/>
      <c r="G18" s="20"/>
      <c r="H18" s="20"/>
      <c r="I18" s="21"/>
      <c r="J18" s="20"/>
      <c r="K18" s="20"/>
      <c r="L18" s="20"/>
    </row>
    <row r="19" spans="1:12" ht="16.5" thickBot="1" x14ac:dyDescent="0.3">
      <c r="A19" s="20"/>
      <c r="B19" s="120" t="s">
        <v>711</v>
      </c>
      <c r="C19" s="76">
        <v>1.0280000000000001E-3</v>
      </c>
      <c r="D19" s="76">
        <v>1.0280000000000003E-3</v>
      </c>
      <c r="E19" s="38" t="s">
        <v>442</v>
      </c>
      <c r="F19" s="217"/>
      <c r="G19" s="218"/>
      <c r="H19" s="218"/>
      <c r="I19" s="76"/>
      <c r="J19" s="223" t="s">
        <v>738</v>
      </c>
      <c r="K19" s="224"/>
      <c r="L19" s="224"/>
    </row>
    <row r="20" spans="1:12" ht="16.5" thickBot="1" x14ac:dyDescent="0.3">
      <c r="A20" s="20"/>
      <c r="B20" s="38" t="s">
        <v>552</v>
      </c>
      <c r="C20" s="76">
        <v>2.3837000000000001E-2</v>
      </c>
      <c r="D20" s="76">
        <v>2.3837000000000001E-2</v>
      </c>
      <c r="E20" s="38" t="s">
        <v>442</v>
      </c>
      <c r="F20" s="27"/>
      <c r="G20" s="20"/>
      <c r="H20" s="20"/>
      <c r="I20" s="20"/>
      <c r="J20" s="38"/>
      <c r="K20" s="20"/>
      <c r="L20" s="20"/>
    </row>
    <row r="21" spans="1:12" ht="15.75" x14ac:dyDescent="0.25">
      <c r="A21" s="20"/>
      <c r="B21" s="38"/>
      <c r="C21" s="38"/>
      <c r="D21" s="38"/>
      <c r="E21" s="38"/>
      <c r="F21" s="27"/>
      <c r="G21" s="20"/>
      <c r="H21" s="20"/>
      <c r="I21" s="20"/>
      <c r="J21" s="38"/>
      <c r="K21" s="20"/>
      <c r="L21" s="20"/>
    </row>
    <row r="22" spans="1:12" ht="18.75" thickBot="1" x14ac:dyDescent="0.3">
      <c r="A22" s="20"/>
      <c r="B22" s="487" t="s">
        <v>623</v>
      </c>
      <c r="C22" s="487"/>
      <c r="D22" s="487"/>
      <c r="E22" s="38"/>
      <c r="F22" s="27"/>
      <c r="G22" s="20"/>
      <c r="H22" s="20"/>
      <c r="I22" s="20"/>
      <c r="J22" s="38"/>
      <c r="K22" s="20"/>
      <c r="L22" s="20"/>
    </row>
    <row r="23" spans="1:12" ht="16.5" thickBot="1" x14ac:dyDescent="0.3">
      <c r="A23" s="20"/>
      <c r="B23" s="38" t="s">
        <v>55</v>
      </c>
      <c r="C23" s="76">
        <v>0</v>
      </c>
      <c r="D23" s="76">
        <v>0</v>
      </c>
      <c r="E23" s="38" t="s">
        <v>442</v>
      </c>
      <c r="F23" s="27" t="s">
        <v>710</v>
      </c>
      <c r="G23" s="20"/>
      <c r="H23" s="20"/>
      <c r="I23" s="20"/>
      <c r="J23" s="38"/>
      <c r="K23" s="20"/>
      <c r="L23" s="20"/>
    </row>
    <row r="24" spans="1:12" ht="16.5" thickBot="1" x14ac:dyDescent="0.3">
      <c r="A24" s="20"/>
      <c r="B24" s="38" t="s">
        <v>307</v>
      </c>
      <c r="C24" s="76">
        <v>0</v>
      </c>
      <c r="D24" s="76">
        <v>0</v>
      </c>
      <c r="E24" s="38" t="s">
        <v>442</v>
      </c>
      <c r="F24" s="27"/>
      <c r="G24" s="20"/>
      <c r="H24" s="20"/>
      <c r="I24" s="20"/>
      <c r="J24" s="38"/>
      <c r="K24" s="20"/>
      <c r="L24" s="20"/>
    </row>
    <row r="25" spans="1:12" ht="16.5" thickBot="1" x14ac:dyDescent="0.3">
      <c r="A25" s="20"/>
      <c r="B25" s="38" t="s">
        <v>308</v>
      </c>
      <c r="C25" s="76">
        <v>0</v>
      </c>
      <c r="D25" s="76">
        <v>0</v>
      </c>
      <c r="E25" s="38" t="s">
        <v>442</v>
      </c>
      <c r="F25" s="27"/>
      <c r="G25" s="20"/>
      <c r="H25" s="20"/>
      <c r="I25" s="20"/>
      <c r="J25" s="38"/>
      <c r="K25" s="20"/>
      <c r="L25" s="20"/>
    </row>
    <row r="26" spans="1:12" ht="16.5" thickBot="1" x14ac:dyDescent="0.3">
      <c r="A26" s="20"/>
      <c r="B26" s="38" t="s">
        <v>498</v>
      </c>
      <c r="C26" s="76">
        <v>0</v>
      </c>
      <c r="D26" s="76">
        <v>0</v>
      </c>
      <c r="E26" s="38" t="s">
        <v>442</v>
      </c>
      <c r="F26" s="27"/>
      <c r="G26" s="20"/>
      <c r="H26" s="20"/>
      <c r="I26" s="20"/>
      <c r="J26" s="38"/>
      <c r="K26" s="20"/>
      <c r="L26" s="20"/>
    </row>
    <row r="27" spans="1:12" ht="15.75" x14ac:dyDescent="0.25">
      <c r="A27" s="20"/>
      <c r="B27" s="38"/>
      <c r="C27" s="38"/>
      <c r="D27" s="27"/>
      <c r="E27" s="38"/>
      <c r="F27" s="27"/>
      <c r="G27" s="20"/>
      <c r="H27" s="20"/>
      <c r="I27" s="20"/>
      <c r="J27" s="38"/>
      <c r="K27" s="20"/>
      <c r="L27" s="20"/>
    </row>
    <row r="28" spans="1:12" ht="18.75" thickBot="1" x14ac:dyDescent="0.3">
      <c r="A28" s="20"/>
      <c r="B28" s="123" t="s">
        <v>733</v>
      </c>
      <c r="C28" s="38"/>
      <c r="D28" s="77"/>
      <c r="E28" s="38"/>
      <c r="F28" s="20"/>
      <c r="G28" s="27"/>
      <c r="H28" s="20"/>
      <c r="I28" s="21"/>
      <c r="J28" s="20"/>
      <c r="K28" s="20"/>
      <c r="L28" s="20"/>
    </row>
    <row r="29" spans="1:12" ht="16.5" thickBot="1" x14ac:dyDescent="0.3">
      <c r="A29" s="20"/>
      <c r="B29" s="38" t="s">
        <v>55</v>
      </c>
      <c r="C29" s="76">
        <v>7.9670000000000001E-3</v>
      </c>
      <c r="D29" s="76">
        <v>7.9670000000000001E-3</v>
      </c>
      <c r="E29" s="38" t="s">
        <v>442</v>
      </c>
      <c r="F29" s="124"/>
      <c r="G29" s="27"/>
      <c r="H29" s="20"/>
      <c r="I29" s="21"/>
      <c r="J29" s="235">
        <v>0.1</v>
      </c>
      <c r="K29" s="28" t="s">
        <v>732</v>
      </c>
      <c r="L29" s="20"/>
    </row>
    <row r="30" spans="1:12" ht="16.5" thickBot="1" x14ac:dyDescent="0.3">
      <c r="A30" s="20"/>
      <c r="B30" s="38" t="s">
        <v>307</v>
      </c>
      <c r="C30" s="76">
        <v>2.5760000000000002E-3</v>
      </c>
      <c r="D30" s="76">
        <v>2.5760000000000002E-3</v>
      </c>
      <c r="E30" s="38" t="s">
        <v>442</v>
      </c>
      <c r="F30" s="20"/>
      <c r="G30" s="27"/>
      <c r="H30" s="28"/>
      <c r="I30" s="21"/>
      <c r="J30" s="20"/>
      <c r="K30" s="20"/>
      <c r="L30" s="20"/>
    </row>
    <row r="31" spans="1:12" ht="16.5" thickBot="1" x14ac:dyDescent="0.3">
      <c r="A31" s="20"/>
      <c r="B31" s="38" t="s">
        <v>308</v>
      </c>
      <c r="C31" s="76">
        <v>1.83E-4</v>
      </c>
      <c r="D31" s="76">
        <v>1.83E-4</v>
      </c>
      <c r="E31" s="38" t="s">
        <v>442</v>
      </c>
      <c r="F31" s="20"/>
      <c r="G31" s="27"/>
      <c r="H31" s="20"/>
      <c r="I31" s="21"/>
      <c r="J31" s="20"/>
      <c r="K31" s="20"/>
      <c r="L31" s="20"/>
    </row>
    <row r="32" spans="1:12" x14ac:dyDescent="0.2">
      <c r="A32" s="20"/>
      <c r="B32" s="25"/>
      <c r="C32" s="25"/>
      <c r="D32" s="20"/>
      <c r="E32" s="26"/>
      <c r="F32" s="25"/>
      <c r="G32" s="27"/>
      <c r="H32" s="20"/>
      <c r="I32" s="21"/>
      <c r="J32" s="20"/>
      <c r="K32" s="20"/>
      <c r="L32" s="20"/>
    </row>
    <row r="33" spans="1:12" ht="18.75" thickBot="1" x14ac:dyDescent="0.3">
      <c r="A33" s="20"/>
      <c r="B33" s="488" t="s">
        <v>627</v>
      </c>
      <c r="C33" s="488"/>
      <c r="D33" s="20"/>
      <c r="E33" s="26"/>
      <c r="F33" s="25"/>
      <c r="G33" s="27"/>
      <c r="H33" s="20"/>
      <c r="I33" s="21"/>
      <c r="J33" s="20"/>
      <c r="K33" s="20"/>
      <c r="L33" s="20"/>
    </row>
    <row r="34" spans="1:12" ht="16.5" thickBot="1" x14ac:dyDescent="0.3">
      <c r="A34" s="20"/>
      <c r="B34" s="28" t="s">
        <v>499</v>
      </c>
      <c r="C34" s="76">
        <v>-4.5600000000000003E-4</v>
      </c>
      <c r="D34" s="76">
        <v>-4.5600000000000003E-4</v>
      </c>
      <c r="E34" s="38" t="s">
        <v>442</v>
      </c>
      <c r="F34" s="25"/>
      <c r="G34" s="27"/>
      <c r="H34" s="20"/>
      <c r="I34" s="21"/>
      <c r="J34" s="20"/>
      <c r="K34" s="20"/>
      <c r="L34" s="20"/>
    </row>
    <row r="35" spans="1:12" x14ac:dyDescent="0.2">
      <c r="A35" s="20"/>
      <c r="B35" s="25"/>
      <c r="C35" s="25"/>
      <c r="D35" s="20"/>
      <c r="E35" s="26"/>
      <c r="F35" s="25"/>
      <c r="G35" s="27"/>
      <c r="H35" s="20"/>
      <c r="I35" s="21"/>
      <c r="J35" s="20"/>
      <c r="K35" s="20"/>
      <c r="L35" s="20"/>
    </row>
    <row r="36" spans="1:12" x14ac:dyDescent="0.2">
      <c r="A36" s="20"/>
      <c r="B36" s="25"/>
      <c r="C36" s="25"/>
      <c r="D36" s="20"/>
      <c r="E36" s="26"/>
      <c r="F36" s="25"/>
      <c r="G36" s="27"/>
      <c r="H36" s="20"/>
      <c r="I36" s="21"/>
      <c r="J36" s="20"/>
      <c r="K36" s="20"/>
      <c r="L36" s="20"/>
    </row>
    <row r="37" spans="1:12" ht="15.75" thickBot="1" x14ac:dyDescent="0.25">
      <c r="A37" s="20"/>
      <c r="B37" s="25"/>
      <c r="C37" s="25"/>
      <c r="D37" s="20"/>
      <c r="E37" s="26"/>
      <c r="F37" s="25"/>
      <c r="G37" s="27"/>
      <c r="H37" s="20"/>
      <c r="I37" s="21"/>
      <c r="J37" s="20"/>
      <c r="K37" s="20"/>
      <c r="L37" s="20"/>
    </row>
    <row r="38" spans="1:12" ht="16.5" thickBot="1" x14ac:dyDescent="0.3">
      <c r="A38" s="20"/>
      <c r="B38" s="39" t="s">
        <v>3</v>
      </c>
      <c r="C38" s="39"/>
      <c r="D38" s="40" t="s">
        <v>626</v>
      </c>
      <c r="E38" s="34"/>
      <c r="F38" s="20"/>
      <c r="G38" s="20"/>
      <c r="H38" s="20"/>
      <c r="I38" s="20"/>
      <c r="J38" s="20"/>
      <c r="K38" s="20"/>
      <c r="L38" s="20"/>
    </row>
    <row r="39" spans="1:12" ht="15.75" x14ac:dyDescent="0.25">
      <c r="A39" s="20"/>
      <c r="B39" s="25"/>
      <c r="C39" s="25"/>
      <c r="D39" s="27"/>
      <c r="E39" s="27"/>
      <c r="F39" s="25"/>
      <c r="G39" s="27"/>
      <c r="H39" s="20"/>
      <c r="I39" s="20"/>
      <c r="J39" s="38"/>
      <c r="K39" s="20"/>
      <c r="L39" s="20"/>
    </row>
    <row r="40" spans="1:12" ht="15.75" x14ac:dyDescent="0.25">
      <c r="A40" s="20"/>
      <c r="B40" s="20"/>
      <c r="C40" s="20"/>
      <c r="D40" s="20"/>
      <c r="E40" s="20"/>
      <c r="F40" s="20"/>
      <c r="G40" s="20"/>
      <c r="H40" s="28"/>
      <c r="I40" s="20"/>
      <c r="J40" s="38"/>
      <c r="K40" s="20"/>
      <c r="L40" s="20"/>
    </row>
    <row r="41" spans="1:12" ht="15.75" x14ac:dyDescent="0.25">
      <c r="A41" s="20"/>
      <c r="B41" s="20"/>
      <c r="C41" s="117" t="s">
        <v>8</v>
      </c>
      <c r="D41" s="117" t="s">
        <v>6</v>
      </c>
      <c r="E41" s="20"/>
      <c r="F41" s="20"/>
      <c r="G41" s="20"/>
      <c r="H41" s="28"/>
      <c r="I41" s="20"/>
      <c r="J41" s="38"/>
      <c r="K41" s="20"/>
      <c r="L41" s="20"/>
    </row>
    <row r="42" spans="1:12" ht="18.75" thickBot="1" x14ac:dyDescent="0.3">
      <c r="A42" s="20"/>
      <c r="B42" s="487" t="s">
        <v>640</v>
      </c>
      <c r="C42" s="487"/>
      <c r="D42" s="487"/>
      <c r="E42" s="20"/>
      <c r="F42" s="20"/>
      <c r="G42" s="20"/>
      <c r="H42" s="28"/>
      <c r="I42" s="20"/>
      <c r="J42" s="38"/>
      <c r="K42" s="20"/>
      <c r="L42" s="20"/>
    </row>
    <row r="43" spans="1:12" ht="16.5" thickBot="1" x14ac:dyDescent="0.3">
      <c r="A43" s="20"/>
      <c r="B43" s="38" t="s">
        <v>64</v>
      </c>
      <c r="C43" s="76">
        <v>4.5</v>
      </c>
      <c r="D43" s="76">
        <v>11.219999999999999</v>
      </c>
      <c r="E43" s="38" t="s">
        <v>629</v>
      </c>
      <c r="F43" s="20"/>
      <c r="G43" s="20"/>
      <c r="H43" s="28"/>
      <c r="I43" s="20"/>
      <c r="J43" s="38"/>
      <c r="K43" s="20"/>
      <c r="L43" s="20"/>
    </row>
    <row r="44" spans="1:12" ht="16.5" thickBot="1" x14ac:dyDescent="0.3">
      <c r="A44" s="20"/>
      <c r="B44" s="38" t="s">
        <v>630</v>
      </c>
      <c r="C44" s="76">
        <v>7.5455999999999995E-2</v>
      </c>
      <c r="D44" s="76">
        <v>8.3907999999999996E-2</v>
      </c>
      <c r="E44" s="38" t="s">
        <v>442</v>
      </c>
      <c r="F44" s="25"/>
      <c r="G44" s="20"/>
      <c r="H44" s="28"/>
      <c r="I44" s="233"/>
      <c r="J44" s="38"/>
      <c r="K44" s="20"/>
      <c r="L44" s="20"/>
    </row>
    <row r="45" spans="1:12" ht="15.75" x14ac:dyDescent="0.25">
      <c r="A45" s="20"/>
      <c r="B45" s="20"/>
      <c r="C45" s="20"/>
      <c r="D45" s="20"/>
      <c r="E45" s="20"/>
      <c r="F45" s="20"/>
      <c r="G45" s="20"/>
      <c r="H45" s="28"/>
      <c r="I45" s="20"/>
      <c r="J45" s="38"/>
      <c r="K45" s="20"/>
      <c r="L45" s="20"/>
    </row>
    <row r="46" spans="1:12" ht="18" x14ac:dyDescent="0.25">
      <c r="A46" s="27"/>
      <c r="B46" s="487" t="s">
        <v>639</v>
      </c>
      <c r="C46" s="487"/>
      <c r="D46" s="487"/>
      <c r="E46" s="20"/>
      <c r="F46" s="20"/>
      <c r="G46" s="20"/>
      <c r="H46" s="28"/>
      <c r="I46" s="20"/>
      <c r="J46" s="38"/>
      <c r="K46" s="20"/>
      <c r="L46" s="20"/>
    </row>
    <row r="47" spans="1:12" ht="16.5" thickBot="1" x14ac:dyDescent="0.3">
      <c r="A47" s="20"/>
      <c r="B47" s="38" t="s">
        <v>64</v>
      </c>
      <c r="C47" s="20"/>
      <c r="D47" s="20"/>
      <c r="E47" s="20"/>
      <c r="F47" s="20"/>
      <c r="G47" s="20"/>
      <c r="H47" s="20"/>
      <c r="I47" s="20"/>
      <c r="J47" s="20"/>
      <c r="K47" s="20"/>
      <c r="L47" s="20"/>
    </row>
    <row r="48" spans="1:12" ht="16.5" thickBot="1" x14ac:dyDescent="0.3">
      <c r="A48" s="20"/>
      <c r="B48" s="38" t="s">
        <v>631</v>
      </c>
      <c r="C48" s="76">
        <v>7.5</v>
      </c>
      <c r="D48" s="76">
        <v>17.14</v>
      </c>
      <c r="E48" s="38" t="s">
        <v>629</v>
      </c>
      <c r="F48" s="20"/>
      <c r="G48" s="20"/>
      <c r="H48" s="20"/>
      <c r="I48" s="20"/>
      <c r="J48" s="20"/>
      <c r="K48" s="20"/>
      <c r="L48" s="20"/>
    </row>
    <row r="49" spans="1:12" ht="16.5" thickBot="1" x14ac:dyDescent="0.3">
      <c r="A49" s="20"/>
      <c r="B49" s="38" t="s">
        <v>632</v>
      </c>
      <c r="C49" s="76">
        <v>15</v>
      </c>
      <c r="D49" s="76">
        <v>34.28</v>
      </c>
      <c r="E49" s="38" t="s">
        <v>629</v>
      </c>
      <c r="F49" s="20"/>
      <c r="G49" s="20"/>
      <c r="H49" s="20"/>
      <c r="I49" s="20"/>
      <c r="J49" s="20"/>
      <c r="K49" s="20"/>
      <c r="L49" s="20"/>
    </row>
    <row r="50" spans="1:12" ht="16.5" thickBot="1" x14ac:dyDescent="0.3">
      <c r="A50" s="20"/>
      <c r="B50" s="38" t="s">
        <v>630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</row>
    <row r="51" spans="1:12" ht="16.5" thickBot="1" x14ac:dyDescent="0.3">
      <c r="A51" s="20"/>
      <c r="B51" s="20" t="s">
        <v>633</v>
      </c>
      <c r="C51" s="76">
        <v>8.1644999999999995E-2</v>
      </c>
      <c r="D51" s="76">
        <v>9.1916999999999999E-2</v>
      </c>
      <c r="E51" s="38" t="s">
        <v>442</v>
      </c>
      <c r="F51" s="20"/>
      <c r="G51" s="20"/>
      <c r="H51" s="20"/>
      <c r="I51" s="20"/>
      <c r="J51" s="20"/>
      <c r="K51" s="20"/>
      <c r="L51" s="20"/>
    </row>
    <row r="52" spans="1:12" ht="16.5" thickBot="1" x14ac:dyDescent="0.3">
      <c r="A52" s="20"/>
      <c r="B52" s="20" t="s">
        <v>634</v>
      </c>
      <c r="C52" s="76">
        <v>5.0118999999999997E-2</v>
      </c>
      <c r="D52" s="76">
        <v>5.6425000000000003E-2</v>
      </c>
      <c r="E52" s="38" t="s">
        <v>442</v>
      </c>
      <c r="F52" s="20"/>
      <c r="G52" s="20"/>
      <c r="H52" s="20"/>
      <c r="I52" s="20"/>
      <c r="J52" s="20"/>
      <c r="K52" s="20"/>
      <c r="L52" s="20"/>
    </row>
    <row r="53" spans="1:12" ht="16.5" thickBot="1" x14ac:dyDescent="0.3">
      <c r="A53" s="20"/>
      <c r="B53" s="20" t="s">
        <v>635</v>
      </c>
      <c r="C53" s="76">
        <v>4.1043000000000003E-2</v>
      </c>
      <c r="D53" s="76">
        <v>4.6203999999999995E-2</v>
      </c>
      <c r="E53" s="38" t="s">
        <v>442</v>
      </c>
      <c r="F53" s="20"/>
      <c r="G53" s="20"/>
      <c r="H53" s="20"/>
      <c r="I53" s="20"/>
      <c r="J53" s="20"/>
      <c r="K53" s="20"/>
      <c r="L53" s="20"/>
    </row>
    <row r="54" spans="1:12" ht="16.5" thickBot="1" x14ac:dyDescent="0.3">
      <c r="A54" s="20"/>
      <c r="B54" s="38" t="s">
        <v>636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</row>
    <row r="55" spans="1:12" ht="16.5" thickBot="1" x14ac:dyDescent="0.3">
      <c r="A55" s="20"/>
      <c r="B55" s="20" t="s">
        <v>638</v>
      </c>
      <c r="C55" s="76">
        <v>0</v>
      </c>
      <c r="D55" s="76">
        <v>0</v>
      </c>
      <c r="E55" s="38" t="s">
        <v>637</v>
      </c>
      <c r="F55" s="20"/>
      <c r="G55" s="20"/>
      <c r="H55" s="20"/>
      <c r="I55" s="20"/>
      <c r="J55" s="20"/>
      <c r="K55" s="20"/>
      <c r="L55" s="20"/>
    </row>
    <row r="56" spans="1:12" ht="16.5" thickBot="1" x14ac:dyDescent="0.3">
      <c r="A56" s="20"/>
      <c r="B56" s="20" t="s">
        <v>635</v>
      </c>
      <c r="C56" s="76">
        <v>7.75</v>
      </c>
      <c r="D56" s="76">
        <v>8.73</v>
      </c>
      <c r="E56" s="38" t="s">
        <v>637</v>
      </c>
      <c r="F56" s="20"/>
      <c r="G56" s="20"/>
      <c r="H56" s="20"/>
      <c r="I56" s="20"/>
      <c r="J56" s="20"/>
      <c r="K56" s="20"/>
      <c r="L56" s="20"/>
    </row>
    <row r="57" spans="1:12" ht="16.5" thickBot="1" x14ac:dyDescent="0.3">
      <c r="A57" s="20"/>
      <c r="B57" s="38" t="s">
        <v>641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</row>
    <row r="58" spans="1:12" ht="16.5" thickBot="1" x14ac:dyDescent="0.3">
      <c r="A58" s="20"/>
      <c r="B58" s="20" t="s">
        <v>642</v>
      </c>
      <c r="C58" s="76">
        <v>0.24118400000000001</v>
      </c>
      <c r="D58" s="76">
        <v>0.27152799999999999</v>
      </c>
      <c r="E58" s="38" t="s">
        <v>442</v>
      </c>
      <c r="F58" s="20"/>
      <c r="G58" s="20"/>
      <c r="H58" s="20"/>
      <c r="I58" s="20"/>
      <c r="J58" s="20"/>
      <c r="K58" s="20"/>
      <c r="L58" s="20"/>
    </row>
    <row r="59" spans="1:12" ht="16.5" thickBot="1" x14ac:dyDescent="0.3">
      <c r="A59" s="20"/>
      <c r="B59" s="20" t="s">
        <v>643</v>
      </c>
      <c r="C59" s="76">
        <v>0.148065</v>
      </c>
      <c r="D59" s="76">
        <v>0.16669400000000001</v>
      </c>
      <c r="E59" s="38" t="s">
        <v>442</v>
      </c>
      <c r="F59" s="20"/>
      <c r="G59" s="20"/>
      <c r="H59" s="20"/>
      <c r="I59" s="20"/>
      <c r="J59" s="20"/>
      <c r="K59" s="20"/>
      <c r="L59" s="20"/>
    </row>
    <row r="60" spans="1:12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</row>
    <row r="61" spans="1:12" ht="18" x14ac:dyDescent="0.25">
      <c r="A61" s="20"/>
      <c r="B61" s="487" t="s">
        <v>644</v>
      </c>
      <c r="C61" s="487"/>
      <c r="D61" s="487"/>
      <c r="E61" s="20"/>
      <c r="F61" s="20"/>
      <c r="G61" s="20"/>
      <c r="H61" s="20"/>
      <c r="I61" s="20"/>
      <c r="J61" s="20"/>
      <c r="K61" s="20"/>
      <c r="L61" s="20"/>
    </row>
    <row r="62" spans="1:12" ht="16.5" thickBot="1" x14ac:dyDescent="0.3">
      <c r="A62" s="20"/>
      <c r="B62" s="38" t="s">
        <v>64</v>
      </c>
      <c r="C62" s="20"/>
      <c r="D62" s="20"/>
      <c r="E62" s="20"/>
      <c r="F62" s="20"/>
      <c r="G62" s="20"/>
      <c r="H62" s="20"/>
      <c r="I62" s="20"/>
      <c r="J62" s="20"/>
      <c r="K62" s="20"/>
      <c r="L62" s="20"/>
    </row>
    <row r="63" spans="1:12" ht="16.5" thickBot="1" x14ac:dyDescent="0.3">
      <c r="A63" s="20"/>
      <c r="B63" s="20" t="s">
        <v>728</v>
      </c>
      <c r="C63" s="76">
        <v>5</v>
      </c>
      <c r="D63" s="76">
        <v>5</v>
      </c>
      <c r="E63" s="38" t="s">
        <v>629</v>
      </c>
      <c r="F63" s="20"/>
      <c r="G63" s="20"/>
      <c r="H63" s="20"/>
      <c r="I63" s="20"/>
      <c r="J63" s="20"/>
      <c r="K63" s="20"/>
      <c r="L63" s="20"/>
    </row>
    <row r="64" spans="1:12" ht="16.5" thickBot="1" x14ac:dyDescent="0.3">
      <c r="A64" s="20"/>
      <c r="B64" s="20" t="s">
        <v>727</v>
      </c>
      <c r="C64" s="76">
        <v>100</v>
      </c>
      <c r="D64" s="76">
        <v>5</v>
      </c>
      <c r="E64" s="38" t="s">
        <v>629</v>
      </c>
      <c r="F64" s="20"/>
      <c r="G64" s="20"/>
      <c r="H64" s="20"/>
      <c r="I64" s="20"/>
      <c r="J64" s="20"/>
      <c r="K64" s="20"/>
      <c r="L64" s="20"/>
    </row>
    <row r="65" spans="1:12" x14ac:dyDescent="0.2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</row>
    <row r="66" spans="1:12" ht="18" x14ac:dyDescent="0.25">
      <c r="A66" s="27"/>
      <c r="B66" s="487" t="s">
        <v>645</v>
      </c>
      <c r="C66" s="487"/>
      <c r="D66" s="487"/>
      <c r="E66" s="20"/>
      <c r="F66" s="20"/>
      <c r="G66" s="20"/>
      <c r="H66" s="28"/>
      <c r="I66" s="20"/>
      <c r="J66" s="38"/>
      <c r="K66" s="20"/>
      <c r="L66" s="20"/>
    </row>
    <row r="67" spans="1:12" ht="16.5" thickBot="1" x14ac:dyDescent="0.3">
      <c r="A67" s="20"/>
      <c r="B67" s="38" t="s">
        <v>64</v>
      </c>
      <c r="C67" s="20"/>
      <c r="D67" s="20"/>
      <c r="E67" s="20"/>
      <c r="F67" s="20"/>
      <c r="G67" s="20"/>
      <c r="H67" s="20"/>
      <c r="I67" s="20"/>
      <c r="J67" s="20"/>
      <c r="K67" s="20"/>
      <c r="L67" s="20"/>
    </row>
    <row r="68" spans="1:12" ht="16.5" thickBot="1" x14ac:dyDescent="0.3">
      <c r="A68" s="20"/>
      <c r="B68" s="38" t="s">
        <v>631</v>
      </c>
      <c r="C68" s="76">
        <v>7.5</v>
      </c>
      <c r="D68" s="76">
        <v>200</v>
      </c>
      <c r="E68" s="38" t="s">
        <v>629</v>
      </c>
      <c r="F68" s="20"/>
      <c r="G68" s="20"/>
      <c r="H68" s="20"/>
      <c r="I68" s="20"/>
      <c r="J68" s="20"/>
      <c r="K68" s="20"/>
      <c r="L68" s="20"/>
    </row>
    <row r="69" spans="1:12" ht="16.5" thickBot="1" x14ac:dyDescent="0.3">
      <c r="A69" s="20"/>
      <c r="B69" s="38" t="s">
        <v>632</v>
      </c>
      <c r="C69" s="76">
        <v>15</v>
      </c>
      <c r="D69" s="76">
        <v>400</v>
      </c>
      <c r="E69" s="38" t="s">
        <v>629</v>
      </c>
      <c r="F69" s="20"/>
      <c r="G69" s="20"/>
      <c r="H69" s="20"/>
      <c r="I69" s="20"/>
      <c r="J69" s="20"/>
      <c r="K69" s="20"/>
      <c r="L69" s="20"/>
    </row>
    <row r="70" spans="1:12" ht="16.5" thickBot="1" x14ac:dyDescent="0.3">
      <c r="A70" s="20"/>
      <c r="B70" s="38" t="s">
        <v>646</v>
      </c>
      <c r="C70" s="76">
        <v>100</v>
      </c>
      <c r="D70" s="76">
        <v>465</v>
      </c>
      <c r="E70" s="38" t="s">
        <v>629</v>
      </c>
      <c r="F70" s="20"/>
      <c r="G70" s="20"/>
      <c r="H70" s="20"/>
      <c r="I70" s="20"/>
      <c r="J70" s="20"/>
      <c r="K70" s="20"/>
      <c r="L70" s="20"/>
    </row>
    <row r="71" spans="1:12" ht="16.5" thickBot="1" x14ac:dyDescent="0.3">
      <c r="A71" s="20"/>
      <c r="B71" s="38" t="s">
        <v>630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</row>
    <row r="72" spans="1:12" ht="16.5" thickBot="1" x14ac:dyDescent="0.3">
      <c r="A72" s="20"/>
      <c r="B72" s="20" t="s">
        <v>647</v>
      </c>
      <c r="C72" s="76">
        <v>4.4194999999999998E-2</v>
      </c>
      <c r="D72" s="76">
        <v>4.9875000000000003E-2</v>
      </c>
      <c r="E72" s="38" t="s">
        <v>442</v>
      </c>
      <c r="F72" s="20"/>
      <c r="G72" s="20"/>
      <c r="H72" s="20"/>
      <c r="I72" s="20"/>
      <c r="J72" s="20"/>
      <c r="K72" s="20"/>
      <c r="L72" s="20"/>
    </row>
    <row r="73" spans="1:12" ht="16.5" thickBot="1" x14ac:dyDescent="0.3">
      <c r="A73" s="20"/>
      <c r="B73" s="20" t="s">
        <v>648</v>
      </c>
      <c r="C73" s="76">
        <v>4.2195000000000003E-2</v>
      </c>
      <c r="D73" s="76">
        <v>4.7612000000000002E-2</v>
      </c>
      <c r="E73" s="38" t="s">
        <v>442</v>
      </c>
      <c r="F73" s="20"/>
      <c r="G73" s="20"/>
      <c r="H73" s="20"/>
      <c r="I73" s="20"/>
      <c r="J73" s="20"/>
      <c r="K73" s="20"/>
      <c r="L73" s="20"/>
    </row>
    <row r="74" spans="1:12" ht="16.5" thickBot="1" x14ac:dyDescent="0.3">
      <c r="A74" s="20"/>
      <c r="B74" s="20" t="s">
        <v>649</v>
      </c>
      <c r="C74" s="76">
        <v>3.6194999999999998E-2</v>
      </c>
      <c r="D74" s="76">
        <v>4.0843999999999998E-2</v>
      </c>
      <c r="E74" s="38" t="s">
        <v>442</v>
      </c>
      <c r="F74" s="20"/>
      <c r="G74" s="20"/>
      <c r="H74" s="20"/>
      <c r="I74" s="20"/>
      <c r="J74" s="20"/>
      <c r="K74" s="20"/>
      <c r="L74" s="20"/>
    </row>
    <row r="75" spans="1:12" ht="16.5" thickBot="1" x14ac:dyDescent="0.3">
      <c r="A75" s="20"/>
      <c r="B75" s="38" t="s">
        <v>636</v>
      </c>
      <c r="C75" s="20"/>
      <c r="D75" s="20"/>
      <c r="E75" s="20"/>
      <c r="F75" s="20"/>
      <c r="G75" s="20"/>
      <c r="H75" s="20"/>
      <c r="I75" s="20"/>
      <c r="J75" s="20"/>
      <c r="K75" s="20"/>
      <c r="L75" s="20"/>
    </row>
    <row r="76" spans="1:12" ht="16.5" thickBot="1" x14ac:dyDescent="0.3">
      <c r="A76" s="20"/>
      <c r="B76" s="20" t="s">
        <v>647</v>
      </c>
      <c r="C76" s="76">
        <v>12.75</v>
      </c>
      <c r="D76" s="76">
        <v>14.39</v>
      </c>
      <c r="E76" s="38" t="s">
        <v>637</v>
      </c>
      <c r="F76" s="20"/>
      <c r="G76" s="20"/>
      <c r="H76" s="20"/>
      <c r="I76" s="20"/>
      <c r="J76" s="20"/>
      <c r="K76" s="20"/>
      <c r="L76" s="20"/>
    </row>
    <row r="77" spans="1:12" ht="16.5" thickBot="1" x14ac:dyDescent="0.3">
      <c r="A77" s="20"/>
      <c r="B77" s="20" t="s">
        <v>650</v>
      </c>
      <c r="C77" s="76">
        <v>1.1499999999999999</v>
      </c>
      <c r="D77" s="76">
        <v>1.3</v>
      </c>
      <c r="E77" s="38" t="s">
        <v>637</v>
      </c>
      <c r="F77" s="20"/>
      <c r="G77" s="20"/>
      <c r="H77" s="20"/>
      <c r="I77" s="20"/>
      <c r="J77" s="20"/>
      <c r="K77" s="20"/>
      <c r="L77" s="20"/>
    </row>
    <row r="78" spans="1:12" ht="16.5" thickBot="1" x14ac:dyDescent="0.3">
      <c r="A78" s="20"/>
      <c r="B78" s="20" t="s">
        <v>648</v>
      </c>
      <c r="C78" s="76">
        <v>12.07</v>
      </c>
      <c r="D78" s="76">
        <v>13.62</v>
      </c>
      <c r="E78" s="38" t="s">
        <v>637</v>
      </c>
      <c r="F78" s="20"/>
      <c r="G78" s="20"/>
      <c r="H78" s="20"/>
      <c r="I78" s="20"/>
      <c r="J78" s="20"/>
      <c r="K78" s="20"/>
      <c r="L78" s="20"/>
    </row>
    <row r="79" spans="1:12" ht="16.5" thickBot="1" x14ac:dyDescent="0.3">
      <c r="A79" s="20"/>
      <c r="B79" s="20" t="s">
        <v>651</v>
      </c>
      <c r="C79" s="76">
        <v>1.1499999999999999</v>
      </c>
      <c r="D79" s="76">
        <v>1.3</v>
      </c>
      <c r="E79" s="38" t="s">
        <v>637</v>
      </c>
      <c r="F79" s="20"/>
      <c r="G79" s="20"/>
      <c r="H79" s="20"/>
      <c r="I79" s="20"/>
      <c r="J79" s="20"/>
      <c r="K79" s="20"/>
      <c r="L79" s="20"/>
    </row>
    <row r="80" spans="1:12" ht="16.5" thickBot="1" x14ac:dyDescent="0.3">
      <c r="A80" s="20"/>
      <c r="B80" s="20" t="s">
        <v>652</v>
      </c>
      <c r="C80" s="76">
        <v>-0.65</v>
      </c>
      <c r="D80" s="76">
        <v>-0.73</v>
      </c>
      <c r="E80" s="38" t="s">
        <v>637</v>
      </c>
      <c r="F80" s="20"/>
      <c r="G80" s="20"/>
      <c r="H80" s="20"/>
      <c r="I80" s="20"/>
      <c r="J80" s="20"/>
      <c r="K80" s="20"/>
      <c r="L80" s="20"/>
    </row>
    <row r="81" spans="1:12" ht="16.5" thickBot="1" x14ac:dyDescent="0.3">
      <c r="A81" s="20"/>
      <c r="B81" s="20" t="s">
        <v>653</v>
      </c>
      <c r="C81" s="76">
        <v>-0.5</v>
      </c>
      <c r="D81" s="76">
        <v>-0.56000000000000005</v>
      </c>
      <c r="E81" s="38" t="s">
        <v>637</v>
      </c>
      <c r="F81" s="20"/>
      <c r="G81" s="20"/>
      <c r="H81" s="20"/>
      <c r="I81" s="20"/>
      <c r="J81" s="20"/>
      <c r="K81" s="20"/>
      <c r="L81" s="20"/>
    </row>
    <row r="82" spans="1:12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</row>
    <row r="83" spans="1:12" ht="18" x14ac:dyDescent="0.25">
      <c r="A83" s="27"/>
      <c r="B83" s="487" t="s">
        <v>656</v>
      </c>
      <c r="C83" s="487"/>
      <c r="D83" s="487"/>
      <c r="E83" s="20"/>
      <c r="F83" s="20"/>
      <c r="G83" s="20"/>
      <c r="H83" s="28"/>
      <c r="I83" s="20"/>
      <c r="J83" s="38"/>
      <c r="K83" s="20"/>
      <c r="L83" s="20"/>
    </row>
    <row r="84" spans="1:12" ht="16.5" thickBot="1" x14ac:dyDescent="0.3">
      <c r="A84" s="20"/>
      <c r="B84" s="38" t="s">
        <v>64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</row>
    <row r="85" spans="1:12" ht="16.5" thickBot="1" x14ac:dyDescent="0.3">
      <c r="A85" s="20"/>
      <c r="B85" s="38" t="s">
        <v>631</v>
      </c>
      <c r="C85" s="76">
        <v>7.5</v>
      </c>
      <c r="D85" s="76">
        <v>17.14</v>
      </c>
      <c r="E85" s="38" t="s">
        <v>629</v>
      </c>
      <c r="F85" s="20"/>
      <c r="G85" s="20"/>
      <c r="H85" s="20"/>
      <c r="I85" s="20"/>
      <c r="J85" s="20"/>
      <c r="K85" s="20"/>
      <c r="L85" s="20"/>
    </row>
    <row r="86" spans="1:12" ht="16.5" thickBot="1" x14ac:dyDescent="0.3">
      <c r="A86" s="20"/>
      <c r="B86" s="38" t="s">
        <v>632</v>
      </c>
      <c r="C86" s="76">
        <v>15</v>
      </c>
      <c r="D86" s="76">
        <v>34.28</v>
      </c>
      <c r="E86" s="38" t="s">
        <v>629</v>
      </c>
      <c r="F86" s="20"/>
      <c r="G86" s="20"/>
      <c r="H86" s="20"/>
      <c r="I86" s="20"/>
      <c r="J86" s="20"/>
      <c r="K86" s="20"/>
      <c r="L86" s="20"/>
    </row>
    <row r="87" spans="1:12" ht="16.5" thickBot="1" x14ac:dyDescent="0.3">
      <c r="A87" s="20"/>
      <c r="B87" s="38" t="s">
        <v>646</v>
      </c>
      <c r="C87" s="76">
        <v>100</v>
      </c>
      <c r="D87" s="76">
        <v>118.78</v>
      </c>
      <c r="E87" s="38" t="s">
        <v>629</v>
      </c>
      <c r="F87" s="20"/>
      <c r="G87" s="20"/>
      <c r="H87" s="20"/>
      <c r="I87" s="20"/>
      <c r="J87" s="20"/>
      <c r="K87" s="20"/>
      <c r="L87" s="20"/>
    </row>
    <row r="88" spans="1:12" ht="16.5" thickBot="1" x14ac:dyDescent="0.3">
      <c r="A88" s="20"/>
      <c r="B88" s="38" t="s">
        <v>630</v>
      </c>
      <c r="C88" s="20"/>
      <c r="D88" s="20"/>
      <c r="E88" s="20"/>
      <c r="F88" s="20"/>
      <c r="G88" s="20"/>
      <c r="H88" s="20"/>
      <c r="I88" s="20"/>
      <c r="J88" s="20"/>
      <c r="K88" s="20"/>
      <c r="L88" s="20"/>
    </row>
    <row r="89" spans="1:12" ht="16.5" thickBot="1" x14ac:dyDescent="0.3">
      <c r="A89" s="20"/>
      <c r="B89" s="20" t="s">
        <v>654</v>
      </c>
      <c r="C89" s="76">
        <v>6.1524000000000002E-2</v>
      </c>
      <c r="D89" s="76">
        <v>6.9946999999999995E-2</v>
      </c>
      <c r="E89" s="38" t="s">
        <v>442</v>
      </c>
      <c r="F89" s="20"/>
      <c r="G89" s="20"/>
      <c r="H89" s="20"/>
      <c r="I89" s="20"/>
      <c r="J89" s="20"/>
      <c r="K89" s="20"/>
      <c r="L89" s="20"/>
    </row>
    <row r="90" spans="1:12" ht="16.5" thickBot="1" x14ac:dyDescent="0.3">
      <c r="A90" s="20"/>
      <c r="B90" s="38" t="s">
        <v>636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</row>
    <row r="91" spans="1:12" ht="16.5" thickBot="1" x14ac:dyDescent="0.3">
      <c r="A91" s="20"/>
      <c r="B91" s="20" t="s">
        <v>655</v>
      </c>
      <c r="C91" s="76">
        <v>0</v>
      </c>
      <c r="D91" s="76">
        <v>0</v>
      </c>
      <c r="E91" s="38" t="s">
        <v>637</v>
      </c>
      <c r="F91" s="20"/>
      <c r="G91" s="20"/>
      <c r="H91" s="20"/>
      <c r="I91" s="20"/>
      <c r="J91" s="20"/>
      <c r="K91" s="20"/>
      <c r="L91" s="20"/>
    </row>
    <row r="92" spans="1:12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</row>
    <row r="93" spans="1:12" ht="18" x14ac:dyDescent="0.25">
      <c r="A93" s="27"/>
      <c r="B93" s="487" t="s">
        <v>657</v>
      </c>
      <c r="C93" s="487"/>
      <c r="D93" s="487"/>
      <c r="E93" s="20"/>
      <c r="F93" s="20"/>
      <c r="G93" s="20"/>
      <c r="H93" s="28"/>
      <c r="I93" s="20"/>
      <c r="J93" s="38"/>
      <c r="K93" s="20"/>
      <c r="L93" s="20"/>
    </row>
    <row r="94" spans="1:12" ht="16.5" thickBot="1" x14ac:dyDescent="0.3">
      <c r="A94" s="20"/>
      <c r="B94" s="38" t="s">
        <v>64</v>
      </c>
      <c r="C94" s="20"/>
      <c r="D94" s="20"/>
      <c r="E94" s="20"/>
      <c r="F94" s="20"/>
      <c r="G94" s="20"/>
      <c r="H94" s="20"/>
      <c r="I94" s="20"/>
      <c r="J94" s="20"/>
      <c r="K94" s="20"/>
      <c r="L94" s="20"/>
    </row>
    <row r="95" spans="1:12" ht="16.5" thickBot="1" x14ac:dyDescent="0.3">
      <c r="A95" s="20"/>
      <c r="B95" s="38" t="s">
        <v>631</v>
      </c>
      <c r="C95" s="76">
        <v>7.5</v>
      </c>
      <c r="D95" s="76">
        <v>17.14</v>
      </c>
      <c r="E95" s="38" t="s">
        <v>629</v>
      </c>
      <c r="F95" s="20"/>
      <c r="G95" s="20"/>
      <c r="H95" s="20"/>
      <c r="I95" s="20"/>
      <c r="J95" s="20"/>
      <c r="K95" s="20"/>
      <c r="L95" s="20"/>
    </row>
    <row r="96" spans="1:12" ht="16.5" thickBot="1" x14ac:dyDescent="0.3">
      <c r="A96" s="20"/>
      <c r="B96" s="38" t="s">
        <v>630</v>
      </c>
      <c r="C96" s="20"/>
      <c r="D96" s="20"/>
      <c r="E96" s="20"/>
      <c r="F96" s="20"/>
      <c r="G96" s="20"/>
      <c r="H96" s="20"/>
      <c r="I96" s="20"/>
      <c r="J96" s="20"/>
      <c r="K96" s="20"/>
      <c r="L96" s="20"/>
    </row>
    <row r="97" spans="1:12" ht="16.5" thickBot="1" x14ac:dyDescent="0.3">
      <c r="A97" s="20"/>
      <c r="B97" s="20" t="s">
        <v>654</v>
      </c>
      <c r="C97" s="76">
        <v>0.10059800000000001</v>
      </c>
      <c r="D97" s="76">
        <v>0.106568</v>
      </c>
      <c r="E97" s="38" t="s">
        <v>442</v>
      </c>
      <c r="F97" s="20"/>
      <c r="G97" s="20"/>
      <c r="H97" s="20"/>
      <c r="I97" s="20"/>
      <c r="J97" s="20"/>
      <c r="K97" s="20"/>
      <c r="L97" s="20"/>
    </row>
    <row r="98" spans="1:12" ht="16.5" thickBot="1" x14ac:dyDescent="0.3">
      <c r="A98" s="20"/>
      <c r="B98" s="38" t="s">
        <v>636</v>
      </c>
      <c r="C98" s="20"/>
      <c r="D98" s="20"/>
      <c r="E98" s="20"/>
      <c r="F98" s="20"/>
      <c r="G98" s="20"/>
      <c r="H98" s="20"/>
      <c r="I98" s="20"/>
      <c r="J98" s="20"/>
      <c r="K98" s="20"/>
      <c r="L98" s="20"/>
    </row>
    <row r="99" spans="1:12" ht="16.5" thickBot="1" x14ac:dyDescent="0.3">
      <c r="A99" s="20"/>
      <c r="B99" s="20" t="s">
        <v>655</v>
      </c>
      <c r="C99" s="76">
        <v>0</v>
      </c>
      <c r="D99" s="76">
        <v>0</v>
      </c>
      <c r="E99" s="38" t="s">
        <v>637</v>
      </c>
      <c r="F99" s="20"/>
      <c r="G99" s="20"/>
      <c r="H99" s="20"/>
      <c r="I99" s="20"/>
      <c r="J99" s="20"/>
      <c r="K99" s="20"/>
      <c r="L99" s="20"/>
    </row>
    <row r="100" spans="1:12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</row>
    <row r="101" spans="1:12" ht="18" x14ac:dyDescent="0.25">
      <c r="A101" s="27"/>
      <c r="B101" s="487" t="s">
        <v>658</v>
      </c>
      <c r="C101" s="487"/>
      <c r="D101" s="487"/>
      <c r="E101" s="20"/>
      <c r="F101" s="20"/>
      <c r="G101" s="20"/>
      <c r="H101" s="28"/>
      <c r="I101" s="20"/>
      <c r="J101" s="38"/>
      <c r="K101" s="20"/>
      <c r="L101" s="20"/>
    </row>
    <row r="102" spans="1:12" ht="16.5" thickBot="1" x14ac:dyDescent="0.3">
      <c r="A102" s="20"/>
      <c r="B102" s="38" t="s">
        <v>662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</row>
    <row r="103" spans="1:12" ht="16.5" thickBot="1" x14ac:dyDescent="0.3">
      <c r="A103" s="20"/>
      <c r="B103" s="38" t="s">
        <v>659</v>
      </c>
      <c r="C103" s="76">
        <v>3</v>
      </c>
      <c r="D103" s="76">
        <v>3.14</v>
      </c>
      <c r="E103" s="38" t="s">
        <v>629</v>
      </c>
      <c r="F103" s="20"/>
      <c r="G103" s="20"/>
      <c r="H103" s="20"/>
      <c r="I103" s="20"/>
      <c r="J103" s="20"/>
      <c r="K103" s="20"/>
      <c r="L103" s="20"/>
    </row>
    <row r="104" spans="1:12" ht="16.5" thickBot="1" x14ac:dyDescent="0.3">
      <c r="A104" s="20"/>
      <c r="B104" s="38" t="s">
        <v>630</v>
      </c>
      <c r="C104" s="20"/>
      <c r="D104" s="20"/>
      <c r="E104" s="20"/>
      <c r="F104" s="20"/>
      <c r="G104" s="20"/>
      <c r="H104" s="20"/>
      <c r="I104" s="20"/>
      <c r="J104" s="20"/>
      <c r="K104" s="20"/>
      <c r="L104" s="20"/>
    </row>
    <row r="105" spans="1:12" ht="16.5" thickBot="1" x14ac:dyDescent="0.3">
      <c r="A105" s="20"/>
      <c r="B105" s="20" t="s">
        <v>661</v>
      </c>
      <c r="C105" s="76">
        <v>8.0723000000000003E-2</v>
      </c>
      <c r="D105" s="76">
        <v>9.2698000000000003E-2</v>
      </c>
      <c r="E105" s="38" t="s">
        <v>442</v>
      </c>
      <c r="F105" s="20"/>
      <c r="G105" s="20"/>
      <c r="H105" s="20"/>
      <c r="I105" s="20"/>
      <c r="J105" s="20"/>
      <c r="K105" s="20"/>
      <c r="L105" s="20"/>
    </row>
    <row r="106" spans="1:12" ht="16.5" thickBot="1" x14ac:dyDescent="0.3">
      <c r="A106" s="20"/>
      <c r="B106" s="20" t="s">
        <v>660</v>
      </c>
      <c r="C106" s="76">
        <v>9.2947000000000002E-2</v>
      </c>
      <c r="D106" s="76">
        <v>0.106767</v>
      </c>
      <c r="E106" s="38" t="s">
        <v>442</v>
      </c>
      <c r="F106" s="20"/>
      <c r="G106" s="20"/>
      <c r="H106" s="20"/>
      <c r="I106" s="20"/>
      <c r="J106" s="20"/>
      <c r="K106" s="20"/>
      <c r="L106" s="20"/>
    </row>
    <row r="107" spans="1:12" ht="16.5" thickBot="1" x14ac:dyDescent="0.3">
      <c r="A107" s="20"/>
      <c r="B107" s="38" t="s">
        <v>636</v>
      </c>
      <c r="C107" s="20"/>
      <c r="D107" s="20"/>
      <c r="E107" s="20"/>
      <c r="F107" s="20"/>
      <c r="G107" s="20"/>
      <c r="H107" s="20"/>
      <c r="I107" s="20"/>
      <c r="J107" s="20"/>
      <c r="K107" s="20"/>
      <c r="L107" s="20"/>
    </row>
    <row r="108" spans="1:12" ht="16.5" thickBot="1" x14ac:dyDescent="0.3">
      <c r="A108" s="20"/>
      <c r="B108" s="20" t="s">
        <v>655</v>
      </c>
      <c r="C108" s="76">
        <v>0</v>
      </c>
      <c r="D108" s="76">
        <v>0</v>
      </c>
      <c r="E108" s="38" t="s">
        <v>637</v>
      </c>
      <c r="F108" s="20"/>
      <c r="G108" s="20"/>
      <c r="H108" s="20"/>
      <c r="I108" s="20"/>
      <c r="J108" s="20"/>
      <c r="K108" s="20"/>
      <c r="L108" s="20"/>
    </row>
    <row r="109" spans="1:12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</row>
    <row r="110" spans="1:12" ht="18" x14ac:dyDescent="0.25">
      <c r="A110" s="27"/>
      <c r="B110" s="487" t="s">
        <v>663</v>
      </c>
      <c r="C110" s="487"/>
      <c r="D110" s="487"/>
      <c r="E110" s="20"/>
      <c r="F110" s="20"/>
      <c r="G110" s="20"/>
      <c r="H110" s="28"/>
      <c r="I110" s="20"/>
      <c r="J110" s="38"/>
      <c r="K110" s="20"/>
      <c r="L110" s="20"/>
    </row>
    <row r="111" spans="1:12" ht="16.5" thickBot="1" x14ac:dyDescent="0.3">
      <c r="A111" s="20"/>
      <c r="B111" s="38" t="s">
        <v>64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</row>
    <row r="112" spans="1:12" ht="16.5" thickBot="1" x14ac:dyDescent="0.3">
      <c r="A112" s="20"/>
      <c r="B112" s="38" t="s">
        <v>646</v>
      </c>
      <c r="C112" s="76">
        <v>100</v>
      </c>
      <c r="D112" s="76">
        <v>118.78</v>
      </c>
      <c r="E112" s="38" t="s">
        <v>629</v>
      </c>
      <c r="F112" s="20"/>
      <c r="G112" s="20"/>
      <c r="H112" s="20"/>
      <c r="I112" s="20"/>
      <c r="J112" s="20"/>
      <c r="K112" s="20"/>
      <c r="L112" s="20"/>
    </row>
    <row r="113" spans="1:12" ht="16.5" thickBot="1" x14ac:dyDescent="0.3">
      <c r="A113" s="20"/>
      <c r="B113" s="38" t="s">
        <v>630</v>
      </c>
      <c r="C113" s="20"/>
      <c r="D113" s="20"/>
      <c r="E113" s="20"/>
      <c r="F113" s="20"/>
      <c r="G113" s="20"/>
      <c r="H113" s="20"/>
      <c r="I113" s="20"/>
      <c r="J113" s="20"/>
      <c r="K113" s="20"/>
      <c r="L113" s="20"/>
    </row>
    <row r="114" spans="1:12" ht="16.5" thickBot="1" x14ac:dyDescent="0.3">
      <c r="A114" s="20"/>
      <c r="B114" s="20" t="s">
        <v>664</v>
      </c>
      <c r="C114" s="76">
        <v>5.1068000000000002E-2</v>
      </c>
      <c r="D114" s="76">
        <v>6.0595000000000003E-2</v>
      </c>
      <c r="E114" s="38" t="s">
        <v>442</v>
      </c>
      <c r="F114" s="20"/>
      <c r="G114" s="20"/>
      <c r="H114" s="20"/>
      <c r="I114" s="20"/>
      <c r="J114" s="20"/>
      <c r="K114" s="20"/>
      <c r="L114" s="20"/>
    </row>
    <row r="115" spans="1:12" ht="16.5" thickBot="1" x14ac:dyDescent="0.3">
      <c r="A115" s="20"/>
      <c r="B115" s="20" t="s">
        <v>635</v>
      </c>
      <c r="C115" s="76">
        <v>4.3198E-2</v>
      </c>
      <c r="D115" s="76">
        <v>5.1267E-2</v>
      </c>
      <c r="E115" s="38" t="s">
        <v>442</v>
      </c>
      <c r="F115" s="20"/>
      <c r="G115" s="20"/>
      <c r="H115" s="20"/>
      <c r="I115" s="20"/>
      <c r="J115" s="20"/>
      <c r="K115" s="20"/>
      <c r="L115" s="20"/>
    </row>
    <row r="116" spans="1:12" ht="16.5" thickBot="1" x14ac:dyDescent="0.3">
      <c r="A116" s="20"/>
      <c r="B116" s="20" t="s">
        <v>706</v>
      </c>
      <c r="C116" s="76">
        <v>0.24118400000000001</v>
      </c>
      <c r="D116" s="76">
        <v>0.28619800000000001</v>
      </c>
      <c r="E116" s="38" t="s">
        <v>442</v>
      </c>
      <c r="F116" s="20"/>
      <c r="G116" s="20"/>
      <c r="H116" s="20"/>
      <c r="I116" s="20"/>
      <c r="J116" s="20"/>
      <c r="K116" s="20"/>
      <c r="L116" s="20"/>
    </row>
    <row r="117" spans="1:12" ht="16.5" thickBot="1" x14ac:dyDescent="0.3">
      <c r="A117" s="20"/>
      <c r="B117" s="38" t="s">
        <v>636</v>
      </c>
      <c r="C117" s="20"/>
      <c r="D117" s="20"/>
      <c r="E117" s="20"/>
      <c r="F117" s="20"/>
      <c r="G117" s="20"/>
      <c r="H117" s="20"/>
      <c r="I117" s="20"/>
      <c r="J117" s="20"/>
      <c r="K117" s="20"/>
      <c r="L117" s="20"/>
    </row>
    <row r="118" spans="1:12" ht="16.5" thickBot="1" x14ac:dyDescent="0.3">
      <c r="A118" s="20"/>
      <c r="B118" s="20" t="s">
        <v>655</v>
      </c>
      <c r="C118" s="76">
        <v>7.08</v>
      </c>
      <c r="D118" s="76">
        <v>8.4</v>
      </c>
      <c r="E118" s="38" t="s">
        <v>637</v>
      </c>
      <c r="F118" s="20"/>
      <c r="G118" s="20"/>
      <c r="H118" s="20"/>
      <c r="I118" s="20"/>
      <c r="J118" s="20"/>
      <c r="K118" s="20"/>
      <c r="L118" s="20"/>
    </row>
    <row r="119" spans="1:12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</row>
    <row r="120" spans="1:12" ht="18" x14ac:dyDescent="0.25">
      <c r="A120" s="27"/>
      <c r="B120" s="487" t="s">
        <v>665</v>
      </c>
      <c r="C120" s="487"/>
      <c r="D120" s="487"/>
      <c r="E120" s="20"/>
      <c r="F120" s="20"/>
      <c r="G120" s="20"/>
      <c r="H120" s="28"/>
      <c r="I120" s="20"/>
      <c r="J120" s="38"/>
      <c r="K120" s="20"/>
      <c r="L120" s="20"/>
    </row>
    <row r="121" spans="1:12" ht="16.5" thickBot="1" x14ac:dyDescent="0.3">
      <c r="A121" s="20"/>
      <c r="B121" s="38" t="s">
        <v>64</v>
      </c>
      <c r="C121" s="20"/>
      <c r="D121" s="20"/>
      <c r="E121" s="20"/>
      <c r="F121" s="20"/>
      <c r="G121" s="20"/>
      <c r="H121" s="20"/>
      <c r="I121" s="20"/>
      <c r="J121" s="20"/>
      <c r="K121" s="20"/>
      <c r="L121" s="20"/>
    </row>
    <row r="122" spans="1:12" ht="16.5" thickBot="1" x14ac:dyDescent="0.3">
      <c r="A122" s="20"/>
      <c r="B122" s="38" t="s">
        <v>666</v>
      </c>
      <c r="C122" s="76">
        <v>500</v>
      </c>
      <c r="D122" s="76">
        <v>500</v>
      </c>
      <c r="E122" s="38" t="s">
        <v>629</v>
      </c>
      <c r="F122" s="20"/>
      <c r="G122" s="20"/>
      <c r="H122" s="20"/>
      <c r="I122" s="20"/>
      <c r="J122" s="20"/>
      <c r="K122" s="20"/>
      <c r="L122" s="20"/>
    </row>
    <row r="123" spans="1:12" ht="16.5" thickBot="1" x14ac:dyDescent="0.3">
      <c r="A123" s="20"/>
      <c r="B123" s="38" t="s">
        <v>630</v>
      </c>
      <c r="C123" s="20"/>
      <c r="D123" s="20"/>
      <c r="E123" s="20"/>
      <c r="F123" s="20"/>
      <c r="G123" s="20"/>
      <c r="H123" s="20"/>
      <c r="I123" s="20"/>
      <c r="J123" s="20"/>
      <c r="K123" s="20"/>
      <c r="L123" s="20"/>
    </row>
    <row r="124" spans="1:12" ht="16.5" thickBot="1" x14ac:dyDescent="0.3">
      <c r="A124" s="20"/>
      <c r="B124" s="20" t="s">
        <v>716</v>
      </c>
      <c r="C124" s="76">
        <v>4.2647999999999998E-2</v>
      </c>
      <c r="D124" s="76">
        <v>5.4454000000000002E-2</v>
      </c>
      <c r="E124" s="38" t="s">
        <v>442</v>
      </c>
      <c r="F124" s="20"/>
      <c r="G124" s="20"/>
      <c r="H124" s="20"/>
      <c r="I124" s="20"/>
      <c r="J124" s="20"/>
      <c r="K124" s="20"/>
      <c r="L124" s="20"/>
    </row>
    <row r="125" spans="1:12" ht="16.5" thickBot="1" x14ac:dyDescent="0.3">
      <c r="A125" s="20"/>
      <c r="B125" s="20" t="s">
        <v>717</v>
      </c>
      <c r="C125" s="76">
        <v>4.2647999999999998E-2</v>
      </c>
      <c r="D125" s="76">
        <v>5.1983000000000001E-2</v>
      </c>
      <c r="E125" s="38"/>
      <c r="F125" s="20"/>
      <c r="G125" s="20"/>
      <c r="H125" s="20"/>
      <c r="I125" s="20"/>
      <c r="J125" s="20"/>
      <c r="K125" s="20"/>
      <c r="L125" s="20"/>
    </row>
    <row r="126" spans="1:12" ht="16.5" thickBot="1" x14ac:dyDescent="0.3">
      <c r="A126" s="20"/>
      <c r="B126" s="20" t="s">
        <v>649</v>
      </c>
      <c r="C126" s="76">
        <v>4.2647999999999998E-2</v>
      </c>
      <c r="D126" s="76">
        <v>4.4594000000000002E-2</v>
      </c>
      <c r="E126" s="38"/>
      <c r="F126" s="20"/>
      <c r="G126" s="20"/>
      <c r="H126" s="20"/>
      <c r="I126" s="20"/>
      <c r="J126" s="20"/>
      <c r="K126" s="20"/>
      <c r="L126" s="20"/>
    </row>
    <row r="127" spans="1:12" ht="16.5" thickBot="1" x14ac:dyDescent="0.3">
      <c r="A127" s="20"/>
      <c r="B127" s="38" t="s">
        <v>636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</row>
    <row r="128" spans="1:12" ht="16.5" thickBot="1" x14ac:dyDescent="0.3">
      <c r="A128" s="20"/>
      <c r="B128" s="20" t="s">
        <v>647</v>
      </c>
      <c r="C128" s="76">
        <v>7.6</v>
      </c>
      <c r="D128" s="76">
        <v>8.4600000000000009</v>
      </c>
      <c r="E128" s="38" t="s">
        <v>637</v>
      </c>
      <c r="F128" s="20"/>
      <c r="G128" s="20"/>
      <c r="H128" s="20"/>
      <c r="I128" s="20"/>
      <c r="J128" s="20"/>
      <c r="K128" s="20"/>
      <c r="L128" s="20"/>
    </row>
    <row r="129" spans="1:12" ht="16.5" thickBot="1" x14ac:dyDescent="0.3">
      <c r="A129" s="20"/>
      <c r="B129" s="20" t="s">
        <v>650</v>
      </c>
      <c r="C129" s="76">
        <v>1.1499999999999999</v>
      </c>
      <c r="D129" s="76">
        <v>1.28</v>
      </c>
      <c r="E129" s="38" t="s">
        <v>637</v>
      </c>
      <c r="F129" s="20"/>
      <c r="G129" s="20"/>
      <c r="H129" s="20"/>
      <c r="I129" s="20"/>
      <c r="J129" s="20"/>
      <c r="K129" s="20"/>
      <c r="L129" s="20"/>
    </row>
    <row r="130" spans="1:12" ht="16.5" thickBot="1" x14ac:dyDescent="0.3">
      <c r="A130" s="20"/>
      <c r="B130" s="20" t="s">
        <v>648</v>
      </c>
      <c r="C130" s="76">
        <v>6.24</v>
      </c>
      <c r="D130" s="76">
        <v>6.95</v>
      </c>
      <c r="E130" s="38" t="s">
        <v>637</v>
      </c>
      <c r="F130" s="20"/>
      <c r="G130" s="20"/>
      <c r="H130" s="20"/>
      <c r="I130" s="20"/>
      <c r="J130" s="20"/>
      <c r="K130" s="20"/>
      <c r="L130" s="20"/>
    </row>
    <row r="131" spans="1:12" ht="16.5" thickBot="1" x14ac:dyDescent="0.3">
      <c r="A131" s="20"/>
      <c r="B131" s="20" t="s">
        <v>651</v>
      </c>
      <c r="C131" s="76">
        <v>1.1499999999999999</v>
      </c>
      <c r="D131" s="76">
        <v>1.28</v>
      </c>
      <c r="E131" s="38" t="s">
        <v>637</v>
      </c>
      <c r="F131" s="20"/>
      <c r="G131" s="20"/>
      <c r="H131" s="20"/>
      <c r="I131" s="20"/>
      <c r="J131" s="20"/>
      <c r="K131" s="20"/>
      <c r="L131" s="20"/>
    </row>
    <row r="132" spans="1:12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</row>
    <row r="133" spans="1:12" ht="18" x14ac:dyDescent="0.25">
      <c r="A133" s="27"/>
      <c r="B133" s="487" t="s">
        <v>730</v>
      </c>
      <c r="C133" s="487"/>
      <c r="D133" s="487"/>
      <c r="E133" s="20"/>
      <c r="F133" s="20"/>
      <c r="G133" s="20"/>
      <c r="H133" s="28"/>
      <c r="I133" s="20"/>
      <c r="J133" s="38"/>
      <c r="K133" s="20"/>
      <c r="L133" s="20"/>
    </row>
    <row r="134" spans="1:12" ht="16.5" thickBot="1" x14ac:dyDescent="0.3">
      <c r="A134" s="20"/>
      <c r="B134" s="38" t="s">
        <v>64</v>
      </c>
      <c r="C134" s="20"/>
      <c r="D134" s="20"/>
      <c r="E134" s="20"/>
      <c r="F134" s="20"/>
      <c r="G134" s="20"/>
      <c r="H134" s="20"/>
      <c r="I134" s="20"/>
      <c r="J134" s="20"/>
      <c r="K134" s="20"/>
      <c r="L134" s="20"/>
    </row>
    <row r="135" spans="1:12" ht="16.5" thickBot="1" x14ac:dyDescent="0.3">
      <c r="A135" s="20"/>
      <c r="B135" s="20" t="s">
        <v>667</v>
      </c>
      <c r="C135" s="76">
        <v>198</v>
      </c>
      <c r="D135" s="76">
        <v>0</v>
      </c>
      <c r="E135" s="38" t="s">
        <v>629</v>
      </c>
      <c r="F135" s="20"/>
      <c r="G135" s="20"/>
      <c r="H135" s="20"/>
      <c r="I135" s="20"/>
      <c r="J135" s="20"/>
      <c r="K135" s="20"/>
      <c r="L135" s="20"/>
    </row>
    <row r="136" spans="1:12" ht="16.5" thickBot="1" x14ac:dyDescent="0.3">
      <c r="A136" s="20"/>
      <c r="B136" s="20" t="s">
        <v>646</v>
      </c>
      <c r="C136" s="76">
        <v>283</v>
      </c>
      <c r="D136" s="76">
        <v>0</v>
      </c>
      <c r="E136" s="38" t="s">
        <v>629</v>
      </c>
      <c r="F136" s="20"/>
      <c r="G136" s="20"/>
      <c r="H136" s="20"/>
      <c r="I136" s="20"/>
      <c r="J136" s="20"/>
      <c r="K136" s="20"/>
      <c r="L136" s="20"/>
    </row>
    <row r="137" spans="1:12" ht="16.5" thickBot="1" x14ac:dyDescent="0.3">
      <c r="A137" s="20"/>
      <c r="B137" s="20" t="s">
        <v>668</v>
      </c>
      <c r="C137" s="76">
        <v>683</v>
      </c>
      <c r="D137" s="76">
        <v>0</v>
      </c>
      <c r="E137" s="38" t="s">
        <v>629</v>
      </c>
      <c r="F137" s="20"/>
      <c r="G137" s="20"/>
      <c r="H137" s="20"/>
      <c r="I137" s="20"/>
      <c r="J137" s="20"/>
      <c r="K137" s="20"/>
      <c r="L137" s="20"/>
    </row>
    <row r="138" spans="1:12" ht="16.5" thickBot="1" x14ac:dyDescent="0.3">
      <c r="A138" s="20"/>
      <c r="B138" s="38" t="s">
        <v>669</v>
      </c>
      <c r="C138" s="20"/>
      <c r="D138" s="20"/>
      <c r="E138" s="20"/>
      <c r="F138" s="20"/>
      <c r="G138" s="20"/>
      <c r="H138" s="20"/>
      <c r="I138" s="20"/>
      <c r="J138" s="20"/>
      <c r="K138" s="20"/>
      <c r="L138" s="20"/>
    </row>
    <row r="139" spans="1:12" ht="16.5" thickBot="1" x14ac:dyDescent="0.3">
      <c r="A139" s="20"/>
      <c r="B139" s="20" t="s">
        <v>667</v>
      </c>
      <c r="C139" s="76">
        <v>6.0530000000000002E-3</v>
      </c>
      <c r="D139" s="76">
        <v>0</v>
      </c>
      <c r="E139" s="38" t="s">
        <v>442</v>
      </c>
      <c r="F139" s="20"/>
      <c r="G139" s="20"/>
      <c r="H139" s="20"/>
      <c r="I139" s="20"/>
      <c r="J139" s="20"/>
      <c r="K139" s="20"/>
      <c r="L139" s="20"/>
    </row>
    <row r="140" spans="1:12" ht="16.5" thickBot="1" x14ac:dyDescent="0.3">
      <c r="A140" s="20"/>
      <c r="B140" s="20" t="s">
        <v>646</v>
      </c>
      <c r="C140" s="76">
        <v>5.5399999999999998E-3</v>
      </c>
      <c r="D140" s="76">
        <v>0</v>
      </c>
      <c r="E140" s="38" t="s">
        <v>442</v>
      </c>
      <c r="F140" s="20"/>
      <c r="G140" s="20"/>
      <c r="H140" s="20"/>
      <c r="I140" s="20"/>
      <c r="J140" s="20"/>
      <c r="K140" s="20"/>
      <c r="L140" s="20"/>
    </row>
    <row r="141" spans="1:12" ht="16.5" thickBot="1" x14ac:dyDescent="0.3">
      <c r="A141" s="20"/>
      <c r="B141" s="20" t="s">
        <v>668</v>
      </c>
      <c r="C141" s="76">
        <v>2.0079999999999998E-3</v>
      </c>
      <c r="D141" s="76">
        <v>0</v>
      </c>
      <c r="E141" s="38" t="s">
        <v>442</v>
      </c>
      <c r="F141" s="20"/>
      <c r="G141" s="20"/>
      <c r="H141" s="20"/>
      <c r="I141" s="20"/>
      <c r="J141" s="20"/>
      <c r="K141" s="20"/>
      <c r="L141" s="20"/>
    </row>
    <row r="142" spans="1:12" ht="16.5" thickBot="1" x14ac:dyDescent="0.3">
      <c r="A142" s="20"/>
      <c r="B142" s="38" t="s">
        <v>670</v>
      </c>
      <c r="C142" s="20"/>
      <c r="D142" s="20"/>
      <c r="E142" s="20"/>
      <c r="F142" s="20"/>
      <c r="G142" s="20"/>
      <c r="H142" s="20"/>
      <c r="I142" s="20"/>
      <c r="J142" s="20"/>
      <c r="K142" s="20"/>
      <c r="L142" s="20"/>
    </row>
    <row r="143" spans="1:12" ht="16.5" thickBot="1" x14ac:dyDescent="0.3">
      <c r="A143" s="20"/>
      <c r="B143" s="20" t="s">
        <v>667</v>
      </c>
      <c r="C143" s="76">
        <v>7.6000000000000004E-4</v>
      </c>
      <c r="D143" s="76">
        <v>0</v>
      </c>
      <c r="E143" s="38" t="s">
        <v>442</v>
      </c>
      <c r="F143" s="20"/>
      <c r="G143" s="20"/>
      <c r="H143" s="20"/>
      <c r="I143" s="20"/>
      <c r="J143" s="20"/>
      <c r="K143" s="20"/>
      <c r="L143" s="20"/>
    </row>
    <row r="144" spans="1:12" ht="16.5" thickBot="1" x14ac:dyDescent="0.3">
      <c r="A144" s="20"/>
      <c r="B144" s="20" t="s">
        <v>646</v>
      </c>
      <c r="C144" s="76">
        <v>7.3999999999999999E-4</v>
      </c>
      <c r="D144" s="76">
        <v>0</v>
      </c>
      <c r="E144" s="38" t="s">
        <v>442</v>
      </c>
      <c r="F144" s="20"/>
      <c r="G144" s="20"/>
      <c r="H144" s="20"/>
      <c r="I144" s="20"/>
      <c r="J144" s="20"/>
      <c r="K144" s="20"/>
      <c r="L144" s="20"/>
    </row>
    <row r="145" spans="1:12" ht="16.5" thickBot="1" x14ac:dyDescent="0.3">
      <c r="A145" s="20"/>
      <c r="B145" s="20" t="s">
        <v>668</v>
      </c>
      <c r="C145" s="76">
        <v>7.2099999999999996E-4</v>
      </c>
      <c r="D145" s="76">
        <v>0</v>
      </c>
      <c r="E145" s="38" t="s">
        <v>442</v>
      </c>
      <c r="F145" s="20"/>
      <c r="G145" s="20"/>
      <c r="H145" s="20"/>
      <c r="I145" s="20"/>
      <c r="J145" s="20"/>
      <c r="K145" s="20"/>
      <c r="L145" s="20"/>
    </row>
    <row r="146" spans="1:12" ht="16.5" thickBot="1" x14ac:dyDescent="0.3">
      <c r="A146" s="20"/>
      <c r="B146" s="38" t="s">
        <v>671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</row>
    <row r="147" spans="1:12" ht="16.5" thickBot="1" x14ac:dyDescent="0.3">
      <c r="A147" s="20"/>
      <c r="B147" s="20" t="s">
        <v>672</v>
      </c>
      <c r="C147" s="76">
        <v>5.1858583333333333E-2</v>
      </c>
      <c r="D147" s="76">
        <v>0</v>
      </c>
      <c r="E147" s="38" t="s">
        <v>442</v>
      </c>
      <c r="F147" s="20"/>
      <c r="G147" s="20"/>
      <c r="H147" s="20"/>
      <c r="I147" s="20"/>
      <c r="J147" s="20"/>
      <c r="K147" s="20"/>
      <c r="L147" s="20"/>
    </row>
    <row r="148" spans="1:12" ht="16.5" thickBot="1" x14ac:dyDescent="0.3">
      <c r="A148" s="20"/>
      <c r="B148" s="20" t="s">
        <v>673</v>
      </c>
      <c r="C148" s="76">
        <v>5.0457000000000002E-2</v>
      </c>
      <c r="D148" s="76">
        <v>0</v>
      </c>
      <c r="E148" s="38" t="s">
        <v>442</v>
      </c>
      <c r="F148" s="20"/>
      <c r="G148" s="20"/>
      <c r="H148" s="20"/>
      <c r="I148" s="20"/>
      <c r="J148" s="20"/>
      <c r="K148" s="20"/>
      <c r="L148" s="20"/>
    </row>
    <row r="149" spans="1:12" ht="16.5" thickBot="1" x14ac:dyDescent="0.3">
      <c r="A149" s="20"/>
      <c r="B149" s="20" t="s">
        <v>674</v>
      </c>
      <c r="C149" s="76">
        <v>4.9195574999999998E-2</v>
      </c>
      <c r="D149" s="76">
        <v>0</v>
      </c>
      <c r="E149" s="38" t="s">
        <v>442</v>
      </c>
      <c r="F149" s="20"/>
      <c r="G149" s="20"/>
      <c r="H149" s="20"/>
      <c r="I149" s="20"/>
      <c r="J149" s="20"/>
      <c r="K149" s="20"/>
      <c r="L149" s="20"/>
    </row>
    <row r="150" spans="1:12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</row>
    <row r="151" spans="1:12" ht="18" x14ac:dyDescent="0.25">
      <c r="A151" s="27"/>
      <c r="B151" s="487" t="s">
        <v>675</v>
      </c>
      <c r="C151" s="487"/>
      <c r="D151" s="487"/>
      <c r="E151" s="20"/>
      <c r="F151" s="20"/>
      <c r="G151" s="20"/>
      <c r="H151" s="28"/>
      <c r="I151" s="20"/>
      <c r="J151" s="38"/>
      <c r="K151" s="20"/>
      <c r="L151" s="20"/>
    </row>
    <row r="152" spans="1:12" ht="16.5" thickBot="1" x14ac:dyDescent="0.3">
      <c r="A152" s="20"/>
      <c r="B152" s="38" t="s">
        <v>676</v>
      </c>
      <c r="C152" s="20"/>
      <c r="D152" s="20"/>
      <c r="E152" s="20"/>
      <c r="F152" s="20"/>
      <c r="G152" s="20"/>
      <c r="H152" s="20"/>
      <c r="I152" s="20"/>
      <c r="J152" s="20"/>
      <c r="K152" s="20"/>
      <c r="L152" s="20"/>
    </row>
    <row r="153" spans="1:12" ht="16.5" thickBot="1" x14ac:dyDescent="0.3">
      <c r="A153" s="20"/>
      <c r="B153" s="20" t="s">
        <v>677</v>
      </c>
      <c r="C153" s="76">
        <v>183</v>
      </c>
      <c r="D153" s="76">
        <v>183</v>
      </c>
      <c r="E153" s="38" t="s">
        <v>629</v>
      </c>
      <c r="F153" s="20"/>
      <c r="G153" s="20"/>
      <c r="H153" s="20"/>
      <c r="I153" s="20"/>
      <c r="J153" s="20"/>
      <c r="K153" s="20"/>
      <c r="L153" s="20"/>
    </row>
    <row r="154" spans="1:12" ht="16.5" thickBot="1" x14ac:dyDescent="0.3">
      <c r="A154" s="20"/>
      <c r="B154" s="38" t="s">
        <v>669</v>
      </c>
      <c r="C154" s="20"/>
      <c r="D154" s="20"/>
      <c r="E154" s="20"/>
      <c r="F154" s="20"/>
      <c r="G154" s="20"/>
      <c r="H154" s="20"/>
      <c r="I154" s="20"/>
      <c r="J154" s="20"/>
      <c r="K154" s="20"/>
      <c r="L154" s="20"/>
    </row>
    <row r="155" spans="1:12" ht="16.5" thickBot="1" x14ac:dyDescent="0.3">
      <c r="A155" s="20"/>
      <c r="B155" s="20" t="s">
        <v>667</v>
      </c>
      <c r="C155" s="76">
        <v>6.0530000000000002E-3</v>
      </c>
      <c r="D155" s="76">
        <v>1.5412E-2</v>
      </c>
      <c r="E155" s="38" t="s">
        <v>442</v>
      </c>
      <c r="F155" s="20"/>
      <c r="G155" s="20"/>
      <c r="H155" s="20"/>
      <c r="I155" s="20"/>
      <c r="J155" s="20"/>
      <c r="K155" s="20"/>
      <c r="L155" s="20"/>
    </row>
    <row r="156" spans="1:12" ht="16.5" thickBot="1" x14ac:dyDescent="0.3">
      <c r="A156" s="20"/>
      <c r="B156" s="20" t="s">
        <v>646</v>
      </c>
      <c r="C156" s="76">
        <v>5.5399999999999998E-3</v>
      </c>
      <c r="D156" s="76">
        <v>1.2470999999999999E-2</v>
      </c>
      <c r="E156" s="38" t="s">
        <v>442</v>
      </c>
      <c r="F156" s="20"/>
      <c r="G156" s="20"/>
      <c r="H156" s="20"/>
      <c r="I156" s="20"/>
      <c r="J156" s="20"/>
      <c r="K156" s="20"/>
      <c r="L156" s="20"/>
    </row>
    <row r="157" spans="1:12" ht="16.5" thickBot="1" x14ac:dyDescent="0.3">
      <c r="A157" s="20"/>
      <c r="B157" s="20" t="s">
        <v>668</v>
      </c>
      <c r="C157" s="76">
        <v>2.0079999999999998E-3</v>
      </c>
      <c r="D157" s="76">
        <v>6.4720000000000003E-3</v>
      </c>
      <c r="E157" s="38" t="s">
        <v>442</v>
      </c>
      <c r="F157" s="20"/>
      <c r="G157" s="20"/>
      <c r="H157" s="20"/>
      <c r="I157" s="20"/>
      <c r="J157" s="20"/>
      <c r="K157" s="20"/>
      <c r="L157" s="20"/>
    </row>
    <row r="158" spans="1:12" ht="16.5" thickBot="1" x14ac:dyDescent="0.3">
      <c r="A158" s="20"/>
      <c r="B158" s="38" t="s">
        <v>670</v>
      </c>
      <c r="C158" s="20"/>
      <c r="D158" s="20"/>
      <c r="E158" s="20"/>
      <c r="F158" s="20"/>
      <c r="G158" s="20"/>
      <c r="H158" s="20"/>
      <c r="I158" s="20"/>
      <c r="J158" s="20"/>
      <c r="K158" s="20"/>
      <c r="L158" s="20"/>
    </row>
    <row r="159" spans="1:12" ht="16.5" thickBot="1" x14ac:dyDescent="0.3">
      <c r="A159" s="20"/>
      <c r="B159" s="20" t="s">
        <v>667</v>
      </c>
      <c r="C159" s="76">
        <v>7.6000000000000004E-4</v>
      </c>
      <c r="D159" s="76">
        <v>0</v>
      </c>
      <c r="E159" s="38" t="s">
        <v>442</v>
      </c>
      <c r="F159" s="20"/>
      <c r="G159" s="20"/>
      <c r="H159" s="20"/>
      <c r="I159" s="20"/>
      <c r="J159" s="20"/>
      <c r="K159" s="20"/>
      <c r="L159" s="20"/>
    </row>
    <row r="160" spans="1:12" ht="16.5" thickBot="1" x14ac:dyDescent="0.3">
      <c r="A160" s="20"/>
      <c r="B160" s="20" t="s">
        <v>646</v>
      </c>
      <c r="C160" s="76">
        <v>7.3999999999999999E-4</v>
      </c>
      <c r="D160" s="76">
        <v>0</v>
      </c>
      <c r="E160" s="38" t="s">
        <v>442</v>
      </c>
      <c r="F160" s="20"/>
      <c r="G160" s="20"/>
      <c r="H160" s="20"/>
      <c r="I160" s="20"/>
      <c r="J160" s="20"/>
      <c r="K160" s="20"/>
      <c r="L160" s="20"/>
    </row>
    <row r="161" spans="1:12" ht="16.5" thickBot="1" x14ac:dyDescent="0.3">
      <c r="A161" s="20"/>
      <c r="B161" s="20" t="s">
        <v>668</v>
      </c>
      <c r="C161" s="76">
        <v>7.2099999999999996E-4</v>
      </c>
      <c r="D161" s="76">
        <v>0</v>
      </c>
      <c r="E161" s="38" t="s">
        <v>442</v>
      </c>
      <c r="F161" s="20"/>
      <c r="G161" s="20"/>
      <c r="H161" s="20"/>
      <c r="I161" s="20"/>
      <c r="J161" s="20"/>
      <c r="K161" s="20"/>
      <c r="L161" s="20"/>
    </row>
    <row r="162" spans="1:12" ht="16.5" thickBot="1" x14ac:dyDescent="0.3">
      <c r="A162" s="20"/>
      <c r="B162" s="38" t="s">
        <v>671</v>
      </c>
      <c r="C162" s="20"/>
      <c r="D162" s="20"/>
      <c r="E162" s="20"/>
      <c r="F162" s="20"/>
      <c r="G162" s="20"/>
      <c r="H162" s="20"/>
      <c r="I162" s="20"/>
      <c r="J162" s="20"/>
      <c r="K162" s="20"/>
      <c r="L162" s="20"/>
    </row>
    <row r="163" spans="1:12" ht="16.5" thickBot="1" x14ac:dyDescent="0.3">
      <c r="A163" s="20"/>
      <c r="B163" s="20" t="s">
        <v>736</v>
      </c>
      <c r="C163" s="76">
        <v>5.5529000000000002E-2</v>
      </c>
      <c r="D163" s="76">
        <v>5.5529000000000002E-2</v>
      </c>
      <c r="E163" s="38" t="s">
        <v>442</v>
      </c>
      <c r="F163" s="20"/>
      <c r="G163" s="20"/>
      <c r="H163" s="20"/>
      <c r="I163" s="20"/>
      <c r="J163" s="20"/>
      <c r="K163" s="20"/>
      <c r="L163" s="20"/>
    </row>
    <row r="164" spans="1:12" ht="16.5" thickBot="1" x14ac:dyDescent="0.3">
      <c r="A164" s="20"/>
      <c r="B164" s="20" t="s">
        <v>737</v>
      </c>
      <c r="C164" s="76">
        <v>2.4279999999999999E-2</v>
      </c>
      <c r="D164" s="76">
        <v>2.4279999999999999E-2</v>
      </c>
      <c r="E164" s="38" t="s">
        <v>442</v>
      </c>
      <c r="F164" s="20"/>
      <c r="G164" s="20"/>
      <c r="H164" s="20"/>
      <c r="I164" s="20"/>
      <c r="J164" s="20"/>
      <c r="K164" s="20"/>
      <c r="L164" s="20"/>
    </row>
    <row r="165" spans="1:12" ht="16.5" thickBot="1" x14ac:dyDescent="0.3">
      <c r="A165" s="20"/>
      <c r="B165" s="20" t="s">
        <v>674</v>
      </c>
      <c r="C165" s="76">
        <v>2.9267999999999999E-2</v>
      </c>
      <c r="D165" s="76">
        <v>2.9267999999999999E-2</v>
      </c>
      <c r="E165" s="38" t="s">
        <v>442</v>
      </c>
      <c r="F165" s="20"/>
      <c r="G165" s="20"/>
      <c r="H165" s="20"/>
      <c r="I165" s="20"/>
      <c r="J165" s="20"/>
      <c r="K165" s="20"/>
      <c r="L165" s="20"/>
    </row>
    <row r="166" spans="1:12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</row>
    <row r="167" spans="1:12" ht="18.75" thickBot="1" x14ac:dyDescent="0.3">
      <c r="A167" s="20"/>
      <c r="B167" s="488" t="s">
        <v>726</v>
      </c>
      <c r="C167" s="488"/>
      <c r="D167" s="20"/>
      <c r="E167" s="26"/>
      <c r="F167" s="25"/>
      <c r="G167" s="27"/>
      <c r="H167" s="20"/>
      <c r="I167" s="21"/>
      <c r="J167" s="20"/>
      <c r="K167" s="20"/>
      <c r="L167" s="20"/>
    </row>
    <row r="168" spans="1:12" ht="16.5" thickBot="1" x14ac:dyDescent="0.3">
      <c r="A168" s="20"/>
      <c r="B168" s="28" t="s">
        <v>718</v>
      </c>
      <c r="C168" s="76">
        <v>0</v>
      </c>
      <c r="D168" s="76">
        <v>0</v>
      </c>
      <c r="E168" s="38" t="s">
        <v>719</v>
      </c>
      <c r="F168" s="25"/>
      <c r="G168" s="27"/>
      <c r="H168" s="20"/>
      <c r="I168" s="21"/>
      <c r="J168" s="20"/>
      <c r="K168" s="20"/>
      <c r="L168" s="20"/>
    </row>
    <row r="169" spans="1:12" x14ac:dyDescent="0.2">
      <c r="A169" s="20"/>
      <c r="B169" s="25"/>
      <c r="C169" s="25"/>
      <c r="D169" s="20"/>
      <c r="E169" s="26" t="s">
        <v>720</v>
      </c>
      <c r="F169" s="25"/>
      <c r="G169" s="27"/>
      <c r="H169" s="20"/>
      <c r="I169" s="21"/>
      <c r="J169" s="20"/>
      <c r="K169" s="20"/>
      <c r="L169" s="20"/>
    </row>
    <row r="170" spans="1:12" ht="18.75" thickBot="1" x14ac:dyDescent="0.3">
      <c r="A170" s="20"/>
      <c r="B170" s="488" t="s">
        <v>724</v>
      </c>
      <c r="C170" s="488"/>
      <c r="D170" s="20"/>
      <c r="E170" s="26"/>
      <c r="F170" s="25"/>
      <c r="G170" s="27"/>
      <c r="H170" s="20"/>
      <c r="I170" s="21"/>
      <c r="J170" s="20"/>
      <c r="K170" s="20"/>
      <c r="L170" s="20"/>
    </row>
    <row r="171" spans="1:12" ht="16.5" thickBot="1" x14ac:dyDescent="0.3">
      <c r="A171" s="20"/>
      <c r="B171" s="38" t="s">
        <v>54</v>
      </c>
      <c r="C171" s="76">
        <v>0</v>
      </c>
      <c r="D171" s="76">
        <v>0</v>
      </c>
      <c r="E171" s="38" t="s">
        <v>442</v>
      </c>
      <c r="F171" s="124"/>
      <c r="G171" s="27"/>
      <c r="H171" s="20"/>
      <c r="I171" s="21"/>
      <c r="J171" s="21"/>
      <c r="K171" s="28"/>
      <c r="L171" s="20"/>
    </row>
    <row r="172" spans="1:12" ht="16.5" thickBot="1" x14ac:dyDescent="0.3">
      <c r="A172" s="20"/>
      <c r="B172" s="38" t="s">
        <v>113</v>
      </c>
      <c r="C172" s="76">
        <v>0</v>
      </c>
      <c r="D172" s="76">
        <v>0</v>
      </c>
      <c r="E172" s="38" t="s">
        <v>637</v>
      </c>
      <c r="F172" s="20"/>
      <c r="G172" s="27"/>
      <c r="H172" s="28"/>
      <c r="I172" s="21"/>
      <c r="J172" s="20"/>
      <c r="K172" s="20"/>
      <c r="L172" s="20"/>
    </row>
    <row r="173" spans="1:12" ht="16.5" thickBot="1" x14ac:dyDescent="0.3">
      <c r="A173" s="20"/>
      <c r="B173" s="38" t="s">
        <v>721</v>
      </c>
      <c r="C173" s="76">
        <v>0</v>
      </c>
      <c r="D173" s="76">
        <v>0</v>
      </c>
      <c r="E173" s="38" t="s">
        <v>637</v>
      </c>
      <c r="F173" s="20"/>
      <c r="G173" s="27"/>
      <c r="H173" s="28"/>
      <c r="I173" s="21"/>
      <c r="J173" s="20"/>
      <c r="K173" s="20"/>
      <c r="L173" s="20"/>
    </row>
    <row r="174" spans="1:12" ht="16.5" thickBot="1" x14ac:dyDescent="0.3">
      <c r="A174" s="20"/>
      <c r="B174" s="38" t="s">
        <v>722</v>
      </c>
      <c r="C174" s="76">
        <v>0</v>
      </c>
      <c r="D174" s="76">
        <v>0</v>
      </c>
      <c r="E174" s="38" t="s">
        <v>637</v>
      </c>
      <c r="F174" s="20"/>
      <c r="G174" s="27"/>
      <c r="H174" s="28"/>
      <c r="I174" s="21"/>
      <c r="J174" s="20"/>
      <c r="K174" s="20"/>
      <c r="L174" s="20"/>
    </row>
    <row r="175" spans="1:12" ht="16.5" thickBot="1" x14ac:dyDescent="0.3">
      <c r="A175" s="20"/>
      <c r="B175" s="38" t="s">
        <v>116</v>
      </c>
      <c r="C175" s="76">
        <v>0</v>
      </c>
      <c r="D175" s="76">
        <v>0</v>
      </c>
      <c r="E175" s="38" t="s">
        <v>442</v>
      </c>
      <c r="F175" s="20"/>
      <c r="G175" s="27"/>
      <c r="H175" s="28"/>
      <c r="I175" s="21"/>
      <c r="J175" s="20"/>
      <c r="K175" s="20"/>
      <c r="L175" s="20"/>
    </row>
    <row r="176" spans="1:12" ht="16.5" thickBot="1" x14ac:dyDescent="0.3">
      <c r="A176" s="20"/>
      <c r="B176" s="38" t="s">
        <v>117</v>
      </c>
      <c r="C176" s="76">
        <v>0</v>
      </c>
      <c r="D176" s="76">
        <v>0</v>
      </c>
      <c r="E176" s="38" t="s">
        <v>442</v>
      </c>
      <c r="F176" s="20"/>
      <c r="G176" s="27"/>
      <c r="H176" s="28"/>
      <c r="I176" s="21"/>
      <c r="J176" s="20"/>
      <c r="K176" s="20"/>
      <c r="L176" s="20"/>
    </row>
    <row r="177" spans="1:12" ht="16.5" thickBot="1" x14ac:dyDescent="0.3">
      <c r="A177" s="20"/>
      <c r="B177" s="38" t="s">
        <v>115</v>
      </c>
      <c r="C177" s="76">
        <v>0</v>
      </c>
      <c r="D177" s="76">
        <v>0</v>
      </c>
      <c r="E177" s="38" t="s">
        <v>442</v>
      </c>
      <c r="F177" s="20"/>
      <c r="G177" s="27"/>
      <c r="H177" s="28"/>
      <c r="I177" s="21"/>
      <c r="J177" s="20"/>
      <c r="K177" s="20"/>
      <c r="L177" s="20"/>
    </row>
    <row r="178" spans="1:12" ht="16.5" thickBot="1" x14ac:dyDescent="0.3">
      <c r="A178" s="20"/>
      <c r="B178" s="38" t="s">
        <v>114</v>
      </c>
      <c r="C178" s="76">
        <v>0</v>
      </c>
      <c r="D178" s="76">
        <v>0</v>
      </c>
      <c r="E178" s="38" t="s">
        <v>637</v>
      </c>
      <c r="F178" s="20"/>
      <c r="G178" s="27"/>
      <c r="H178" s="28"/>
      <c r="I178" s="21"/>
      <c r="J178" s="20"/>
      <c r="K178" s="20"/>
      <c r="L178" s="20"/>
    </row>
    <row r="179" spans="1:12" ht="16.5" thickBot="1" x14ac:dyDescent="0.3">
      <c r="A179" s="20"/>
      <c r="B179" s="38"/>
      <c r="C179" s="227"/>
      <c r="D179" s="227"/>
      <c r="E179" s="38"/>
      <c r="F179" s="20"/>
      <c r="G179" s="27"/>
      <c r="H179" s="28"/>
      <c r="I179" s="21"/>
      <c r="J179" s="20"/>
      <c r="K179" s="20"/>
      <c r="L179" s="20"/>
    </row>
    <row r="180" spans="1:12" ht="16.5" thickBot="1" x14ac:dyDescent="0.3">
      <c r="A180" s="20"/>
      <c r="B180" s="38" t="s">
        <v>723</v>
      </c>
      <c r="C180" s="76">
        <v>0</v>
      </c>
      <c r="D180" s="76">
        <v>0</v>
      </c>
      <c r="E180" s="38" t="s">
        <v>442</v>
      </c>
      <c r="F180" s="20"/>
      <c r="G180" s="27"/>
      <c r="H180" s="28"/>
      <c r="I180" s="21"/>
      <c r="J180" s="20"/>
      <c r="K180" s="20"/>
      <c r="L180" s="20"/>
    </row>
    <row r="181" spans="1:12" ht="16.5" thickBot="1" x14ac:dyDescent="0.3">
      <c r="A181" s="20"/>
      <c r="B181" s="38"/>
      <c r="C181" s="227"/>
      <c r="D181" s="227"/>
      <c r="E181" s="38"/>
      <c r="F181" s="20"/>
      <c r="G181" s="27"/>
      <c r="H181" s="28"/>
      <c r="I181" s="21"/>
      <c r="J181" s="20"/>
      <c r="K181" s="20"/>
      <c r="L181" s="20"/>
    </row>
    <row r="182" spans="1:12" ht="15.75" x14ac:dyDescent="0.25">
      <c r="A182" s="20"/>
      <c r="B182" s="226" t="s">
        <v>694</v>
      </c>
      <c r="C182" s="27"/>
      <c r="D182" s="27"/>
      <c r="E182" s="38"/>
      <c r="F182" s="20"/>
      <c r="G182" s="27"/>
      <c r="H182" s="20"/>
      <c r="I182" s="21"/>
      <c r="J182" s="20"/>
      <c r="K182" s="20"/>
      <c r="L182" s="20"/>
    </row>
    <row r="183" spans="1:12" x14ac:dyDescent="0.2">
      <c r="A183" s="20"/>
      <c r="B183" s="25"/>
      <c r="C183" s="25"/>
      <c r="D183" s="20"/>
      <c r="E183" s="26"/>
      <c r="F183" s="25"/>
      <c r="G183" s="27"/>
      <c r="H183" s="20"/>
      <c r="I183" s="21"/>
      <c r="J183" s="20"/>
      <c r="K183" s="20"/>
      <c r="L183" s="20"/>
    </row>
    <row r="184" spans="1:12" ht="18.75" thickBot="1" x14ac:dyDescent="0.3">
      <c r="A184" s="20"/>
      <c r="B184" s="488" t="s">
        <v>725</v>
      </c>
      <c r="C184" s="488"/>
      <c r="D184" s="20"/>
      <c r="E184" s="26"/>
      <c r="F184" s="25"/>
      <c r="G184" s="27"/>
      <c r="H184" s="20"/>
      <c r="I184" s="21"/>
      <c r="J184" s="20"/>
      <c r="K184" s="20"/>
      <c r="L184" s="20"/>
    </row>
    <row r="185" spans="1:12" ht="16.5" thickBot="1" x14ac:dyDescent="0.3">
      <c r="A185" s="20"/>
      <c r="B185" s="38" t="s">
        <v>54</v>
      </c>
      <c r="C185" s="76">
        <v>0</v>
      </c>
      <c r="D185" s="76">
        <v>0</v>
      </c>
      <c r="E185" s="234" t="s">
        <v>442</v>
      </c>
      <c r="F185" s="27"/>
      <c r="G185" s="27"/>
      <c r="H185" s="20"/>
      <c r="I185" s="21"/>
      <c r="J185" s="21"/>
      <c r="K185" s="28"/>
      <c r="L185" s="20"/>
    </row>
    <row r="186" spans="1:12" ht="16.5" thickBot="1" x14ac:dyDescent="0.3">
      <c r="A186" s="20"/>
      <c r="B186" s="38" t="s">
        <v>113</v>
      </c>
      <c r="C186" s="76">
        <v>0</v>
      </c>
      <c r="D186" s="76">
        <v>0</v>
      </c>
      <c r="E186" s="234" t="s">
        <v>442</v>
      </c>
      <c r="F186" s="27"/>
      <c r="G186" s="27"/>
      <c r="H186" s="28"/>
      <c r="I186" s="21"/>
      <c r="J186" s="20"/>
      <c r="K186" s="20"/>
      <c r="L186" s="20"/>
    </row>
    <row r="187" spans="1:12" ht="16.5" thickBot="1" x14ac:dyDescent="0.3">
      <c r="A187" s="20"/>
      <c r="B187" s="38" t="s">
        <v>721</v>
      </c>
      <c r="C187" s="76">
        <v>0</v>
      </c>
      <c r="D187" s="76">
        <v>0</v>
      </c>
      <c r="E187" s="234" t="s">
        <v>442</v>
      </c>
      <c r="F187" s="27"/>
      <c r="G187" s="27"/>
      <c r="H187" s="20"/>
      <c r="I187" s="21"/>
      <c r="J187" s="20"/>
      <c r="K187" s="20"/>
      <c r="L187" s="20"/>
    </row>
    <row r="188" spans="1:12" ht="16.5" thickBot="1" x14ac:dyDescent="0.3">
      <c r="A188" s="20"/>
      <c r="B188" s="38" t="s">
        <v>722</v>
      </c>
      <c r="C188" s="76">
        <v>0</v>
      </c>
      <c r="D188" s="76">
        <v>0</v>
      </c>
      <c r="E188" s="234" t="s">
        <v>442</v>
      </c>
      <c r="F188" s="27"/>
      <c r="G188" s="27"/>
      <c r="H188" s="20"/>
      <c r="I188" s="21"/>
      <c r="J188" s="20"/>
      <c r="K188" s="20"/>
      <c r="L188" s="20"/>
    </row>
    <row r="189" spans="1:12" ht="16.5" thickBot="1" x14ac:dyDescent="0.3">
      <c r="A189" s="20"/>
      <c r="B189" s="38" t="s">
        <v>116</v>
      </c>
      <c r="C189" s="76">
        <v>0</v>
      </c>
      <c r="D189" s="76">
        <v>0</v>
      </c>
      <c r="E189" s="234" t="s">
        <v>442</v>
      </c>
      <c r="F189" s="27"/>
      <c r="G189" s="27"/>
      <c r="H189" s="20"/>
      <c r="I189" s="21"/>
      <c r="J189" s="20"/>
      <c r="K189" s="20"/>
      <c r="L189" s="20"/>
    </row>
    <row r="190" spans="1:12" ht="16.5" thickBot="1" x14ac:dyDescent="0.3">
      <c r="A190" s="20"/>
      <c r="B190" s="38" t="s">
        <v>117</v>
      </c>
      <c r="C190" s="76">
        <v>0</v>
      </c>
      <c r="D190" s="76">
        <v>0</v>
      </c>
      <c r="E190" s="234" t="s">
        <v>442</v>
      </c>
      <c r="F190" s="27"/>
      <c r="G190" s="27"/>
      <c r="H190" s="20"/>
      <c r="I190" s="21"/>
      <c r="J190" s="20"/>
      <c r="K190" s="20"/>
      <c r="L190" s="20"/>
    </row>
    <row r="191" spans="1:12" ht="16.5" thickBot="1" x14ac:dyDescent="0.3">
      <c r="A191" s="20"/>
      <c r="B191" s="38" t="s">
        <v>115</v>
      </c>
      <c r="C191" s="76">
        <v>0</v>
      </c>
      <c r="D191" s="76">
        <v>0</v>
      </c>
      <c r="E191" s="234" t="s">
        <v>442</v>
      </c>
      <c r="F191" s="27"/>
      <c r="G191" s="27"/>
      <c r="H191" s="20"/>
      <c r="I191" s="21"/>
      <c r="J191" s="20"/>
      <c r="K191" s="20"/>
      <c r="L191" s="20"/>
    </row>
    <row r="192" spans="1:12" ht="16.5" thickBot="1" x14ac:dyDescent="0.3">
      <c r="A192" s="20"/>
      <c r="B192" s="38" t="s">
        <v>114</v>
      </c>
      <c r="C192" s="76">
        <v>0</v>
      </c>
      <c r="D192" s="76">
        <v>0</v>
      </c>
      <c r="E192" s="234" t="s">
        <v>442</v>
      </c>
      <c r="F192" s="27"/>
      <c r="G192" s="27"/>
      <c r="H192" s="20"/>
      <c r="I192" s="21"/>
      <c r="J192" s="20"/>
      <c r="K192" s="20"/>
      <c r="L192" s="20"/>
    </row>
    <row r="193" spans="1:12" ht="16.5" thickBot="1" x14ac:dyDescent="0.3">
      <c r="A193" s="20"/>
      <c r="B193" s="38" t="s">
        <v>62</v>
      </c>
      <c r="C193" s="76">
        <v>0</v>
      </c>
      <c r="D193" s="76">
        <v>0</v>
      </c>
      <c r="E193" s="234" t="s">
        <v>442</v>
      </c>
      <c r="F193" s="27"/>
      <c r="G193" s="27"/>
      <c r="H193" s="20"/>
      <c r="I193" s="21"/>
      <c r="J193" s="20"/>
      <c r="K193" s="20"/>
      <c r="L193" s="20"/>
    </row>
    <row r="194" spans="1:12" ht="16.5" thickBot="1" x14ac:dyDescent="0.3">
      <c r="A194" s="20"/>
      <c r="B194" s="38" t="s">
        <v>723</v>
      </c>
      <c r="C194" s="76">
        <v>0</v>
      </c>
      <c r="D194" s="76">
        <v>0</v>
      </c>
      <c r="E194" s="234" t="s">
        <v>442</v>
      </c>
      <c r="F194" s="27"/>
      <c r="G194" s="27"/>
      <c r="H194" s="20"/>
      <c r="I194" s="21"/>
      <c r="J194" s="20"/>
      <c r="K194" s="20"/>
      <c r="L194" s="20"/>
    </row>
    <row r="195" spans="1:12" x14ac:dyDescent="0.2">
      <c r="A195" s="20"/>
      <c r="B195" s="25"/>
      <c r="C195" s="25"/>
      <c r="D195" s="20"/>
      <c r="E195" s="26"/>
      <c r="F195" s="25"/>
      <c r="G195" s="27"/>
      <c r="H195" s="20"/>
      <c r="I195" s="21"/>
      <c r="J195" s="20"/>
      <c r="K195" s="20"/>
      <c r="L195" s="20"/>
    </row>
    <row r="196" spans="1:12" ht="16.5" thickBot="1" x14ac:dyDescent="0.3">
      <c r="A196" s="20"/>
      <c r="B196" s="38" t="s">
        <v>707</v>
      </c>
      <c r="C196" s="25"/>
      <c r="D196" s="20"/>
      <c r="E196" s="26"/>
      <c r="F196" s="25"/>
      <c r="G196" s="27"/>
      <c r="H196" s="20"/>
      <c r="I196" s="21"/>
      <c r="J196" s="20"/>
      <c r="K196" s="20"/>
      <c r="L196" s="20"/>
    </row>
    <row r="197" spans="1:12" ht="16.5" thickBot="1" x14ac:dyDescent="0.3">
      <c r="A197" s="20"/>
      <c r="B197" s="35" t="s">
        <v>774</v>
      </c>
      <c r="C197" s="37"/>
      <c r="D197" s="36"/>
      <c r="E197" s="36"/>
      <c r="F197" s="36"/>
      <c r="G197" s="33"/>
      <c r="H197" s="20"/>
      <c r="I197" s="21"/>
      <c r="J197" s="20"/>
      <c r="K197" s="20"/>
      <c r="L197" s="20"/>
    </row>
    <row r="198" spans="1:12" ht="16.5" thickBot="1" x14ac:dyDescent="0.3">
      <c r="A198" s="20"/>
      <c r="B198" s="35" t="s">
        <v>556</v>
      </c>
      <c r="C198" s="37"/>
      <c r="D198" s="37"/>
      <c r="E198" s="36"/>
      <c r="F198" s="36"/>
      <c r="G198" s="33"/>
      <c r="H198" s="20"/>
      <c r="I198" s="21"/>
      <c r="J198" s="20"/>
      <c r="K198" s="20"/>
      <c r="L198" s="20"/>
    </row>
    <row r="199" spans="1:12" ht="16.5" thickBot="1" x14ac:dyDescent="0.3">
      <c r="A199" s="20"/>
      <c r="B199" s="35" t="s">
        <v>775</v>
      </c>
      <c r="C199" s="37"/>
      <c r="D199" s="37"/>
      <c r="E199" s="36"/>
      <c r="F199" s="36"/>
      <c r="G199" s="33"/>
      <c r="H199" s="20"/>
      <c r="I199" s="21"/>
      <c r="J199" s="20"/>
      <c r="K199" s="20"/>
      <c r="L199" s="20"/>
    </row>
    <row r="200" spans="1:12" ht="16.5" thickBot="1" x14ac:dyDescent="0.3">
      <c r="A200" s="20"/>
      <c r="B200" s="35" t="s">
        <v>776</v>
      </c>
      <c r="C200" s="37"/>
      <c r="D200" s="37"/>
      <c r="E200" s="36"/>
      <c r="F200" s="36"/>
      <c r="G200" s="33"/>
      <c r="H200" s="20"/>
      <c r="I200" s="21"/>
      <c r="J200" s="20"/>
      <c r="K200" s="20"/>
      <c r="L200" s="20"/>
    </row>
    <row r="201" spans="1:12" ht="16.5" thickBot="1" x14ac:dyDescent="0.3">
      <c r="A201" s="20"/>
      <c r="B201" s="35" t="s">
        <v>777</v>
      </c>
      <c r="C201" s="37"/>
      <c r="D201" s="37"/>
      <c r="E201" s="36"/>
      <c r="F201" s="36"/>
      <c r="G201" s="33"/>
      <c r="H201" s="20"/>
      <c r="I201" s="21"/>
      <c r="J201" s="20"/>
      <c r="K201" s="20"/>
      <c r="L201" s="20"/>
    </row>
    <row r="202" spans="1:12" ht="16.5" thickBot="1" x14ac:dyDescent="0.3">
      <c r="A202" s="20"/>
      <c r="B202" s="35" t="s">
        <v>778</v>
      </c>
      <c r="C202" s="37"/>
      <c r="D202" s="37"/>
      <c r="E202" s="36"/>
      <c r="F202" s="36"/>
      <c r="G202" s="33"/>
      <c r="H202" s="20"/>
      <c r="I202" s="21"/>
      <c r="J202" s="20"/>
      <c r="K202" s="20"/>
      <c r="L202" s="20"/>
    </row>
    <row r="203" spans="1:12" ht="16.5" thickBot="1" x14ac:dyDescent="0.3">
      <c r="A203" s="20"/>
      <c r="B203" s="35" t="s">
        <v>555</v>
      </c>
      <c r="C203" s="37"/>
      <c r="D203" s="37"/>
      <c r="E203" s="36"/>
      <c r="F203" s="36"/>
      <c r="G203" s="33"/>
      <c r="H203" s="20"/>
      <c r="I203" s="21"/>
      <c r="J203" s="20"/>
      <c r="K203" s="20"/>
      <c r="L203" s="20"/>
    </row>
    <row r="204" spans="1:12" x14ac:dyDescent="0.2">
      <c r="A204" s="20"/>
      <c r="B204" s="25"/>
      <c r="C204" s="25"/>
      <c r="D204" s="20"/>
      <c r="E204" s="26"/>
      <c r="F204" s="25"/>
      <c r="G204" s="27"/>
      <c r="H204" s="20"/>
      <c r="I204" s="21"/>
      <c r="J204" s="20"/>
      <c r="K204" s="20"/>
      <c r="L204" s="20"/>
    </row>
    <row r="205" spans="1:12" ht="18.75" thickBot="1" x14ac:dyDescent="0.3">
      <c r="A205" s="20"/>
      <c r="B205" s="488" t="s">
        <v>734</v>
      </c>
      <c r="C205" s="488"/>
      <c r="D205" s="20"/>
      <c r="E205" s="26"/>
      <c r="F205" s="25"/>
      <c r="G205" s="27"/>
      <c r="H205" s="20"/>
      <c r="I205" s="21"/>
      <c r="J205" s="20"/>
      <c r="K205" s="20"/>
      <c r="L205" s="20"/>
    </row>
    <row r="206" spans="1:12" ht="16.5" thickBot="1" x14ac:dyDescent="0.3">
      <c r="A206" s="20"/>
      <c r="B206" s="38" t="s">
        <v>735</v>
      </c>
      <c r="C206" s="76">
        <v>5.5596E-2</v>
      </c>
      <c r="D206" s="76">
        <v>5.5596E-2</v>
      </c>
      <c r="E206" s="38" t="s">
        <v>442</v>
      </c>
      <c r="F206" s="124"/>
      <c r="G206" s="27"/>
      <c r="H206" s="20"/>
      <c r="I206" s="21"/>
      <c r="J206" s="21"/>
      <c r="K206" s="28"/>
      <c r="L206" s="20"/>
    </row>
    <row r="209" spans="2:2" x14ac:dyDescent="0.2">
      <c r="B209" s="228"/>
    </row>
  </sheetData>
  <customSheetViews>
    <customSheetView guid="{195DF303-1BBD-4236-94B5-47432850B006}" showRuler="0"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</customSheetView>
    <customSheetView guid="{0C49E549-011E-46F4-A82E-2CC8951A9C1E}" showRuler="0">
      <selection activeCell="C17" sqref="C17"/>
      <pageMargins left="0.75" right="0.75" top="1" bottom="1" header="0.5" footer="0.5"/>
      <pageSetup orientation="portrait" r:id="rId2"/>
      <headerFooter alignWithMargins="0">
        <oddHeader>&amp;A</oddHeader>
        <oddFooter>Page &amp;P</oddFooter>
      </headerFooter>
    </customSheetView>
    <customSheetView guid="{4BC93440-BA85-4935-A8C9-66DC6AE5DE5E}" showRuler="0">
      <selection activeCell="C15" sqref="C15"/>
      <pageMargins left="0.75" right="0.75" top="1" bottom="1" header="0.5" footer="0.5"/>
      <pageSetup orientation="portrait" r:id="rId3"/>
      <headerFooter alignWithMargins="0">
        <oddHeader>&amp;A</oddHeader>
        <oddFooter>Page &amp;P</oddFooter>
      </headerFooter>
    </customSheetView>
    <customSheetView guid="{2431C9E5-7CC2-4B8D-99C3-962247B1DBF5}" showRuler="0">
      <selection activeCell="B4" sqref="B4"/>
      <pageMargins left="0.75" right="0.75" top="1" bottom="1" header="0.5" footer="0.5"/>
      <pageSetup orientation="portrait" r:id="rId4"/>
      <headerFooter alignWithMargins="0">
        <oddHeader>&amp;A</oddHeader>
        <oddFooter>Page &amp;P</oddFooter>
      </headerFooter>
    </customSheetView>
    <customSheetView guid="{2EA35095-1ADC-4CC7-8C3C-B487D65FA247}" showRuler="0">
      <selection activeCell="B4" sqref="B4"/>
      <pageMargins left="0.75" right="0.75" top="1" bottom="1" header="0.5" footer="0.5"/>
      <pageSetup orientation="portrait" r:id="rId5"/>
      <headerFooter alignWithMargins="0">
        <oddHeader>&amp;A</oddHeader>
        <oddFooter>Page &amp;P</oddFooter>
      </headerFooter>
    </customSheetView>
    <customSheetView guid="{8FC77C99-DBF7-40B8-99B8-01B75826CDCB}" showRuler="0">
      <selection activeCell="C13" sqref="C13"/>
      <pageMargins left="0.75" right="0.75" top="1" bottom="1" header="0.5" footer="0.5"/>
      <pageSetup orientation="portrait" r:id="rId6"/>
      <headerFooter alignWithMargins="0">
        <oddHeader>&amp;A</oddHeader>
        <oddFooter>Page &amp;P</oddFooter>
      </headerFooter>
    </customSheetView>
    <customSheetView guid="{8FB94551-8874-4095-B8FB-5316E0D2FD2C}" showRuler="0">
      <pageMargins left="0.75" right="0.75" top="1" bottom="1" header="0.5" footer="0.5"/>
      <pageSetup orientation="portrait" r:id="rId7"/>
      <headerFooter alignWithMargins="0">
        <oddHeader>&amp;A</oddHeader>
        <oddFooter>Page &amp;P</oddFooter>
      </headerFooter>
    </customSheetView>
    <customSheetView guid="{6B3D5C27-2FDE-4561-9575-1E98BFB869D0}" showRuler="0">
      <selection activeCell="C15" sqref="C15"/>
      <pageMargins left="0.75" right="0.75" top="1" bottom="1" header="0.5" footer="0.5"/>
      <pageSetup orientation="portrait" r:id="rId8"/>
      <headerFooter alignWithMargins="0">
        <oddHeader>&amp;A</oddHeader>
        <oddFooter>Page &amp;P</oddFooter>
      </headerFooter>
    </customSheetView>
    <customSheetView guid="{0BC1F393-8A13-47D5-BC6C-0C99615B5AB9}" showRuler="0">
      <selection activeCell="C14" sqref="C14"/>
      <pageMargins left="0.75" right="0.75" top="1" bottom="1" header="0.5" footer="0.5"/>
      <pageSetup orientation="portrait" r:id="rId9"/>
      <headerFooter alignWithMargins="0">
        <oddHeader>&amp;A</oddHeader>
        <oddFooter>Page &amp;P</oddFooter>
      </headerFooter>
    </customSheetView>
    <customSheetView guid="{18BDED73-BFA0-442E-87EC-CED86EE4CF94}" showRuler="0">
      <selection activeCell="B4" sqref="B4"/>
      <pageMargins left="0.75" right="0.75" top="1" bottom="1" header="0.5" footer="0.5"/>
      <pageSetup orientation="portrait" r:id="rId10"/>
      <headerFooter alignWithMargins="0">
        <oddHeader>&amp;A</oddHeader>
        <oddFooter>Page &amp;P</oddFooter>
      </headerFooter>
    </customSheetView>
    <customSheetView guid="{35F19056-2E6F-4935-B863-78836FE990BF}" showPageBreaks="1" showRuler="0">
      <selection activeCell="C15" sqref="C15"/>
      <pageMargins left="0.75" right="0.75" top="1" bottom="1" header="0.5" footer="0.5"/>
      <pageSetup orientation="portrait" r:id="rId11"/>
      <headerFooter alignWithMargins="0">
        <oddHeader>&amp;A</oddHeader>
        <oddFooter>Page &amp;P</oddFooter>
      </headerFooter>
    </customSheetView>
    <customSheetView guid="{F562D92E-120C-4AE9-9663-89E64D41DC53}" topLeftCell="A5">
      <selection activeCell="C15" sqref="C15"/>
      <pageMargins left="0.75" right="0.75" top="1" bottom="1" header="0.5" footer="0.5"/>
      <pageSetup orientation="portrait" r:id="rId12"/>
      <headerFooter alignWithMargins="0">
        <oddHeader>&amp;A</oddHeader>
        <oddFooter>Page &amp;P</oddFooter>
      </headerFooter>
    </customSheetView>
  </customSheetViews>
  <mergeCells count="18">
    <mergeCell ref="B205:C205"/>
    <mergeCell ref="B151:D151"/>
    <mergeCell ref="B33:C33"/>
    <mergeCell ref="B120:D120"/>
    <mergeCell ref="B184:C184"/>
    <mergeCell ref="B22:D22"/>
    <mergeCell ref="B167:C167"/>
    <mergeCell ref="B170:C170"/>
    <mergeCell ref="B133:D133"/>
    <mergeCell ref="A1:J1"/>
    <mergeCell ref="B42:D42"/>
    <mergeCell ref="B46:D46"/>
    <mergeCell ref="B110:D110"/>
    <mergeCell ref="B61:D61"/>
    <mergeCell ref="B66:D66"/>
    <mergeCell ref="B83:D83"/>
    <mergeCell ref="B93:D93"/>
    <mergeCell ref="B101:D101"/>
  </mergeCells>
  <phoneticPr fontId="9" type="noConversion"/>
  <pageMargins left="0.75" right="0.75" top="1" bottom="1" header="0.5" footer="0.5"/>
  <pageSetup scale="47" orientation="portrait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" manualBreakCount="1">
    <brk id="18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6" transitionEvaluation="1" transitionEntry="1" codeName="Sheet22"/>
  <dimension ref="A1:BW1097"/>
  <sheetViews>
    <sheetView tabSelected="1" view="pageLayout" topLeftCell="A16" zoomScaleNormal="75" workbookViewId="0">
      <selection activeCell="L6" sqref="L6"/>
    </sheetView>
  </sheetViews>
  <sheetFormatPr defaultColWidth="9.77734375" defaultRowHeight="15.75" x14ac:dyDescent="0.25"/>
  <cols>
    <col min="1" max="1" width="5" style="101" customWidth="1"/>
    <col min="2" max="2" width="0.6640625" style="101" customWidth="1"/>
    <col min="3" max="3" width="9.109375" style="101" customWidth="1"/>
    <col min="4" max="4" width="37.6640625" style="101" customWidth="1"/>
    <col min="5" max="5" width="0.7773437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2.218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2.77734375" style="101" customWidth="1"/>
    <col min="17" max="17" width="0.5546875" style="101" customWidth="1"/>
    <col min="18" max="18" width="19.6640625" style="101" customWidth="1"/>
    <col min="19" max="19" width="6.6640625" style="101" customWidth="1"/>
    <col min="20" max="20" width="5.109375" style="101" customWidth="1"/>
    <col min="21" max="21" width="0.5546875" style="101" customWidth="1"/>
    <col min="22" max="22" width="8.5546875" style="101" customWidth="1"/>
    <col min="23" max="23" width="38.5546875" style="101" customWidth="1"/>
    <col min="24" max="24" width="0.777343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44140625" style="101" customWidth="1"/>
    <col min="29" max="29" width="11.77734375" style="101" customWidth="1"/>
    <col min="30" max="30" width="0.3320312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664062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753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430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218</v>
      </c>
      <c r="I19" s="259"/>
      <c r="J19" s="260" t="s">
        <v>441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489</v>
      </c>
      <c r="D20" s="253" t="s">
        <v>490</v>
      </c>
      <c r="E20" s="82"/>
      <c r="F20" s="70"/>
      <c r="G20" s="70"/>
      <c r="H20" s="298"/>
      <c r="I20" s="298"/>
      <c r="J20" s="299" t="s">
        <v>435</v>
      </c>
      <c r="K20" s="298"/>
      <c r="L20" s="298"/>
      <c r="M20" s="298"/>
      <c r="N20" s="298"/>
      <c r="O20" s="298"/>
      <c r="P20" s="315"/>
      <c r="Q20" s="315"/>
      <c r="R20" s="315"/>
      <c r="T20" s="154"/>
      <c r="U20" s="154"/>
    </row>
    <row r="21" spans="1:40" x14ac:dyDescent="0.25">
      <c r="A21" s="159">
        <v>2</v>
      </c>
      <c r="B21" s="80"/>
      <c r="C21" s="253" t="s">
        <v>56</v>
      </c>
      <c r="D21" s="258"/>
      <c r="E21" s="8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85"/>
      <c r="Q21" s="85"/>
      <c r="R21" s="85"/>
      <c r="T21" s="154"/>
    </row>
    <row r="22" spans="1:40" x14ac:dyDescent="0.25">
      <c r="A22" s="159">
        <v>3</v>
      </c>
      <c r="B22" s="80"/>
      <c r="C22" s="253" t="s">
        <v>155</v>
      </c>
      <c r="D22" s="258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85"/>
      <c r="Q22" s="85"/>
      <c r="R22" s="85"/>
      <c r="S22" s="200"/>
      <c r="T22" s="154"/>
      <c r="V22" s="200"/>
      <c r="Y22" s="200"/>
      <c r="Z22" s="300"/>
      <c r="AA22" s="200"/>
      <c r="AB22" s="200"/>
      <c r="AC22" s="210"/>
      <c r="AD22" s="210"/>
      <c r="AE22" s="200"/>
      <c r="AF22" s="200"/>
      <c r="AG22" s="209"/>
      <c r="AH22" s="210"/>
      <c r="AI22" s="200"/>
      <c r="AJ22" s="200"/>
      <c r="AK22" s="209"/>
      <c r="AL22" s="200"/>
      <c r="AM22" s="210"/>
      <c r="AN22" s="210"/>
    </row>
    <row r="23" spans="1:40" x14ac:dyDescent="0.25">
      <c r="A23" s="159">
        <v>4</v>
      </c>
      <c r="B23" s="80"/>
      <c r="C23" s="82" t="s">
        <v>156</v>
      </c>
      <c r="D23" s="80"/>
      <c r="E23" s="80"/>
      <c r="F23" s="225">
        <v>0</v>
      </c>
      <c r="G23" s="70"/>
      <c r="H23" s="78"/>
      <c r="I23" s="70"/>
      <c r="J23" s="283">
        <f>INPUT!D68</f>
        <v>200</v>
      </c>
      <c r="K23" s="70"/>
      <c r="L23" s="79">
        <f>ROUND(+F23*J23,0)</f>
        <v>0</v>
      </c>
      <c r="M23" s="70"/>
      <c r="N23" s="155">
        <f t="shared" ref="N23:N24" si="0">ROUND((+L23/$L$63)*100,1)</f>
        <v>0</v>
      </c>
      <c r="O23" s="70"/>
      <c r="P23" s="79"/>
      <c r="Q23" s="271"/>
      <c r="R23" s="79">
        <f>L23+P23</f>
        <v>0</v>
      </c>
      <c r="S23" s="200"/>
      <c r="V23" s="211"/>
      <c r="Y23" s="200"/>
      <c r="Z23" s="252"/>
      <c r="AA23" s="200"/>
      <c r="AB23" s="200"/>
      <c r="AC23" s="210"/>
      <c r="AD23" s="210"/>
      <c r="AE23" s="200"/>
      <c r="AF23" s="200"/>
      <c r="AI23" s="200"/>
      <c r="AJ23" s="200"/>
      <c r="AK23" s="209"/>
      <c r="AL23" s="200"/>
    </row>
    <row r="24" spans="1:40" x14ac:dyDescent="0.25">
      <c r="A24" s="159">
        <v>5</v>
      </c>
      <c r="B24" s="80"/>
      <c r="C24" s="82" t="s">
        <v>157</v>
      </c>
      <c r="D24" s="80"/>
      <c r="E24" s="80"/>
      <c r="F24" s="225">
        <v>595</v>
      </c>
      <c r="G24" s="70"/>
      <c r="H24" s="78"/>
      <c r="I24" s="70"/>
      <c r="J24" s="283">
        <f>INPUT!D69</f>
        <v>400</v>
      </c>
      <c r="K24" s="70"/>
      <c r="L24" s="79">
        <f>ROUND(+F24*J24,0)</f>
        <v>238000</v>
      </c>
      <c r="M24" s="70"/>
      <c r="N24" s="155">
        <f t="shared" si="0"/>
        <v>0.5</v>
      </c>
      <c r="O24" s="70"/>
      <c r="P24" s="79"/>
      <c r="Q24" s="271"/>
      <c r="R24" s="79">
        <f>L24+P24</f>
        <v>238000</v>
      </c>
      <c r="S24" s="200"/>
      <c r="V24" s="200"/>
      <c r="Y24" s="200"/>
      <c r="Z24" s="252"/>
      <c r="AA24" s="200"/>
      <c r="AB24" s="200"/>
      <c r="AC24" s="210"/>
      <c r="AD24" s="210"/>
      <c r="AE24" s="200"/>
      <c r="AF24" s="200"/>
      <c r="AI24" s="200"/>
      <c r="AJ24" s="200"/>
      <c r="AK24" s="209"/>
      <c r="AL24" s="200"/>
    </row>
    <row r="25" spans="1:40" ht="20.100000000000001" customHeight="1" x14ac:dyDescent="0.25">
      <c r="A25" s="159">
        <v>6</v>
      </c>
      <c r="B25" s="80"/>
      <c r="C25" s="253" t="s">
        <v>158</v>
      </c>
      <c r="D25" s="80"/>
      <c r="E25" s="80"/>
      <c r="F25" s="169">
        <f>SUM(F23:F24)</f>
        <v>595</v>
      </c>
      <c r="G25" s="70"/>
      <c r="H25" s="79"/>
      <c r="I25" s="70"/>
      <c r="J25" s="268"/>
      <c r="K25" s="70"/>
      <c r="L25" s="169">
        <f>SUM(L23:L24)</f>
        <v>238000</v>
      </c>
      <c r="M25" s="70"/>
      <c r="N25" s="170">
        <f t="shared" ref="N25" si="1">ROUND((+L25/$L$63)*100,1)</f>
        <v>0.5</v>
      </c>
      <c r="O25" s="70"/>
      <c r="P25" s="169"/>
      <c r="Q25" s="163"/>
      <c r="R25" s="169">
        <f>SUM(R23:R24)</f>
        <v>238000</v>
      </c>
      <c r="S25" s="200"/>
      <c r="V25" s="211"/>
      <c r="Y25" s="211"/>
      <c r="Z25" s="305"/>
      <c r="AA25" s="211"/>
      <c r="AB25" s="211"/>
      <c r="AC25" s="211"/>
      <c r="AD25" s="211"/>
      <c r="AE25" s="211"/>
      <c r="AF25" s="211"/>
      <c r="AI25" s="211"/>
      <c r="AJ25" s="211"/>
      <c r="AK25" s="212"/>
      <c r="AL25" s="211"/>
      <c r="AM25" s="210"/>
      <c r="AN25" s="210"/>
    </row>
    <row r="26" spans="1:40" x14ac:dyDescent="0.25">
      <c r="A26" s="159"/>
      <c r="B26" s="80"/>
      <c r="C26" s="82"/>
      <c r="D26" s="80"/>
      <c r="E26" s="80"/>
      <c r="F26" s="163"/>
      <c r="G26" s="70"/>
      <c r="H26" s="79"/>
      <c r="I26" s="70"/>
      <c r="J26" s="268"/>
      <c r="K26" s="70"/>
      <c r="L26" s="163"/>
      <c r="M26" s="70"/>
      <c r="N26" s="198"/>
      <c r="O26" s="70"/>
      <c r="P26" s="163"/>
      <c r="Q26" s="163"/>
      <c r="R26" s="163"/>
      <c r="S26" s="200"/>
      <c r="V26" s="211"/>
      <c r="Y26" s="211"/>
      <c r="Z26" s="305"/>
      <c r="AA26" s="211"/>
      <c r="AB26" s="211"/>
      <c r="AC26" s="211"/>
      <c r="AD26" s="211"/>
      <c r="AE26" s="211"/>
      <c r="AF26" s="211"/>
      <c r="AI26" s="211"/>
      <c r="AJ26" s="211"/>
      <c r="AK26" s="212"/>
      <c r="AL26" s="211"/>
      <c r="AM26" s="210"/>
      <c r="AN26" s="210"/>
    </row>
    <row r="27" spans="1:40" x14ac:dyDescent="0.25">
      <c r="A27" s="159">
        <v>7</v>
      </c>
      <c r="B27" s="80"/>
      <c r="C27" s="253" t="s">
        <v>65</v>
      </c>
      <c r="D27" s="80"/>
      <c r="E27" s="80"/>
      <c r="F27" s="78"/>
      <c r="G27" s="70"/>
      <c r="H27" s="78"/>
      <c r="I27" s="70"/>
      <c r="J27" s="339"/>
      <c r="K27" s="70"/>
      <c r="L27" s="79"/>
      <c r="M27" s="70"/>
      <c r="N27" s="156"/>
      <c r="O27" s="70"/>
      <c r="P27" s="79"/>
      <c r="Q27" s="163"/>
      <c r="R27" s="79"/>
      <c r="S27" s="200"/>
      <c r="V27" s="252"/>
      <c r="Y27" s="252"/>
      <c r="Z27" s="305"/>
      <c r="AA27" s="200"/>
      <c r="AB27" s="200"/>
      <c r="AC27" s="210"/>
      <c r="AD27" s="210"/>
      <c r="AE27" s="200"/>
      <c r="AF27" s="200"/>
      <c r="AI27" s="200"/>
      <c r="AJ27" s="200"/>
      <c r="AK27" s="209"/>
      <c r="AL27" s="200"/>
      <c r="AM27" s="210"/>
      <c r="AN27" s="210"/>
    </row>
    <row r="28" spans="1:40" x14ac:dyDescent="0.25">
      <c r="A28" s="159">
        <v>8</v>
      </c>
      <c r="B28" s="80"/>
      <c r="C28" s="82" t="s">
        <v>66</v>
      </c>
      <c r="D28" s="80"/>
      <c r="E28" s="80"/>
      <c r="F28" s="78"/>
      <c r="G28" s="70"/>
      <c r="H28" s="225">
        <v>522436</v>
      </c>
      <c r="I28" s="70"/>
      <c r="J28" s="284">
        <f>PRO_DT_SUM_PEAK</f>
        <v>14.39</v>
      </c>
      <c r="K28" s="70"/>
      <c r="L28" s="79">
        <f>ROUND(+H28*J28,0)</f>
        <v>7517854</v>
      </c>
      <c r="M28" s="70"/>
      <c r="N28" s="155">
        <f t="shared" ref="N28:N29" si="2">ROUND((+L28/$L$63)*100,1)</f>
        <v>14.4</v>
      </c>
      <c r="O28" s="70"/>
      <c r="P28" s="79"/>
      <c r="Q28" s="163"/>
      <c r="R28" s="79">
        <f>L28+P28</f>
        <v>7517854</v>
      </c>
      <c r="S28" s="200"/>
      <c r="V28" s="211"/>
      <c r="Y28" s="252"/>
      <c r="Z28" s="305"/>
      <c r="AA28" s="200"/>
      <c r="AB28" s="200"/>
      <c r="AC28" s="210"/>
      <c r="AD28" s="210"/>
      <c r="AE28" s="200"/>
      <c r="AF28" s="200"/>
      <c r="AG28" s="209"/>
      <c r="AH28" s="210"/>
      <c r="AI28" s="200"/>
      <c r="AJ28" s="200"/>
      <c r="AK28" s="209"/>
      <c r="AL28" s="200"/>
      <c r="AM28" s="210"/>
      <c r="AN28" s="210"/>
    </row>
    <row r="29" spans="1:40" x14ac:dyDescent="0.25">
      <c r="A29" s="159">
        <v>9</v>
      </c>
      <c r="B29" s="80"/>
      <c r="C29" s="82" t="s">
        <v>67</v>
      </c>
      <c r="D29" s="80"/>
      <c r="E29" s="80"/>
      <c r="F29" s="78"/>
      <c r="G29" s="70"/>
      <c r="H29" s="225">
        <v>12081</v>
      </c>
      <c r="I29" s="70"/>
      <c r="J29" s="284">
        <f>PRO_DT_SUM_PK_OFF</f>
        <v>1.3</v>
      </c>
      <c r="K29" s="70"/>
      <c r="L29" s="79">
        <f>ROUND(+H29*J29,0)</f>
        <v>15705</v>
      </c>
      <c r="M29" s="70"/>
      <c r="N29" s="155">
        <f t="shared" si="2"/>
        <v>0</v>
      </c>
      <c r="O29" s="70"/>
      <c r="P29" s="79"/>
      <c r="Q29" s="163"/>
      <c r="R29" s="79">
        <f>L29+P29</f>
        <v>15705</v>
      </c>
      <c r="S29" s="200"/>
      <c r="T29" s="154"/>
      <c r="V29" s="252"/>
      <c r="Y29" s="200"/>
      <c r="Z29" s="304"/>
      <c r="AA29" s="200"/>
      <c r="AB29" s="200"/>
      <c r="AC29" s="210"/>
      <c r="AD29" s="210"/>
      <c r="AE29" s="200"/>
      <c r="AF29" s="200"/>
      <c r="AG29" s="209"/>
      <c r="AH29" s="210"/>
      <c r="AI29" s="200"/>
      <c r="AJ29" s="200"/>
      <c r="AK29" s="209"/>
      <c r="AL29" s="200"/>
      <c r="AM29" s="210"/>
      <c r="AN29" s="210"/>
    </row>
    <row r="30" spans="1:40" ht="20.100000000000001" customHeight="1" x14ac:dyDescent="0.25">
      <c r="A30" s="159">
        <v>10</v>
      </c>
      <c r="B30" s="80"/>
      <c r="C30" s="253" t="s">
        <v>68</v>
      </c>
      <c r="D30" s="80"/>
      <c r="E30" s="80"/>
      <c r="F30" s="79"/>
      <c r="G30" s="70"/>
      <c r="H30" s="169">
        <f>SUM(H28:H29)</f>
        <v>534517</v>
      </c>
      <c r="I30" s="70"/>
      <c r="J30" s="268"/>
      <c r="K30" s="70"/>
      <c r="L30" s="169">
        <f>SUM(L28:L29)</f>
        <v>7533559</v>
      </c>
      <c r="M30" s="70"/>
      <c r="N30" s="170">
        <f t="shared" ref="N30" si="3">ROUND((+L30/$L$63)*100,1)</f>
        <v>14.4</v>
      </c>
      <c r="O30" s="70"/>
      <c r="P30" s="169"/>
      <c r="Q30" s="230"/>
      <c r="R30" s="169">
        <f>SUM(R28:R29)</f>
        <v>7533559</v>
      </c>
      <c r="S30" s="200"/>
      <c r="V30" s="211"/>
      <c r="Y30" s="211"/>
      <c r="Z30" s="305"/>
      <c r="AA30" s="211"/>
      <c r="AB30" s="211"/>
      <c r="AC30" s="211"/>
      <c r="AD30" s="211"/>
      <c r="AE30" s="211"/>
      <c r="AF30" s="211"/>
      <c r="AI30" s="211"/>
      <c r="AJ30" s="211"/>
      <c r="AK30" s="212"/>
      <c r="AL30" s="211"/>
      <c r="AM30" s="210"/>
      <c r="AN30" s="210"/>
    </row>
    <row r="31" spans="1:40" x14ac:dyDescent="0.25">
      <c r="A31" s="159"/>
      <c r="B31" s="80"/>
      <c r="C31" s="82"/>
      <c r="D31" s="80"/>
      <c r="E31" s="80"/>
      <c r="F31" s="79"/>
      <c r="G31" s="70"/>
      <c r="H31" s="163"/>
      <c r="I31" s="70"/>
      <c r="J31" s="268"/>
      <c r="K31" s="70"/>
      <c r="L31" s="163"/>
      <c r="M31" s="70"/>
      <c r="N31" s="198"/>
      <c r="O31" s="70"/>
      <c r="P31" s="163"/>
      <c r="Q31" s="230"/>
      <c r="R31" s="163"/>
      <c r="S31" s="200"/>
      <c r="V31" s="211"/>
      <c r="Y31" s="211"/>
      <c r="Z31" s="305"/>
      <c r="AA31" s="211"/>
      <c r="AB31" s="211"/>
      <c r="AC31" s="211"/>
      <c r="AD31" s="211"/>
      <c r="AE31" s="211"/>
      <c r="AF31" s="211"/>
      <c r="AI31" s="211"/>
      <c r="AJ31" s="211"/>
      <c r="AK31" s="212"/>
      <c r="AL31" s="211"/>
      <c r="AM31" s="210"/>
      <c r="AN31" s="210"/>
    </row>
    <row r="32" spans="1:40" x14ac:dyDescent="0.25">
      <c r="A32" s="159">
        <v>11</v>
      </c>
      <c r="B32" s="80"/>
      <c r="C32" s="253" t="s">
        <v>481</v>
      </c>
      <c r="D32" s="80"/>
      <c r="E32" s="80"/>
      <c r="F32" s="79"/>
      <c r="G32" s="70"/>
      <c r="H32" s="79"/>
      <c r="I32" s="70"/>
      <c r="J32" s="263"/>
      <c r="K32" s="70"/>
      <c r="L32" s="79"/>
      <c r="M32" s="70"/>
      <c r="N32" s="156"/>
      <c r="O32" s="70"/>
      <c r="P32" s="79"/>
      <c r="Q32" s="163"/>
      <c r="R32" s="79"/>
      <c r="Y32" s="154"/>
    </row>
    <row r="33" spans="1:43" x14ac:dyDescent="0.25">
      <c r="A33" s="159">
        <v>12</v>
      </c>
      <c r="B33" s="80"/>
      <c r="C33" s="82" t="s">
        <v>496</v>
      </c>
      <c r="D33" s="80"/>
      <c r="E33" s="80"/>
      <c r="F33" s="79"/>
      <c r="G33" s="70"/>
      <c r="H33" s="189">
        <v>76814079</v>
      </c>
      <c r="I33" s="70"/>
      <c r="J33" s="355">
        <f>PRO_DT_SUM_E_ON</f>
        <v>4.9875000000000003E-2</v>
      </c>
      <c r="K33" s="70"/>
      <c r="L33" s="79">
        <f>ROUND((+H33*J33),0)</f>
        <v>3831102</v>
      </c>
      <c r="M33" s="70"/>
      <c r="N33" s="155">
        <f t="shared" ref="N33:N34" si="4">ROUND((+L33/$L$63)*100,1)</f>
        <v>7.3</v>
      </c>
      <c r="O33" s="70"/>
      <c r="P33" s="79"/>
      <c r="Q33" s="163"/>
      <c r="R33" s="79">
        <f>L33+P33</f>
        <v>3831102</v>
      </c>
      <c r="Y33" s="154"/>
    </row>
    <row r="34" spans="1:43" x14ac:dyDescent="0.25">
      <c r="A34" s="159">
        <v>13</v>
      </c>
      <c r="B34" s="80"/>
      <c r="C34" s="82" t="s">
        <v>497</v>
      </c>
      <c r="D34" s="80"/>
      <c r="E34" s="80"/>
      <c r="F34" s="167"/>
      <c r="G34" s="70"/>
      <c r="H34" s="287">
        <v>168266676</v>
      </c>
      <c r="I34" s="70"/>
      <c r="J34" s="355">
        <f>PRO_DT_SUM_E_OFF</f>
        <v>4.0843999999999998E-2</v>
      </c>
      <c r="K34" s="70"/>
      <c r="L34" s="167">
        <f>ROUND((+H34*J34),0)</f>
        <v>6872684</v>
      </c>
      <c r="M34" s="70"/>
      <c r="N34" s="155">
        <f t="shared" si="4"/>
        <v>13.2</v>
      </c>
      <c r="O34" s="70"/>
      <c r="P34" s="167"/>
      <c r="Q34" s="163"/>
      <c r="R34" s="167">
        <f>L34+P34</f>
        <v>6872684</v>
      </c>
      <c r="Z34" s="202"/>
    </row>
    <row r="35" spans="1:43" ht="19.5" customHeight="1" x14ac:dyDescent="0.25">
      <c r="A35" s="159">
        <v>14</v>
      </c>
      <c r="B35" s="80"/>
      <c r="C35" s="253" t="s">
        <v>58</v>
      </c>
      <c r="D35" s="80"/>
      <c r="E35" s="80"/>
      <c r="F35" s="169">
        <f>F25</f>
        <v>595</v>
      </c>
      <c r="G35" s="70"/>
      <c r="H35" s="169">
        <f>H33+H34</f>
        <v>245080755</v>
      </c>
      <c r="I35" s="70"/>
      <c r="J35" s="268"/>
      <c r="K35" s="70"/>
      <c r="L35" s="169">
        <f>L25+L30+L33+L34</f>
        <v>18475345</v>
      </c>
      <c r="M35" s="70"/>
      <c r="N35" s="170">
        <f t="shared" ref="N35" si="5">ROUND((+L35/$L$63)*100,1)</f>
        <v>35.4</v>
      </c>
      <c r="O35" s="70"/>
      <c r="P35" s="169"/>
      <c r="Q35" s="85"/>
      <c r="R35" s="169">
        <f>R25+R30+R33+R34</f>
        <v>18475345</v>
      </c>
      <c r="AK35" s="297"/>
      <c r="AL35" s="154"/>
    </row>
    <row r="36" spans="1:43" x14ac:dyDescent="0.25">
      <c r="A36" s="159"/>
      <c r="B36" s="80"/>
      <c r="C36" s="82"/>
      <c r="D36" s="80"/>
      <c r="E36" s="80"/>
      <c r="F36" s="163"/>
      <c r="G36" s="70"/>
      <c r="H36" s="163"/>
      <c r="I36" s="70"/>
      <c r="J36" s="268"/>
      <c r="K36" s="70"/>
      <c r="L36" s="163"/>
      <c r="M36" s="70"/>
      <c r="N36" s="198"/>
      <c r="O36" s="70"/>
      <c r="P36" s="163"/>
      <c r="Q36" s="85"/>
      <c r="R36" s="163"/>
      <c r="AK36" s="297"/>
      <c r="AL36" s="154"/>
    </row>
    <row r="37" spans="1:43" x14ac:dyDescent="0.25">
      <c r="A37" s="159">
        <v>15</v>
      </c>
      <c r="B37" s="80"/>
      <c r="C37" s="253" t="s">
        <v>59</v>
      </c>
      <c r="D37" s="80"/>
      <c r="E37" s="80"/>
      <c r="F37" s="78"/>
      <c r="G37" s="70"/>
      <c r="H37" s="343">
        <f>185857814-185857934</f>
        <v>-120</v>
      </c>
      <c r="I37" s="70"/>
      <c r="J37" s="268"/>
      <c r="K37" s="70"/>
      <c r="L37" s="79"/>
      <c r="M37" s="70"/>
      <c r="N37" s="156"/>
      <c r="O37" s="70"/>
      <c r="P37" s="79"/>
      <c r="Q37" s="85"/>
      <c r="R37" s="79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188"/>
      <c r="AH37" s="80"/>
      <c r="AI37" s="80"/>
      <c r="AJ37" s="80"/>
      <c r="AK37" s="188"/>
      <c r="AL37" s="80"/>
      <c r="AM37" s="80"/>
      <c r="AN37" s="80"/>
      <c r="AO37" s="80"/>
      <c r="AP37" s="80"/>
      <c r="AQ37" s="188"/>
    </row>
    <row r="38" spans="1:43" x14ac:dyDescent="0.25">
      <c r="A38" s="159">
        <v>16</v>
      </c>
      <c r="B38" s="80"/>
      <c r="C38" s="253" t="s">
        <v>155</v>
      </c>
      <c r="D38" s="80"/>
      <c r="E38" s="8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344"/>
      <c r="R38" s="7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188"/>
      <c r="AH38" s="80"/>
      <c r="AI38" s="80"/>
      <c r="AJ38" s="80"/>
      <c r="AK38" s="188"/>
      <c r="AL38" s="80"/>
      <c r="AM38" s="80"/>
      <c r="AN38" s="80"/>
      <c r="AO38" s="80"/>
      <c r="AP38" s="80"/>
      <c r="AQ38" s="188"/>
    </row>
    <row r="39" spans="1:43" x14ac:dyDescent="0.25">
      <c r="A39" s="159">
        <v>17</v>
      </c>
      <c r="B39" s="80"/>
      <c r="C39" s="82" t="s">
        <v>156</v>
      </c>
      <c r="D39" s="80"/>
      <c r="E39" s="80"/>
      <c r="F39" s="225">
        <f>F23</f>
        <v>0</v>
      </c>
      <c r="G39" s="70"/>
      <c r="H39" s="78"/>
      <c r="I39" s="70"/>
      <c r="J39" s="284">
        <f>J23</f>
        <v>200</v>
      </c>
      <c r="K39" s="70"/>
      <c r="L39" s="79">
        <f>ROUND(+F39*J39,0)</f>
        <v>0</v>
      </c>
      <c r="M39" s="70"/>
      <c r="N39" s="155">
        <f t="shared" ref="N39:N40" si="6">ROUND((+L39/$L$63)*100,1)</f>
        <v>0</v>
      </c>
      <c r="O39" s="70"/>
      <c r="P39" s="79"/>
      <c r="Q39" s="85"/>
      <c r="R39" s="79">
        <f>L39+P39</f>
        <v>0</v>
      </c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188"/>
      <c r="AH39" s="80"/>
      <c r="AI39" s="80"/>
      <c r="AJ39" s="80"/>
      <c r="AK39" s="188"/>
      <c r="AL39" s="80"/>
      <c r="AM39" s="80"/>
      <c r="AN39" s="80"/>
      <c r="AO39" s="80"/>
      <c r="AP39" s="80"/>
      <c r="AQ39" s="188"/>
    </row>
    <row r="40" spans="1:43" x14ac:dyDescent="0.25">
      <c r="A40" s="159">
        <v>18</v>
      </c>
      <c r="B40" s="80"/>
      <c r="C40" s="82" t="s">
        <v>157</v>
      </c>
      <c r="D40" s="80"/>
      <c r="E40" s="80"/>
      <c r="F40" s="225">
        <v>1191</v>
      </c>
      <c r="G40" s="70"/>
      <c r="H40" s="78"/>
      <c r="I40" s="70"/>
      <c r="J40" s="284">
        <f>J24</f>
        <v>400</v>
      </c>
      <c r="K40" s="70"/>
      <c r="L40" s="79">
        <f>ROUND(+F40*J40,0)</f>
        <v>476400</v>
      </c>
      <c r="M40" s="70"/>
      <c r="N40" s="155">
        <f t="shared" si="6"/>
        <v>0.9</v>
      </c>
      <c r="O40" s="70"/>
      <c r="P40" s="79"/>
      <c r="Q40" s="85"/>
      <c r="R40" s="79">
        <f>L40+P40</f>
        <v>476400</v>
      </c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188"/>
      <c r="AH40" s="80"/>
      <c r="AI40" s="80"/>
      <c r="AJ40" s="80"/>
      <c r="AK40" s="188"/>
      <c r="AL40" s="80"/>
      <c r="AM40" s="80"/>
      <c r="AN40" s="80"/>
      <c r="AO40" s="80"/>
      <c r="AP40" s="80"/>
      <c r="AQ40" s="188"/>
    </row>
    <row r="41" spans="1:43" ht="20.100000000000001" customHeight="1" x14ac:dyDescent="0.25">
      <c r="A41" s="159">
        <v>19</v>
      </c>
      <c r="B41" s="80"/>
      <c r="C41" s="253" t="s">
        <v>158</v>
      </c>
      <c r="D41" s="80"/>
      <c r="E41" s="80"/>
      <c r="F41" s="169">
        <f>SUM(F39:F40)</f>
        <v>1191</v>
      </c>
      <c r="G41" s="70"/>
      <c r="H41" s="79"/>
      <c r="I41" s="70"/>
      <c r="J41" s="268"/>
      <c r="K41" s="70"/>
      <c r="L41" s="169">
        <f>SUM(L39:L40)</f>
        <v>476400</v>
      </c>
      <c r="M41" s="70"/>
      <c r="N41" s="170">
        <f t="shared" ref="N41" si="7">ROUND((+L41/$L$63)*100,1)</f>
        <v>0.9</v>
      </c>
      <c r="O41" s="70"/>
      <c r="P41" s="169"/>
      <c r="Q41" s="345"/>
      <c r="R41" s="169">
        <f>SUM(R39:R40)</f>
        <v>476400</v>
      </c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188"/>
      <c r="AH41" s="80"/>
      <c r="AI41" s="80"/>
      <c r="AJ41" s="80"/>
      <c r="AK41" s="188"/>
      <c r="AL41" s="80"/>
      <c r="AM41" s="80"/>
      <c r="AN41" s="80"/>
      <c r="AO41" s="80"/>
      <c r="AP41" s="80"/>
      <c r="AQ41" s="188"/>
    </row>
    <row r="42" spans="1:43" x14ac:dyDescent="0.25">
      <c r="A42" s="159"/>
      <c r="B42" s="80"/>
      <c r="C42" s="82"/>
      <c r="D42" s="80"/>
      <c r="E42" s="80"/>
      <c r="F42" s="163"/>
      <c r="G42" s="70"/>
      <c r="H42" s="79"/>
      <c r="I42" s="70"/>
      <c r="J42" s="268"/>
      <c r="K42" s="70"/>
      <c r="L42" s="163"/>
      <c r="M42" s="70"/>
      <c r="N42" s="198"/>
      <c r="O42" s="70"/>
      <c r="P42" s="163"/>
      <c r="Q42" s="345"/>
      <c r="R42" s="163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188"/>
      <c r="AH42" s="80"/>
      <c r="AI42" s="80"/>
      <c r="AJ42" s="80"/>
      <c r="AK42" s="188"/>
      <c r="AL42" s="80"/>
      <c r="AM42" s="80"/>
      <c r="AN42" s="80"/>
      <c r="AO42" s="80"/>
      <c r="AP42" s="80"/>
      <c r="AQ42" s="188"/>
    </row>
    <row r="43" spans="1:43" x14ac:dyDescent="0.25">
      <c r="A43" s="159">
        <v>20</v>
      </c>
      <c r="B43" s="80"/>
      <c r="C43" s="253" t="s">
        <v>65</v>
      </c>
      <c r="D43" s="80"/>
      <c r="E43" s="80"/>
      <c r="F43" s="78"/>
      <c r="G43" s="70"/>
      <c r="H43" s="78"/>
      <c r="I43" s="70"/>
      <c r="J43" s="339"/>
      <c r="K43" s="70"/>
      <c r="L43" s="79"/>
      <c r="M43" s="70"/>
      <c r="N43" s="156"/>
      <c r="O43" s="70"/>
      <c r="P43" s="79"/>
      <c r="Q43" s="344"/>
      <c r="R43" s="79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188"/>
      <c r="AH43" s="80"/>
      <c r="AI43" s="80"/>
      <c r="AJ43" s="80"/>
      <c r="AK43" s="188"/>
      <c r="AL43" s="80"/>
      <c r="AM43" s="80"/>
      <c r="AN43" s="80"/>
      <c r="AO43" s="80"/>
      <c r="AP43" s="80"/>
      <c r="AQ43" s="188"/>
    </row>
    <row r="44" spans="1:43" x14ac:dyDescent="0.25">
      <c r="A44" s="159">
        <v>21</v>
      </c>
      <c r="B44" s="80"/>
      <c r="C44" s="82" t="s">
        <v>66</v>
      </c>
      <c r="D44" s="80"/>
      <c r="E44" s="80"/>
      <c r="F44" s="78"/>
      <c r="G44" s="70"/>
      <c r="H44" s="225">
        <v>956045.51</v>
      </c>
      <c r="I44" s="70"/>
      <c r="J44" s="283">
        <f>PRO_DT_WIN_PEAK</f>
        <v>13.62</v>
      </c>
      <c r="K44" s="70"/>
      <c r="L44" s="79">
        <f>ROUND(+H44*J44,0)</f>
        <v>13021340</v>
      </c>
      <c r="M44" s="70"/>
      <c r="N44" s="155">
        <f>ROUND((+L44/$L$63)*100,1)-0.1</f>
        <v>24.799999999999997</v>
      </c>
      <c r="O44" s="70"/>
      <c r="P44" s="79"/>
      <c r="Q44" s="345"/>
      <c r="R44" s="79">
        <f>L44+P44</f>
        <v>13021340</v>
      </c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188"/>
      <c r="AH44" s="80"/>
      <c r="AI44" s="80"/>
      <c r="AJ44" s="80"/>
      <c r="AK44" s="188"/>
      <c r="AL44" s="80"/>
      <c r="AM44" s="80"/>
      <c r="AN44" s="80"/>
      <c r="AO44" s="80"/>
      <c r="AP44" s="80"/>
      <c r="AQ44" s="188"/>
    </row>
    <row r="45" spans="1:43" x14ac:dyDescent="0.25">
      <c r="A45" s="159">
        <v>22</v>
      </c>
      <c r="B45" s="80"/>
      <c r="C45" s="82" t="s">
        <v>67</v>
      </c>
      <c r="D45" s="80"/>
      <c r="E45" s="80"/>
      <c r="F45" s="78"/>
      <c r="G45" s="70"/>
      <c r="H45" s="225">
        <v>22660.269999999997</v>
      </c>
      <c r="I45" s="70"/>
      <c r="J45" s="283">
        <f>PRO_DT_WIN_PK_OFF</f>
        <v>1.3</v>
      </c>
      <c r="K45" s="70"/>
      <c r="L45" s="79">
        <f>ROUND(+H45*J45,0)</f>
        <v>29458</v>
      </c>
      <c r="M45" s="70"/>
      <c r="N45" s="155">
        <f t="shared" ref="N45" si="8">ROUND((+L45/$L$63)*100,1)</f>
        <v>0.1</v>
      </c>
      <c r="O45" s="70"/>
      <c r="P45" s="79"/>
      <c r="Q45" s="85"/>
      <c r="R45" s="79">
        <f>L45+P45</f>
        <v>29458</v>
      </c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188"/>
      <c r="AH45" s="80"/>
      <c r="AI45" s="80"/>
      <c r="AJ45" s="80"/>
      <c r="AK45" s="188"/>
      <c r="AL45" s="80"/>
      <c r="AM45" s="80"/>
      <c r="AN45" s="80"/>
      <c r="AO45" s="80"/>
      <c r="AP45" s="80"/>
      <c r="AQ45" s="188"/>
    </row>
    <row r="46" spans="1:43" ht="20.100000000000001" customHeight="1" x14ac:dyDescent="0.25">
      <c r="A46" s="159">
        <v>23</v>
      </c>
      <c r="B46" s="80"/>
      <c r="C46" s="253" t="s">
        <v>68</v>
      </c>
      <c r="D46" s="80"/>
      <c r="E46" s="80"/>
      <c r="F46" s="79"/>
      <c r="G46" s="70"/>
      <c r="H46" s="169">
        <f>SUM(H44:H45)</f>
        <v>978705.78</v>
      </c>
      <c r="I46" s="70"/>
      <c r="J46" s="268"/>
      <c r="K46" s="70"/>
      <c r="L46" s="169">
        <f>SUM(L44:L45)</f>
        <v>13050798</v>
      </c>
      <c r="M46" s="70"/>
      <c r="N46" s="170">
        <f>ROUND((+L46/$L$63)*100,1)-0.1</f>
        <v>24.9</v>
      </c>
      <c r="O46" s="70"/>
      <c r="P46" s="169"/>
      <c r="Q46" s="85"/>
      <c r="R46" s="169">
        <f>SUM(R44:R45)</f>
        <v>13050798</v>
      </c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188"/>
      <c r="AH46" s="80"/>
      <c r="AI46" s="80"/>
      <c r="AJ46" s="80"/>
      <c r="AK46" s="188"/>
      <c r="AL46" s="80"/>
      <c r="AM46" s="80"/>
      <c r="AN46" s="80"/>
      <c r="AO46" s="80"/>
      <c r="AP46" s="80"/>
      <c r="AQ46" s="188"/>
    </row>
    <row r="47" spans="1:43" x14ac:dyDescent="0.25">
      <c r="A47" s="159"/>
      <c r="B47" s="80"/>
      <c r="C47" s="82"/>
      <c r="D47" s="80"/>
      <c r="E47" s="80"/>
      <c r="F47" s="79"/>
      <c r="G47" s="70"/>
      <c r="H47" s="163"/>
      <c r="I47" s="70"/>
      <c r="J47" s="268"/>
      <c r="K47" s="70"/>
      <c r="L47" s="163"/>
      <c r="M47" s="70"/>
      <c r="N47" s="198"/>
      <c r="O47" s="70"/>
      <c r="P47" s="163"/>
      <c r="Q47" s="85"/>
      <c r="R47" s="163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188"/>
      <c r="AH47" s="80"/>
      <c r="AI47" s="80"/>
      <c r="AJ47" s="80"/>
      <c r="AK47" s="188"/>
      <c r="AL47" s="80"/>
      <c r="AM47" s="80"/>
      <c r="AN47" s="80"/>
      <c r="AO47" s="80"/>
      <c r="AP47" s="80"/>
      <c r="AQ47" s="188"/>
    </row>
    <row r="48" spans="1:43" x14ac:dyDescent="0.25">
      <c r="A48" s="159">
        <v>24</v>
      </c>
      <c r="B48" s="80"/>
      <c r="C48" s="253" t="s">
        <v>481</v>
      </c>
      <c r="D48" s="80"/>
      <c r="E48" s="80"/>
      <c r="F48" s="79"/>
      <c r="G48" s="70"/>
      <c r="H48" s="79"/>
      <c r="I48" s="70"/>
      <c r="J48" s="263"/>
      <c r="K48" s="70"/>
      <c r="L48" s="79"/>
      <c r="M48" s="70"/>
      <c r="N48" s="156"/>
      <c r="O48" s="70"/>
      <c r="P48" s="79"/>
      <c r="Q48" s="163"/>
      <c r="R48" s="79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188"/>
      <c r="AH48" s="80"/>
      <c r="AI48" s="80"/>
      <c r="AJ48" s="80"/>
      <c r="AK48" s="188"/>
      <c r="AL48" s="80"/>
      <c r="AM48" s="80"/>
      <c r="AN48" s="80"/>
      <c r="AO48" s="80"/>
      <c r="AP48" s="80"/>
      <c r="AQ48" s="188"/>
    </row>
    <row r="49" spans="1:43" x14ac:dyDescent="0.25">
      <c r="A49" s="159">
        <v>25</v>
      </c>
      <c r="B49" s="80"/>
      <c r="C49" s="82" t="s">
        <v>496</v>
      </c>
      <c r="D49" s="80"/>
      <c r="E49" s="80"/>
      <c r="F49" s="79"/>
      <c r="G49" s="70"/>
      <c r="H49" s="189">
        <v>133131149</v>
      </c>
      <c r="I49" s="70"/>
      <c r="J49" s="347">
        <f>PRO_DT_WIN_E_ON</f>
        <v>4.7612000000000002E-2</v>
      </c>
      <c r="K49" s="70"/>
      <c r="L49" s="79">
        <f>ROUND((+H49*J49),0)</f>
        <v>6338640</v>
      </c>
      <c r="M49" s="70"/>
      <c r="N49" s="155">
        <f>ROUND((+L49/$L$63)*100,1)</f>
        <v>12.1</v>
      </c>
      <c r="O49" s="70"/>
      <c r="P49" s="79"/>
      <c r="Q49" s="163"/>
      <c r="R49" s="79">
        <f>L49+P49</f>
        <v>6338640</v>
      </c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188"/>
      <c r="AH49" s="80"/>
      <c r="AI49" s="80"/>
      <c r="AJ49" s="80"/>
      <c r="AK49" s="188"/>
      <c r="AL49" s="80"/>
      <c r="AM49" s="80"/>
      <c r="AN49" s="80"/>
      <c r="AO49" s="80"/>
      <c r="AP49" s="80"/>
      <c r="AQ49" s="188"/>
    </row>
    <row r="50" spans="1:43" x14ac:dyDescent="0.25">
      <c r="A50" s="159">
        <v>26</v>
      </c>
      <c r="B50" s="80"/>
      <c r="C50" s="82" t="s">
        <v>497</v>
      </c>
      <c r="D50" s="80"/>
      <c r="E50" s="80"/>
      <c r="F50" s="286"/>
      <c r="G50" s="70"/>
      <c r="H50" s="287">
        <v>305222226</v>
      </c>
      <c r="I50" s="70"/>
      <c r="J50" s="347">
        <f>PRO_DT_WIN_E_OFF</f>
        <v>4.0843999999999998E-2</v>
      </c>
      <c r="K50" s="70"/>
      <c r="L50" s="167">
        <f>ROUND((+H50*J50),0)</f>
        <v>12466497</v>
      </c>
      <c r="M50" s="70"/>
      <c r="N50" s="155">
        <f t="shared" ref="N50" si="9">ROUND((+L50/$L$63)*100,1)</f>
        <v>23.9</v>
      </c>
      <c r="O50" s="70"/>
      <c r="P50" s="167"/>
      <c r="Q50" s="163"/>
      <c r="R50" s="167">
        <f>L50+P50</f>
        <v>12466497</v>
      </c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188"/>
      <c r="AH50" s="80"/>
      <c r="AI50" s="80"/>
      <c r="AJ50" s="80"/>
      <c r="AK50" s="188"/>
      <c r="AL50" s="80"/>
      <c r="AM50" s="80"/>
      <c r="AN50" s="80"/>
      <c r="AO50" s="80"/>
      <c r="AP50" s="80"/>
      <c r="AQ50" s="188"/>
    </row>
    <row r="51" spans="1:43" ht="21.75" customHeight="1" x14ac:dyDescent="0.25">
      <c r="A51" s="159">
        <v>27</v>
      </c>
      <c r="B51" s="80"/>
      <c r="C51" s="253" t="s">
        <v>60</v>
      </c>
      <c r="D51" s="80"/>
      <c r="E51" s="80"/>
      <c r="F51" s="169">
        <f>F41</f>
        <v>1191</v>
      </c>
      <c r="G51" s="70"/>
      <c r="H51" s="169">
        <f>H49+H50</f>
        <v>438353375</v>
      </c>
      <c r="I51" s="70"/>
      <c r="J51" s="347"/>
      <c r="K51" s="70"/>
      <c r="L51" s="169">
        <f>L41+L46+L49+L50</f>
        <v>32332335</v>
      </c>
      <c r="M51" s="70"/>
      <c r="N51" s="170">
        <f>ROUND((+L51/$L$63)*100,1)-0.1</f>
        <v>61.8</v>
      </c>
      <c r="O51" s="70"/>
      <c r="P51" s="169"/>
      <c r="Q51" s="348"/>
      <c r="R51" s="169">
        <f>R41+R46+R49+R50</f>
        <v>32332335</v>
      </c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188"/>
      <c r="AH51" s="80"/>
      <c r="AI51" s="80"/>
      <c r="AJ51" s="80"/>
      <c r="AK51" s="188"/>
      <c r="AL51" s="80"/>
      <c r="AM51" s="80"/>
      <c r="AN51" s="80"/>
      <c r="AO51" s="80"/>
      <c r="AP51" s="80"/>
      <c r="AQ51" s="188"/>
    </row>
    <row r="52" spans="1:43" ht="21.75" customHeight="1" x14ac:dyDescent="0.25">
      <c r="A52" s="159">
        <v>28</v>
      </c>
      <c r="B52" s="80"/>
      <c r="C52" s="265" t="s">
        <v>564</v>
      </c>
      <c r="D52" s="80"/>
      <c r="E52" s="80"/>
      <c r="F52" s="169">
        <f>F35+F51</f>
        <v>1786</v>
      </c>
      <c r="G52" s="70"/>
      <c r="H52" s="169">
        <f>H51+H35</f>
        <v>683434130</v>
      </c>
      <c r="I52" s="70"/>
      <c r="J52" s="347"/>
      <c r="K52" s="70"/>
      <c r="L52" s="169">
        <f>L35+L51</f>
        <v>50807680</v>
      </c>
      <c r="M52" s="70"/>
      <c r="N52" s="170">
        <f>ROUND((+L52/$L$63)*100,1)</f>
        <v>97.2</v>
      </c>
      <c r="O52" s="70"/>
      <c r="P52" s="169"/>
      <c r="Q52" s="348"/>
      <c r="R52" s="169">
        <f>R35+R51</f>
        <v>50807680</v>
      </c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188"/>
      <c r="AH52" s="80"/>
      <c r="AI52" s="80"/>
      <c r="AJ52" s="80"/>
      <c r="AK52" s="188"/>
      <c r="AL52" s="80"/>
      <c r="AM52" s="80"/>
      <c r="AN52" s="80"/>
      <c r="AO52" s="80"/>
      <c r="AP52" s="80"/>
      <c r="AQ52" s="188"/>
    </row>
    <row r="53" spans="1:43" ht="15.75" customHeight="1" x14ac:dyDescent="0.25">
      <c r="A53" s="159"/>
      <c r="B53" s="80"/>
      <c r="C53" s="82"/>
      <c r="D53" s="80"/>
      <c r="E53" s="80"/>
      <c r="F53" s="163"/>
      <c r="G53" s="70"/>
      <c r="H53" s="163"/>
      <c r="I53" s="70"/>
      <c r="J53" s="347"/>
      <c r="K53" s="70"/>
      <c r="L53" s="163"/>
      <c r="M53" s="70"/>
      <c r="N53" s="198"/>
      <c r="O53" s="70"/>
      <c r="P53" s="163"/>
      <c r="Q53" s="348"/>
      <c r="R53" s="163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188"/>
      <c r="AH53" s="80"/>
      <c r="AI53" s="80"/>
      <c r="AJ53" s="80"/>
      <c r="AK53" s="188"/>
      <c r="AL53" s="80"/>
      <c r="AM53" s="80"/>
      <c r="AN53" s="80"/>
      <c r="AO53" s="80"/>
      <c r="AP53" s="80"/>
      <c r="AQ53" s="188"/>
    </row>
    <row r="54" spans="1:43" ht="15.75" customHeight="1" x14ac:dyDescent="0.25">
      <c r="A54" s="159">
        <v>29</v>
      </c>
      <c r="B54" s="80"/>
      <c r="C54" s="253" t="s">
        <v>553</v>
      </c>
      <c r="D54" s="80"/>
      <c r="E54" s="80"/>
      <c r="F54" s="163"/>
      <c r="G54" s="70"/>
      <c r="H54" s="163"/>
      <c r="I54" s="70"/>
      <c r="J54" s="347"/>
      <c r="K54" s="70"/>
      <c r="L54" s="163"/>
      <c r="M54" s="70"/>
      <c r="N54" s="198"/>
      <c r="O54" s="70"/>
      <c r="P54" s="163"/>
      <c r="Q54" s="348"/>
      <c r="R54" s="163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188"/>
      <c r="AH54" s="80"/>
      <c r="AI54" s="80"/>
      <c r="AJ54" s="80"/>
      <c r="AK54" s="188"/>
      <c r="AL54" s="80"/>
      <c r="AM54" s="80"/>
      <c r="AN54" s="80"/>
      <c r="AO54" s="80"/>
      <c r="AP54" s="80"/>
      <c r="AQ54" s="188"/>
    </row>
    <row r="55" spans="1:43" ht="15.75" customHeight="1" x14ac:dyDescent="0.25">
      <c r="A55" s="159">
        <v>30</v>
      </c>
      <c r="B55" s="80"/>
      <c r="C55" s="153" t="str">
        <f>DSMR_Name</f>
        <v>DEMAND SIDE MANAGEMENT RIDER (DSMR)</v>
      </c>
      <c r="D55" s="80"/>
      <c r="E55" s="80"/>
      <c r="F55" s="163"/>
      <c r="G55" s="70"/>
      <c r="H55" s="163"/>
      <c r="I55" s="70"/>
      <c r="J55" s="308">
        <f>PRO_DSM_DIST</f>
        <v>2.5760000000000002E-3</v>
      </c>
      <c r="K55" s="70"/>
      <c r="L55" s="163">
        <f>ROUND($H$52*J55,0)</f>
        <v>1760526</v>
      </c>
      <c r="M55" s="70"/>
      <c r="N55" s="155">
        <f>ROUND((+L55/$L$63)*100,1)</f>
        <v>3.4</v>
      </c>
      <c r="O55" s="70"/>
      <c r="P55" s="163"/>
      <c r="Q55" s="348"/>
      <c r="R55" s="79">
        <f t="shared" ref="R55:R60" si="10">L55+P55</f>
        <v>1760526</v>
      </c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188"/>
      <c r="AH55" s="80"/>
      <c r="AI55" s="80"/>
      <c r="AJ55" s="80"/>
      <c r="AK55" s="188"/>
      <c r="AL55" s="80"/>
      <c r="AM55" s="80"/>
      <c r="AN55" s="80"/>
      <c r="AO55" s="80"/>
      <c r="AP55" s="80"/>
      <c r="AQ55" s="188"/>
    </row>
    <row r="56" spans="1:43" ht="15.75" customHeight="1" x14ac:dyDescent="0.25">
      <c r="A56" s="159">
        <v>31</v>
      </c>
      <c r="B56" s="80"/>
      <c r="C56" s="153" t="str">
        <f>ESM_Name</f>
        <v>ENVIRONMENTAL SURCHARGE MECHANISM RIDER (ESM)</v>
      </c>
      <c r="D56" s="80"/>
      <c r="E56" s="80"/>
      <c r="F56" s="163"/>
      <c r="G56" s="70"/>
      <c r="H56" s="163"/>
      <c r="I56" s="70"/>
      <c r="J56" s="288">
        <f>PRO_ESM</f>
        <v>0</v>
      </c>
      <c r="K56" s="70"/>
      <c r="L56" s="163">
        <f>ROUND(R52*J56,0)</f>
        <v>0</v>
      </c>
      <c r="M56" s="70"/>
      <c r="N56" s="155">
        <f t="shared" ref="N56:N57" si="11">ROUND((+L56/$L$63)*100,1)</f>
        <v>0</v>
      </c>
      <c r="O56" s="70"/>
      <c r="P56" s="163"/>
      <c r="Q56" s="348"/>
      <c r="R56" s="79">
        <f t="shared" si="10"/>
        <v>0</v>
      </c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188"/>
      <c r="AH56" s="80"/>
      <c r="AI56" s="80"/>
      <c r="AJ56" s="80"/>
      <c r="AK56" s="188"/>
      <c r="AL56" s="80"/>
      <c r="AM56" s="80"/>
      <c r="AN56" s="80"/>
      <c r="AO56" s="80"/>
      <c r="AP56" s="80"/>
      <c r="AQ56" s="188"/>
    </row>
    <row r="57" spans="1:43" ht="15.75" customHeight="1" x14ac:dyDescent="0.25">
      <c r="A57" s="159">
        <v>32</v>
      </c>
      <c r="B57" s="80"/>
      <c r="C57" s="153" t="str">
        <f>DCI_Name</f>
        <v>DISTRIBUTION CAPITAL INVESTMENT RIDER (DCI)</v>
      </c>
      <c r="D57" s="80"/>
      <c r="E57" s="80"/>
      <c r="F57" s="163"/>
      <c r="G57" s="70"/>
      <c r="H57" s="163"/>
      <c r="I57" s="70"/>
      <c r="J57" s="349">
        <f>PRO_DCI_DTS</f>
        <v>0</v>
      </c>
      <c r="K57" s="70"/>
      <c r="L57" s="163">
        <f>ROUND((H46+H30)*J57,0)</f>
        <v>0</v>
      </c>
      <c r="M57" s="70"/>
      <c r="N57" s="155">
        <f t="shared" si="11"/>
        <v>0</v>
      </c>
      <c r="O57" s="70"/>
      <c r="P57" s="163"/>
      <c r="Q57" s="348"/>
      <c r="R57" s="79">
        <f t="shared" si="10"/>
        <v>0</v>
      </c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188"/>
      <c r="AH57" s="80"/>
      <c r="AI57" s="80"/>
      <c r="AJ57" s="80"/>
      <c r="AK57" s="188"/>
      <c r="AL57" s="80"/>
      <c r="AM57" s="80"/>
      <c r="AN57" s="80"/>
      <c r="AO57" s="80"/>
      <c r="AP57" s="80"/>
      <c r="AQ57" s="188"/>
    </row>
    <row r="58" spans="1:43" ht="15.75" customHeight="1" x14ac:dyDescent="0.25">
      <c r="A58" s="159">
        <v>33</v>
      </c>
      <c r="B58" s="80"/>
      <c r="C58" s="153" t="str">
        <f>FAC_Name</f>
        <v>FUEL ADJUSTMENT CLAUSE (FAC)</v>
      </c>
      <c r="D58" s="80"/>
      <c r="E58" s="80"/>
      <c r="F58" s="163"/>
      <c r="G58" s="70"/>
      <c r="H58" s="163"/>
      <c r="I58" s="70"/>
      <c r="J58" s="308">
        <f>PRO_FAC</f>
        <v>1.0280000000000003E-3</v>
      </c>
      <c r="K58" s="70"/>
      <c r="L58" s="163"/>
      <c r="M58" s="70"/>
      <c r="N58" s="155"/>
      <c r="O58" s="70"/>
      <c r="P58" s="163">
        <f>ROUND(H52*PRO_FAC,0)</f>
        <v>702570</v>
      </c>
      <c r="Q58" s="348"/>
      <c r="R58" s="79">
        <f t="shared" si="10"/>
        <v>702570</v>
      </c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188"/>
      <c r="AH58" s="80"/>
      <c r="AI58" s="80"/>
      <c r="AJ58" s="80"/>
      <c r="AK58" s="188"/>
      <c r="AL58" s="80"/>
      <c r="AM58" s="80"/>
      <c r="AN58" s="80"/>
      <c r="AO58" s="80"/>
      <c r="AP58" s="80"/>
      <c r="AQ58" s="188"/>
    </row>
    <row r="59" spans="1:43" ht="15.75" customHeight="1" x14ac:dyDescent="0.25">
      <c r="A59" s="159">
        <v>34</v>
      </c>
      <c r="B59" s="80"/>
      <c r="C59" s="153" t="str">
        <f>FTR_Name</f>
        <v>FERC TRANSMISSION COST RECOVERY RECONCILIATION (FTR)</v>
      </c>
      <c r="D59" s="80"/>
      <c r="E59" s="80"/>
      <c r="F59" s="163"/>
      <c r="G59" s="70"/>
      <c r="H59" s="163"/>
      <c r="I59" s="70"/>
      <c r="J59" s="288">
        <f>PRO_FTR_DTS</f>
        <v>0</v>
      </c>
      <c r="K59" s="70"/>
      <c r="L59" s="163">
        <f>ROUND(H52*J59,0)</f>
        <v>0</v>
      </c>
      <c r="M59" s="70"/>
      <c r="N59" s="155">
        <f>ROUND((+L59/$L$63)*100,1)</f>
        <v>0</v>
      </c>
      <c r="O59" s="70"/>
      <c r="P59" s="163"/>
      <c r="Q59" s="348"/>
      <c r="R59" s="79">
        <f t="shared" si="10"/>
        <v>0</v>
      </c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188"/>
      <c r="AH59" s="80"/>
      <c r="AI59" s="80"/>
      <c r="AJ59" s="80"/>
      <c r="AK59" s="188"/>
      <c r="AL59" s="80"/>
      <c r="AM59" s="80"/>
      <c r="AN59" s="80"/>
      <c r="AO59" s="80"/>
      <c r="AP59" s="80"/>
      <c r="AQ59" s="188"/>
    </row>
    <row r="60" spans="1:43" ht="15.75" customHeight="1" x14ac:dyDescent="0.25">
      <c r="A60" s="159">
        <v>35</v>
      </c>
      <c r="B60" s="80"/>
      <c r="C60" s="153" t="str">
        <f>PSM_Name</f>
        <v>PROFIT SHARING MECHANISM (PSM)</v>
      </c>
      <c r="D60" s="80"/>
      <c r="E60" s="80"/>
      <c r="F60" s="163"/>
      <c r="G60" s="70"/>
      <c r="H60" s="163"/>
      <c r="I60" s="70"/>
      <c r="J60" s="308">
        <f>PRO_PSM</f>
        <v>-4.5600000000000003E-4</v>
      </c>
      <c r="K60" s="70"/>
      <c r="L60" s="167">
        <f>ROUND(H52*PRO_PSM,0)</f>
        <v>-311646</v>
      </c>
      <c r="M60" s="70"/>
      <c r="N60" s="166">
        <f>ROUND((+L60/$L$63)*100,1)</f>
        <v>-0.6</v>
      </c>
      <c r="O60" s="70"/>
      <c r="P60" s="167"/>
      <c r="Q60" s="348"/>
      <c r="R60" s="167">
        <f t="shared" si="10"/>
        <v>-311646</v>
      </c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188"/>
      <c r="AH60" s="80"/>
      <c r="AI60" s="80"/>
      <c r="AJ60" s="80"/>
      <c r="AK60" s="188"/>
      <c r="AL60" s="80"/>
      <c r="AM60" s="80"/>
      <c r="AN60" s="80"/>
      <c r="AO60" s="80"/>
      <c r="AP60" s="80"/>
      <c r="AQ60" s="188"/>
    </row>
    <row r="61" spans="1:43" ht="20.100000000000001" customHeight="1" x14ac:dyDescent="0.25">
      <c r="A61" s="159">
        <v>36</v>
      </c>
      <c r="B61" s="80"/>
      <c r="C61" s="253" t="s">
        <v>557</v>
      </c>
      <c r="D61" s="80"/>
      <c r="E61" s="80"/>
      <c r="F61" s="167"/>
      <c r="G61" s="70"/>
      <c r="H61" s="167"/>
      <c r="I61" s="70"/>
      <c r="J61" s="268"/>
      <c r="K61" s="70"/>
      <c r="L61" s="167">
        <f>SUM(L55:L60)</f>
        <v>1448880</v>
      </c>
      <c r="M61" s="70"/>
      <c r="N61" s="170">
        <f>ROUND((+L61/$L$63)*100,1)</f>
        <v>2.8</v>
      </c>
      <c r="O61" s="70"/>
      <c r="P61" s="167">
        <f>SUM(P55:P60)</f>
        <v>702570</v>
      </c>
      <c r="Q61" s="348"/>
      <c r="R61" s="167">
        <f>SUM(R55:R60)</f>
        <v>2151450</v>
      </c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188"/>
      <c r="AH61" s="80"/>
      <c r="AI61" s="80"/>
      <c r="AJ61" s="80"/>
      <c r="AK61" s="188"/>
      <c r="AL61" s="80"/>
      <c r="AM61" s="80"/>
      <c r="AN61" s="80"/>
      <c r="AO61" s="80"/>
      <c r="AP61" s="80"/>
      <c r="AQ61" s="188"/>
    </row>
    <row r="62" spans="1:43" ht="15.75" customHeight="1" x14ac:dyDescent="0.25">
      <c r="A62" s="159"/>
      <c r="B62" s="80"/>
      <c r="C62" s="82"/>
      <c r="D62" s="80"/>
      <c r="E62" s="80"/>
      <c r="F62" s="163"/>
      <c r="G62" s="70"/>
      <c r="H62" s="163"/>
      <c r="I62" s="70"/>
      <c r="J62" s="268"/>
      <c r="K62" s="70"/>
      <c r="L62" s="163"/>
      <c r="M62" s="85"/>
      <c r="N62" s="198"/>
      <c r="O62" s="85"/>
      <c r="P62" s="163"/>
      <c r="Q62" s="346"/>
      <c r="R62" s="163"/>
    </row>
    <row r="63" spans="1:43" ht="20.100000000000001" customHeight="1" thickBot="1" x14ac:dyDescent="0.3">
      <c r="A63" s="159">
        <v>37</v>
      </c>
      <c r="B63" s="80"/>
      <c r="C63" s="265" t="s">
        <v>563</v>
      </c>
      <c r="D63" s="80"/>
      <c r="E63" s="80"/>
      <c r="F63" s="275">
        <f>F35+F51</f>
        <v>1786</v>
      </c>
      <c r="G63" s="70"/>
      <c r="H63" s="275">
        <f>H35+H51</f>
        <v>683434130</v>
      </c>
      <c r="I63" s="70"/>
      <c r="J63" s="70"/>
      <c r="K63" s="70"/>
      <c r="L63" s="275">
        <f>L61+L52</f>
        <v>52256560</v>
      </c>
      <c r="M63" s="70"/>
      <c r="N63" s="309">
        <v>100</v>
      </c>
      <c r="O63" s="70"/>
      <c r="P63" s="275">
        <f>P61+P52</f>
        <v>702570</v>
      </c>
      <c r="Q63" s="230"/>
      <c r="R63" s="275">
        <f>R61+R52</f>
        <v>52959130</v>
      </c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188"/>
      <c r="AH63" s="80"/>
      <c r="AI63" s="80"/>
      <c r="AJ63" s="80"/>
      <c r="AK63" s="188"/>
      <c r="AL63" s="80"/>
      <c r="AM63" s="80"/>
      <c r="AN63" s="80"/>
      <c r="AO63" s="80"/>
      <c r="AP63" s="80"/>
      <c r="AQ63" s="188"/>
    </row>
    <row r="64" spans="1:43" ht="16.5" thickTop="1" x14ac:dyDescent="0.25">
      <c r="A64" s="80"/>
      <c r="B64" s="80"/>
      <c r="C64" s="80"/>
      <c r="D64" s="80"/>
      <c r="E64" s="8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346"/>
      <c r="R64" s="7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188"/>
      <c r="AH64" s="80"/>
      <c r="AI64" s="80"/>
      <c r="AJ64" s="80"/>
      <c r="AK64" s="188"/>
      <c r="AL64" s="80"/>
      <c r="AM64" s="80"/>
      <c r="AN64" s="80"/>
      <c r="AO64" s="80"/>
      <c r="AP64" s="80"/>
      <c r="AQ64" s="188"/>
    </row>
    <row r="65" spans="1:43" x14ac:dyDescent="0.25">
      <c r="A65" s="80"/>
      <c r="B65" s="80"/>
      <c r="C65" s="173" t="s">
        <v>61</v>
      </c>
      <c r="D65" s="80"/>
      <c r="E65" s="80"/>
      <c r="F65" s="80"/>
      <c r="G65" s="80"/>
      <c r="H65" s="80"/>
      <c r="I65" s="80"/>
      <c r="J65" s="80"/>
      <c r="K65" s="80"/>
      <c r="L65" s="189"/>
      <c r="M65" s="80"/>
      <c r="N65" s="189"/>
      <c r="O65" s="80"/>
      <c r="P65" s="189"/>
      <c r="Q65" s="200"/>
      <c r="R65" s="189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188"/>
      <c r="AH65" s="80"/>
      <c r="AI65" s="80"/>
      <c r="AJ65" s="80"/>
      <c r="AK65" s="188"/>
      <c r="AL65" s="80"/>
      <c r="AM65" s="80"/>
      <c r="AN65" s="80"/>
      <c r="AO65" s="80"/>
      <c r="AP65" s="80"/>
      <c r="AQ65" s="188"/>
    </row>
    <row r="66" spans="1:43" x14ac:dyDescent="0.25">
      <c r="A66" s="80"/>
      <c r="B66" s="80"/>
      <c r="C66" s="173" t="str">
        <f>"(2) REFLECTS FUEL COMPONENT OF "&amp;TEXT(PRO_FAC,"$0.000000;($0.000000)")&amp;"  PER KWH."</f>
        <v>(2) REFLECTS FUEL COMPONENT OF $0.001028  PER KWH.</v>
      </c>
      <c r="D66" s="80"/>
      <c r="E66" s="80"/>
      <c r="F66" s="80"/>
      <c r="G66" s="80"/>
      <c r="H66" s="80"/>
      <c r="I66" s="80"/>
      <c r="J66" s="80"/>
      <c r="K66" s="80"/>
      <c r="L66" s="189"/>
      <c r="M66" s="80"/>
      <c r="N66" s="189"/>
      <c r="O66" s="80"/>
      <c r="P66" s="189"/>
      <c r="Q66" s="200"/>
      <c r="R66" s="189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188"/>
      <c r="AH66" s="80"/>
      <c r="AI66" s="80"/>
      <c r="AJ66" s="80"/>
      <c r="AK66" s="188"/>
      <c r="AL66" s="80"/>
      <c r="AM66" s="80"/>
      <c r="AN66" s="80"/>
      <c r="AO66" s="80"/>
      <c r="AP66" s="80"/>
      <c r="AQ66" s="188"/>
    </row>
    <row r="67" spans="1:43" x14ac:dyDescent="0.25">
      <c r="C67" s="173" t="str">
        <f>"(3) REFLECTS FUEL COST RECOVERY INCLUDED IN BASE RATES OF "&amp;TEXT(PRO_BASE_FUEL,"$0.000000;($0.000000)")&amp;"  PER KWH."</f>
        <v>(3) REFLECTS FUEL COST RECOVERY INCLUDED IN BASE RATES OF $0.023837  PER KWH.</v>
      </c>
      <c r="F67" s="211"/>
      <c r="H67" s="211"/>
      <c r="I67" s="80"/>
      <c r="J67" s="211"/>
      <c r="K67" s="80"/>
      <c r="L67" s="305"/>
      <c r="M67" s="80"/>
      <c r="N67" s="305"/>
      <c r="O67" s="80"/>
      <c r="P67" s="211"/>
      <c r="Q67" s="211"/>
      <c r="R67" s="211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188"/>
      <c r="AH67" s="80"/>
      <c r="AI67" s="80"/>
      <c r="AJ67" s="80"/>
      <c r="AK67" s="188"/>
      <c r="AL67" s="80"/>
      <c r="AM67" s="80"/>
      <c r="AN67" s="80"/>
      <c r="AO67" s="80"/>
      <c r="AP67" s="80"/>
      <c r="AQ67" s="188"/>
    </row>
    <row r="68" spans="1:43" x14ac:dyDescent="0.25">
      <c r="A68" s="202"/>
      <c r="C68" s="154"/>
      <c r="F68" s="200"/>
      <c r="H68" s="200"/>
      <c r="I68" s="80"/>
      <c r="J68" s="200"/>
      <c r="K68" s="80"/>
      <c r="L68" s="213"/>
      <c r="M68" s="80"/>
      <c r="N68" s="213"/>
      <c r="O68" s="80"/>
      <c r="P68" s="200"/>
      <c r="Q68" s="200"/>
      <c r="R68" s="20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188"/>
      <c r="AH68" s="80"/>
      <c r="AI68" s="80"/>
      <c r="AJ68" s="80"/>
      <c r="AK68" s="188"/>
      <c r="AL68" s="80"/>
      <c r="AM68" s="80"/>
      <c r="AN68" s="80"/>
      <c r="AO68" s="80"/>
      <c r="AP68" s="80"/>
      <c r="AQ68" s="188"/>
    </row>
    <row r="69" spans="1:43" x14ac:dyDescent="0.25">
      <c r="A69" s="202"/>
      <c r="C69" s="154"/>
      <c r="F69" s="200"/>
      <c r="H69" s="200"/>
      <c r="I69" s="80"/>
      <c r="J69" s="200"/>
      <c r="K69" s="80"/>
      <c r="L69" s="213"/>
      <c r="M69" s="80"/>
      <c r="N69" s="213"/>
      <c r="O69" s="80"/>
      <c r="P69" s="200"/>
      <c r="Q69" s="200"/>
      <c r="R69" s="20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188"/>
      <c r="AH69" s="80"/>
      <c r="AI69" s="80"/>
      <c r="AJ69" s="80"/>
      <c r="AK69" s="188"/>
      <c r="AL69" s="80"/>
      <c r="AM69" s="80"/>
      <c r="AN69" s="80"/>
      <c r="AO69" s="80"/>
      <c r="AP69" s="80"/>
      <c r="AQ69" s="188"/>
    </row>
    <row r="70" spans="1:43" x14ac:dyDescent="0.25">
      <c r="F70" s="200"/>
      <c r="H70" s="200"/>
      <c r="I70" s="80"/>
      <c r="J70" s="200"/>
      <c r="K70" s="80"/>
      <c r="L70" s="213"/>
      <c r="M70" s="80"/>
      <c r="N70" s="163"/>
      <c r="O70" s="80"/>
      <c r="P70" s="200"/>
      <c r="Q70" s="200"/>
      <c r="R70" s="20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188"/>
      <c r="AH70" s="80"/>
      <c r="AI70" s="80"/>
      <c r="AJ70" s="80"/>
      <c r="AK70" s="188"/>
      <c r="AL70" s="80"/>
      <c r="AM70" s="80"/>
      <c r="AN70" s="80"/>
      <c r="AO70" s="80"/>
      <c r="AP70" s="80"/>
      <c r="AQ70" s="188"/>
    </row>
    <row r="71" spans="1:43" x14ac:dyDescent="0.25">
      <c r="A71" s="154"/>
      <c r="F71" s="200"/>
      <c r="H71" s="200"/>
      <c r="I71" s="80"/>
      <c r="J71" s="202"/>
      <c r="K71" s="80"/>
      <c r="L71" s="213"/>
      <c r="M71" s="80"/>
      <c r="N71" s="163"/>
      <c r="O71" s="80"/>
      <c r="P71" s="200"/>
      <c r="Q71" s="200"/>
      <c r="R71" s="200"/>
      <c r="T71" s="150" t="str">
        <f>NAME</f>
        <v>DUKE ENERGY KENTUCKY, INC.</v>
      </c>
      <c r="U71" s="150"/>
      <c r="V71" s="150"/>
      <c r="W71" s="150"/>
      <c r="X71" s="150"/>
      <c r="Y71" s="150"/>
      <c r="Z71" s="150"/>
      <c r="AA71" s="150"/>
      <c r="AB71" s="150"/>
      <c r="AC71" s="187"/>
      <c r="AD71" s="187"/>
      <c r="AE71" s="150"/>
      <c r="AF71" s="100"/>
      <c r="AG71" s="190"/>
      <c r="AH71" s="100"/>
      <c r="AI71" s="150"/>
      <c r="AJ71" s="150"/>
      <c r="AK71" s="190"/>
      <c r="AL71" s="150"/>
      <c r="AM71" s="150"/>
      <c r="AN71" s="100"/>
      <c r="AO71" s="150"/>
      <c r="AP71" s="150"/>
      <c r="AQ71" s="190"/>
    </row>
    <row r="72" spans="1:43" x14ac:dyDescent="0.25">
      <c r="A72" s="154"/>
      <c r="F72" s="200"/>
      <c r="H72" s="200"/>
      <c r="I72" s="80"/>
      <c r="J72" s="200"/>
      <c r="K72" s="80"/>
      <c r="L72" s="213"/>
      <c r="M72" s="80"/>
      <c r="N72" s="163"/>
      <c r="O72" s="80"/>
      <c r="P72" s="200"/>
      <c r="Q72" s="200"/>
      <c r="R72" s="200"/>
      <c r="T72" s="150" t="str">
        <f>CASE_NO</f>
        <v>CASE NO.   2017-00321</v>
      </c>
      <c r="U72" s="150"/>
      <c r="V72" s="150"/>
      <c r="W72" s="150"/>
      <c r="X72" s="150"/>
      <c r="Y72" s="150"/>
      <c r="Z72" s="150"/>
      <c r="AA72" s="150"/>
      <c r="AB72" s="150"/>
      <c r="AC72" s="187"/>
      <c r="AD72" s="187"/>
      <c r="AE72" s="150"/>
      <c r="AF72" s="100"/>
      <c r="AG72" s="190"/>
      <c r="AH72" s="100"/>
      <c r="AI72" s="150"/>
      <c r="AJ72" s="150"/>
      <c r="AK72" s="190"/>
      <c r="AL72" s="150"/>
      <c r="AM72" s="150"/>
      <c r="AN72" s="100"/>
      <c r="AO72" s="150"/>
      <c r="AP72" s="150"/>
      <c r="AQ72" s="190"/>
    </row>
    <row r="73" spans="1:43" x14ac:dyDescent="0.25">
      <c r="F73" s="311"/>
      <c r="I73" s="80"/>
      <c r="K73" s="80"/>
      <c r="M73" s="80"/>
      <c r="O73" s="80"/>
      <c r="T73" s="187" t="str">
        <f>TITLE</f>
        <v>ANNUALIZED BASE YEAR REVENUES AT PROPOSED VS. MOST CURRENT RATES</v>
      </c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00"/>
      <c r="AG73" s="190"/>
      <c r="AH73" s="100"/>
      <c r="AI73" s="150"/>
      <c r="AJ73" s="150"/>
      <c r="AK73" s="190"/>
      <c r="AL73" s="150"/>
      <c r="AM73" s="150"/>
      <c r="AN73" s="100"/>
      <c r="AO73" s="150"/>
      <c r="AP73" s="150"/>
      <c r="AQ73" s="190"/>
    </row>
    <row r="74" spans="1:43" x14ac:dyDescent="0.25">
      <c r="I74" s="80"/>
      <c r="K74" s="80"/>
      <c r="M74" s="80"/>
      <c r="O74" s="80"/>
      <c r="T74" s="150" t="str">
        <f>DATE</f>
        <v>FOR THE TWELVE MONTHS ENDED November 30, 2017</v>
      </c>
      <c r="U74" s="150"/>
      <c r="V74" s="150"/>
      <c r="W74" s="150"/>
      <c r="X74" s="150"/>
      <c r="Y74" s="150"/>
      <c r="Z74" s="150"/>
      <c r="AA74" s="150"/>
      <c r="AB74" s="150"/>
      <c r="AC74" s="187"/>
      <c r="AD74" s="187"/>
      <c r="AE74" s="150"/>
      <c r="AF74" s="100"/>
      <c r="AG74" s="190"/>
      <c r="AH74" s="100"/>
      <c r="AI74" s="150"/>
      <c r="AJ74" s="150"/>
      <c r="AK74" s="190"/>
      <c r="AL74" s="150"/>
      <c r="AM74" s="150"/>
      <c r="AN74" s="100"/>
      <c r="AO74" s="150"/>
      <c r="AP74" s="150"/>
      <c r="AQ74" s="190"/>
    </row>
    <row r="75" spans="1:43" x14ac:dyDescent="0.25">
      <c r="I75" s="80"/>
      <c r="K75" s="80"/>
      <c r="M75" s="80"/>
      <c r="N75" s="109"/>
      <c r="O75" s="80"/>
      <c r="P75" s="200"/>
      <c r="Q75" s="200"/>
      <c r="R75" s="200"/>
      <c r="T75" s="150" t="str">
        <f>SERVICE</f>
        <v>(ELECTRIC SERVICE)</v>
      </c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87"/>
      <c r="AF75" s="312"/>
      <c r="AG75" s="190"/>
      <c r="AH75" s="100"/>
      <c r="AI75" s="150"/>
      <c r="AJ75" s="150"/>
      <c r="AK75" s="190"/>
      <c r="AL75" s="150"/>
      <c r="AM75" s="150"/>
      <c r="AN75" s="100"/>
      <c r="AO75" s="150"/>
      <c r="AP75" s="150"/>
      <c r="AQ75" s="190"/>
    </row>
    <row r="76" spans="1:43" x14ac:dyDescent="0.25">
      <c r="I76" s="80"/>
      <c r="K76" s="80"/>
      <c r="M76" s="80"/>
      <c r="N76" s="109"/>
      <c r="O76" s="80"/>
      <c r="T76" s="159" t="str">
        <f>DATA_PERIOD</f>
        <v>DATA: __X__ BASE PERIOD   ____FORECASTED PERIOD</v>
      </c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G76" s="188"/>
      <c r="AI76" s="80"/>
      <c r="AJ76" s="80"/>
      <c r="AK76" s="188"/>
      <c r="AL76" s="80"/>
      <c r="AM76" s="80"/>
      <c r="AO76" s="82" t="s">
        <v>179</v>
      </c>
      <c r="AP76" s="82"/>
      <c r="AQ76" s="188"/>
    </row>
    <row r="77" spans="1:43" x14ac:dyDescent="0.25">
      <c r="I77" s="80"/>
      <c r="K77" s="80"/>
      <c r="L77" s="202"/>
      <c r="M77" s="80"/>
      <c r="N77" s="200"/>
      <c r="O77" s="80"/>
      <c r="T77" s="159" t="str">
        <f>TYPE</f>
        <v>TYPE OF FILING: _X_ ORIGINAL   ___UPDATED  ___ REVISED</v>
      </c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G77" s="188"/>
      <c r="AI77" s="80"/>
      <c r="AJ77" s="80"/>
      <c r="AK77" s="188"/>
      <c r="AL77" s="80"/>
      <c r="AM77" s="80"/>
      <c r="AO77" s="81" t="str">
        <f>R7</f>
        <v>PAGE  5  OF  22</v>
      </c>
      <c r="AP77" s="82"/>
      <c r="AQ77" s="188"/>
    </row>
    <row r="78" spans="1:43" x14ac:dyDescent="0.25">
      <c r="H78" s="154"/>
      <c r="I78" s="80"/>
      <c r="J78" s="154"/>
      <c r="K78" s="80"/>
      <c r="M78" s="80"/>
      <c r="O78" s="80"/>
      <c r="T78" s="82" t="s">
        <v>192</v>
      </c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G78" s="188"/>
      <c r="AI78" s="80"/>
      <c r="AJ78" s="80"/>
      <c r="AK78" s="188"/>
      <c r="AL78" s="80"/>
      <c r="AM78" s="80"/>
      <c r="AO78" s="82" t="s">
        <v>3</v>
      </c>
      <c r="AP78" s="82"/>
      <c r="AQ78" s="188"/>
    </row>
    <row r="79" spans="1:43" x14ac:dyDescent="0.25">
      <c r="I79" s="80"/>
      <c r="K79" s="80"/>
      <c r="L79" s="202"/>
      <c r="M79" s="80"/>
      <c r="N79" s="202"/>
      <c r="O79" s="80"/>
      <c r="T79" s="253" t="str">
        <f>TIME</f>
        <v>6 Months Actual and 6 Months Projected</v>
      </c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G79" s="188"/>
      <c r="AI79" s="80"/>
      <c r="AJ79" s="80"/>
      <c r="AK79" s="188"/>
      <c r="AL79" s="80"/>
      <c r="AM79" s="80"/>
      <c r="AO79" s="159" t="str">
        <f>WIT</f>
        <v>B. L. SAILERS</v>
      </c>
      <c r="AP79" s="159"/>
      <c r="AQ79" s="188"/>
    </row>
    <row r="80" spans="1:43" x14ac:dyDescent="0.25">
      <c r="I80" s="80"/>
      <c r="K80" s="80"/>
      <c r="L80" s="202"/>
      <c r="M80" s="80"/>
      <c r="N80" s="202"/>
      <c r="O80" s="80"/>
      <c r="T80" s="253" t="str">
        <f>INPUT!B5</f>
        <v>6 Months Actual Ending May 31, 2017</v>
      </c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G80" s="188"/>
      <c r="AI80" s="80"/>
      <c r="AJ80" s="80"/>
      <c r="AK80" s="188"/>
      <c r="AL80" s="80"/>
      <c r="AM80" s="80"/>
      <c r="AO80" s="159"/>
      <c r="AP80" s="159"/>
      <c r="AQ80" s="188"/>
    </row>
    <row r="81" spans="1:43" x14ac:dyDescent="0.25">
      <c r="I81" s="80"/>
      <c r="K81" s="80"/>
      <c r="M81" s="80"/>
      <c r="O81" s="80"/>
      <c r="P81" s="154"/>
      <c r="T81" s="187" t="s">
        <v>152</v>
      </c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00"/>
      <c r="AG81" s="190"/>
      <c r="AH81" s="100"/>
      <c r="AI81" s="150"/>
      <c r="AJ81" s="150"/>
      <c r="AK81" s="190"/>
      <c r="AL81" s="150"/>
      <c r="AM81" s="150"/>
      <c r="AN81" s="100"/>
      <c r="AO81" s="150"/>
      <c r="AP81" s="150"/>
      <c r="AQ81" s="190"/>
    </row>
    <row r="82" spans="1:43" x14ac:dyDescent="0.25">
      <c r="A82" s="202"/>
      <c r="I82" s="80"/>
      <c r="K82" s="80"/>
      <c r="M82" s="80"/>
      <c r="R82" s="1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5"/>
      <c r="AH82" s="254"/>
      <c r="AI82" s="254"/>
      <c r="AJ82" s="254"/>
      <c r="AK82" s="255"/>
      <c r="AL82" s="254"/>
      <c r="AM82" s="254"/>
      <c r="AN82" s="254"/>
      <c r="AO82" s="254"/>
      <c r="AP82" s="254"/>
      <c r="AQ82" s="255"/>
    </row>
    <row r="83" spans="1:43" ht="18" customHeight="1" x14ac:dyDescent="0.25">
      <c r="A83" s="202"/>
      <c r="I83" s="80"/>
      <c r="K83" s="80"/>
      <c r="M83" s="80"/>
      <c r="R83" s="154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3" t="s">
        <v>8</v>
      </c>
      <c r="AF83" s="103"/>
      <c r="AG83" s="195" t="s">
        <v>7</v>
      </c>
      <c r="AH83" s="103"/>
      <c r="AI83" s="83" t="s">
        <v>9</v>
      </c>
      <c r="AJ83" s="83"/>
      <c r="AK83" s="195" t="s">
        <v>10</v>
      </c>
      <c r="AL83" s="83"/>
      <c r="AM83" s="80"/>
      <c r="AO83" s="83" t="s">
        <v>8</v>
      </c>
      <c r="AP83" s="83"/>
      <c r="AQ83" s="195" t="s">
        <v>11</v>
      </c>
    </row>
    <row r="84" spans="1:43" x14ac:dyDescent="0.25">
      <c r="A84" s="154"/>
      <c r="I84" s="80"/>
      <c r="K84" s="80"/>
      <c r="M84" s="80"/>
      <c r="R84" s="154"/>
      <c r="T84" s="80"/>
      <c r="U84" s="80"/>
      <c r="V84" s="80"/>
      <c r="W84" s="80"/>
      <c r="X84" s="80"/>
      <c r="Y84" s="80"/>
      <c r="Z84" s="80"/>
      <c r="AA84" s="80"/>
      <c r="AB84" s="80"/>
      <c r="AC84" s="83" t="s">
        <v>14</v>
      </c>
      <c r="AD84" s="83"/>
      <c r="AE84" s="83" t="s">
        <v>12</v>
      </c>
      <c r="AF84" s="103"/>
      <c r="AG84" s="195" t="s">
        <v>13</v>
      </c>
      <c r="AH84" s="103"/>
      <c r="AI84" s="83" t="s">
        <v>15</v>
      </c>
      <c r="AJ84" s="83"/>
      <c r="AK84" s="195" t="s">
        <v>16</v>
      </c>
      <c r="AL84" s="83"/>
      <c r="AM84" s="80"/>
      <c r="AO84" s="83" t="s">
        <v>11</v>
      </c>
      <c r="AP84" s="83"/>
      <c r="AQ84" s="195" t="s">
        <v>9</v>
      </c>
    </row>
    <row r="85" spans="1:43" x14ac:dyDescent="0.25">
      <c r="I85" s="80"/>
      <c r="K85" s="80"/>
      <c r="M85" s="80"/>
      <c r="O85" s="154"/>
      <c r="R85" s="202"/>
      <c r="T85" s="83" t="s">
        <v>17</v>
      </c>
      <c r="U85" s="80"/>
      <c r="V85" s="83" t="s">
        <v>18</v>
      </c>
      <c r="W85" s="83" t="s">
        <v>19</v>
      </c>
      <c r="X85" s="83"/>
      <c r="Y85" s="83" t="s">
        <v>20</v>
      </c>
      <c r="Z85" s="80"/>
      <c r="AA85" s="80"/>
      <c r="AB85" s="80"/>
      <c r="AC85" s="83" t="s">
        <v>8</v>
      </c>
      <c r="AD85" s="83"/>
      <c r="AE85" s="83" t="s">
        <v>21</v>
      </c>
      <c r="AF85" s="103"/>
      <c r="AG85" s="195" t="s">
        <v>21</v>
      </c>
      <c r="AH85" s="103"/>
      <c r="AI85" s="83" t="s">
        <v>22</v>
      </c>
      <c r="AJ85" s="83"/>
      <c r="AK85" s="195" t="s">
        <v>22</v>
      </c>
      <c r="AL85" s="83"/>
      <c r="AM85" s="83" t="s">
        <v>21</v>
      </c>
      <c r="AN85" s="103"/>
      <c r="AO85" s="83" t="s">
        <v>9</v>
      </c>
      <c r="AP85" s="83"/>
      <c r="AQ85" s="195" t="s">
        <v>23</v>
      </c>
    </row>
    <row r="86" spans="1:43" x14ac:dyDescent="0.25">
      <c r="A86" s="102"/>
      <c r="B86" s="102"/>
      <c r="C86" s="102"/>
      <c r="D86" s="102"/>
      <c r="E86" s="102"/>
      <c r="F86" s="102"/>
      <c r="G86" s="102"/>
      <c r="H86" s="102"/>
      <c r="I86" s="80"/>
      <c r="J86" s="102"/>
      <c r="K86" s="80"/>
      <c r="L86" s="102"/>
      <c r="M86" s="80"/>
      <c r="N86" s="102"/>
      <c r="O86" s="102"/>
      <c r="P86" s="102"/>
      <c r="Q86" s="102"/>
      <c r="R86" s="102"/>
      <c r="T86" s="83" t="s">
        <v>24</v>
      </c>
      <c r="U86" s="80"/>
      <c r="V86" s="83" t="s">
        <v>25</v>
      </c>
      <c r="W86" s="83" t="s">
        <v>26</v>
      </c>
      <c r="X86" s="83"/>
      <c r="Y86" s="83" t="s">
        <v>27</v>
      </c>
      <c r="Z86" s="80"/>
      <c r="AA86" s="83" t="s">
        <v>28</v>
      </c>
      <c r="AB86" s="83"/>
      <c r="AC86" s="83" t="s">
        <v>29</v>
      </c>
      <c r="AD86" s="83"/>
      <c r="AE86" s="83" t="s">
        <v>9</v>
      </c>
      <c r="AF86" s="103"/>
      <c r="AG86" s="195" t="s">
        <v>9</v>
      </c>
      <c r="AH86" s="103"/>
      <c r="AI86" s="256" t="s">
        <v>31</v>
      </c>
      <c r="AJ86" s="256"/>
      <c r="AK86" s="257" t="s">
        <v>32</v>
      </c>
      <c r="AL86" s="83"/>
      <c r="AM86" s="83" t="s">
        <v>430</v>
      </c>
      <c r="AN86" s="103"/>
      <c r="AO86" s="256" t="s">
        <v>33</v>
      </c>
      <c r="AP86" s="256"/>
      <c r="AQ86" s="257" t="s">
        <v>34</v>
      </c>
    </row>
    <row r="87" spans="1:43" x14ac:dyDescent="0.25">
      <c r="I87" s="80"/>
      <c r="K87" s="80"/>
      <c r="M87" s="80"/>
      <c r="O87" s="103"/>
      <c r="P87" s="103"/>
      <c r="R87" s="103"/>
      <c r="T87" s="80"/>
      <c r="U87" s="80"/>
      <c r="V87" s="256" t="s">
        <v>35</v>
      </c>
      <c r="W87" s="256" t="s">
        <v>36</v>
      </c>
      <c r="X87" s="256"/>
      <c r="Y87" s="256" t="s">
        <v>37</v>
      </c>
      <c r="Z87" s="258"/>
      <c r="AA87" s="256" t="s">
        <v>38</v>
      </c>
      <c r="AB87" s="256"/>
      <c r="AC87" s="256" t="s">
        <v>44</v>
      </c>
      <c r="AD87" s="256"/>
      <c r="AE87" s="256" t="s">
        <v>45</v>
      </c>
      <c r="AF87" s="313"/>
      <c r="AG87" s="257" t="s">
        <v>46</v>
      </c>
      <c r="AH87" s="313"/>
      <c r="AI87" s="256" t="s">
        <v>47</v>
      </c>
      <c r="AJ87" s="256"/>
      <c r="AK87" s="257" t="s">
        <v>48</v>
      </c>
      <c r="AL87" s="256"/>
      <c r="AM87" s="256" t="s">
        <v>42</v>
      </c>
      <c r="AN87" s="313"/>
      <c r="AO87" s="256" t="s">
        <v>49</v>
      </c>
      <c r="AP87" s="256"/>
      <c r="AQ87" s="257" t="s">
        <v>50</v>
      </c>
    </row>
    <row r="88" spans="1:43" x14ac:dyDescent="0.25">
      <c r="I88" s="80"/>
      <c r="K88" s="80"/>
      <c r="M88" s="80"/>
      <c r="O88" s="103"/>
      <c r="P88" s="103"/>
      <c r="R88" s="103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5"/>
      <c r="AH88" s="254"/>
      <c r="AI88" s="254"/>
      <c r="AJ88" s="254"/>
      <c r="AK88" s="255"/>
      <c r="AL88" s="254"/>
      <c r="AM88" s="254"/>
      <c r="AN88" s="254"/>
      <c r="AO88" s="254"/>
      <c r="AP88" s="254"/>
      <c r="AQ88" s="255"/>
    </row>
    <row r="89" spans="1:43" ht="17.100000000000001" customHeight="1" x14ac:dyDescent="0.25">
      <c r="A89" s="103"/>
      <c r="C89" s="103"/>
      <c r="D89" s="103"/>
      <c r="E89" s="103"/>
      <c r="F89" s="103"/>
      <c r="I89" s="80"/>
      <c r="K89" s="80"/>
      <c r="L89" s="103"/>
      <c r="M89" s="80"/>
      <c r="N89" s="103"/>
      <c r="O89" s="103"/>
      <c r="P89" s="103"/>
      <c r="Q89" s="103"/>
      <c r="R89" s="103"/>
      <c r="T89" s="80"/>
      <c r="U89" s="80"/>
      <c r="V89" s="80"/>
      <c r="W89" s="80"/>
      <c r="X89" s="80"/>
      <c r="Y89" s="80"/>
      <c r="Z89" s="80"/>
      <c r="AA89" s="260" t="s">
        <v>218</v>
      </c>
      <c r="AB89" s="259"/>
      <c r="AC89" s="260" t="s">
        <v>441</v>
      </c>
      <c r="AD89" s="259"/>
      <c r="AE89" s="259" t="s">
        <v>52</v>
      </c>
      <c r="AF89" s="314"/>
      <c r="AG89" s="261" t="s">
        <v>53</v>
      </c>
      <c r="AH89" s="314"/>
      <c r="AI89" s="259" t="s">
        <v>52</v>
      </c>
      <c r="AJ89" s="259"/>
      <c r="AK89" s="261" t="s">
        <v>53</v>
      </c>
      <c r="AL89" s="259"/>
      <c r="AM89" s="259" t="s">
        <v>52</v>
      </c>
      <c r="AN89" s="314"/>
      <c r="AO89" s="259" t="s">
        <v>52</v>
      </c>
      <c r="AP89" s="259"/>
      <c r="AQ89" s="261" t="s">
        <v>53</v>
      </c>
    </row>
    <row r="90" spans="1:43" x14ac:dyDescent="0.25">
      <c r="A90" s="103"/>
      <c r="C90" s="103"/>
      <c r="D90" s="103"/>
      <c r="E90" s="103"/>
      <c r="F90" s="103"/>
      <c r="H90" s="103"/>
      <c r="I90" s="80"/>
      <c r="J90" s="103"/>
      <c r="K90" s="80"/>
      <c r="L90" s="103"/>
      <c r="M90" s="80"/>
      <c r="N90" s="103"/>
      <c r="O90" s="103"/>
      <c r="P90" s="103"/>
      <c r="Q90" s="103"/>
      <c r="R90" s="103"/>
      <c r="T90" s="159">
        <v>1</v>
      </c>
      <c r="U90" s="80"/>
      <c r="V90" s="253" t="s">
        <v>489</v>
      </c>
      <c r="W90" s="253" t="s">
        <v>490</v>
      </c>
      <c r="X90" s="82"/>
      <c r="Y90" s="70"/>
      <c r="Z90" s="70"/>
      <c r="AA90" s="298"/>
      <c r="AB90" s="298"/>
      <c r="AC90" s="299" t="s">
        <v>435</v>
      </c>
      <c r="AD90" s="298"/>
      <c r="AE90" s="298"/>
      <c r="AF90" s="298"/>
      <c r="AG90" s="316"/>
      <c r="AH90" s="298"/>
      <c r="AI90" s="298"/>
      <c r="AJ90" s="298"/>
      <c r="AK90" s="316"/>
      <c r="AL90" s="298"/>
      <c r="AM90" s="298"/>
      <c r="AN90" s="298"/>
      <c r="AO90" s="315"/>
      <c r="AP90" s="315"/>
      <c r="AQ90" s="350"/>
    </row>
    <row r="91" spans="1:43" x14ac:dyDescent="0.25">
      <c r="C91" s="103"/>
      <c r="D91" s="103"/>
      <c r="E91" s="103"/>
      <c r="F91" s="103"/>
      <c r="H91" s="103"/>
      <c r="I91" s="80"/>
      <c r="J91" s="103"/>
      <c r="K91" s="80"/>
      <c r="L91" s="103"/>
      <c r="M91" s="80"/>
      <c r="N91" s="103"/>
      <c r="O91" s="103"/>
      <c r="P91" s="103"/>
      <c r="Q91" s="103"/>
      <c r="R91" s="103"/>
      <c r="T91" s="159">
        <v>2</v>
      </c>
      <c r="U91" s="80"/>
      <c r="V91" s="253" t="s">
        <v>56</v>
      </c>
      <c r="W91" s="80"/>
      <c r="X91" s="80"/>
      <c r="Y91" s="70"/>
      <c r="Z91" s="70"/>
      <c r="AA91" s="70"/>
      <c r="AB91" s="70"/>
      <c r="AC91" s="70"/>
      <c r="AD91" s="70"/>
      <c r="AE91" s="70"/>
      <c r="AF91" s="70"/>
      <c r="AG91" s="164"/>
      <c r="AH91" s="70"/>
      <c r="AI91" s="70"/>
      <c r="AJ91" s="70"/>
      <c r="AK91" s="164"/>
      <c r="AL91" s="70"/>
      <c r="AM91" s="70"/>
      <c r="AN91" s="70"/>
      <c r="AO91" s="85"/>
      <c r="AP91" s="85"/>
      <c r="AQ91" s="351"/>
    </row>
    <row r="92" spans="1:43" x14ac:dyDescent="0.25">
      <c r="H92" s="103"/>
      <c r="I92" s="80"/>
      <c r="J92" s="103"/>
      <c r="K92" s="80"/>
      <c r="L92" s="103"/>
      <c r="M92" s="80"/>
      <c r="N92" s="103"/>
      <c r="O92" s="103"/>
      <c r="P92" s="103"/>
      <c r="Q92" s="103"/>
      <c r="R92" s="103"/>
      <c r="T92" s="159">
        <v>3</v>
      </c>
      <c r="U92" s="80"/>
      <c r="V92" s="253" t="s">
        <v>155</v>
      </c>
      <c r="W92" s="80"/>
      <c r="X92" s="80"/>
      <c r="Y92" s="70"/>
      <c r="Z92" s="70"/>
      <c r="AA92" s="70"/>
      <c r="AB92" s="70"/>
      <c r="AC92" s="70"/>
      <c r="AD92" s="70"/>
      <c r="AE92" s="70"/>
      <c r="AF92" s="70"/>
      <c r="AG92" s="164"/>
      <c r="AH92" s="70"/>
      <c r="AI92" s="70"/>
      <c r="AJ92" s="70"/>
      <c r="AK92" s="164"/>
      <c r="AL92" s="70"/>
      <c r="AM92" s="70"/>
      <c r="AN92" s="70"/>
      <c r="AO92" s="85"/>
      <c r="AP92" s="85"/>
      <c r="AQ92" s="351"/>
    </row>
    <row r="93" spans="1:43" x14ac:dyDescent="0.25">
      <c r="A93" s="202"/>
      <c r="C93" s="154"/>
      <c r="D93" s="154"/>
      <c r="E93" s="154"/>
      <c r="I93" s="80"/>
      <c r="K93" s="80"/>
      <c r="M93" s="80"/>
      <c r="T93" s="159">
        <v>4</v>
      </c>
      <c r="U93" s="80"/>
      <c r="V93" s="82" t="s">
        <v>156</v>
      </c>
      <c r="W93" s="80"/>
      <c r="X93" s="80"/>
      <c r="Y93" s="79">
        <f>F23</f>
        <v>0</v>
      </c>
      <c r="Z93" s="70"/>
      <c r="AA93" s="78"/>
      <c r="AB93" s="78"/>
      <c r="AC93" s="283">
        <f>INPUT!C68</f>
        <v>7.5</v>
      </c>
      <c r="AD93" s="284"/>
      <c r="AE93" s="79">
        <f>ROUND(+Y93*AC93,0)</f>
        <v>0</v>
      </c>
      <c r="AF93" s="70"/>
      <c r="AG93" s="197">
        <f t="shared" ref="AG93:AG94" si="12">ROUND((+AE93/$AE$133)*100,1)</f>
        <v>0</v>
      </c>
      <c r="AH93" s="70"/>
      <c r="AI93" s="79">
        <f>L23-AE93</f>
        <v>0</v>
      </c>
      <c r="AJ93" s="79"/>
      <c r="AK93" s="155">
        <f>IF(AE93=0,0,ROUND((AI93/AE93)*100,1))</f>
        <v>0</v>
      </c>
      <c r="AL93" s="158"/>
      <c r="AM93" s="79"/>
      <c r="AN93" s="70"/>
      <c r="AO93" s="79">
        <f>AE93+AM93</f>
        <v>0</v>
      </c>
      <c r="AP93" s="70"/>
      <c r="AQ93" s="318">
        <v>0</v>
      </c>
    </row>
    <row r="94" spans="1:43" x14ac:dyDescent="0.25">
      <c r="A94" s="202"/>
      <c r="C94" s="154"/>
      <c r="I94" s="80"/>
      <c r="K94" s="80"/>
      <c r="M94" s="80"/>
      <c r="T94" s="159">
        <v>5</v>
      </c>
      <c r="U94" s="80"/>
      <c r="V94" s="82" t="s">
        <v>157</v>
      </c>
      <c r="W94" s="80"/>
      <c r="X94" s="80"/>
      <c r="Y94" s="79">
        <f>F24</f>
        <v>595</v>
      </c>
      <c r="Z94" s="70"/>
      <c r="AA94" s="78"/>
      <c r="AB94" s="78"/>
      <c r="AC94" s="283">
        <f>INPUT!C69</f>
        <v>15</v>
      </c>
      <c r="AD94" s="284"/>
      <c r="AE94" s="79">
        <f>ROUND(+Y94*AC94,0)</f>
        <v>8925</v>
      </c>
      <c r="AF94" s="70"/>
      <c r="AG94" s="197">
        <f t="shared" si="12"/>
        <v>0</v>
      </c>
      <c r="AH94" s="70"/>
      <c r="AI94" s="79">
        <f>L24-AE94</f>
        <v>229075</v>
      </c>
      <c r="AJ94" s="79"/>
      <c r="AK94" s="155">
        <f>IF(AE94=0,0,ROUND((AI94/AE94)*100,1))</f>
        <v>2566.6999999999998</v>
      </c>
      <c r="AL94" s="158"/>
      <c r="AM94" s="79"/>
      <c r="AN94" s="70"/>
      <c r="AO94" s="79">
        <f>AE94+AM94</f>
        <v>8925</v>
      </c>
      <c r="AP94" s="70"/>
      <c r="AQ94" s="155">
        <f>ROUND((+AI94/AO94)*100,1)</f>
        <v>2566.6999999999998</v>
      </c>
    </row>
    <row r="95" spans="1:43" ht="20.100000000000001" customHeight="1" x14ac:dyDescent="0.25">
      <c r="A95" s="202"/>
      <c r="C95" s="154"/>
      <c r="F95" s="252"/>
      <c r="H95" s="252"/>
      <c r="I95" s="80"/>
      <c r="J95" s="252"/>
      <c r="K95" s="80"/>
      <c r="L95" s="300"/>
      <c r="M95" s="80"/>
      <c r="N95" s="300"/>
      <c r="O95" s="200"/>
      <c r="P95" s="210"/>
      <c r="Q95" s="202"/>
      <c r="R95" s="200"/>
      <c r="T95" s="159">
        <v>6</v>
      </c>
      <c r="U95" s="80"/>
      <c r="V95" s="253" t="s">
        <v>158</v>
      </c>
      <c r="W95" s="80"/>
      <c r="X95" s="80"/>
      <c r="Y95" s="169">
        <f>F25</f>
        <v>595</v>
      </c>
      <c r="Z95" s="70"/>
      <c r="AA95" s="79"/>
      <c r="AB95" s="79"/>
      <c r="AC95" s="263"/>
      <c r="AD95" s="263"/>
      <c r="AE95" s="169">
        <f>SUM(AE93:AE94)</f>
        <v>8925</v>
      </c>
      <c r="AF95" s="70"/>
      <c r="AG95" s="170">
        <f>ROUND((+AE95/$AE$133)*100,1)</f>
        <v>0</v>
      </c>
      <c r="AH95" s="70"/>
      <c r="AI95" s="169">
        <f>SUM(AI93:AI94)</f>
        <v>229075</v>
      </c>
      <c r="AJ95" s="163"/>
      <c r="AK95" s="170">
        <f>IF(AE95=0,0,ROUND((AI95/AE95)*100,1))</f>
        <v>2566.6999999999998</v>
      </c>
      <c r="AL95" s="158"/>
      <c r="AM95" s="169"/>
      <c r="AN95" s="70"/>
      <c r="AO95" s="169">
        <f>SUM(AO93:AO94)</f>
        <v>8925</v>
      </c>
      <c r="AP95" s="70"/>
      <c r="AQ95" s="155">
        <f>ROUND((+AI95/AO95)*100,1)</f>
        <v>2566.6999999999998</v>
      </c>
    </row>
    <row r="96" spans="1:43" x14ac:dyDescent="0.25">
      <c r="A96" s="202"/>
      <c r="C96" s="154"/>
      <c r="F96" s="252"/>
      <c r="H96" s="252"/>
      <c r="I96" s="80"/>
      <c r="J96" s="252"/>
      <c r="K96" s="80"/>
      <c r="L96" s="300"/>
      <c r="M96" s="80"/>
      <c r="N96" s="300"/>
      <c r="O96" s="200"/>
      <c r="P96" s="210"/>
      <c r="Q96" s="202"/>
      <c r="R96" s="200"/>
      <c r="T96" s="159"/>
      <c r="U96" s="80"/>
      <c r="V96" s="82"/>
      <c r="W96" s="80"/>
      <c r="X96" s="80"/>
      <c r="Y96" s="163"/>
      <c r="Z96" s="70"/>
      <c r="AA96" s="79"/>
      <c r="AB96" s="79"/>
      <c r="AC96" s="263"/>
      <c r="AD96" s="263"/>
      <c r="AE96" s="163"/>
      <c r="AF96" s="70"/>
      <c r="AG96" s="197"/>
      <c r="AH96" s="70"/>
      <c r="AI96" s="163"/>
      <c r="AJ96" s="163"/>
      <c r="AK96" s="197"/>
      <c r="AL96" s="158"/>
      <c r="AM96" s="163"/>
      <c r="AN96" s="70"/>
      <c r="AO96" s="163"/>
      <c r="AP96" s="70"/>
      <c r="AQ96" s="155"/>
    </row>
    <row r="97" spans="1:43" x14ac:dyDescent="0.25">
      <c r="A97" s="202"/>
      <c r="C97" s="154"/>
      <c r="F97" s="252"/>
      <c r="H97" s="252"/>
      <c r="I97" s="80"/>
      <c r="J97" s="252"/>
      <c r="K97" s="80"/>
      <c r="L97" s="300"/>
      <c r="M97" s="80"/>
      <c r="N97" s="300"/>
      <c r="O97" s="200"/>
      <c r="P97" s="210"/>
      <c r="Q97" s="202"/>
      <c r="R97" s="200"/>
      <c r="T97" s="159">
        <v>7</v>
      </c>
      <c r="U97" s="80"/>
      <c r="V97" s="253" t="s">
        <v>65</v>
      </c>
      <c r="W97" s="80"/>
      <c r="X97" s="80"/>
      <c r="Y97" s="78"/>
      <c r="Z97" s="70"/>
      <c r="AA97" s="78"/>
      <c r="AB97" s="78"/>
      <c r="AC97" s="339"/>
      <c r="AD97" s="339"/>
      <c r="AE97" s="79"/>
      <c r="AF97" s="70"/>
      <c r="AG97" s="155"/>
      <c r="AH97" s="70"/>
      <c r="AI97" s="79"/>
      <c r="AJ97" s="79"/>
      <c r="AK97" s="155"/>
      <c r="AL97" s="156"/>
      <c r="AM97" s="79"/>
      <c r="AN97" s="70"/>
      <c r="AO97" s="79"/>
      <c r="AP97" s="70"/>
      <c r="AQ97" s="155"/>
    </row>
    <row r="98" spans="1:43" x14ac:dyDescent="0.25">
      <c r="F98" s="211"/>
      <c r="H98" s="200"/>
      <c r="I98" s="80"/>
      <c r="J98" s="200"/>
      <c r="K98" s="80"/>
      <c r="L98" s="305"/>
      <c r="M98" s="80"/>
      <c r="N98" s="305"/>
      <c r="O98" s="211"/>
      <c r="P98" s="211"/>
      <c r="Q98" s="211"/>
      <c r="R98" s="211"/>
      <c r="T98" s="159">
        <v>8</v>
      </c>
      <c r="U98" s="80"/>
      <c r="V98" s="82" t="s">
        <v>66</v>
      </c>
      <c r="W98" s="80"/>
      <c r="X98" s="80"/>
      <c r="Y98" s="78"/>
      <c r="Z98" s="70"/>
      <c r="AA98" s="79">
        <f>H28</f>
        <v>522436</v>
      </c>
      <c r="AB98" s="79"/>
      <c r="AC98" s="284">
        <f>CUR_DT_SUM_PEAK_ON</f>
        <v>12.75</v>
      </c>
      <c r="AD98" s="284"/>
      <c r="AE98" s="79">
        <f>ROUND(+AA98*AC98,0)</f>
        <v>6661059</v>
      </c>
      <c r="AF98" s="70"/>
      <c r="AG98" s="197">
        <f>ROUND((+AE98/$AE$133)*100,1)+0.1</f>
        <v>14.6</v>
      </c>
      <c r="AH98" s="70"/>
      <c r="AI98" s="79">
        <f>L28-AE98</f>
        <v>856795</v>
      </c>
      <c r="AJ98" s="79"/>
      <c r="AK98" s="155">
        <f>IF(AE98=0,0,ROUND((AI98/AE98)*100,1))</f>
        <v>12.9</v>
      </c>
      <c r="AL98" s="158"/>
      <c r="AM98" s="79"/>
      <c r="AN98" s="70"/>
      <c r="AO98" s="79">
        <f>AE98+AM98</f>
        <v>6661059</v>
      </c>
      <c r="AP98" s="70"/>
      <c r="AQ98" s="155">
        <v>0</v>
      </c>
    </row>
    <row r="99" spans="1:43" x14ac:dyDescent="0.25">
      <c r="A99" s="202"/>
      <c r="C99" s="154"/>
      <c r="F99" s="200"/>
      <c r="H99" s="200"/>
      <c r="I99" s="80"/>
      <c r="J99" s="200"/>
      <c r="K99" s="80"/>
      <c r="L99" s="305"/>
      <c r="M99" s="80"/>
      <c r="N99" s="305"/>
      <c r="O99" s="200"/>
      <c r="P99" s="210"/>
      <c r="Q99" s="200"/>
      <c r="R99" s="200"/>
      <c r="T99" s="159">
        <v>9</v>
      </c>
      <c r="U99" s="80"/>
      <c r="V99" s="82" t="s">
        <v>67</v>
      </c>
      <c r="W99" s="80"/>
      <c r="X99" s="80"/>
      <c r="Y99" s="78"/>
      <c r="Z99" s="70"/>
      <c r="AA99" s="167">
        <f>H29</f>
        <v>12081</v>
      </c>
      <c r="AB99" s="79"/>
      <c r="AC99" s="284">
        <f>CUR_DT_SUM_PK_OFF</f>
        <v>1.1499999999999999</v>
      </c>
      <c r="AD99" s="284"/>
      <c r="AE99" s="79">
        <f>ROUND(+AA99*AC99,0)</f>
        <v>13893</v>
      </c>
      <c r="AF99" s="70"/>
      <c r="AG99" s="197">
        <f t="shared" ref="AG99" si="13">ROUND((+AE99/$AE$133)*100,1)</f>
        <v>0</v>
      </c>
      <c r="AH99" s="70"/>
      <c r="AI99" s="79">
        <f>L29-AE99</f>
        <v>1812</v>
      </c>
      <c r="AJ99" s="79"/>
      <c r="AK99" s="166">
        <f>IF(AE99=0,0,ROUND((AI99/AE99)*100,1))</f>
        <v>13</v>
      </c>
      <c r="AL99" s="158"/>
      <c r="AM99" s="79"/>
      <c r="AN99" s="70"/>
      <c r="AO99" s="79">
        <f>AE99+AM99</f>
        <v>13893</v>
      </c>
      <c r="AP99" s="70"/>
      <c r="AQ99" s="155">
        <f>ROUND((+AI99/AO99)*100,1)</f>
        <v>13</v>
      </c>
    </row>
    <row r="100" spans="1:43" ht="20.100000000000001" customHeight="1" x14ac:dyDescent="0.25">
      <c r="A100" s="202"/>
      <c r="C100" s="154"/>
      <c r="F100" s="252"/>
      <c r="H100" s="252"/>
      <c r="I100" s="80"/>
      <c r="J100" s="252"/>
      <c r="K100" s="80"/>
      <c r="L100" s="328"/>
      <c r="M100" s="80"/>
      <c r="N100" s="328"/>
      <c r="O100" s="200"/>
      <c r="P100" s="210"/>
      <c r="Q100" s="200"/>
      <c r="R100" s="200"/>
      <c r="S100" s="200"/>
      <c r="T100" s="159">
        <v>10</v>
      </c>
      <c r="U100" s="80"/>
      <c r="V100" s="253" t="s">
        <v>68</v>
      </c>
      <c r="W100" s="80"/>
      <c r="X100" s="80"/>
      <c r="Y100" s="79"/>
      <c r="Z100" s="70"/>
      <c r="AA100" s="169">
        <f>H30</f>
        <v>534517</v>
      </c>
      <c r="AB100" s="79"/>
      <c r="AC100" s="268"/>
      <c r="AD100" s="268"/>
      <c r="AE100" s="169">
        <f>SUM(AE98:AE99)</f>
        <v>6674952</v>
      </c>
      <c r="AF100" s="70"/>
      <c r="AG100" s="170">
        <f>ROUND((+AE100/$AE$133)*100,1)</f>
        <v>14.6</v>
      </c>
      <c r="AH100" s="70"/>
      <c r="AI100" s="169">
        <f>SUM(AI98:AI99)</f>
        <v>858607</v>
      </c>
      <c r="AJ100" s="163"/>
      <c r="AK100" s="170">
        <f>IF(AE100=0,0,ROUND((AI100/AE100)*100,1))</f>
        <v>12.9</v>
      </c>
      <c r="AL100" s="158"/>
      <c r="AM100" s="169"/>
      <c r="AN100" s="70"/>
      <c r="AO100" s="169">
        <f>SUM(AO98:AO99)</f>
        <v>6674952</v>
      </c>
      <c r="AP100" s="70"/>
      <c r="AQ100" s="155">
        <f>ROUND((+AI100/AO100)*100,1)</f>
        <v>12.9</v>
      </c>
    </row>
    <row r="101" spans="1:43" x14ac:dyDescent="0.25">
      <c r="A101" s="202"/>
      <c r="C101" s="154"/>
      <c r="F101" s="252"/>
      <c r="H101" s="252"/>
      <c r="I101" s="80"/>
      <c r="J101" s="252"/>
      <c r="K101" s="80"/>
      <c r="L101" s="328"/>
      <c r="M101" s="80"/>
      <c r="N101" s="328"/>
      <c r="O101" s="200"/>
      <c r="P101" s="210"/>
      <c r="Q101" s="200"/>
      <c r="R101" s="200"/>
      <c r="S101" s="200"/>
      <c r="T101" s="159"/>
      <c r="U101" s="80"/>
      <c r="V101" s="82"/>
      <c r="W101" s="80"/>
      <c r="X101" s="80"/>
      <c r="Y101" s="79"/>
      <c r="Z101" s="70"/>
      <c r="AA101" s="163"/>
      <c r="AB101" s="79"/>
      <c r="AC101" s="268"/>
      <c r="AD101" s="268"/>
      <c r="AE101" s="163"/>
      <c r="AF101" s="70"/>
      <c r="AG101" s="197"/>
      <c r="AH101" s="70"/>
      <c r="AI101" s="163"/>
      <c r="AJ101" s="163"/>
      <c r="AK101" s="197"/>
      <c r="AL101" s="158"/>
      <c r="AM101" s="163"/>
      <c r="AN101" s="70"/>
      <c r="AO101" s="163"/>
      <c r="AP101" s="70"/>
      <c r="AQ101" s="155"/>
    </row>
    <row r="102" spans="1:43" x14ac:dyDescent="0.25">
      <c r="A102" s="202"/>
      <c r="C102" s="154"/>
      <c r="H102" s="252"/>
      <c r="I102" s="80"/>
      <c r="J102" s="252"/>
      <c r="K102" s="80"/>
      <c r="L102" s="329"/>
      <c r="M102" s="80"/>
      <c r="N102" s="329"/>
      <c r="O102" s="200"/>
      <c r="P102" s="210"/>
      <c r="Q102" s="200"/>
      <c r="R102" s="200"/>
      <c r="T102" s="159">
        <v>11</v>
      </c>
      <c r="U102" s="80"/>
      <c r="V102" s="253" t="s">
        <v>481</v>
      </c>
      <c r="W102" s="80"/>
      <c r="X102" s="80"/>
      <c r="Y102" s="79"/>
      <c r="Z102" s="70"/>
      <c r="AA102" s="79"/>
      <c r="AB102" s="79"/>
      <c r="AC102" s="263"/>
      <c r="AD102" s="263"/>
      <c r="AE102" s="79"/>
      <c r="AF102" s="70"/>
      <c r="AG102" s="155"/>
      <c r="AH102" s="70"/>
      <c r="AI102" s="79"/>
      <c r="AJ102" s="79"/>
      <c r="AK102" s="155"/>
      <c r="AL102" s="158"/>
      <c r="AM102" s="79"/>
      <c r="AN102" s="70"/>
      <c r="AO102" s="79"/>
      <c r="AP102" s="70"/>
      <c r="AQ102" s="155"/>
    </row>
    <row r="103" spans="1:43" x14ac:dyDescent="0.25">
      <c r="A103" s="202"/>
      <c r="C103" s="154"/>
      <c r="H103" s="252"/>
      <c r="I103" s="80"/>
      <c r="J103" s="252"/>
      <c r="K103" s="80"/>
      <c r="L103" s="329"/>
      <c r="M103" s="80"/>
      <c r="N103" s="329"/>
      <c r="O103" s="200"/>
      <c r="P103" s="210"/>
      <c r="Q103" s="200"/>
      <c r="R103" s="200"/>
      <c r="T103" s="159">
        <v>12</v>
      </c>
      <c r="U103" s="80"/>
      <c r="V103" s="82" t="s">
        <v>496</v>
      </c>
      <c r="W103" s="80"/>
      <c r="X103" s="80"/>
      <c r="Y103" s="79"/>
      <c r="Z103" s="70"/>
      <c r="AA103" s="163">
        <f>H33</f>
        <v>76814079</v>
      </c>
      <c r="AB103" s="163"/>
      <c r="AC103" s="356">
        <f>CUR_DT_SUM_E_ON</f>
        <v>4.4194999999999998E-2</v>
      </c>
      <c r="AD103" s="357"/>
      <c r="AE103" s="163">
        <f>ROUND((+AA103*AC103),0)</f>
        <v>3394798</v>
      </c>
      <c r="AF103" s="85"/>
      <c r="AG103" s="197">
        <f>ROUND((+AE103/$AE$133)*100,1)</f>
        <v>7.4</v>
      </c>
      <c r="AH103" s="85"/>
      <c r="AI103" s="163">
        <f>L33-AE103</f>
        <v>436304</v>
      </c>
      <c r="AJ103" s="163"/>
      <c r="AK103" s="197">
        <f>IF(AE103=0,0,ROUND((AI103/AE103)*100,1))</f>
        <v>12.9</v>
      </c>
      <c r="AL103" s="199"/>
      <c r="AM103" s="163"/>
      <c r="AN103" s="85"/>
      <c r="AO103" s="163">
        <f>AE103+AM103</f>
        <v>3394798</v>
      </c>
      <c r="AP103" s="70"/>
      <c r="AQ103" s="155">
        <f>ROUND((+AI103/AO103)*100,1)</f>
        <v>12.9</v>
      </c>
    </row>
    <row r="104" spans="1:43" x14ac:dyDescent="0.25">
      <c r="F104" s="200"/>
      <c r="H104" s="200"/>
      <c r="I104" s="80"/>
      <c r="J104" s="200"/>
      <c r="K104" s="80"/>
      <c r="L104" s="305"/>
      <c r="M104" s="80"/>
      <c r="N104" s="305"/>
      <c r="O104" s="211"/>
      <c r="P104" s="211"/>
      <c r="Q104" s="211"/>
      <c r="R104" s="211"/>
      <c r="T104" s="159">
        <v>13</v>
      </c>
      <c r="U104" s="80"/>
      <c r="V104" s="82" t="s">
        <v>497</v>
      </c>
      <c r="W104" s="80"/>
      <c r="X104" s="80"/>
      <c r="Y104" s="286"/>
      <c r="Z104" s="70"/>
      <c r="AA104" s="167">
        <f>H34</f>
        <v>168266676</v>
      </c>
      <c r="AB104" s="79"/>
      <c r="AC104" s="355">
        <f>CUR_DT_SUM_E_OFF</f>
        <v>3.6194999999999998E-2</v>
      </c>
      <c r="AD104" s="289"/>
      <c r="AE104" s="167">
        <f>ROUND((+AA104*AC104),0)</f>
        <v>6090412</v>
      </c>
      <c r="AF104" s="70"/>
      <c r="AG104" s="197">
        <f t="shared" ref="AG104" si="14">ROUND((+AE104/$AE$133)*100,1)</f>
        <v>13.3</v>
      </c>
      <c r="AH104" s="70"/>
      <c r="AI104" s="167">
        <f>L34-AE104</f>
        <v>782272</v>
      </c>
      <c r="AJ104" s="79"/>
      <c r="AK104" s="166">
        <f>IF(AE104=0,0,ROUND((AI104/AE104)*100,1))</f>
        <v>12.8</v>
      </c>
      <c r="AL104" s="158"/>
      <c r="AM104" s="167"/>
      <c r="AN104" s="70"/>
      <c r="AO104" s="167">
        <f>AE104+AM104</f>
        <v>6090412</v>
      </c>
      <c r="AP104" s="70"/>
      <c r="AQ104" s="155">
        <f>ROUND((+AI104/AO104)*100,1)</f>
        <v>12.8</v>
      </c>
    </row>
    <row r="105" spans="1:43" ht="22.5" customHeight="1" x14ac:dyDescent="0.25">
      <c r="F105" s="200"/>
      <c r="H105" s="200"/>
      <c r="I105" s="80"/>
      <c r="J105" s="200"/>
      <c r="K105" s="80"/>
      <c r="L105" s="305"/>
      <c r="M105" s="80"/>
      <c r="N105" s="305"/>
      <c r="O105" s="211"/>
      <c r="P105" s="211"/>
      <c r="Q105" s="211"/>
      <c r="R105" s="211"/>
      <c r="T105" s="159">
        <v>14</v>
      </c>
      <c r="U105" s="80"/>
      <c r="V105" s="253" t="s">
        <v>58</v>
      </c>
      <c r="W105" s="80"/>
      <c r="X105" s="80"/>
      <c r="Y105" s="169">
        <f>F35</f>
        <v>595</v>
      </c>
      <c r="Z105" s="70"/>
      <c r="AA105" s="169">
        <f>H35</f>
        <v>245080755</v>
      </c>
      <c r="AB105" s="163"/>
      <c r="AC105" s="268"/>
      <c r="AD105" s="268"/>
      <c r="AE105" s="169">
        <f>AE95+AE100+AE103+AE104</f>
        <v>16169087</v>
      </c>
      <c r="AF105" s="70"/>
      <c r="AG105" s="170">
        <f>ROUND((+AE105/$AE$133)*100,1)</f>
        <v>35.299999999999997</v>
      </c>
      <c r="AH105" s="70"/>
      <c r="AI105" s="169">
        <f>AI95+AI100+AI103+AI104</f>
        <v>2306258</v>
      </c>
      <c r="AJ105" s="163"/>
      <c r="AK105" s="170">
        <f>IF(AE105=0,0,ROUND((AI105/AE105)*100,1))</f>
        <v>14.3</v>
      </c>
      <c r="AL105" s="158"/>
      <c r="AM105" s="342"/>
      <c r="AN105" s="70"/>
      <c r="AO105" s="169">
        <f>AO95+AO100+AO103+AO104</f>
        <v>16169087</v>
      </c>
      <c r="AP105" s="70"/>
      <c r="AQ105" s="155">
        <f>ROUND((+AI105/AO105)*100,1)</f>
        <v>14.3</v>
      </c>
    </row>
    <row r="106" spans="1:43" x14ac:dyDescent="0.25">
      <c r="F106" s="200"/>
      <c r="H106" s="200"/>
      <c r="I106" s="80"/>
      <c r="J106" s="200"/>
      <c r="K106" s="80"/>
      <c r="L106" s="305"/>
      <c r="M106" s="80"/>
      <c r="N106" s="305"/>
      <c r="O106" s="211"/>
      <c r="P106" s="211"/>
      <c r="Q106" s="211"/>
      <c r="R106" s="211"/>
      <c r="T106" s="159"/>
      <c r="U106" s="80"/>
      <c r="V106" s="82"/>
      <c r="W106" s="80"/>
      <c r="X106" s="80"/>
      <c r="Y106" s="163"/>
      <c r="Z106" s="70"/>
      <c r="AA106" s="163"/>
      <c r="AB106" s="163"/>
      <c r="AC106" s="268"/>
      <c r="AD106" s="268"/>
      <c r="AE106" s="163"/>
      <c r="AF106" s="70"/>
      <c r="AG106" s="197"/>
      <c r="AH106" s="70"/>
      <c r="AI106" s="163"/>
      <c r="AJ106" s="163"/>
      <c r="AK106" s="197"/>
      <c r="AL106" s="158"/>
      <c r="AM106" s="163"/>
      <c r="AN106" s="70"/>
      <c r="AO106" s="163"/>
      <c r="AP106" s="70"/>
      <c r="AQ106" s="155"/>
    </row>
    <row r="107" spans="1:43" x14ac:dyDescent="0.25">
      <c r="A107" s="202"/>
      <c r="C107" s="154"/>
      <c r="F107" s="200"/>
      <c r="H107" s="252"/>
      <c r="I107" s="80"/>
      <c r="J107" s="252"/>
      <c r="K107" s="80"/>
      <c r="L107" s="320"/>
      <c r="M107" s="80"/>
      <c r="N107" s="320"/>
      <c r="O107" s="200"/>
      <c r="P107" s="210"/>
      <c r="Q107" s="200"/>
      <c r="R107" s="200"/>
      <c r="T107" s="159">
        <v>15</v>
      </c>
      <c r="U107" s="80"/>
      <c r="V107" s="253" t="s">
        <v>59</v>
      </c>
      <c r="W107" s="80"/>
      <c r="X107" s="80"/>
      <c r="Y107" s="78"/>
      <c r="Z107" s="70"/>
      <c r="AA107" s="78"/>
      <c r="AB107" s="78"/>
      <c r="AC107" s="268"/>
      <c r="AD107" s="268"/>
      <c r="AE107" s="79"/>
      <c r="AF107" s="70"/>
      <c r="AG107" s="155"/>
      <c r="AH107" s="70"/>
      <c r="AI107" s="79"/>
      <c r="AJ107" s="79"/>
      <c r="AK107" s="164"/>
      <c r="AL107" s="70"/>
      <c r="AM107" s="79"/>
      <c r="AN107" s="70"/>
      <c r="AO107" s="79"/>
      <c r="AP107" s="70"/>
      <c r="AQ107" s="155"/>
    </row>
    <row r="108" spans="1:43" x14ac:dyDescent="0.25">
      <c r="A108" s="202"/>
      <c r="C108" s="154"/>
      <c r="F108" s="200"/>
      <c r="H108" s="200"/>
      <c r="I108" s="80"/>
      <c r="J108" s="200"/>
      <c r="K108" s="80"/>
      <c r="L108" s="305"/>
      <c r="M108" s="80"/>
      <c r="N108" s="305"/>
      <c r="O108" s="200"/>
      <c r="P108" s="210"/>
      <c r="Q108" s="200"/>
      <c r="R108" s="200"/>
      <c r="S108" s="200"/>
      <c r="T108" s="159">
        <v>16</v>
      </c>
      <c r="U108" s="80"/>
      <c r="V108" s="253" t="s">
        <v>155</v>
      </c>
      <c r="W108" s="80"/>
      <c r="X108" s="80"/>
      <c r="Y108" s="70"/>
      <c r="Z108" s="70"/>
      <c r="AA108" s="70"/>
      <c r="AB108" s="70"/>
      <c r="AC108" s="70"/>
      <c r="AD108" s="70"/>
      <c r="AE108" s="70"/>
      <c r="AF108" s="70"/>
      <c r="AG108" s="164"/>
      <c r="AH108" s="70"/>
      <c r="AI108" s="70"/>
      <c r="AJ108" s="70"/>
      <c r="AK108" s="164"/>
      <c r="AL108" s="70"/>
      <c r="AM108" s="70"/>
      <c r="AN108" s="70"/>
      <c r="AO108" s="70"/>
      <c r="AP108" s="70"/>
      <c r="AQ108" s="164"/>
    </row>
    <row r="109" spans="1:43" x14ac:dyDescent="0.25">
      <c r="F109" s="211"/>
      <c r="H109" s="211"/>
      <c r="I109" s="80"/>
      <c r="J109" s="211"/>
      <c r="K109" s="80"/>
      <c r="L109" s="305"/>
      <c r="M109" s="80"/>
      <c r="N109" s="305"/>
      <c r="O109" s="211"/>
      <c r="P109" s="211"/>
      <c r="Q109" s="211"/>
      <c r="R109" s="211"/>
      <c r="S109" s="200"/>
      <c r="T109" s="159">
        <v>17</v>
      </c>
      <c r="U109" s="80"/>
      <c r="V109" s="82" t="s">
        <v>156</v>
      </c>
      <c r="W109" s="80"/>
      <c r="X109" s="80"/>
      <c r="Y109" s="79">
        <f>F39</f>
        <v>0</v>
      </c>
      <c r="Z109" s="70"/>
      <c r="AA109" s="78"/>
      <c r="AB109" s="78"/>
      <c r="AC109" s="284">
        <f>AC93</f>
        <v>7.5</v>
      </c>
      <c r="AD109" s="284"/>
      <c r="AE109" s="79">
        <f>ROUND(+Y109*AC109,0)</f>
        <v>0</v>
      </c>
      <c r="AF109" s="70"/>
      <c r="AG109" s="197">
        <f t="shared" ref="AG109:AG110" si="15">ROUND((+AE109/$AE$133)*100,1)</f>
        <v>0</v>
      </c>
      <c r="AH109" s="70"/>
      <c r="AI109" s="79">
        <f>L39-AE109</f>
        <v>0</v>
      </c>
      <c r="AJ109" s="79"/>
      <c r="AK109" s="155">
        <f>IF(AE109=0,0,ROUND((AI109/AE109)*100,1))</f>
        <v>0</v>
      </c>
      <c r="AL109" s="158"/>
      <c r="AM109" s="79"/>
      <c r="AN109" s="70"/>
      <c r="AO109" s="79">
        <f>AE109+AM109</f>
        <v>0</v>
      </c>
      <c r="AP109" s="70"/>
      <c r="AQ109" s="318">
        <v>0</v>
      </c>
    </row>
    <row r="110" spans="1:43" x14ac:dyDescent="0.25">
      <c r="A110" s="202"/>
      <c r="C110" s="154"/>
      <c r="F110" s="252"/>
      <c r="H110" s="330"/>
      <c r="I110" s="80"/>
      <c r="J110" s="330"/>
      <c r="K110" s="80"/>
      <c r="L110" s="305"/>
      <c r="M110" s="80"/>
      <c r="N110" s="305"/>
      <c r="O110" s="200"/>
      <c r="P110" s="210"/>
      <c r="Q110" s="200"/>
      <c r="R110" s="200"/>
      <c r="S110" s="200"/>
      <c r="T110" s="159">
        <v>18</v>
      </c>
      <c r="U110" s="80"/>
      <c r="V110" s="82" t="s">
        <v>157</v>
      </c>
      <c r="W110" s="80"/>
      <c r="X110" s="80"/>
      <c r="Y110" s="79">
        <f>F40</f>
        <v>1191</v>
      </c>
      <c r="Z110" s="70"/>
      <c r="AA110" s="78"/>
      <c r="AB110" s="78"/>
      <c r="AC110" s="284">
        <f>AC94</f>
        <v>15</v>
      </c>
      <c r="AD110" s="284"/>
      <c r="AE110" s="79">
        <f>ROUND(+Y110*AC110,0)</f>
        <v>17865</v>
      </c>
      <c r="AF110" s="70"/>
      <c r="AG110" s="197">
        <f t="shared" si="15"/>
        <v>0</v>
      </c>
      <c r="AH110" s="70"/>
      <c r="AI110" s="79">
        <f>L40-AE110</f>
        <v>458535</v>
      </c>
      <c r="AJ110" s="79"/>
      <c r="AK110" s="155">
        <f>IF(AE110=0,0,ROUND((AI110/AE110)*100,1))</f>
        <v>2566.6999999999998</v>
      </c>
      <c r="AL110" s="158"/>
      <c r="AM110" s="79"/>
      <c r="AN110" s="70"/>
      <c r="AO110" s="79">
        <f>AE110+AM110</f>
        <v>17865</v>
      </c>
      <c r="AP110" s="70"/>
      <c r="AQ110" s="155">
        <f>ROUND((+AI110/AO110)*100,1)</f>
        <v>2566.6999999999998</v>
      </c>
    </row>
    <row r="111" spans="1:43" ht="20.100000000000001" customHeight="1" x14ac:dyDescent="0.25">
      <c r="A111" s="202"/>
      <c r="C111" s="154"/>
      <c r="F111" s="252"/>
      <c r="H111" s="252"/>
      <c r="I111" s="80"/>
      <c r="J111" s="252"/>
      <c r="K111" s="80"/>
      <c r="L111" s="300"/>
      <c r="M111" s="80"/>
      <c r="N111" s="300"/>
      <c r="O111" s="200"/>
      <c r="P111" s="210"/>
      <c r="Q111" s="202"/>
      <c r="R111" s="200"/>
      <c r="T111" s="159">
        <v>19</v>
      </c>
      <c r="U111" s="80"/>
      <c r="V111" s="253" t="s">
        <v>158</v>
      </c>
      <c r="W111" s="80"/>
      <c r="X111" s="80"/>
      <c r="Y111" s="169">
        <f>F41</f>
        <v>1191</v>
      </c>
      <c r="Z111" s="70"/>
      <c r="AA111" s="79"/>
      <c r="AB111" s="79"/>
      <c r="AC111" s="268"/>
      <c r="AD111" s="268"/>
      <c r="AE111" s="169">
        <f>SUM(AE109:AE110)</f>
        <v>17865</v>
      </c>
      <c r="AF111" s="70"/>
      <c r="AG111" s="170">
        <f>ROUND((+AE111/$AE$133)*100,1)</f>
        <v>0</v>
      </c>
      <c r="AH111" s="70"/>
      <c r="AI111" s="169">
        <f>SUM(AI109:AI110)</f>
        <v>458535</v>
      </c>
      <c r="AJ111" s="163"/>
      <c r="AK111" s="170">
        <f>IF(AE111=0,0,ROUND((AI111/AE111)*100,1))</f>
        <v>2566.6999999999998</v>
      </c>
      <c r="AL111" s="158"/>
      <c r="AM111" s="169"/>
      <c r="AN111" s="70"/>
      <c r="AO111" s="169">
        <f>SUM(AO109:AO110)</f>
        <v>17865</v>
      </c>
      <c r="AP111" s="70"/>
      <c r="AQ111" s="155">
        <f>ROUND((+AI111/AO111)*100,1)</f>
        <v>2566.6999999999998</v>
      </c>
    </row>
    <row r="112" spans="1:43" x14ac:dyDescent="0.25">
      <c r="A112" s="202"/>
      <c r="C112" s="154"/>
      <c r="F112" s="252"/>
      <c r="H112" s="252"/>
      <c r="I112" s="80"/>
      <c r="J112" s="252"/>
      <c r="K112" s="80"/>
      <c r="L112" s="300"/>
      <c r="M112" s="80"/>
      <c r="N112" s="300"/>
      <c r="O112" s="200"/>
      <c r="P112" s="210"/>
      <c r="Q112" s="202"/>
      <c r="R112" s="200"/>
      <c r="T112" s="159"/>
      <c r="U112" s="80"/>
      <c r="V112" s="82"/>
      <c r="W112" s="80"/>
      <c r="X112" s="80"/>
      <c r="Y112" s="163"/>
      <c r="Z112" s="70"/>
      <c r="AA112" s="79"/>
      <c r="AB112" s="79"/>
      <c r="AC112" s="268"/>
      <c r="AD112" s="268"/>
      <c r="AE112" s="163"/>
      <c r="AF112" s="70"/>
      <c r="AG112" s="197"/>
      <c r="AH112" s="70"/>
      <c r="AI112" s="163"/>
      <c r="AJ112" s="163"/>
      <c r="AK112" s="197"/>
      <c r="AL112" s="158"/>
      <c r="AM112" s="163"/>
      <c r="AN112" s="70"/>
      <c r="AO112" s="163"/>
      <c r="AP112" s="70"/>
      <c r="AQ112" s="155"/>
    </row>
    <row r="113" spans="1:43" x14ac:dyDescent="0.25">
      <c r="A113" s="202"/>
      <c r="C113" s="154"/>
      <c r="F113" s="252"/>
      <c r="H113" s="252"/>
      <c r="I113" s="80"/>
      <c r="J113" s="252"/>
      <c r="K113" s="80"/>
      <c r="L113" s="300"/>
      <c r="M113" s="80"/>
      <c r="N113" s="300"/>
      <c r="O113" s="200"/>
      <c r="P113" s="210"/>
      <c r="Q113" s="202"/>
      <c r="R113" s="200"/>
      <c r="T113" s="159">
        <v>20</v>
      </c>
      <c r="U113" s="80"/>
      <c r="V113" s="253" t="s">
        <v>65</v>
      </c>
      <c r="W113" s="80"/>
      <c r="X113" s="80"/>
      <c r="Y113" s="78"/>
      <c r="Z113" s="70"/>
      <c r="AA113" s="78"/>
      <c r="AB113" s="78"/>
      <c r="AC113" s="339"/>
      <c r="AD113" s="339"/>
      <c r="AE113" s="79"/>
      <c r="AF113" s="70"/>
      <c r="AG113" s="155"/>
      <c r="AH113" s="70"/>
      <c r="AI113" s="79"/>
      <c r="AJ113" s="79"/>
      <c r="AK113" s="155"/>
      <c r="AL113" s="156"/>
      <c r="AM113" s="79"/>
      <c r="AN113" s="70"/>
      <c r="AO113" s="79"/>
      <c r="AP113" s="70"/>
      <c r="AQ113" s="155"/>
    </row>
    <row r="114" spans="1:43" x14ac:dyDescent="0.25">
      <c r="F114" s="211"/>
      <c r="H114" s="200"/>
      <c r="I114" s="80"/>
      <c r="J114" s="200"/>
      <c r="K114" s="80"/>
      <c r="L114" s="305"/>
      <c r="M114" s="80"/>
      <c r="N114" s="305"/>
      <c r="O114" s="211"/>
      <c r="P114" s="211"/>
      <c r="Q114" s="211"/>
      <c r="R114" s="211"/>
      <c r="T114" s="159">
        <v>21</v>
      </c>
      <c r="U114" s="80"/>
      <c r="V114" s="82" t="s">
        <v>66</v>
      </c>
      <c r="W114" s="80"/>
      <c r="X114" s="80"/>
      <c r="Y114" s="78"/>
      <c r="Z114" s="70"/>
      <c r="AA114" s="79">
        <f>H44</f>
        <v>956045.51</v>
      </c>
      <c r="AB114" s="79"/>
      <c r="AC114" s="284">
        <f>CUR_DT_WIN_PEAK_ON</f>
        <v>12.07</v>
      </c>
      <c r="AD114" s="284"/>
      <c r="AE114" s="79">
        <f>ROUND(+AA114*AC114,0)</f>
        <v>11539469</v>
      </c>
      <c r="AF114" s="70"/>
      <c r="AG114" s="197">
        <f>ROUND((+AE114/$AE$133)*100,1)</f>
        <v>25.2</v>
      </c>
      <c r="AH114" s="70"/>
      <c r="AI114" s="79">
        <f>L44-AE114</f>
        <v>1481871</v>
      </c>
      <c r="AJ114" s="79"/>
      <c r="AK114" s="155">
        <f>IF(AE114=0,0,ROUND((AI114/AE114)*100,1))</f>
        <v>12.8</v>
      </c>
      <c r="AL114" s="158"/>
      <c r="AM114" s="79"/>
      <c r="AN114" s="70"/>
      <c r="AO114" s="79">
        <f>AE114+AM114</f>
        <v>11539469</v>
      </c>
      <c r="AP114" s="70"/>
      <c r="AQ114" s="155">
        <v>0</v>
      </c>
    </row>
    <row r="115" spans="1:43" x14ac:dyDescent="0.25">
      <c r="A115" s="202"/>
      <c r="C115" s="154"/>
      <c r="F115" s="200"/>
      <c r="H115" s="200"/>
      <c r="I115" s="80"/>
      <c r="J115" s="200"/>
      <c r="K115" s="80"/>
      <c r="L115" s="305"/>
      <c r="M115" s="80"/>
      <c r="N115" s="305"/>
      <c r="O115" s="200"/>
      <c r="P115" s="210"/>
      <c r="Q115" s="200"/>
      <c r="R115" s="200"/>
      <c r="T115" s="159">
        <v>22</v>
      </c>
      <c r="U115" s="80"/>
      <c r="V115" s="82" t="s">
        <v>67</v>
      </c>
      <c r="W115" s="80"/>
      <c r="X115" s="80"/>
      <c r="Y115" s="78"/>
      <c r="Z115" s="70"/>
      <c r="AA115" s="79">
        <f>H45</f>
        <v>22660.269999999997</v>
      </c>
      <c r="AB115" s="79"/>
      <c r="AC115" s="284">
        <f>CUR_DT_WIN_PK_OFF</f>
        <v>1.1499999999999999</v>
      </c>
      <c r="AD115" s="284"/>
      <c r="AE115" s="79">
        <f>ROUND(+AA115*AC115,0)</f>
        <v>26059</v>
      </c>
      <c r="AF115" s="70"/>
      <c r="AG115" s="197">
        <f t="shared" ref="AG115" si="16">ROUND((+AE115/$AE$133)*100,1)</f>
        <v>0.1</v>
      </c>
      <c r="AH115" s="70"/>
      <c r="AI115" s="79">
        <f>L45-AE115</f>
        <v>3399</v>
      </c>
      <c r="AJ115" s="79"/>
      <c r="AK115" s="166">
        <f>IF(AE115=0,0,ROUND((AI115/AE115)*100,1))</f>
        <v>13</v>
      </c>
      <c r="AL115" s="158"/>
      <c r="AM115" s="79"/>
      <c r="AN115" s="70"/>
      <c r="AO115" s="79">
        <f>AE115+AM115</f>
        <v>26059</v>
      </c>
      <c r="AP115" s="70"/>
      <c r="AQ115" s="155">
        <f>ROUND((+AI115/AO115)*100,1)</f>
        <v>13</v>
      </c>
    </row>
    <row r="116" spans="1:43" ht="20.100000000000001" customHeight="1" x14ac:dyDescent="0.25">
      <c r="A116" s="202"/>
      <c r="C116" s="154"/>
      <c r="F116" s="252"/>
      <c r="H116" s="252"/>
      <c r="I116" s="80"/>
      <c r="J116" s="252"/>
      <c r="K116" s="80"/>
      <c r="L116" s="328"/>
      <c r="M116" s="80"/>
      <c r="N116" s="328"/>
      <c r="O116" s="200"/>
      <c r="P116" s="210"/>
      <c r="Q116" s="200"/>
      <c r="R116" s="200"/>
      <c r="S116" s="200"/>
      <c r="T116" s="159">
        <v>23</v>
      </c>
      <c r="U116" s="80"/>
      <c r="V116" s="253" t="s">
        <v>68</v>
      </c>
      <c r="W116" s="80"/>
      <c r="X116" s="80"/>
      <c r="Y116" s="79"/>
      <c r="Z116" s="70"/>
      <c r="AA116" s="169">
        <f>H46</f>
        <v>978705.78</v>
      </c>
      <c r="AB116" s="163"/>
      <c r="AC116" s="268"/>
      <c r="AD116" s="268"/>
      <c r="AE116" s="169">
        <f>SUM(AE114:AE115)</f>
        <v>11565528</v>
      </c>
      <c r="AF116" s="70"/>
      <c r="AG116" s="170">
        <f>ROUND((+AE116/$AE$133)*100,1)+0.1</f>
        <v>25.3</v>
      </c>
      <c r="AH116" s="70"/>
      <c r="AI116" s="169">
        <f>SUM(AI114:AI115)</f>
        <v>1485270</v>
      </c>
      <c r="AJ116" s="163"/>
      <c r="AK116" s="170">
        <f>IF(AE116=0,0,ROUND((AI116/AE116)*100,1))</f>
        <v>12.8</v>
      </c>
      <c r="AL116" s="158"/>
      <c r="AM116" s="169"/>
      <c r="AN116" s="70"/>
      <c r="AO116" s="169">
        <f>SUM(AO114:AO115)</f>
        <v>11565528</v>
      </c>
      <c r="AP116" s="70"/>
      <c r="AQ116" s="155">
        <f>ROUND((+AI116/AO116)*100,1)</f>
        <v>12.8</v>
      </c>
    </row>
    <row r="117" spans="1:43" x14ac:dyDescent="0.25">
      <c r="A117" s="202"/>
      <c r="C117" s="154"/>
      <c r="F117" s="252"/>
      <c r="H117" s="252"/>
      <c r="I117" s="80"/>
      <c r="J117" s="252"/>
      <c r="K117" s="80"/>
      <c r="L117" s="328"/>
      <c r="M117" s="80"/>
      <c r="N117" s="328"/>
      <c r="O117" s="200"/>
      <c r="P117" s="210"/>
      <c r="Q117" s="200"/>
      <c r="R117" s="200"/>
      <c r="S117" s="200"/>
      <c r="T117" s="159"/>
      <c r="U117" s="80"/>
      <c r="V117" s="82"/>
      <c r="W117" s="80"/>
      <c r="X117" s="80"/>
      <c r="Y117" s="79"/>
      <c r="Z117" s="70"/>
      <c r="AA117" s="163"/>
      <c r="AB117" s="163"/>
      <c r="AC117" s="268"/>
      <c r="AD117" s="268"/>
      <c r="AE117" s="163"/>
      <c r="AF117" s="70"/>
      <c r="AG117" s="197"/>
      <c r="AH117" s="70"/>
      <c r="AI117" s="163"/>
      <c r="AJ117" s="163"/>
      <c r="AK117" s="197"/>
      <c r="AL117" s="158"/>
      <c r="AM117" s="163"/>
      <c r="AN117" s="70"/>
      <c r="AO117" s="163"/>
      <c r="AP117" s="70"/>
      <c r="AQ117" s="155"/>
    </row>
    <row r="118" spans="1:43" x14ac:dyDescent="0.25">
      <c r="A118" s="202"/>
      <c r="C118" s="154"/>
      <c r="H118" s="252"/>
      <c r="I118" s="80"/>
      <c r="J118" s="252"/>
      <c r="K118" s="80"/>
      <c r="L118" s="329"/>
      <c r="M118" s="80"/>
      <c r="N118" s="329"/>
      <c r="O118" s="200"/>
      <c r="P118" s="210"/>
      <c r="Q118" s="200"/>
      <c r="R118" s="200"/>
      <c r="T118" s="159">
        <v>24</v>
      </c>
      <c r="U118" s="80"/>
      <c r="V118" s="253" t="s">
        <v>481</v>
      </c>
      <c r="W118" s="80"/>
      <c r="X118" s="80"/>
      <c r="Y118" s="79"/>
      <c r="Z118" s="70"/>
      <c r="AA118" s="79"/>
      <c r="AB118" s="79"/>
      <c r="AC118" s="263"/>
      <c r="AD118" s="263"/>
      <c r="AE118" s="79"/>
      <c r="AF118" s="70"/>
      <c r="AG118" s="155"/>
      <c r="AH118" s="70"/>
      <c r="AI118" s="79"/>
      <c r="AJ118" s="79"/>
      <c r="AK118" s="155"/>
      <c r="AL118" s="158"/>
      <c r="AM118" s="79"/>
      <c r="AN118" s="70"/>
      <c r="AO118" s="79"/>
      <c r="AP118" s="70"/>
      <c r="AQ118" s="155"/>
    </row>
    <row r="119" spans="1:43" x14ac:dyDescent="0.25">
      <c r="A119" s="202"/>
      <c r="C119" s="154"/>
      <c r="H119" s="252"/>
      <c r="I119" s="80"/>
      <c r="J119" s="252"/>
      <c r="K119" s="80"/>
      <c r="L119" s="329"/>
      <c r="M119" s="80"/>
      <c r="N119" s="329"/>
      <c r="O119" s="200"/>
      <c r="P119" s="210"/>
      <c r="Q119" s="200"/>
      <c r="R119" s="200"/>
      <c r="T119" s="159">
        <v>25</v>
      </c>
      <c r="U119" s="80"/>
      <c r="V119" s="82" t="s">
        <v>496</v>
      </c>
      <c r="W119" s="80"/>
      <c r="X119" s="80"/>
      <c r="Y119" s="230"/>
      <c r="Z119" s="85"/>
      <c r="AA119" s="163">
        <f>H49</f>
        <v>133131149</v>
      </c>
      <c r="AB119" s="163"/>
      <c r="AC119" s="358">
        <f>CUR_DT_WIN_E_ON</f>
        <v>4.2195000000000003E-2</v>
      </c>
      <c r="AD119" s="357"/>
      <c r="AE119" s="163">
        <f>ROUND((+AA119*AC119),0)</f>
        <v>5617469</v>
      </c>
      <c r="AF119" s="85"/>
      <c r="AG119" s="197">
        <f t="shared" ref="AG119:AG120" si="17">ROUND((+AE119/$AE$133)*100,1)</f>
        <v>12.2</v>
      </c>
      <c r="AH119" s="85"/>
      <c r="AI119" s="163">
        <f>L49-AE119</f>
        <v>721171</v>
      </c>
      <c r="AJ119" s="163"/>
      <c r="AK119" s="197">
        <f>IF(AE119=0,0,ROUND((AI119/AE119)*100,1))</f>
        <v>12.8</v>
      </c>
      <c r="AL119" s="199"/>
      <c r="AM119" s="163"/>
      <c r="AN119" s="85"/>
      <c r="AO119" s="163">
        <f>AE119+AM119</f>
        <v>5617469</v>
      </c>
      <c r="AP119" s="70"/>
      <c r="AQ119" s="155">
        <f>ROUND((+AI119/AO119)*100,1)</f>
        <v>12.8</v>
      </c>
    </row>
    <row r="120" spans="1:43" x14ac:dyDescent="0.25">
      <c r="F120" s="200"/>
      <c r="H120" s="200"/>
      <c r="I120" s="80"/>
      <c r="J120" s="200"/>
      <c r="K120" s="80"/>
      <c r="L120" s="305"/>
      <c r="M120" s="80"/>
      <c r="N120" s="305"/>
      <c r="O120" s="211"/>
      <c r="P120" s="211"/>
      <c r="Q120" s="211"/>
      <c r="R120" s="211"/>
      <c r="T120" s="159">
        <v>26</v>
      </c>
      <c r="U120" s="80"/>
      <c r="V120" s="82" t="s">
        <v>497</v>
      </c>
      <c r="W120" s="80"/>
      <c r="X120" s="80"/>
      <c r="Y120" s="286"/>
      <c r="Z120" s="70"/>
      <c r="AA120" s="167">
        <f>H50</f>
        <v>305222226</v>
      </c>
      <c r="AB120" s="79"/>
      <c r="AC120" s="347">
        <f>'Rate DT-Pri'!AC124</f>
        <v>3.6194999999999998E-2</v>
      </c>
      <c r="AD120" s="289"/>
      <c r="AE120" s="167">
        <f>ROUND((+AA120*AC120),0)</f>
        <v>11047518</v>
      </c>
      <c r="AF120" s="70"/>
      <c r="AG120" s="197">
        <f t="shared" si="17"/>
        <v>24.1</v>
      </c>
      <c r="AH120" s="70"/>
      <c r="AI120" s="167">
        <f>L50-AE120</f>
        <v>1418979</v>
      </c>
      <c r="AJ120" s="79"/>
      <c r="AK120" s="166">
        <f>IF(AE120=0,0,ROUND((AI120/AE120)*100,1))</f>
        <v>12.8</v>
      </c>
      <c r="AL120" s="158"/>
      <c r="AM120" s="167"/>
      <c r="AN120" s="70"/>
      <c r="AO120" s="167">
        <f>AE120+AM120</f>
        <v>11047518</v>
      </c>
      <c r="AP120" s="70"/>
      <c r="AQ120" s="155">
        <f>ROUND((+AI120/AO120)*100,1)</f>
        <v>12.8</v>
      </c>
    </row>
    <row r="121" spans="1:43" ht="22.5" customHeight="1" x14ac:dyDescent="0.25">
      <c r="F121" s="200"/>
      <c r="H121" s="200"/>
      <c r="I121" s="80"/>
      <c r="J121" s="200"/>
      <c r="K121" s="80"/>
      <c r="L121" s="305"/>
      <c r="M121" s="80"/>
      <c r="N121" s="305"/>
      <c r="O121" s="211"/>
      <c r="P121" s="211"/>
      <c r="Q121" s="211"/>
      <c r="R121" s="211"/>
      <c r="T121" s="159">
        <v>27</v>
      </c>
      <c r="U121" s="80"/>
      <c r="V121" s="253" t="s">
        <v>60</v>
      </c>
      <c r="W121" s="80"/>
      <c r="X121" s="80"/>
      <c r="Y121" s="169">
        <f>F51</f>
        <v>1191</v>
      </c>
      <c r="Z121" s="70"/>
      <c r="AA121" s="169">
        <f>H51</f>
        <v>438353375</v>
      </c>
      <c r="AB121" s="163"/>
      <c r="AC121" s="347"/>
      <c r="AD121" s="268"/>
      <c r="AE121" s="169">
        <f>AE111+AE116+AE119+AE120</f>
        <v>28248380</v>
      </c>
      <c r="AF121" s="70"/>
      <c r="AG121" s="170">
        <f>ROUND((+AE121/$AE$133)*100,1)</f>
        <v>61.6</v>
      </c>
      <c r="AH121" s="70"/>
      <c r="AI121" s="169">
        <f>AI111+AI116+AI119+AI120</f>
        <v>4083955</v>
      </c>
      <c r="AJ121" s="163"/>
      <c r="AK121" s="170">
        <f>IF(AE121=0,0,ROUND((AI121/AE121)*100,1))</f>
        <v>14.5</v>
      </c>
      <c r="AL121" s="158"/>
      <c r="AM121" s="342"/>
      <c r="AN121" s="70"/>
      <c r="AO121" s="169">
        <f>AO111+AO116+AO119+AO120</f>
        <v>28248380</v>
      </c>
      <c r="AP121" s="70"/>
      <c r="AQ121" s="155">
        <f>ROUND((+AI121/AO121)*100,1)</f>
        <v>14.5</v>
      </c>
    </row>
    <row r="122" spans="1:43" ht="20.100000000000001" customHeight="1" x14ac:dyDescent="0.25">
      <c r="F122" s="200"/>
      <c r="H122" s="200"/>
      <c r="I122" s="80"/>
      <c r="J122" s="200"/>
      <c r="K122" s="80"/>
      <c r="L122" s="305"/>
      <c r="M122" s="80"/>
      <c r="N122" s="305"/>
      <c r="O122" s="211"/>
      <c r="P122" s="211"/>
      <c r="Q122" s="211"/>
      <c r="R122" s="211"/>
      <c r="T122" s="159">
        <v>28</v>
      </c>
      <c r="U122" s="80"/>
      <c r="V122" s="265" t="s">
        <v>564</v>
      </c>
      <c r="W122" s="80"/>
      <c r="X122" s="80"/>
      <c r="Y122" s="169">
        <f>Y105+Y121</f>
        <v>1786</v>
      </c>
      <c r="Z122" s="70"/>
      <c r="AA122" s="169">
        <f>AA121+AA105</f>
        <v>683434130</v>
      </c>
      <c r="AB122" s="163"/>
      <c r="AC122" s="347"/>
      <c r="AD122" s="268"/>
      <c r="AE122" s="169">
        <f>AE121+AE105</f>
        <v>44417467</v>
      </c>
      <c r="AF122" s="70"/>
      <c r="AG122" s="170">
        <f t="shared" ref="AG122" si="18">ROUND((+AE122/$AE$133)*100,1)</f>
        <v>96.8</v>
      </c>
      <c r="AH122" s="70"/>
      <c r="AI122" s="169">
        <f>AI121+AI105</f>
        <v>6390213</v>
      </c>
      <c r="AJ122" s="163"/>
      <c r="AK122" s="170">
        <f>IF(AE122=0,0,ROUND((AI122/AE122)*100,1))</f>
        <v>14.4</v>
      </c>
      <c r="AL122" s="158"/>
      <c r="AM122" s="342"/>
      <c r="AN122" s="70"/>
      <c r="AO122" s="169">
        <f>AO121+AO105</f>
        <v>44417467</v>
      </c>
      <c r="AP122" s="70"/>
      <c r="AQ122" s="155">
        <v>0</v>
      </c>
    </row>
    <row r="123" spans="1:43" ht="15.75" customHeight="1" x14ac:dyDescent="0.25">
      <c r="F123" s="200"/>
      <c r="H123" s="200"/>
      <c r="I123" s="80"/>
      <c r="J123" s="200"/>
      <c r="K123" s="80"/>
      <c r="L123" s="305"/>
      <c r="M123" s="80"/>
      <c r="N123" s="305"/>
      <c r="O123" s="211"/>
      <c r="P123" s="211"/>
      <c r="Q123" s="211"/>
      <c r="R123" s="211"/>
      <c r="T123" s="159"/>
      <c r="U123" s="80"/>
      <c r="V123" s="82"/>
      <c r="W123" s="80"/>
      <c r="X123" s="80"/>
      <c r="Y123" s="163"/>
      <c r="Z123" s="70"/>
      <c r="AA123" s="163"/>
      <c r="AB123" s="163"/>
      <c r="AC123" s="347"/>
      <c r="AD123" s="268"/>
      <c r="AE123" s="163"/>
      <c r="AF123" s="70"/>
      <c r="AG123" s="197"/>
      <c r="AH123" s="70"/>
      <c r="AI123" s="163"/>
      <c r="AJ123" s="163"/>
      <c r="AK123" s="197"/>
      <c r="AL123" s="158"/>
      <c r="AM123" s="200"/>
      <c r="AN123" s="70"/>
      <c r="AO123" s="163"/>
      <c r="AP123" s="70"/>
      <c r="AQ123" s="155"/>
    </row>
    <row r="124" spans="1:43" ht="15.75" customHeight="1" x14ac:dyDescent="0.25">
      <c r="F124" s="200"/>
      <c r="H124" s="200"/>
      <c r="I124" s="80"/>
      <c r="J124" s="200"/>
      <c r="K124" s="80"/>
      <c r="L124" s="305"/>
      <c r="M124" s="80"/>
      <c r="N124" s="305"/>
      <c r="O124" s="211"/>
      <c r="P124" s="211"/>
      <c r="Q124" s="211"/>
      <c r="R124" s="211"/>
      <c r="T124" s="159">
        <v>29</v>
      </c>
      <c r="U124" s="80"/>
      <c r="V124" s="253" t="s">
        <v>553</v>
      </c>
      <c r="W124" s="80"/>
      <c r="X124" s="80"/>
      <c r="Y124" s="163"/>
      <c r="Z124" s="70"/>
      <c r="AA124" s="163"/>
      <c r="AB124" s="163"/>
      <c r="AC124" s="347"/>
      <c r="AD124" s="268"/>
      <c r="AE124" s="163"/>
      <c r="AF124" s="70"/>
      <c r="AG124" s="197"/>
      <c r="AH124" s="70"/>
      <c r="AI124" s="163"/>
      <c r="AJ124" s="163"/>
      <c r="AK124" s="197"/>
      <c r="AL124" s="158"/>
      <c r="AM124" s="200"/>
      <c r="AN124" s="70"/>
      <c r="AO124" s="163"/>
      <c r="AP124" s="70"/>
      <c r="AQ124" s="155"/>
    </row>
    <row r="125" spans="1:43" ht="15.75" customHeight="1" x14ac:dyDescent="0.25">
      <c r="F125" s="200"/>
      <c r="H125" s="200"/>
      <c r="I125" s="80"/>
      <c r="J125" s="200"/>
      <c r="K125" s="80"/>
      <c r="L125" s="305"/>
      <c r="M125" s="80"/>
      <c r="N125" s="305"/>
      <c r="O125" s="211"/>
      <c r="P125" s="211"/>
      <c r="Q125" s="211"/>
      <c r="R125" s="211"/>
      <c r="T125" s="159">
        <f>A55</f>
        <v>30</v>
      </c>
      <c r="U125" s="80"/>
      <c r="V125" s="153" t="str">
        <f>C55</f>
        <v>DEMAND SIDE MANAGEMENT RIDER (DSMR)</v>
      </c>
      <c r="W125" s="80"/>
      <c r="X125" s="80"/>
      <c r="Y125" s="163"/>
      <c r="Z125" s="70"/>
      <c r="AA125" s="163"/>
      <c r="AB125" s="163"/>
      <c r="AC125" s="308">
        <f>DSM_DIST</f>
        <v>2.5760000000000002E-3</v>
      </c>
      <c r="AD125" s="268"/>
      <c r="AE125" s="163">
        <f>ROUND($AA$122*AC125,0)</f>
        <v>1760526</v>
      </c>
      <c r="AF125" s="70"/>
      <c r="AG125" s="197">
        <f>ROUND((+AE125/$AE$133)*100,1)+0.1</f>
        <v>3.9</v>
      </c>
      <c r="AH125" s="70"/>
      <c r="AI125" s="163">
        <f>L55-AE125</f>
        <v>0</v>
      </c>
      <c r="AJ125" s="163"/>
      <c r="AK125" s="197">
        <f t="shared" ref="AK125:AK131" si="19">IF(AE125=0,0,ROUND((AI125/AE125)*100,1))</f>
        <v>0</v>
      </c>
      <c r="AL125" s="158"/>
      <c r="AM125" s="200"/>
      <c r="AN125" s="70"/>
      <c r="AO125" s="163">
        <f t="shared" ref="AO125:AO130" si="20">AE125+AM125</f>
        <v>1760526</v>
      </c>
      <c r="AP125" s="70"/>
      <c r="AQ125" s="155">
        <f>IF(AO125=0,0,ROUND((+AI125/AO125)*100,1))</f>
        <v>0</v>
      </c>
    </row>
    <row r="126" spans="1:43" ht="15.75" customHeight="1" x14ac:dyDescent="0.25">
      <c r="F126" s="200"/>
      <c r="H126" s="200"/>
      <c r="I126" s="80"/>
      <c r="J126" s="200"/>
      <c r="K126" s="80"/>
      <c r="L126" s="305"/>
      <c r="M126" s="80"/>
      <c r="N126" s="305"/>
      <c r="O126" s="211"/>
      <c r="P126" s="211"/>
      <c r="Q126" s="211"/>
      <c r="R126" s="211"/>
      <c r="T126" s="159">
        <f t="shared" ref="T126:T131" si="21">A56</f>
        <v>31</v>
      </c>
      <c r="U126" s="80"/>
      <c r="V126" s="153" t="str">
        <f t="shared" ref="V126:V130" si="22">C56</f>
        <v>ENVIRONMENTAL SURCHARGE MECHANISM RIDER (ESM)</v>
      </c>
      <c r="W126" s="80"/>
      <c r="X126" s="80"/>
      <c r="Y126" s="163"/>
      <c r="Z126" s="70"/>
      <c r="AA126" s="163"/>
      <c r="AB126" s="163"/>
      <c r="AC126" s="308">
        <f>CUR_ESM</f>
        <v>0</v>
      </c>
      <c r="AD126" s="268"/>
      <c r="AE126" s="163">
        <f>ROUND(AO122*AC126,0)</f>
        <v>0</v>
      </c>
      <c r="AF126" s="70"/>
      <c r="AG126" s="197">
        <f t="shared" ref="AG126:AG129" si="23">ROUND((+AE126/$AE$133)*100,1)</f>
        <v>0</v>
      </c>
      <c r="AH126" s="70"/>
      <c r="AI126" s="163">
        <f t="shared" ref="AI126:AI127" si="24">L56-AE126</f>
        <v>0</v>
      </c>
      <c r="AJ126" s="163"/>
      <c r="AK126" s="197">
        <f t="shared" si="19"/>
        <v>0</v>
      </c>
      <c r="AL126" s="158"/>
      <c r="AM126" s="200"/>
      <c r="AN126" s="70"/>
      <c r="AO126" s="163">
        <f t="shared" ref="AO126:AO127" si="25">AE126+AM126</f>
        <v>0</v>
      </c>
      <c r="AP126" s="70"/>
      <c r="AQ126" s="155">
        <f>IF(AO126=0,0,ROUND((+AI126/AO126)*100,1))</f>
        <v>0</v>
      </c>
    </row>
    <row r="127" spans="1:43" ht="15.75" customHeight="1" x14ac:dyDescent="0.25">
      <c r="F127" s="200"/>
      <c r="H127" s="200"/>
      <c r="I127" s="80"/>
      <c r="J127" s="200"/>
      <c r="K127" s="80"/>
      <c r="L127" s="305"/>
      <c r="M127" s="80"/>
      <c r="N127" s="305"/>
      <c r="O127" s="211"/>
      <c r="P127" s="211"/>
      <c r="Q127" s="211"/>
      <c r="R127" s="211"/>
      <c r="T127" s="159">
        <f t="shared" si="21"/>
        <v>32</v>
      </c>
      <c r="U127" s="80"/>
      <c r="V127" s="153" t="str">
        <f t="shared" si="22"/>
        <v>DISTRIBUTION CAPITAL INVESTMENT RIDER (DCI)</v>
      </c>
      <c r="W127" s="80"/>
      <c r="X127" s="80"/>
      <c r="Y127" s="163"/>
      <c r="Z127" s="70"/>
      <c r="AA127" s="163"/>
      <c r="AB127" s="163"/>
      <c r="AC127" s="349">
        <f>CUR_DCI_DTS</f>
        <v>0</v>
      </c>
      <c r="AD127" s="268"/>
      <c r="AE127" s="163">
        <f>ROUND((AA100+AA116)*AC127,0)</f>
        <v>0</v>
      </c>
      <c r="AF127" s="70"/>
      <c r="AG127" s="197">
        <f t="shared" si="23"/>
        <v>0</v>
      </c>
      <c r="AH127" s="70"/>
      <c r="AI127" s="163">
        <f t="shared" si="24"/>
        <v>0</v>
      </c>
      <c r="AJ127" s="163"/>
      <c r="AK127" s="197">
        <f t="shared" si="19"/>
        <v>0</v>
      </c>
      <c r="AL127" s="158"/>
      <c r="AM127" s="200"/>
      <c r="AN127" s="70"/>
      <c r="AO127" s="163">
        <f t="shared" si="25"/>
        <v>0</v>
      </c>
      <c r="AP127" s="70"/>
      <c r="AQ127" s="155">
        <f>IF(AO127=0,0,ROUND((+AI127/AO127)*100,1))</f>
        <v>0</v>
      </c>
    </row>
    <row r="128" spans="1:43" ht="15.75" customHeight="1" x14ac:dyDescent="0.25">
      <c r="F128" s="200"/>
      <c r="H128" s="200"/>
      <c r="I128" s="80"/>
      <c r="J128" s="200"/>
      <c r="K128" s="80"/>
      <c r="L128" s="305"/>
      <c r="M128" s="80"/>
      <c r="N128" s="305"/>
      <c r="O128" s="211"/>
      <c r="P128" s="211"/>
      <c r="Q128" s="211"/>
      <c r="R128" s="211"/>
      <c r="T128" s="159">
        <f t="shared" si="21"/>
        <v>33</v>
      </c>
      <c r="U128" s="80"/>
      <c r="V128" s="153" t="str">
        <f t="shared" si="22"/>
        <v>FUEL ADJUSTMENT CLAUSE (FAC)</v>
      </c>
      <c r="W128" s="80"/>
      <c r="X128" s="80"/>
      <c r="Y128" s="163"/>
      <c r="Z128" s="70"/>
      <c r="AA128" s="163"/>
      <c r="AB128" s="163"/>
      <c r="AC128" s="308">
        <f>CUR_FAC</f>
        <v>1.0280000000000001E-3</v>
      </c>
      <c r="AD128" s="268"/>
      <c r="AE128" s="163"/>
      <c r="AF128" s="70"/>
      <c r="AG128" s="197"/>
      <c r="AH128" s="70"/>
      <c r="AI128" s="163"/>
      <c r="AJ128" s="163"/>
      <c r="AK128" s="197"/>
      <c r="AL128" s="158"/>
      <c r="AM128" s="163">
        <f>ROUND(AA122*CUR_FAC,0)</f>
        <v>702570</v>
      </c>
      <c r="AN128" s="70"/>
      <c r="AO128" s="163">
        <f t="shared" si="20"/>
        <v>702570</v>
      </c>
      <c r="AP128" s="70"/>
      <c r="AQ128" s="155">
        <f>IF(AO128=0,0,ROUND(((R58-AO128)/AO128)*100,1))</f>
        <v>0</v>
      </c>
    </row>
    <row r="129" spans="1:43" ht="15.75" customHeight="1" x14ac:dyDescent="0.25">
      <c r="F129" s="200"/>
      <c r="H129" s="200"/>
      <c r="I129" s="80"/>
      <c r="J129" s="200"/>
      <c r="K129" s="80"/>
      <c r="L129" s="305"/>
      <c r="M129" s="80"/>
      <c r="N129" s="305"/>
      <c r="O129" s="211"/>
      <c r="P129" s="211"/>
      <c r="Q129" s="211"/>
      <c r="R129" s="211"/>
      <c r="T129" s="159">
        <f t="shared" si="21"/>
        <v>34</v>
      </c>
      <c r="U129" s="80"/>
      <c r="V129" s="153" t="str">
        <f t="shared" si="22"/>
        <v>FERC TRANSMISSION COST RECOVERY RECONCILIATION (FTR)</v>
      </c>
      <c r="W129" s="80"/>
      <c r="X129" s="80"/>
      <c r="Y129" s="163"/>
      <c r="Z129" s="70"/>
      <c r="AA129" s="163"/>
      <c r="AB129" s="163"/>
      <c r="AC129" s="288">
        <f>CUR_FTR_DTS</f>
        <v>0</v>
      </c>
      <c r="AD129" s="268"/>
      <c r="AE129" s="163">
        <f>ROUND(AA122*AC129,0)</f>
        <v>0</v>
      </c>
      <c r="AF129" s="70"/>
      <c r="AG129" s="197">
        <f t="shared" si="23"/>
        <v>0</v>
      </c>
      <c r="AH129" s="70"/>
      <c r="AI129" s="163">
        <f>L59-AE129</f>
        <v>0</v>
      </c>
      <c r="AJ129" s="163"/>
      <c r="AK129" s="197">
        <f t="shared" si="19"/>
        <v>0</v>
      </c>
      <c r="AL129" s="158"/>
      <c r="AM129" s="163"/>
      <c r="AN129" s="70"/>
      <c r="AO129" s="163">
        <f t="shared" ref="AO129" si="26">AE129+AM129</f>
        <v>0</v>
      </c>
      <c r="AP129" s="70"/>
      <c r="AQ129" s="155">
        <f>IF(AO129=0,0,ROUND((+AI129/AO129)*100,1))</f>
        <v>0</v>
      </c>
    </row>
    <row r="130" spans="1:43" ht="15.75" customHeight="1" x14ac:dyDescent="0.25">
      <c r="F130" s="200"/>
      <c r="H130" s="200"/>
      <c r="I130" s="80"/>
      <c r="J130" s="200"/>
      <c r="K130" s="80"/>
      <c r="L130" s="305"/>
      <c r="M130" s="80"/>
      <c r="N130" s="305"/>
      <c r="O130" s="211"/>
      <c r="P130" s="211"/>
      <c r="Q130" s="211"/>
      <c r="R130" s="211"/>
      <c r="T130" s="159">
        <f t="shared" si="21"/>
        <v>35</v>
      </c>
      <c r="U130" s="80"/>
      <c r="V130" s="153" t="str">
        <f t="shared" si="22"/>
        <v>PROFIT SHARING MECHANISM (PSM)</v>
      </c>
      <c r="W130" s="80"/>
      <c r="X130" s="80"/>
      <c r="Y130" s="163"/>
      <c r="Z130" s="70"/>
      <c r="AA130" s="163"/>
      <c r="AB130" s="163"/>
      <c r="AC130" s="308">
        <f>RS_PSM</f>
        <v>-4.5600000000000003E-4</v>
      </c>
      <c r="AD130" s="268"/>
      <c r="AE130" s="167">
        <f>ROUND(AA122*RS_PSM,0)</f>
        <v>-311646</v>
      </c>
      <c r="AF130" s="70"/>
      <c r="AG130" s="166">
        <f>ROUND((+AE130/$AE$133)*100,1)</f>
        <v>-0.7</v>
      </c>
      <c r="AH130" s="70"/>
      <c r="AI130" s="167">
        <f>L60-AE130</f>
        <v>0</v>
      </c>
      <c r="AJ130" s="163"/>
      <c r="AK130" s="166">
        <f t="shared" si="19"/>
        <v>0</v>
      </c>
      <c r="AL130" s="158"/>
      <c r="AM130" s="353"/>
      <c r="AN130" s="70"/>
      <c r="AO130" s="167">
        <f t="shared" si="20"/>
        <v>-311646</v>
      </c>
      <c r="AP130" s="70"/>
      <c r="AQ130" s="155">
        <f>IF(AO130=0,0,ROUND((+AI130/AO130)*100,1))</f>
        <v>0</v>
      </c>
    </row>
    <row r="131" spans="1:43" ht="20.100000000000001" customHeight="1" x14ac:dyDescent="0.25">
      <c r="F131" s="200"/>
      <c r="H131" s="200"/>
      <c r="I131" s="80"/>
      <c r="J131" s="200"/>
      <c r="K131" s="80"/>
      <c r="L131" s="305"/>
      <c r="M131" s="80"/>
      <c r="N131" s="305"/>
      <c r="O131" s="211"/>
      <c r="P131" s="211"/>
      <c r="Q131" s="211"/>
      <c r="R131" s="211"/>
      <c r="T131" s="159">
        <f t="shared" si="21"/>
        <v>36</v>
      </c>
      <c r="U131" s="80"/>
      <c r="V131" s="253" t="s">
        <v>557</v>
      </c>
      <c r="W131" s="80"/>
      <c r="X131" s="80"/>
      <c r="Y131" s="167"/>
      <c r="Z131" s="70"/>
      <c r="AA131" s="167"/>
      <c r="AB131" s="163"/>
      <c r="AC131" s="268"/>
      <c r="AD131" s="268"/>
      <c r="AE131" s="169">
        <f>SUM(AE125:AE130)</f>
        <v>1448880</v>
      </c>
      <c r="AF131" s="70"/>
      <c r="AG131" s="170">
        <f>ROUND((+AE131/$AE$133)*100,1)</f>
        <v>3.2</v>
      </c>
      <c r="AH131" s="70"/>
      <c r="AI131" s="169">
        <f>SUM(AI125:AI130)</f>
        <v>0</v>
      </c>
      <c r="AJ131" s="163"/>
      <c r="AK131" s="170">
        <f t="shared" si="19"/>
        <v>0</v>
      </c>
      <c r="AL131" s="158"/>
      <c r="AM131" s="169">
        <f>SUM(AM125:AM130)</f>
        <v>702570</v>
      </c>
      <c r="AN131" s="70"/>
      <c r="AO131" s="169">
        <f>SUM(AO125:AO130)</f>
        <v>2151450</v>
      </c>
      <c r="AP131" s="70"/>
      <c r="AQ131" s="155">
        <f t="shared" ref="AQ131" si="27">ROUND((+AI131/AO131)*100,1)</f>
        <v>0</v>
      </c>
    </row>
    <row r="132" spans="1:43" x14ac:dyDescent="0.25">
      <c r="F132" s="200"/>
      <c r="H132" s="200"/>
      <c r="I132" s="80"/>
      <c r="J132" s="200"/>
      <c r="K132" s="80"/>
      <c r="L132" s="305"/>
      <c r="M132" s="80"/>
      <c r="N132" s="305"/>
      <c r="O132" s="211"/>
      <c r="P132" s="211"/>
      <c r="Q132" s="211"/>
      <c r="R132" s="211"/>
      <c r="T132" s="159"/>
      <c r="U132" s="80"/>
      <c r="V132" s="82"/>
      <c r="W132" s="80"/>
      <c r="X132" s="80"/>
      <c r="Y132" s="163"/>
      <c r="Z132" s="85"/>
      <c r="AA132" s="163"/>
      <c r="AB132" s="163"/>
      <c r="AC132" s="354"/>
      <c r="AD132" s="354"/>
      <c r="AE132" s="163"/>
      <c r="AF132" s="85"/>
      <c r="AG132" s="197"/>
      <c r="AH132" s="85"/>
      <c r="AI132" s="163"/>
      <c r="AJ132" s="163"/>
      <c r="AK132" s="197"/>
      <c r="AL132" s="199"/>
      <c r="AM132" s="163"/>
      <c r="AN132" s="85"/>
      <c r="AO132" s="163"/>
      <c r="AP132" s="85"/>
      <c r="AQ132" s="155"/>
    </row>
    <row r="133" spans="1:43" ht="22.5" customHeight="1" thickBot="1" x14ac:dyDescent="0.3">
      <c r="F133" s="211"/>
      <c r="H133" s="211"/>
      <c r="I133" s="80"/>
      <c r="J133" s="211"/>
      <c r="K133" s="80"/>
      <c r="L133" s="305"/>
      <c r="M133" s="80"/>
      <c r="N133" s="305"/>
      <c r="O133" s="211"/>
      <c r="P133" s="211"/>
      <c r="Q133" s="211"/>
      <c r="R133" s="211"/>
      <c r="T133" s="159">
        <f>A63</f>
        <v>37</v>
      </c>
      <c r="U133" s="80"/>
      <c r="V133" s="265" t="s">
        <v>563</v>
      </c>
      <c r="W133" s="80"/>
      <c r="X133" s="80"/>
      <c r="Y133" s="275">
        <f>Y122</f>
        <v>1786</v>
      </c>
      <c r="Z133" s="70"/>
      <c r="AA133" s="275">
        <f>AA122</f>
        <v>683434130</v>
      </c>
      <c r="AB133" s="163"/>
      <c r="AC133" s="70"/>
      <c r="AD133" s="70"/>
      <c r="AE133" s="275">
        <f>AE131+AE122</f>
        <v>45866347</v>
      </c>
      <c r="AF133" s="70"/>
      <c r="AG133" s="291">
        <v>100</v>
      </c>
      <c r="AH133" s="70"/>
      <c r="AI133" s="275">
        <f>AI131+AI122</f>
        <v>6390213</v>
      </c>
      <c r="AJ133" s="163"/>
      <c r="AK133" s="291">
        <f>IF(AE133=0,0,ROUND((AI133/AE133)*100,1))</f>
        <v>13.9</v>
      </c>
      <c r="AL133" s="158"/>
      <c r="AM133" s="275">
        <f>AM131+AM122</f>
        <v>702570</v>
      </c>
      <c r="AN133" s="70"/>
      <c r="AO133" s="275">
        <f>AO131+AO122</f>
        <v>46568917</v>
      </c>
      <c r="AP133" s="70"/>
      <c r="AQ133" s="155">
        <f>ROUND((+AI133/AO133)*100,1)</f>
        <v>13.7</v>
      </c>
    </row>
    <row r="134" spans="1:43" ht="16.5" thickTop="1" x14ac:dyDescent="0.25">
      <c r="F134" s="211"/>
      <c r="H134" s="211"/>
      <c r="I134" s="80"/>
      <c r="J134" s="211"/>
      <c r="K134" s="305"/>
      <c r="L134" s="305"/>
      <c r="M134" s="80"/>
      <c r="N134" s="211"/>
      <c r="O134" s="211"/>
      <c r="P134" s="211"/>
      <c r="Q134" s="211"/>
      <c r="R134" s="211"/>
      <c r="S134" s="200"/>
      <c r="T134" s="80"/>
      <c r="U134" s="80"/>
      <c r="V134" s="80"/>
      <c r="W134" s="80"/>
      <c r="X134" s="80"/>
      <c r="Y134" s="70"/>
      <c r="Z134" s="70"/>
      <c r="AA134" s="70"/>
      <c r="AB134" s="70"/>
      <c r="AC134" s="70"/>
      <c r="AD134" s="70"/>
      <c r="AE134" s="70"/>
      <c r="AF134" s="70"/>
      <c r="AG134" s="164"/>
      <c r="AH134" s="70"/>
      <c r="AI134" s="70"/>
      <c r="AJ134" s="70"/>
      <c r="AK134" s="164"/>
      <c r="AL134" s="70"/>
      <c r="AM134" s="70"/>
      <c r="AN134" s="70"/>
      <c r="AO134" s="70"/>
      <c r="AP134" s="70"/>
      <c r="AQ134" s="164"/>
    </row>
    <row r="135" spans="1:43" x14ac:dyDescent="0.25">
      <c r="A135" s="202"/>
      <c r="C135" s="154"/>
      <c r="I135" s="80"/>
      <c r="M135" s="80"/>
      <c r="T135" s="80"/>
      <c r="U135" s="80"/>
      <c r="V135" s="173" t="s">
        <v>61</v>
      </c>
      <c r="W135" s="80"/>
      <c r="X135" s="80"/>
      <c r="Y135" s="80"/>
      <c r="Z135" s="80"/>
      <c r="AA135" s="80"/>
      <c r="AB135" s="80"/>
      <c r="AC135" s="80"/>
      <c r="AD135" s="80"/>
      <c r="AE135" s="189"/>
      <c r="AF135" s="189"/>
      <c r="AG135" s="188"/>
      <c r="AH135" s="80"/>
      <c r="AI135" s="80"/>
      <c r="AJ135" s="80"/>
      <c r="AK135" s="188"/>
      <c r="AL135" s="80"/>
      <c r="AM135" s="189"/>
      <c r="AN135" s="80"/>
      <c r="AO135" s="189"/>
      <c r="AP135" s="80"/>
      <c r="AQ135" s="188"/>
    </row>
    <row r="136" spans="1:43" x14ac:dyDescent="0.25">
      <c r="A136" s="202"/>
      <c r="C136" s="154"/>
      <c r="I136" s="80"/>
      <c r="M136" s="80"/>
      <c r="T136" s="80"/>
      <c r="U136" s="80"/>
      <c r="V136" s="173" t="str">
        <f>"(2) REFLECTS FUEL COMPONENT OF "&amp;TEXT(CUR_FAC,"$0.000000;($0.000000)")&amp;"  PER KWH."</f>
        <v>(2) REFLECTS FUEL COMPONENT OF $0.001028  PER KWH.</v>
      </c>
      <c r="W136" s="80"/>
      <c r="X136" s="80"/>
      <c r="Y136" s="80"/>
      <c r="Z136" s="80"/>
      <c r="AA136" s="80"/>
      <c r="AB136" s="80"/>
      <c r="AC136" s="80"/>
      <c r="AD136" s="80"/>
      <c r="AE136" s="189"/>
      <c r="AF136" s="189"/>
      <c r="AG136" s="188"/>
      <c r="AH136" s="80"/>
      <c r="AI136" s="80"/>
      <c r="AJ136" s="80"/>
      <c r="AK136" s="188"/>
      <c r="AL136" s="80"/>
      <c r="AM136" s="189"/>
      <c r="AN136" s="80"/>
      <c r="AO136" s="189"/>
      <c r="AP136" s="80"/>
      <c r="AQ136" s="188"/>
    </row>
    <row r="137" spans="1:43" x14ac:dyDescent="0.25">
      <c r="A137" s="202"/>
      <c r="C137" s="154"/>
      <c r="F137" s="200"/>
      <c r="H137" s="200"/>
      <c r="I137" s="80"/>
      <c r="J137" s="200"/>
      <c r="M137" s="80"/>
      <c r="N137" s="200"/>
      <c r="O137" s="200"/>
      <c r="P137" s="210"/>
      <c r="Q137" s="252"/>
      <c r="R137" s="200"/>
      <c r="T137" s="154"/>
      <c r="V137" s="173" t="str">
        <f>"(3) REFLECTS FUEL COST RECOVERY INCLUDED IN BASE RATES OF "&amp;TEXT(CUR_BASE_FUEL,"$0.000000;($0.000000)")&amp;"  PER KWH."</f>
        <v>(3) REFLECTS FUEL COST RECOVERY INCLUDED IN BASE RATES OF $0.023837  PER KWH.</v>
      </c>
      <c r="Y137" s="200"/>
      <c r="Z137" s="329"/>
      <c r="AA137" s="200"/>
      <c r="AB137" s="200"/>
      <c r="AC137" s="210"/>
      <c r="AD137" s="210"/>
      <c r="AE137" s="200"/>
      <c r="AF137" s="200"/>
      <c r="AG137" s="209"/>
      <c r="AH137" s="80"/>
      <c r="AI137" s="201"/>
      <c r="AJ137" s="201"/>
      <c r="AK137" s="209"/>
      <c r="AL137" s="200"/>
      <c r="AM137" s="80"/>
      <c r="AN137" s="80"/>
      <c r="AO137" s="210"/>
      <c r="AP137" s="80"/>
      <c r="AQ137" s="209"/>
    </row>
    <row r="138" spans="1:43" x14ac:dyDescent="0.25">
      <c r="F138" s="211"/>
      <c r="H138" s="211"/>
      <c r="I138" s="80"/>
      <c r="J138" s="211"/>
      <c r="K138" s="305"/>
      <c r="L138" s="305"/>
      <c r="M138" s="80"/>
      <c r="N138" s="211"/>
      <c r="O138" s="211"/>
      <c r="P138" s="211"/>
      <c r="Q138" s="211"/>
      <c r="R138" s="211"/>
      <c r="V138" s="200"/>
      <c r="Y138" s="200"/>
      <c r="Z138" s="305"/>
      <c r="AA138" s="211"/>
      <c r="AB138" s="211"/>
      <c r="AC138" s="211"/>
      <c r="AD138" s="211"/>
      <c r="AE138" s="211"/>
      <c r="AF138" s="211"/>
      <c r="AH138" s="80"/>
      <c r="AK138" s="212"/>
      <c r="AL138" s="211"/>
      <c r="AM138" s="80"/>
      <c r="AN138" s="80"/>
      <c r="AO138" s="210"/>
      <c r="AP138" s="80"/>
      <c r="AQ138" s="212"/>
    </row>
    <row r="139" spans="1:43" x14ac:dyDescent="0.25">
      <c r="I139" s="80"/>
      <c r="M139" s="80"/>
      <c r="T139" s="154"/>
      <c r="V139" s="200"/>
      <c r="Y139" s="200"/>
      <c r="Z139" s="213"/>
      <c r="AA139" s="200"/>
      <c r="AB139" s="200"/>
      <c r="AC139" s="210"/>
      <c r="AD139" s="210"/>
      <c r="AE139" s="200"/>
      <c r="AF139" s="200"/>
      <c r="AG139" s="209"/>
      <c r="AH139" s="80"/>
      <c r="AI139" s="201"/>
      <c r="AJ139" s="201"/>
      <c r="AK139" s="209"/>
      <c r="AL139" s="200"/>
      <c r="AM139" s="80"/>
      <c r="AN139" s="80"/>
      <c r="AO139" s="210"/>
      <c r="AP139" s="80"/>
      <c r="AQ139" s="209"/>
    </row>
    <row r="140" spans="1:43" x14ac:dyDescent="0.25">
      <c r="C140" s="154"/>
      <c r="I140" s="80"/>
      <c r="M140" s="80"/>
      <c r="N140" s="200"/>
      <c r="O140" s="200"/>
      <c r="P140" s="200"/>
      <c r="Q140" s="200"/>
      <c r="R140" s="200"/>
      <c r="S140" s="200"/>
      <c r="V140" s="200"/>
      <c r="Y140" s="200"/>
      <c r="Z140" s="305"/>
      <c r="AA140" s="211"/>
      <c r="AB140" s="211"/>
      <c r="AC140" s="211"/>
      <c r="AD140" s="211"/>
      <c r="AE140" s="211"/>
      <c r="AF140" s="211"/>
      <c r="AH140" s="80"/>
      <c r="AK140" s="212"/>
      <c r="AL140" s="211"/>
      <c r="AM140" s="80"/>
      <c r="AN140" s="80"/>
      <c r="AO140" s="210"/>
      <c r="AP140" s="80"/>
      <c r="AQ140" s="212"/>
    </row>
    <row r="141" spans="1:43" x14ac:dyDescent="0.25">
      <c r="A141" s="154"/>
      <c r="I141" s="80"/>
      <c r="M141" s="80"/>
      <c r="T141" s="154"/>
      <c r="V141" s="200"/>
      <c r="Y141" s="200"/>
      <c r="Z141" s="213"/>
      <c r="AA141" s="200"/>
      <c r="AB141" s="200"/>
      <c r="AC141" s="210"/>
      <c r="AD141" s="210"/>
      <c r="AE141" s="200"/>
      <c r="AF141" s="200"/>
      <c r="AG141" s="209"/>
      <c r="AH141" s="80"/>
      <c r="AI141" s="201"/>
      <c r="AJ141" s="201"/>
      <c r="AK141" s="209"/>
      <c r="AL141" s="200"/>
      <c r="AM141" s="80"/>
      <c r="AN141" s="80"/>
      <c r="AO141" s="210"/>
      <c r="AP141" s="80"/>
      <c r="AQ141" s="209"/>
    </row>
    <row r="142" spans="1:43" x14ac:dyDescent="0.25">
      <c r="I142" s="80"/>
      <c r="K142" s="202"/>
      <c r="L142" s="202"/>
      <c r="M142" s="80"/>
      <c r="T142" s="154"/>
      <c r="V142" s="252"/>
      <c r="Y142" s="200"/>
      <c r="Z142" s="320"/>
      <c r="AA142" s="200"/>
      <c r="AB142" s="200"/>
      <c r="AC142" s="210"/>
      <c r="AD142" s="210"/>
      <c r="AE142" s="200"/>
      <c r="AF142" s="200"/>
      <c r="AG142" s="209"/>
      <c r="AH142" s="80"/>
      <c r="AI142" s="201"/>
      <c r="AJ142" s="201"/>
      <c r="AK142" s="209"/>
      <c r="AL142" s="200"/>
      <c r="AM142" s="80"/>
      <c r="AN142" s="80"/>
      <c r="AO142" s="210"/>
      <c r="AP142" s="80"/>
      <c r="AQ142" s="209"/>
    </row>
    <row r="143" spans="1:43" x14ac:dyDescent="0.25">
      <c r="H143" s="154"/>
      <c r="I143" s="80"/>
      <c r="J143" s="154"/>
      <c r="M143" s="80"/>
      <c r="V143" s="211"/>
      <c r="Y143" s="211"/>
      <c r="Z143" s="305"/>
      <c r="AA143" s="211"/>
      <c r="AB143" s="211"/>
      <c r="AC143" s="211"/>
      <c r="AD143" s="211"/>
      <c r="AE143" s="211"/>
      <c r="AF143" s="211"/>
      <c r="AH143" s="80"/>
      <c r="AK143" s="212"/>
      <c r="AL143" s="211"/>
      <c r="AM143" s="80"/>
      <c r="AN143" s="80"/>
      <c r="AO143" s="210"/>
      <c r="AP143" s="80"/>
      <c r="AQ143" s="212"/>
    </row>
    <row r="144" spans="1:43" x14ac:dyDescent="0.25">
      <c r="I144" s="80"/>
      <c r="K144" s="202"/>
      <c r="L144" s="202"/>
      <c r="M144" s="80"/>
      <c r="T144" s="154"/>
      <c r="V144" s="200"/>
      <c r="Y144" s="200"/>
      <c r="Z144" s="305"/>
      <c r="AA144" s="200"/>
      <c r="AB144" s="200"/>
      <c r="AC144" s="210"/>
      <c r="AD144" s="210"/>
      <c r="AE144" s="200"/>
      <c r="AF144" s="200"/>
      <c r="AG144" s="209"/>
      <c r="AH144" s="80"/>
      <c r="AI144" s="210"/>
      <c r="AJ144" s="210"/>
      <c r="AK144" s="209"/>
      <c r="AL144" s="200"/>
      <c r="AM144" s="80"/>
      <c r="AN144" s="80"/>
      <c r="AO144" s="210"/>
      <c r="AP144" s="80"/>
      <c r="AQ144" s="209"/>
    </row>
    <row r="145" spans="1:43" x14ac:dyDescent="0.25">
      <c r="I145" s="80"/>
      <c r="M145" s="154"/>
      <c r="N145" s="154"/>
      <c r="V145" s="211"/>
      <c r="Y145" s="211"/>
      <c r="Z145" s="305"/>
      <c r="AA145" s="211"/>
      <c r="AB145" s="211"/>
      <c r="AC145" s="211"/>
      <c r="AD145" s="211"/>
      <c r="AE145" s="211"/>
      <c r="AF145" s="211"/>
      <c r="AH145" s="80"/>
      <c r="AK145" s="212"/>
      <c r="AL145" s="211"/>
      <c r="AM145" s="80"/>
      <c r="AN145" s="80"/>
      <c r="AO145" s="210"/>
      <c r="AP145" s="80"/>
      <c r="AQ145" s="212"/>
    </row>
    <row r="146" spans="1:43" x14ac:dyDescent="0.25">
      <c r="A146" s="202"/>
      <c r="I146" s="80"/>
      <c r="R146" s="154"/>
      <c r="T146" s="154"/>
      <c r="V146" s="252"/>
      <c r="Y146" s="252"/>
      <c r="Z146" s="305"/>
      <c r="AA146" s="200"/>
      <c r="AB146" s="200"/>
      <c r="AC146" s="210"/>
      <c r="AD146" s="210"/>
      <c r="AE146" s="200"/>
      <c r="AF146" s="200"/>
      <c r="AH146" s="80"/>
      <c r="AK146" s="209"/>
      <c r="AL146" s="200"/>
      <c r="AM146" s="80"/>
      <c r="AN146" s="80"/>
      <c r="AO146" s="210"/>
      <c r="AP146" s="80"/>
      <c r="AQ146" s="209"/>
    </row>
    <row r="147" spans="1:43" x14ac:dyDescent="0.25">
      <c r="A147" s="202"/>
      <c r="I147" s="80"/>
      <c r="R147" s="154"/>
      <c r="AH147" s="80"/>
      <c r="AM147" s="80"/>
      <c r="AN147" s="80"/>
      <c r="AP147" s="80"/>
    </row>
    <row r="148" spans="1:43" x14ac:dyDescent="0.25">
      <c r="A148" s="154"/>
      <c r="I148" s="80"/>
      <c r="R148" s="154"/>
      <c r="T148" s="154"/>
      <c r="AH148" s="80"/>
      <c r="AM148" s="80"/>
      <c r="AN148" s="80"/>
      <c r="AP148" s="80"/>
    </row>
    <row r="149" spans="1:43" x14ac:dyDescent="0.25">
      <c r="I149" s="80"/>
      <c r="M149" s="154"/>
      <c r="N149" s="154"/>
      <c r="R149" s="202"/>
      <c r="T149" s="154"/>
      <c r="V149" s="200"/>
      <c r="Y149" s="252"/>
      <c r="Z149" s="300"/>
      <c r="AA149" s="200"/>
      <c r="AB149" s="200"/>
      <c r="AC149" s="210"/>
      <c r="AD149" s="210"/>
      <c r="AE149" s="200"/>
      <c r="AF149" s="200"/>
      <c r="AG149" s="325"/>
      <c r="AH149" s="80"/>
      <c r="AI149" s="326"/>
      <c r="AJ149" s="326"/>
      <c r="AK149" s="209"/>
      <c r="AL149" s="202"/>
      <c r="AM149" s="80"/>
      <c r="AN149" s="80"/>
      <c r="AO149" s="327"/>
      <c r="AP149" s="80"/>
      <c r="AQ149" s="209"/>
    </row>
    <row r="150" spans="1:43" x14ac:dyDescent="0.25">
      <c r="A150" s="102"/>
      <c r="B150" s="102"/>
      <c r="C150" s="102"/>
      <c r="D150" s="102"/>
      <c r="E150" s="102"/>
      <c r="F150" s="102"/>
      <c r="G150" s="102"/>
      <c r="H150" s="102"/>
      <c r="I150" s="80"/>
      <c r="J150" s="102"/>
      <c r="K150" s="102"/>
      <c r="L150" s="102"/>
      <c r="M150" s="102"/>
      <c r="N150" s="102"/>
      <c r="O150" s="102"/>
      <c r="P150" s="102"/>
      <c r="Q150" s="102"/>
      <c r="R150" s="102"/>
      <c r="T150" s="154"/>
      <c r="V150" s="200"/>
      <c r="Y150" s="252"/>
      <c r="Z150" s="300"/>
      <c r="AA150" s="200"/>
      <c r="AB150" s="200"/>
      <c r="AC150" s="210"/>
      <c r="AD150" s="210"/>
      <c r="AE150" s="200"/>
      <c r="AF150" s="200"/>
      <c r="AG150" s="209"/>
      <c r="AH150" s="80"/>
      <c r="AI150" s="201"/>
      <c r="AJ150" s="201"/>
      <c r="AK150" s="209"/>
      <c r="AL150" s="202"/>
      <c r="AM150" s="80"/>
      <c r="AN150" s="80"/>
      <c r="AO150" s="210"/>
      <c r="AP150" s="80"/>
      <c r="AQ150" s="209"/>
    </row>
    <row r="151" spans="1:43" x14ac:dyDescent="0.25">
      <c r="I151" s="80"/>
      <c r="M151" s="103"/>
      <c r="N151" s="103"/>
      <c r="O151" s="103"/>
      <c r="P151" s="103"/>
      <c r="R151" s="103"/>
      <c r="T151" s="154"/>
      <c r="V151" s="200"/>
      <c r="Y151" s="252"/>
      <c r="Z151" s="300"/>
      <c r="AA151" s="200"/>
      <c r="AB151" s="200"/>
      <c r="AC151" s="210"/>
      <c r="AD151" s="210"/>
      <c r="AE151" s="200"/>
      <c r="AF151" s="200"/>
      <c r="AG151" s="209"/>
      <c r="AH151" s="80"/>
      <c r="AI151" s="201"/>
      <c r="AJ151" s="201"/>
      <c r="AK151" s="209"/>
      <c r="AL151" s="202"/>
      <c r="AM151" s="80"/>
      <c r="AN151" s="80"/>
      <c r="AO151" s="210"/>
      <c r="AP151" s="80"/>
      <c r="AQ151" s="209"/>
    </row>
    <row r="152" spans="1:43" x14ac:dyDescent="0.25">
      <c r="I152" s="80"/>
      <c r="M152" s="103"/>
      <c r="N152" s="103"/>
      <c r="O152" s="103"/>
      <c r="P152" s="103"/>
      <c r="R152" s="103"/>
      <c r="V152" s="211"/>
      <c r="Y152" s="200"/>
      <c r="Z152" s="305"/>
      <c r="AA152" s="211"/>
      <c r="AB152" s="211"/>
      <c r="AC152" s="211"/>
      <c r="AD152" s="211"/>
      <c r="AE152" s="211"/>
      <c r="AF152" s="211"/>
      <c r="AH152" s="80"/>
      <c r="AK152" s="212"/>
      <c r="AL152" s="211"/>
      <c r="AM152" s="80"/>
      <c r="AN152" s="80"/>
      <c r="AO152" s="210"/>
      <c r="AP152" s="80"/>
      <c r="AQ152" s="212"/>
    </row>
    <row r="153" spans="1:43" x14ac:dyDescent="0.25">
      <c r="A153" s="103"/>
      <c r="C153" s="103"/>
      <c r="D153" s="103"/>
      <c r="E153" s="103"/>
      <c r="F153" s="103"/>
      <c r="I153" s="80"/>
      <c r="K153" s="103"/>
      <c r="L153" s="103"/>
      <c r="M153" s="103"/>
      <c r="N153" s="103"/>
      <c r="O153" s="103"/>
      <c r="P153" s="103"/>
      <c r="Q153" s="103"/>
      <c r="R153" s="103"/>
      <c r="T153" s="154"/>
      <c r="V153" s="200"/>
      <c r="Y153" s="200"/>
      <c r="Z153" s="305"/>
      <c r="AA153" s="200"/>
      <c r="AB153" s="200"/>
      <c r="AC153" s="210"/>
      <c r="AD153" s="210"/>
      <c r="AE153" s="200"/>
      <c r="AF153" s="200"/>
      <c r="AG153" s="209"/>
      <c r="AH153" s="80"/>
      <c r="AI153" s="201"/>
      <c r="AJ153" s="201"/>
      <c r="AK153" s="209"/>
      <c r="AL153" s="200"/>
      <c r="AM153" s="80"/>
      <c r="AN153" s="80"/>
      <c r="AO153" s="210"/>
      <c r="AP153" s="80"/>
      <c r="AQ153" s="209"/>
    </row>
    <row r="154" spans="1:43" x14ac:dyDescent="0.25">
      <c r="A154" s="103"/>
      <c r="C154" s="103"/>
      <c r="D154" s="103"/>
      <c r="E154" s="103"/>
      <c r="F154" s="103"/>
      <c r="H154" s="103"/>
      <c r="I154" s="80"/>
      <c r="J154" s="103"/>
      <c r="K154" s="103"/>
      <c r="L154" s="103"/>
      <c r="M154" s="103"/>
      <c r="N154" s="103"/>
      <c r="O154" s="103"/>
      <c r="P154" s="103"/>
      <c r="Q154" s="103"/>
      <c r="R154" s="103"/>
      <c r="V154" s="211"/>
      <c r="Y154" s="200"/>
      <c r="Z154" s="305"/>
      <c r="AA154" s="211"/>
      <c r="AB154" s="211"/>
      <c r="AC154" s="211"/>
      <c r="AD154" s="211"/>
      <c r="AE154" s="211"/>
      <c r="AF154" s="211"/>
      <c r="AH154" s="80"/>
      <c r="AK154" s="212"/>
      <c r="AL154" s="211"/>
      <c r="AM154" s="80"/>
      <c r="AN154" s="80"/>
      <c r="AO154" s="210"/>
      <c r="AP154" s="80"/>
      <c r="AQ154" s="212"/>
    </row>
    <row r="155" spans="1:43" x14ac:dyDescent="0.25">
      <c r="C155" s="103"/>
      <c r="D155" s="103"/>
      <c r="E155" s="103"/>
      <c r="F155" s="103"/>
      <c r="H155" s="103"/>
      <c r="I155" s="80"/>
      <c r="J155" s="103"/>
      <c r="K155" s="103"/>
      <c r="L155" s="103"/>
      <c r="M155" s="103"/>
      <c r="N155" s="103"/>
      <c r="O155" s="103"/>
      <c r="P155" s="103"/>
      <c r="Q155" s="103"/>
      <c r="R155" s="103"/>
      <c r="T155" s="154"/>
      <c r="V155" s="252"/>
      <c r="Y155" s="252"/>
      <c r="Z155" s="328"/>
      <c r="AA155" s="200"/>
      <c r="AB155" s="200"/>
      <c r="AC155" s="210"/>
      <c r="AD155" s="210"/>
      <c r="AE155" s="200"/>
      <c r="AF155" s="200"/>
      <c r="AG155" s="209"/>
      <c r="AH155" s="80"/>
      <c r="AI155" s="210"/>
      <c r="AJ155" s="210"/>
      <c r="AK155" s="209"/>
      <c r="AL155" s="200"/>
      <c r="AM155" s="80"/>
      <c r="AN155" s="80"/>
      <c r="AO155" s="210"/>
      <c r="AP155" s="80"/>
      <c r="AQ155" s="209"/>
    </row>
    <row r="156" spans="1:43" x14ac:dyDescent="0.25">
      <c r="A156" s="102"/>
      <c r="B156" s="102"/>
      <c r="C156" s="102"/>
      <c r="D156" s="102"/>
      <c r="E156" s="102"/>
      <c r="F156" s="102"/>
      <c r="G156" s="102"/>
      <c r="H156" s="102"/>
      <c r="I156" s="80"/>
      <c r="J156" s="102"/>
      <c r="K156" s="102"/>
      <c r="L156" s="102"/>
      <c r="M156" s="102"/>
      <c r="N156" s="102"/>
      <c r="O156" s="102"/>
      <c r="P156" s="102"/>
      <c r="Q156" s="102"/>
      <c r="R156" s="102"/>
      <c r="T156" s="154"/>
      <c r="V156" s="252"/>
      <c r="Y156" s="200"/>
      <c r="Z156" s="300"/>
      <c r="AA156" s="200"/>
      <c r="AB156" s="200"/>
      <c r="AC156" s="210"/>
      <c r="AD156" s="210"/>
      <c r="AE156" s="200"/>
      <c r="AF156" s="200"/>
      <c r="AG156" s="209"/>
      <c r="AH156" s="80"/>
      <c r="AI156" s="201"/>
      <c r="AJ156" s="201"/>
      <c r="AK156" s="209"/>
      <c r="AL156" s="200"/>
      <c r="AM156" s="80"/>
      <c r="AN156" s="80"/>
      <c r="AO156" s="210"/>
      <c r="AP156" s="80"/>
      <c r="AQ156" s="209"/>
    </row>
    <row r="157" spans="1:43" x14ac:dyDescent="0.25">
      <c r="H157" s="103"/>
      <c r="I157" s="80"/>
      <c r="J157" s="103"/>
      <c r="K157" s="103"/>
      <c r="L157" s="103"/>
      <c r="M157" s="103"/>
      <c r="N157" s="103"/>
      <c r="O157" s="103"/>
      <c r="P157" s="103"/>
      <c r="Q157" s="103"/>
      <c r="R157" s="103"/>
      <c r="T157" s="154"/>
      <c r="V157" s="252"/>
      <c r="Y157" s="200"/>
      <c r="Z157" s="300"/>
      <c r="AA157" s="200"/>
      <c r="AB157" s="200"/>
      <c r="AC157" s="210"/>
      <c r="AD157" s="210"/>
      <c r="AE157" s="200"/>
      <c r="AF157" s="200"/>
      <c r="AG157" s="209"/>
      <c r="AH157" s="80"/>
      <c r="AI157" s="201"/>
      <c r="AJ157" s="201"/>
      <c r="AK157" s="209"/>
      <c r="AL157" s="200"/>
      <c r="AM157" s="80"/>
      <c r="AN157" s="80"/>
      <c r="AO157" s="210"/>
      <c r="AP157" s="80"/>
      <c r="AQ157" s="209"/>
    </row>
    <row r="158" spans="1:43" x14ac:dyDescent="0.25">
      <c r="A158" s="202"/>
      <c r="C158" s="154"/>
      <c r="D158" s="154"/>
      <c r="E158" s="154"/>
      <c r="I158" s="80"/>
      <c r="V158" s="200"/>
      <c r="Y158" s="211"/>
      <c r="Z158" s="305"/>
      <c r="AA158" s="211"/>
      <c r="AB158" s="211"/>
      <c r="AC158" s="211"/>
      <c r="AD158" s="211"/>
      <c r="AE158" s="211"/>
      <c r="AF158" s="211"/>
      <c r="AH158" s="80"/>
      <c r="AK158" s="212"/>
      <c r="AL158" s="211"/>
      <c r="AM158" s="80"/>
      <c r="AN158" s="80"/>
      <c r="AO158" s="210"/>
      <c r="AP158" s="80"/>
      <c r="AQ158" s="212"/>
    </row>
    <row r="159" spans="1:43" x14ac:dyDescent="0.25">
      <c r="A159" s="202"/>
      <c r="D159" s="154"/>
      <c r="E159" s="154"/>
      <c r="I159" s="80"/>
      <c r="T159" s="154"/>
      <c r="V159" s="200"/>
      <c r="Y159" s="200"/>
      <c r="Z159" s="305"/>
      <c r="AA159" s="200"/>
      <c r="AB159" s="200"/>
      <c r="AC159" s="210"/>
      <c r="AD159" s="210"/>
      <c r="AE159" s="200"/>
      <c r="AF159" s="200"/>
      <c r="AG159" s="209"/>
      <c r="AH159" s="80"/>
      <c r="AI159" s="201"/>
      <c r="AJ159" s="201"/>
      <c r="AK159" s="209"/>
      <c r="AL159" s="200"/>
      <c r="AM159" s="80"/>
      <c r="AN159" s="80"/>
      <c r="AO159" s="210"/>
      <c r="AP159" s="80"/>
      <c r="AQ159" s="209"/>
    </row>
    <row r="160" spans="1:43" x14ac:dyDescent="0.25">
      <c r="I160" s="80"/>
      <c r="V160" s="200"/>
      <c r="Y160" s="211"/>
      <c r="Z160" s="305"/>
      <c r="AA160" s="211"/>
      <c r="AB160" s="211"/>
      <c r="AC160" s="211"/>
      <c r="AD160" s="211"/>
      <c r="AE160" s="211"/>
      <c r="AF160" s="211"/>
      <c r="AH160" s="80"/>
      <c r="AK160" s="212"/>
      <c r="AL160" s="211"/>
      <c r="AM160" s="80"/>
      <c r="AN160" s="80"/>
      <c r="AO160" s="210"/>
      <c r="AP160" s="80"/>
      <c r="AQ160" s="212"/>
    </row>
    <row r="161" spans="1:43" x14ac:dyDescent="0.25">
      <c r="A161" s="202"/>
      <c r="C161" s="154"/>
      <c r="F161" s="252"/>
      <c r="H161" s="252"/>
      <c r="I161" s="80"/>
      <c r="J161" s="252"/>
      <c r="K161" s="300"/>
      <c r="L161" s="300"/>
      <c r="M161" s="200"/>
      <c r="N161" s="200"/>
      <c r="O161" s="210"/>
      <c r="P161" s="210"/>
      <c r="R161" s="200"/>
      <c r="T161" s="154"/>
      <c r="V161" s="200"/>
      <c r="Y161" s="200"/>
      <c r="Z161" s="305"/>
      <c r="AA161" s="200"/>
      <c r="AB161" s="200"/>
      <c r="AC161" s="200"/>
      <c r="AD161" s="200"/>
      <c r="AE161" s="200"/>
      <c r="AF161" s="200"/>
      <c r="AG161" s="209"/>
      <c r="AH161" s="80"/>
      <c r="AI161" s="201"/>
      <c r="AJ161" s="201"/>
      <c r="AK161" s="209"/>
      <c r="AL161" s="200"/>
      <c r="AM161" s="80"/>
      <c r="AN161" s="80"/>
      <c r="AO161" s="210"/>
      <c r="AP161" s="80"/>
      <c r="AQ161" s="209"/>
    </row>
    <row r="162" spans="1:43" x14ac:dyDescent="0.25">
      <c r="A162" s="202"/>
      <c r="C162" s="154"/>
      <c r="F162" s="252"/>
      <c r="H162" s="252"/>
      <c r="I162" s="80"/>
      <c r="J162" s="252"/>
      <c r="K162" s="300"/>
      <c r="L162" s="300"/>
      <c r="M162" s="200"/>
      <c r="N162" s="200"/>
      <c r="O162" s="210"/>
      <c r="P162" s="210"/>
      <c r="Q162" s="202"/>
      <c r="R162" s="200"/>
      <c r="T162" s="154"/>
      <c r="V162" s="200"/>
      <c r="Y162" s="200"/>
      <c r="Z162" s="329"/>
      <c r="AA162" s="200"/>
      <c r="AB162" s="200"/>
      <c r="AC162" s="210"/>
      <c r="AD162" s="210"/>
      <c r="AE162" s="200"/>
      <c r="AF162" s="200"/>
      <c r="AG162" s="209"/>
      <c r="AH162" s="80"/>
      <c r="AI162" s="201"/>
      <c r="AJ162" s="201"/>
      <c r="AK162" s="209"/>
      <c r="AL162" s="200"/>
      <c r="AM162" s="80"/>
      <c r="AN162" s="80"/>
      <c r="AO162" s="210"/>
      <c r="AP162" s="80"/>
      <c r="AQ162" s="209"/>
    </row>
    <row r="163" spans="1:43" x14ac:dyDescent="0.25">
      <c r="F163" s="211"/>
      <c r="H163" s="200"/>
      <c r="I163" s="80"/>
      <c r="J163" s="200"/>
      <c r="K163" s="305"/>
      <c r="L163" s="305"/>
      <c r="M163" s="211"/>
      <c r="N163" s="211"/>
      <c r="O163" s="211"/>
      <c r="P163" s="211"/>
      <c r="Q163" s="211"/>
      <c r="R163" s="211"/>
      <c r="T163" s="154"/>
      <c r="Y163" s="200"/>
      <c r="Z163" s="329"/>
      <c r="AA163" s="200"/>
      <c r="AB163" s="200"/>
      <c r="AC163" s="210"/>
      <c r="AD163" s="210"/>
      <c r="AE163" s="200"/>
      <c r="AF163" s="200"/>
      <c r="AG163" s="209"/>
      <c r="AH163" s="80"/>
      <c r="AI163" s="201"/>
      <c r="AJ163" s="201"/>
      <c r="AK163" s="209"/>
      <c r="AL163" s="200"/>
      <c r="AM163" s="80"/>
      <c r="AN163" s="80"/>
      <c r="AO163" s="210"/>
      <c r="AP163" s="80"/>
      <c r="AQ163" s="209"/>
    </row>
    <row r="164" spans="1:43" x14ac:dyDescent="0.25">
      <c r="A164" s="202"/>
      <c r="C164" s="154"/>
      <c r="F164" s="200"/>
      <c r="H164" s="200"/>
      <c r="I164" s="80"/>
      <c r="J164" s="200"/>
      <c r="K164" s="305"/>
      <c r="L164" s="305"/>
      <c r="M164" s="200"/>
      <c r="N164" s="200"/>
      <c r="O164" s="210"/>
      <c r="P164" s="210"/>
      <c r="Q164" s="200"/>
      <c r="R164" s="200"/>
      <c r="V164" s="200"/>
      <c r="Y164" s="200"/>
      <c r="Z164" s="305"/>
      <c r="AA164" s="211"/>
      <c r="AB164" s="211"/>
      <c r="AC164" s="211"/>
      <c r="AD164" s="211"/>
      <c r="AE164" s="211"/>
      <c r="AF164" s="211"/>
      <c r="AH164" s="80"/>
      <c r="AK164" s="212"/>
      <c r="AL164" s="211"/>
      <c r="AM164" s="80"/>
      <c r="AN164" s="80"/>
      <c r="AO164" s="210"/>
      <c r="AP164" s="80"/>
      <c r="AQ164" s="212"/>
    </row>
    <row r="165" spans="1:43" x14ac:dyDescent="0.25">
      <c r="F165" s="211"/>
      <c r="H165" s="200"/>
      <c r="I165" s="80"/>
      <c r="J165" s="200"/>
      <c r="K165" s="305"/>
      <c r="L165" s="305"/>
      <c r="M165" s="211"/>
      <c r="N165" s="211"/>
      <c r="O165" s="211"/>
      <c r="P165" s="211"/>
      <c r="Q165" s="211"/>
      <c r="R165" s="211"/>
      <c r="T165" s="154"/>
      <c r="V165" s="200"/>
      <c r="Y165" s="200"/>
      <c r="Z165" s="213"/>
      <c r="AA165" s="200"/>
      <c r="AB165" s="200"/>
      <c r="AC165" s="210"/>
      <c r="AD165" s="210"/>
      <c r="AE165" s="200"/>
      <c r="AF165" s="200"/>
      <c r="AG165" s="209"/>
      <c r="AH165" s="80"/>
      <c r="AI165" s="201"/>
      <c r="AJ165" s="201"/>
      <c r="AK165" s="209"/>
      <c r="AL165" s="200"/>
      <c r="AM165" s="80"/>
      <c r="AN165" s="80"/>
      <c r="AO165" s="210"/>
      <c r="AP165" s="80"/>
      <c r="AQ165" s="209"/>
    </row>
    <row r="166" spans="1:43" x14ac:dyDescent="0.25">
      <c r="F166" s="200"/>
      <c r="H166" s="200"/>
      <c r="I166" s="80"/>
      <c r="J166" s="200"/>
      <c r="K166" s="305"/>
      <c r="L166" s="305"/>
      <c r="M166" s="200"/>
      <c r="N166" s="200"/>
      <c r="O166" s="210"/>
      <c r="P166" s="210"/>
      <c r="Q166" s="200"/>
      <c r="R166" s="200"/>
      <c r="V166" s="200"/>
      <c r="Y166" s="200"/>
      <c r="Z166" s="305"/>
      <c r="AA166" s="211"/>
      <c r="AB166" s="211"/>
      <c r="AC166" s="211"/>
      <c r="AD166" s="211"/>
      <c r="AE166" s="211"/>
      <c r="AF166" s="211"/>
      <c r="AH166" s="80"/>
      <c r="AK166" s="212"/>
      <c r="AL166" s="211"/>
      <c r="AM166" s="80"/>
      <c r="AN166" s="80"/>
      <c r="AO166" s="210"/>
      <c r="AP166" s="80"/>
      <c r="AQ166" s="212"/>
    </row>
    <row r="167" spans="1:43" x14ac:dyDescent="0.25">
      <c r="A167" s="202"/>
      <c r="C167" s="154"/>
      <c r="F167" s="252"/>
      <c r="H167" s="252"/>
      <c r="I167" s="80"/>
      <c r="J167" s="252"/>
      <c r="K167" s="300"/>
      <c r="L167" s="300"/>
      <c r="M167" s="200"/>
      <c r="N167" s="200"/>
      <c r="O167" s="210"/>
      <c r="P167" s="210"/>
      <c r="Q167" s="200"/>
      <c r="R167" s="200"/>
      <c r="T167" s="154"/>
      <c r="V167" s="200"/>
      <c r="Y167" s="200"/>
      <c r="Z167" s="213"/>
      <c r="AA167" s="200"/>
      <c r="AB167" s="200"/>
      <c r="AC167" s="210"/>
      <c r="AD167" s="210"/>
      <c r="AE167" s="200"/>
      <c r="AF167" s="200"/>
      <c r="AG167" s="209"/>
      <c r="AH167" s="80"/>
      <c r="AI167" s="201"/>
      <c r="AJ167" s="201"/>
      <c r="AK167" s="209"/>
      <c r="AL167" s="200"/>
      <c r="AM167" s="80"/>
      <c r="AN167" s="80"/>
      <c r="AO167" s="210"/>
      <c r="AP167" s="80"/>
      <c r="AQ167" s="209"/>
    </row>
    <row r="168" spans="1:43" x14ac:dyDescent="0.25">
      <c r="A168" s="202"/>
      <c r="C168" s="154"/>
      <c r="F168" s="252"/>
      <c r="H168" s="252"/>
      <c r="I168" s="80"/>
      <c r="J168" s="252"/>
      <c r="K168" s="300"/>
      <c r="L168" s="300"/>
      <c r="M168" s="200"/>
      <c r="N168" s="200"/>
      <c r="O168" s="210"/>
      <c r="P168" s="210"/>
      <c r="Q168" s="200"/>
      <c r="R168" s="200"/>
      <c r="T168" s="154"/>
      <c r="V168" s="252"/>
      <c r="Y168" s="200"/>
      <c r="Z168" s="320"/>
      <c r="AA168" s="200"/>
      <c r="AB168" s="200"/>
      <c r="AC168" s="210"/>
      <c r="AD168" s="210"/>
      <c r="AE168" s="200"/>
      <c r="AF168" s="200"/>
      <c r="AG168" s="209"/>
      <c r="AH168" s="80"/>
      <c r="AI168" s="201"/>
      <c r="AJ168" s="201"/>
      <c r="AK168" s="209"/>
      <c r="AL168" s="200"/>
      <c r="AM168" s="80"/>
      <c r="AN168" s="80"/>
      <c r="AO168" s="210"/>
      <c r="AP168" s="80"/>
      <c r="AQ168" s="209"/>
    </row>
    <row r="169" spans="1:43" x14ac:dyDescent="0.25">
      <c r="F169" s="200"/>
      <c r="H169" s="211"/>
      <c r="I169" s="80"/>
      <c r="J169" s="211"/>
      <c r="K169" s="305"/>
      <c r="L169" s="305"/>
      <c r="M169" s="211"/>
      <c r="N169" s="211"/>
      <c r="O169" s="211"/>
      <c r="P169" s="211"/>
      <c r="Q169" s="211"/>
      <c r="R169" s="211"/>
      <c r="V169" s="211"/>
      <c r="Y169" s="211"/>
      <c r="Z169" s="305"/>
      <c r="AA169" s="211"/>
      <c r="AB169" s="211"/>
      <c r="AC169" s="211"/>
      <c r="AD169" s="211"/>
      <c r="AE169" s="211"/>
      <c r="AF169" s="211"/>
      <c r="AH169" s="80"/>
      <c r="AK169" s="212"/>
      <c r="AL169" s="211"/>
      <c r="AM169" s="80"/>
      <c r="AN169" s="80"/>
      <c r="AO169" s="210"/>
      <c r="AP169" s="80"/>
      <c r="AQ169" s="212"/>
    </row>
    <row r="170" spans="1:43" x14ac:dyDescent="0.25">
      <c r="A170" s="202"/>
      <c r="C170" s="154"/>
      <c r="F170" s="200"/>
      <c r="H170" s="200"/>
      <c r="I170" s="80"/>
      <c r="J170" s="200"/>
      <c r="K170" s="305"/>
      <c r="L170" s="305"/>
      <c r="M170" s="200"/>
      <c r="N170" s="200"/>
      <c r="O170" s="210"/>
      <c r="P170" s="210"/>
      <c r="Q170" s="200"/>
      <c r="R170" s="200"/>
      <c r="T170" s="154"/>
      <c r="V170" s="200"/>
      <c r="Y170" s="200"/>
      <c r="Z170" s="305"/>
      <c r="AA170" s="200"/>
      <c r="AB170" s="200"/>
      <c r="AC170" s="210"/>
      <c r="AD170" s="210"/>
      <c r="AE170" s="200"/>
      <c r="AF170" s="200"/>
      <c r="AG170" s="209"/>
      <c r="AH170" s="80"/>
      <c r="AI170" s="210"/>
      <c r="AJ170" s="210"/>
      <c r="AK170" s="209"/>
      <c r="AL170" s="200"/>
      <c r="AM170" s="80"/>
      <c r="AN170" s="80"/>
      <c r="AO170" s="210"/>
      <c r="AP170" s="80"/>
      <c r="AQ170" s="209"/>
    </row>
    <row r="171" spans="1:43" x14ac:dyDescent="0.25">
      <c r="F171" s="200"/>
      <c r="H171" s="211"/>
      <c r="I171" s="80"/>
      <c r="J171" s="211"/>
      <c r="K171" s="305"/>
      <c r="L171" s="305"/>
      <c r="M171" s="211"/>
      <c r="N171" s="211"/>
      <c r="O171" s="211"/>
      <c r="P171" s="211"/>
      <c r="Q171" s="211"/>
      <c r="R171" s="211"/>
      <c r="V171" s="211"/>
      <c r="Y171" s="211"/>
      <c r="Z171" s="305"/>
      <c r="AA171" s="211"/>
      <c r="AB171" s="211"/>
      <c r="AC171" s="211"/>
      <c r="AD171" s="211"/>
      <c r="AE171" s="211"/>
      <c r="AF171" s="211"/>
      <c r="AH171" s="80"/>
      <c r="AK171" s="212"/>
      <c r="AL171" s="211"/>
      <c r="AM171" s="80"/>
      <c r="AN171" s="80"/>
      <c r="AO171" s="210"/>
      <c r="AP171" s="80"/>
      <c r="AQ171" s="212"/>
    </row>
    <row r="172" spans="1:43" x14ac:dyDescent="0.25">
      <c r="F172" s="200"/>
      <c r="H172" s="200"/>
      <c r="I172" s="80"/>
      <c r="J172" s="200"/>
      <c r="K172" s="305"/>
      <c r="L172" s="305"/>
      <c r="M172" s="200"/>
      <c r="N172" s="200"/>
      <c r="O172" s="200"/>
      <c r="P172" s="200"/>
      <c r="Q172" s="200"/>
      <c r="R172" s="200"/>
      <c r="T172" s="154"/>
      <c r="AH172" s="80"/>
      <c r="AM172" s="80"/>
      <c r="AN172" s="80"/>
      <c r="AP172" s="80"/>
    </row>
    <row r="173" spans="1:43" x14ac:dyDescent="0.25">
      <c r="A173" s="202"/>
      <c r="C173" s="154"/>
      <c r="F173" s="252"/>
      <c r="H173" s="252"/>
      <c r="I173" s="80"/>
      <c r="J173" s="252"/>
      <c r="K173" s="320"/>
      <c r="L173" s="320"/>
      <c r="M173" s="200"/>
      <c r="N173" s="200"/>
      <c r="O173" s="210"/>
      <c r="P173" s="210"/>
      <c r="Q173" s="252"/>
      <c r="R173" s="200"/>
      <c r="T173" s="154"/>
      <c r="V173" s="200"/>
      <c r="Y173" s="200"/>
      <c r="AA173" s="200"/>
      <c r="AB173" s="200"/>
      <c r="AC173" s="210"/>
      <c r="AD173" s="210"/>
      <c r="AE173" s="200"/>
      <c r="AF173" s="200"/>
      <c r="AG173" s="209"/>
      <c r="AH173" s="80"/>
      <c r="AI173" s="210"/>
      <c r="AJ173" s="210"/>
      <c r="AK173" s="325"/>
      <c r="AL173" s="252"/>
      <c r="AM173" s="80"/>
      <c r="AN173" s="80"/>
      <c r="AO173" s="210"/>
      <c r="AP173" s="80"/>
      <c r="AQ173" s="209"/>
    </row>
    <row r="174" spans="1:43" x14ac:dyDescent="0.25">
      <c r="A174" s="202"/>
      <c r="C174" s="154"/>
      <c r="F174" s="252"/>
      <c r="H174" s="252"/>
      <c r="I174" s="80"/>
      <c r="J174" s="252"/>
      <c r="K174" s="320"/>
      <c r="L174" s="320"/>
      <c r="M174" s="200"/>
      <c r="N174" s="200"/>
      <c r="O174" s="210"/>
      <c r="P174" s="210"/>
      <c r="Q174" s="252"/>
      <c r="R174" s="200"/>
      <c r="V174" s="211"/>
      <c r="Y174" s="211"/>
      <c r="Z174" s="305"/>
      <c r="AA174" s="211"/>
      <c r="AB174" s="211"/>
      <c r="AC174" s="211"/>
      <c r="AD174" s="211"/>
      <c r="AE174" s="211"/>
      <c r="AF174" s="211"/>
      <c r="AH174" s="80"/>
      <c r="AK174" s="212"/>
      <c r="AL174" s="211"/>
      <c r="AM174" s="80"/>
      <c r="AN174" s="80"/>
      <c r="AP174" s="80"/>
      <c r="AQ174" s="212"/>
    </row>
    <row r="175" spans="1:43" x14ac:dyDescent="0.25">
      <c r="A175" s="202"/>
      <c r="C175" s="154"/>
      <c r="F175" s="252"/>
      <c r="H175" s="252"/>
      <c r="I175" s="80"/>
      <c r="J175" s="252"/>
      <c r="K175" s="320"/>
      <c r="L175" s="320"/>
      <c r="M175" s="200"/>
      <c r="N175" s="200"/>
      <c r="O175" s="210"/>
      <c r="P175" s="210"/>
      <c r="Q175" s="252"/>
      <c r="R175" s="200"/>
      <c r="AM175" s="80"/>
      <c r="AN175" s="80"/>
      <c r="AP175" s="80"/>
    </row>
    <row r="176" spans="1:43" x14ac:dyDescent="0.25">
      <c r="F176" s="211"/>
      <c r="H176" s="211"/>
      <c r="I176" s="80"/>
      <c r="J176" s="211"/>
      <c r="K176" s="305"/>
      <c r="L176" s="305"/>
      <c r="M176" s="211"/>
      <c r="N176" s="211"/>
      <c r="O176" s="211"/>
      <c r="P176" s="211"/>
      <c r="Q176" s="211"/>
      <c r="R176" s="211"/>
      <c r="T176" s="154"/>
      <c r="AA176" s="200"/>
      <c r="AB176" s="200"/>
      <c r="AC176" s="200"/>
      <c r="AD176" s="200"/>
      <c r="AI176" s="200"/>
      <c r="AJ176" s="200"/>
      <c r="AK176" s="209"/>
      <c r="AL176" s="200"/>
      <c r="AM176" s="80"/>
      <c r="AN176" s="80"/>
      <c r="AP176" s="80"/>
    </row>
    <row r="177" spans="1:42" x14ac:dyDescent="0.25">
      <c r="A177" s="202"/>
      <c r="C177" s="154"/>
      <c r="F177" s="200"/>
      <c r="H177" s="200"/>
      <c r="I177" s="80"/>
      <c r="J177" s="200"/>
      <c r="K177" s="213"/>
      <c r="L177" s="213"/>
      <c r="M177" s="200"/>
      <c r="N177" s="200"/>
      <c r="O177" s="210"/>
      <c r="P177" s="210"/>
      <c r="Q177" s="200"/>
      <c r="R177" s="200"/>
      <c r="AM177" s="80"/>
      <c r="AN177" s="80"/>
      <c r="AP177" s="80"/>
    </row>
    <row r="178" spans="1:42" x14ac:dyDescent="0.25">
      <c r="F178" s="211"/>
      <c r="H178" s="211"/>
      <c r="I178" s="80"/>
      <c r="J178" s="211"/>
      <c r="K178" s="305"/>
      <c r="L178" s="305"/>
      <c r="M178" s="211"/>
      <c r="N178" s="211"/>
      <c r="O178" s="211"/>
      <c r="P178" s="211"/>
      <c r="Q178" s="211"/>
      <c r="R178" s="211"/>
      <c r="Z178" s="202"/>
      <c r="AM178" s="80"/>
      <c r="AN178" s="80"/>
      <c r="AP178" s="80"/>
    </row>
    <row r="179" spans="1:42" x14ac:dyDescent="0.25">
      <c r="A179" s="202"/>
      <c r="C179" s="154"/>
      <c r="F179" s="200"/>
      <c r="H179" s="200"/>
      <c r="I179" s="80"/>
      <c r="J179" s="200"/>
      <c r="K179" s="213"/>
      <c r="L179" s="213"/>
      <c r="M179" s="200"/>
      <c r="N179" s="200"/>
      <c r="O179" s="210"/>
      <c r="P179" s="210"/>
      <c r="Q179" s="200"/>
      <c r="R179" s="200"/>
      <c r="Y179" s="154"/>
      <c r="AM179" s="80"/>
      <c r="AN179" s="80"/>
      <c r="AP179" s="80"/>
    </row>
    <row r="180" spans="1:42" x14ac:dyDescent="0.25">
      <c r="A180" s="202"/>
      <c r="C180" s="154"/>
      <c r="F180" s="200"/>
      <c r="H180" s="200"/>
      <c r="I180" s="200"/>
      <c r="J180" s="213"/>
      <c r="K180" s="213"/>
      <c r="L180" s="200"/>
      <c r="M180" s="200"/>
      <c r="N180" s="210"/>
      <c r="O180" s="210"/>
      <c r="P180" s="200"/>
      <c r="Q180" s="200"/>
      <c r="R180" s="200"/>
      <c r="Z180" s="202"/>
      <c r="AM180" s="80"/>
      <c r="AN180" s="80"/>
      <c r="AP180" s="80"/>
    </row>
    <row r="181" spans="1:42" x14ac:dyDescent="0.25">
      <c r="F181" s="211"/>
      <c r="H181" s="211"/>
      <c r="I181" s="211"/>
      <c r="J181" s="305"/>
      <c r="K181" s="305"/>
      <c r="L181" s="211"/>
      <c r="M181" s="211"/>
      <c r="N181" s="211"/>
      <c r="O181" s="211"/>
      <c r="P181" s="211"/>
      <c r="Q181" s="211"/>
      <c r="R181" s="211"/>
      <c r="AA181" s="154"/>
      <c r="AB181" s="154"/>
      <c r="AM181" s="80"/>
      <c r="AN181" s="80"/>
      <c r="AP181" s="80"/>
    </row>
    <row r="182" spans="1:42" x14ac:dyDescent="0.25">
      <c r="F182" s="200"/>
      <c r="H182" s="200"/>
      <c r="I182" s="200"/>
      <c r="J182" s="213"/>
      <c r="K182" s="213"/>
      <c r="L182" s="200"/>
      <c r="M182" s="200"/>
      <c r="N182" s="200"/>
      <c r="O182" s="200"/>
      <c r="P182" s="200"/>
      <c r="Q182" s="200"/>
      <c r="R182" s="200"/>
      <c r="AK182" s="297"/>
      <c r="AL182" s="154"/>
      <c r="AM182" s="80"/>
      <c r="AN182" s="80"/>
      <c r="AP182" s="80"/>
    </row>
    <row r="183" spans="1:42" x14ac:dyDescent="0.25">
      <c r="C183" s="154"/>
      <c r="F183" s="200"/>
      <c r="H183" s="200"/>
      <c r="I183" s="200"/>
      <c r="J183" s="213"/>
      <c r="K183" s="213"/>
      <c r="L183" s="200"/>
      <c r="M183" s="200"/>
      <c r="N183" s="200"/>
      <c r="O183" s="200"/>
      <c r="P183" s="200"/>
      <c r="Q183" s="200"/>
      <c r="R183" s="200"/>
      <c r="AK183" s="297"/>
      <c r="AL183" s="154"/>
      <c r="AM183" s="80"/>
      <c r="AN183" s="80"/>
      <c r="AP183" s="80"/>
    </row>
    <row r="184" spans="1:42" x14ac:dyDescent="0.25">
      <c r="A184" s="154"/>
      <c r="AK184" s="297"/>
      <c r="AL184" s="154"/>
      <c r="AM184" s="80"/>
      <c r="AN184" s="80"/>
      <c r="AP184" s="80"/>
    </row>
    <row r="185" spans="1:42" x14ac:dyDescent="0.25">
      <c r="J185" s="202"/>
      <c r="K185" s="202"/>
      <c r="Z185" s="202"/>
      <c r="AM185" s="80"/>
      <c r="AN185" s="80"/>
      <c r="AP185" s="80"/>
    </row>
    <row r="186" spans="1:42" x14ac:dyDescent="0.25">
      <c r="H186" s="154"/>
      <c r="I186" s="154"/>
      <c r="Y186" s="154"/>
      <c r="AM186" s="80"/>
      <c r="AN186" s="80"/>
      <c r="AP186" s="80"/>
    </row>
    <row r="187" spans="1:42" x14ac:dyDescent="0.25">
      <c r="J187" s="202"/>
      <c r="K187" s="202"/>
      <c r="Z187" s="202"/>
      <c r="AM187" s="80"/>
      <c r="AN187" s="80"/>
      <c r="AP187" s="80"/>
    </row>
    <row r="188" spans="1:42" x14ac:dyDescent="0.25">
      <c r="L188" s="154"/>
      <c r="M188" s="154"/>
      <c r="AA188" s="154"/>
      <c r="AB188" s="154"/>
      <c r="AM188" s="80"/>
      <c r="AP188" s="80"/>
    </row>
    <row r="189" spans="1:42" x14ac:dyDescent="0.25">
      <c r="A189" s="202"/>
      <c r="R189" s="154"/>
      <c r="AK189" s="297"/>
      <c r="AL189" s="154"/>
      <c r="AP189" s="80"/>
    </row>
    <row r="190" spans="1:42" x14ac:dyDescent="0.25">
      <c r="A190" s="202"/>
      <c r="R190" s="154"/>
      <c r="AK190" s="297"/>
      <c r="AL190" s="154"/>
      <c r="AP190" s="80"/>
    </row>
    <row r="191" spans="1:42" x14ac:dyDescent="0.25">
      <c r="A191" s="154"/>
      <c r="R191" s="154"/>
      <c r="AK191" s="297"/>
      <c r="AL191" s="154"/>
      <c r="AP191" s="80"/>
    </row>
    <row r="192" spans="1:42" x14ac:dyDescent="0.25">
      <c r="L192" s="154"/>
      <c r="M192" s="154"/>
      <c r="R192" s="202"/>
      <c r="AA192" s="154"/>
      <c r="AB192" s="154"/>
      <c r="AK192" s="209"/>
      <c r="AL192" s="202"/>
      <c r="AP192" s="80"/>
    </row>
    <row r="193" spans="1:42" x14ac:dyDescent="0.25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208"/>
      <c r="AH193" s="102"/>
      <c r="AI193" s="102"/>
      <c r="AJ193" s="102"/>
      <c r="AK193" s="208"/>
      <c r="AL193" s="102"/>
      <c r="AM193" s="102"/>
      <c r="AN193" s="102"/>
      <c r="AP193" s="80"/>
    </row>
    <row r="194" spans="1:42" x14ac:dyDescent="0.25">
      <c r="L194" s="103"/>
      <c r="M194" s="103"/>
      <c r="N194" s="103"/>
      <c r="O194" s="103"/>
      <c r="R194" s="103"/>
      <c r="AA194" s="103"/>
      <c r="AB194" s="103"/>
      <c r="AC194" s="103"/>
      <c r="AD194" s="103"/>
      <c r="AE194" s="103"/>
      <c r="AF194" s="103"/>
      <c r="AG194" s="185"/>
      <c r="AH194" s="103"/>
      <c r="AK194" s="185"/>
      <c r="AL194" s="103"/>
      <c r="AM194" s="103"/>
      <c r="AN194" s="103"/>
      <c r="AP194" s="80"/>
    </row>
    <row r="195" spans="1:42" x14ac:dyDescent="0.25">
      <c r="L195" s="103"/>
      <c r="M195" s="103"/>
      <c r="N195" s="103"/>
      <c r="O195" s="103"/>
      <c r="R195" s="103"/>
      <c r="Z195" s="103"/>
      <c r="AA195" s="103"/>
      <c r="AB195" s="103"/>
      <c r="AC195" s="103"/>
      <c r="AD195" s="103"/>
      <c r="AE195" s="103"/>
      <c r="AF195" s="103"/>
      <c r="AG195" s="185"/>
      <c r="AH195" s="103"/>
      <c r="AK195" s="185"/>
      <c r="AL195" s="103"/>
      <c r="AM195" s="103"/>
      <c r="AN195" s="103"/>
      <c r="AP195" s="80"/>
    </row>
    <row r="196" spans="1:42" x14ac:dyDescent="0.25">
      <c r="A196" s="103"/>
      <c r="C196" s="103"/>
      <c r="D196" s="103"/>
      <c r="E196" s="103"/>
      <c r="F196" s="103"/>
      <c r="J196" s="103"/>
      <c r="K196" s="103"/>
      <c r="L196" s="103"/>
      <c r="M196" s="103"/>
      <c r="N196" s="103"/>
      <c r="O196" s="103"/>
      <c r="P196" s="103"/>
      <c r="Q196" s="103"/>
      <c r="R196" s="103"/>
      <c r="T196" s="103"/>
      <c r="U196" s="103"/>
      <c r="V196" s="103"/>
      <c r="Z196" s="103"/>
      <c r="AA196" s="103"/>
      <c r="AB196" s="103"/>
      <c r="AC196" s="103"/>
      <c r="AD196" s="103"/>
      <c r="AE196" s="103"/>
      <c r="AF196" s="103"/>
      <c r="AG196" s="185"/>
      <c r="AH196" s="103"/>
      <c r="AI196" s="103"/>
      <c r="AJ196" s="103"/>
      <c r="AK196" s="185"/>
      <c r="AL196" s="103"/>
      <c r="AM196" s="103"/>
      <c r="AN196" s="103"/>
      <c r="AP196" s="80"/>
    </row>
    <row r="197" spans="1:42" x14ac:dyDescent="0.25">
      <c r="A197" s="103"/>
      <c r="C197" s="103"/>
      <c r="D197" s="103"/>
      <c r="E197" s="103"/>
      <c r="F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T197" s="103"/>
      <c r="U197" s="103"/>
      <c r="V197" s="103"/>
      <c r="Y197" s="103"/>
      <c r="Z197" s="103"/>
      <c r="AA197" s="103"/>
      <c r="AB197" s="103"/>
      <c r="AC197" s="103"/>
      <c r="AD197" s="103"/>
      <c r="AE197" s="103"/>
      <c r="AF197" s="103"/>
      <c r="AG197" s="185"/>
      <c r="AH197" s="103"/>
      <c r="AI197" s="103"/>
      <c r="AJ197" s="103"/>
      <c r="AK197" s="185"/>
      <c r="AL197" s="103"/>
      <c r="AM197" s="103"/>
      <c r="AN197" s="103"/>
      <c r="AP197" s="80"/>
    </row>
    <row r="198" spans="1:42" x14ac:dyDescent="0.25">
      <c r="C198" s="103"/>
      <c r="D198" s="103"/>
      <c r="E198" s="103"/>
      <c r="F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T198" s="103"/>
      <c r="U198" s="103"/>
      <c r="V198" s="103"/>
      <c r="Y198" s="103"/>
      <c r="Z198" s="103"/>
      <c r="AA198" s="103"/>
      <c r="AB198" s="103"/>
      <c r="AC198" s="103"/>
      <c r="AD198" s="103"/>
      <c r="AE198" s="103"/>
      <c r="AF198" s="103"/>
      <c r="AG198" s="185"/>
      <c r="AH198" s="103"/>
      <c r="AI198" s="103"/>
      <c r="AJ198" s="103"/>
      <c r="AK198" s="185"/>
      <c r="AL198" s="103"/>
      <c r="AM198" s="103"/>
      <c r="AN198" s="103"/>
      <c r="AP198" s="80"/>
    </row>
    <row r="199" spans="1:42" x14ac:dyDescent="0.25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208"/>
      <c r="AH199" s="102"/>
      <c r="AI199" s="102"/>
      <c r="AJ199" s="102"/>
      <c r="AK199" s="208"/>
      <c r="AL199" s="102"/>
      <c r="AM199" s="102"/>
      <c r="AN199" s="102"/>
      <c r="AP199" s="80"/>
    </row>
    <row r="200" spans="1:42" x14ac:dyDescent="0.25"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Y200" s="103"/>
      <c r="Z200" s="103"/>
      <c r="AA200" s="103"/>
      <c r="AB200" s="103"/>
      <c r="AC200" s="103"/>
      <c r="AD200" s="103"/>
      <c r="AE200" s="103"/>
      <c r="AF200" s="103"/>
      <c r="AG200" s="185"/>
      <c r="AH200" s="103"/>
      <c r="AI200" s="103"/>
      <c r="AJ200" s="103"/>
      <c r="AK200" s="185"/>
      <c r="AL200" s="103"/>
      <c r="AM200" s="103"/>
      <c r="AN200" s="103"/>
      <c r="AP200" s="80"/>
    </row>
    <row r="201" spans="1:42" x14ac:dyDescent="0.25">
      <c r="A201" s="202"/>
      <c r="C201" s="154"/>
      <c r="D201" s="154"/>
      <c r="E201" s="154"/>
      <c r="T201" s="154"/>
      <c r="U201" s="154"/>
      <c r="AP201" s="80"/>
    </row>
    <row r="202" spans="1:42" x14ac:dyDescent="0.25">
      <c r="AP202" s="80"/>
    </row>
    <row r="203" spans="1:42" x14ac:dyDescent="0.25">
      <c r="A203" s="202"/>
      <c r="C203" s="154"/>
      <c r="F203" s="252"/>
      <c r="H203" s="317"/>
      <c r="I203" s="317"/>
      <c r="J203" s="300"/>
      <c r="K203" s="300"/>
      <c r="L203" s="200"/>
      <c r="M203" s="200"/>
      <c r="N203" s="202"/>
      <c r="O203" s="202"/>
      <c r="P203" s="202"/>
      <c r="Q203" s="202"/>
      <c r="R203" s="200"/>
      <c r="T203" s="154"/>
      <c r="V203" s="200"/>
      <c r="Y203" s="202"/>
      <c r="Z203" s="300"/>
      <c r="AA203" s="200"/>
      <c r="AB203" s="200"/>
      <c r="AC203" s="202"/>
      <c r="AD203" s="202"/>
      <c r="AE203" s="200"/>
      <c r="AF203" s="200"/>
      <c r="AG203" s="325"/>
      <c r="AH203" s="326"/>
      <c r="AI203" s="200"/>
      <c r="AJ203" s="200"/>
      <c r="AK203" s="209"/>
      <c r="AL203" s="200"/>
      <c r="AM203" s="327"/>
      <c r="AN203" s="327"/>
      <c r="AP203" s="80"/>
    </row>
    <row r="204" spans="1:42" x14ac:dyDescent="0.25">
      <c r="F204" s="252"/>
      <c r="H204" s="317"/>
      <c r="I204" s="317"/>
      <c r="J204" s="317"/>
      <c r="K204" s="317"/>
      <c r="R204" s="200"/>
      <c r="V204" s="200"/>
      <c r="Z204" s="317"/>
      <c r="AP204" s="80"/>
    </row>
    <row r="205" spans="1:42" x14ac:dyDescent="0.25">
      <c r="A205" s="202"/>
      <c r="C205" s="154"/>
      <c r="F205" s="252"/>
      <c r="H205" s="252"/>
      <c r="I205" s="252"/>
      <c r="J205" s="320"/>
      <c r="K205" s="320"/>
      <c r="L205" s="200"/>
      <c r="M205" s="200"/>
      <c r="N205" s="210"/>
      <c r="O205" s="210"/>
      <c r="P205" s="252"/>
      <c r="Q205" s="252"/>
      <c r="R205" s="200"/>
      <c r="T205" s="154"/>
      <c r="V205" s="200"/>
      <c r="Y205" s="200"/>
      <c r="Z205" s="304"/>
      <c r="AA205" s="200"/>
      <c r="AB205" s="200"/>
      <c r="AC205" s="210"/>
      <c r="AD205" s="210"/>
      <c r="AE205" s="200"/>
      <c r="AF205" s="200"/>
      <c r="AG205" s="209"/>
      <c r="AH205" s="201"/>
      <c r="AI205" s="252"/>
      <c r="AJ205" s="252"/>
      <c r="AK205" s="209"/>
      <c r="AL205" s="200"/>
      <c r="AM205" s="210"/>
      <c r="AN205" s="210"/>
      <c r="AP205" s="80"/>
    </row>
    <row r="206" spans="1:42" x14ac:dyDescent="0.25">
      <c r="F206" s="211"/>
      <c r="H206" s="211"/>
      <c r="I206" s="211"/>
      <c r="J206" s="305"/>
      <c r="K206" s="305"/>
      <c r="L206" s="211"/>
      <c r="M206" s="211"/>
      <c r="N206" s="211"/>
      <c r="O206" s="211"/>
      <c r="P206" s="211"/>
      <c r="Q206" s="211"/>
      <c r="R206" s="211"/>
      <c r="V206" s="211"/>
      <c r="Y206" s="211"/>
      <c r="Z206" s="305"/>
      <c r="AA206" s="211"/>
      <c r="AB206" s="211"/>
      <c r="AC206" s="211"/>
      <c r="AD206" s="211"/>
      <c r="AE206" s="211"/>
      <c r="AF206" s="211"/>
      <c r="AI206" s="211"/>
      <c r="AJ206" s="211"/>
      <c r="AK206" s="212"/>
      <c r="AL206" s="211"/>
      <c r="AP206" s="80"/>
    </row>
    <row r="207" spans="1:42" x14ac:dyDescent="0.25">
      <c r="A207" s="202"/>
      <c r="D207" s="154"/>
      <c r="E207" s="154"/>
      <c r="F207" s="200"/>
      <c r="H207" s="200"/>
      <c r="I207" s="200"/>
      <c r="J207" s="213"/>
      <c r="K207" s="213"/>
      <c r="L207" s="200"/>
      <c r="M207" s="200"/>
      <c r="N207" s="210"/>
      <c r="O207" s="210"/>
      <c r="P207" s="200"/>
      <c r="Q207" s="200"/>
      <c r="R207" s="200"/>
      <c r="U207" s="154"/>
      <c r="V207" s="200"/>
      <c r="Y207" s="200"/>
      <c r="Z207" s="213"/>
      <c r="AA207" s="200"/>
      <c r="AB207" s="200"/>
      <c r="AC207" s="210"/>
      <c r="AD207" s="210"/>
      <c r="AE207" s="200"/>
      <c r="AF207" s="200"/>
      <c r="AG207" s="209"/>
      <c r="AH207" s="201"/>
      <c r="AI207" s="200"/>
      <c r="AJ207" s="200"/>
      <c r="AK207" s="209"/>
      <c r="AL207" s="200"/>
      <c r="AM207" s="210"/>
      <c r="AN207" s="210"/>
      <c r="AP207" s="80"/>
    </row>
    <row r="208" spans="1:42" x14ac:dyDescent="0.25">
      <c r="F208" s="211"/>
      <c r="H208" s="211"/>
      <c r="I208" s="211"/>
      <c r="J208" s="305"/>
      <c r="K208" s="305"/>
      <c r="L208" s="211"/>
      <c r="M208" s="211"/>
      <c r="N208" s="211"/>
      <c r="O208" s="211"/>
      <c r="P208" s="211"/>
      <c r="Q208" s="211"/>
      <c r="R208" s="211"/>
      <c r="V208" s="211"/>
      <c r="Y208" s="211"/>
      <c r="Z208" s="305"/>
      <c r="AA208" s="211"/>
      <c r="AB208" s="211"/>
      <c r="AC208" s="211"/>
      <c r="AD208" s="211"/>
      <c r="AE208" s="211"/>
      <c r="AF208" s="211"/>
      <c r="AI208" s="211"/>
      <c r="AJ208" s="211"/>
      <c r="AK208" s="212"/>
      <c r="AL208" s="211"/>
      <c r="AP208" s="80"/>
    </row>
    <row r="209" spans="1:42" x14ac:dyDescent="0.25">
      <c r="R209" s="200"/>
      <c r="AP209" s="80"/>
    </row>
    <row r="210" spans="1:42" x14ac:dyDescent="0.25">
      <c r="R210" s="200"/>
      <c r="AP210" s="80"/>
    </row>
    <row r="211" spans="1:42" x14ac:dyDescent="0.25">
      <c r="R211" s="200"/>
      <c r="AP211" s="80"/>
    </row>
    <row r="212" spans="1:42" x14ac:dyDescent="0.25">
      <c r="A212" s="202"/>
      <c r="C212" s="154"/>
      <c r="D212" s="154"/>
      <c r="E212" s="154"/>
      <c r="H212" s="200"/>
      <c r="I212" s="200"/>
      <c r="J212" s="213"/>
      <c r="K212" s="213"/>
      <c r="L212" s="200"/>
      <c r="M212" s="200"/>
      <c r="N212" s="210"/>
      <c r="O212" s="210"/>
      <c r="P212" s="200"/>
      <c r="Q212" s="200"/>
      <c r="R212" s="200"/>
      <c r="T212" s="154"/>
      <c r="U212" s="154"/>
      <c r="Y212" s="200"/>
      <c r="Z212" s="213"/>
      <c r="AA212" s="200"/>
      <c r="AB212" s="200"/>
      <c r="AC212" s="210"/>
      <c r="AD212" s="210"/>
      <c r="AP212" s="80"/>
    </row>
    <row r="213" spans="1:42" x14ac:dyDescent="0.25">
      <c r="H213" s="200"/>
      <c r="I213" s="200"/>
      <c r="J213" s="213"/>
      <c r="K213" s="213"/>
      <c r="L213" s="200"/>
      <c r="M213" s="200"/>
      <c r="N213" s="210"/>
      <c r="O213" s="210"/>
      <c r="P213" s="200"/>
      <c r="Q213" s="200"/>
      <c r="R213" s="200"/>
      <c r="Y213" s="200"/>
      <c r="Z213" s="213"/>
      <c r="AA213" s="200"/>
      <c r="AB213" s="200"/>
      <c r="AC213" s="210"/>
      <c r="AD213" s="210"/>
      <c r="AP213" s="80"/>
    </row>
    <row r="214" spans="1:42" x14ac:dyDescent="0.25">
      <c r="A214" s="202"/>
      <c r="C214" s="154"/>
      <c r="F214" s="252"/>
      <c r="H214" s="252"/>
      <c r="I214" s="252"/>
      <c r="J214" s="214"/>
      <c r="K214" s="214"/>
      <c r="L214" s="252"/>
      <c r="M214" s="252"/>
      <c r="N214" s="210"/>
      <c r="O214" s="210"/>
      <c r="P214" s="200"/>
      <c r="Q214" s="200"/>
      <c r="R214" s="200"/>
      <c r="T214" s="154"/>
      <c r="V214" s="200"/>
      <c r="Y214" s="200"/>
      <c r="Z214" s="214"/>
      <c r="AA214" s="200"/>
      <c r="AB214" s="200"/>
      <c r="AC214" s="210"/>
      <c r="AD214" s="210"/>
      <c r="AE214" s="200"/>
      <c r="AF214" s="200"/>
      <c r="AG214" s="209"/>
      <c r="AH214" s="201"/>
      <c r="AI214" s="200"/>
      <c r="AJ214" s="200"/>
      <c r="AK214" s="209"/>
      <c r="AL214" s="200"/>
      <c r="AM214" s="210"/>
      <c r="AN214" s="210"/>
      <c r="AP214" s="80"/>
    </row>
    <row r="215" spans="1:42" x14ac:dyDescent="0.25">
      <c r="F215" s="252"/>
      <c r="H215" s="317"/>
      <c r="I215" s="317"/>
      <c r="J215" s="317"/>
      <c r="K215" s="317"/>
      <c r="R215" s="200"/>
      <c r="V215" s="200"/>
      <c r="Z215" s="317"/>
      <c r="AP215" s="80"/>
    </row>
    <row r="216" spans="1:42" x14ac:dyDescent="0.25">
      <c r="A216" s="202"/>
      <c r="C216" s="154"/>
      <c r="F216" s="252"/>
      <c r="H216" s="252"/>
      <c r="I216" s="252"/>
      <c r="J216" s="300"/>
      <c r="K216" s="300"/>
      <c r="L216" s="200"/>
      <c r="M216" s="200"/>
      <c r="N216" s="210"/>
      <c r="O216" s="210"/>
      <c r="P216" s="200"/>
      <c r="Q216" s="200"/>
      <c r="R216" s="200"/>
      <c r="T216" s="154"/>
      <c r="V216" s="200"/>
      <c r="Y216" s="200"/>
      <c r="Z216" s="300"/>
      <c r="AA216" s="200"/>
      <c r="AB216" s="200"/>
      <c r="AC216" s="210"/>
      <c r="AD216" s="210"/>
      <c r="AE216" s="200"/>
      <c r="AF216" s="200"/>
      <c r="AG216" s="209"/>
      <c r="AH216" s="201"/>
      <c r="AI216" s="200"/>
      <c r="AJ216" s="200"/>
      <c r="AK216" s="209"/>
      <c r="AL216" s="200"/>
      <c r="AM216" s="210"/>
      <c r="AN216" s="210"/>
      <c r="AP216" s="80"/>
    </row>
    <row r="217" spans="1:42" x14ac:dyDescent="0.25">
      <c r="F217" s="252"/>
      <c r="H217" s="317"/>
      <c r="I217" s="317"/>
      <c r="J217" s="317"/>
      <c r="K217" s="317"/>
      <c r="R217" s="200"/>
      <c r="V217" s="200"/>
      <c r="Z217" s="317"/>
      <c r="AP217" s="80"/>
    </row>
    <row r="218" spans="1:42" x14ac:dyDescent="0.25">
      <c r="A218" s="202"/>
      <c r="C218" s="154"/>
      <c r="F218" s="252"/>
      <c r="H218" s="252"/>
      <c r="I218" s="252"/>
      <c r="J218" s="320"/>
      <c r="K218" s="320"/>
      <c r="L218" s="200"/>
      <c r="M218" s="200"/>
      <c r="N218" s="210"/>
      <c r="O218" s="210"/>
      <c r="P218" s="200"/>
      <c r="Q218" s="200"/>
      <c r="R218" s="200"/>
      <c r="T218" s="154"/>
      <c r="V218" s="200"/>
      <c r="Y218" s="200"/>
      <c r="Z218" s="304"/>
      <c r="AA218" s="200"/>
      <c r="AB218" s="200"/>
      <c r="AC218" s="210"/>
      <c r="AD218" s="210"/>
      <c r="AE218" s="200"/>
      <c r="AF218" s="200"/>
      <c r="AG218" s="209"/>
      <c r="AH218" s="201"/>
      <c r="AI218" s="200"/>
      <c r="AJ218" s="200"/>
      <c r="AK218" s="209"/>
      <c r="AL218" s="200"/>
      <c r="AM218" s="210"/>
      <c r="AN218" s="210"/>
      <c r="AP218" s="80"/>
    </row>
    <row r="219" spans="1:42" x14ac:dyDescent="0.25">
      <c r="F219" s="211"/>
      <c r="H219" s="211"/>
      <c r="I219" s="211"/>
      <c r="J219" s="305"/>
      <c r="K219" s="305"/>
      <c r="L219" s="211"/>
      <c r="M219" s="211"/>
      <c r="N219" s="211"/>
      <c r="O219" s="211"/>
      <c r="P219" s="211"/>
      <c r="Q219" s="211"/>
      <c r="R219" s="211"/>
      <c r="S219" s="200"/>
      <c r="V219" s="211"/>
      <c r="Y219" s="211"/>
      <c r="Z219" s="305"/>
      <c r="AA219" s="211"/>
      <c r="AB219" s="211"/>
      <c r="AC219" s="211"/>
      <c r="AD219" s="211"/>
      <c r="AE219" s="211"/>
      <c r="AF219" s="211"/>
      <c r="AI219" s="211"/>
      <c r="AJ219" s="211"/>
      <c r="AK219" s="212"/>
      <c r="AL219" s="211"/>
      <c r="AP219" s="80"/>
    </row>
    <row r="220" spans="1:42" x14ac:dyDescent="0.25">
      <c r="A220" s="202"/>
      <c r="D220" s="154"/>
      <c r="E220" s="154"/>
      <c r="F220" s="200"/>
      <c r="H220" s="200"/>
      <c r="I220" s="200"/>
      <c r="J220" s="213"/>
      <c r="K220" s="213"/>
      <c r="L220" s="200"/>
      <c r="M220" s="200"/>
      <c r="N220" s="210"/>
      <c r="O220" s="210"/>
      <c r="P220" s="252"/>
      <c r="Q220" s="252"/>
      <c r="R220" s="200"/>
      <c r="S220" s="200"/>
      <c r="U220" s="154"/>
      <c r="V220" s="200"/>
      <c r="Y220" s="200"/>
      <c r="Z220" s="213"/>
      <c r="AA220" s="200"/>
      <c r="AB220" s="200"/>
      <c r="AC220" s="210"/>
      <c r="AD220" s="210"/>
      <c r="AE220" s="200"/>
      <c r="AF220" s="200"/>
      <c r="AG220" s="209"/>
      <c r="AH220" s="201"/>
      <c r="AI220" s="252"/>
      <c r="AJ220" s="252"/>
      <c r="AK220" s="209"/>
      <c r="AL220" s="200"/>
      <c r="AM220" s="210"/>
      <c r="AN220" s="210"/>
      <c r="AP220" s="80"/>
    </row>
    <row r="221" spans="1:42" x14ac:dyDescent="0.25">
      <c r="F221" s="211"/>
      <c r="H221" s="211"/>
      <c r="I221" s="211"/>
      <c r="J221" s="305"/>
      <c r="K221" s="305"/>
      <c r="L221" s="211"/>
      <c r="M221" s="211"/>
      <c r="N221" s="211"/>
      <c r="O221" s="211"/>
      <c r="P221" s="211"/>
      <c r="Q221" s="211"/>
      <c r="R221" s="211"/>
      <c r="S221" s="200"/>
      <c r="V221" s="211"/>
      <c r="Y221" s="211"/>
      <c r="Z221" s="305"/>
      <c r="AA221" s="211"/>
      <c r="AB221" s="211"/>
      <c r="AC221" s="211"/>
      <c r="AD221" s="211"/>
      <c r="AE221" s="211"/>
      <c r="AF221" s="211"/>
      <c r="AI221" s="211"/>
      <c r="AJ221" s="211"/>
      <c r="AK221" s="212"/>
      <c r="AL221" s="211"/>
      <c r="AP221" s="80"/>
    </row>
    <row r="222" spans="1:42" x14ac:dyDescent="0.25">
      <c r="R222" s="200"/>
      <c r="AP222" s="80"/>
    </row>
    <row r="223" spans="1:42" x14ac:dyDescent="0.25">
      <c r="F223" s="200"/>
      <c r="H223" s="200"/>
      <c r="I223" s="200"/>
      <c r="J223" s="213"/>
      <c r="K223" s="213"/>
      <c r="L223" s="200"/>
      <c r="M223" s="200"/>
      <c r="N223" s="200"/>
      <c r="O223" s="200"/>
      <c r="P223" s="200"/>
      <c r="Q223" s="200"/>
      <c r="R223" s="200"/>
      <c r="V223" s="200"/>
      <c r="Y223" s="200"/>
      <c r="Z223" s="213"/>
      <c r="AA223" s="200"/>
      <c r="AB223" s="200"/>
      <c r="AC223" s="200"/>
      <c r="AD223" s="200"/>
      <c r="AP223" s="80"/>
    </row>
    <row r="224" spans="1:42" x14ac:dyDescent="0.25">
      <c r="C224" s="154"/>
      <c r="F224" s="200"/>
      <c r="H224" s="200"/>
      <c r="I224" s="200"/>
      <c r="J224" s="213"/>
      <c r="K224" s="213"/>
      <c r="L224" s="200"/>
      <c r="M224" s="200"/>
      <c r="N224" s="200"/>
      <c r="O224" s="200"/>
      <c r="P224" s="200"/>
      <c r="Q224" s="200"/>
      <c r="R224" s="200"/>
      <c r="T224" s="154"/>
      <c r="V224" s="200"/>
      <c r="Y224" s="200"/>
      <c r="Z224" s="213"/>
      <c r="AA224" s="200"/>
      <c r="AB224" s="200"/>
      <c r="AC224" s="200"/>
      <c r="AD224" s="200"/>
      <c r="AP224" s="80"/>
    </row>
    <row r="225" spans="1:42" x14ac:dyDescent="0.25">
      <c r="C225" s="154"/>
      <c r="T225" s="154"/>
      <c r="AP225" s="80"/>
    </row>
    <row r="226" spans="1:42" x14ac:dyDescent="0.25">
      <c r="A226" s="154"/>
      <c r="AP226" s="80"/>
    </row>
    <row r="227" spans="1:42" x14ac:dyDescent="0.25">
      <c r="AP227" s="80"/>
    </row>
    <row r="228" spans="1:42" x14ac:dyDescent="0.25">
      <c r="J228" s="202"/>
      <c r="K228" s="202"/>
      <c r="Z228" s="202"/>
      <c r="AP228" s="80"/>
    </row>
    <row r="229" spans="1:42" x14ac:dyDescent="0.25">
      <c r="H229" s="154"/>
      <c r="I229" s="154"/>
      <c r="Y229" s="154"/>
    </row>
    <row r="230" spans="1:42" x14ac:dyDescent="0.25">
      <c r="J230" s="202"/>
      <c r="K230" s="202"/>
      <c r="Z230" s="202"/>
    </row>
    <row r="231" spans="1:42" x14ac:dyDescent="0.25">
      <c r="L231" s="154"/>
      <c r="M231" s="154"/>
      <c r="AA231" s="154"/>
      <c r="AB231" s="154"/>
    </row>
    <row r="232" spans="1:42" x14ac:dyDescent="0.25">
      <c r="A232" s="202"/>
      <c r="R232" s="154"/>
      <c r="AK232" s="297"/>
      <c r="AL232" s="154"/>
    </row>
    <row r="233" spans="1:42" x14ac:dyDescent="0.25">
      <c r="A233" s="202"/>
      <c r="R233" s="154"/>
      <c r="AK233" s="297"/>
      <c r="AL233" s="154"/>
    </row>
    <row r="234" spans="1:42" x14ac:dyDescent="0.25">
      <c r="A234" s="154"/>
      <c r="R234" s="154"/>
      <c r="AK234" s="297"/>
      <c r="AL234" s="154"/>
    </row>
    <row r="235" spans="1:42" x14ac:dyDescent="0.25">
      <c r="L235" s="154"/>
      <c r="M235" s="154"/>
      <c r="R235" s="202"/>
      <c r="AA235" s="154"/>
      <c r="AB235" s="154"/>
      <c r="AK235" s="209"/>
      <c r="AL235" s="202"/>
    </row>
    <row r="236" spans="1:42" x14ac:dyDescent="0.25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208"/>
      <c r="AH236" s="102"/>
      <c r="AI236" s="102"/>
      <c r="AJ236" s="102"/>
      <c r="AK236" s="208"/>
      <c r="AL236" s="102"/>
      <c r="AM236" s="102"/>
      <c r="AN236" s="102"/>
    </row>
    <row r="237" spans="1:42" x14ac:dyDescent="0.25">
      <c r="L237" s="103"/>
      <c r="M237" s="103"/>
      <c r="N237" s="103"/>
      <c r="O237" s="103"/>
      <c r="R237" s="103"/>
      <c r="AA237" s="103"/>
      <c r="AB237" s="103"/>
      <c r="AC237" s="103"/>
      <c r="AD237" s="103"/>
      <c r="AE237" s="103"/>
      <c r="AF237" s="103"/>
      <c r="AG237" s="185"/>
      <c r="AH237" s="103"/>
      <c r="AK237" s="185"/>
      <c r="AL237" s="103"/>
      <c r="AM237" s="103"/>
      <c r="AN237" s="103"/>
    </row>
    <row r="238" spans="1:42" x14ac:dyDescent="0.25">
      <c r="L238" s="103"/>
      <c r="M238" s="103"/>
      <c r="N238" s="103"/>
      <c r="O238" s="103"/>
      <c r="R238" s="103"/>
      <c r="Z238" s="103"/>
      <c r="AA238" s="103"/>
      <c r="AB238" s="103"/>
      <c r="AC238" s="103"/>
      <c r="AD238" s="103"/>
      <c r="AE238" s="103"/>
      <c r="AF238" s="103"/>
      <c r="AG238" s="185"/>
      <c r="AH238" s="103"/>
      <c r="AK238" s="185"/>
      <c r="AL238" s="103"/>
      <c r="AM238" s="103"/>
      <c r="AN238" s="103"/>
    </row>
    <row r="239" spans="1:42" x14ac:dyDescent="0.25">
      <c r="A239" s="103"/>
      <c r="C239" s="103"/>
      <c r="D239" s="103"/>
      <c r="E239" s="103"/>
      <c r="F239" s="103"/>
      <c r="J239" s="103"/>
      <c r="K239" s="103"/>
      <c r="L239" s="103"/>
      <c r="M239" s="103"/>
      <c r="N239" s="103"/>
      <c r="O239" s="103"/>
      <c r="P239" s="103"/>
      <c r="Q239" s="103"/>
      <c r="R239" s="103"/>
      <c r="T239" s="103"/>
      <c r="U239" s="103"/>
      <c r="V239" s="103"/>
      <c r="Z239" s="103"/>
      <c r="AA239" s="103"/>
      <c r="AB239" s="103"/>
      <c r="AC239" s="103"/>
      <c r="AD239" s="103"/>
      <c r="AE239" s="103"/>
      <c r="AF239" s="103"/>
      <c r="AG239" s="185"/>
      <c r="AH239" s="103"/>
      <c r="AI239" s="103"/>
      <c r="AJ239" s="103"/>
      <c r="AK239" s="185"/>
      <c r="AL239" s="103"/>
      <c r="AM239" s="103"/>
      <c r="AN239" s="103"/>
    </row>
    <row r="240" spans="1:42" x14ac:dyDescent="0.25">
      <c r="A240" s="103"/>
      <c r="C240" s="103"/>
      <c r="D240" s="103"/>
      <c r="E240" s="103"/>
      <c r="F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T240" s="103"/>
      <c r="U240" s="103"/>
      <c r="V240" s="103"/>
      <c r="Y240" s="103"/>
      <c r="Z240" s="103"/>
      <c r="AA240" s="103"/>
      <c r="AB240" s="103"/>
      <c r="AC240" s="103"/>
      <c r="AD240" s="103"/>
      <c r="AE240" s="103"/>
      <c r="AF240" s="103"/>
      <c r="AG240" s="185"/>
      <c r="AH240" s="103"/>
      <c r="AI240" s="103"/>
      <c r="AJ240" s="103"/>
      <c r="AK240" s="185"/>
      <c r="AL240" s="103"/>
      <c r="AM240" s="103"/>
      <c r="AN240" s="103"/>
    </row>
    <row r="241" spans="1:40" x14ac:dyDescent="0.25">
      <c r="C241" s="103"/>
      <c r="D241" s="103"/>
      <c r="E241" s="103"/>
      <c r="F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T241" s="103"/>
      <c r="U241" s="103"/>
      <c r="V241" s="103"/>
      <c r="Y241" s="103"/>
      <c r="Z241" s="103"/>
      <c r="AA241" s="103"/>
      <c r="AB241" s="103"/>
      <c r="AC241" s="103"/>
      <c r="AD241" s="103"/>
      <c r="AE241" s="103"/>
      <c r="AF241" s="103"/>
      <c r="AG241" s="185"/>
      <c r="AH241" s="103"/>
      <c r="AI241" s="103"/>
      <c r="AJ241" s="103"/>
      <c r="AK241" s="185"/>
      <c r="AL241" s="103"/>
      <c r="AM241" s="103"/>
      <c r="AN241" s="103"/>
    </row>
    <row r="242" spans="1:40" x14ac:dyDescent="0.25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208"/>
      <c r="AH242" s="102"/>
      <c r="AI242" s="102"/>
      <c r="AJ242" s="102"/>
      <c r="AK242" s="208"/>
      <c r="AL242" s="102"/>
      <c r="AM242" s="102"/>
      <c r="AN242" s="102"/>
    </row>
    <row r="243" spans="1:40" x14ac:dyDescent="0.25"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Y243" s="103"/>
      <c r="Z243" s="103"/>
      <c r="AA243" s="103"/>
      <c r="AB243" s="103"/>
      <c r="AC243" s="103"/>
      <c r="AD243" s="103"/>
      <c r="AE243" s="103"/>
      <c r="AF243" s="103"/>
      <c r="AG243" s="185"/>
      <c r="AH243" s="103"/>
      <c r="AI243" s="103"/>
      <c r="AJ243" s="103"/>
      <c r="AK243" s="185"/>
      <c r="AL243" s="103"/>
      <c r="AM243" s="103"/>
      <c r="AN243" s="103"/>
    </row>
    <row r="244" spans="1:40" x14ac:dyDescent="0.25">
      <c r="A244" s="202"/>
      <c r="C244" s="154"/>
      <c r="D244" s="154"/>
      <c r="E244" s="154"/>
      <c r="T244" s="154"/>
      <c r="U244" s="154"/>
    </row>
    <row r="245" spans="1:40" x14ac:dyDescent="0.25">
      <c r="A245" s="202"/>
      <c r="D245" s="154"/>
      <c r="E245" s="154"/>
      <c r="U245" s="154"/>
    </row>
    <row r="247" spans="1:40" x14ac:dyDescent="0.25">
      <c r="A247" s="202"/>
      <c r="C247" s="154"/>
      <c r="F247" s="200"/>
      <c r="J247" s="215"/>
      <c r="K247" s="215"/>
      <c r="L247" s="200"/>
      <c r="M247" s="200"/>
      <c r="R247" s="200"/>
      <c r="T247" s="154"/>
      <c r="V247" s="200"/>
      <c r="Z247" s="215"/>
      <c r="AA247" s="200"/>
      <c r="AB247" s="200"/>
      <c r="AK247" s="209"/>
      <c r="AL247" s="200"/>
    </row>
    <row r="248" spans="1:40" x14ac:dyDescent="0.25">
      <c r="F248" s="200"/>
      <c r="R248" s="200"/>
      <c r="V248" s="200"/>
      <c r="AK248" s="209"/>
      <c r="AL248" s="200"/>
    </row>
    <row r="249" spans="1:40" x14ac:dyDescent="0.25">
      <c r="A249" s="202"/>
      <c r="C249" s="154"/>
      <c r="F249" s="252"/>
      <c r="H249" s="252"/>
      <c r="I249" s="252"/>
      <c r="J249" s="300"/>
      <c r="K249" s="300"/>
      <c r="L249" s="200"/>
      <c r="M249" s="200"/>
      <c r="N249" s="210"/>
      <c r="O249" s="210"/>
      <c r="P249" s="200"/>
      <c r="Q249" s="200"/>
      <c r="R249" s="200"/>
      <c r="T249" s="154"/>
      <c r="V249" s="200"/>
      <c r="Y249" s="200"/>
      <c r="Z249" s="300"/>
      <c r="AA249" s="200"/>
      <c r="AB249" s="200"/>
      <c r="AC249" s="210"/>
      <c r="AD249" s="210"/>
      <c r="AE249" s="200"/>
      <c r="AF249" s="200"/>
      <c r="AG249" s="209"/>
      <c r="AH249" s="201"/>
      <c r="AI249" s="200"/>
      <c r="AJ249" s="200"/>
      <c r="AK249" s="209"/>
      <c r="AL249" s="200"/>
      <c r="AM249" s="210"/>
      <c r="AN249" s="210"/>
    </row>
    <row r="250" spans="1:40" x14ac:dyDescent="0.25">
      <c r="A250" s="202"/>
      <c r="C250" s="154"/>
      <c r="F250" s="252"/>
      <c r="H250" s="317"/>
      <c r="I250" s="317"/>
      <c r="J250" s="300"/>
      <c r="K250" s="300"/>
      <c r="L250" s="200"/>
      <c r="M250" s="200"/>
      <c r="N250" s="210"/>
      <c r="O250" s="210"/>
      <c r="P250" s="200"/>
      <c r="Q250" s="200"/>
      <c r="R250" s="200"/>
      <c r="T250" s="154"/>
      <c r="V250" s="200"/>
      <c r="Y250" s="200"/>
      <c r="Z250" s="300"/>
      <c r="AA250" s="200"/>
      <c r="AB250" s="200"/>
      <c r="AC250" s="210"/>
      <c r="AD250" s="210"/>
      <c r="AE250" s="200"/>
      <c r="AF250" s="200"/>
      <c r="AG250" s="209"/>
      <c r="AH250" s="201"/>
      <c r="AI250" s="200"/>
      <c r="AJ250" s="200"/>
      <c r="AK250" s="209"/>
      <c r="AL250" s="200"/>
      <c r="AM250" s="210"/>
      <c r="AN250" s="210"/>
    </row>
    <row r="251" spans="1:40" x14ac:dyDescent="0.25">
      <c r="F251" s="211"/>
      <c r="H251" s="200"/>
      <c r="I251" s="200"/>
      <c r="J251" s="305"/>
      <c r="K251" s="305"/>
      <c r="L251" s="211"/>
      <c r="M251" s="211"/>
      <c r="N251" s="211"/>
      <c r="O251" s="211"/>
      <c r="P251" s="211"/>
      <c r="Q251" s="211"/>
      <c r="R251" s="211"/>
      <c r="V251" s="211"/>
      <c r="Y251" s="200"/>
      <c r="Z251" s="305"/>
      <c r="AA251" s="211"/>
      <c r="AB251" s="211"/>
      <c r="AC251" s="211"/>
      <c r="AD251" s="211"/>
      <c r="AE251" s="211"/>
      <c r="AF251" s="211"/>
      <c r="AI251" s="211"/>
      <c r="AJ251" s="211"/>
      <c r="AK251" s="212"/>
      <c r="AL251" s="211"/>
    </row>
    <row r="252" spans="1:40" x14ac:dyDescent="0.25">
      <c r="A252" s="202"/>
      <c r="C252" s="154"/>
      <c r="F252" s="200"/>
      <c r="H252" s="200"/>
      <c r="I252" s="200"/>
      <c r="J252" s="213"/>
      <c r="K252" s="213"/>
      <c r="L252" s="200"/>
      <c r="M252" s="200"/>
      <c r="N252" s="210"/>
      <c r="O252" s="210"/>
      <c r="P252" s="200"/>
      <c r="Q252" s="200"/>
      <c r="R252" s="200"/>
      <c r="T252" s="154"/>
      <c r="V252" s="200"/>
      <c r="Y252" s="200"/>
      <c r="Z252" s="213"/>
      <c r="AA252" s="200"/>
      <c r="AB252" s="200"/>
      <c r="AC252" s="210"/>
      <c r="AD252" s="210"/>
      <c r="AE252" s="200"/>
      <c r="AF252" s="200"/>
      <c r="AG252" s="209"/>
      <c r="AH252" s="201"/>
      <c r="AI252" s="200"/>
      <c r="AJ252" s="200"/>
      <c r="AK252" s="209"/>
      <c r="AL252" s="200"/>
      <c r="AM252" s="210"/>
      <c r="AN252" s="210"/>
    </row>
    <row r="253" spans="1:40" x14ac:dyDescent="0.25">
      <c r="F253" s="211"/>
      <c r="H253" s="200"/>
      <c r="I253" s="200"/>
      <c r="J253" s="305"/>
      <c r="K253" s="305"/>
      <c r="L253" s="211"/>
      <c r="M253" s="211"/>
      <c r="N253" s="211"/>
      <c r="O253" s="211"/>
      <c r="P253" s="211"/>
      <c r="Q253" s="211"/>
      <c r="R253" s="211"/>
      <c r="V253" s="211"/>
      <c r="Y253" s="200"/>
      <c r="Z253" s="305"/>
      <c r="AA253" s="211"/>
      <c r="AB253" s="211"/>
      <c r="AC253" s="211"/>
      <c r="AD253" s="211"/>
      <c r="AE253" s="211"/>
      <c r="AF253" s="211"/>
      <c r="AI253" s="211"/>
      <c r="AJ253" s="211"/>
      <c r="AK253" s="212"/>
      <c r="AL253" s="211"/>
    </row>
    <row r="254" spans="1:40" x14ac:dyDescent="0.25">
      <c r="F254" s="200"/>
      <c r="R254" s="200"/>
      <c r="V254" s="200"/>
      <c r="AK254" s="209"/>
      <c r="AL254" s="200"/>
    </row>
    <row r="255" spans="1:40" x14ac:dyDescent="0.25">
      <c r="A255" s="202"/>
      <c r="C255" s="154"/>
      <c r="F255" s="200"/>
      <c r="R255" s="200"/>
      <c r="T255" s="154"/>
      <c r="V255" s="200"/>
      <c r="AK255" s="209"/>
      <c r="AL255" s="200"/>
    </row>
    <row r="256" spans="1:40" x14ac:dyDescent="0.25">
      <c r="F256" s="200"/>
      <c r="R256" s="200"/>
      <c r="V256" s="200"/>
      <c r="AK256" s="209"/>
      <c r="AL256" s="200"/>
    </row>
    <row r="257" spans="1:40" x14ac:dyDescent="0.25">
      <c r="A257" s="202"/>
      <c r="C257" s="154"/>
      <c r="F257" s="200"/>
      <c r="H257" s="252"/>
      <c r="I257" s="252"/>
      <c r="J257" s="320"/>
      <c r="K257" s="320"/>
      <c r="L257" s="200"/>
      <c r="M257" s="200"/>
      <c r="N257" s="210"/>
      <c r="O257" s="210"/>
      <c r="P257" s="252"/>
      <c r="Q257" s="252"/>
      <c r="R257" s="200"/>
      <c r="T257" s="154"/>
      <c r="V257" s="200"/>
      <c r="Y257" s="200"/>
      <c r="Z257" s="304"/>
      <c r="AA257" s="200"/>
      <c r="AB257" s="200"/>
      <c r="AC257" s="210"/>
      <c r="AD257" s="210"/>
      <c r="AE257" s="200"/>
      <c r="AF257" s="200"/>
      <c r="AG257" s="209"/>
      <c r="AH257" s="201"/>
      <c r="AI257" s="252"/>
      <c r="AJ257" s="252"/>
      <c r="AK257" s="209"/>
      <c r="AL257" s="200"/>
      <c r="AM257" s="210"/>
      <c r="AN257" s="210"/>
    </row>
    <row r="258" spans="1:40" x14ac:dyDescent="0.25">
      <c r="F258" s="211"/>
      <c r="H258" s="211"/>
      <c r="I258" s="211"/>
      <c r="J258" s="305"/>
      <c r="K258" s="305"/>
      <c r="L258" s="211"/>
      <c r="M258" s="211"/>
      <c r="N258" s="211"/>
      <c r="O258" s="211"/>
      <c r="P258" s="211"/>
      <c r="Q258" s="211"/>
      <c r="R258" s="211"/>
      <c r="V258" s="211"/>
      <c r="Y258" s="211"/>
      <c r="Z258" s="305"/>
      <c r="AA258" s="211"/>
      <c r="AB258" s="211"/>
      <c r="AC258" s="211"/>
      <c r="AD258" s="211"/>
      <c r="AE258" s="211"/>
      <c r="AF258" s="211"/>
      <c r="AI258" s="211"/>
      <c r="AJ258" s="211"/>
      <c r="AK258" s="212"/>
      <c r="AL258" s="211"/>
    </row>
    <row r="260" spans="1:40" x14ac:dyDescent="0.25">
      <c r="A260" s="202"/>
      <c r="C260" s="154"/>
      <c r="F260" s="200"/>
      <c r="H260" s="200"/>
      <c r="I260" s="200"/>
      <c r="J260" s="215"/>
      <c r="K260" s="215"/>
      <c r="L260" s="200"/>
      <c r="M260" s="200"/>
      <c r="N260" s="210"/>
      <c r="O260" s="210"/>
      <c r="P260" s="200"/>
      <c r="Q260" s="200"/>
      <c r="R260" s="200"/>
      <c r="T260" s="154"/>
      <c r="V260" s="200"/>
      <c r="Y260" s="200"/>
      <c r="Z260" s="215"/>
      <c r="AA260" s="200"/>
      <c r="AB260" s="200"/>
      <c r="AC260" s="210"/>
      <c r="AD260" s="210"/>
      <c r="AE260" s="200"/>
      <c r="AF260" s="200"/>
      <c r="AG260" s="209"/>
      <c r="AH260" s="201"/>
      <c r="AI260" s="200"/>
      <c r="AJ260" s="200"/>
      <c r="AK260" s="209"/>
      <c r="AL260" s="200"/>
      <c r="AM260" s="210"/>
      <c r="AN260" s="210"/>
    </row>
    <row r="261" spans="1:40" x14ac:dyDescent="0.25">
      <c r="F261" s="211"/>
      <c r="H261" s="211"/>
      <c r="I261" s="211"/>
      <c r="J261" s="305"/>
      <c r="K261" s="305"/>
      <c r="L261" s="211"/>
      <c r="M261" s="211"/>
      <c r="N261" s="211"/>
      <c r="O261" s="211"/>
      <c r="P261" s="211"/>
      <c r="Q261" s="211"/>
      <c r="R261" s="211"/>
      <c r="V261" s="211"/>
      <c r="Y261" s="211"/>
      <c r="Z261" s="305"/>
      <c r="AA261" s="211"/>
      <c r="AB261" s="211"/>
      <c r="AC261" s="211"/>
      <c r="AD261" s="211"/>
      <c r="AE261" s="211"/>
      <c r="AF261" s="211"/>
      <c r="AI261" s="211"/>
      <c r="AJ261" s="211"/>
      <c r="AK261" s="212"/>
      <c r="AL261" s="211"/>
    </row>
    <row r="262" spans="1:40" x14ac:dyDescent="0.25">
      <c r="R262" s="200"/>
      <c r="AG262" s="209"/>
      <c r="AH262" s="200"/>
    </row>
    <row r="263" spans="1:40" x14ac:dyDescent="0.25">
      <c r="F263" s="200"/>
      <c r="H263" s="200"/>
      <c r="I263" s="200"/>
      <c r="J263" s="213"/>
      <c r="K263" s="213"/>
      <c r="L263" s="200"/>
      <c r="M263" s="200"/>
      <c r="N263" s="200"/>
      <c r="O263" s="200"/>
      <c r="P263" s="200"/>
      <c r="Q263" s="200"/>
      <c r="R263" s="200"/>
      <c r="V263" s="200"/>
      <c r="Y263" s="200"/>
      <c r="Z263" s="213"/>
      <c r="AA263" s="200"/>
      <c r="AB263" s="200"/>
      <c r="AC263" s="200"/>
      <c r="AD263" s="200"/>
      <c r="AE263" s="200"/>
      <c r="AF263" s="200"/>
      <c r="AG263" s="209"/>
      <c r="AH263" s="200"/>
    </row>
    <row r="264" spans="1:40" x14ac:dyDescent="0.25">
      <c r="C264" s="154"/>
      <c r="F264" s="200"/>
      <c r="H264" s="200"/>
      <c r="I264" s="200"/>
      <c r="J264" s="213"/>
      <c r="K264" s="213"/>
      <c r="L264" s="200"/>
      <c r="M264" s="200"/>
      <c r="N264" s="200"/>
      <c r="O264" s="200"/>
      <c r="P264" s="200"/>
      <c r="Q264" s="200"/>
      <c r="R264" s="200"/>
      <c r="T264" s="154"/>
      <c r="V264" s="200"/>
      <c r="Y264" s="200"/>
      <c r="Z264" s="213"/>
      <c r="AA264" s="200"/>
      <c r="AB264" s="200"/>
      <c r="AC264" s="200"/>
      <c r="AD264" s="200"/>
      <c r="AE264" s="200"/>
      <c r="AF264" s="200"/>
      <c r="AG264" s="209"/>
      <c r="AH264" s="200"/>
    </row>
    <row r="265" spans="1:40" x14ac:dyDescent="0.25">
      <c r="A265" s="154"/>
    </row>
    <row r="267" spans="1:40" x14ac:dyDescent="0.25">
      <c r="J267" s="202"/>
      <c r="K267" s="202"/>
      <c r="Z267" s="202"/>
    </row>
    <row r="268" spans="1:40" x14ac:dyDescent="0.25">
      <c r="H268" s="154"/>
      <c r="I268" s="154"/>
      <c r="Y268" s="154"/>
    </row>
    <row r="269" spans="1:40" x14ac:dyDescent="0.25">
      <c r="J269" s="202"/>
      <c r="K269" s="202"/>
      <c r="Z269" s="202"/>
    </row>
    <row r="270" spans="1:40" x14ac:dyDescent="0.25">
      <c r="L270" s="154"/>
      <c r="M270" s="154"/>
      <c r="AA270" s="154"/>
      <c r="AB270" s="154"/>
    </row>
    <row r="271" spans="1:40" x14ac:dyDescent="0.25">
      <c r="A271" s="202"/>
      <c r="R271" s="154"/>
      <c r="AK271" s="297"/>
      <c r="AL271" s="154"/>
    </row>
    <row r="272" spans="1:40" x14ac:dyDescent="0.25">
      <c r="A272" s="202"/>
      <c r="R272" s="154"/>
      <c r="AK272" s="297"/>
      <c r="AL272" s="154"/>
    </row>
    <row r="273" spans="1:40" x14ac:dyDescent="0.25">
      <c r="A273" s="154"/>
      <c r="R273" s="154"/>
      <c r="AK273" s="297"/>
      <c r="AL273" s="154"/>
    </row>
    <row r="274" spans="1:40" x14ac:dyDescent="0.25">
      <c r="L274" s="154"/>
      <c r="M274" s="154"/>
      <c r="R274" s="202"/>
      <c r="AA274" s="154"/>
      <c r="AB274" s="154"/>
      <c r="AK274" s="209"/>
      <c r="AL274" s="202"/>
    </row>
    <row r="275" spans="1:40" x14ac:dyDescent="0.25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208"/>
      <c r="AH275" s="102"/>
      <c r="AI275" s="102"/>
      <c r="AJ275" s="102"/>
      <c r="AK275" s="208"/>
      <c r="AL275" s="102"/>
      <c r="AM275" s="102"/>
      <c r="AN275" s="102"/>
    </row>
    <row r="276" spans="1:40" x14ac:dyDescent="0.25">
      <c r="L276" s="103"/>
      <c r="M276" s="103"/>
      <c r="N276" s="103"/>
      <c r="O276" s="103"/>
      <c r="R276" s="103"/>
      <c r="AA276" s="103"/>
      <c r="AB276" s="103"/>
      <c r="AC276" s="103"/>
      <c r="AD276" s="103"/>
      <c r="AE276" s="103"/>
      <c r="AF276" s="103"/>
      <c r="AG276" s="185"/>
      <c r="AH276" s="103"/>
      <c r="AK276" s="185"/>
      <c r="AL276" s="103"/>
      <c r="AM276" s="103"/>
      <c r="AN276" s="103"/>
    </row>
    <row r="277" spans="1:40" x14ac:dyDescent="0.25">
      <c r="L277" s="103"/>
      <c r="M277" s="103"/>
      <c r="N277" s="103"/>
      <c r="O277" s="103"/>
      <c r="R277" s="103"/>
      <c r="Z277" s="103"/>
      <c r="AA277" s="103"/>
      <c r="AB277" s="103"/>
      <c r="AC277" s="103"/>
      <c r="AD277" s="103"/>
      <c r="AE277" s="103"/>
      <c r="AF277" s="103"/>
      <c r="AG277" s="185"/>
      <c r="AH277" s="103"/>
      <c r="AK277" s="185"/>
      <c r="AL277" s="103"/>
      <c r="AM277" s="103"/>
      <c r="AN277" s="103"/>
    </row>
    <row r="278" spans="1:40" x14ac:dyDescent="0.25">
      <c r="A278" s="103"/>
      <c r="C278" s="103"/>
      <c r="D278" s="103"/>
      <c r="E278" s="103"/>
      <c r="F278" s="103"/>
      <c r="J278" s="103"/>
      <c r="K278" s="103"/>
      <c r="L278" s="103"/>
      <c r="M278" s="103"/>
      <c r="N278" s="103"/>
      <c r="O278" s="103"/>
      <c r="P278" s="103"/>
      <c r="Q278" s="103"/>
      <c r="R278" s="103"/>
      <c r="T278" s="103"/>
      <c r="U278" s="103"/>
      <c r="V278" s="103"/>
      <c r="Z278" s="103"/>
      <c r="AA278" s="103"/>
      <c r="AB278" s="103"/>
      <c r="AC278" s="103"/>
      <c r="AD278" s="103"/>
      <c r="AE278" s="103"/>
      <c r="AF278" s="103"/>
      <c r="AG278" s="185"/>
      <c r="AH278" s="103"/>
      <c r="AI278" s="103"/>
      <c r="AJ278" s="103"/>
      <c r="AK278" s="185"/>
      <c r="AL278" s="103"/>
      <c r="AM278" s="103"/>
      <c r="AN278" s="103"/>
    </row>
    <row r="279" spans="1:40" x14ac:dyDescent="0.25">
      <c r="A279" s="103"/>
      <c r="C279" s="103"/>
      <c r="D279" s="103"/>
      <c r="E279" s="103"/>
      <c r="F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T279" s="103"/>
      <c r="U279" s="103"/>
      <c r="V279" s="103"/>
      <c r="Y279" s="103"/>
      <c r="Z279" s="103"/>
      <c r="AA279" s="103"/>
      <c r="AB279" s="103"/>
      <c r="AC279" s="103"/>
      <c r="AD279" s="103"/>
      <c r="AE279" s="103"/>
      <c r="AF279" s="103"/>
      <c r="AG279" s="185"/>
      <c r="AH279" s="103"/>
      <c r="AI279" s="103"/>
      <c r="AJ279" s="103"/>
      <c r="AK279" s="185"/>
      <c r="AL279" s="103"/>
      <c r="AM279" s="103"/>
      <c r="AN279" s="103"/>
    </row>
    <row r="280" spans="1:40" x14ac:dyDescent="0.25">
      <c r="C280" s="103"/>
      <c r="D280" s="103"/>
      <c r="E280" s="103"/>
      <c r="F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T280" s="103"/>
      <c r="U280" s="103"/>
      <c r="V280" s="103"/>
      <c r="Y280" s="103"/>
      <c r="Z280" s="103"/>
      <c r="AA280" s="103"/>
      <c r="AB280" s="103"/>
      <c r="AC280" s="103"/>
      <c r="AD280" s="103"/>
      <c r="AE280" s="103"/>
      <c r="AF280" s="103"/>
      <c r="AG280" s="185"/>
      <c r="AH280" s="103"/>
      <c r="AI280" s="103"/>
      <c r="AJ280" s="103"/>
      <c r="AK280" s="185"/>
      <c r="AL280" s="103"/>
      <c r="AM280" s="103"/>
      <c r="AN280" s="103"/>
    </row>
    <row r="281" spans="1:40" x14ac:dyDescent="0.2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208"/>
      <c r="AH281" s="102"/>
      <c r="AI281" s="102"/>
      <c r="AJ281" s="102"/>
      <c r="AK281" s="208"/>
      <c r="AL281" s="102"/>
      <c r="AM281" s="102"/>
      <c r="AN281" s="102"/>
    </row>
    <row r="282" spans="1:40" x14ac:dyDescent="0.25"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Y282" s="103"/>
      <c r="Z282" s="103"/>
      <c r="AA282" s="103"/>
      <c r="AB282" s="103"/>
      <c r="AC282" s="103"/>
      <c r="AD282" s="103"/>
      <c r="AE282" s="103"/>
      <c r="AF282" s="103"/>
      <c r="AG282" s="185"/>
      <c r="AH282" s="103"/>
      <c r="AI282" s="103"/>
      <c r="AJ282" s="103"/>
      <c r="AK282" s="185"/>
      <c r="AL282" s="103"/>
      <c r="AM282" s="103"/>
      <c r="AN282" s="103"/>
    </row>
    <row r="283" spans="1:40" x14ac:dyDescent="0.25">
      <c r="A283" s="202"/>
      <c r="C283" s="154"/>
      <c r="D283" s="154"/>
      <c r="E283" s="154"/>
      <c r="T283" s="154"/>
      <c r="U283" s="154"/>
    </row>
    <row r="284" spans="1:40" x14ac:dyDescent="0.25">
      <c r="A284" s="202"/>
      <c r="C284" s="154"/>
      <c r="T284" s="154"/>
    </row>
    <row r="286" spans="1:40" x14ac:dyDescent="0.25">
      <c r="A286" s="202"/>
      <c r="C286" s="154"/>
      <c r="F286" s="252"/>
      <c r="H286" s="252"/>
      <c r="I286" s="252"/>
      <c r="J286" s="300"/>
      <c r="K286" s="300"/>
      <c r="L286" s="200"/>
      <c r="M286" s="200"/>
      <c r="N286" s="210"/>
      <c r="O286" s="210"/>
      <c r="P286" s="202"/>
      <c r="Q286" s="202"/>
      <c r="R286" s="200"/>
      <c r="T286" s="154"/>
      <c r="V286" s="200"/>
      <c r="Y286" s="252"/>
      <c r="Z286" s="300"/>
      <c r="AA286" s="200"/>
      <c r="AB286" s="200"/>
      <c r="AC286" s="210"/>
      <c r="AD286" s="210"/>
      <c r="AE286" s="200"/>
      <c r="AF286" s="200"/>
      <c r="AG286" s="209"/>
      <c r="AH286" s="201"/>
      <c r="AI286" s="202"/>
      <c r="AJ286" s="202"/>
      <c r="AK286" s="209"/>
      <c r="AL286" s="200"/>
      <c r="AM286" s="210"/>
      <c r="AN286" s="210"/>
    </row>
    <row r="287" spans="1:40" x14ac:dyDescent="0.25">
      <c r="F287" s="211"/>
      <c r="H287" s="200"/>
      <c r="I287" s="200"/>
      <c r="J287" s="305"/>
      <c r="K287" s="305"/>
      <c r="L287" s="211"/>
      <c r="M287" s="211"/>
      <c r="N287" s="211"/>
      <c r="O287" s="211"/>
      <c r="P287" s="211"/>
      <c r="Q287" s="211"/>
      <c r="R287" s="211"/>
      <c r="V287" s="211"/>
      <c r="Y287" s="200"/>
      <c r="Z287" s="305"/>
      <c r="AA287" s="211"/>
      <c r="AB287" s="211"/>
      <c r="AC287" s="211"/>
      <c r="AD287" s="211"/>
      <c r="AE287" s="211"/>
      <c r="AF287" s="211"/>
      <c r="AI287" s="211"/>
      <c r="AJ287" s="211"/>
      <c r="AK287" s="212"/>
      <c r="AL287" s="211"/>
      <c r="AM287" s="210"/>
      <c r="AN287" s="210"/>
    </row>
    <row r="288" spans="1:40" x14ac:dyDescent="0.25">
      <c r="A288" s="202"/>
      <c r="C288" s="154"/>
      <c r="F288" s="252"/>
      <c r="H288" s="252"/>
      <c r="I288" s="252"/>
      <c r="J288" s="328"/>
      <c r="K288" s="328"/>
      <c r="L288" s="200"/>
      <c r="M288" s="200"/>
      <c r="N288" s="210"/>
      <c r="O288" s="210"/>
      <c r="P288" s="200"/>
      <c r="Q288" s="200"/>
      <c r="R288" s="200"/>
      <c r="S288" s="200"/>
      <c r="T288" s="154"/>
      <c r="V288" s="252"/>
      <c r="Y288" s="252"/>
      <c r="Z288" s="328"/>
      <c r="AA288" s="200"/>
      <c r="AB288" s="200"/>
      <c r="AC288" s="210"/>
      <c r="AD288" s="210"/>
      <c r="AE288" s="200"/>
      <c r="AF288" s="200"/>
      <c r="AG288" s="209"/>
      <c r="AH288" s="210"/>
      <c r="AI288" s="200"/>
      <c r="AJ288" s="200"/>
      <c r="AK288" s="209"/>
      <c r="AL288" s="200"/>
      <c r="AM288" s="210"/>
      <c r="AN288" s="210"/>
    </row>
    <row r="289" spans="1:40" x14ac:dyDescent="0.25">
      <c r="A289" s="202"/>
      <c r="C289" s="154"/>
      <c r="F289" s="252"/>
      <c r="H289" s="252"/>
      <c r="I289" s="252"/>
      <c r="J289" s="300"/>
      <c r="K289" s="300"/>
      <c r="L289" s="200"/>
      <c r="M289" s="200"/>
      <c r="N289" s="210"/>
      <c r="O289" s="210"/>
      <c r="P289" s="200"/>
      <c r="Q289" s="200"/>
      <c r="R289" s="200"/>
      <c r="T289" s="154"/>
      <c r="V289" s="252"/>
      <c r="Y289" s="200"/>
      <c r="Z289" s="300"/>
      <c r="AA289" s="200"/>
      <c r="AB289" s="200"/>
      <c r="AC289" s="210"/>
      <c r="AD289" s="210"/>
      <c r="AE289" s="200"/>
      <c r="AF289" s="200"/>
      <c r="AG289" s="209"/>
      <c r="AH289" s="201"/>
      <c r="AI289" s="200"/>
      <c r="AJ289" s="200"/>
      <c r="AK289" s="209"/>
      <c r="AL289" s="200"/>
      <c r="AM289" s="210"/>
      <c r="AN289" s="210"/>
    </row>
    <row r="290" spans="1:40" x14ac:dyDescent="0.25">
      <c r="A290" s="202"/>
      <c r="C290" s="154"/>
      <c r="F290" s="252"/>
      <c r="H290" s="252"/>
      <c r="I290" s="252"/>
      <c r="J290" s="300"/>
      <c r="K290" s="300"/>
      <c r="L290" s="200"/>
      <c r="M290" s="200"/>
      <c r="N290" s="210"/>
      <c r="O290" s="210"/>
      <c r="P290" s="200"/>
      <c r="Q290" s="200"/>
      <c r="R290" s="200"/>
      <c r="T290" s="154"/>
      <c r="V290" s="252"/>
      <c r="Y290" s="200"/>
      <c r="Z290" s="300"/>
      <c r="AA290" s="200"/>
      <c r="AB290" s="200"/>
      <c r="AC290" s="210"/>
      <c r="AD290" s="210"/>
      <c r="AE290" s="200"/>
      <c r="AF290" s="200"/>
      <c r="AG290" s="209"/>
      <c r="AH290" s="201"/>
      <c r="AI290" s="200"/>
      <c r="AJ290" s="200"/>
      <c r="AK290" s="209"/>
      <c r="AL290" s="200"/>
      <c r="AM290" s="210"/>
      <c r="AN290" s="210"/>
    </row>
    <row r="291" spans="1:40" x14ac:dyDescent="0.25">
      <c r="F291" s="211"/>
      <c r="H291" s="211"/>
      <c r="I291" s="211"/>
      <c r="J291" s="305"/>
      <c r="K291" s="305"/>
      <c r="L291" s="211"/>
      <c r="M291" s="211"/>
      <c r="N291" s="211"/>
      <c r="O291" s="211"/>
      <c r="P291" s="211"/>
      <c r="Q291" s="211"/>
      <c r="R291" s="211"/>
      <c r="V291" s="211"/>
      <c r="Y291" s="211"/>
      <c r="Z291" s="305"/>
      <c r="AA291" s="211"/>
      <c r="AB291" s="211"/>
      <c r="AC291" s="211"/>
      <c r="AD291" s="211"/>
      <c r="AE291" s="211"/>
      <c r="AF291" s="211"/>
      <c r="AI291" s="211"/>
      <c r="AJ291" s="211"/>
      <c r="AK291" s="212"/>
      <c r="AL291" s="211"/>
      <c r="AM291" s="210"/>
      <c r="AN291" s="210"/>
    </row>
    <row r="292" spans="1:40" x14ac:dyDescent="0.25">
      <c r="A292" s="202"/>
      <c r="C292" s="154"/>
      <c r="F292" s="200"/>
      <c r="H292" s="200"/>
      <c r="I292" s="200"/>
      <c r="J292" s="213"/>
      <c r="K292" s="213"/>
      <c r="L292" s="200"/>
      <c r="M292" s="200"/>
      <c r="N292" s="210"/>
      <c r="O292" s="210"/>
      <c r="P292" s="200"/>
      <c r="Q292" s="200"/>
      <c r="R292" s="200"/>
      <c r="T292" s="154"/>
      <c r="V292" s="200"/>
      <c r="Y292" s="200"/>
      <c r="Z292" s="213"/>
      <c r="AA292" s="200"/>
      <c r="AB292" s="200"/>
      <c r="AC292" s="210"/>
      <c r="AD292" s="210"/>
      <c r="AE292" s="200"/>
      <c r="AF292" s="200"/>
      <c r="AG292" s="209"/>
      <c r="AH292" s="201"/>
      <c r="AI292" s="200"/>
      <c r="AJ292" s="200"/>
      <c r="AK292" s="209"/>
      <c r="AL292" s="200"/>
      <c r="AM292" s="210"/>
      <c r="AN292" s="210"/>
    </row>
    <row r="293" spans="1:40" x14ac:dyDescent="0.25">
      <c r="F293" s="211"/>
      <c r="H293" s="211"/>
      <c r="I293" s="211"/>
      <c r="J293" s="305"/>
      <c r="K293" s="305"/>
      <c r="L293" s="211"/>
      <c r="M293" s="211"/>
      <c r="N293" s="211"/>
      <c r="O293" s="211"/>
      <c r="P293" s="211"/>
      <c r="Q293" s="211"/>
      <c r="R293" s="211"/>
      <c r="V293" s="211"/>
      <c r="Y293" s="211"/>
      <c r="Z293" s="305"/>
      <c r="AA293" s="211"/>
      <c r="AB293" s="211"/>
      <c r="AC293" s="211"/>
      <c r="AD293" s="211"/>
      <c r="AE293" s="211"/>
      <c r="AF293" s="211"/>
      <c r="AI293" s="211"/>
      <c r="AJ293" s="211"/>
      <c r="AK293" s="212"/>
      <c r="AL293" s="211"/>
      <c r="AM293" s="210"/>
      <c r="AN293" s="210"/>
    </row>
    <row r="294" spans="1:40" x14ac:dyDescent="0.25">
      <c r="A294" s="202"/>
      <c r="C294" s="154"/>
      <c r="F294" s="200"/>
      <c r="H294" s="200"/>
      <c r="I294" s="200"/>
      <c r="J294" s="213"/>
      <c r="K294" s="213"/>
      <c r="L294" s="200"/>
      <c r="M294" s="200"/>
      <c r="N294" s="210"/>
      <c r="O294" s="210"/>
      <c r="P294" s="200"/>
      <c r="Q294" s="200"/>
      <c r="R294" s="200"/>
      <c r="T294" s="154"/>
      <c r="V294" s="200"/>
      <c r="Y294" s="200"/>
      <c r="Z294" s="213"/>
      <c r="AA294" s="200"/>
      <c r="AB294" s="200"/>
      <c r="AC294" s="210"/>
      <c r="AD294" s="210"/>
      <c r="AE294" s="200"/>
      <c r="AF294" s="200"/>
      <c r="AG294" s="209"/>
      <c r="AH294" s="201"/>
      <c r="AI294" s="200"/>
      <c r="AJ294" s="200"/>
      <c r="AK294" s="209"/>
      <c r="AL294" s="200"/>
      <c r="AM294" s="210"/>
      <c r="AN294" s="210"/>
    </row>
    <row r="295" spans="1:40" x14ac:dyDescent="0.25">
      <c r="A295" s="202"/>
      <c r="C295" s="154"/>
      <c r="F295" s="200"/>
      <c r="H295" s="252"/>
      <c r="I295" s="252"/>
      <c r="J295" s="320"/>
      <c r="K295" s="320"/>
      <c r="L295" s="200"/>
      <c r="M295" s="200"/>
      <c r="N295" s="210"/>
      <c r="O295" s="210"/>
      <c r="P295" s="200"/>
      <c r="Q295" s="200"/>
      <c r="R295" s="200"/>
      <c r="T295" s="154"/>
      <c r="V295" s="200"/>
      <c r="Y295" s="200"/>
      <c r="Z295" s="304"/>
      <c r="AA295" s="200"/>
      <c r="AB295" s="200"/>
      <c r="AC295" s="210"/>
      <c r="AD295" s="210"/>
      <c r="AE295" s="200"/>
      <c r="AF295" s="200"/>
      <c r="AG295" s="209"/>
      <c r="AH295" s="201"/>
      <c r="AI295" s="200"/>
      <c r="AJ295" s="200"/>
      <c r="AK295" s="209"/>
      <c r="AL295" s="200"/>
      <c r="AM295" s="210"/>
      <c r="AN295" s="210"/>
    </row>
    <row r="296" spans="1:40" x14ac:dyDescent="0.25">
      <c r="F296" s="211"/>
      <c r="H296" s="211"/>
      <c r="I296" s="211"/>
      <c r="J296" s="305"/>
      <c r="K296" s="305"/>
      <c r="L296" s="211"/>
      <c r="M296" s="211"/>
      <c r="N296" s="211"/>
      <c r="O296" s="211"/>
      <c r="P296" s="211"/>
      <c r="Q296" s="211"/>
      <c r="R296" s="211"/>
      <c r="V296" s="211"/>
      <c r="Y296" s="211"/>
      <c r="Z296" s="305"/>
      <c r="AA296" s="211"/>
      <c r="AB296" s="211"/>
      <c r="AC296" s="211"/>
      <c r="AD296" s="211"/>
      <c r="AE296" s="211"/>
      <c r="AF296" s="211"/>
      <c r="AI296" s="211"/>
      <c r="AJ296" s="211"/>
      <c r="AK296" s="212"/>
      <c r="AL296" s="211"/>
      <c r="AM296" s="210"/>
      <c r="AN296" s="210"/>
    </row>
    <row r="298" spans="1:40" x14ac:dyDescent="0.25">
      <c r="A298" s="202"/>
      <c r="C298" s="154"/>
      <c r="F298" s="200"/>
      <c r="H298" s="200"/>
      <c r="I298" s="200"/>
      <c r="J298" s="305"/>
      <c r="K298" s="305"/>
      <c r="L298" s="200"/>
      <c r="M298" s="200"/>
      <c r="N298" s="210"/>
      <c r="O298" s="210"/>
      <c r="P298" s="200"/>
      <c r="Q298" s="200"/>
      <c r="R298" s="200"/>
      <c r="S298" s="200"/>
      <c r="T298" s="154"/>
      <c r="V298" s="200"/>
      <c r="Y298" s="200"/>
      <c r="Z298" s="305"/>
      <c r="AA298" s="200"/>
      <c r="AB298" s="200"/>
      <c r="AC298" s="210"/>
      <c r="AD298" s="210"/>
      <c r="AE298" s="200"/>
      <c r="AF298" s="200"/>
      <c r="AG298" s="209"/>
      <c r="AH298" s="210"/>
      <c r="AI298" s="200"/>
      <c r="AJ298" s="200"/>
      <c r="AK298" s="209"/>
      <c r="AL298" s="200"/>
      <c r="AM298" s="210"/>
      <c r="AN298" s="210"/>
    </row>
    <row r="299" spans="1:40" x14ac:dyDescent="0.25">
      <c r="F299" s="211"/>
      <c r="H299" s="211"/>
      <c r="I299" s="211"/>
      <c r="J299" s="305"/>
      <c r="K299" s="305"/>
      <c r="L299" s="211"/>
      <c r="M299" s="211"/>
      <c r="N299" s="211"/>
      <c r="O299" s="211"/>
      <c r="P299" s="211"/>
      <c r="Q299" s="211"/>
      <c r="R299" s="211"/>
      <c r="S299" s="200"/>
      <c r="V299" s="211"/>
      <c r="Y299" s="211"/>
      <c r="Z299" s="305"/>
      <c r="AA299" s="211"/>
      <c r="AB299" s="211"/>
      <c r="AC299" s="211"/>
      <c r="AD299" s="211"/>
      <c r="AE299" s="211"/>
      <c r="AF299" s="211"/>
      <c r="AI299" s="211"/>
      <c r="AJ299" s="211"/>
      <c r="AK299" s="212"/>
      <c r="AL299" s="211"/>
      <c r="AM299" s="210"/>
      <c r="AN299" s="210"/>
    </row>
    <row r="300" spans="1:40" x14ac:dyDescent="0.25">
      <c r="A300" s="202"/>
      <c r="C300" s="154"/>
      <c r="F300" s="252"/>
      <c r="H300" s="252"/>
      <c r="I300" s="252"/>
      <c r="J300" s="305"/>
      <c r="K300" s="305"/>
      <c r="L300" s="200"/>
      <c r="M300" s="200"/>
      <c r="N300" s="210"/>
      <c r="O300" s="210"/>
      <c r="P300" s="200"/>
      <c r="Q300" s="200"/>
      <c r="R300" s="200"/>
      <c r="S300" s="200"/>
      <c r="T300" s="154"/>
      <c r="V300" s="252"/>
      <c r="Y300" s="252"/>
      <c r="Z300" s="305"/>
      <c r="AA300" s="200"/>
      <c r="AB300" s="200"/>
      <c r="AC300" s="210"/>
      <c r="AD300" s="210"/>
      <c r="AE300" s="200"/>
      <c r="AF300" s="200"/>
      <c r="AI300" s="200"/>
      <c r="AJ300" s="200"/>
      <c r="AK300" s="209"/>
      <c r="AL300" s="200"/>
      <c r="AM300" s="210"/>
      <c r="AN300" s="210"/>
    </row>
    <row r="302" spans="1:40" x14ac:dyDescent="0.25">
      <c r="A302" s="202"/>
      <c r="C302" s="154"/>
      <c r="F302" s="252"/>
      <c r="H302" s="252"/>
      <c r="I302" s="252"/>
      <c r="J302" s="300"/>
      <c r="K302" s="300"/>
      <c r="L302" s="200"/>
      <c r="M302" s="200"/>
      <c r="N302" s="210"/>
      <c r="O302" s="210"/>
      <c r="P302" s="202"/>
      <c r="Q302" s="202"/>
      <c r="R302" s="200"/>
      <c r="T302" s="154"/>
      <c r="V302" s="200"/>
      <c r="Y302" s="252"/>
      <c r="Z302" s="300"/>
      <c r="AA302" s="200"/>
      <c r="AB302" s="200"/>
      <c r="AC302" s="210"/>
      <c r="AD302" s="210"/>
      <c r="AE302" s="200"/>
      <c r="AF302" s="200"/>
      <c r="AG302" s="209"/>
      <c r="AH302" s="201"/>
      <c r="AI302" s="202"/>
      <c r="AJ302" s="202"/>
      <c r="AK302" s="209"/>
      <c r="AL302" s="200"/>
      <c r="AM302" s="210"/>
      <c r="AN302" s="210"/>
    </row>
    <row r="303" spans="1:40" x14ac:dyDescent="0.25">
      <c r="F303" s="211"/>
      <c r="H303" s="200"/>
      <c r="I303" s="200"/>
      <c r="J303" s="305"/>
      <c r="K303" s="305"/>
      <c r="L303" s="211"/>
      <c r="M303" s="211"/>
      <c r="N303" s="211"/>
      <c r="O303" s="211"/>
      <c r="P303" s="211"/>
      <c r="Q303" s="211"/>
      <c r="R303" s="211"/>
      <c r="V303" s="211"/>
      <c r="Y303" s="200"/>
      <c r="Z303" s="305"/>
      <c r="AA303" s="211"/>
      <c r="AB303" s="211"/>
      <c r="AC303" s="211"/>
      <c r="AD303" s="211"/>
      <c r="AE303" s="211"/>
      <c r="AF303" s="211"/>
      <c r="AI303" s="211"/>
      <c r="AJ303" s="211"/>
      <c r="AK303" s="212"/>
      <c r="AL303" s="211"/>
      <c r="AM303" s="210"/>
      <c r="AN303" s="210"/>
    </row>
    <row r="304" spans="1:40" x14ac:dyDescent="0.25">
      <c r="A304" s="202"/>
      <c r="C304" s="154"/>
      <c r="F304" s="252"/>
      <c r="H304" s="252"/>
      <c r="I304" s="252"/>
      <c r="J304" s="328"/>
      <c r="K304" s="328"/>
      <c r="L304" s="200"/>
      <c r="M304" s="200"/>
      <c r="N304" s="210"/>
      <c r="O304" s="210"/>
      <c r="P304" s="200"/>
      <c r="Q304" s="200"/>
      <c r="R304" s="200"/>
      <c r="S304" s="200"/>
      <c r="T304" s="154"/>
      <c r="V304" s="252"/>
      <c r="Y304" s="252"/>
      <c r="Z304" s="328"/>
      <c r="AA304" s="200"/>
      <c r="AB304" s="200"/>
      <c r="AC304" s="210"/>
      <c r="AD304" s="210"/>
      <c r="AE304" s="200"/>
      <c r="AF304" s="200"/>
      <c r="AG304" s="209"/>
      <c r="AH304" s="210"/>
      <c r="AI304" s="200"/>
      <c r="AJ304" s="200"/>
      <c r="AK304" s="209"/>
      <c r="AL304" s="200"/>
      <c r="AM304" s="210"/>
      <c r="AN304" s="210"/>
    </row>
    <row r="305" spans="1:40" x14ac:dyDescent="0.25">
      <c r="A305" s="202"/>
      <c r="C305" s="154"/>
      <c r="F305" s="252"/>
      <c r="H305" s="252"/>
      <c r="I305" s="252"/>
      <c r="J305" s="300"/>
      <c r="K305" s="300"/>
      <c r="L305" s="200"/>
      <c r="M305" s="200"/>
      <c r="N305" s="210"/>
      <c r="O305" s="210"/>
      <c r="P305" s="200"/>
      <c r="Q305" s="200"/>
      <c r="R305" s="200"/>
      <c r="T305" s="154"/>
      <c r="V305" s="252"/>
      <c r="Y305" s="200"/>
      <c r="Z305" s="300"/>
      <c r="AA305" s="200"/>
      <c r="AB305" s="200"/>
      <c r="AC305" s="210"/>
      <c r="AD305" s="210"/>
      <c r="AE305" s="200"/>
      <c r="AF305" s="200"/>
      <c r="AG305" s="209"/>
      <c r="AH305" s="201"/>
      <c r="AI305" s="200"/>
      <c r="AJ305" s="200"/>
      <c r="AK305" s="209"/>
      <c r="AL305" s="200"/>
      <c r="AM305" s="210"/>
      <c r="AN305" s="210"/>
    </row>
    <row r="306" spans="1:40" x14ac:dyDescent="0.25">
      <c r="A306" s="202"/>
      <c r="C306" s="154"/>
      <c r="F306" s="252"/>
      <c r="H306" s="252"/>
      <c r="I306" s="252"/>
      <c r="J306" s="300"/>
      <c r="K306" s="300"/>
      <c r="L306" s="200"/>
      <c r="M306" s="200"/>
      <c r="N306" s="210"/>
      <c r="O306" s="210"/>
      <c r="P306" s="200"/>
      <c r="Q306" s="200"/>
      <c r="R306" s="200"/>
      <c r="T306" s="154"/>
      <c r="V306" s="252"/>
      <c r="Y306" s="200"/>
      <c r="Z306" s="300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F307" s="211"/>
      <c r="H307" s="211"/>
      <c r="I307" s="211"/>
      <c r="J307" s="305"/>
      <c r="K307" s="305"/>
      <c r="L307" s="211"/>
      <c r="M307" s="211"/>
      <c r="N307" s="211"/>
      <c r="O307" s="211"/>
      <c r="P307" s="211"/>
      <c r="Q307" s="211"/>
      <c r="R307" s="211"/>
      <c r="V307" s="211"/>
      <c r="Y307" s="211"/>
      <c r="Z307" s="305"/>
      <c r="AA307" s="211"/>
      <c r="AB307" s="211"/>
      <c r="AC307" s="211"/>
      <c r="AD307" s="211"/>
      <c r="AE307" s="211"/>
      <c r="AF307" s="211"/>
      <c r="AI307" s="211"/>
      <c r="AJ307" s="211"/>
      <c r="AK307" s="212"/>
      <c r="AL307" s="211"/>
      <c r="AM307" s="210"/>
      <c r="AN307" s="210"/>
    </row>
    <row r="308" spans="1:40" x14ac:dyDescent="0.25">
      <c r="A308" s="202"/>
      <c r="C308" s="154"/>
      <c r="F308" s="200"/>
      <c r="H308" s="200"/>
      <c r="I308" s="200"/>
      <c r="J308" s="213"/>
      <c r="K308" s="213"/>
      <c r="L308" s="200"/>
      <c r="M308" s="200"/>
      <c r="N308" s="210"/>
      <c r="O308" s="210"/>
      <c r="P308" s="200"/>
      <c r="Q308" s="200"/>
      <c r="R308" s="200"/>
      <c r="T308" s="154"/>
      <c r="V308" s="200"/>
      <c r="Y308" s="200"/>
      <c r="Z308" s="213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F309" s="211"/>
      <c r="H309" s="211"/>
      <c r="I309" s="211"/>
      <c r="J309" s="305"/>
      <c r="K309" s="305"/>
      <c r="L309" s="211"/>
      <c r="M309" s="211"/>
      <c r="N309" s="211"/>
      <c r="O309" s="211"/>
      <c r="P309" s="211"/>
      <c r="Q309" s="211"/>
      <c r="R309" s="211"/>
      <c r="V309" s="211"/>
      <c r="Y309" s="211"/>
      <c r="Z309" s="305"/>
      <c r="AA309" s="211"/>
      <c r="AB309" s="211"/>
      <c r="AC309" s="211"/>
      <c r="AD309" s="211"/>
      <c r="AE309" s="211"/>
      <c r="AF309" s="211"/>
      <c r="AI309" s="211"/>
      <c r="AJ309" s="211"/>
      <c r="AK309" s="212"/>
      <c r="AL309" s="211"/>
      <c r="AM309" s="210"/>
      <c r="AN309" s="210"/>
    </row>
    <row r="310" spans="1:40" x14ac:dyDescent="0.25">
      <c r="A310" s="202"/>
      <c r="C310" s="154"/>
      <c r="F310" s="200"/>
      <c r="H310" s="200"/>
      <c r="I310" s="200"/>
      <c r="J310" s="213"/>
      <c r="K310" s="213"/>
      <c r="L310" s="200"/>
      <c r="M310" s="200"/>
      <c r="N310" s="210"/>
      <c r="O310" s="210"/>
      <c r="P310" s="200"/>
      <c r="Q310" s="200"/>
      <c r="R310" s="200"/>
      <c r="T310" s="154"/>
      <c r="V310" s="200"/>
      <c r="Y310" s="200"/>
      <c r="Z310" s="213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A311" s="202"/>
      <c r="C311" s="154"/>
      <c r="F311" s="200"/>
      <c r="H311" s="252"/>
      <c r="I311" s="252"/>
      <c r="J311" s="320"/>
      <c r="K311" s="320"/>
      <c r="L311" s="200"/>
      <c r="M311" s="200"/>
      <c r="N311" s="210"/>
      <c r="O311" s="210"/>
      <c r="P311" s="200"/>
      <c r="Q311" s="200"/>
      <c r="R311" s="200"/>
      <c r="T311" s="154"/>
      <c r="V311" s="200"/>
      <c r="Y311" s="200"/>
      <c r="Z311" s="304"/>
      <c r="AA311" s="200"/>
      <c r="AB311" s="200"/>
      <c r="AC311" s="210"/>
      <c r="AD311" s="210"/>
      <c r="AE311" s="200"/>
      <c r="AF311" s="200"/>
      <c r="AG311" s="209"/>
      <c r="AH311" s="201"/>
      <c r="AI311" s="200"/>
      <c r="AJ311" s="200"/>
      <c r="AK311" s="209"/>
      <c r="AL311" s="200"/>
      <c r="AM311" s="210"/>
      <c r="AN311" s="210"/>
    </row>
    <row r="312" spans="1:40" x14ac:dyDescent="0.25">
      <c r="F312" s="211"/>
      <c r="H312" s="211"/>
      <c r="I312" s="211"/>
      <c r="J312" s="305"/>
      <c r="K312" s="305"/>
      <c r="L312" s="211"/>
      <c r="M312" s="211"/>
      <c r="N312" s="211"/>
      <c r="O312" s="211"/>
      <c r="P312" s="211"/>
      <c r="Q312" s="211"/>
      <c r="R312" s="211"/>
      <c r="V312" s="211"/>
      <c r="Y312" s="211"/>
      <c r="Z312" s="305"/>
      <c r="AA312" s="211"/>
      <c r="AB312" s="211"/>
      <c r="AC312" s="211"/>
      <c r="AD312" s="211"/>
      <c r="AE312" s="211"/>
      <c r="AF312" s="211"/>
      <c r="AI312" s="211"/>
      <c r="AJ312" s="211"/>
      <c r="AK312" s="212"/>
      <c r="AL312" s="211"/>
      <c r="AM312" s="210"/>
      <c r="AN312" s="210"/>
    </row>
    <row r="314" spans="1:40" x14ac:dyDescent="0.25">
      <c r="A314" s="202"/>
      <c r="C314" s="154"/>
      <c r="F314" s="200"/>
      <c r="H314" s="200"/>
      <c r="I314" s="200"/>
      <c r="J314" s="305"/>
      <c r="K314" s="305"/>
      <c r="L314" s="200"/>
      <c r="M314" s="200"/>
      <c r="N314" s="210"/>
      <c r="O314" s="210"/>
      <c r="P314" s="200"/>
      <c r="Q314" s="200"/>
      <c r="R314" s="200"/>
      <c r="S314" s="200"/>
      <c r="T314" s="154"/>
      <c r="V314" s="200"/>
      <c r="Y314" s="200"/>
      <c r="Z314" s="305"/>
      <c r="AA314" s="200"/>
      <c r="AB314" s="200"/>
      <c r="AC314" s="210"/>
      <c r="AD314" s="210"/>
      <c r="AE314" s="200"/>
      <c r="AF314" s="200"/>
      <c r="AG314" s="209"/>
      <c r="AH314" s="210"/>
      <c r="AI314" s="200"/>
      <c r="AJ314" s="200"/>
      <c r="AK314" s="209"/>
      <c r="AL314" s="200"/>
      <c r="AM314" s="210"/>
      <c r="AN314" s="210"/>
    </row>
    <row r="315" spans="1:40" x14ac:dyDescent="0.25">
      <c r="F315" s="211"/>
      <c r="H315" s="211"/>
      <c r="I315" s="211"/>
      <c r="J315" s="305"/>
      <c r="K315" s="305"/>
      <c r="L315" s="211"/>
      <c r="M315" s="211"/>
      <c r="N315" s="211"/>
      <c r="O315" s="211"/>
      <c r="P315" s="211"/>
      <c r="Q315" s="211"/>
      <c r="R315" s="211"/>
      <c r="S315" s="200"/>
      <c r="V315" s="211"/>
      <c r="Y315" s="211"/>
      <c r="Z315" s="305"/>
      <c r="AA315" s="211"/>
      <c r="AB315" s="211"/>
      <c r="AC315" s="211"/>
      <c r="AD315" s="211"/>
      <c r="AE315" s="211"/>
      <c r="AF315" s="211"/>
      <c r="AI315" s="211"/>
      <c r="AJ315" s="211"/>
      <c r="AK315" s="212"/>
      <c r="AL315" s="211"/>
      <c r="AM315" s="210"/>
      <c r="AN315" s="210"/>
    </row>
    <row r="316" spans="1:40" x14ac:dyDescent="0.25">
      <c r="A316" s="202"/>
      <c r="C316" s="154"/>
      <c r="T316" s="154"/>
    </row>
    <row r="317" spans="1:40" x14ac:dyDescent="0.25">
      <c r="A317" s="202"/>
      <c r="C317" s="154"/>
      <c r="F317" s="200"/>
      <c r="H317" s="200"/>
      <c r="I317" s="200"/>
      <c r="L317" s="200"/>
      <c r="M317" s="200"/>
      <c r="N317" s="210"/>
      <c r="O317" s="210"/>
      <c r="P317" s="252"/>
      <c r="Q317" s="252"/>
      <c r="R317" s="200"/>
      <c r="T317" s="154"/>
      <c r="V317" s="200"/>
      <c r="Y317" s="200"/>
      <c r="AA317" s="200"/>
      <c r="AB317" s="200"/>
      <c r="AC317" s="210"/>
      <c r="AD317" s="210"/>
      <c r="AE317" s="200"/>
      <c r="AF317" s="200"/>
      <c r="AG317" s="209"/>
      <c r="AH317" s="210"/>
      <c r="AI317" s="252"/>
      <c r="AJ317" s="252"/>
      <c r="AK317" s="209"/>
      <c r="AL317" s="200"/>
      <c r="AM317" s="210"/>
      <c r="AN317" s="210"/>
    </row>
    <row r="318" spans="1:40" x14ac:dyDescent="0.25">
      <c r="F318" s="211"/>
      <c r="H318" s="211"/>
      <c r="I318" s="211"/>
      <c r="J318" s="305"/>
      <c r="K318" s="305"/>
      <c r="L318" s="211"/>
      <c r="M318" s="211"/>
      <c r="N318" s="211"/>
      <c r="O318" s="211"/>
      <c r="P318" s="211"/>
      <c r="Q318" s="211"/>
      <c r="R318" s="211"/>
      <c r="V318" s="211"/>
      <c r="Y318" s="211"/>
      <c r="Z318" s="305"/>
      <c r="AA318" s="211"/>
      <c r="AB318" s="211"/>
      <c r="AC318" s="211"/>
      <c r="AD318" s="211"/>
      <c r="AE318" s="211"/>
      <c r="AF318" s="211"/>
      <c r="AI318" s="211"/>
      <c r="AJ318" s="211"/>
      <c r="AK318" s="212"/>
      <c r="AL318" s="211"/>
    </row>
    <row r="320" spans="1:40" x14ac:dyDescent="0.25">
      <c r="C320" s="154"/>
      <c r="L320" s="200"/>
      <c r="M320" s="200"/>
      <c r="N320" s="200"/>
      <c r="O320" s="200"/>
      <c r="P320" s="200"/>
      <c r="Q320" s="200"/>
      <c r="R320" s="200"/>
      <c r="S320" s="200"/>
      <c r="T320" s="154"/>
      <c r="AA320" s="200"/>
      <c r="AB320" s="200"/>
      <c r="AC320" s="200"/>
      <c r="AD320" s="200"/>
      <c r="AI320" s="200"/>
      <c r="AJ320" s="200"/>
      <c r="AK320" s="209"/>
      <c r="AL320" s="200"/>
    </row>
    <row r="321" spans="1:40" x14ac:dyDescent="0.25">
      <c r="A321" s="154"/>
    </row>
    <row r="322" spans="1:40" x14ac:dyDescent="0.25">
      <c r="J322" s="202"/>
      <c r="K322" s="202"/>
      <c r="Z322" s="202"/>
    </row>
    <row r="323" spans="1:40" x14ac:dyDescent="0.25">
      <c r="H323" s="154"/>
      <c r="I323" s="154"/>
      <c r="Y323" s="154"/>
    </row>
    <row r="324" spans="1:40" x14ac:dyDescent="0.25">
      <c r="J324" s="202"/>
      <c r="K324" s="202"/>
      <c r="Z324" s="202"/>
    </row>
    <row r="325" spans="1:40" x14ac:dyDescent="0.25">
      <c r="L325" s="154"/>
      <c r="M325" s="154"/>
      <c r="AA325" s="154"/>
      <c r="AB325" s="154"/>
    </row>
    <row r="326" spans="1:40" x14ac:dyDescent="0.25">
      <c r="A326" s="202"/>
      <c r="R326" s="154"/>
      <c r="AK326" s="297"/>
      <c r="AL326" s="154"/>
    </row>
    <row r="327" spans="1:40" x14ac:dyDescent="0.25">
      <c r="A327" s="202"/>
      <c r="R327" s="154"/>
      <c r="AK327" s="297"/>
      <c r="AL327" s="154"/>
    </row>
    <row r="328" spans="1:40" x14ac:dyDescent="0.25">
      <c r="A328" s="154"/>
      <c r="R328" s="154"/>
      <c r="AK328" s="297"/>
      <c r="AL328" s="154"/>
    </row>
    <row r="329" spans="1:40" x14ac:dyDescent="0.25">
      <c r="L329" s="154"/>
      <c r="M329" s="154"/>
      <c r="R329" s="202"/>
      <c r="AA329" s="154"/>
      <c r="AB329" s="154"/>
      <c r="AK329" s="209"/>
      <c r="AL329" s="202"/>
    </row>
    <row r="330" spans="1:40" x14ac:dyDescent="0.25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208"/>
      <c r="AH330" s="102"/>
      <c r="AI330" s="102"/>
      <c r="AJ330" s="102"/>
      <c r="AK330" s="208"/>
      <c r="AL330" s="102"/>
      <c r="AM330" s="102"/>
      <c r="AN330" s="102"/>
    </row>
    <row r="331" spans="1:40" x14ac:dyDescent="0.25">
      <c r="L331" s="103"/>
      <c r="M331" s="103"/>
      <c r="N331" s="103"/>
      <c r="O331" s="103"/>
      <c r="R331" s="103"/>
      <c r="AA331" s="103"/>
      <c r="AB331" s="103"/>
      <c r="AC331" s="103"/>
      <c r="AD331" s="103"/>
      <c r="AE331" s="103"/>
      <c r="AF331" s="103"/>
      <c r="AG331" s="185"/>
      <c r="AH331" s="103"/>
      <c r="AK331" s="185"/>
      <c r="AL331" s="103"/>
      <c r="AM331" s="103"/>
      <c r="AN331" s="103"/>
    </row>
    <row r="332" spans="1:40" x14ac:dyDescent="0.25">
      <c r="L332" s="103"/>
      <c r="M332" s="103"/>
      <c r="N332" s="103"/>
      <c r="O332" s="103"/>
      <c r="R332" s="103"/>
      <c r="Z332" s="103"/>
      <c r="AA332" s="103"/>
      <c r="AB332" s="103"/>
      <c r="AC332" s="103"/>
      <c r="AD332" s="103"/>
      <c r="AE332" s="103"/>
      <c r="AF332" s="103"/>
      <c r="AG332" s="185"/>
      <c r="AH332" s="103"/>
      <c r="AK332" s="185"/>
      <c r="AL332" s="103"/>
      <c r="AM332" s="103"/>
      <c r="AN332" s="103"/>
    </row>
    <row r="333" spans="1:40" x14ac:dyDescent="0.25">
      <c r="A333" s="103"/>
      <c r="C333" s="103"/>
      <c r="D333" s="103"/>
      <c r="E333" s="103"/>
      <c r="F333" s="103"/>
      <c r="J333" s="103"/>
      <c r="K333" s="103"/>
      <c r="L333" s="103"/>
      <c r="M333" s="103"/>
      <c r="N333" s="103"/>
      <c r="O333" s="103"/>
      <c r="P333" s="103"/>
      <c r="Q333" s="103"/>
      <c r="R333" s="103"/>
      <c r="T333" s="103"/>
      <c r="U333" s="103"/>
      <c r="V333" s="103"/>
      <c r="Z333" s="103"/>
      <c r="AA333" s="103"/>
      <c r="AB333" s="103"/>
      <c r="AC333" s="103"/>
      <c r="AD333" s="103"/>
      <c r="AE333" s="103"/>
      <c r="AF333" s="103"/>
      <c r="AG333" s="185"/>
      <c r="AH333" s="103"/>
      <c r="AI333" s="103"/>
      <c r="AJ333" s="103"/>
      <c r="AK333" s="185"/>
      <c r="AL333" s="103"/>
      <c r="AM333" s="103"/>
      <c r="AN333" s="103"/>
    </row>
    <row r="334" spans="1:40" x14ac:dyDescent="0.25">
      <c r="A334" s="103"/>
      <c r="C334" s="103"/>
      <c r="D334" s="103"/>
      <c r="E334" s="103"/>
      <c r="F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T334" s="103"/>
      <c r="U334" s="103"/>
      <c r="V334" s="103"/>
      <c r="Y334" s="103"/>
      <c r="Z334" s="103"/>
      <c r="AA334" s="103"/>
      <c r="AB334" s="103"/>
      <c r="AC334" s="103"/>
      <c r="AD334" s="103"/>
      <c r="AE334" s="103"/>
      <c r="AF334" s="103"/>
      <c r="AG334" s="185"/>
      <c r="AH334" s="103"/>
      <c r="AI334" s="103"/>
      <c r="AJ334" s="103"/>
      <c r="AK334" s="185"/>
      <c r="AL334" s="103"/>
      <c r="AM334" s="103"/>
      <c r="AN334" s="103"/>
    </row>
    <row r="335" spans="1:40" x14ac:dyDescent="0.25">
      <c r="C335" s="103"/>
      <c r="D335" s="103"/>
      <c r="E335" s="103"/>
      <c r="F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T335" s="103"/>
      <c r="U335" s="103"/>
      <c r="V335" s="103"/>
      <c r="Y335" s="103"/>
      <c r="Z335" s="103"/>
      <c r="AA335" s="103"/>
      <c r="AB335" s="103"/>
      <c r="AC335" s="103"/>
      <c r="AD335" s="103"/>
      <c r="AE335" s="103"/>
      <c r="AF335" s="103"/>
      <c r="AG335" s="185"/>
      <c r="AH335" s="103"/>
      <c r="AI335" s="103"/>
      <c r="AJ335" s="103"/>
      <c r="AK335" s="185"/>
      <c r="AL335" s="103"/>
      <c r="AM335" s="103"/>
      <c r="AN335" s="103"/>
    </row>
    <row r="336" spans="1:40" x14ac:dyDescent="0.2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208"/>
      <c r="AH336" s="102"/>
      <c r="AI336" s="102"/>
      <c r="AJ336" s="102"/>
      <c r="AK336" s="208"/>
      <c r="AL336" s="102"/>
      <c r="AM336" s="102"/>
      <c r="AN336" s="102"/>
    </row>
    <row r="337" spans="1:40" x14ac:dyDescent="0.25"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Y337" s="103"/>
      <c r="Z337" s="103"/>
      <c r="AA337" s="103"/>
      <c r="AB337" s="103"/>
      <c r="AC337" s="103"/>
      <c r="AD337" s="103"/>
      <c r="AE337" s="103"/>
      <c r="AF337" s="103"/>
      <c r="AG337" s="185"/>
      <c r="AH337" s="103"/>
      <c r="AI337" s="103"/>
      <c r="AJ337" s="103"/>
      <c r="AK337" s="185"/>
      <c r="AL337" s="103"/>
      <c r="AM337" s="103"/>
      <c r="AN337" s="103"/>
    </row>
    <row r="338" spans="1:40" x14ac:dyDescent="0.25">
      <c r="A338" s="202"/>
      <c r="C338" s="154"/>
      <c r="D338" s="154"/>
      <c r="E338" s="154"/>
      <c r="T338" s="154"/>
      <c r="U338" s="154"/>
    </row>
    <row r="339" spans="1:40" x14ac:dyDescent="0.25">
      <c r="D339" s="154"/>
      <c r="E339" s="154"/>
      <c r="U339" s="154"/>
    </row>
    <row r="341" spans="1:40" x14ac:dyDescent="0.25">
      <c r="A341" s="202"/>
      <c r="C341" s="154"/>
      <c r="T341" s="154"/>
    </row>
    <row r="342" spans="1:40" x14ac:dyDescent="0.25">
      <c r="A342" s="202"/>
      <c r="C342" s="154"/>
      <c r="F342" s="252"/>
      <c r="H342" s="252"/>
      <c r="I342" s="252"/>
      <c r="J342" s="329"/>
      <c r="K342" s="329"/>
      <c r="L342" s="200"/>
      <c r="M342" s="200"/>
      <c r="N342" s="210"/>
      <c r="O342" s="210"/>
      <c r="P342" s="200"/>
      <c r="Q342" s="200"/>
      <c r="R342" s="200"/>
      <c r="T342" s="154"/>
      <c r="V342" s="252"/>
      <c r="W342" s="200"/>
      <c r="X342" s="200"/>
      <c r="Y342" s="252"/>
      <c r="Z342" s="329"/>
      <c r="AA342" s="200"/>
      <c r="AB342" s="200"/>
      <c r="AC342" s="210"/>
      <c r="AD342" s="210"/>
      <c r="AE342" s="200"/>
      <c r="AF342" s="200"/>
      <c r="AG342" s="209"/>
      <c r="AH342" s="201"/>
      <c r="AI342" s="200"/>
      <c r="AJ342" s="200"/>
      <c r="AK342" s="209"/>
      <c r="AL342" s="200"/>
      <c r="AM342" s="210"/>
      <c r="AN342" s="210"/>
    </row>
    <row r="343" spans="1:40" x14ac:dyDescent="0.25">
      <c r="A343" s="202"/>
      <c r="C343" s="154"/>
      <c r="F343" s="200"/>
      <c r="H343" s="200"/>
      <c r="I343" s="200"/>
      <c r="J343" s="305"/>
      <c r="K343" s="305"/>
      <c r="L343" s="200"/>
      <c r="M343" s="200"/>
      <c r="N343" s="210"/>
      <c r="O343" s="210"/>
      <c r="P343" s="200"/>
      <c r="Q343" s="200"/>
      <c r="R343" s="200"/>
      <c r="T343" s="154"/>
      <c r="V343" s="252"/>
      <c r="W343" s="200"/>
      <c r="X343" s="200"/>
      <c r="Y343" s="252"/>
      <c r="Z343" s="305"/>
      <c r="AA343" s="200"/>
      <c r="AB343" s="200"/>
      <c r="AC343" s="210"/>
      <c r="AD343" s="210"/>
      <c r="AE343" s="200"/>
      <c r="AF343" s="200"/>
      <c r="AG343" s="209"/>
      <c r="AH343" s="201"/>
      <c r="AI343" s="200"/>
      <c r="AJ343" s="200"/>
      <c r="AK343" s="209"/>
      <c r="AL343" s="200"/>
      <c r="AM343" s="210"/>
      <c r="AN343" s="210"/>
    </row>
    <row r="344" spans="1:40" x14ac:dyDescent="0.25">
      <c r="A344" s="202"/>
      <c r="C344" s="154"/>
      <c r="F344" s="252"/>
      <c r="H344" s="252"/>
      <c r="I344" s="252"/>
      <c r="J344" s="329"/>
      <c r="K344" s="329"/>
      <c r="L344" s="200"/>
      <c r="M344" s="200"/>
      <c r="N344" s="210"/>
      <c r="O344" s="210"/>
      <c r="P344" s="200"/>
      <c r="Q344" s="200"/>
      <c r="R344" s="200"/>
      <c r="T344" s="154"/>
      <c r="V344" s="252"/>
      <c r="W344" s="200"/>
      <c r="X344" s="200"/>
      <c r="Y344" s="252"/>
      <c r="Z344" s="329"/>
      <c r="AA344" s="200"/>
      <c r="AB344" s="200"/>
      <c r="AC344" s="210"/>
      <c r="AD344" s="210"/>
      <c r="AE344" s="200"/>
      <c r="AF344" s="200"/>
      <c r="AG344" s="209"/>
      <c r="AH344" s="201"/>
      <c r="AI344" s="200"/>
      <c r="AJ344" s="200"/>
      <c r="AK344" s="209"/>
      <c r="AL344" s="200"/>
      <c r="AM344" s="210"/>
      <c r="AN344" s="210"/>
    </row>
    <row r="345" spans="1:40" x14ac:dyDescent="0.25">
      <c r="A345" s="202"/>
      <c r="C345" s="154"/>
      <c r="F345" s="252"/>
      <c r="H345" s="252"/>
      <c r="I345" s="252"/>
      <c r="J345" s="329"/>
      <c r="K345" s="329"/>
      <c r="L345" s="200"/>
      <c r="M345" s="200"/>
      <c r="N345" s="210"/>
      <c r="O345" s="210"/>
      <c r="P345" s="200"/>
      <c r="Q345" s="200"/>
      <c r="R345" s="200"/>
      <c r="T345" s="154"/>
      <c r="V345" s="252"/>
      <c r="W345" s="200"/>
      <c r="X345" s="200"/>
      <c r="Y345" s="252"/>
      <c r="Z345" s="329"/>
      <c r="AA345" s="200"/>
      <c r="AB345" s="200"/>
      <c r="AC345" s="210"/>
      <c r="AD345" s="210"/>
      <c r="AE345" s="200"/>
      <c r="AF345" s="200"/>
      <c r="AG345" s="209"/>
      <c r="AH345" s="201"/>
      <c r="AI345" s="200"/>
      <c r="AJ345" s="200"/>
      <c r="AK345" s="209"/>
      <c r="AL345" s="200"/>
      <c r="AM345" s="210"/>
      <c r="AN345" s="210"/>
    </row>
    <row r="346" spans="1:40" x14ac:dyDescent="0.25">
      <c r="A346" s="202"/>
      <c r="C346" s="154"/>
      <c r="F346" s="252"/>
      <c r="H346" s="252"/>
      <c r="I346" s="252"/>
      <c r="J346" s="329"/>
      <c r="K346" s="329"/>
      <c r="L346" s="200"/>
      <c r="M346" s="200"/>
      <c r="N346" s="210"/>
      <c r="O346" s="210"/>
      <c r="P346" s="200"/>
      <c r="Q346" s="200"/>
      <c r="R346" s="200"/>
      <c r="T346" s="154"/>
      <c r="V346" s="252"/>
      <c r="W346" s="200"/>
      <c r="X346" s="200"/>
      <c r="Y346" s="252"/>
      <c r="Z346" s="329"/>
      <c r="AA346" s="200"/>
      <c r="AB346" s="200"/>
      <c r="AC346" s="210"/>
      <c r="AD346" s="210"/>
      <c r="AE346" s="200"/>
      <c r="AF346" s="200"/>
      <c r="AG346" s="209"/>
      <c r="AH346" s="201"/>
      <c r="AI346" s="200"/>
      <c r="AJ346" s="200"/>
      <c r="AK346" s="209"/>
      <c r="AL346" s="200"/>
      <c r="AM346" s="210"/>
      <c r="AN346" s="210"/>
    </row>
    <row r="347" spans="1:40" x14ac:dyDescent="0.25">
      <c r="A347" s="202"/>
      <c r="C347" s="154"/>
      <c r="F347" s="200"/>
      <c r="H347" s="200"/>
      <c r="I347" s="200"/>
      <c r="J347" s="329"/>
      <c r="K347" s="329"/>
      <c r="L347" s="200"/>
      <c r="M347" s="200"/>
      <c r="N347" s="210"/>
      <c r="O347" s="210"/>
      <c r="P347" s="200"/>
      <c r="Q347" s="200"/>
      <c r="R347" s="200"/>
      <c r="T347" s="154"/>
      <c r="V347" s="252"/>
      <c r="W347" s="200"/>
      <c r="X347" s="200"/>
      <c r="Y347" s="252"/>
      <c r="Z347" s="329"/>
      <c r="AA347" s="200"/>
      <c r="AB347" s="200"/>
      <c r="AC347" s="210"/>
      <c r="AD347" s="210"/>
      <c r="AE347" s="200"/>
      <c r="AF347" s="200"/>
      <c r="AG347" s="209"/>
      <c r="AH347" s="201"/>
      <c r="AI347" s="200"/>
      <c r="AJ347" s="200"/>
      <c r="AK347" s="209"/>
      <c r="AL347" s="200"/>
      <c r="AM347" s="210"/>
      <c r="AN347" s="210"/>
    </row>
    <row r="348" spans="1:40" x14ac:dyDescent="0.25">
      <c r="A348" s="202"/>
      <c r="C348" s="154"/>
      <c r="F348" s="200"/>
      <c r="H348" s="200"/>
      <c r="I348" s="200"/>
      <c r="J348" s="329"/>
      <c r="K348" s="329"/>
      <c r="L348" s="200"/>
      <c r="M348" s="200"/>
      <c r="N348" s="210"/>
      <c r="O348" s="210"/>
      <c r="P348" s="200"/>
      <c r="Q348" s="200"/>
      <c r="R348" s="200"/>
      <c r="T348" s="154"/>
      <c r="V348" s="252"/>
      <c r="W348" s="200"/>
      <c r="X348" s="200"/>
      <c r="Y348" s="252"/>
      <c r="Z348" s="329"/>
      <c r="AA348" s="200"/>
      <c r="AB348" s="200"/>
      <c r="AC348" s="210"/>
      <c r="AD348" s="210"/>
      <c r="AE348" s="200"/>
      <c r="AF348" s="200"/>
      <c r="AG348" s="209"/>
      <c r="AH348" s="201"/>
      <c r="AI348" s="200"/>
      <c r="AJ348" s="200"/>
      <c r="AK348" s="209"/>
      <c r="AL348" s="200"/>
      <c r="AM348" s="210"/>
      <c r="AN348" s="210"/>
    </row>
    <row r="349" spans="1:40" x14ac:dyDescent="0.25">
      <c r="F349" s="331"/>
      <c r="H349" s="332"/>
      <c r="I349" s="332"/>
      <c r="J349" s="329"/>
      <c r="K349" s="329"/>
      <c r="L349" s="331"/>
      <c r="M349" s="331"/>
      <c r="N349" s="211"/>
      <c r="O349" s="211"/>
      <c r="P349" s="331"/>
      <c r="Q349" s="331"/>
      <c r="R349" s="331"/>
      <c r="V349" s="331"/>
      <c r="W349" s="200"/>
      <c r="X349" s="200"/>
      <c r="Y349" s="331"/>
      <c r="Z349" s="329"/>
      <c r="AA349" s="331"/>
      <c r="AB349" s="331"/>
      <c r="AC349" s="333"/>
      <c r="AD349" s="333"/>
      <c r="AE349" s="331"/>
      <c r="AF349" s="331"/>
      <c r="AG349" s="209"/>
      <c r="AH349" s="201"/>
      <c r="AI349" s="331"/>
      <c r="AJ349" s="331"/>
      <c r="AK349" s="208"/>
      <c r="AL349" s="331"/>
      <c r="AM349" s="210"/>
      <c r="AN349" s="210"/>
    </row>
    <row r="350" spans="1:40" x14ac:dyDescent="0.25">
      <c r="A350" s="202"/>
      <c r="C350" s="154"/>
      <c r="F350" s="200"/>
      <c r="H350" s="200"/>
      <c r="I350" s="200"/>
      <c r="J350" s="329"/>
      <c r="K350" s="329"/>
      <c r="L350" s="200"/>
      <c r="M350" s="200"/>
      <c r="N350" s="201"/>
      <c r="O350" s="201"/>
      <c r="P350" s="200"/>
      <c r="Q350" s="200"/>
      <c r="R350" s="200"/>
      <c r="T350" s="103"/>
      <c r="V350" s="200"/>
      <c r="W350" s="200"/>
      <c r="X350" s="200"/>
      <c r="Y350" s="200"/>
      <c r="Z350" s="329"/>
      <c r="AA350" s="200"/>
      <c r="AB350" s="200"/>
      <c r="AC350" s="201"/>
      <c r="AD350" s="201"/>
      <c r="AE350" s="200"/>
      <c r="AF350" s="200"/>
      <c r="AG350" s="209"/>
      <c r="AH350" s="201"/>
      <c r="AI350" s="200"/>
      <c r="AJ350" s="200"/>
      <c r="AK350" s="209"/>
      <c r="AL350" s="200"/>
      <c r="AM350" s="210"/>
      <c r="AN350" s="210"/>
    </row>
    <row r="351" spans="1:40" x14ac:dyDescent="0.25">
      <c r="F351" s="102"/>
      <c r="H351" s="102"/>
      <c r="I351" s="102"/>
      <c r="L351" s="102"/>
      <c r="M351" s="102"/>
      <c r="N351" s="333"/>
      <c r="O351" s="333"/>
      <c r="P351" s="331"/>
      <c r="Q351" s="331"/>
      <c r="R351" s="331"/>
      <c r="V351" s="331"/>
      <c r="Y351" s="331"/>
      <c r="Z351" s="305"/>
      <c r="AA351" s="331"/>
      <c r="AB351" s="331"/>
      <c r="AC351" s="331"/>
      <c r="AD351" s="331"/>
      <c r="AE351" s="331"/>
      <c r="AF351" s="331"/>
      <c r="AI351" s="331"/>
      <c r="AJ351" s="331"/>
      <c r="AK351" s="208"/>
      <c r="AL351" s="331"/>
      <c r="AM351" s="333"/>
      <c r="AN351" s="333"/>
    </row>
    <row r="352" spans="1:40" x14ac:dyDescent="0.25">
      <c r="AI352" s="202"/>
      <c r="AJ352" s="202"/>
    </row>
    <row r="356" spans="1:40" x14ac:dyDescent="0.25">
      <c r="N356" s="200"/>
      <c r="O356" s="200"/>
      <c r="P356" s="200"/>
      <c r="Q356" s="200"/>
      <c r="R356" s="200"/>
      <c r="V356" s="200"/>
      <c r="Y356" s="200"/>
      <c r="Z356" s="213"/>
      <c r="AA356" s="200"/>
      <c r="AB356" s="200"/>
      <c r="AC356" s="210"/>
      <c r="AD356" s="21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A357" s="202"/>
      <c r="C357" s="154"/>
      <c r="D357" s="154"/>
      <c r="E357" s="154"/>
      <c r="J357" s="334"/>
      <c r="K357" s="334"/>
      <c r="T357" s="154"/>
      <c r="U357" s="154"/>
      <c r="Z357" s="334"/>
      <c r="AE357" s="200"/>
      <c r="AF357" s="200"/>
      <c r="AI357" s="200"/>
      <c r="AJ357" s="200"/>
      <c r="AK357" s="209"/>
      <c r="AL357" s="200"/>
      <c r="AM357" s="210"/>
      <c r="AN357" s="210"/>
    </row>
    <row r="358" spans="1:40" x14ac:dyDescent="0.25">
      <c r="D358" s="154"/>
      <c r="E358" s="154"/>
      <c r="F358" s="200"/>
      <c r="H358" s="200"/>
      <c r="I358" s="200"/>
      <c r="J358" s="329"/>
      <c r="K358" s="329"/>
      <c r="L358" s="200"/>
      <c r="M358" s="200"/>
      <c r="N358" s="210"/>
      <c r="O358" s="210"/>
      <c r="P358" s="200"/>
      <c r="Q358" s="200"/>
      <c r="R358" s="200"/>
      <c r="U358" s="154"/>
      <c r="V358" s="200"/>
      <c r="Y358" s="200"/>
      <c r="Z358" s="329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F359" s="200"/>
      <c r="H359" s="200"/>
      <c r="I359" s="200"/>
      <c r="J359" s="305"/>
      <c r="K359" s="305"/>
      <c r="L359" s="200"/>
      <c r="M359" s="200"/>
      <c r="N359" s="200"/>
      <c r="O359" s="200"/>
      <c r="P359" s="200"/>
      <c r="Q359" s="200"/>
      <c r="R359" s="200"/>
      <c r="V359" s="200"/>
      <c r="Y359" s="200"/>
      <c r="Z359" s="305"/>
      <c r="AA359" s="200"/>
      <c r="AB359" s="200"/>
      <c r="AC359" s="200"/>
      <c r="AD359" s="200"/>
      <c r="AE359" s="200"/>
      <c r="AF359" s="200"/>
      <c r="AG359" s="209"/>
      <c r="AH359" s="201"/>
      <c r="AI359" s="252"/>
      <c r="AJ359" s="252"/>
      <c r="AK359" s="209"/>
      <c r="AL359" s="200"/>
      <c r="AM359" s="210"/>
      <c r="AN359" s="210"/>
    </row>
    <row r="360" spans="1:40" x14ac:dyDescent="0.25">
      <c r="A360" s="202"/>
      <c r="C360" s="154"/>
      <c r="F360" s="252"/>
      <c r="H360" s="252"/>
      <c r="I360" s="252"/>
      <c r="J360" s="304"/>
      <c r="K360" s="304"/>
      <c r="L360" s="200"/>
      <c r="M360" s="200"/>
      <c r="N360" s="210"/>
      <c r="O360" s="210"/>
      <c r="P360" s="200"/>
      <c r="Q360" s="200"/>
      <c r="R360" s="200"/>
      <c r="T360" s="154"/>
      <c r="V360" s="252"/>
      <c r="Y360" s="252"/>
      <c r="Z360" s="304"/>
      <c r="AA360" s="200"/>
      <c r="AB360" s="200"/>
      <c r="AC360" s="210"/>
      <c r="AD360" s="210"/>
      <c r="AE360" s="200"/>
      <c r="AF360" s="200"/>
      <c r="AG360" s="209"/>
      <c r="AH360" s="201"/>
      <c r="AI360" s="200"/>
      <c r="AJ360" s="200"/>
      <c r="AK360" s="209"/>
      <c r="AL360" s="200"/>
      <c r="AM360" s="210"/>
      <c r="AN360" s="210"/>
    </row>
    <row r="361" spans="1:40" x14ac:dyDescent="0.25">
      <c r="F361" s="102"/>
      <c r="H361" s="102"/>
      <c r="I361" s="102"/>
      <c r="L361" s="102"/>
      <c r="M361" s="102"/>
      <c r="N361" s="102"/>
      <c r="O361" s="102"/>
      <c r="P361" s="102"/>
      <c r="Q361" s="102"/>
      <c r="R361" s="102"/>
      <c r="V361" s="102"/>
      <c r="Y361" s="102"/>
      <c r="AA361" s="102"/>
      <c r="AB361" s="102"/>
      <c r="AC361" s="102"/>
      <c r="AD361" s="102"/>
      <c r="AE361" s="102"/>
      <c r="AF361" s="102"/>
      <c r="AG361" s="208"/>
      <c r="AH361" s="102"/>
      <c r="AI361" s="102"/>
      <c r="AJ361" s="102"/>
      <c r="AK361" s="208"/>
      <c r="AL361" s="102"/>
      <c r="AM361" s="102"/>
      <c r="AN361" s="102"/>
    </row>
    <row r="362" spans="1:40" x14ac:dyDescent="0.25">
      <c r="A362" s="202"/>
      <c r="C362" s="103"/>
      <c r="F362" s="252"/>
      <c r="H362" s="252"/>
      <c r="I362" s="252"/>
      <c r="J362" s="300"/>
      <c r="K362" s="300"/>
      <c r="L362" s="252"/>
      <c r="M362" s="252"/>
      <c r="N362" s="210"/>
      <c r="O362" s="210"/>
      <c r="P362" s="252"/>
      <c r="Q362" s="252"/>
      <c r="R362" s="252"/>
      <c r="T362" s="103"/>
      <c r="V362" s="200"/>
      <c r="Y362" s="200"/>
      <c r="Z362" s="213"/>
      <c r="AA362" s="200"/>
      <c r="AB362" s="200"/>
      <c r="AC362" s="210"/>
      <c r="AD362" s="210"/>
      <c r="AE362" s="202"/>
      <c r="AF362" s="202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F363" s="331"/>
      <c r="H363" s="331"/>
      <c r="I363" s="331"/>
      <c r="J363" s="305"/>
      <c r="K363" s="305"/>
      <c r="L363" s="331"/>
      <c r="M363" s="331"/>
      <c r="N363" s="331"/>
      <c r="O363" s="331"/>
      <c r="P363" s="331"/>
      <c r="Q363" s="331"/>
      <c r="R363" s="331"/>
      <c r="V363" s="102"/>
      <c r="Y363" s="102"/>
      <c r="AA363" s="102"/>
      <c r="AB363" s="102"/>
      <c r="AC363" s="102"/>
      <c r="AD363" s="102"/>
      <c r="AE363" s="102"/>
      <c r="AF363" s="102"/>
      <c r="AG363" s="208"/>
      <c r="AH363" s="102"/>
      <c r="AI363" s="102"/>
      <c r="AJ363" s="102"/>
      <c r="AK363" s="208"/>
      <c r="AL363" s="102"/>
      <c r="AM363" s="102"/>
      <c r="AN363" s="102"/>
    </row>
    <row r="364" spans="1:40" x14ac:dyDescent="0.25">
      <c r="F364" s="252"/>
      <c r="H364" s="252"/>
      <c r="I364" s="252"/>
      <c r="J364" s="328"/>
      <c r="K364" s="328"/>
      <c r="L364" s="200"/>
      <c r="M364" s="200"/>
      <c r="N364" s="210"/>
      <c r="O364" s="210"/>
      <c r="P364" s="200"/>
      <c r="Q364" s="200"/>
      <c r="R364" s="200"/>
    </row>
    <row r="365" spans="1:40" x14ac:dyDescent="0.25">
      <c r="A365" s="154"/>
      <c r="F365" s="252"/>
      <c r="H365" s="252"/>
      <c r="I365" s="252"/>
      <c r="J365" s="300"/>
      <c r="K365" s="300"/>
      <c r="L365" s="200"/>
      <c r="M365" s="200"/>
      <c r="N365" s="210"/>
      <c r="O365" s="210"/>
      <c r="P365" s="200"/>
      <c r="Q365" s="200"/>
      <c r="R365" s="200"/>
    </row>
    <row r="366" spans="1:40" x14ac:dyDescent="0.25">
      <c r="F366" s="252"/>
      <c r="H366" s="252"/>
      <c r="I366" s="252"/>
      <c r="J366" s="300"/>
      <c r="K366" s="300"/>
      <c r="L366" s="200"/>
      <c r="M366" s="200"/>
      <c r="N366" s="210"/>
      <c r="O366" s="210"/>
      <c r="P366" s="200"/>
      <c r="Q366" s="200"/>
      <c r="R366" s="200"/>
    </row>
    <row r="367" spans="1:40" x14ac:dyDescent="0.25">
      <c r="A367" s="154"/>
    </row>
    <row r="369" spans="1:40" x14ac:dyDescent="0.25">
      <c r="J369" s="202"/>
      <c r="K369" s="202"/>
      <c r="Z369" s="202"/>
    </row>
    <row r="370" spans="1:40" x14ac:dyDescent="0.25">
      <c r="H370" s="154"/>
      <c r="I370" s="154"/>
      <c r="Y370" s="154"/>
    </row>
    <row r="371" spans="1:40" x14ac:dyDescent="0.25">
      <c r="J371" s="202"/>
      <c r="K371" s="202"/>
      <c r="Z371" s="202"/>
    </row>
    <row r="372" spans="1:40" x14ac:dyDescent="0.25">
      <c r="L372" s="154"/>
      <c r="M372" s="154"/>
      <c r="AA372" s="154"/>
      <c r="AB372" s="154"/>
    </row>
    <row r="373" spans="1:40" x14ac:dyDescent="0.25">
      <c r="A373" s="202"/>
      <c r="R373" s="154"/>
      <c r="AK373" s="297"/>
      <c r="AL373" s="154"/>
    </row>
    <row r="374" spans="1:40" x14ac:dyDescent="0.25">
      <c r="A374" s="202"/>
      <c r="R374" s="154"/>
      <c r="AK374" s="297"/>
      <c r="AL374" s="154"/>
    </row>
    <row r="375" spans="1:40" x14ac:dyDescent="0.25">
      <c r="A375" s="154"/>
      <c r="R375" s="154"/>
      <c r="AK375" s="297"/>
      <c r="AL375" s="154"/>
    </row>
    <row r="376" spans="1:40" x14ac:dyDescent="0.25">
      <c r="L376" s="154"/>
      <c r="M376" s="154"/>
      <c r="R376" s="202"/>
      <c r="AA376" s="154"/>
      <c r="AB376" s="154"/>
      <c r="AK376" s="209"/>
      <c r="AL376" s="202"/>
    </row>
    <row r="377" spans="1:40" x14ac:dyDescent="0.25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208"/>
      <c r="AH377" s="102"/>
      <c r="AI377" s="102"/>
      <c r="AJ377" s="102"/>
      <c r="AK377" s="208"/>
      <c r="AL377" s="102"/>
      <c r="AM377" s="102"/>
      <c r="AN377" s="102"/>
    </row>
    <row r="378" spans="1:40" x14ac:dyDescent="0.25">
      <c r="L378" s="103"/>
      <c r="M378" s="103"/>
      <c r="N378" s="103"/>
      <c r="O378" s="103"/>
      <c r="R378" s="103"/>
      <c r="AA378" s="103"/>
      <c r="AB378" s="103"/>
      <c r="AC378" s="103"/>
      <c r="AD378" s="103"/>
      <c r="AE378" s="103"/>
      <c r="AF378" s="103"/>
      <c r="AG378" s="185"/>
      <c r="AH378" s="103"/>
      <c r="AK378" s="185"/>
      <c r="AL378" s="103"/>
      <c r="AM378" s="103"/>
      <c r="AN378" s="103"/>
    </row>
    <row r="379" spans="1:40" x14ac:dyDescent="0.25">
      <c r="L379" s="103"/>
      <c r="M379" s="103"/>
      <c r="N379" s="103"/>
      <c r="O379" s="103"/>
      <c r="R379" s="103"/>
      <c r="Z379" s="103"/>
      <c r="AA379" s="103"/>
      <c r="AB379" s="103"/>
      <c r="AC379" s="103"/>
      <c r="AD379" s="103"/>
      <c r="AE379" s="103"/>
      <c r="AF379" s="103"/>
      <c r="AG379" s="185"/>
      <c r="AH379" s="103"/>
      <c r="AK379" s="185"/>
      <c r="AL379" s="103"/>
      <c r="AM379" s="103"/>
      <c r="AN379" s="103"/>
    </row>
    <row r="380" spans="1:40" x14ac:dyDescent="0.25">
      <c r="A380" s="103"/>
      <c r="C380" s="103"/>
      <c r="D380" s="103"/>
      <c r="E380" s="103"/>
      <c r="F380" s="103"/>
      <c r="J380" s="103"/>
      <c r="K380" s="103"/>
      <c r="L380" s="103"/>
      <c r="M380" s="103"/>
      <c r="N380" s="103"/>
      <c r="O380" s="103"/>
      <c r="P380" s="103"/>
      <c r="Q380" s="103"/>
      <c r="R380" s="103"/>
      <c r="T380" s="103"/>
      <c r="U380" s="103"/>
      <c r="V380" s="103"/>
      <c r="Z380" s="103"/>
      <c r="AA380" s="103"/>
      <c r="AB380" s="103"/>
      <c r="AC380" s="103"/>
      <c r="AD380" s="103"/>
      <c r="AE380" s="103"/>
      <c r="AF380" s="103"/>
      <c r="AG380" s="185"/>
      <c r="AH380" s="103"/>
      <c r="AI380" s="103"/>
      <c r="AJ380" s="103"/>
      <c r="AK380" s="185"/>
      <c r="AL380" s="103"/>
      <c r="AM380" s="103"/>
      <c r="AN380" s="103"/>
    </row>
    <row r="381" spans="1:40" x14ac:dyDescent="0.25">
      <c r="A381" s="103"/>
      <c r="C381" s="103"/>
      <c r="D381" s="103"/>
      <c r="E381" s="103"/>
      <c r="F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T381" s="103"/>
      <c r="U381" s="103"/>
      <c r="V381" s="103"/>
      <c r="Y381" s="103"/>
      <c r="Z381" s="103"/>
      <c r="AA381" s="103"/>
      <c r="AB381" s="103"/>
      <c r="AC381" s="103"/>
      <c r="AD381" s="103"/>
      <c r="AE381" s="103"/>
      <c r="AF381" s="103"/>
      <c r="AG381" s="185"/>
      <c r="AH381" s="103"/>
      <c r="AI381" s="103"/>
      <c r="AJ381" s="103"/>
      <c r="AK381" s="185"/>
      <c r="AL381" s="103"/>
      <c r="AM381" s="103"/>
      <c r="AN381" s="103"/>
    </row>
    <row r="382" spans="1:40" x14ac:dyDescent="0.25">
      <c r="C382" s="103"/>
      <c r="D382" s="103"/>
      <c r="E382" s="103"/>
      <c r="F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T382" s="103"/>
      <c r="U382" s="103"/>
      <c r="V382" s="103"/>
      <c r="Y382" s="103"/>
      <c r="Z382" s="103"/>
      <c r="AA382" s="103"/>
      <c r="AB382" s="103"/>
      <c r="AC382" s="103"/>
      <c r="AD382" s="103"/>
      <c r="AE382" s="103"/>
      <c r="AF382" s="103"/>
      <c r="AG382" s="185"/>
      <c r="AH382" s="103"/>
      <c r="AI382" s="103"/>
      <c r="AJ382" s="103"/>
      <c r="AK382" s="185"/>
      <c r="AL382" s="103"/>
      <c r="AM382" s="103"/>
      <c r="AN382" s="103"/>
    </row>
    <row r="383" spans="1:40" x14ac:dyDescent="0.25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208"/>
      <c r="AH383" s="102"/>
      <c r="AI383" s="102"/>
      <c r="AJ383" s="102"/>
      <c r="AK383" s="208"/>
      <c r="AL383" s="102"/>
      <c r="AM383" s="102"/>
      <c r="AN383" s="102"/>
    </row>
    <row r="384" spans="1:40" x14ac:dyDescent="0.25"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Y384" s="103"/>
      <c r="Z384" s="103"/>
      <c r="AA384" s="103"/>
      <c r="AB384" s="103"/>
      <c r="AC384" s="103"/>
      <c r="AD384" s="103"/>
      <c r="AE384" s="103"/>
      <c r="AF384" s="103"/>
      <c r="AG384" s="185"/>
      <c r="AH384" s="103"/>
      <c r="AI384" s="103"/>
      <c r="AJ384" s="103"/>
      <c r="AK384" s="185"/>
      <c r="AL384" s="103"/>
      <c r="AM384" s="103"/>
      <c r="AN384" s="103"/>
    </row>
    <row r="385" spans="1:40" x14ac:dyDescent="0.25">
      <c r="A385" s="202"/>
      <c r="C385" s="154"/>
      <c r="D385" s="154"/>
      <c r="E385" s="154"/>
      <c r="T385" s="154"/>
      <c r="U385" s="154"/>
    </row>
    <row r="387" spans="1:40" x14ac:dyDescent="0.25">
      <c r="A387" s="202"/>
      <c r="C387" s="154"/>
      <c r="T387" s="154"/>
    </row>
    <row r="388" spans="1:40" x14ac:dyDescent="0.25">
      <c r="A388" s="202"/>
      <c r="C388" s="154"/>
      <c r="F388" s="252"/>
      <c r="H388" s="252"/>
      <c r="I388" s="252"/>
      <c r="J388" s="305"/>
      <c r="K388" s="305"/>
      <c r="L388" s="200"/>
      <c r="M388" s="200"/>
      <c r="N388" s="210"/>
      <c r="O388" s="210"/>
      <c r="P388" s="200"/>
      <c r="Q388" s="200"/>
      <c r="R388" s="200"/>
      <c r="T388" s="154"/>
      <c r="V388" s="252"/>
      <c r="Y388" s="252"/>
      <c r="Z388" s="305"/>
      <c r="AA388" s="200"/>
      <c r="AB388" s="200"/>
      <c r="AC388" s="210"/>
      <c r="AD388" s="210"/>
      <c r="AE388" s="200"/>
      <c r="AF388" s="200"/>
      <c r="AG388" s="209"/>
      <c r="AH388" s="201"/>
      <c r="AI388" s="200"/>
      <c r="AJ388" s="200"/>
      <c r="AK388" s="209"/>
      <c r="AL388" s="200"/>
      <c r="AM388" s="210"/>
      <c r="AN388" s="210"/>
    </row>
    <row r="389" spans="1:40" x14ac:dyDescent="0.25">
      <c r="A389" s="202"/>
      <c r="C389" s="154"/>
      <c r="T389" s="154"/>
    </row>
    <row r="390" spans="1:40" x14ac:dyDescent="0.25">
      <c r="A390" s="202"/>
      <c r="C390" s="154"/>
      <c r="F390" s="252"/>
      <c r="H390" s="252"/>
      <c r="I390" s="252"/>
      <c r="J390" s="329"/>
      <c r="K390" s="329"/>
      <c r="L390" s="200"/>
      <c r="M390" s="200"/>
      <c r="N390" s="210"/>
      <c r="O390" s="210"/>
      <c r="P390" s="200"/>
      <c r="Q390" s="200"/>
      <c r="R390" s="200"/>
      <c r="T390" s="154"/>
      <c r="V390" s="200"/>
      <c r="Y390" s="200"/>
      <c r="Z390" s="329"/>
      <c r="AA390" s="200"/>
      <c r="AB390" s="200"/>
      <c r="AC390" s="210"/>
      <c r="AD390" s="210"/>
      <c r="AE390" s="200"/>
      <c r="AF390" s="200"/>
      <c r="AG390" s="209"/>
      <c r="AH390" s="201"/>
      <c r="AI390" s="200"/>
      <c r="AJ390" s="200"/>
      <c r="AK390" s="209"/>
      <c r="AL390" s="200"/>
      <c r="AM390" s="210"/>
      <c r="AN390" s="210"/>
    </row>
    <row r="391" spans="1:40" x14ac:dyDescent="0.25">
      <c r="A391" s="202"/>
      <c r="C391" s="154"/>
      <c r="F391" s="252"/>
      <c r="H391" s="252"/>
      <c r="I391" s="252"/>
      <c r="J391" s="329"/>
      <c r="K391" s="329"/>
      <c r="L391" s="200"/>
      <c r="M391" s="200"/>
      <c r="N391" s="210"/>
      <c r="O391" s="210"/>
      <c r="P391" s="200"/>
      <c r="Q391" s="200"/>
      <c r="R391" s="200"/>
      <c r="T391" s="154"/>
      <c r="V391" s="200"/>
      <c r="Y391" s="200"/>
      <c r="Z391" s="329"/>
      <c r="AA391" s="200"/>
      <c r="AB391" s="200"/>
      <c r="AC391" s="210"/>
      <c r="AD391" s="210"/>
      <c r="AE391" s="200"/>
      <c r="AF391" s="200"/>
      <c r="AG391" s="209"/>
      <c r="AH391" s="201"/>
      <c r="AI391" s="200"/>
      <c r="AJ391" s="200"/>
      <c r="AK391" s="209"/>
      <c r="AL391" s="200"/>
      <c r="AM391" s="210"/>
      <c r="AN391" s="210"/>
    </row>
    <row r="392" spans="1:40" x14ac:dyDescent="0.25">
      <c r="A392" s="202"/>
      <c r="C392" s="154"/>
      <c r="F392" s="252"/>
      <c r="H392" s="252"/>
      <c r="I392" s="252"/>
      <c r="J392" s="329"/>
      <c r="K392" s="329"/>
      <c r="L392" s="200"/>
      <c r="M392" s="200"/>
      <c r="N392" s="210"/>
      <c r="O392" s="210"/>
      <c r="P392" s="200"/>
      <c r="Q392" s="200"/>
      <c r="R392" s="200"/>
      <c r="T392" s="154"/>
      <c r="V392" s="200"/>
      <c r="Y392" s="200"/>
      <c r="Z392" s="329"/>
      <c r="AA392" s="200"/>
      <c r="AB392" s="200"/>
      <c r="AC392" s="210"/>
      <c r="AD392" s="21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A393" s="202"/>
      <c r="C393" s="154"/>
      <c r="F393" s="252"/>
      <c r="H393" s="252"/>
      <c r="I393" s="252"/>
      <c r="J393" s="329"/>
      <c r="K393" s="329"/>
      <c r="L393" s="200"/>
      <c r="M393" s="200"/>
      <c r="N393" s="210"/>
      <c r="O393" s="210"/>
      <c r="P393" s="200"/>
      <c r="Q393" s="200"/>
      <c r="R393" s="200"/>
      <c r="T393" s="154"/>
      <c r="V393" s="200"/>
      <c r="Y393" s="200"/>
      <c r="Z393" s="329"/>
      <c r="AA393" s="200"/>
      <c r="AB393" s="200"/>
      <c r="AC393" s="210"/>
      <c r="AD393" s="210"/>
      <c r="AE393" s="200"/>
      <c r="AF393" s="200"/>
      <c r="AG393" s="209"/>
      <c r="AH393" s="201"/>
      <c r="AI393" s="200"/>
      <c r="AJ393" s="200"/>
      <c r="AK393" s="209"/>
      <c r="AL393" s="200"/>
      <c r="AM393" s="210"/>
      <c r="AN393" s="210"/>
    </row>
    <row r="394" spans="1:40" x14ac:dyDescent="0.25">
      <c r="A394" s="202"/>
      <c r="C394" s="154"/>
      <c r="J394" s="334"/>
      <c r="K394" s="334"/>
      <c r="T394" s="154"/>
      <c r="Z394" s="334"/>
    </row>
    <row r="395" spans="1:40" x14ac:dyDescent="0.25">
      <c r="A395" s="202"/>
      <c r="C395" s="154"/>
      <c r="F395" s="252"/>
      <c r="H395" s="252"/>
      <c r="I395" s="252"/>
      <c r="J395" s="329"/>
      <c r="K395" s="329"/>
      <c r="L395" s="200"/>
      <c r="M395" s="200"/>
      <c r="N395" s="210"/>
      <c r="O395" s="210"/>
      <c r="P395" s="200"/>
      <c r="Q395" s="200"/>
      <c r="R395" s="200"/>
      <c r="T395" s="154"/>
      <c r="V395" s="200"/>
      <c r="Y395" s="200"/>
      <c r="Z395" s="329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A396" s="202"/>
      <c r="C396" s="154"/>
      <c r="F396" s="252"/>
      <c r="H396" s="252"/>
      <c r="I396" s="252"/>
      <c r="J396" s="329"/>
      <c r="K396" s="329"/>
      <c r="L396" s="200"/>
      <c r="M396" s="200"/>
      <c r="N396" s="210"/>
      <c r="O396" s="210"/>
      <c r="P396" s="200"/>
      <c r="Q396" s="200"/>
      <c r="R396" s="200"/>
      <c r="T396" s="154"/>
      <c r="V396" s="200"/>
      <c r="Y396" s="200"/>
      <c r="Z396" s="329"/>
      <c r="AA396" s="200"/>
      <c r="AB396" s="200"/>
      <c r="AC396" s="210"/>
      <c r="AD396" s="210"/>
      <c r="AE396" s="200"/>
      <c r="AF396" s="200"/>
      <c r="AG396" s="209"/>
      <c r="AH396" s="201"/>
      <c r="AI396" s="200"/>
      <c r="AJ396" s="200"/>
      <c r="AK396" s="209"/>
      <c r="AL396" s="200"/>
      <c r="AM396" s="210"/>
      <c r="AN396" s="210"/>
    </row>
    <row r="397" spans="1:40" x14ac:dyDescent="0.25">
      <c r="A397" s="202"/>
      <c r="C397" s="154"/>
      <c r="F397" s="252"/>
      <c r="H397" s="252"/>
      <c r="I397" s="252"/>
      <c r="J397" s="329"/>
      <c r="K397" s="329"/>
      <c r="L397" s="200"/>
      <c r="M397" s="200"/>
      <c r="N397" s="210"/>
      <c r="O397" s="210"/>
      <c r="P397" s="200"/>
      <c r="Q397" s="200"/>
      <c r="R397" s="200"/>
      <c r="T397" s="154"/>
      <c r="V397" s="200"/>
      <c r="Y397" s="200"/>
      <c r="Z397" s="329"/>
      <c r="AA397" s="200"/>
      <c r="AB397" s="200"/>
      <c r="AC397" s="210"/>
      <c r="AD397" s="210"/>
      <c r="AE397" s="200"/>
      <c r="AF397" s="200"/>
      <c r="AG397" s="209"/>
      <c r="AH397" s="201"/>
      <c r="AI397" s="200"/>
      <c r="AJ397" s="200"/>
      <c r="AK397" s="209"/>
      <c r="AL397" s="200"/>
      <c r="AM397" s="210"/>
      <c r="AN397" s="210"/>
    </row>
    <row r="398" spans="1:40" x14ac:dyDescent="0.25">
      <c r="A398" s="202"/>
      <c r="C398" s="154"/>
      <c r="J398" s="334"/>
      <c r="K398" s="334"/>
      <c r="T398" s="154"/>
      <c r="Z398" s="334"/>
    </row>
    <row r="399" spans="1:40" x14ac:dyDescent="0.25">
      <c r="A399" s="202"/>
      <c r="C399" s="154"/>
      <c r="F399" s="252"/>
      <c r="H399" s="252"/>
      <c r="I399" s="252"/>
      <c r="J399" s="329"/>
      <c r="K399" s="329"/>
      <c r="L399" s="200"/>
      <c r="M399" s="200"/>
      <c r="N399" s="210"/>
      <c r="O399" s="210"/>
      <c r="P399" s="200"/>
      <c r="Q399" s="200"/>
      <c r="R399" s="200"/>
      <c r="T399" s="154"/>
      <c r="V399" s="200"/>
      <c r="Y399" s="200"/>
      <c r="Z399" s="329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A400" s="202"/>
      <c r="C400" s="154"/>
      <c r="F400" s="252"/>
      <c r="H400" s="252"/>
      <c r="I400" s="252"/>
      <c r="J400" s="329"/>
      <c r="K400" s="329"/>
      <c r="L400" s="200"/>
      <c r="M400" s="200"/>
      <c r="N400" s="210"/>
      <c r="O400" s="210"/>
      <c r="P400" s="200"/>
      <c r="Q400" s="200"/>
      <c r="R400" s="200"/>
      <c r="T400" s="154"/>
      <c r="V400" s="200"/>
      <c r="Y400" s="200"/>
      <c r="Z400" s="329"/>
      <c r="AA400" s="200"/>
      <c r="AB400" s="200"/>
      <c r="AC400" s="210"/>
      <c r="AD400" s="210"/>
      <c r="AE400" s="200"/>
      <c r="AF400" s="200"/>
      <c r="AG400" s="209"/>
      <c r="AH400" s="201"/>
      <c r="AI400" s="200"/>
      <c r="AJ400" s="200"/>
      <c r="AK400" s="209"/>
      <c r="AL400" s="200"/>
      <c r="AM400" s="210"/>
      <c r="AN400" s="210"/>
    </row>
    <row r="401" spans="1:40" x14ac:dyDescent="0.25">
      <c r="A401" s="202"/>
      <c r="C401" s="154"/>
      <c r="J401" s="334"/>
      <c r="K401" s="334"/>
      <c r="T401" s="154"/>
      <c r="Z401" s="334"/>
    </row>
    <row r="402" spans="1:40" x14ac:dyDescent="0.25">
      <c r="A402" s="202"/>
      <c r="C402" s="154"/>
      <c r="F402" s="252"/>
      <c r="H402" s="252"/>
      <c r="I402" s="252"/>
      <c r="J402" s="329"/>
      <c r="K402" s="329"/>
      <c r="L402" s="200"/>
      <c r="M402" s="200"/>
      <c r="N402" s="210"/>
      <c r="O402" s="210"/>
      <c r="P402" s="200"/>
      <c r="Q402" s="200"/>
      <c r="R402" s="200"/>
      <c r="T402" s="154"/>
      <c r="V402" s="200"/>
      <c r="Y402" s="200"/>
      <c r="Z402" s="329"/>
      <c r="AA402" s="200"/>
      <c r="AB402" s="200"/>
      <c r="AC402" s="210"/>
      <c r="AD402" s="210"/>
      <c r="AE402" s="200"/>
      <c r="AF402" s="200"/>
      <c r="AG402" s="209"/>
      <c r="AH402" s="201"/>
      <c r="AI402" s="200"/>
      <c r="AJ402" s="200"/>
      <c r="AK402" s="209"/>
      <c r="AL402" s="200"/>
      <c r="AM402" s="210"/>
      <c r="AN402" s="210"/>
    </row>
    <row r="403" spans="1:40" x14ac:dyDescent="0.25">
      <c r="A403" s="202"/>
      <c r="C403" s="154"/>
      <c r="F403" s="252"/>
      <c r="H403" s="252"/>
      <c r="I403" s="252"/>
      <c r="J403" s="329"/>
      <c r="K403" s="329"/>
      <c r="L403" s="200"/>
      <c r="M403" s="200"/>
      <c r="N403" s="210"/>
      <c r="O403" s="210"/>
      <c r="P403" s="200"/>
      <c r="Q403" s="200"/>
      <c r="R403" s="200"/>
      <c r="T403" s="154"/>
      <c r="V403" s="200"/>
      <c r="Y403" s="200"/>
      <c r="Z403" s="329"/>
      <c r="AA403" s="200"/>
      <c r="AB403" s="200"/>
      <c r="AC403" s="210"/>
      <c r="AD403" s="210"/>
      <c r="AE403" s="200"/>
      <c r="AF403" s="200"/>
      <c r="AG403" s="209"/>
      <c r="AH403" s="201"/>
      <c r="AI403" s="200"/>
      <c r="AJ403" s="200"/>
      <c r="AK403" s="209"/>
      <c r="AL403" s="200"/>
      <c r="AM403" s="210"/>
      <c r="AN403" s="210"/>
    </row>
    <row r="404" spans="1:40" x14ac:dyDescent="0.25">
      <c r="A404" s="202"/>
      <c r="C404" s="154"/>
      <c r="F404" s="252"/>
      <c r="H404" s="252"/>
      <c r="I404" s="252"/>
      <c r="J404" s="329"/>
      <c r="K404" s="329"/>
      <c r="L404" s="200"/>
      <c r="M404" s="200"/>
      <c r="N404" s="210"/>
      <c r="O404" s="210"/>
      <c r="P404" s="200"/>
      <c r="Q404" s="200"/>
      <c r="R404" s="200"/>
      <c r="T404" s="154"/>
      <c r="V404" s="200"/>
      <c r="Y404" s="200"/>
      <c r="Z404" s="329"/>
      <c r="AA404" s="200"/>
      <c r="AB404" s="200"/>
      <c r="AC404" s="210"/>
      <c r="AD404" s="210"/>
      <c r="AE404" s="200"/>
      <c r="AF404" s="200"/>
      <c r="AG404" s="209"/>
      <c r="AH404" s="201"/>
      <c r="AI404" s="200"/>
      <c r="AJ404" s="200"/>
      <c r="AK404" s="209"/>
      <c r="AL404" s="200"/>
      <c r="AM404" s="210"/>
      <c r="AN404" s="210"/>
    </row>
    <row r="405" spans="1:40" x14ac:dyDescent="0.25">
      <c r="F405" s="211"/>
      <c r="H405" s="211"/>
      <c r="I405" s="211"/>
      <c r="J405" s="329"/>
      <c r="K405" s="329"/>
      <c r="L405" s="211"/>
      <c r="M405" s="211"/>
      <c r="N405" s="211"/>
      <c r="O405" s="211"/>
      <c r="P405" s="211"/>
      <c r="Q405" s="211"/>
      <c r="R405" s="211"/>
      <c r="V405" s="211"/>
      <c r="Y405" s="211"/>
      <c r="Z405" s="329"/>
      <c r="AA405" s="211"/>
      <c r="AB405" s="211"/>
      <c r="AC405" s="211"/>
      <c r="AD405" s="211"/>
      <c r="AE405" s="211"/>
      <c r="AF405" s="211"/>
      <c r="AI405" s="211"/>
      <c r="AJ405" s="211"/>
      <c r="AK405" s="212"/>
      <c r="AL405" s="211"/>
    </row>
    <row r="406" spans="1:40" x14ac:dyDescent="0.25">
      <c r="A406" s="202"/>
      <c r="C406" s="103"/>
      <c r="F406" s="200"/>
      <c r="H406" s="200"/>
      <c r="I406" s="200"/>
      <c r="J406" s="334"/>
      <c r="K406" s="334"/>
      <c r="L406" s="200"/>
      <c r="M406" s="200"/>
      <c r="N406" s="201"/>
      <c r="O406" s="201"/>
      <c r="P406" s="200"/>
      <c r="Q406" s="200"/>
      <c r="R406" s="200"/>
      <c r="T406" s="103"/>
      <c r="V406" s="200"/>
      <c r="Y406" s="200"/>
      <c r="Z406" s="334"/>
      <c r="AA406" s="200"/>
      <c r="AB406" s="200"/>
      <c r="AC406" s="200"/>
      <c r="AD406" s="200"/>
      <c r="AE406" s="200"/>
      <c r="AF406" s="200"/>
      <c r="AG406" s="209"/>
      <c r="AH406" s="201"/>
      <c r="AI406" s="200"/>
      <c r="AJ406" s="200"/>
      <c r="AK406" s="209"/>
      <c r="AL406" s="200"/>
      <c r="AM406" s="210"/>
      <c r="AN406" s="210"/>
    </row>
    <row r="407" spans="1:40" x14ac:dyDescent="0.25">
      <c r="F407" s="211"/>
      <c r="H407" s="211"/>
      <c r="I407" s="211"/>
      <c r="J407" s="329"/>
      <c r="K407" s="329"/>
      <c r="L407" s="211"/>
      <c r="M407" s="211"/>
      <c r="N407" s="211"/>
      <c r="O407" s="211"/>
      <c r="P407" s="211"/>
      <c r="Q407" s="211"/>
      <c r="R407" s="211"/>
      <c r="V407" s="211"/>
      <c r="Y407" s="211"/>
      <c r="Z407" s="329"/>
      <c r="AA407" s="211"/>
      <c r="AB407" s="211"/>
      <c r="AC407" s="211"/>
      <c r="AD407" s="211"/>
      <c r="AE407" s="211"/>
      <c r="AF407" s="211"/>
      <c r="AI407" s="211"/>
      <c r="AJ407" s="211"/>
      <c r="AK407" s="212"/>
      <c r="AL407" s="211"/>
    </row>
    <row r="408" spans="1:40" x14ac:dyDescent="0.25">
      <c r="A408" s="202"/>
      <c r="C408" s="154"/>
      <c r="J408" s="334"/>
      <c r="K408" s="334"/>
      <c r="T408" s="154"/>
      <c r="Z408" s="334"/>
    </row>
    <row r="409" spans="1:40" x14ac:dyDescent="0.25">
      <c r="A409" s="202"/>
      <c r="C409" s="154"/>
      <c r="J409" s="334"/>
      <c r="K409" s="334"/>
      <c r="T409" s="154"/>
      <c r="Z409" s="334"/>
    </row>
    <row r="410" spans="1:40" x14ac:dyDescent="0.25">
      <c r="A410" s="202"/>
      <c r="C410" s="154"/>
      <c r="F410" s="252"/>
      <c r="H410" s="252"/>
      <c r="I410" s="252"/>
      <c r="J410" s="329"/>
      <c r="K410" s="329"/>
      <c r="L410" s="200"/>
      <c r="M410" s="200"/>
      <c r="N410" s="210"/>
      <c r="O410" s="210"/>
      <c r="P410" s="200"/>
      <c r="Q410" s="200"/>
      <c r="R410" s="200"/>
      <c r="T410" s="154"/>
      <c r="V410" s="200"/>
      <c r="Y410" s="200"/>
      <c r="Z410" s="329"/>
      <c r="AA410" s="200"/>
      <c r="AB410" s="200"/>
      <c r="AC410" s="210"/>
      <c r="AD410" s="210"/>
      <c r="AE410" s="200"/>
      <c r="AF410" s="200"/>
      <c r="AG410" s="209"/>
      <c r="AH410" s="201"/>
      <c r="AI410" s="200"/>
      <c r="AJ410" s="200"/>
      <c r="AK410" s="209"/>
      <c r="AL410" s="200"/>
      <c r="AM410" s="210"/>
      <c r="AN410" s="210"/>
    </row>
    <row r="411" spans="1:40" x14ac:dyDescent="0.25">
      <c r="A411" s="202"/>
      <c r="C411" s="154"/>
      <c r="F411" s="252"/>
      <c r="H411" s="252"/>
      <c r="I411" s="252"/>
      <c r="J411" s="329"/>
      <c r="K411" s="329"/>
      <c r="L411" s="200"/>
      <c r="M411" s="200"/>
      <c r="N411" s="210"/>
      <c r="O411" s="210"/>
      <c r="P411" s="200"/>
      <c r="Q411" s="200"/>
      <c r="R411" s="200"/>
      <c r="T411" s="154"/>
      <c r="V411" s="200"/>
      <c r="Y411" s="200"/>
      <c r="Z411" s="329"/>
      <c r="AA411" s="200"/>
      <c r="AB411" s="200"/>
      <c r="AC411" s="210"/>
      <c r="AD411" s="210"/>
      <c r="AE411" s="200"/>
      <c r="AF411" s="200"/>
      <c r="AG411" s="209"/>
      <c r="AH411" s="201"/>
      <c r="AI411" s="200"/>
      <c r="AJ411" s="200"/>
      <c r="AK411" s="209"/>
      <c r="AL411" s="200"/>
      <c r="AM411" s="210"/>
      <c r="AN411" s="210"/>
    </row>
    <row r="412" spans="1:40" x14ac:dyDescent="0.25">
      <c r="A412" s="202"/>
      <c r="C412" s="154"/>
      <c r="F412" s="252"/>
      <c r="H412" s="252"/>
      <c r="I412" s="252"/>
      <c r="J412" s="329"/>
      <c r="K412" s="329"/>
      <c r="L412" s="200"/>
      <c r="M412" s="200"/>
      <c r="N412" s="210"/>
      <c r="O412" s="210"/>
      <c r="P412" s="200"/>
      <c r="Q412" s="200"/>
      <c r="R412" s="200"/>
      <c r="T412" s="154"/>
      <c r="V412" s="200"/>
      <c r="Y412" s="200"/>
      <c r="Z412" s="329"/>
      <c r="AA412" s="200"/>
      <c r="AB412" s="200"/>
      <c r="AC412" s="210"/>
      <c r="AD412" s="210"/>
      <c r="AE412" s="200"/>
      <c r="AF412" s="200"/>
      <c r="AG412" s="209"/>
      <c r="AH412" s="201"/>
      <c r="AI412" s="200"/>
      <c r="AJ412" s="200"/>
      <c r="AK412" s="209"/>
      <c r="AL412" s="200"/>
      <c r="AM412" s="210"/>
      <c r="AN412" s="210"/>
    </row>
    <row r="413" spans="1:40" x14ac:dyDescent="0.25">
      <c r="A413" s="202"/>
      <c r="C413" s="154"/>
      <c r="F413" s="252"/>
      <c r="H413" s="252"/>
      <c r="I413" s="252"/>
      <c r="J413" s="329"/>
      <c r="K413" s="329"/>
      <c r="L413" s="200"/>
      <c r="M413" s="200"/>
      <c r="N413" s="210"/>
      <c r="O413" s="210"/>
      <c r="P413" s="200"/>
      <c r="Q413" s="200"/>
      <c r="R413" s="200"/>
      <c r="T413" s="154"/>
      <c r="V413" s="200"/>
      <c r="Y413" s="200"/>
      <c r="Z413" s="329"/>
      <c r="AA413" s="200"/>
      <c r="AB413" s="200"/>
      <c r="AC413" s="210"/>
      <c r="AD413" s="210"/>
      <c r="AE413" s="200"/>
      <c r="AF413" s="200"/>
      <c r="AG413" s="209"/>
      <c r="AH413" s="201"/>
      <c r="AI413" s="200"/>
      <c r="AJ413" s="200"/>
      <c r="AK413" s="209"/>
      <c r="AL413" s="200"/>
      <c r="AM413" s="210"/>
      <c r="AN413" s="210"/>
    </row>
    <row r="414" spans="1:40" x14ac:dyDescent="0.25">
      <c r="A414" s="202"/>
      <c r="C414" s="154"/>
      <c r="F414" s="252"/>
      <c r="H414" s="252"/>
      <c r="I414" s="252"/>
      <c r="J414" s="329"/>
      <c r="K414" s="329"/>
      <c r="L414" s="200"/>
      <c r="M414" s="200"/>
      <c r="N414" s="210"/>
      <c r="O414" s="210"/>
      <c r="P414" s="200"/>
      <c r="Q414" s="200"/>
      <c r="R414" s="200"/>
      <c r="T414" s="154"/>
      <c r="V414" s="200"/>
      <c r="Y414" s="200"/>
      <c r="Z414" s="329"/>
      <c r="AA414" s="200"/>
      <c r="AB414" s="200"/>
      <c r="AC414" s="210"/>
      <c r="AD414" s="210"/>
      <c r="AE414" s="200"/>
      <c r="AF414" s="200"/>
      <c r="AG414" s="209"/>
      <c r="AH414" s="201"/>
      <c r="AI414" s="200"/>
      <c r="AJ414" s="200"/>
      <c r="AK414" s="209"/>
      <c r="AL414" s="200"/>
      <c r="AM414" s="210"/>
      <c r="AN414" s="210"/>
    </row>
    <row r="415" spans="1:40" x14ac:dyDescent="0.25">
      <c r="A415" s="202"/>
      <c r="C415" s="154"/>
      <c r="F415" s="252"/>
      <c r="H415" s="252"/>
      <c r="I415" s="252"/>
      <c r="J415" s="329"/>
      <c r="K415" s="329"/>
      <c r="L415" s="200"/>
      <c r="M415" s="200"/>
      <c r="N415" s="210"/>
      <c r="O415" s="210"/>
      <c r="P415" s="200"/>
      <c r="Q415" s="200"/>
      <c r="R415" s="200"/>
      <c r="T415" s="154"/>
      <c r="V415" s="200"/>
      <c r="Y415" s="200"/>
      <c r="Z415" s="329"/>
      <c r="AA415" s="200"/>
      <c r="AB415" s="200"/>
      <c r="AC415" s="210"/>
      <c r="AD415" s="210"/>
      <c r="AE415" s="200"/>
      <c r="AF415" s="200"/>
      <c r="AG415" s="209"/>
      <c r="AH415" s="201"/>
      <c r="AI415" s="200"/>
      <c r="AJ415" s="200"/>
      <c r="AK415" s="209"/>
      <c r="AL415" s="200"/>
      <c r="AM415" s="210"/>
      <c r="AN415" s="210"/>
    </row>
    <row r="416" spans="1:40" x14ac:dyDescent="0.25">
      <c r="A416" s="202"/>
      <c r="C416" s="154"/>
      <c r="F416" s="252"/>
      <c r="H416" s="252"/>
      <c r="I416" s="252"/>
      <c r="J416" s="329"/>
      <c r="K416" s="329"/>
      <c r="L416" s="200"/>
      <c r="M416" s="200"/>
      <c r="N416" s="210"/>
      <c r="O416" s="210"/>
      <c r="P416" s="200"/>
      <c r="Q416" s="200"/>
      <c r="R416" s="200"/>
      <c r="T416" s="154"/>
      <c r="V416" s="200"/>
      <c r="Y416" s="200"/>
      <c r="Z416" s="329"/>
      <c r="AA416" s="200"/>
      <c r="AB416" s="200"/>
      <c r="AC416" s="210"/>
      <c r="AD416" s="210"/>
      <c r="AE416" s="200"/>
      <c r="AF416" s="200"/>
      <c r="AG416" s="209"/>
      <c r="AH416" s="201"/>
      <c r="AI416" s="200"/>
      <c r="AJ416" s="200"/>
      <c r="AK416" s="209"/>
      <c r="AL416" s="200"/>
      <c r="AM416" s="210"/>
      <c r="AN416" s="210"/>
    </row>
    <row r="417" spans="1:40" x14ac:dyDescent="0.25">
      <c r="A417" s="202"/>
      <c r="C417" s="154"/>
      <c r="J417" s="334"/>
      <c r="K417" s="334"/>
      <c r="T417" s="154"/>
      <c r="Z417" s="334"/>
    </row>
    <row r="418" spans="1:40" x14ac:dyDescent="0.25">
      <c r="A418" s="202"/>
      <c r="C418" s="154"/>
      <c r="F418" s="252"/>
      <c r="H418" s="252"/>
      <c r="I418" s="252"/>
      <c r="J418" s="329"/>
      <c r="K418" s="329"/>
      <c r="L418" s="200"/>
      <c r="M418" s="200"/>
      <c r="N418" s="210"/>
      <c r="O418" s="210"/>
      <c r="P418" s="200"/>
      <c r="Q418" s="200"/>
      <c r="R418" s="200"/>
      <c r="T418" s="154"/>
      <c r="V418" s="200"/>
      <c r="Y418" s="200"/>
      <c r="Z418" s="329"/>
      <c r="AA418" s="200"/>
      <c r="AB418" s="200"/>
      <c r="AC418" s="210"/>
      <c r="AD418" s="210"/>
      <c r="AE418" s="200"/>
      <c r="AF418" s="200"/>
      <c r="AG418" s="209"/>
      <c r="AH418" s="201"/>
      <c r="AI418" s="200"/>
      <c r="AJ418" s="200"/>
      <c r="AK418" s="209"/>
      <c r="AL418" s="200"/>
      <c r="AM418" s="210"/>
      <c r="AN418" s="210"/>
    </row>
    <row r="419" spans="1:40" x14ac:dyDescent="0.25">
      <c r="A419" s="202"/>
      <c r="C419" s="154"/>
      <c r="F419" s="252"/>
      <c r="H419" s="252"/>
      <c r="I419" s="252"/>
      <c r="J419" s="329"/>
      <c r="K419" s="329"/>
      <c r="L419" s="200"/>
      <c r="M419" s="200"/>
      <c r="N419" s="210"/>
      <c r="O419" s="210"/>
      <c r="P419" s="200"/>
      <c r="Q419" s="200"/>
      <c r="R419" s="200"/>
      <c r="T419" s="154"/>
      <c r="V419" s="200"/>
      <c r="Y419" s="200"/>
      <c r="Z419" s="329"/>
      <c r="AA419" s="200"/>
      <c r="AB419" s="200"/>
      <c r="AC419" s="210"/>
      <c r="AD419" s="210"/>
      <c r="AE419" s="200"/>
      <c r="AF419" s="200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A420" s="202"/>
      <c r="C420" s="154"/>
      <c r="F420" s="252"/>
      <c r="H420" s="252"/>
      <c r="I420" s="252"/>
      <c r="J420" s="329"/>
      <c r="K420" s="329"/>
      <c r="L420" s="200"/>
      <c r="M420" s="200"/>
      <c r="N420" s="210"/>
      <c r="O420" s="210"/>
      <c r="P420" s="200"/>
      <c r="Q420" s="200"/>
      <c r="R420" s="200"/>
      <c r="T420" s="154"/>
      <c r="V420" s="200"/>
      <c r="Y420" s="200"/>
      <c r="Z420" s="329"/>
      <c r="AA420" s="200"/>
      <c r="AB420" s="200"/>
      <c r="AC420" s="210"/>
      <c r="AD420" s="210"/>
      <c r="AE420" s="200"/>
      <c r="AF420" s="200"/>
      <c r="AG420" s="209"/>
      <c r="AH420" s="201"/>
      <c r="AI420" s="200"/>
      <c r="AJ420" s="200"/>
      <c r="AK420" s="209"/>
      <c r="AL420" s="200"/>
      <c r="AM420" s="210"/>
      <c r="AN420" s="210"/>
    </row>
    <row r="421" spans="1:40" x14ac:dyDescent="0.25">
      <c r="A421" s="202"/>
      <c r="C421" s="154"/>
      <c r="F421" s="252"/>
      <c r="H421" s="252"/>
      <c r="I421" s="252"/>
      <c r="J421" s="329"/>
      <c r="K421" s="329"/>
      <c r="L421" s="200"/>
      <c r="M421" s="200"/>
      <c r="N421" s="210"/>
      <c r="O421" s="210"/>
      <c r="P421" s="200"/>
      <c r="Q421" s="200"/>
      <c r="R421" s="200"/>
      <c r="T421" s="154"/>
      <c r="V421" s="200"/>
      <c r="Y421" s="200"/>
      <c r="Z421" s="329"/>
      <c r="AA421" s="200"/>
      <c r="AB421" s="200"/>
      <c r="AC421" s="210"/>
      <c r="AD421" s="210"/>
      <c r="AE421" s="200"/>
      <c r="AF421" s="200"/>
      <c r="AG421" s="209"/>
      <c r="AH421" s="201"/>
      <c r="AI421" s="200"/>
      <c r="AJ421" s="200"/>
      <c r="AK421" s="209"/>
      <c r="AL421" s="200"/>
      <c r="AM421" s="210"/>
      <c r="AN421" s="210"/>
    </row>
    <row r="422" spans="1:40" x14ac:dyDescent="0.25">
      <c r="A422" s="202"/>
      <c r="C422" s="154"/>
      <c r="J422" s="334"/>
      <c r="K422" s="334"/>
      <c r="T422" s="154"/>
      <c r="Z422" s="334"/>
    </row>
    <row r="423" spans="1:40" x14ac:dyDescent="0.25">
      <c r="A423" s="202"/>
      <c r="C423" s="154"/>
      <c r="F423" s="252"/>
      <c r="H423" s="252"/>
      <c r="I423" s="252"/>
      <c r="J423" s="329"/>
      <c r="K423" s="329"/>
      <c r="L423" s="200"/>
      <c r="M423" s="200"/>
      <c r="N423" s="210"/>
      <c r="O423" s="210"/>
      <c r="P423" s="200"/>
      <c r="Q423" s="200"/>
      <c r="R423" s="200"/>
      <c r="T423" s="154"/>
      <c r="V423" s="200"/>
      <c r="Y423" s="200"/>
      <c r="Z423" s="329"/>
      <c r="AA423" s="200"/>
      <c r="AB423" s="200"/>
      <c r="AC423" s="210"/>
      <c r="AD423" s="210"/>
      <c r="AE423" s="200"/>
      <c r="AF423" s="200"/>
      <c r="AG423" s="209"/>
      <c r="AH423" s="201"/>
      <c r="AI423" s="200"/>
      <c r="AJ423" s="200"/>
      <c r="AK423" s="209"/>
      <c r="AL423" s="200"/>
      <c r="AM423" s="210"/>
      <c r="AN423" s="210"/>
    </row>
    <row r="424" spans="1:40" x14ac:dyDescent="0.25">
      <c r="A424" s="202"/>
      <c r="C424" s="154"/>
      <c r="F424" s="252"/>
      <c r="H424" s="252"/>
      <c r="I424" s="252"/>
      <c r="J424" s="329"/>
      <c r="K424" s="329"/>
      <c r="L424" s="200"/>
      <c r="M424" s="200"/>
      <c r="N424" s="210"/>
      <c r="O424" s="210"/>
      <c r="P424" s="200"/>
      <c r="Q424" s="200"/>
      <c r="R424" s="200"/>
      <c r="T424" s="154"/>
      <c r="V424" s="200"/>
      <c r="Y424" s="200"/>
      <c r="Z424" s="329"/>
      <c r="AA424" s="200"/>
      <c r="AB424" s="200"/>
      <c r="AC424" s="210"/>
      <c r="AD424" s="210"/>
      <c r="AE424" s="200"/>
      <c r="AF424" s="200"/>
      <c r="AG424" s="209"/>
      <c r="AH424" s="201"/>
      <c r="AI424" s="200"/>
      <c r="AJ424" s="200"/>
      <c r="AK424" s="209"/>
      <c r="AL424" s="200"/>
      <c r="AM424" s="210"/>
      <c r="AN424" s="210"/>
    </row>
    <row r="425" spans="1:40" x14ac:dyDescent="0.25">
      <c r="A425" s="202"/>
      <c r="C425" s="154"/>
      <c r="F425" s="252"/>
      <c r="H425" s="252"/>
      <c r="I425" s="252"/>
      <c r="J425" s="329"/>
      <c r="K425" s="329"/>
      <c r="L425" s="200"/>
      <c r="M425" s="200"/>
      <c r="N425" s="210"/>
      <c r="O425" s="210"/>
      <c r="P425" s="200"/>
      <c r="Q425" s="200"/>
      <c r="R425" s="200"/>
      <c r="T425" s="154"/>
      <c r="V425" s="200"/>
      <c r="Y425" s="200"/>
      <c r="Z425" s="329"/>
      <c r="AA425" s="200"/>
      <c r="AB425" s="200"/>
      <c r="AC425" s="210"/>
      <c r="AD425" s="210"/>
      <c r="AE425" s="200"/>
      <c r="AF425" s="200"/>
      <c r="AG425" s="209"/>
      <c r="AH425" s="201"/>
      <c r="AI425" s="200"/>
      <c r="AJ425" s="200"/>
      <c r="AK425" s="209"/>
      <c r="AL425" s="200"/>
      <c r="AM425" s="210"/>
      <c r="AN425" s="210"/>
    </row>
    <row r="426" spans="1:40" x14ac:dyDescent="0.25">
      <c r="A426" s="202"/>
      <c r="C426" s="154"/>
      <c r="F426" s="252"/>
      <c r="H426" s="252"/>
      <c r="I426" s="252"/>
      <c r="J426" s="329"/>
      <c r="K426" s="329"/>
      <c r="L426" s="200"/>
      <c r="M426" s="200"/>
      <c r="N426" s="210"/>
      <c r="O426" s="210"/>
      <c r="P426" s="200"/>
      <c r="Q426" s="200"/>
      <c r="R426" s="200"/>
      <c r="T426" s="154"/>
      <c r="V426" s="200"/>
      <c r="Y426" s="200"/>
      <c r="Z426" s="329"/>
      <c r="AA426" s="200"/>
      <c r="AB426" s="200"/>
      <c r="AC426" s="210"/>
      <c r="AD426" s="210"/>
      <c r="AE426" s="200"/>
      <c r="AF426" s="200"/>
      <c r="AG426" s="209"/>
      <c r="AH426" s="201"/>
      <c r="AI426" s="200"/>
      <c r="AJ426" s="200"/>
      <c r="AK426" s="209"/>
      <c r="AL426" s="200"/>
      <c r="AM426" s="210"/>
      <c r="AN426" s="210"/>
    </row>
    <row r="427" spans="1:40" x14ac:dyDescent="0.25">
      <c r="A427" s="202"/>
      <c r="C427" s="154"/>
      <c r="F427" s="252"/>
      <c r="H427" s="252"/>
      <c r="I427" s="252"/>
      <c r="J427" s="329"/>
      <c r="K427" s="329"/>
      <c r="L427" s="200"/>
      <c r="M427" s="200"/>
      <c r="N427" s="210"/>
      <c r="O427" s="210"/>
      <c r="P427" s="200"/>
      <c r="Q427" s="200"/>
      <c r="R427" s="200"/>
      <c r="T427" s="154"/>
      <c r="V427" s="200"/>
      <c r="Y427" s="200"/>
      <c r="Z427" s="329"/>
      <c r="AA427" s="200"/>
      <c r="AB427" s="200"/>
      <c r="AC427" s="210"/>
      <c r="AD427" s="210"/>
      <c r="AE427" s="200"/>
      <c r="AF427" s="200"/>
      <c r="AG427" s="209"/>
      <c r="AH427" s="201"/>
      <c r="AI427" s="200"/>
      <c r="AJ427" s="200"/>
      <c r="AK427" s="209"/>
      <c r="AL427" s="200"/>
      <c r="AM427" s="210"/>
      <c r="AN427" s="210"/>
    </row>
    <row r="428" spans="1:40" x14ac:dyDescent="0.25">
      <c r="F428" s="211"/>
      <c r="H428" s="211"/>
      <c r="I428" s="211"/>
      <c r="J428" s="305"/>
      <c r="K428" s="305"/>
      <c r="L428" s="211"/>
      <c r="M428" s="211"/>
      <c r="N428" s="211"/>
      <c r="O428" s="211"/>
      <c r="P428" s="211"/>
      <c r="Q428" s="211"/>
      <c r="R428" s="211"/>
      <c r="V428" s="211"/>
      <c r="Y428" s="211"/>
      <c r="Z428" s="329"/>
      <c r="AA428" s="211"/>
      <c r="AB428" s="211"/>
      <c r="AC428" s="211"/>
      <c r="AD428" s="211"/>
      <c r="AE428" s="211"/>
      <c r="AF428" s="211"/>
      <c r="AI428" s="211"/>
      <c r="AJ428" s="211"/>
      <c r="AK428" s="212"/>
      <c r="AL428" s="211"/>
    </row>
    <row r="429" spans="1:40" x14ac:dyDescent="0.25">
      <c r="A429" s="202"/>
      <c r="C429" s="154"/>
      <c r="F429" s="200"/>
      <c r="H429" s="200"/>
      <c r="I429" s="200"/>
      <c r="L429" s="200"/>
      <c r="M429" s="200"/>
      <c r="N429" s="201"/>
      <c r="O429" s="201"/>
      <c r="P429" s="200"/>
      <c r="Q429" s="200"/>
      <c r="R429" s="200"/>
      <c r="T429" s="154"/>
      <c r="V429" s="200"/>
      <c r="Y429" s="200"/>
      <c r="AA429" s="200"/>
      <c r="AB429" s="200"/>
      <c r="AC429" s="210"/>
      <c r="AD429" s="210"/>
      <c r="AE429" s="200"/>
      <c r="AF429" s="200"/>
      <c r="AG429" s="209"/>
      <c r="AH429" s="201"/>
      <c r="AI429" s="200"/>
      <c r="AJ429" s="200"/>
      <c r="AK429" s="209"/>
      <c r="AL429" s="200"/>
      <c r="AM429" s="210"/>
      <c r="AN429" s="210"/>
    </row>
    <row r="430" spans="1:40" x14ac:dyDescent="0.25">
      <c r="F430" s="211"/>
      <c r="H430" s="211"/>
      <c r="I430" s="211"/>
      <c r="J430" s="305"/>
      <c r="K430" s="305"/>
      <c r="L430" s="211"/>
      <c r="M430" s="211"/>
      <c r="N430" s="211"/>
      <c r="O430" s="211"/>
      <c r="P430" s="211"/>
      <c r="Q430" s="211"/>
      <c r="R430" s="211"/>
      <c r="V430" s="211"/>
      <c r="Y430" s="211"/>
      <c r="Z430" s="305"/>
      <c r="AA430" s="211"/>
      <c r="AB430" s="211"/>
      <c r="AC430" s="211"/>
      <c r="AD430" s="211"/>
      <c r="AE430" s="211"/>
      <c r="AF430" s="211"/>
      <c r="AI430" s="211"/>
      <c r="AJ430" s="211"/>
      <c r="AK430" s="212"/>
      <c r="AL430" s="211"/>
    </row>
    <row r="431" spans="1:40" x14ac:dyDescent="0.25">
      <c r="A431" s="202"/>
      <c r="C431" s="154"/>
      <c r="T431" s="154"/>
    </row>
    <row r="432" spans="1:40" x14ac:dyDescent="0.25">
      <c r="A432" s="202"/>
      <c r="C432" s="154"/>
      <c r="F432" s="252"/>
      <c r="H432" s="252"/>
      <c r="I432" s="252"/>
      <c r="J432" s="300"/>
      <c r="K432" s="300"/>
      <c r="L432" s="200"/>
      <c r="M432" s="200"/>
      <c r="N432" s="210"/>
      <c r="O432" s="210"/>
      <c r="P432" s="200"/>
      <c r="Q432" s="200"/>
      <c r="R432" s="200"/>
      <c r="T432" s="154"/>
      <c r="V432" s="200"/>
      <c r="Y432" s="200"/>
      <c r="Z432" s="300"/>
      <c r="AA432" s="200"/>
      <c r="AB432" s="200"/>
      <c r="AC432" s="210"/>
      <c r="AD432" s="210"/>
      <c r="AE432" s="200"/>
      <c r="AF432" s="200"/>
      <c r="AG432" s="209"/>
      <c r="AH432" s="201"/>
      <c r="AI432" s="200"/>
      <c r="AJ432" s="200"/>
      <c r="AK432" s="209"/>
      <c r="AL432" s="200"/>
      <c r="AM432" s="210"/>
      <c r="AN432" s="210"/>
    </row>
    <row r="433" spans="1:40" x14ac:dyDescent="0.25">
      <c r="A433" s="202"/>
      <c r="C433" s="154"/>
      <c r="F433" s="252"/>
      <c r="H433" s="252"/>
      <c r="I433" s="252"/>
      <c r="J433" s="300"/>
      <c r="K433" s="300"/>
      <c r="L433" s="200"/>
      <c r="M433" s="200"/>
      <c r="N433" s="210"/>
      <c r="O433" s="210"/>
      <c r="P433" s="200"/>
      <c r="Q433" s="200"/>
      <c r="R433" s="200"/>
      <c r="T433" s="154"/>
      <c r="V433" s="200"/>
      <c r="Y433" s="200"/>
      <c r="Z433" s="300"/>
      <c r="AA433" s="200"/>
      <c r="AB433" s="200"/>
      <c r="AC433" s="210"/>
      <c r="AD433" s="210"/>
      <c r="AE433" s="200"/>
      <c r="AF433" s="200"/>
      <c r="AG433" s="209"/>
      <c r="AH433" s="201"/>
      <c r="AI433" s="200"/>
      <c r="AJ433" s="200"/>
      <c r="AK433" s="209"/>
      <c r="AL433" s="200"/>
      <c r="AM433" s="210"/>
      <c r="AN433" s="210"/>
    </row>
    <row r="434" spans="1:40" x14ac:dyDescent="0.25">
      <c r="F434" s="211"/>
      <c r="H434" s="200"/>
      <c r="I434" s="200"/>
      <c r="J434" s="305"/>
      <c r="K434" s="305"/>
      <c r="L434" s="211"/>
      <c r="M434" s="211"/>
      <c r="N434" s="211"/>
      <c r="O434" s="211"/>
      <c r="P434" s="211"/>
      <c r="Q434" s="211"/>
      <c r="R434" s="211"/>
      <c r="V434" s="211"/>
      <c r="Y434" s="200"/>
      <c r="Z434" s="305"/>
      <c r="AA434" s="211"/>
      <c r="AB434" s="211"/>
      <c r="AC434" s="211"/>
      <c r="AD434" s="211"/>
      <c r="AE434" s="211"/>
      <c r="AF434" s="211"/>
      <c r="AI434" s="211"/>
      <c r="AJ434" s="211"/>
      <c r="AK434" s="212"/>
      <c r="AL434" s="211"/>
    </row>
    <row r="435" spans="1:40" x14ac:dyDescent="0.25">
      <c r="F435" s="200"/>
      <c r="H435" s="200"/>
      <c r="I435" s="200"/>
      <c r="J435" s="305"/>
      <c r="K435" s="305"/>
      <c r="L435" s="200"/>
      <c r="M435" s="200"/>
      <c r="N435" s="200"/>
      <c r="O435" s="200"/>
      <c r="P435" s="200"/>
      <c r="Q435" s="200"/>
      <c r="R435" s="200"/>
      <c r="V435" s="200"/>
      <c r="Y435" s="200"/>
      <c r="Z435" s="305"/>
      <c r="AA435" s="200"/>
      <c r="AB435" s="200"/>
      <c r="AC435" s="200"/>
      <c r="AD435" s="200"/>
      <c r="AE435" s="200"/>
      <c r="AF435" s="200"/>
      <c r="AI435" s="200"/>
      <c r="AJ435" s="200"/>
      <c r="AK435" s="209"/>
      <c r="AL435" s="200"/>
    </row>
    <row r="436" spans="1:40" x14ac:dyDescent="0.25">
      <c r="A436" s="202"/>
      <c r="C436" s="154"/>
      <c r="F436" s="200"/>
      <c r="H436" s="200"/>
      <c r="I436" s="200"/>
      <c r="L436" s="200"/>
      <c r="M436" s="200"/>
      <c r="N436" s="210"/>
      <c r="O436" s="210"/>
      <c r="P436" s="200"/>
      <c r="Q436" s="200"/>
      <c r="R436" s="200"/>
      <c r="T436" s="154"/>
      <c r="V436" s="200"/>
      <c r="Y436" s="200"/>
      <c r="AA436" s="200"/>
      <c r="AB436" s="200"/>
      <c r="AC436" s="210"/>
      <c r="AD436" s="210"/>
      <c r="AE436" s="200"/>
      <c r="AF436" s="200"/>
      <c r="AG436" s="209"/>
      <c r="AH436" s="201"/>
      <c r="AI436" s="252"/>
      <c r="AJ436" s="252"/>
      <c r="AK436" s="209"/>
      <c r="AL436" s="200"/>
      <c r="AM436" s="210"/>
      <c r="AN436" s="210"/>
    </row>
    <row r="437" spans="1:40" x14ac:dyDescent="0.25">
      <c r="F437" s="211"/>
      <c r="H437" s="211"/>
      <c r="I437" s="211"/>
      <c r="J437" s="305"/>
      <c r="K437" s="305"/>
      <c r="L437" s="211"/>
      <c r="M437" s="211"/>
      <c r="N437" s="211"/>
      <c r="O437" s="211"/>
      <c r="P437" s="211"/>
      <c r="Q437" s="211"/>
      <c r="R437" s="211"/>
      <c r="V437" s="211"/>
      <c r="Y437" s="211"/>
      <c r="Z437" s="305"/>
      <c r="AA437" s="211"/>
      <c r="AB437" s="211"/>
      <c r="AC437" s="211"/>
      <c r="AD437" s="211"/>
      <c r="AE437" s="211"/>
      <c r="AF437" s="211"/>
      <c r="AI437" s="211"/>
      <c r="AJ437" s="211"/>
      <c r="AK437" s="212"/>
      <c r="AL437" s="211"/>
    </row>
    <row r="439" spans="1:40" x14ac:dyDescent="0.25">
      <c r="A439" s="154"/>
      <c r="T439" s="154"/>
    </row>
    <row r="440" spans="1:40" x14ac:dyDescent="0.25">
      <c r="A440" s="154"/>
      <c r="T440" s="154"/>
    </row>
    <row r="441" spans="1:40" x14ac:dyDescent="0.25">
      <c r="A441" s="154"/>
      <c r="T441" s="154"/>
    </row>
    <row r="442" spans="1:40" x14ac:dyDescent="0.25">
      <c r="A442" s="154"/>
      <c r="T442" s="154"/>
    </row>
    <row r="443" spans="1:40" x14ac:dyDescent="0.25">
      <c r="A443" s="154"/>
      <c r="T443" s="154"/>
    </row>
    <row r="444" spans="1:40" x14ac:dyDescent="0.25">
      <c r="A444" s="154"/>
      <c r="T444" s="154"/>
    </row>
    <row r="445" spans="1:40" x14ac:dyDescent="0.25">
      <c r="A445" s="154"/>
      <c r="T445" s="154"/>
    </row>
    <row r="446" spans="1:40" x14ac:dyDescent="0.25">
      <c r="A446" s="154"/>
      <c r="T446" s="154"/>
    </row>
    <row r="447" spans="1:40" x14ac:dyDescent="0.25">
      <c r="A447" s="154"/>
      <c r="T447" s="154"/>
    </row>
    <row r="449" spans="1:40" x14ac:dyDescent="0.25">
      <c r="A449" s="154"/>
    </row>
    <row r="450" spans="1:40" x14ac:dyDescent="0.25">
      <c r="J450" s="202"/>
      <c r="K450" s="202"/>
      <c r="Z450" s="202"/>
    </row>
    <row r="451" spans="1:40" x14ac:dyDescent="0.25">
      <c r="H451" s="154"/>
      <c r="I451" s="154"/>
      <c r="Y451" s="154"/>
    </row>
    <row r="452" spans="1:40" x14ac:dyDescent="0.25">
      <c r="J452" s="202"/>
      <c r="K452" s="202"/>
      <c r="Z452" s="202"/>
    </row>
    <row r="453" spans="1:40" x14ac:dyDescent="0.25">
      <c r="L453" s="154"/>
      <c r="M453" s="154"/>
      <c r="AA453" s="154"/>
      <c r="AB453" s="154"/>
    </row>
    <row r="454" spans="1:40" x14ac:dyDescent="0.25">
      <c r="A454" s="202"/>
      <c r="R454" s="154"/>
      <c r="AK454" s="297"/>
      <c r="AL454" s="154"/>
    </row>
    <row r="455" spans="1:40" x14ac:dyDescent="0.25">
      <c r="A455" s="202"/>
      <c r="R455" s="154"/>
      <c r="AK455" s="297"/>
      <c r="AL455" s="154"/>
    </row>
    <row r="456" spans="1:40" x14ac:dyDescent="0.25">
      <c r="A456" s="154"/>
      <c r="R456" s="154"/>
      <c r="AK456" s="297"/>
      <c r="AL456" s="154"/>
    </row>
    <row r="457" spans="1:40" x14ac:dyDescent="0.25">
      <c r="L457" s="154"/>
      <c r="M457" s="154"/>
      <c r="R457" s="202"/>
      <c r="AA457" s="154"/>
      <c r="AB457" s="154"/>
      <c r="AK457" s="209"/>
      <c r="AL457" s="202"/>
    </row>
    <row r="458" spans="1:40" x14ac:dyDescent="0.2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208"/>
      <c r="AH458" s="102"/>
      <c r="AI458" s="102"/>
      <c r="AJ458" s="102"/>
      <c r="AK458" s="208"/>
      <c r="AL458" s="102"/>
      <c r="AM458" s="102"/>
      <c r="AN458" s="102"/>
    </row>
    <row r="459" spans="1:40" x14ac:dyDescent="0.25">
      <c r="L459" s="103"/>
      <c r="M459" s="103"/>
      <c r="N459" s="103"/>
      <c r="O459" s="103"/>
      <c r="R459" s="103"/>
      <c r="AA459" s="103"/>
      <c r="AB459" s="103"/>
      <c r="AC459" s="103"/>
      <c r="AD459" s="103"/>
      <c r="AE459" s="103"/>
      <c r="AF459" s="103"/>
      <c r="AG459" s="185"/>
      <c r="AH459" s="103"/>
      <c r="AK459" s="185"/>
      <c r="AL459" s="103"/>
      <c r="AM459" s="103"/>
      <c r="AN459" s="103"/>
    </row>
    <row r="460" spans="1:40" x14ac:dyDescent="0.25">
      <c r="L460" s="103"/>
      <c r="M460" s="103"/>
      <c r="N460" s="103"/>
      <c r="O460" s="103"/>
      <c r="R460" s="103"/>
      <c r="Z460" s="103"/>
      <c r="AA460" s="103"/>
      <c r="AB460" s="103"/>
      <c r="AC460" s="103"/>
      <c r="AD460" s="103"/>
      <c r="AE460" s="103"/>
      <c r="AF460" s="103"/>
      <c r="AG460" s="185"/>
      <c r="AH460" s="103"/>
      <c r="AK460" s="185"/>
      <c r="AL460" s="103"/>
      <c r="AM460" s="103"/>
      <c r="AN460" s="103"/>
    </row>
    <row r="461" spans="1:40" x14ac:dyDescent="0.25">
      <c r="A461" s="103"/>
      <c r="C461" s="103"/>
      <c r="D461" s="103"/>
      <c r="E461" s="103"/>
      <c r="F461" s="103"/>
      <c r="J461" s="103"/>
      <c r="K461" s="103"/>
      <c r="L461" s="103"/>
      <c r="M461" s="103"/>
      <c r="N461" s="103"/>
      <c r="O461" s="103"/>
      <c r="P461" s="103"/>
      <c r="Q461" s="103"/>
      <c r="R461" s="103"/>
      <c r="T461" s="103"/>
      <c r="U461" s="103"/>
      <c r="V461" s="103"/>
      <c r="Z461" s="103"/>
      <c r="AA461" s="103"/>
      <c r="AB461" s="103"/>
      <c r="AC461" s="103"/>
      <c r="AD461" s="103"/>
      <c r="AE461" s="103"/>
      <c r="AF461" s="103"/>
      <c r="AG461" s="185"/>
      <c r="AH461" s="103"/>
      <c r="AI461" s="103"/>
      <c r="AJ461" s="103"/>
      <c r="AK461" s="185"/>
      <c r="AL461" s="103"/>
      <c r="AM461" s="103"/>
      <c r="AN461" s="103"/>
    </row>
    <row r="462" spans="1:40" x14ac:dyDescent="0.25">
      <c r="A462" s="103"/>
      <c r="C462" s="103"/>
      <c r="D462" s="103"/>
      <c r="E462" s="103"/>
      <c r="F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T462" s="103"/>
      <c r="U462" s="103"/>
      <c r="V462" s="103"/>
      <c r="Y462" s="103"/>
      <c r="Z462" s="103"/>
      <c r="AA462" s="103"/>
      <c r="AB462" s="103"/>
      <c r="AC462" s="103"/>
      <c r="AD462" s="103"/>
      <c r="AE462" s="103"/>
      <c r="AF462" s="103"/>
      <c r="AG462" s="185"/>
      <c r="AH462" s="103"/>
      <c r="AI462" s="103"/>
      <c r="AJ462" s="103"/>
      <c r="AK462" s="185"/>
      <c r="AL462" s="103"/>
      <c r="AM462" s="103"/>
      <c r="AN462" s="103"/>
    </row>
    <row r="463" spans="1:40" x14ac:dyDescent="0.25">
      <c r="C463" s="103"/>
      <c r="D463" s="103"/>
      <c r="E463" s="103"/>
      <c r="F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T463" s="103"/>
      <c r="U463" s="103"/>
      <c r="V463" s="103"/>
      <c r="Y463" s="103"/>
      <c r="Z463" s="103"/>
      <c r="AA463" s="103"/>
      <c r="AB463" s="103"/>
      <c r="AC463" s="103"/>
      <c r="AD463" s="103"/>
      <c r="AE463" s="103"/>
      <c r="AF463" s="103"/>
      <c r="AG463" s="185"/>
      <c r="AH463" s="103"/>
      <c r="AI463" s="103"/>
      <c r="AJ463" s="103"/>
      <c r="AK463" s="185"/>
      <c r="AL463" s="103"/>
      <c r="AM463" s="103"/>
      <c r="AN463" s="103"/>
    </row>
    <row r="464" spans="1:40" x14ac:dyDescent="0.2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208"/>
      <c r="AH464" s="102"/>
      <c r="AI464" s="102"/>
      <c r="AJ464" s="102"/>
      <c r="AK464" s="208"/>
      <c r="AL464" s="102"/>
      <c r="AM464" s="102"/>
      <c r="AN464" s="102"/>
    </row>
    <row r="465" spans="1:40" x14ac:dyDescent="0.25"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Y465" s="103"/>
      <c r="Z465" s="103"/>
      <c r="AA465" s="103"/>
      <c r="AB465" s="103"/>
      <c r="AC465" s="103"/>
      <c r="AD465" s="103"/>
      <c r="AE465" s="103"/>
      <c r="AF465" s="103"/>
      <c r="AG465" s="185"/>
      <c r="AH465" s="103"/>
      <c r="AI465" s="103"/>
      <c r="AJ465" s="103"/>
      <c r="AK465" s="185"/>
      <c r="AL465" s="103"/>
      <c r="AM465" s="103"/>
      <c r="AN465" s="103"/>
    </row>
    <row r="466" spans="1:40" x14ac:dyDescent="0.25">
      <c r="A466" s="202"/>
      <c r="C466" s="154"/>
      <c r="D466" s="154"/>
      <c r="E466" s="154"/>
      <c r="T466" s="154"/>
      <c r="U466" s="154"/>
    </row>
    <row r="467" spans="1:40" x14ac:dyDescent="0.25">
      <c r="A467" s="202"/>
      <c r="D467" s="154"/>
      <c r="E467" s="154"/>
      <c r="U467" s="154"/>
    </row>
    <row r="469" spans="1:40" x14ac:dyDescent="0.25">
      <c r="A469" s="202"/>
      <c r="C469" s="154"/>
      <c r="F469" s="200"/>
      <c r="J469" s="215"/>
      <c r="K469" s="215"/>
      <c r="L469" s="200"/>
      <c r="M469" s="200"/>
      <c r="R469" s="200"/>
      <c r="T469" s="154"/>
      <c r="V469" s="200"/>
      <c r="Z469" s="215"/>
      <c r="AA469" s="200"/>
      <c r="AB469" s="200"/>
      <c r="AG469" s="209"/>
      <c r="AH469" s="200"/>
      <c r="AK469" s="209"/>
      <c r="AL469" s="200"/>
    </row>
    <row r="470" spans="1:40" x14ac:dyDescent="0.25">
      <c r="A470" s="202"/>
      <c r="C470" s="154"/>
      <c r="F470" s="200"/>
      <c r="R470" s="200"/>
      <c r="T470" s="154"/>
      <c r="V470" s="200"/>
      <c r="AG470" s="209"/>
      <c r="AH470" s="200"/>
      <c r="AK470" s="209"/>
      <c r="AL470" s="200"/>
    </row>
    <row r="471" spans="1:40" x14ac:dyDescent="0.25">
      <c r="AI471" s="200"/>
      <c r="AJ471" s="200"/>
      <c r="AK471" s="209"/>
      <c r="AL471" s="200"/>
      <c r="AM471" s="210"/>
      <c r="AN471" s="210"/>
    </row>
    <row r="472" spans="1:40" x14ac:dyDescent="0.25">
      <c r="A472" s="202"/>
      <c r="C472" s="154"/>
      <c r="F472" s="252"/>
      <c r="H472" s="252"/>
      <c r="I472" s="252"/>
      <c r="J472" s="328"/>
      <c r="K472" s="328"/>
      <c r="L472" s="200"/>
      <c r="M472" s="200"/>
      <c r="N472" s="210"/>
      <c r="O472" s="210"/>
      <c r="P472" s="200"/>
      <c r="Q472" s="200"/>
      <c r="R472" s="200"/>
      <c r="T472" s="154"/>
      <c r="V472" s="200"/>
      <c r="Y472" s="200"/>
      <c r="Z472" s="328"/>
      <c r="AA472" s="200"/>
      <c r="AB472" s="200"/>
      <c r="AC472" s="210"/>
      <c r="AD472" s="210"/>
      <c r="AE472" s="200"/>
      <c r="AF472" s="200"/>
      <c r="AG472" s="209"/>
      <c r="AH472" s="201"/>
      <c r="AI472" s="200"/>
      <c r="AJ472" s="200"/>
      <c r="AK472" s="209"/>
      <c r="AL472" s="200"/>
      <c r="AM472" s="210"/>
      <c r="AN472" s="210"/>
    </row>
    <row r="473" spans="1:40" x14ac:dyDescent="0.25">
      <c r="F473" s="200"/>
      <c r="H473" s="200"/>
      <c r="I473" s="200"/>
      <c r="J473" s="213"/>
      <c r="K473" s="213"/>
      <c r="L473" s="200"/>
      <c r="M473" s="200"/>
      <c r="P473" s="200"/>
      <c r="Q473" s="200"/>
      <c r="R473" s="200"/>
      <c r="V473" s="200"/>
      <c r="Y473" s="200"/>
      <c r="Z473" s="213"/>
      <c r="AA473" s="200"/>
      <c r="AB473" s="200"/>
      <c r="AI473" s="200"/>
      <c r="AJ473" s="200"/>
      <c r="AK473" s="209"/>
      <c r="AL473" s="200"/>
      <c r="AM473" s="210"/>
      <c r="AN473" s="210"/>
    </row>
    <row r="474" spans="1:40" x14ac:dyDescent="0.25">
      <c r="F474" s="200"/>
      <c r="R474" s="200"/>
      <c r="V474" s="200"/>
      <c r="AK474" s="209"/>
      <c r="AL474" s="200"/>
      <c r="AM474" s="210"/>
      <c r="AN474" s="210"/>
    </row>
    <row r="475" spans="1:40" x14ac:dyDescent="0.25">
      <c r="A475" s="202"/>
      <c r="C475" s="154"/>
      <c r="F475" s="200"/>
      <c r="J475" s="215"/>
      <c r="K475" s="215"/>
      <c r="L475" s="200"/>
      <c r="M475" s="200"/>
      <c r="N475" s="210"/>
      <c r="O475" s="210"/>
      <c r="R475" s="200"/>
      <c r="T475" s="154"/>
      <c r="V475" s="200"/>
      <c r="Z475" s="215"/>
      <c r="AA475" s="200"/>
      <c r="AB475" s="200"/>
      <c r="AC475" s="210"/>
      <c r="AD475" s="210"/>
      <c r="AK475" s="209"/>
      <c r="AL475" s="200"/>
      <c r="AM475" s="210"/>
      <c r="AN475" s="210"/>
    </row>
    <row r="476" spans="1:40" x14ac:dyDescent="0.25">
      <c r="A476" s="202"/>
      <c r="C476" s="154"/>
      <c r="F476" s="200"/>
      <c r="H476" s="200"/>
      <c r="I476" s="200"/>
      <c r="J476" s="215"/>
      <c r="K476" s="215"/>
      <c r="L476" s="200"/>
      <c r="M476" s="200"/>
      <c r="N476" s="210"/>
      <c r="O476" s="210"/>
      <c r="P476" s="200"/>
      <c r="Q476" s="200"/>
      <c r="R476" s="200"/>
      <c r="T476" s="154"/>
      <c r="V476" s="200"/>
      <c r="Y476" s="200"/>
      <c r="Z476" s="215"/>
      <c r="AA476" s="200"/>
      <c r="AB476" s="200"/>
      <c r="AC476" s="210"/>
      <c r="AD476" s="210"/>
      <c r="AI476" s="200"/>
      <c r="AJ476" s="200"/>
      <c r="AK476" s="209"/>
      <c r="AL476" s="200"/>
      <c r="AM476" s="210"/>
      <c r="AN476" s="210"/>
    </row>
    <row r="477" spans="1:40" x14ac:dyDescent="0.25">
      <c r="A477" s="202"/>
      <c r="C477" s="154"/>
      <c r="T477" s="154"/>
      <c r="AM477" s="210"/>
      <c r="AN477" s="210"/>
    </row>
    <row r="478" spans="1:40" x14ac:dyDescent="0.25">
      <c r="A478" s="202"/>
      <c r="C478" s="154"/>
      <c r="T478" s="154"/>
      <c r="AM478" s="210"/>
      <c r="AN478" s="210"/>
    </row>
    <row r="479" spans="1:40" x14ac:dyDescent="0.25">
      <c r="AM479" s="210"/>
      <c r="AN479" s="210"/>
    </row>
    <row r="480" spans="1:40" x14ac:dyDescent="0.25">
      <c r="A480" s="202"/>
      <c r="C480" s="154"/>
      <c r="F480" s="252"/>
      <c r="H480" s="252"/>
      <c r="I480" s="252"/>
      <c r="J480" s="328"/>
      <c r="K480" s="328"/>
      <c r="L480" s="200"/>
      <c r="M480" s="200"/>
      <c r="N480" s="210"/>
      <c r="O480" s="210"/>
      <c r="P480" s="200"/>
      <c r="Q480" s="200"/>
      <c r="R480" s="200"/>
      <c r="T480" s="154"/>
      <c r="V480" s="200"/>
      <c r="Y480" s="200"/>
      <c r="Z480" s="328"/>
      <c r="AA480" s="200"/>
      <c r="AB480" s="200"/>
      <c r="AC480" s="210"/>
      <c r="AD480" s="210"/>
      <c r="AE480" s="200"/>
      <c r="AF480" s="200"/>
      <c r="AG480" s="209"/>
      <c r="AH480" s="201"/>
      <c r="AI480" s="200"/>
      <c r="AJ480" s="200"/>
      <c r="AK480" s="209"/>
      <c r="AL480" s="200"/>
      <c r="AM480" s="210"/>
      <c r="AN480" s="210"/>
    </row>
    <row r="481" spans="1:40" x14ac:dyDescent="0.25">
      <c r="F481" s="211"/>
      <c r="H481" s="211"/>
      <c r="I481" s="211"/>
      <c r="J481" s="305"/>
      <c r="K481" s="305"/>
      <c r="L481" s="211"/>
      <c r="M481" s="211"/>
      <c r="N481" s="211"/>
      <c r="O481" s="211"/>
      <c r="P481" s="211"/>
      <c r="Q481" s="211"/>
      <c r="R481" s="211"/>
      <c r="V481" s="211"/>
      <c r="Y481" s="211"/>
      <c r="Z481" s="305"/>
      <c r="AA481" s="211"/>
      <c r="AB481" s="211"/>
      <c r="AC481" s="211"/>
      <c r="AD481" s="211"/>
      <c r="AE481" s="211"/>
      <c r="AF481" s="211"/>
      <c r="AI481" s="211"/>
      <c r="AJ481" s="211"/>
      <c r="AK481" s="212"/>
      <c r="AL481" s="211"/>
      <c r="AM481" s="210"/>
      <c r="AN481" s="210"/>
    </row>
    <row r="482" spans="1:40" x14ac:dyDescent="0.25">
      <c r="H482" s="200"/>
      <c r="I482" s="200"/>
      <c r="Y482" s="200"/>
      <c r="AM482" s="210"/>
      <c r="AN482" s="210"/>
    </row>
    <row r="483" spans="1:40" x14ac:dyDescent="0.25">
      <c r="A483" s="202"/>
      <c r="C483" s="154"/>
      <c r="F483" s="200"/>
      <c r="H483" s="200"/>
      <c r="I483" s="200"/>
      <c r="L483" s="200"/>
      <c r="M483" s="200"/>
      <c r="N483" s="210"/>
      <c r="O483" s="210"/>
      <c r="P483" s="252"/>
      <c r="Q483" s="252"/>
      <c r="R483" s="200"/>
      <c r="T483" s="154"/>
      <c r="V483" s="200"/>
      <c r="Y483" s="200"/>
      <c r="AA483" s="200"/>
      <c r="AB483" s="200"/>
      <c r="AC483" s="210"/>
      <c r="AD483" s="210"/>
      <c r="AE483" s="200"/>
      <c r="AF483" s="200"/>
      <c r="AG483" s="209"/>
      <c r="AH483" s="201"/>
      <c r="AI483" s="252"/>
      <c r="AJ483" s="252"/>
      <c r="AK483" s="209"/>
      <c r="AL483" s="200"/>
      <c r="AM483" s="210"/>
      <c r="AN483" s="210"/>
    </row>
    <row r="484" spans="1:40" x14ac:dyDescent="0.25">
      <c r="F484" s="211"/>
      <c r="H484" s="211"/>
      <c r="I484" s="211"/>
      <c r="J484" s="305"/>
      <c r="K484" s="305"/>
      <c r="L484" s="211"/>
      <c r="M484" s="211"/>
      <c r="N484" s="211"/>
      <c r="O484" s="211"/>
      <c r="P484" s="211"/>
      <c r="Q484" s="211"/>
      <c r="R484" s="211"/>
      <c r="V484" s="211"/>
      <c r="Y484" s="211"/>
      <c r="Z484" s="305"/>
      <c r="AA484" s="211"/>
      <c r="AB484" s="211"/>
      <c r="AC484" s="211"/>
      <c r="AD484" s="211"/>
      <c r="AE484" s="211"/>
      <c r="AF484" s="211"/>
      <c r="AI484" s="211"/>
      <c r="AJ484" s="211"/>
      <c r="AK484" s="212"/>
      <c r="AL484" s="211"/>
      <c r="AM484" s="210"/>
      <c r="AN484" s="210"/>
    </row>
    <row r="486" spans="1:40" x14ac:dyDescent="0.25">
      <c r="F486" s="200"/>
      <c r="H486" s="200"/>
      <c r="I486" s="200"/>
      <c r="J486" s="213"/>
      <c r="K486" s="213"/>
      <c r="L486" s="200"/>
      <c r="M486" s="200"/>
      <c r="N486" s="200"/>
      <c r="O486" s="200"/>
      <c r="P486" s="200"/>
      <c r="Q486" s="200"/>
      <c r="R486" s="200"/>
      <c r="V486" s="200"/>
      <c r="Y486" s="200"/>
      <c r="Z486" s="213"/>
      <c r="AA486" s="200"/>
      <c r="AB486" s="200"/>
      <c r="AC486" s="200"/>
      <c r="AD486" s="200"/>
      <c r="AE486" s="200"/>
      <c r="AF486" s="200"/>
      <c r="AG486" s="209"/>
      <c r="AH486" s="200"/>
      <c r="AI486" s="200"/>
      <c r="AJ486" s="200"/>
      <c r="AK486" s="209"/>
      <c r="AL486" s="200"/>
    </row>
    <row r="487" spans="1:40" x14ac:dyDescent="0.25">
      <c r="A487" s="154"/>
    </row>
    <row r="488" spans="1:40" x14ac:dyDescent="0.25">
      <c r="J488" s="202"/>
      <c r="K488" s="202"/>
      <c r="Z488" s="202"/>
    </row>
    <row r="489" spans="1:40" x14ac:dyDescent="0.25">
      <c r="H489" s="154"/>
      <c r="I489" s="154"/>
      <c r="Y489" s="154"/>
    </row>
    <row r="490" spans="1:40" x14ac:dyDescent="0.25">
      <c r="J490" s="202"/>
      <c r="K490" s="202"/>
      <c r="Z490" s="202"/>
    </row>
    <row r="491" spans="1:40" x14ac:dyDescent="0.25">
      <c r="L491" s="154"/>
      <c r="M491" s="154"/>
      <c r="AA491" s="154"/>
      <c r="AB491" s="154"/>
    </row>
    <row r="492" spans="1:40" x14ac:dyDescent="0.25">
      <c r="A492" s="202"/>
      <c r="R492" s="154"/>
      <c r="AK492" s="297"/>
      <c r="AL492" s="154"/>
    </row>
    <row r="493" spans="1:40" x14ac:dyDescent="0.25">
      <c r="A493" s="202"/>
      <c r="R493" s="154"/>
      <c r="AK493" s="297"/>
      <c r="AL493" s="154"/>
    </row>
    <row r="494" spans="1:40" x14ac:dyDescent="0.25">
      <c r="A494" s="154"/>
      <c r="R494" s="154"/>
      <c r="AK494" s="297"/>
      <c r="AL494" s="154"/>
    </row>
    <row r="495" spans="1:40" x14ac:dyDescent="0.25">
      <c r="L495" s="154"/>
      <c r="M495" s="154"/>
      <c r="R495" s="202"/>
      <c r="AA495" s="154"/>
      <c r="AB495" s="154"/>
      <c r="AK495" s="209"/>
      <c r="AL495" s="202"/>
    </row>
    <row r="496" spans="1:40" x14ac:dyDescent="0.25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208"/>
      <c r="AH496" s="102"/>
      <c r="AI496" s="102"/>
      <c r="AJ496" s="102"/>
      <c r="AK496" s="208"/>
      <c r="AL496" s="102"/>
      <c r="AM496" s="102"/>
      <c r="AN496" s="102"/>
    </row>
    <row r="497" spans="1:40" x14ac:dyDescent="0.25">
      <c r="L497" s="103"/>
      <c r="M497" s="103"/>
      <c r="N497" s="103"/>
      <c r="O497" s="103"/>
      <c r="R497" s="103"/>
      <c r="AA497" s="103"/>
      <c r="AB497" s="103"/>
      <c r="AC497" s="103"/>
      <c r="AD497" s="103"/>
      <c r="AE497" s="103"/>
      <c r="AF497" s="103"/>
      <c r="AG497" s="185"/>
      <c r="AH497" s="103"/>
      <c r="AK497" s="185"/>
      <c r="AL497" s="103"/>
      <c r="AM497" s="103"/>
      <c r="AN497" s="103"/>
    </row>
    <row r="498" spans="1:40" x14ac:dyDescent="0.25">
      <c r="L498" s="103"/>
      <c r="M498" s="103"/>
      <c r="N498" s="103"/>
      <c r="O498" s="103"/>
      <c r="R498" s="103"/>
      <c r="Z498" s="103"/>
      <c r="AA498" s="103"/>
      <c r="AB498" s="103"/>
      <c r="AC498" s="103"/>
      <c r="AD498" s="103"/>
      <c r="AE498" s="103"/>
      <c r="AF498" s="103"/>
      <c r="AG498" s="185"/>
      <c r="AH498" s="103"/>
      <c r="AK498" s="185"/>
      <c r="AL498" s="103"/>
      <c r="AM498" s="103"/>
      <c r="AN498" s="103"/>
    </row>
    <row r="499" spans="1:40" x14ac:dyDescent="0.25">
      <c r="A499" s="103"/>
      <c r="C499" s="103"/>
      <c r="D499" s="103"/>
      <c r="E499" s="103"/>
      <c r="F499" s="103"/>
      <c r="J499" s="103"/>
      <c r="K499" s="103"/>
      <c r="L499" s="103"/>
      <c r="M499" s="103"/>
      <c r="N499" s="103"/>
      <c r="O499" s="103"/>
      <c r="P499" s="103"/>
      <c r="Q499" s="103"/>
      <c r="R499" s="103"/>
      <c r="T499" s="103"/>
      <c r="U499" s="103"/>
      <c r="V499" s="103"/>
      <c r="Z499" s="103"/>
      <c r="AA499" s="103"/>
      <c r="AB499" s="103"/>
      <c r="AC499" s="103"/>
      <c r="AD499" s="103"/>
      <c r="AE499" s="103"/>
      <c r="AF499" s="103"/>
      <c r="AG499" s="185"/>
      <c r="AH499" s="103"/>
      <c r="AI499" s="103"/>
      <c r="AJ499" s="103"/>
      <c r="AK499" s="185"/>
      <c r="AL499" s="103"/>
      <c r="AM499" s="103"/>
      <c r="AN499" s="103"/>
    </row>
    <row r="500" spans="1:40" x14ac:dyDescent="0.25">
      <c r="A500" s="103"/>
      <c r="C500" s="103"/>
      <c r="D500" s="103"/>
      <c r="E500" s="103"/>
      <c r="F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T500" s="103"/>
      <c r="U500" s="103"/>
      <c r="V500" s="103"/>
      <c r="Y500" s="103"/>
      <c r="Z500" s="103"/>
      <c r="AA500" s="103"/>
      <c r="AB500" s="103"/>
      <c r="AC500" s="103"/>
      <c r="AD500" s="103"/>
      <c r="AE500" s="103"/>
      <c r="AF500" s="103"/>
      <c r="AG500" s="185"/>
      <c r="AH500" s="103"/>
      <c r="AI500" s="103"/>
      <c r="AJ500" s="103"/>
      <c r="AK500" s="185"/>
      <c r="AL500" s="103"/>
      <c r="AM500" s="103"/>
      <c r="AN500" s="103"/>
    </row>
    <row r="501" spans="1:40" x14ac:dyDescent="0.25">
      <c r="C501" s="103"/>
      <c r="D501" s="103"/>
      <c r="E501" s="103"/>
      <c r="F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T501" s="103"/>
      <c r="U501" s="103"/>
      <c r="V501" s="103"/>
      <c r="Y501" s="103"/>
      <c r="Z501" s="103"/>
      <c r="AA501" s="103"/>
      <c r="AB501" s="103"/>
      <c r="AC501" s="103"/>
      <c r="AD501" s="103"/>
      <c r="AE501" s="103"/>
      <c r="AF501" s="103"/>
      <c r="AG501" s="185"/>
      <c r="AH501" s="103"/>
      <c r="AI501" s="103"/>
      <c r="AJ501" s="103"/>
      <c r="AK501" s="185"/>
      <c r="AL501" s="103"/>
      <c r="AM501" s="103"/>
      <c r="AN501" s="103"/>
    </row>
    <row r="502" spans="1:40" x14ac:dyDescent="0.25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208"/>
      <c r="AH502" s="102"/>
      <c r="AI502" s="102"/>
      <c r="AJ502" s="102"/>
      <c r="AK502" s="208"/>
      <c r="AL502" s="102"/>
      <c r="AM502" s="102"/>
      <c r="AN502" s="102"/>
    </row>
    <row r="503" spans="1:40" x14ac:dyDescent="0.25"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Y503" s="103"/>
      <c r="Z503" s="103"/>
      <c r="AA503" s="103"/>
      <c r="AB503" s="103"/>
      <c r="AC503" s="103"/>
      <c r="AD503" s="103"/>
      <c r="AE503" s="103"/>
      <c r="AF503" s="103"/>
      <c r="AG503" s="185"/>
      <c r="AH503" s="103"/>
      <c r="AI503" s="103"/>
      <c r="AJ503" s="103"/>
      <c r="AK503" s="185"/>
      <c r="AL503" s="103"/>
      <c r="AM503" s="103"/>
      <c r="AN503" s="103"/>
    </row>
    <row r="504" spans="1:40" x14ac:dyDescent="0.25">
      <c r="A504" s="202"/>
      <c r="C504" s="154"/>
      <c r="D504" s="154"/>
      <c r="E504" s="154"/>
      <c r="T504" s="154"/>
      <c r="U504" s="154"/>
      <c r="V504" s="200"/>
      <c r="W504" s="200"/>
      <c r="X504" s="200"/>
      <c r="Y504" s="200"/>
      <c r="Z504" s="328"/>
    </row>
    <row r="506" spans="1:40" x14ac:dyDescent="0.25">
      <c r="A506" s="202"/>
      <c r="C506" s="154"/>
      <c r="T506" s="154"/>
      <c r="V506" s="200"/>
      <c r="W506" s="200"/>
      <c r="X506" s="200"/>
      <c r="Y506" s="200"/>
      <c r="Z506" s="328"/>
    </row>
    <row r="507" spans="1:40" x14ac:dyDescent="0.25">
      <c r="A507" s="202"/>
      <c r="C507" s="154"/>
      <c r="F507" s="252"/>
      <c r="H507" s="252"/>
      <c r="I507" s="252"/>
      <c r="J507" s="329"/>
      <c r="K507" s="329"/>
      <c r="L507" s="200"/>
      <c r="M507" s="200"/>
      <c r="N507" s="210"/>
      <c r="O507" s="210"/>
      <c r="P507" s="200"/>
      <c r="Q507" s="200"/>
      <c r="R507" s="200"/>
      <c r="T507" s="154"/>
      <c r="V507" s="200"/>
      <c r="W507" s="200"/>
      <c r="X507" s="200"/>
      <c r="Y507" s="200"/>
      <c r="Z507" s="329"/>
      <c r="AA507" s="200"/>
      <c r="AB507" s="200"/>
      <c r="AC507" s="210"/>
      <c r="AD507" s="210"/>
      <c r="AE507" s="200"/>
      <c r="AF507" s="200"/>
      <c r="AG507" s="209"/>
      <c r="AH507" s="201"/>
      <c r="AI507" s="200"/>
      <c r="AJ507" s="200"/>
      <c r="AK507" s="209"/>
      <c r="AL507" s="200"/>
      <c r="AM507" s="210"/>
      <c r="AN507" s="210"/>
    </row>
    <row r="508" spans="1:40" x14ac:dyDescent="0.25">
      <c r="A508" s="202"/>
      <c r="C508" s="154"/>
      <c r="F508" s="252"/>
      <c r="H508" s="252"/>
      <c r="I508" s="252"/>
      <c r="J508" s="329"/>
      <c r="K508" s="329"/>
      <c r="L508" s="200"/>
      <c r="M508" s="200"/>
      <c r="N508" s="210"/>
      <c r="O508" s="210"/>
      <c r="P508" s="200"/>
      <c r="Q508" s="200"/>
      <c r="R508" s="200"/>
      <c r="T508" s="154"/>
      <c r="V508" s="200"/>
      <c r="W508" s="200"/>
      <c r="X508" s="200"/>
      <c r="Y508" s="200"/>
      <c r="Z508" s="329"/>
      <c r="AA508" s="200"/>
      <c r="AB508" s="200"/>
      <c r="AC508" s="210"/>
      <c r="AD508" s="210"/>
      <c r="AE508" s="200"/>
      <c r="AF508" s="200"/>
      <c r="AG508" s="209"/>
      <c r="AH508" s="201"/>
      <c r="AI508" s="200"/>
      <c r="AJ508" s="200"/>
      <c r="AK508" s="209"/>
      <c r="AL508" s="200"/>
      <c r="AM508" s="210"/>
      <c r="AN508" s="210"/>
    </row>
    <row r="509" spans="1:40" x14ac:dyDescent="0.25">
      <c r="A509" s="202"/>
      <c r="C509" s="154"/>
      <c r="F509" s="252"/>
      <c r="H509" s="252"/>
      <c r="I509" s="252"/>
      <c r="J509" s="329"/>
      <c r="K509" s="329"/>
      <c r="L509" s="200"/>
      <c r="M509" s="200"/>
      <c r="N509" s="210"/>
      <c r="O509" s="210"/>
      <c r="P509" s="200"/>
      <c r="Q509" s="200"/>
      <c r="R509" s="200"/>
      <c r="T509" s="154"/>
      <c r="V509" s="200"/>
      <c r="W509" s="200"/>
      <c r="X509" s="200"/>
      <c r="Y509" s="200"/>
      <c r="Z509" s="329"/>
      <c r="AA509" s="200"/>
      <c r="AB509" s="200"/>
      <c r="AC509" s="210"/>
      <c r="AD509" s="210"/>
      <c r="AE509" s="200"/>
      <c r="AF509" s="200"/>
      <c r="AG509" s="209"/>
      <c r="AH509" s="201"/>
      <c r="AI509" s="200"/>
      <c r="AJ509" s="200"/>
      <c r="AK509" s="209"/>
      <c r="AL509" s="200"/>
      <c r="AM509" s="210"/>
      <c r="AN509" s="210"/>
    </row>
    <row r="510" spans="1:40" x14ac:dyDescent="0.25">
      <c r="A510" s="202"/>
      <c r="C510" s="154"/>
      <c r="F510" s="252"/>
      <c r="H510" s="252"/>
      <c r="I510" s="252"/>
      <c r="J510" s="329"/>
      <c r="K510" s="329"/>
      <c r="L510" s="200"/>
      <c r="M510" s="200"/>
      <c r="N510" s="210"/>
      <c r="O510" s="210"/>
      <c r="P510" s="200"/>
      <c r="Q510" s="200"/>
      <c r="R510" s="200"/>
      <c r="T510" s="154"/>
      <c r="V510" s="200"/>
      <c r="W510" s="200"/>
      <c r="X510" s="200"/>
      <c r="Y510" s="200"/>
      <c r="Z510" s="329"/>
      <c r="AA510" s="200"/>
      <c r="AB510" s="200"/>
      <c r="AC510" s="210"/>
      <c r="AD510" s="210"/>
      <c r="AE510" s="200"/>
      <c r="AF510" s="200"/>
      <c r="AG510" s="209"/>
      <c r="AH510" s="201"/>
      <c r="AI510" s="200"/>
      <c r="AJ510" s="200"/>
      <c r="AK510" s="209"/>
      <c r="AL510" s="200"/>
      <c r="AM510" s="210"/>
      <c r="AN510" s="210"/>
    </row>
    <row r="511" spans="1:40" x14ac:dyDescent="0.25">
      <c r="J511" s="334"/>
      <c r="K511" s="334"/>
      <c r="V511" s="200"/>
      <c r="W511" s="200"/>
      <c r="X511" s="200"/>
      <c r="Y511" s="200"/>
      <c r="Z511" s="329"/>
    </row>
    <row r="512" spans="1:40" x14ac:dyDescent="0.25">
      <c r="A512" s="202"/>
      <c r="C512" s="154"/>
      <c r="F512" s="252"/>
      <c r="H512" s="252"/>
      <c r="I512" s="252"/>
      <c r="J512" s="329"/>
      <c r="K512" s="329"/>
      <c r="L512" s="200"/>
      <c r="M512" s="200"/>
      <c r="N512" s="210"/>
      <c r="O512" s="210"/>
      <c r="P512" s="200"/>
      <c r="Q512" s="200"/>
      <c r="R512" s="200"/>
      <c r="T512" s="154"/>
      <c r="V512" s="200"/>
      <c r="W512" s="200"/>
      <c r="X512" s="200"/>
      <c r="Y512" s="200"/>
      <c r="Z512" s="329"/>
      <c r="AA512" s="200"/>
      <c r="AB512" s="200"/>
      <c r="AC512" s="210"/>
      <c r="AD512" s="210"/>
      <c r="AE512" s="200"/>
      <c r="AF512" s="200"/>
      <c r="AG512" s="209"/>
      <c r="AH512" s="201"/>
      <c r="AI512" s="200"/>
      <c r="AJ512" s="200"/>
      <c r="AK512" s="209"/>
      <c r="AL512" s="200"/>
      <c r="AM512" s="201"/>
      <c r="AN512" s="201"/>
    </row>
    <row r="513" spans="1:40" x14ac:dyDescent="0.25">
      <c r="A513" s="202"/>
      <c r="C513" s="154"/>
      <c r="J513" s="334"/>
      <c r="K513" s="334"/>
      <c r="T513" s="154"/>
      <c r="V513" s="200"/>
      <c r="W513" s="200"/>
      <c r="X513" s="200"/>
      <c r="Y513" s="200"/>
      <c r="Z513" s="329"/>
    </row>
    <row r="514" spans="1:40" x14ac:dyDescent="0.25">
      <c r="A514" s="202"/>
      <c r="C514" s="154"/>
      <c r="F514" s="252"/>
      <c r="H514" s="252"/>
      <c r="I514" s="252"/>
      <c r="J514" s="329"/>
      <c r="K514" s="329"/>
      <c r="L514" s="200"/>
      <c r="M514" s="200"/>
      <c r="N514" s="210"/>
      <c r="O514" s="210"/>
      <c r="P514" s="200"/>
      <c r="Q514" s="200"/>
      <c r="R514" s="200"/>
      <c r="T514" s="154"/>
      <c r="V514" s="200"/>
      <c r="W514" s="200"/>
      <c r="X514" s="200"/>
      <c r="Y514" s="200"/>
      <c r="Z514" s="329"/>
      <c r="AA514" s="200"/>
      <c r="AB514" s="200"/>
      <c r="AC514" s="210"/>
      <c r="AD514" s="210"/>
      <c r="AE514" s="200"/>
      <c r="AF514" s="200"/>
      <c r="AG514" s="209"/>
      <c r="AH514" s="201"/>
      <c r="AI514" s="200"/>
      <c r="AJ514" s="200"/>
      <c r="AK514" s="209"/>
      <c r="AL514" s="200"/>
      <c r="AM514" s="201"/>
      <c r="AN514" s="201"/>
    </row>
    <row r="515" spans="1:40" x14ac:dyDescent="0.25">
      <c r="J515" s="334"/>
      <c r="K515" s="334"/>
      <c r="Z515" s="334"/>
    </row>
    <row r="516" spans="1:40" x14ac:dyDescent="0.25">
      <c r="A516" s="202"/>
      <c r="C516" s="154"/>
      <c r="J516" s="334"/>
      <c r="K516" s="334"/>
      <c r="T516" s="154"/>
      <c r="V516" s="200"/>
      <c r="W516" s="200"/>
      <c r="X516" s="200"/>
      <c r="Y516" s="200"/>
      <c r="Z516" s="329"/>
    </row>
    <row r="517" spans="1:40" x14ac:dyDescent="0.25">
      <c r="A517" s="202"/>
      <c r="C517" s="154"/>
      <c r="F517" s="252"/>
      <c r="H517" s="252"/>
      <c r="I517" s="252"/>
      <c r="J517" s="329"/>
      <c r="K517" s="329"/>
      <c r="L517" s="200"/>
      <c r="M517" s="200"/>
      <c r="N517" s="210"/>
      <c r="O517" s="210"/>
      <c r="P517" s="200"/>
      <c r="Q517" s="200"/>
      <c r="R517" s="200"/>
      <c r="T517" s="154"/>
      <c r="V517" s="200"/>
      <c r="W517" s="200"/>
      <c r="X517" s="200"/>
      <c r="Y517" s="200"/>
      <c r="Z517" s="329"/>
      <c r="AA517" s="200"/>
      <c r="AB517" s="200"/>
      <c r="AC517" s="210"/>
      <c r="AD517" s="210"/>
      <c r="AE517" s="200"/>
      <c r="AF517" s="200"/>
      <c r="AG517" s="209"/>
      <c r="AH517" s="201"/>
      <c r="AI517" s="200"/>
      <c r="AJ517" s="200"/>
      <c r="AK517" s="209"/>
      <c r="AL517" s="200"/>
      <c r="AM517" s="201"/>
      <c r="AN517" s="201"/>
    </row>
    <row r="518" spans="1:40" x14ac:dyDescent="0.25">
      <c r="A518" s="202"/>
      <c r="C518" s="154"/>
      <c r="F518" s="252"/>
      <c r="H518" s="252"/>
      <c r="I518" s="252"/>
      <c r="J518" s="329"/>
      <c r="K518" s="329"/>
      <c r="L518" s="200"/>
      <c r="M518" s="200"/>
      <c r="N518" s="210"/>
      <c r="O518" s="210"/>
      <c r="P518" s="200"/>
      <c r="Q518" s="200"/>
      <c r="R518" s="200"/>
      <c r="T518" s="154"/>
      <c r="V518" s="200"/>
      <c r="W518" s="200"/>
      <c r="X518" s="200"/>
      <c r="Y518" s="200"/>
      <c r="Z518" s="329"/>
      <c r="AA518" s="200"/>
      <c r="AB518" s="200"/>
      <c r="AC518" s="210"/>
      <c r="AD518" s="210"/>
      <c r="AE518" s="200"/>
      <c r="AF518" s="200"/>
      <c r="AG518" s="209"/>
      <c r="AH518" s="201"/>
      <c r="AI518" s="200"/>
      <c r="AJ518" s="200"/>
      <c r="AK518" s="209"/>
      <c r="AL518" s="200"/>
      <c r="AM518" s="201"/>
      <c r="AN518" s="201"/>
    </row>
    <row r="519" spans="1:40" x14ac:dyDescent="0.25">
      <c r="F519" s="211"/>
      <c r="H519" s="211"/>
      <c r="I519" s="211"/>
      <c r="J519" s="329"/>
      <c r="K519" s="329"/>
      <c r="L519" s="211"/>
      <c r="M519" s="211"/>
      <c r="N519" s="211"/>
      <c r="O519" s="211"/>
      <c r="P519" s="211"/>
      <c r="Q519" s="211"/>
      <c r="R519" s="211"/>
      <c r="V519" s="211"/>
      <c r="Y519" s="211"/>
      <c r="Z519" s="305"/>
      <c r="AA519" s="211"/>
      <c r="AB519" s="211"/>
      <c r="AC519" s="211"/>
      <c r="AD519" s="211"/>
      <c r="AE519" s="211"/>
      <c r="AF519" s="211"/>
      <c r="AI519" s="211"/>
      <c r="AJ519" s="211"/>
      <c r="AK519" s="212"/>
      <c r="AL519" s="211"/>
    </row>
    <row r="520" spans="1:40" x14ac:dyDescent="0.25">
      <c r="A520" s="202"/>
      <c r="C520" s="154"/>
      <c r="F520" s="200"/>
      <c r="H520" s="200"/>
      <c r="I520" s="200"/>
      <c r="L520" s="200"/>
      <c r="M520" s="200"/>
      <c r="N520" s="210"/>
      <c r="O520" s="210"/>
      <c r="P520" s="252"/>
      <c r="Q520" s="252"/>
      <c r="R520" s="200"/>
      <c r="T520" s="154"/>
      <c r="V520" s="200"/>
      <c r="W520" s="200"/>
      <c r="X520" s="200"/>
      <c r="Y520" s="200"/>
      <c r="Z520" s="328"/>
      <c r="AA520" s="200"/>
      <c r="AB520" s="200"/>
      <c r="AC520" s="210"/>
      <c r="AD520" s="210"/>
      <c r="AE520" s="200"/>
      <c r="AF520" s="200"/>
      <c r="AG520" s="209"/>
      <c r="AH520" s="201"/>
      <c r="AI520" s="252"/>
      <c r="AJ520" s="252"/>
      <c r="AK520" s="209"/>
      <c r="AL520" s="200"/>
      <c r="AM520" s="201"/>
      <c r="AN520" s="201"/>
    </row>
    <row r="521" spans="1:40" x14ac:dyDescent="0.25">
      <c r="F521" s="211"/>
      <c r="H521" s="211"/>
      <c r="I521" s="211"/>
      <c r="J521" s="305"/>
      <c r="K521" s="305"/>
      <c r="L521" s="211"/>
      <c r="M521" s="211"/>
      <c r="N521" s="211"/>
      <c r="O521" s="211"/>
      <c r="P521" s="211"/>
      <c r="Q521" s="211"/>
      <c r="R521" s="211"/>
      <c r="V521" s="211"/>
      <c r="Y521" s="211"/>
      <c r="Z521" s="305"/>
      <c r="AA521" s="211"/>
      <c r="AB521" s="211"/>
      <c r="AC521" s="211"/>
      <c r="AD521" s="211"/>
      <c r="AE521" s="211"/>
      <c r="AF521" s="211"/>
      <c r="AI521" s="211"/>
      <c r="AJ521" s="211"/>
      <c r="AK521" s="212"/>
      <c r="AL521" s="211"/>
    </row>
    <row r="523" spans="1:40" x14ac:dyDescent="0.25">
      <c r="C523" s="202"/>
      <c r="T523" s="202"/>
    </row>
    <row r="524" spans="1:40" x14ac:dyDescent="0.25">
      <c r="A524" s="154"/>
    </row>
    <row r="525" spans="1:40" x14ac:dyDescent="0.25">
      <c r="J525" s="202"/>
      <c r="K525" s="202"/>
      <c r="Z525" s="202"/>
    </row>
    <row r="526" spans="1:40" x14ac:dyDescent="0.25">
      <c r="H526" s="154"/>
      <c r="I526" s="154"/>
      <c r="Y526" s="154"/>
    </row>
    <row r="527" spans="1:40" x14ac:dyDescent="0.25">
      <c r="J527" s="202"/>
      <c r="K527" s="202"/>
      <c r="Z527" s="202"/>
    </row>
    <row r="528" spans="1:40" x14ac:dyDescent="0.25">
      <c r="L528" s="154"/>
      <c r="M528" s="154"/>
      <c r="AA528" s="154"/>
      <c r="AB528" s="154"/>
    </row>
    <row r="529" spans="1:40" x14ac:dyDescent="0.25">
      <c r="A529" s="202"/>
      <c r="R529" s="154"/>
      <c r="AK529" s="297"/>
      <c r="AL529" s="154"/>
    </row>
    <row r="530" spans="1:40" x14ac:dyDescent="0.25">
      <c r="A530" s="202"/>
      <c r="R530" s="154"/>
      <c r="AK530" s="297"/>
      <c r="AL530" s="154"/>
    </row>
    <row r="531" spans="1:40" x14ac:dyDescent="0.25">
      <c r="A531" s="154"/>
      <c r="R531" s="154"/>
      <c r="AK531" s="297"/>
      <c r="AL531" s="154"/>
    </row>
    <row r="532" spans="1:40" x14ac:dyDescent="0.25">
      <c r="L532" s="154"/>
      <c r="M532" s="154"/>
      <c r="R532" s="202"/>
      <c r="AA532" s="154"/>
      <c r="AB532" s="154"/>
      <c r="AK532" s="209"/>
      <c r="AL532" s="202"/>
    </row>
    <row r="533" spans="1:40" x14ac:dyDescent="0.25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208"/>
      <c r="AH533" s="102"/>
      <c r="AI533" s="102"/>
      <c r="AJ533" s="102"/>
      <c r="AK533" s="208"/>
      <c r="AL533" s="102"/>
      <c r="AM533" s="102"/>
      <c r="AN533" s="102"/>
    </row>
    <row r="534" spans="1:40" x14ac:dyDescent="0.25">
      <c r="L534" s="103"/>
      <c r="M534" s="103"/>
      <c r="N534" s="103"/>
      <c r="O534" s="103"/>
      <c r="R534" s="103"/>
      <c r="AA534" s="103"/>
      <c r="AB534" s="103"/>
      <c r="AC534" s="103"/>
      <c r="AD534" s="103"/>
      <c r="AE534" s="103"/>
      <c r="AF534" s="103"/>
      <c r="AG534" s="185"/>
      <c r="AH534" s="103"/>
      <c r="AK534" s="185"/>
      <c r="AL534" s="103"/>
      <c r="AM534" s="103"/>
      <c r="AN534" s="103"/>
    </row>
    <row r="535" spans="1:40" x14ac:dyDescent="0.25">
      <c r="L535" s="103"/>
      <c r="M535" s="103"/>
      <c r="N535" s="103"/>
      <c r="O535" s="103"/>
      <c r="R535" s="103"/>
      <c r="Z535" s="103"/>
      <c r="AA535" s="103"/>
      <c r="AB535" s="103"/>
      <c r="AC535" s="103"/>
      <c r="AD535" s="103"/>
      <c r="AE535" s="103"/>
      <c r="AF535" s="103"/>
      <c r="AG535" s="185"/>
      <c r="AH535" s="103"/>
      <c r="AK535" s="185"/>
      <c r="AL535" s="103"/>
      <c r="AM535" s="103"/>
      <c r="AN535" s="103"/>
    </row>
    <row r="536" spans="1:40" x14ac:dyDescent="0.25">
      <c r="A536" s="103"/>
      <c r="C536" s="103"/>
      <c r="D536" s="103"/>
      <c r="E536" s="103"/>
      <c r="F536" s="103"/>
      <c r="J536" s="103"/>
      <c r="K536" s="103"/>
      <c r="L536" s="103"/>
      <c r="M536" s="103"/>
      <c r="N536" s="103"/>
      <c r="O536" s="103"/>
      <c r="P536" s="103"/>
      <c r="Q536" s="103"/>
      <c r="R536" s="103"/>
      <c r="T536" s="103"/>
      <c r="U536" s="103"/>
      <c r="V536" s="103"/>
      <c r="Z536" s="103"/>
      <c r="AA536" s="103"/>
      <c r="AB536" s="103"/>
      <c r="AC536" s="103"/>
      <c r="AD536" s="103"/>
      <c r="AE536" s="103"/>
      <c r="AF536" s="103"/>
      <c r="AG536" s="185"/>
      <c r="AH536" s="103"/>
      <c r="AI536" s="103"/>
      <c r="AJ536" s="103"/>
      <c r="AK536" s="185"/>
      <c r="AL536" s="103"/>
      <c r="AM536" s="103"/>
      <c r="AN536" s="103"/>
    </row>
    <row r="537" spans="1:40" x14ac:dyDescent="0.25">
      <c r="A537" s="103"/>
      <c r="C537" s="103"/>
      <c r="D537" s="103"/>
      <c r="E537" s="103"/>
      <c r="F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T537" s="103"/>
      <c r="U537" s="103"/>
      <c r="V537" s="103"/>
      <c r="Y537" s="103"/>
      <c r="Z537" s="103"/>
      <c r="AA537" s="103"/>
      <c r="AB537" s="103"/>
      <c r="AC537" s="103"/>
      <c r="AD537" s="103"/>
      <c r="AE537" s="103"/>
      <c r="AF537" s="103"/>
      <c r="AG537" s="185"/>
      <c r="AH537" s="103"/>
      <c r="AI537" s="103"/>
      <c r="AJ537" s="103"/>
      <c r="AK537" s="185"/>
      <c r="AL537" s="103"/>
      <c r="AM537" s="103"/>
      <c r="AN537" s="103"/>
    </row>
    <row r="538" spans="1:40" x14ac:dyDescent="0.25">
      <c r="C538" s="103"/>
      <c r="D538" s="103"/>
      <c r="E538" s="103"/>
      <c r="F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T538" s="103"/>
      <c r="U538" s="103"/>
      <c r="V538" s="103"/>
      <c r="Y538" s="103"/>
      <c r="Z538" s="103"/>
      <c r="AA538" s="103"/>
      <c r="AB538" s="103"/>
      <c r="AC538" s="103"/>
      <c r="AD538" s="103"/>
      <c r="AE538" s="103"/>
      <c r="AF538" s="103"/>
      <c r="AG538" s="185"/>
      <c r="AH538" s="103"/>
      <c r="AI538" s="103"/>
      <c r="AJ538" s="103"/>
      <c r="AK538" s="185"/>
      <c r="AL538" s="103"/>
      <c r="AM538" s="103"/>
      <c r="AN538" s="103"/>
    </row>
    <row r="539" spans="1:40" x14ac:dyDescent="0.25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208"/>
      <c r="AH539" s="102"/>
      <c r="AI539" s="102"/>
      <c r="AJ539" s="102"/>
      <c r="AK539" s="208"/>
      <c r="AL539" s="102"/>
      <c r="AM539" s="102"/>
      <c r="AN539" s="102"/>
    </row>
    <row r="540" spans="1:40" x14ac:dyDescent="0.25"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Y540" s="103"/>
      <c r="Z540" s="103"/>
      <c r="AA540" s="103"/>
      <c r="AB540" s="103"/>
      <c r="AC540" s="103"/>
      <c r="AD540" s="103"/>
      <c r="AE540" s="103"/>
      <c r="AF540" s="103"/>
      <c r="AG540" s="185"/>
      <c r="AH540" s="103"/>
      <c r="AI540" s="103"/>
      <c r="AJ540" s="103"/>
      <c r="AK540" s="185"/>
      <c r="AL540" s="103"/>
      <c r="AM540" s="103"/>
      <c r="AN540" s="103"/>
    </row>
    <row r="541" spans="1:40" x14ac:dyDescent="0.25">
      <c r="A541" s="202"/>
      <c r="C541" s="154"/>
      <c r="D541" s="154"/>
      <c r="E541" s="154"/>
      <c r="T541" s="154"/>
      <c r="U541" s="154"/>
    </row>
    <row r="543" spans="1:40" x14ac:dyDescent="0.25">
      <c r="A543" s="202"/>
      <c r="C543" s="154"/>
      <c r="T543" s="154"/>
    </row>
    <row r="544" spans="1:40" x14ac:dyDescent="0.25">
      <c r="A544" s="202"/>
      <c r="C544" s="154"/>
      <c r="T544" s="154"/>
    </row>
    <row r="545" spans="1:40" x14ac:dyDescent="0.25">
      <c r="A545" s="202"/>
      <c r="C545" s="154"/>
      <c r="F545" s="252"/>
      <c r="H545" s="252"/>
      <c r="I545" s="252"/>
      <c r="J545" s="329"/>
      <c r="K545" s="329"/>
      <c r="L545" s="200"/>
      <c r="M545" s="200"/>
      <c r="N545" s="210"/>
      <c r="O545" s="210"/>
      <c r="P545" s="200"/>
      <c r="Q545" s="200"/>
      <c r="R545" s="200"/>
      <c r="T545" s="154"/>
      <c r="V545" s="200"/>
      <c r="W545" s="200"/>
      <c r="X545" s="200"/>
      <c r="Y545" s="200"/>
      <c r="Z545" s="329"/>
      <c r="AA545" s="200"/>
      <c r="AB545" s="200"/>
      <c r="AC545" s="210"/>
      <c r="AD545" s="210"/>
      <c r="AE545" s="200"/>
      <c r="AF545" s="200"/>
      <c r="AG545" s="209"/>
      <c r="AH545" s="201"/>
      <c r="AI545" s="200"/>
      <c r="AJ545" s="200"/>
      <c r="AK545" s="209"/>
      <c r="AL545" s="200"/>
      <c r="AM545" s="201"/>
      <c r="AN545" s="201"/>
    </row>
    <row r="546" spans="1:40" x14ac:dyDescent="0.25">
      <c r="A546" s="202"/>
      <c r="C546" s="154"/>
      <c r="F546" s="200"/>
      <c r="H546" s="200"/>
      <c r="I546" s="200"/>
      <c r="J546" s="334"/>
      <c r="K546" s="334"/>
      <c r="L546" s="200"/>
      <c r="M546" s="200"/>
      <c r="N546" s="210"/>
      <c r="O546" s="210"/>
      <c r="P546" s="200"/>
      <c r="Q546" s="200"/>
      <c r="R546" s="200"/>
      <c r="T546" s="154"/>
      <c r="V546" s="200"/>
      <c r="W546" s="200"/>
      <c r="X546" s="200"/>
      <c r="Y546" s="200"/>
      <c r="Z546" s="334"/>
      <c r="AA546" s="200"/>
      <c r="AB546" s="200"/>
      <c r="AC546" s="210"/>
      <c r="AD546" s="210"/>
      <c r="AE546" s="200"/>
      <c r="AF546" s="200"/>
      <c r="AG546" s="209"/>
      <c r="AH546" s="201"/>
      <c r="AI546" s="200"/>
      <c r="AJ546" s="200"/>
      <c r="AK546" s="209"/>
      <c r="AL546" s="200"/>
      <c r="AM546" s="201"/>
      <c r="AN546" s="201"/>
    </row>
    <row r="547" spans="1:40" x14ac:dyDescent="0.25">
      <c r="A547" s="202"/>
      <c r="C547" s="154"/>
      <c r="F547" s="200"/>
      <c r="H547" s="200"/>
      <c r="I547" s="200"/>
      <c r="J547" s="334"/>
      <c r="K547" s="334"/>
      <c r="L547" s="200"/>
      <c r="M547" s="200"/>
      <c r="N547" s="210"/>
      <c r="O547" s="210"/>
      <c r="P547" s="200"/>
      <c r="Q547" s="200"/>
      <c r="R547" s="200"/>
      <c r="T547" s="154"/>
      <c r="V547" s="200"/>
      <c r="W547" s="200"/>
      <c r="X547" s="200"/>
      <c r="Y547" s="200"/>
      <c r="Z547" s="334"/>
      <c r="AA547" s="200"/>
      <c r="AB547" s="200"/>
      <c r="AC547" s="210"/>
      <c r="AD547" s="210"/>
      <c r="AE547" s="200"/>
      <c r="AF547" s="200"/>
      <c r="AG547" s="209"/>
      <c r="AH547" s="201"/>
      <c r="AI547" s="200"/>
      <c r="AJ547" s="200"/>
      <c r="AK547" s="209"/>
      <c r="AL547" s="200"/>
      <c r="AM547" s="201"/>
      <c r="AN547" s="201"/>
    </row>
    <row r="548" spans="1:40" x14ac:dyDescent="0.25">
      <c r="A548" s="202"/>
      <c r="C548" s="154"/>
      <c r="F548" s="200"/>
      <c r="H548" s="200"/>
      <c r="I548" s="200"/>
      <c r="J548" s="334"/>
      <c r="K548" s="334"/>
      <c r="T548" s="154"/>
      <c r="V548" s="200"/>
      <c r="Z548" s="334"/>
    </row>
    <row r="549" spans="1:40" x14ac:dyDescent="0.25">
      <c r="A549" s="202"/>
      <c r="C549" s="154"/>
      <c r="F549" s="252"/>
      <c r="H549" s="252"/>
      <c r="I549" s="252"/>
      <c r="J549" s="329"/>
      <c r="K549" s="329"/>
      <c r="L549" s="200"/>
      <c r="M549" s="200"/>
      <c r="N549" s="210"/>
      <c r="O549" s="210"/>
      <c r="P549" s="200"/>
      <c r="Q549" s="200"/>
      <c r="R549" s="200"/>
      <c r="T549" s="154"/>
      <c r="V549" s="200"/>
      <c r="W549" s="200"/>
      <c r="X549" s="200"/>
      <c r="Y549" s="200"/>
      <c r="Z549" s="329"/>
      <c r="AA549" s="200"/>
      <c r="AB549" s="200"/>
      <c r="AC549" s="210"/>
      <c r="AD549" s="210"/>
      <c r="AE549" s="200"/>
      <c r="AF549" s="200"/>
      <c r="AG549" s="209"/>
      <c r="AH549" s="201"/>
      <c r="AI549" s="200"/>
      <c r="AJ549" s="200"/>
      <c r="AK549" s="209"/>
      <c r="AL549" s="200"/>
      <c r="AM549" s="201"/>
      <c r="AN549" s="201"/>
    </row>
    <row r="550" spans="1:40" x14ac:dyDescent="0.25">
      <c r="A550" s="202"/>
      <c r="C550" s="154"/>
      <c r="F550" s="200"/>
      <c r="H550" s="200"/>
      <c r="I550" s="200"/>
      <c r="J550" s="334"/>
      <c r="K550" s="334"/>
      <c r="T550" s="154"/>
      <c r="V550" s="200"/>
      <c r="W550" s="200"/>
      <c r="X550" s="200"/>
      <c r="Y550" s="200"/>
      <c r="Z550" s="334"/>
      <c r="AC550" s="210"/>
      <c r="AD550" s="210"/>
      <c r="AE550" s="200"/>
      <c r="AF550" s="200"/>
      <c r="AG550" s="209"/>
      <c r="AH550" s="201"/>
      <c r="AI550" s="200"/>
      <c r="AJ550" s="200"/>
      <c r="AK550" s="209"/>
      <c r="AL550" s="200"/>
      <c r="AM550" s="201"/>
      <c r="AN550" s="201"/>
    </row>
    <row r="551" spans="1:40" x14ac:dyDescent="0.25">
      <c r="A551" s="202"/>
      <c r="C551" s="154"/>
      <c r="F551" s="252"/>
      <c r="H551" s="252"/>
      <c r="I551" s="252"/>
      <c r="J551" s="329"/>
      <c r="K551" s="329"/>
      <c r="L551" s="200"/>
      <c r="M551" s="200"/>
      <c r="N551" s="210"/>
      <c r="O551" s="210"/>
      <c r="P551" s="200"/>
      <c r="Q551" s="200"/>
      <c r="R551" s="200"/>
      <c r="T551" s="154"/>
      <c r="V551" s="200"/>
      <c r="W551" s="200"/>
      <c r="X551" s="200"/>
      <c r="Y551" s="200"/>
      <c r="Z551" s="329"/>
      <c r="AA551" s="200"/>
      <c r="AB551" s="200"/>
      <c r="AC551" s="210"/>
      <c r="AD551" s="210"/>
      <c r="AE551" s="200"/>
      <c r="AF551" s="200"/>
      <c r="AG551" s="209"/>
      <c r="AH551" s="201"/>
      <c r="AI551" s="200"/>
      <c r="AJ551" s="200"/>
      <c r="AK551" s="209"/>
      <c r="AL551" s="200"/>
      <c r="AM551" s="201"/>
      <c r="AN551" s="201"/>
    </row>
    <row r="552" spans="1:40" x14ac:dyDescent="0.25">
      <c r="A552" s="202"/>
      <c r="C552" s="154"/>
      <c r="F552" s="200"/>
      <c r="H552" s="200"/>
      <c r="I552" s="200"/>
      <c r="J552" s="334"/>
      <c r="K552" s="334"/>
      <c r="L552" s="200"/>
      <c r="M552" s="200"/>
      <c r="N552" s="210"/>
      <c r="O552" s="210"/>
      <c r="P552" s="200"/>
      <c r="Q552" s="200"/>
      <c r="R552" s="200"/>
      <c r="T552" s="154"/>
      <c r="V552" s="200"/>
      <c r="W552" s="200"/>
      <c r="X552" s="200"/>
      <c r="Y552" s="200"/>
      <c r="Z552" s="334"/>
      <c r="AA552" s="200"/>
      <c r="AB552" s="200"/>
      <c r="AC552" s="210"/>
      <c r="AD552" s="210"/>
      <c r="AE552" s="200"/>
      <c r="AF552" s="200"/>
      <c r="AG552" s="209"/>
      <c r="AH552" s="201"/>
      <c r="AI552" s="200"/>
      <c r="AJ552" s="200"/>
      <c r="AK552" s="209"/>
      <c r="AL552" s="200"/>
      <c r="AM552" s="201"/>
      <c r="AN552" s="201"/>
    </row>
    <row r="553" spans="1:40" x14ac:dyDescent="0.25">
      <c r="F553" s="200"/>
      <c r="H553" s="200"/>
      <c r="I553" s="200"/>
      <c r="J553" s="334"/>
      <c r="K553" s="334"/>
      <c r="Z553" s="334"/>
    </row>
    <row r="554" spans="1:40" x14ac:dyDescent="0.25">
      <c r="A554" s="202"/>
      <c r="C554" s="154"/>
      <c r="F554" s="200"/>
      <c r="H554" s="252"/>
      <c r="I554" s="252"/>
      <c r="J554" s="329"/>
      <c r="K554" s="329"/>
      <c r="L554" s="200"/>
      <c r="M554" s="200"/>
      <c r="N554" s="210"/>
      <c r="O554" s="210"/>
      <c r="P554" s="200"/>
      <c r="Q554" s="200"/>
      <c r="R554" s="200"/>
      <c r="T554" s="154"/>
      <c r="V554" s="200"/>
      <c r="W554" s="200"/>
      <c r="X554" s="200"/>
      <c r="Y554" s="200"/>
      <c r="Z554" s="329"/>
      <c r="AA554" s="200"/>
      <c r="AB554" s="200"/>
      <c r="AC554" s="210"/>
      <c r="AD554" s="210"/>
      <c r="AE554" s="200"/>
      <c r="AF554" s="200"/>
      <c r="AG554" s="209"/>
      <c r="AH554" s="201"/>
      <c r="AI554" s="200"/>
      <c r="AJ554" s="200"/>
      <c r="AK554" s="209"/>
      <c r="AL554" s="200"/>
      <c r="AM554" s="201"/>
      <c r="AN554" s="201"/>
    </row>
    <row r="555" spans="1:40" x14ac:dyDescent="0.25">
      <c r="F555" s="211"/>
      <c r="H555" s="211"/>
      <c r="I555" s="211"/>
      <c r="J555" s="329"/>
      <c r="K555" s="329"/>
      <c r="L555" s="211"/>
      <c r="M555" s="211"/>
      <c r="N555" s="211"/>
      <c r="O555" s="211"/>
      <c r="P555" s="211"/>
      <c r="Q555" s="211"/>
      <c r="R555" s="211"/>
      <c r="V555" s="211"/>
      <c r="Y555" s="211"/>
      <c r="Z555" s="329"/>
      <c r="AA555" s="211"/>
      <c r="AB555" s="211"/>
      <c r="AC555" s="211"/>
      <c r="AD555" s="211"/>
      <c r="AE555" s="211"/>
      <c r="AF555" s="211"/>
      <c r="AI555" s="211"/>
      <c r="AJ555" s="211"/>
      <c r="AK555" s="212"/>
      <c r="AL555" s="211"/>
    </row>
    <row r="556" spans="1:40" x14ac:dyDescent="0.25">
      <c r="A556" s="202"/>
      <c r="C556" s="154"/>
      <c r="F556" s="200"/>
      <c r="H556" s="200"/>
      <c r="I556" s="200"/>
      <c r="J556" s="334"/>
      <c r="K556" s="334"/>
      <c r="L556" s="200"/>
      <c r="M556" s="200"/>
      <c r="N556" s="202"/>
      <c r="O556" s="202"/>
      <c r="P556" s="200"/>
      <c r="Q556" s="200"/>
      <c r="R556" s="200"/>
      <c r="T556" s="154"/>
      <c r="V556" s="200"/>
      <c r="Y556" s="200"/>
      <c r="Z556" s="334"/>
      <c r="AA556" s="200"/>
      <c r="AB556" s="200"/>
      <c r="AC556" s="201"/>
      <c r="AD556" s="201"/>
      <c r="AE556" s="200"/>
      <c r="AF556" s="200"/>
      <c r="AG556" s="209"/>
      <c r="AH556" s="201"/>
      <c r="AI556" s="200"/>
      <c r="AJ556" s="200"/>
      <c r="AK556" s="209"/>
      <c r="AL556" s="200"/>
      <c r="AM556" s="201"/>
      <c r="AN556" s="201"/>
    </row>
    <row r="557" spans="1:40" x14ac:dyDescent="0.25">
      <c r="F557" s="211"/>
      <c r="H557" s="211"/>
      <c r="I557" s="211"/>
      <c r="J557" s="329"/>
      <c r="K557" s="329"/>
      <c r="L557" s="211"/>
      <c r="M557" s="211"/>
      <c r="N557" s="211"/>
      <c r="O557" s="211"/>
      <c r="P557" s="211"/>
      <c r="Q557" s="211"/>
      <c r="R557" s="211"/>
      <c r="V557" s="211"/>
      <c r="Y557" s="211"/>
      <c r="Z557" s="329"/>
      <c r="AA557" s="211"/>
      <c r="AB557" s="211"/>
      <c r="AC557" s="211"/>
      <c r="AD557" s="211"/>
      <c r="AE557" s="211"/>
      <c r="AF557" s="211"/>
      <c r="AI557" s="211"/>
      <c r="AJ557" s="211"/>
      <c r="AK557" s="212"/>
      <c r="AL557" s="211"/>
    </row>
    <row r="558" spans="1:40" x14ac:dyDescent="0.25">
      <c r="J558" s="334"/>
      <c r="K558" s="334"/>
      <c r="Z558" s="334"/>
    </row>
    <row r="559" spans="1:40" x14ac:dyDescent="0.25">
      <c r="A559" s="202"/>
      <c r="C559" s="154"/>
      <c r="J559" s="334"/>
      <c r="K559" s="334"/>
      <c r="T559" s="154"/>
      <c r="Z559" s="334"/>
    </row>
    <row r="560" spans="1:40" x14ac:dyDescent="0.25">
      <c r="A560" s="202"/>
      <c r="C560" s="154"/>
      <c r="J560" s="334"/>
      <c r="K560" s="334"/>
      <c r="T560" s="154"/>
      <c r="Z560" s="334"/>
    </row>
    <row r="561" spans="1:40" x14ac:dyDescent="0.25">
      <c r="A561" s="202"/>
      <c r="C561" s="154"/>
      <c r="F561" s="252"/>
      <c r="H561" s="252"/>
      <c r="I561" s="252"/>
      <c r="J561" s="329"/>
      <c r="K561" s="329"/>
      <c r="L561" s="200"/>
      <c r="M561" s="200"/>
      <c r="N561" s="210"/>
      <c r="O561" s="210"/>
      <c r="P561" s="200"/>
      <c r="Q561" s="200"/>
      <c r="R561" s="200"/>
      <c r="T561" s="154"/>
      <c r="V561" s="200"/>
      <c r="W561" s="200"/>
      <c r="X561" s="200"/>
      <c r="Y561" s="200"/>
      <c r="Z561" s="329"/>
      <c r="AA561" s="200"/>
      <c r="AB561" s="200"/>
      <c r="AC561" s="210"/>
      <c r="AD561" s="210"/>
      <c r="AE561" s="200"/>
      <c r="AF561" s="200"/>
      <c r="AG561" s="209"/>
      <c r="AH561" s="201"/>
      <c r="AI561" s="200"/>
      <c r="AJ561" s="200"/>
      <c r="AK561" s="209"/>
      <c r="AL561" s="200"/>
      <c r="AM561" s="201"/>
      <c r="AN561" s="201"/>
    </row>
    <row r="562" spans="1:40" x14ac:dyDescent="0.25">
      <c r="A562" s="202"/>
      <c r="C562" s="154"/>
      <c r="J562" s="334"/>
      <c r="K562" s="334"/>
      <c r="T562" s="154"/>
      <c r="Z562" s="334"/>
    </row>
    <row r="563" spans="1:40" x14ac:dyDescent="0.25">
      <c r="A563" s="202"/>
      <c r="C563" s="154"/>
      <c r="F563" s="252"/>
      <c r="H563" s="252"/>
      <c r="I563" s="252"/>
      <c r="J563" s="329"/>
      <c r="K563" s="329"/>
      <c r="L563" s="200"/>
      <c r="M563" s="200"/>
      <c r="N563" s="210"/>
      <c r="O563" s="210"/>
      <c r="P563" s="200"/>
      <c r="Q563" s="200"/>
      <c r="R563" s="200"/>
      <c r="T563" s="154"/>
      <c r="V563" s="200"/>
      <c r="W563" s="200"/>
      <c r="X563" s="200"/>
      <c r="Y563" s="200"/>
      <c r="Z563" s="329"/>
      <c r="AA563" s="200"/>
      <c r="AB563" s="200"/>
      <c r="AC563" s="210"/>
      <c r="AD563" s="210"/>
      <c r="AE563" s="200"/>
      <c r="AF563" s="200"/>
      <c r="AG563" s="209"/>
      <c r="AH563" s="201"/>
      <c r="AI563" s="200"/>
      <c r="AJ563" s="200"/>
      <c r="AK563" s="209"/>
      <c r="AL563" s="200"/>
      <c r="AM563" s="201"/>
      <c r="AN563" s="201"/>
    </row>
    <row r="564" spans="1:40" x14ac:dyDescent="0.25">
      <c r="F564" s="211"/>
      <c r="H564" s="211"/>
      <c r="I564" s="211"/>
      <c r="J564" s="329"/>
      <c r="K564" s="329"/>
      <c r="L564" s="211"/>
      <c r="M564" s="211"/>
      <c r="N564" s="211"/>
      <c r="O564" s="211"/>
      <c r="P564" s="211"/>
      <c r="Q564" s="211"/>
      <c r="R564" s="211"/>
      <c r="V564" s="211"/>
      <c r="Y564" s="211"/>
      <c r="Z564" s="329"/>
      <c r="AA564" s="211"/>
      <c r="AB564" s="211"/>
      <c r="AC564" s="211"/>
      <c r="AD564" s="211"/>
      <c r="AE564" s="211"/>
      <c r="AF564" s="211"/>
      <c r="AI564" s="211"/>
      <c r="AJ564" s="211"/>
      <c r="AK564" s="212"/>
      <c r="AL564" s="211"/>
    </row>
    <row r="565" spans="1:40" x14ac:dyDescent="0.25">
      <c r="A565" s="202"/>
      <c r="C565" s="154"/>
      <c r="F565" s="200"/>
      <c r="H565" s="200"/>
      <c r="I565" s="200"/>
      <c r="J565" s="334"/>
      <c r="K565" s="334"/>
      <c r="L565" s="200"/>
      <c r="M565" s="200"/>
      <c r="N565" s="201"/>
      <c r="O565" s="201"/>
      <c r="P565" s="200"/>
      <c r="Q565" s="200"/>
      <c r="R565" s="200"/>
      <c r="T565" s="154"/>
      <c r="V565" s="200"/>
      <c r="Y565" s="200"/>
      <c r="Z565" s="334"/>
      <c r="AA565" s="200"/>
      <c r="AB565" s="200"/>
      <c r="AC565" s="201"/>
      <c r="AD565" s="201"/>
      <c r="AE565" s="200"/>
      <c r="AF565" s="200"/>
      <c r="AG565" s="209"/>
      <c r="AH565" s="201"/>
      <c r="AI565" s="200"/>
      <c r="AJ565" s="200"/>
      <c r="AK565" s="209"/>
      <c r="AL565" s="200"/>
      <c r="AM565" s="201"/>
      <c r="AN565" s="201"/>
    </row>
    <row r="566" spans="1:40" x14ac:dyDescent="0.25">
      <c r="F566" s="211"/>
      <c r="H566" s="211"/>
      <c r="I566" s="211"/>
      <c r="J566" s="329"/>
      <c r="K566" s="329"/>
      <c r="L566" s="211"/>
      <c r="M566" s="211"/>
      <c r="N566" s="211"/>
      <c r="O566" s="211"/>
      <c r="P566" s="211"/>
      <c r="Q566" s="211"/>
      <c r="R566" s="211"/>
      <c r="V566" s="211"/>
      <c r="Y566" s="211"/>
      <c r="Z566" s="305"/>
      <c r="AA566" s="211"/>
      <c r="AB566" s="211"/>
      <c r="AC566" s="211"/>
      <c r="AD566" s="211"/>
      <c r="AE566" s="211"/>
      <c r="AF566" s="211"/>
      <c r="AI566" s="211"/>
      <c r="AJ566" s="211"/>
      <c r="AK566" s="212"/>
      <c r="AL566" s="211"/>
    </row>
    <row r="567" spans="1:40" x14ac:dyDescent="0.25">
      <c r="J567" s="334"/>
      <c r="K567" s="334"/>
    </row>
    <row r="568" spans="1:40" x14ac:dyDescent="0.25">
      <c r="A568" s="202"/>
      <c r="C568" s="154"/>
      <c r="F568" s="200"/>
      <c r="H568" s="200"/>
      <c r="I568" s="200"/>
      <c r="J568" s="334"/>
      <c r="K568" s="334"/>
      <c r="L568" s="200"/>
      <c r="M568" s="200"/>
      <c r="N568" s="210"/>
      <c r="O568" s="210"/>
      <c r="P568" s="252"/>
      <c r="Q568" s="252"/>
      <c r="R568" s="200"/>
      <c r="T568" s="154"/>
      <c r="V568" s="200"/>
      <c r="Y568" s="200"/>
      <c r="AA568" s="200"/>
      <c r="AB568" s="200"/>
      <c r="AC568" s="201"/>
      <c r="AD568" s="201"/>
      <c r="AE568" s="200"/>
      <c r="AF568" s="200"/>
      <c r="AG568" s="209"/>
      <c r="AH568" s="201"/>
      <c r="AI568" s="252"/>
      <c r="AJ568" s="252"/>
      <c r="AK568" s="209"/>
      <c r="AL568" s="200"/>
      <c r="AM568" s="201"/>
      <c r="AN568" s="201"/>
    </row>
    <row r="569" spans="1:40" x14ac:dyDescent="0.25">
      <c r="F569" s="211"/>
      <c r="H569" s="211"/>
      <c r="I569" s="211"/>
      <c r="J569" s="329"/>
      <c r="K569" s="329"/>
      <c r="L569" s="211"/>
      <c r="M569" s="211"/>
      <c r="N569" s="211"/>
      <c r="O569" s="211"/>
      <c r="P569" s="211"/>
      <c r="Q569" s="211"/>
      <c r="R569" s="211"/>
      <c r="V569" s="211"/>
      <c r="Y569" s="211"/>
      <c r="Z569" s="305"/>
      <c r="AA569" s="211"/>
      <c r="AB569" s="211"/>
      <c r="AC569" s="211"/>
      <c r="AD569" s="211"/>
      <c r="AE569" s="211"/>
      <c r="AF569" s="211"/>
      <c r="AI569" s="211"/>
      <c r="AJ569" s="211"/>
      <c r="AK569" s="212"/>
      <c r="AL569" s="211"/>
    </row>
    <row r="571" spans="1:40" x14ac:dyDescent="0.25">
      <c r="C571" s="202"/>
      <c r="T571" s="202"/>
    </row>
    <row r="572" spans="1:40" x14ac:dyDescent="0.25">
      <c r="A572" s="154"/>
    </row>
    <row r="573" spans="1:40" x14ac:dyDescent="0.25">
      <c r="J573" s="202"/>
      <c r="K573" s="202"/>
      <c r="Z573" s="202"/>
    </row>
    <row r="574" spans="1:40" x14ac:dyDescent="0.25">
      <c r="H574" s="154"/>
      <c r="I574" s="154"/>
      <c r="Y574" s="154"/>
    </row>
    <row r="575" spans="1:40" x14ac:dyDescent="0.25">
      <c r="J575" s="202"/>
      <c r="K575" s="202"/>
      <c r="Z575" s="202"/>
    </row>
    <row r="576" spans="1:40" x14ac:dyDescent="0.25">
      <c r="L576" s="154"/>
      <c r="M576" s="154"/>
      <c r="AA576" s="154"/>
      <c r="AB576" s="154"/>
    </row>
    <row r="577" spans="1:40" x14ac:dyDescent="0.25">
      <c r="A577" s="202"/>
      <c r="R577" s="154"/>
      <c r="AK577" s="297"/>
      <c r="AL577" s="154"/>
    </row>
    <row r="578" spans="1:40" x14ac:dyDescent="0.25">
      <c r="A578" s="202"/>
      <c r="R578" s="154"/>
      <c r="AK578" s="297"/>
      <c r="AL578" s="154"/>
    </row>
    <row r="579" spans="1:40" x14ac:dyDescent="0.25">
      <c r="A579" s="154"/>
      <c r="R579" s="154"/>
      <c r="AK579" s="297"/>
      <c r="AL579" s="154"/>
    </row>
    <row r="580" spans="1:40" x14ac:dyDescent="0.25">
      <c r="L580" s="154"/>
      <c r="M580" s="154"/>
      <c r="R580" s="202"/>
      <c r="AA580" s="154"/>
      <c r="AB580" s="154"/>
      <c r="AK580" s="209"/>
      <c r="AL580" s="202"/>
    </row>
    <row r="581" spans="1:40" x14ac:dyDescent="0.2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208"/>
      <c r="AH581" s="102"/>
      <c r="AI581" s="102"/>
      <c r="AJ581" s="102"/>
      <c r="AK581" s="208"/>
      <c r="AL581" s="102"/>
      <c r="AM581" s="102"/>
      <c r="AN581" s="102"/>
    </row>
    <row r="582" spans="1:40" x14ac:dyDescent="0.25">
      <c r="L582" s="103"/>
      <c r="M582" s="103"/>
      <c r="N582" s="103"/>
      <c r="O582" s="103"/>
      <c r="R582" s="103"/>
      <c r="AA582" s="103"/>
      <c r="AB582" s="103"/>
      <c r="AC582" s="103"/>
      <c r="AD582" s="103"/>
      <c r="AE582" s="103"/>
      <c r="AF582" s="103"/>
      <c r="AG582" s="185"/>
      <c r="AH582" s="103"/>
      <c r="AK582" s="185"/>
      <c r="AL582" s="103"/>
      <c r="AM582" s="103"/>
      <c r="AN582" s="103"/>
    </row>
    <row r="583" spans="1:40" x14ac:dyDescent="0.25">
      <c r="L583" s="103"/>
      <c r="M583" s="103"/>
      <c r="N583" s="103"/>
      <c r="O583" s="103"/>
      <c r="R583" s="103"/>
      <c r="Z583" s="103"/>
      <c r="AA583" s="103"/>
      <c r="AB583" s="103"/>
      <c r="AC583" s="103"/>
      <c r="AD583" s="103"/>
      <c r="AE583" s="103"/>
      <c r="AF583" s="103"/>
      <c r="AG583" s="185"/>
      <c r="AH583" s="103"/>
      <c r="AK583" s="185"/>
      <c r="AL583" s="103"/>
      <c r="AM583" s="103"/>
      <c r="AN583" s="103"/>
    </row>
    <row r="584" spans="1:40" x14ac:dyDescent="0.25">
      <c r="A584" s="103"/>
      <c r="C584" s="103"/>
      <c r="D584" s="103"/>
      <c r="E584" s="103"/>
      <c r="F584" s="103"/>
      <c r="J584" s="103"/>
      <c r="K584" s="103"/>
      <c r="L584" s="103"/>
      <c r="M584" s="103"/>
      <c r="N584" s="103"/>
      <c r="O584" s="103"/>
      <c r="P584" s="103"/>
      <c r="Q584" s="103"/>
      <c r="R584" s="103"/>
      <c r="T584" s="103"/>
      <c r="U584" s="103"/>
      <c r="V584" s="103"/>
      <c r="Z584" s="103"/>
      <c r="AA584" s="103"/>
      <c r="AB584" s="103"/>
      <c r="AC584" s="103"/>
      <c r="AD584" s="103"/>
      <c r="AE584" s="103"/>
      <c r="AF584" s="103"/>
      <c r="AG584" s="185"/>
      <c r="AH584" s="103"/>
      <c r="AI584" s="103"/>
      <c r="AJ584" s="103"/>
      <c r="AK584" s="185"/>
      <c r="AL584" s="103"/>
      <c r="AM584" s="103"/>
      <c r="AN584" s="103"/>
    </row>
    <row r="585" spans="1:40" x14ac:dyDescent="0.25">
      <c r="A585" s="103"/>
      <c r="C585" s="103"/>
      <c r="D585" s="103"/>
      <c r="E585" s="103"/>
      <c r="F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T585" s="103"/>
      <c r="U585" s="103"/>
      <c r="V585" s="103"/>
      <c r="Y585" s="103"/>
      <c r="Z585" s="103"/>
      <c r="AA585" s="103"/>
      <c r="AB585" s="103"/>
      <c r="AC585" s="103"/>
      <c r="AD585" s="103"/>
      <c r="AE585" s="103"/>
      <c r="AF585" s="103"/>
      <c r="AG585" s="185"/>
      <c r="AH585" s="103"/>
      <c r="AI585" s="103"/>
      <c r="AJ585" s="103"/>
      <c r="AK585" s="185"/>
      <c r="AL585" s="103"/>
      <c r="AM585" s="103"/>
      <c r="AN585" s="103"/>
    </row>
    <row r="586" spans="1:40" x14ac:dyDescent="0.25">
      <c r="C586" s="103"/>
      <c r="D586" s="103"/>
      <c r="E586" s="103"/>
      <c r="F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T586" s="103"/>
      <c r="U586" s="103"/>
      <c r="V586" s="103"/>
      <c r="Y586" s="103"/>
      <c r="Z586" s="103"/>
      <c r="AA586" s="103"/>
      <c r="AB586" s="103"/>
      <c r="AC586" s="103"/>
      <c r="AD586" s="103"/>
      <c r="AE586" s="103"/>
      <c r="AF586" s="103"/>
      <c r="AG586" s="185"/>
      <c r="AH586" s="103"/>
      <c r="AI586" s="103"/>
      <c r="AJ586" s="103"/>
      <c r="AK586" s="185"/>
      <c r="AL586" s="103"/>
      <c r="AM586" s="103"/>
      <c r="AN586" s="103"/>
    </row>
    <row r="587" spans="1:40" x14ac:dyDescent="0.2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208"/>
      <c r="AH587" s="102"/>
      <c r="AI587" s="102"/>
      <c r="AJ587" s="102"/>
      <c r="AK587" s="208"/>
      <c r="AL587" s="102"/>
      <c r="AM587" s="102"/>
      <c r="AN587" s="102"/>
    </row>
    <row r="588" spans="1:40" x14ac:dyDescent="0.25"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Y588" s="103"/>
      <c r="Z588" s="103"/>
      <c r="AA588" s="103"/>
      <c r="AB588" s="103"/>
      <c r="AC588" s="103"/>
      <c r="AD588" s="103"/>
      <c r="AE588" s="103"/>
      <c r="AF588" s="103"/>
      <c r="AG588" s="185"/>
      <c r="AH588" s="103"/>
      <c r="AI588" s="103"/>
      <c r="AJ588" s="103"/>
      <c r="AK588" s="185"/>
      <c r="AL588" s="103"/>
      <c r="AM588" s="103"/>
      <c r="AN588" s="103"/>
    </row>
    <row r="589" spans="1:40" x14ac:dyDescent="0.25">
      <c r="A589" s="202"/>
      <c r="C589" s="154"/>
      <c r="D589" s="154"/>
      <c r="E589" s="154"/>
      <c r="T589" s="154"/>
      <c r="U589" s="154"/>
    </row>
    <row r="591" spans="1:40" x14ac:dyDescent="0.25">
      <c r="A591" s="202"/>
      <c r="C591" s="154"/>
      <c r="D591" s="154"/>
      <c r="E591" s="154"/>
      <c r="T591" s="154"/>
      <c r="U591" s="154"/>
    </row>
    <row r="592" spans="1:40" x14ac:dyDescent="0.25">
      <c r="A592" s="202"/>
      <c r="C592" s="154"/>
      <c r="T592" s="154"/>
    </row>
    <row r="593" spans="1:40" x14ac:dyDescent="0.25">
      <c r="A593" s="202"/>
      <c r="C593" s="154"/>
      <c r="T593" s="154"/>
    </row>
    <row r="594" spans="1:40" x14ac:dyDescent="0.25">
      <c r="A594" s="202"/>
      <c r="C594" s="154"/>
      <c r="F594" s="252"/>
      <c r="H594" s="252"/>
      <c r="I594" s="252"/>
      <c r="J594" s="329"/>
      <c r="K594" s="329"/>
      <c r="L594" s="200"/>
      <c r="M594" s="200"/>
      <c r="N594" s="210"/>
      <c r="O594" s="210"/>
      <c r="P594" s="200"/>
      <c r="Q594" s="200"/>
      <c r="R594" s="200"/>
      <c r="T594" s="154"/>
      <c r="V594" s="200"/>
      <c r="W594" s="200"/>
      <c r="X594" s="200"/>
      <c r="Y594" s="200"/>
      <c r="Z594" s="329"/>
      <c r="AA594" s="200"/>
      <c r="AB594" s="200"/>
      <c r="AC594" s="210"/>
      <c r="AD594" s="210"/>
      <c r="AE594" s="200"/>
      <c r="AF594" s="200"/>
      <c r="AG594" s="209"/>
      <c r="AH594" s="201"/>
      <c r="AI594" s="200"/>
      <c r="AJ594" s="200"/>
      <c r="AK594" s="209"/>
      <c r="AL594" s="200"/>
      <c r="AM594" s="210"/>
      <c r="AN594" s="210"/>
    </row>
    <row r="595" spans="1:40" x14ac:dyDescent="0.25">
      <c r="A595" s="202"/>
      <c r="C595" s="154"/>
      <c r="J595" s="334"/>
      <c r="K595" s="334"/>
      <c r="T595" s="154"/>
      <c r="V595" s="200"/>
      <c r="W595" s="200"/>
      <c r="X595" s="200"/>
      <c r="Y595" s="200"/>
      <c r="Z595" s="329"/>
    </row>
    <row r="596" spans="1:40" x14ac:dyDescent="0.25">
      <c r="A596" s="202"/>
      <c r="C596" s="154"/>
      <c r="F596" s="252"/>
      <c r="H596" s="252"/>
      <c r="I596" s="252"/>
      <c r="J596" s="329"/>
      <c r="K596" s="329"/>
      <c r="L596" s="200"/>
      <c r="M596" s="200"/>
      <c r="N596" s="210"/>
      <c r="O596" s="210"/>
      <c r="P596" s="200"/>
      <c r="Q596" s="200"/>
      <c r="R596" s="200"/>
      <c r="T596" s="154"/>
      <c r="V596" s="200"/>
      <c r="W596" s="200"/>
      <c r="X596" s="200"/>
      <c r="Y596" s="200"/>
      <c r="Z596" s="329"/>
      <c r="AA596" s="200"/>
      <c r="AB596" s="200"/>
      <c r="AC596" s="210"/>
      <c r="AD596" s="210"/>
      <c r="AE596" s="200"/>
      <c r="AF596" s="200"/>
      <c r="AG596" s="209"/>
      <c r="AH596" s="201"/>
      <c r="AI596" s="200"/>
      <c r="AJ596" s="200"/>
      <c r="AK596" s="209"/>
      <c r="AL596" s="200"/>
      <c r="AM596" s="210"/>
      <c r="AN596" s="210"/>
    </row>
    <row r="597" spans="1:40" x14ac:dyDescent="0.25">
      <c r="A597" s="202"/>
      <c r="C597" s="154"/>
      <c r="J597" s="334"/>
      <c r="K597" s="334"/>
      <c r="T597" s="154"/>
      <c r="V597" s="200"/>
      <c r="W597" s="200"/>
      <c r="X597" s="200"/>
      <c r="Y597" s="200"/>
      <c r="Z597" s="329"/>
    </row>
    <row r="598" spans="1:40" x14ac:dyDescent="0.25">
      <c r="A598" s="202"/>
      <c r="C598" s="154"/>
      <c r="F598" s="252"/>
      <c r="H598" s="252"/>
      <c r="I598" s="252"/>
      <c r="J598" s="329"/>
      <c r="K598" s="329"/>
      <c r="L598" s="200"/>
      <c r="M598" s="200"/>
      <c r="N598" s="210"/>
      <c r="O598" s="210"/>
      <c r="P598" s="200"/>
      <c r="Q598" s="200"/>
      <c r="R598" s="200"/>
      <c r="T598" s="154"/>
      <c r="V598" s="200"/>
      <c r="W598" s="200"/>
      <c r="X598" s="200"/>
      <c r="Y598" s="200"/>
      <c r="Z598" s="329"/>
      <c r="AA598" s="200"/>
      <c r="AB598" s="200"/>
      <c r="AC598" s="210"/>
      <c r="AD598" s="210"/>
      <c r="AE598" s="200"/>
      <c r="AF598" s="200"/>
      <c r="AG598" s="209"/>
      <c r="AH598" s="201"/>
      <c r="AI598" s="200"/>
      <c r="AJ598" s="200"/>
      <c r="AK598" s="209"/>
      <c r="AL598" s="200"/>
      <c r="AM598" s="210"/>
      <c r="AN598" s="210"/>
    </row>
    <row r="599" spans="1:40" x14ac:dyDescent="0.25">
      <c r="A599" s="202"/>
      <c r="C599" s="154"/>
      <c r="J599" s="334"/>
      <c r="K599" s="334"/>
      <c r="T599" s="154"/>
      <c r="V599" s="200"/>
      <c r="W599" s="200"/>
      <c r="X599" s="200"/>
      <c r="Y599" s="200"/>
      <c r="Z599" s="329"/>
    </row>
    <row r="600" spans="1:40" x14ac:dyDescent="0.25">
      <c r="A600" s="202"/>
      <c r="C600" s="154"/>
      <c r="F600" s="252"/>
      <c r="H600" s="252"/>
      <c r="I600" s="252"/>
      <c r="J600" s="329"/>
      <c r="K600" s="329"/>
      <c r="L600" s="200"/>
      <c r="M600" s="200"/>
      <c r="N600" s="210"/>
      <c r="O600" s="210"/>
      <c r="P600" s="200"/>
      <c r="Q600" s="200"/>
      <c r="R600" s="200"/>
      <c r="T600" s="154"/>
      <c r="V600" s="200"/>
      <c r="W600" s="200"/>
      <c r="X600" s="200"/>
      <c r="Y600" s="200"/>
      <c r="Z600" s="329"/>
      <c r="AA600" s="200"/>
      <c r="AB600" s="200"/>
      <c r="AC600" s="210"/>
      <c r="AD600" s="210"/>
      <c r="AE600" s="200"/>
      <c r="AF600" s="200"/>
      <c r="AG600" s="209"/>
      <c r="AH600" s="201"/>
      <c r="AI600" s="200"/>
      <c r="AJ600" s="200"/>
      <c r="AK600" s="209"/>
      <c r="AL600" s="200"/>
      <c r="AM600" s="210"/>
      <c r="AN600" s="210"/>
    </row>
    <row r="601" spans="1:40" x14ac:dyDescent="0.25">
      <c r="A601" s="202"/>
      <c r="C601" s="154"/>
      <c r="J601" s="334"/>
      <c r="K601" s="334"/>
      <c r="T601" s="154"/>
      <c r="V601" s="200"/>
      <c r="W601" s="200"/>
      <c r="X601" s="200"/>
      <c r="Y601" s="200"/>
      <c r="Z601" s="329"/>
    </row>
    <row r="602" spans="1:40" x14ac:dyDescent="0.25">
      <c r="A602" s="202"/>
      <c r="C602" s="154"/>
      <c r="F602" s="252"/>
      <c r="H602" s="252"/>
      <c r="I602" s="252"/>
      <c r="J602" s="329"/>
      <c r="K602" s="329"/>
      <c r="L602" s="200"/>
      <c r="M602" s="200"/>
      <c r="N602" s="210"/>
      <c r="O602" s="210"/>
      <c r="P602" s="200"/>
      <c r="Q602" s="200"/>
      <c r="R602" s="200"/>
      <c r="T602" s="154"/>
      <c r="V602" s="200"/>
      <c r="W602" s="200"/>
      <c r="X602" s="200"/>
      <c r="Y602" s="200"/>
      <c r="Z602" s="329"/>
      <c r="AA602" s="200"/>
      <c r="AB602" s="200"/>
      <c r="AC602" s="210"/>
      <c r="AD602" s="210"/>
      <c r="AE602" s="200"/>
      <c r="AF602" s="200"/>
      <c r="AG602" s="209"/>
      <c r="AH602" s="201"/>
      <c r="AI602" s="200"/>
      <c r="AJ602" s="200"/>
      <c r="AK602" s="209"/>
      <c r="AL602" s="200"/>
      <c r="AM602" s="210"/>
      <c r="AN602" s="210"/>
    </row>
    <row r="603" spans="1:40" x14ac:dyDescent="0.25">
      <c r="A603" s="202"/>
      <c r="C603" s="154"/>
      <c r="J603" s="334"/>
      <c r="K603" s="334"/>
      <c r="T603" s="154"/>
      <c r="V603" s="200"/>
      <c r="W603" s="200"/>
      <c r="X603" s="200"/>
      <c r="Y603" s="200"/>
      <c r="Z603" s="329"/>
    </row>
    <row r="604" spans="1:40" x14ac:dyDescent="0.25">
      <c r="A604" s="202"/>
      <c r="C604" s="154"/>
      <c r="F604" s="252"/>
      <c r="H604" s="252"/>
      <c r="I604" s="252"/>
      <c r="J604" s="329"/>
      <c r="K604" s="329"/>
      <c r="L604" s="200"/>
      <c r="M604" s="200"/>
      <c r="N604" s="210"/>
      <c r="O604" s="210"/>
      <c r="P604" s="200"/>
      <c r="Q604" s="200"/>
      <c r="R604" s="200"/>
      <c r="T604" s="154"/>
      <c r="V604" s="200"/>
      <c r="W604" s="200"/>
      <c r="X604" s="200"/>
      <c r="Y604" s="200"/>
      <c r="Z604" s="329"/>
      <c r="AA604" s="200"/>
      <c r="AB604" s="200"/>
      <c r="AC604" s="210"/>
      <c r="AD604" s="210"/>
      <c r="AE604" s="200"/>
      <c r="AF604" s="200"/>
      <c r="AG604" s="209"/>
      <c r="AH604" s="201"/>
      <c r="AI604" s="200"/>
      <c r="AJ604" s="200"/>
      <c r="AK604" s="209"/>
      <c r="AL604" s="200"/>
      <c r="AM604" s="210"/>
      <c r="AN604" s="210"/>
    </row>
    <row r="605" spans="1:40" x14ac:dyDescent="0.25">
      <c r="F605" s="211"/>
      <c r="H605" s="211"/>
      <c r="I605" s="211"/>
      <c r="J605" s="329"/>
      <c r="K605" s="329"/>
      <c r="L605" s="211"/>
      <c r="M605" s="211"/>
      <c r="N605" s="211"/>
      <c r="O605" s="211"/>
      <c r="P605" s="211"/>
      <c r="Q605" s="211"/>
      <c r="R605" s="211"/>
      <c r="V605" s="211"/>
      <c r="Y605" s="211"/>
      <c r="Z605" s="329"/>
      <c r="AA605" s="211"/>
      <c r="AB605" s="211"/>
      <c r="AC605" s="211"/>
      <c r="AD605" s="211"/>
      <c r="AE605" s="211"/>
      <c r="AF605" s="211"/>
      <c r="AI605" s="211"/>
      <c r="AJ605" s="211"/>
      <c r="AK605" s="212"/>
      <c r="AL605" s="211"/>
      <c r="AM605" s="210"/>
      <c r="AN605" s="210"/>
    </row>
    <row r="606" spans="1:40" x14ac:dyDescent="0.25">
      <c r="A606" s="202"/>
      <c r="C606" s="154"/>
      <c r="F606" s="200"/>
      <c r="H606" s="200"/>
      <c r="I606" s="200"/>
      <c r="J606" s="334"/>
      <c r="K606" s="334"/>
      <c r="L606" s="200"/>
      <c r="M606" s="200"/>
      <c r="N606" s="210"/>
      <c r="O606" s="210"/>
      <c r="P606" s="252"/>
      <c r="Q606" s="252"/>
      <c r="R606" s="200"/>
      <c r="T606" s="154"/>
      <c r="V606" s="200"/>
      <c r="W606" s="200"/>
      <c r="X606" s="200"/>
      <c r="Y606" s="200"/>
      <c r="Z606" s="329"/>
      <c r="AA606" s="200"/>
      <c r="AB606" s="200"/>
      <c r="AC606" s="210"/>
      <c r="AD606" s="210"/>
      <c r="AE606" s="200"/>
      <c r="AF606" s="200"/>
      <c r="AG606" s="209"/>
      <c r="AH606" s="201"/>
      <c r="AI606" s="252"/>
      <c r="AJ606" s="252"/>
      <c r="AK606" s="209"/>
      <c r="AL606" s="200"/>
      <c r="AM606" s="210"/>
      <c r="AN606" s="210"/>
    </row>
    <row r="607" spans="1:40" x14ac:dyDescent="0.25">
      <c r="F607" s="211"/>
      <c r="H607" s="211"/>
      <c r="I607" s="211"/>
      <c r="J607" s="329"/>
      <c r="K607" s="329"/>
      <c r="L607" s="211"/>
      <c r="M607" s="211"/>
      <c r="N607" s="211"/>
      <c r="O607" s="211"/>
      <c r="P607" s="211"/>
      <c r="Q607" s="211"/>
      <c r="R607" s="211"/>
      <c r="V607" s="211"/>
      <c r="Y607" s="211"/>
      <c r="Z607" s="329"/>
      <c r="AA607" s="211"/>
      <c r="AB607" s="211"/>
      <c r="AC607" s="211"/>
      <c r="AD607" s="211"/>
      <c r="AE607" s="211"/>
      <c r="AF607" s="211"/>
      <c r="AI607" s="211"/>
      <c r="AJ607" s="211"/>
      <c r="AK607" s="212"/>
      <c r="AL607" s="211"/>
    </row>
    <row r="608" spans="1:40" x14ac:dyDescent="0.25">
      <c r="A608" s="202"/>
      <c r="C608" s="154"/>
      <c r="D608" s="154"/>
      <c r="E608" s="154"/>
      <c r="J608" s="334"/>
      <c r="K608" s="334"/>
      <c r="T608" s="154"/>
      <c r="U608" s="154"/>
      <c r="V608" s="200"/>
      <c r="W608" s="200"/>
      <c r="X608" s="200"/>
      <c r="Y608" s="200"/>
      <c r="Z608" s="329"/>
    </row>
    <row r="609" spans="1:40" x14ac:dyDescent="0.25">
      <c r="A609" s="202"/>
      <c r="C609" s="154"/>
      <c r="J609" s="334"/>
      <c r="K609" s="334"/>
      <c r="T609" s="154"/>
      <c r="V609" s="200"/>
      <c r="W609" s="200"/>
      <c r="X609" s="200"/>
      <c r="Y609" s="200"/>
      <c r="Z609" s="329"/>
    </row>
    <row r="610" spans="1:40" x14ac:dyDescent="0.25">
      <c r="A610" s="202"/>
      <c r="C610" s="154"/>
      <c r="J610" s="334"/>
      <c r="K610" s="334"/>
      <c r="T610" s="154"/>
      <c r="V610" s="200"/>
      <c r="W610" s="200"/>
      <c r="X610" s="200"/>
      <c r="Y610" s="200"/>
      <c r="Z610" s="329"/>
    </row>
    <row r="611" spans="1:40" x14ac:dyDescent="0.25">
      <c r="A611" s="202"/>
      <c r="C611" s="154"/>
      <c r="F611" s="252"/>
      <c r="H611" s="252"/>
      <c r="I611" s="252"/>
      <c r="J611" s="329"/>
      <c r="K611" s="329"/>
      <c r="L611" s="200"/>
      <c r="M611" s="200"/>
      <c r="N611" s="210"/>
      <c r="O611" s="210"/>
      <c r="P611" s="200"/>
      <c r="Q611" s="200"/>
      <c r="R611" s="200"/>
      <c r="T611" s="154"/>
      <c r="V611" s="200"/>
      <c r="W611" s="200"/>
      <c r="X611" s="200"/>
      <c r="Y611" s="200"/>
      <c r="Z611" s="329"/>
      <c r="AA611" s="200"/>
      <c r="AB611" s="200"/>
      <c r="AC611" s="210"/>
      <c r="AD611" s="210"/>
      <c r="AE611" s="200"/>
      <c r="AF611" s="200"/>
      <c r="AG611" s="209"/>
      <c r="AH611" s="201"/>
      <c r="AI611" s="200"/>
      <c r="AJ611" s="200"/>
      <c r="AK611" s="209"/>
      <c r="AL611" s="200"/>
      <c r="AM611" s="210"/>
      <c r="AN611" s="210"/>
    </row>
    <row r="612" spans="1:40" x14ac:dyDescent="0.25">
      <c r="A612" s="202"/>
      <c r="C612" s="154"/>
      <c r="J612" s="334"/>
      <c r="K612" s="334"/>
      <c r="T612" s="154"/>
      <c r="V612" s="200"/>
      <c r="W612" s="200"/>
      <c r="X612" s="200"/>
      <c r="Y612" s="200"/>
      <c r="Z612" s="329"/>
    </row>
    <row r="613" spans="1:40" x14ac:dyDescent="0.25">
      <c r="A613" s="202"/>
      <c r="C613" s="154"/>
      <c r="F613" s="252"/>
      <c r="H613" s="252"/>
      <c r="I613" s="252"/>
      <c r="J613" s="329"/>
      <c r="K613" s="329"/>
      <c r="L613" s="200"/>
      <c r="M613" s="200"/>
      <c r="N613" s="210"/>
      <c r="O613" s="210"/>
      <c r="P613" s="200"/>
      <c r="Q613" s="200"/>
      <c r="R613" s="200"/>
      <c r="T613" s="154"/>
      <c r="V613" s="200"/>
      <c r="W613" s="200"/>
      <c r="X613" s="200"/>
      <c r="Y613" s="200"/>
      <c r="Z613" s="329"/>
      <c r="AA613" s="200"/>
      <c r="AB613" s="200"/>
      <c r="AC613" s="210"/>
      <c r="AD613" s="210"/>
      <c r="AE613" s="200"/>
      <c r="AF613" s="200"/>
      <c r="AG613" s="209"/>
      <c r="AH613" s="201"/>
      <c r="AI613" s="200"/>
      <c r="AJ613" s="200"/>
      <c r="AK613" s="209"/>
      <c r="AL613" s="200"/>
      <c r="AM613" s="210"/>
      <c r="AN613" s="210"/>
    </row>
    <row r="614" spans="1:40" x14ac:dyDescent="0.25">
      <c r="F614" s="211"/>
      <c r="H614" s="211"/>
      <c r="I614" s="211"/>
      <c r="J614" s="329"/>
      <c r="K614" s="329"/>
      <c r="L614" s="211"/>
      <c r="M614" s="211"/>
      <c r="N614" s="211"/>
      <c r="O614" s="211"/>
      <c r="P614" s="211"/>
      <c r="Q614" s="211"/>
      <c r="R614" s="211"/>
      <c r="V614" s="211"/>
      <c r="Y614" s="211"/>
      <c r="Z614" s="305"/>
      <c r="AA614" s="211"/>
      <c r="AB614" s="211"/>
      <c r="AC614" s="211"/>
      <c r="AD614" s="211"/>
      <c r="AE614" s="211"/>
      <c r="AF614" s="211"/>
      <c r="AI614" s="211"/>
      <c r="AJ614" s="211"/>
      <c r="AK614" s="212"/>
      <c r="AL614" s="211"/>
    </row>
    <row r="615" spans="1:40" x14ac:dyDescent="0.25">
      <c r="A615" s="202"/>
      <c r="C615" s="154"/>
      <c r="F615" s="200"/>
      <c r="H615" s="200"/>
      <c r="I615" s="200"/>
      <c r="L615" s="200"/>
      <c r="M615" s="200"/>
      <c r="N615" s="210"/>
      <c r="O615" s="210"/>
      <c r="P615" s="252"/>
      <c r="Q615" s="252"/>
      <c r="R615" s="200"/>
      <c r="T615" s="154"/>
      <c r="V615" s="200"/>
      <c r="W615" s="200"/>
      <c r="X615" s="200"/>
      <c r="Y615" s="200"/>
      <c r="Z615" s="328"/>
      <c r="AA615" s="200"/>
      <c r="AB615" s="200"/>
      <c r="AC615" s="210"/>
      <c r="AD615" s="210"/>
      <c r="AE615" s="200"/>
      <c r="AF615" s="200"/>
      <c r="AG615" s="209"/>
      <c r="AH615" s="201"/>
      <c r="AI615" s="252"/>
      <c r="AJ615" s="252"/>
      <c r="AK615" s="209"/>
      <c r="AL615" s="200"/>
      <c r="AM615" s="210"/>
      <c r="AN615" s="210"/>
    </row>
    <row r="616" spans="1:40" x14ac:dyDescent="0.25">
      <c r="F616" s="211"/>
      <c r="H616" s="211"/>
      <c r="I616" s="211"/>
      <c r="J616" s="305"/>
      <c r="K616" s="305"/>
      <c r="L616" s="211"/>
      <c r="M616" s="211"/>
      <c r="N616" s="211"/>
      <c r="O616" s="211"/>
      <c r="P616" s="211"/>
      <c r="Q616" s="211"/>
      <c r="R616" s="211"/>
      <c r="V616" s="211"/>
      <c r="Y616" s="211"/>
      <c r="Z616" s="305"/>
      <c r="AA616" s="211"/>
      <c r="AB616" s="211"/>
      <c r="AC616" s="211"/>
      <c r="AD616" s="211"/>
      <c r="AE616" s="211"/>
      <c r="AF616" s="211"/>
      <c r="AI616" s="211"/>
      <c r="AJ616" s="211"/>
      <c r="AK616" s="212"/>
      <c r="AL616" s="211"/>
    </row>
    <row r="617" spans="1:40" x14ac:dyDescent="0.25">
      <c r="A617" s="202"/>
      <c r="C617" s="154"/>
      <c r="D617" s="154"/>
      <c r="E617" s="154"/>
      <c r="T617" s="154"/>
      <c r="U617" s="154"/>
      <c r="V617" s="200"/>
      <c r="W617" s="200"/>
      <c r="X617" s="200"/>
      <c r="Y617" s="200"/>
      <c r="Z617" s="328"/>
    </row>
    <row r="618" spans="1:40" x14ac:dyDescent="0.25">
      <c r="A618" s="202"/>
      <c r="C618" s="154"/>
      <c r="T618" s="154"/>
      <c r="V618" s="200"/>
      <c r="W618" s="200"/>
      <c r="X618" s="200"/>
      <c r="Y618" s="200"/>
      <c r="Z618" s="328"/>
    </row>
    <row r="619" spans="1:40" x14ac:dyDescent="0.25">
      <c r="A619" s="202"/>
      <c r="C619" s="154"/>
      <c r="F619" s="252"/>
      <c r="H619" s="252"/>
      <c r="I619" s="252"/>
      <c r="J619" s="328"/>
      <c r="K619" s="328"/>
      <c r="L619" s="200"/>
      <c r="M619" s="200"/>
      <c r="N619" s="210"/>
      <c r="O619" s="210"/>
      <c r="P619" s="200"/>
      <c r="Q619" s="200"/>
      <c r="R619" s="200"/>
      <c r="T619" s="154"/>
      <c r="V619" s="200"/>
      <c r="W619" s="200"/>
      <c r="X619" s="200"/>
      <c r="Y619" s="200"/>
      <c r="Z619" s="328"/>
      <c r="AA619" s="200"/>
      <c r="AB619" s="200"/>
      <c r="AC619" s="210"/>
      <c r="AD619" s="210"/>
      <c r="AE619" s="200"/>
      <c r="AF619" s="200"/>
      <c r="AG619" s="209"/>
      <c r="AH619" s="201"/>
      <c r="AI619" s="200"/>
      <c r="AJ619" s="200"/>
      <c r="AK619" s="209"/>
      <c r="AL619" s="200"/>
      <c r="AM619" s="210"/>
      <c r="AN619" s="210"/>
    </row>
    <row r="620" spans="1:40" x14ac:dyDescent="0.25">
      <c r="A620" s="202"/>
      <c r="C620" s="154"/>
      <c r="T620" s="154"/>
      <c r="V620" s="200"/>
      <c r="W620" s="200"/>
      <c r="X620" s="200"/>
      <c r="Y620" s="200"/>
      <c r="Z620" s="328"/>
    </row>
    <row r="621" spans="1:40" x14ac:dyDescent="0.25">
      <c r="A621" s="202"/>
      <c r="C621" s="154"/>
      <c r="F621" s="252"/>
      <c r="H621" s="252"/>
      <c r="I621" s="252"/>
      <c r="J621" s="328"/>
      <c r="K621" s="328"/>
      <c r="L621" s="200"/>
      <c r="M621" s="200"/>
      <c r="N621" s="210"/>
      <c r="O621" s="210"/>
      <c r="P621" s="200"/>
      <c r="Q621" s="200"/>
      <c r="R621" s="200"/>
      <c r="T621" s="154"/>
      <c r="V621" s="200"/>
      <c r="W621" s="200"/>
      <c r="X621" s="200"/>
      <c r="Y621" s="200"/>
      <c r="Z621" s="328"/>
      <c r="AA621" s="200"/>
      <c r="AB621" s="200"/>
      <c r="AC621" s="210"/>
      <c r="AD621" s="210"/>
      <c r="AE621" s="200"/>
      <c r="AF621" s="200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A622" s="202"/>
      <c r="C622" s="154"/>
      <c r="T622" s="154"/>
      <c r="V622" s="200"/>
      <c r="W622" s="200"/>
      <c r="X622" s="200"/>
      <c r="Y622" s="200"/>
      <c r="Z622" s="328"/>
    </row>
    <row r="623" spans="1:40" x14ac:dyDescent="0.25">
      <c r="A623" s="202"/>
      <c r="C623" s="154"/>
      <c r="F623" s="252"/>
      <c r="H623" s="252"/>
      <c r="I623" s="252"/>
      <c r="J623" s="328"/>
      <c r="K623" s="328"/>
      <c r="L623" s="200"/>
      <c r="M623" s="200"/>
      <c r="N623" s="210"/>
      <c r="O623" s="210"/>
      <c r="P623" s="200"/>
      <c r="Q623" s="200"/>
      <c r="R623" s="200"/>
      <c r="T623" s="154"/>
      <c r="V623" s="200"/>
      <c r="W623" s="200"/>
      <c r="X623" s="200"/>
      <c r="Y623" s="200"/>
      <c r="Z623" s="328"/>
      <c r="AA623" s="200"/>
      <c r="AB623" s="200"/>
      <c r="AC623" s="210"/>
      <c r="AD623" s="210"/>
      <c r="AE623" s="200"/>
      <c r="AF623" s="200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A624" s="202"/>
      <c r="C624" s="154"/>
      <c r="T624" s="154"/>
      <c r="V624" s="200"/>
      <c r="W624" s="200"/>
      <c r="X624" s="200"/>
      <c r="Y624" s="200"/>
      <c r="Z624" s="328"/>
    </row>
    <row r="625" spans="1:40" x14ac:dyDescent="0.25">
      <c r="A625" s="202"/>
      <c r="C625" s="154"/>
      <c r="F625" s="252"/>
      <c r="H625" s="252"/>
      <c r="I625" s="252"/>
      <c r="J625" s="328"/>
      <c r="K625" s="328"/>
      <c r="L625" s="200"/>
      <c r="M625" s="200"/>
      <c r="N625" s="210"/>
      <c r="O625" s="210"/>
      <c r="P625" s="200"/>
      <c r="Q625" s="200"/>
      <c r="R625" s="200"/>
      <c r="T625" s="154"/>
      <c r="V625" s="200"/>
      <c r="W625" s="200"/>
      <c r="X625" s="200"/>
      <c r="Y625" s="200"/>
      <c r="Z625" s="328"/>
      <c r="AA625" s="200"/>
      <c r="AB625" s="200"/>
      <c r="AC625" s="210"/>
      <c r="AD625" s="210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F626" s="211"/>
      <c r="H626" s="211"/>
      <c r="I626" s="211"/>
      <c r="J626" s="305"/>
      <c r="K626" s="305"/>
      <c r="L626" s="211"/>
      <c r="M626" s="211"/>
      <c r="N626" s="211"/>
      <c r="O626" s="211"/>
      <c r="P626" s="211"/>
      <c r="Q626" s="211"/>
      <c r="R626" s="211"/>
      <c r="V626" s="211"/>
      <c r="Y626" s="211"/>
      <c r="Z626" s="305"/>
      <c r="AA626" s="211"/>
      <c r="AB626" s="211"/>
      <c r="AC626" s="211"/>
      <c r="AD626" s="211"/>
      <c r="AE626" s="211"/>
      <c r="AF626" s="211"/>
      <c r="AI626" s="211"/>
      <c r="AJ626" s="211"/>
      <c r="AK626" s="212"/>
      <c r="AL626" s="211"/>
    </row>
    <row r="627" spans="1:40" x14ac:dyDescent="0.25">
      <c r="A627" s="202"/>
      <c r="C627" s="154"/>
      <c r="F627" s="200"/>
      <c r="H627" s="200"/>
      <c r="I627" s="200"/>
      <c r="L627" s="200"/>
      <c r="M627" s="200"/>
      <c r="N627" s="210"/>
      <c r="O627" s="210"/>
      <c r="P627" s="252"/>
      <c r="Q627" s="252"/>
      <c r="R627" s="200"/>
      <c r="T627" s="154"/>
      <c r="V627" s="200"/>
      <c r="W627" s="200"/>
      <c r="X627" s="200"/>
      <c r="Y627" s="200"/>
      <c r="Z627" s="328"/>
      <c r="AA627" s="200"/>
      <c r="AB627" s="200"/>
      <c r="AC627" s="210"/>
      <c r="AD627" s="210"/>
      <c r="AE627" s="200"/>
      <c r="AF627" s="200"/>
      <c r="AG627" s="209"/>
      <c r="AH627" s="201"/>
      <c r="AI627" s="252"/>
      <c r="AJ627" s="252"/>
      <c r="AK627" s="209"/>
      <c r="AL627" s="200"/>
      <c r="AM627" s="210"/>
      <c r="AN627" s="210"/>
    </row>
    <row r="628" spans="1:40" x14ac:dyDescent="0.25">
      <c r="F628" s="211"/>
      <c r="H628" s="211"/>
      <c r="I628" s="211"/>
      <c r="J628" s="305"/>
      <c r="K628" s="305"/>
      <c r="L628" s="211"/>
      <c r="M628" s="211"/>
      <c r="N628" s="211"/>
      <c r="O628" s="211"/>
      <c r="P628" s="211"/>
      <c r="Q628" s="211"/>
      <c r="R628" s="211"/>
      <c r="V628" s="211"/>
      <c r="Y628" s="211"/>
      <c r="Z628" s="305"/>
      <c r="AA628" s="211"/>
      <c r="AB628" s="211"/>
      <c r="AC628" s="211"/>
      <c r="AD628" s="211"/>
      <c r="AE628" s="211"/>
      <c r="AF628" s="211"/>
      <c r="AI628" s="211"/>
      <c r="AJ628" s="211"/>
      <c r="AK628" s="212"/>
      <c r="AL628" s="211"/>
    </row>
    <row r="629" spans="1:40" x14ac:dyDescent="0.25">
      <c r="A629" s="202"/>
      <c r="C629" s="154"/>
      <c r="F629" s="200"/>
      <c r="H629" s="200"/>
      <c r="I629" s="200"/>
      <c r="L629" s="200"/>
      <c r="M629" s="200"/>
      <c r="N629" s="210"/>
      <c r="O629" s="210"/>
      <c r="P629" s="200"/>
      <c r="Q629" s="200"/>
      <c r="R629" s="200"/>
      <c r="T629" s="154"/>
      <c r="V629" s="200"/>
      <c r="W629" s="200"/>
      <c r="X629" s="200"/>
      <c r="Y629" s="200"/>
      <c r="AA629" s="200"/>
      <c r="AB629" s="200"/>
      <c r="AC629" s="210"/>
      <c r="AD629" s="210"/>
      <c r="AE629" s="200"/>
      <c r="AF629" s="200"/>
      <c r="AG629" s="209"/>
      <c r="AH629" s="201"/>
      <c r="AI629" s="200"/>
      <c r="AJ629" s="200"/>
      <c r="AK629" s="209"/>
      <c r="AL629" s="200"/>
      <c r="AM629" s="201"/>
      <c r="AN629" s="201"/>
    </row>
    <row r="630" spans="1:40" x14ac:dyDescent="0.25">
      <c r="F630" s="211"/>
      <c r="H630" s="211"/>
      <c r="I630" s="211"/>
      <c r="J630" s="305"/>
      <c r="K630" s="305"/>
      <c r="L630" s="211"/>
      <c r="M630" s="211"/>
      <c r="N630" s="211"/>
      <c r="O630" s="211"/>
      <c r="P630" s="211"/>
      <c r="Q630" s="211"/>
      <c r="R630" s="211"/>
      <c r="V630" s="211"/>
      <c r="Y630" s="211"/>
      <c r="Z630" s="305"/>
      <c r="AA630" s="211"/>
      <c r="AB630" s="211"/>
      <c r="AC630" s="211"/>
      <c r="AD630" s="211"/>
      <c r="AE630" s="211"/>
      <c r="AF630" s="211"/>
      <c r="AI630" s="211"/>
      <c r="AJ630" s="211"/>
      <c r="AK630" s="212"/>
      <c r="AL630" s="211"/>
    </row>
    <row r="632" spans="1:40" x14ac:dyDescent="0.25">
      <c r="C632" s="202"/>
      <c r="T632" s="202"/>
    </row>
    <row r="633" spans="1:40" x14ac:dyDescent="0.25">
      <c r="A633" s="154"/>
    </row>
    <row r="634" spans="1:40" x14ac:dyDescent="0.25">
      <c r="J634" s="202"/>
      <c r="K634" s="202"/>
      <c r="Z634" s="202"/>
    </row>
    <row r="635" spans="1:40" x14ac:dyDescent="0.25">
      <c r="H635" s="154"/>
      <c r="I635" s="154"/>
      <c r="Y635" s="154"/>
    </row>
    <row r="636" spans="1:40" x14ac:dyDescent="0.25">
      <c r="J636" s="202"/>
      <c r="K636" s="202"/>
      <c r="Z636" s="202"/>
    </row>
    <row r="637" spans="1:40" x14ac:dyDescent="0.25">
      <c r="L637" s="154"/>
      <c r="M637" s="154"/>
      <c r="AA637" s="154"/>
      <c r="AB637" s="154"/>
    </row>
    <row r="638" spans="1:40" x14ac:dyDescent="0.25">
      <c r="A638" s="202"/>
      <c r="R638" s="154"/>
      <c r="AK638" s="297"/>
      <c r="AL638" s="154"/>
    </row>
    <row r="639" spans="1:40" x14ac:dyDescent="0.25">
      <c r="A639" s="202"/>
      <c r="R639" s="154"/>
      <c r="AK639" s="297"/>
      <c r="AL639" s="154"/>
    </row>
    <row r="640" spans="1:40" x14ac:dyDescent="0.25">
      <c r="A640" s="154"/>
      <c r="R640" s="154"/>
      <c r="AK640" s="297"/>
      <c r="AL640" s="154"/>
    </row>
    <row r="641" spans="1:40" x14ac:dyDescent="0.25">
      <c r="L641" s="154"/>
      <c r="M641" s="154"/>
      <c r="R641" s="202"/>
      <c r="AA641" s="154"/>
      <c r="AB641" s="154"/>
      <c r="AK641" s="209"/>
      <c r="AL641" s="202"/>
    </row>
    <row r="642" spans="1:40" x14ac:dyDescent="0.25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208"/>
      <c r="AH642" s="102"/>
      <c r="AI642" s="102"/>
      <c r="AJ642" s="102"/>
      <c r="AK642" s="208"/>
      <c r="AL642" s="102"/>
      <c r="AM642" s="102"/>
      <c r="AN642" s="102"/>
    </row>
    <row r="643" spans="1:40" x14ac:dyDescent="0.25">
      <c r="L643" s="103"/>
      <c r="M643" s="103"/>
      <c r="N643" s="103"/>
      <c r="O643" s="103"/>
      <c r="R643" s="103"/>
      <c r="AA643" s="103"/>
      <c r="AB643" s="103"/>
      <c r="AC643" s="103"/>
      <c r="AD643" s="103"/>
      <c r="AE643" s="103"/>
      <c r="AF643" s="103"/>
      <c r="AG643" s="185"/>
      <c r="AH643" s="103"/>
      <c r="AK643" s="185"/>
      <c r="AL643" s="103"/>
      <c r="AM643" s="103"/>
      <c r="AN643" s="103"/>
    </row>
    <row r="644" spans="1:40" x14ac:dyDescent="0.25">
      <c r="L644" s="103"/>
      <c r="M644" s="103"/>
      <c r="N644" s="103"/>
      <c r="O644" s="103"/>
      <c r="R644" s="103"/>
      <c r="Z644" s="103"/>
      <c r="AA644" s="103"/>
      <c r="AB644" s="103"/>
      <c r="AC644" s="103"/>
      <c r="AD644" s="103"/>
      <c r="AE644" s="103"/>
      <c r="AF644" s="103"/>
      <c r="AG644" s="185"/>
      <c r="AH644" s="103"/>
      <c r="AK644" s="185"/>
      <c r="AL644" s="103"/>
      <c r="AM644" s="103"/>
      <c r="AN644" s="103"/>
    </row>
    <row r="645" spans="1:40" x14ac:dyDescent="0.25">
      <c r="A645" s="103"/>
      <c r="C645" s="103"/>
      <c r="D645" s="103"/>
      <c r="E645" s="103"/>
      <c r="F645" s="103"/>
      <c r="J645" s="103"/>
      <c r="K645" s="103"/>
      <c r="L645" s="103"/>
      <c r="M645" s="103"/>
      <c r="N645" s="103"/>
      <c r="O645" s="103"/>
      <c r="P645" s="103"/>
      <c r="Q645" s="103"/>
      <c r="R645" s="103"/>
      <c r="T645" s="103"/>
      <c r="U645" s="103"/>
      <c r="V645" s="103"/>
      <c r="Z645" s="103"/>
      <c r="AA645" s="103"/>
      <c r="AB645" s="103"/>
      <c r="AC645" s="103"/>
      <c r="AD645" s="103"/>
      <c r="AE645" s="103"/>
      <c r="AF645" s="103"/>
      <c r="AG645" s="185"/>
      <c r="AH645" s="103"/>
      <c r="AI645" s="103"/>
      <c r="AJ645" s="103"/>
      <c r="AK645" s="185"/>
      <c r="AL645" s="103"/>
      <c r="AM645" s="103"/>
      <c r="AN645" s="103"/>
    </row>
    <row r="646" spans="1:40" x14ac:dyDescent="0.25">
      <c r="A646" s="103"/>
      <c r="C646" s="103"/>
      <c r="D646" s="103"/>
      <c r="E646" s="103"/>
      <c r="F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T646" s="103"/>
      <c r="U646" s="103"/>
      <c r="V646" s="103"/>
      <c r="Y646" s="103"/>
      <c r="Z646" s="103"/>
      <c r="AA646" s="103"/>
      <c r="AB646" s="103"/>
      <c r="AC646" s="103"/>
      <c r="AD646" s="103"/>
      <c r="AE646" s="103"/>
      <c r="AF646" s="103"/>
      <c r="AG646" s="185"/>
      <c r="AH646" s="103"/>
      <c r="AI646" s="103"/>
      <c r="AJ646" s="103"/>
      <c r="AK646" s="185"/>
      <c r="AL646" s="103"/>
      <c r="AM646" s="103"/>
      <c r="AN646" s="103"/>
    </row>
    <row r="647" spans="1:40" x14ac:dyDescent="0.25">
      <c r="C647" s="103"/>
      <c r="D647" s="103"/>
      <c r="E647" s="103"/>
      <c r="F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T647" s="103"/>
      <c r="U647" s="103"/>
      <c r="V647" s="103"/>
      <c r="Y647" s="103"/>
      <c r="Z647" s="103"/>
      <c r="AA647" s="103"/>
      <c r="AB647" s="103"/>
      <c r="AC647" s="103"/>
      <c r="AD647" s="103"/>
      <c r="AE647" s="103"/>
      <c r="AF647" s="103"/>
      <c r="AG647" s="185"/>
      <c r="AH647" s="103"/>
      <c r="AI647" s="103"/>
      <c r="AJ647" s="103"/>
      <c r="AK647" s="185"/>
      <c r="AL647" s="103"/>
      <c r="AM647" s="103"/>
      <c r="AN647" s="103"/>
    </row>
    <row r="648" spans="1:40" x14ac:dyDescent="0.25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208"/>
      <c r="AH648" s="102"/>
      <c r="AI648" s="102"/>
      <c r="AJ648" s="102"/>
      <c r="AK648" s="208"/>
      <c r="AL648" s="102"/>
      <c r="AM648" s="102"/>
      <c r="AN648" s="102"/>
    </row>
    <row r="649" spans="1:40" x14ac:dyDescent="0.25"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Y649" s="103"/>
      <c r="Z649" s="103"/>
      <c r="AA649" s="103"/>
      <c r="AB649" s="103"/>
      <c r="AC649" s="103"/>
      <c r="AD649" s="103"/>
      <c r="AE649" s="103"/>
      <c r="AF649" s="103"/>
      <c r="AG649" s="185"/>
      <c r="AH649" s="103"/>
      <c r="AI649" s="103"/>
      <c r="AJ649" s="103"/>
      <c r="AK649" s="185"/>
      <c r="AL649" s="103"/>
      <c r="AM649" s="103"/>
      <c r="AN649" s="103"/>
    </row>
    <row r="650" spans="1:40" x14ac:dyDescent="0.25">
      <c r="A650" s="202"/>
      <c r="C650" s="154"/>
      <c r="D650" s="154"/>
      <c r="E650" s="154"/>
      <c r="F650" s="200"/>
      <c r="H650" s="200"/>
      <c r="I650" s="200"/>
      <c r="J650" s="213"/>
      <c r="K650" s="213"/>
      <c r="L650" s="200"/>
      <c r="M650" s="200"/>
      <c r="N650" s="213"/>
      <c r="O650" s="213"/>
      <c r="P650" s="200"/>
      <c r="Q650" s="200"/>
      <c r="R650" s="200"/>
      <c r="T650" s="154"/>
      <c r="U650" s="154"/>
      <c r="V650" s="200"/>
      <c r="Y650" s="200"/>
      <c r="Z650" s="213"/>
      <c r="AA650" s="200"/>
      <c r="AB650" s="200"/>
      <c r="AC650" s="213"/>
      <c r="AD650" s="213"/>
      <c r="AE650" s="200"/>
      <c r="AF650" s="200"/>
      <c r="AG650" s="209"/>
      <c r="AH650" s="201"/>
      <c r="AI650" s="200"/>
      <c r="AJ650" s="200"/>
      <c r="AK650" s="209"/>
      <c r="AL650" s="200"/>
      <c r="AM650" s="210"/>
      <c r="AN650" s="210"/>
    </row>
    <row r="651" spans="1:40" x14ac:dyDescent="0.25">
      <c r="F651" s="211"/>
      <c r="H651" s="211"/>
      <c r="I651" s="211"/>
      <c r="J651" s="305"/>
      <c r="K651" s="305"/>
      <c r="L651" s="211"/>
      <c r="M651" s="211"/>
      <c r="N651" s="211"/>
      <c r="O651" s="211"/>
      <c r="P651" s="211"/>
      <c r="Q651" s="211"/>
      <c r="R651" s="211"/>
      <c r="V651" s="211"/>
      <c r="Y651" s="211"/>
      <c r="Z651" s="305"/>
      <c r="AA651" s="211"/>
      <c r="AB651" s="211"/>
      <c r="AC651" s="211"/>
      <c r="AD651" s="211"/>
      <c r="AE651" s="211"/>
      <c r="AF651" s="211"/>
      <c r="AI651" s="211"/>
      <c r="AJ651" s="211"/>
      <c r="AK651" s="212"/>
      <c r="AL651" s="211"/>
      <c r="AM651" s="210"/>
      <c r="AN651" s="210"/>
    </row>
    <row r="652" spans="1:40" x14ac:dyDescent="0.25">
      <c r="A652" s="202"/>
      <c r="C652" s="154"/>
      <c r="F652" s="200"/>
      <c r="H652" s="200"/>
      <c r="I652" s="200"/>
      <c r="J652" s="213"/>
      <c r="K652" s="213"/>
      <c r="L652" s="200"/>
      <c r="M652" s="200"/>
      <c r="N652" s="213"/>
      <c r="O652" s="213"/>
      <c r="P652" s="200"/>
      <c r="Q652" s="200"/>
      <c r="R652" s="200"/>
      <c r="T652" s="154"/>
      <c r="V652" s="200"/>
      <c r="Y652" s="200"/>
      <c r="Z652" s="213"/>
      <c r="AA652" s="200"/>
      <c r="AB652" s="200"/>
      <c r="AC652" s="213"/>
      <c r="AD652" s="213"/>
      <c r="AE652" s="200"/>
      <c r="AF652" s="200"/>
      <c r="AG652" s="209"/>
      <c r="AH652" s="201"/>
      <c r="AI652" s="200"/>
      <c r="AJ652" s="200"/>
      <c r="AK652" s="209"/>
      <c r="AL652" s="200"/>
      <c r="AM652" s="210"/>
      <c r="AN652" s="210"/>
    </row>
    <row r="653" spans="1:40" x14ac:dyDescent="0.25">
      <c r="F653" s="200"/>
      <c r="H653" s="200"/>
      <c r="I653" s="200"/>
      <c r="J653" s="213"/>
      <c r="K653" s="213"/>
      <c r="L653" s="200"/>
      <c r="M653" s="200"/>
      <c r="N653" s="213"/>
      <c r="O653" s="213"/>
      <c r="P653" s="200"/>
      <c r="Q653" s="200"/>
      <c r="R653" s="200"/>
      <c r="V653" s="200"/>
      <c r="Y653" s="200"/>
      <c r="Z653" s="213"/>
      <c r="AA653" s="200"/>
      <c r="AB653" s="200"/>
      <c r="AC653" s="213"/>
      <c r="AD653" s="213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C654" s="154"/>
      <c r="D654" s="154"/>
      <c r="E654" s="154"/>
      <c r="F654" s="200"/>
      <c r="H654" s="200"/>
      <c r="I654" s="200"/>
      <c r="J654" s="213"/>
      <c r="K654" s="213"/>
      <c r="L654" s="200"/>
      <c r="M654" s="200"/>
      <c r="N654" s="213"/>
      <c r="O654" s="213"/>
      <c r="P654" s="200"/>
      <c r="Q654" s="200"/>
      <c r="R654" s="200"/>
      <c r="T654" s="154"/>
      <c r="U654" s="154"/>
      <c r="V654" s="200"/>
      <c r="Y654" s="200"/>
      <c r="Z654" s="213"/>
      <c r="AA654" s="200"/>
      <c r="AB654" s="200"/>
      <c r="AC654" s="213"/>
      <c r="AD654" s="213"/>
      <c r="AE654" s="200"/>
      <c r="AF654" s="200"/>
      <c r="AG654" s="209"/>
      <c r="AH654" s="201"/>
      <c r="AI654" s="200"/>
      <c r="AJ654" s="200"/>
      <c r="AK654" s="209"/>
      <c r="AL654" s="200"/>
      <c r="AM654" s="210"/>
      <c r="AN654" s="210"/>
    </row>
    <row r="655" spans="1:40" x14ac:dyDescent="0.25">
      <c r="A655" s="202"/>
      <c r="C655" s="154"/>
      <c r="D655" s="154"/>
      <c r="E655" s="154"/>
      <c r="F655" s="200"/>
      <c r="H655" s="200"/>
      <c r="I655" s="200"/>
      <c r="J655" s="213"/>
      <c r="K655" s="213"/>
      <c r="L655" s="200"/>
      <c r="M655" s="200"/>
      <c r="N655" s="213"/>
      <c r="O655" s="213"/>
      <c r="P655" s="200"/>
      <c r="Q655" s="200"/>
      <c r="R655" s="200"/>
      <c r="T655" s="154"/>
      <c r="U655" s="154"/>
      <c r="V655" s="200"/>
      <c r="Y655" s="200"/>
      <c r="Z655" s="213"/>
      <c r="AA655" s="200"/>
      <c r="AB655" s="200"/>
      <c r="AC655" s="213"/>
      <c r="AD655" s="213"/>
      <c r="AE655" s="200"/>
      <c r="AF655" s="200"/>
      <c r="AG655" s="209"/>
      <c r="AH655" s="201"/>
      <c r="AI655" s="200"/>
      <c r="AJ655" s="200"/>
      <c r="AK655" s="209"/>
      <c r="AL655" s="200"/>
      <c r="AM655" s="210"/>
      <c r="AN655" s="210"/>
    </row>
    <row r="656" spans="1:40" x14ac:dyDescent="0.25">
      <c r="A656" s="202"/>
      <c r="C656" s="154"/>
      <c r="D656" s="154"/>
      <c r="E656" s="154"/>
      <c r="F656" s="200"/>
      <c r="H656" s="200"/>
      <c r="I656" s="200"/>
      <c r="J656" s="213"/>
      <c r="K656" s="213"/>
      <c r="L656" s="200"/>
      <c r="M656" s="200"/>
      <c r="N656" s="213"/>
      <c r="O656" s="213"/>
      <c r="P656" s="200"/>
      <c r="Q656" s="200"/>
      <c r="R656" s="200"/>
      <c r="T656" s="154"/>
      <c r="U656" s="154"/>
      <c r="V656" s="200"/>
      <c r="Y656" s="200"/>
      <c r="Z656" s="213"/>
      <c r="AA656" s="200"/>
      <c r="AB656" s="200"/>
      <c r="AC656" s="213"/>
      <c r="AD656" s="213"/>
      <c r="AE656" s="200"/>
      <c r="AF656" s="200"/>
      <c r="AG656" s="209"/>
      <c r="AH656" s="201"/>
      <c r="AI656" s="200"/>
      <c r="AJ656" s="200"/>
      <c r="AK656" s="209"/>
      <c r="AL656" s="200"/>
      <c r="AM656" s="210"/>
      <c r="AN656" s="210"/>
    </row>
    <row r="657" spans="1:40" x14ac:dyDescent="0.25">
      <c r="A657" s="202"/>
      <c r="C657" s="154"/>
      <c r="D657" s="154"/>
      <c r="E657" s="154"/>
      <c r="F657" s="200"/>
      <c r="H657" s="200"/>
      <c r="I657" s="200"/>
      <c r="J657" s="213"/>
      <c r="K657" s="213"/>
      <c r="L657" s="200"/>
      <c r="M657" s="200"/>
      <c r="N657" s="213"/>
      <c r="O657" s="213"/>
      <c r="P657" s="200"/>
      <c r="Q657" s="200"/>
      <c r="R657" s="200"/>
      <c r="T657" s="154"/>
      <c r="U657" s="154"/>
      <c r="V657" s="200"/>
      <c r="Y657" s="200"/>
      <c r="Z657" s="213"/>
      <c r="AA657" s="200"/>
      <c r="AB657" s="200"/>
      <c r="AC657" s="213"/>
      <c r="AD657" s="213"/>
      <c r="AE657" s="200"/>
      <c r="AF657" s="200"/>
      <c r="AG657" s="209"/>
      <c r="AH657" s="201"/>
      <c r="AI657" s="200"/>
      <c r="AJ657" s="200"/>
      <c r="AK657" s="209"/>
      <c r="AL657" s="200"/>
      <c r="AM657" s="210"/>
      <c r="AN657" s="210"/>
    </row>
    <row r="658" spans="1:40" x14ac:dyDescent="0.25">
      <c r="A658" s="202"/>
      <c r="C658" s="154"/>
      <c r="D658" s="154"/>
      <c r="E658" s="154"/>
      <c r="F658" s="200"/>
      <c r="H658" s="200"/>
      <c r="I658" s="200"/>
      <c r="J658" s="213"/>
      <c r="K658" s="213"/>
      <c r="L658" s="200"/>
      <c r="M658" s="200"/>
      <c r="N658" s="213"/>
      <c r="O658" s="213"/>
      <c r="P658" s="200"/>
      <c r="Q658" s="200"/>
      <c r="R658" s="200"/>
      <c r="T658" s="154"/>
      <c r="U658" s="154"/>
      <c r="V658" s="200"/>
      <c r="Y658" s="200"/>
      <c r="Z658" s="213"/>
      <c r="AA658" s="200"/>
      <c r="AB658" s="200"/>
      <c r="AC658" s="213"/>
      <c r="AD658" s="213"/>
      <c r="AE658" s="200"/>
      <c r="AF658" s="200"/>
      <c r="AG658" s="209"/>
      <c r="AH658" s="201"/>
      <c r="AI658" s="200"/>
      <c r="AJ658" s="200"/>
      <c r="AK658" s="209"/>
      <c r="AL658" s="200"/>
      <c r="AM658" s="210"/>
      <c r="AN658" s="210"/>
    </row>
    <row r="659" spans="1:40" x14ac:dyDescent="0.25">
      <c r="A659" s="202"/>
      <c r="C659" s="154"/>
      <c r="D659" s="154"/>
      <c r="E659" s="154"/>
      <c r="F659" s="200"/>
      <c r="H659" s="200"/>
      <c r="I659" s="200"/>
      <c r="J659" s="213"/>
      <c r="K659" s="213"/>
      <c r="L659" s="200"/>
      <c r="M659" s="200"/>
      <c r="N659" s="213"/>
      <c r="O659" s="213"/>
      <c r="P659" s="200"/>
      <c r="Q659" s="200"/>
      <c r="R659" s="200"/>
      <c r="T659" s="154"/>
      <c r="U659" s="154"/>
      <c r="V659" s="200"/>
      <c r="Y659" s="200"/>
      <c r="Z659" s="213"/>
      <c r="AA659" s="200"/>
      <c r="AB659" s="200"/>
      <c r="AC659" s="213"/>
      <c r="AD659" s="213"/>
      <c r="AE659" s="200"/>
      <c r="AF659" s="200"/>
      <c r="AG659" s="209"/>
      <c r="AH659" s="201"/>
      <c r="AI659" s="200"/>
      <c r="AJ659" s="200"/>
      <c r="AK659" s="209"/>
      <c r="AL659" s="200"/>
      <c r="AM659" s="210"/>
      <c r="AN659" s="210"/>
    </row>
    <row r="660" spans="1:40" x14ac:dyDescent="0.25">
      <c r="F660" s="211"/>
      <c r="H660" s="211"/>
      <c r="I660" s="211"/>
      <c r="J660" s="305"/>
      <c r="K660" s="305"/>
      <c r="L660" s="211"/>
      <c r="M660" s="211"/>
      <c r="N660" s="211"/>
      <c r="O660" s="211"/>
      <c r="P660" s="211"/>
      <c r="Q660" s="211"/>
      <c r="R660" s="211"/>
      <c r="V660" s="211"/>
      <c r="Y660" s="211"/>
      <c r="Z660" s="305"/>
      <c r="AA660" s="211"/>
      <c r="AB660" s="211"/>
      <c r="AC660" s="211"/>
      <c r="AD660" s="211"/>
      <c r="AE660" s="211"/>
      <c r="AF660" s="211"/>
      <c r="AI660" s="211"/>
      <c r="AJ660" s="211"/>
      <c r="AK660" s="212"/>
      <c r="AL660" s="211"/>
      <c r="AM660" s="210"/>
      <c r="AN660" s="210"/>
    </row>
    <row r="661" spans="1:40" x14ac:dyDescent="0.25">
      <c r="A661" s="202"/>
      <c r="C661" s="154"/>
      <c r="F661" s="200"/>
      <c r="H661" s="200"/>
      <c r="I661" s="200"/>
      <c r="J661" s="213"/>
      <c r="K661" s="213"/>
      <c r="L661" s="200"/>
      <c r="M661" s="200"/>
      <c r="N661" s="213"/>
      <c r="O661" s="213"/>
      <c r="P661" s="200"/>
      <c r="Q661" s="200"/>
      <c r="R661" s="200"/>
      <c r="T661" s="154"/>
      <c r="V661" s="200"/>
      <c r="Y661" s="200"/>
      <c r="Z661" s="213"/>
      <c r="AA661" s="200"/>
      <c r="AB661" s="200"/>
      <c r="AC661" s="213"/>
      <c r="AD661" s="213"/>
      <c r="AE661" s="200"/>
      <c r="AF661" s="200"/>
      <c r="AG661" s="209"/>
      <c r="AH661" s="201"/>
      <c r="AI661" s="200"/>
      <c r="AJ661" s="200"/>
      <c r="AK661" s="209"/>
      <c r="AL661" s="200"/>
      <c r="AM661" s="210"/>
      <c r="AN661" s="210"/>
    </row>
    <row r="662" spans="1:40" x14ac:dyDescent="0.25">
      <c r="F662" s="200"/>
      <c r="H662" s="200"/>
      <c r="I662" s="200"/>
      <c r="J662" s="213"/>
      <c r="K662" s="213"/>
      <c r="L662" s="200"/>
      <c r="M662" s="200"/>
      <c r="N662" s="213"/>
      <c r="O662" s="213"/>
      <c r="P662" s="200"/>
      <c r="Q662" s="200"/>
      <c r="R662" s="200"/>
      <c r="V662" s="200"/>
      <c r="Y662" s="200"/>
      <c r="Z662" s="213"/>
      <c r="AA662" s="200"/>
      <c r="AB662" s="200"/>
      <c r="AC662" s="213"/>
      <c r="AD662" s="213"/>
      <c r="AG662" s="209"/>
      <c r="AH662" s="201"/>
      <c r="AI662" s="200"/>
      <c r="AJ662" s="200"/>
      <c r="AK662" s="209"/>
      <c r="AL662" s="200"/>
      <c r="AM662" s="210"/>
      <c r="AN662" s="210"/>
    </row>
    <row r="663" spans="1:40" x14ac:dyDescent="0.25">
      <c r="A663" s="202"/>
      <c r="C663" s="154"/>
      <c r="D663" s="154"/>
      <c r="E663" s="154"/>
      <c r="F663" s="200"/>
      <c r="H663" s="200"/>
      <c r="I663" s="200"/>
      <c r="J663" s="213"/>
      <c r="K663" s="213"/>
      <c r="L663" s="200"/>
      <c r="M663" s="200"/>
      <c r="N663" s="213"/>
      <c r="O663" s="213"/>
      <c r="P663" s="200"/>
      <c r="Q663" s="200"/>
      <c r="R663" s="200"/>
      <c r="T663" s="154"/>
      <c r="U663" s="154"/>
      <c r="V663" s="200"/>
      <c r="Y663" s="200"/>
      <c r="Z663" s="213"/>
      <c r="AA663" s="200"/>
      <c r="AB663" s="200"/>
      <c r="AC663" s="213"/>
      <c r="AD663" s="213"/>
      <c r="AE663" s="200"/>
      <c r="AF663" s="200"/>
      <c r="AG663" s="209"/>
      <c r="AH663" s="201"/>
      <c r="AI663" s="200"/>
      <c r="AJ663" s="200"/>
      <c r="AK663" s="209"/>
      <c r="AL663" s="200"/>
      <c r="AM663" s="210"/>
      <c r="AN663" s="210"/>
    </row>
    <row r="664" spans="1:40" x14ac:dyDescent="0.25">
      <c r="F664" s="211"/>
      <c r="H664" s="211"/>
      <c r="I664" s="211"/>
      <c r="J664" s="305"/>
      <c r="K664" s="305"/>
      <c r="L664" s="211"/>
      <c r="M664" s="211"/>
      <c r="N664" s="211"/>
      <c r="O664" s="211"/>
      <c r="P664" s="211"/>
      <c r="Q664" s="211"/>
      <c r="R664" s="211"/>
      <c r="V664" s="211"/>
      <c r="Y664" s="211"/>
      <c r="Z664" s="305"/>
      <c r="AA664" s="211"/>
      <c r="AB664" s="211"/>
      <c r="AC664" s="211"/>
      <c r="AD664" s="211"/>
      <c r="AE664" s="211"/>
      <c r="AF664" s="211"/>
      <c r="AI664" s="211"/>
      <c r="AJ664" s="211"/>
      <c r="AK664" s="212"/>
      <c r="AL664" s="211"/>
      <c r="AM664" s="210"/>
      <c r="AN664" s="210"/>
    </row>
    <row r="665" spans="1:40" x14ac:dyDescent="0.25">
      <c r="A665" s="202"/>
      <c r="C665" s="154"/>
      <c r="F665" s="200"/>
      <c r="H665" s="200"/>
      <c r="I665" s="200"/>
      <c r="J665" s="213"/>
      <c r="K665" s="213"/>
      <c r="L665" s="200"/>
      <c r="M665" s="200"/>
      <c r="N665" s="213"/>
      <c r="O665" s="213"/>
      <c r="P665" s="200"/>
      <c r="Q665" s="200"/>
      <c r="R665" s="200"/>
      <c r="T665" s="154"/>
      <c r="V665" s="200"/>
      <c r="Y665" s="200"/>
      <c r="Z665" s="213"/>
      <c r="AA665" s="200"/>
      <c r="AB665" s="200"/>
      <c r="AC665" s="213"/>
      <c r="AD665" s="213"/>
      <c r="AE665" s="200"/>
      <c r="AF665" s="200"/>
      <c r="AG665" s="209"/>
      <c r="AH665" s="201"/>
      <c r="AI665" s="200"/>
      <c r="AJ665" s="200"/>
      <c r="AK665" s="209"/>
      <c r="AL665" s="200"/>
      <c r="AM665" s="210"/>
      <c r="AN665" s="210"/>
    </row>
    <row r="666" spans="1:40" x14ac:dyDescent="0.25">
      <c r="F666" s="200"/>
      <c r="H666" s="200"/>
      <c r="I666" s="200"/>
      <c r="J666" s="213"/>
      <c r="K666" s="213"/>
      <c r="L666" s="200"/>
      <c r="M666" s="200"/>
      <c r="N666" s="213"/>
      <c r="O666" s="213"/>
      <c r="P666" s="200"/>
      <c r="Q666" s="200"/>
      <c r="R666" s="200"/>
      <c r="V666" s="200"/>
      <c r="Y666" s="200"/>
      <c r="Z666" s="213"/>
      <c r="AA666" s="200"/>
      <c r="AB666" s="200"/>
      <c r="AC666" s="213"/>
      <c r="AD666" s="213"/>
      <c r="AG666" s="209"/>
      <c r="AH666" s="201"/>
      <c r="AI666" s="200"/>
      <c r="AJ666" s="200"/>
      <c r="AK666" s="209"/>
      <c r="AL666" s="200"/>
      <c r="AM666" s="210"/>
      <c r="AN666" s="210"/>
    </row>
    <row r="667" spans="1:40" x14ac:dyDescent="0.25">
      <c r="A667" s="202"/>
      <c r="C667" s="154"/>
      <c r="D667" s="154"/>
      <c r="E667" s="154"/>
      <c r="F667" s="200"/>
      <c r="H667" s="200"/>
      <c r="I667" s="200"/>
      <c r="J667" s="213"/>
      <c r="K667" s="213"/>
      <c r="L667" s="200"/>
      <c r="M667" s="200"/>
      <c r="N667" s="213"/>
      <c r="O667" s="213"/>
      <c r="P667" s="200"/>
      <c r="Q667" s="200"/>
      <c r="R667" s="200"/>
      <c r="T667" s="154"/>
      <c r="U667" s="154"/>
      <c r="V667" s="200"/>
      <c r="Y667" s="200"/>
      <c r="Z667" s="213"/>
      <c r="AA667" s="200"/>
      <c r="AB667" s="200"/>
      <c r="AC667" s="213"/>
      <c r="AD667" s="213"/>
      <c r="AE667" s="200"/>
      <c r="AF667" s="200"/>
      <c r="AG667" s="209"/>
      <c r="AH667" s="201"/>
      <c r="AI667" s="200"/>
      <c r="AJ667" s="200"/>
      <c r="AK667" s="209"/>
      <c r="AL667" s="200"/>
      <c r="AM667" s="210"/>
      <c r="AN667" s="210"/>
    </row>
    <row r="668" spans="1:40" x14ac:dyDescent="0.25">
      <c r="A668" s="202"/>
      <c r="C668" s="154"/>
      <c r="D668" s="154"/>
      <c r="E668" s="154"/>
      <c r="F668" s="200"/>
      <c r="G668" s="200"/>
      <c r="H668" s="200"/>
      <c r="I668" s="200"/>
      <c r="J668" s="213"/>
      <c r="K668" s="213"/>
      <c r="L668" s="200"/>
      <c r="M668" s="200"/>
      <c r="N668" s="213"/>
      <c r="O668" s="213"/>
      <c r="P668" s="200"/>
      <c r="Q668" s="200"/>
      <c r="R668" s="200"/>
      <c r="T668" s="154"/>
      <c r="U668" s="154"/>
      <c r="V668" s="200"/>
      <c r="W668" s="200"/>
      <c r="X668" s="200"/>
      <c r="Y668" s="200"/>
      <c r="Z668" s="213"/>
      <c r="AA668" s="200"/>
      <c r="AB668" s="200"/>
      <c r="AC668" s="213"/>
      <c r="AD668" s="213"/>
      <c r="AE668" s="200"/>
      <c r="AF668" s="200"/>
      <c r="AG668" s="209"/>
      <c r="AH668" s="201"/>
      <c r="AI668" s="200"/>
      <c r="AJ668" s="200"/>
      <c r="AK668" s="209"/>
      <c r="AL668" s="200"/>
      <c r="AM668" s="210"/>
      <c r="AN668" s="210"/>
    </row>
    <row r="669" spans="1:40" x14ac:dyDescent="0.25">
      <c r="A669" s="202"/>
      <c r="C669" s="154"/>
      <c r="D669" s="154"/>
      <c r="E669" s="154"/>
      <c r="F669" s="200"/>
      <c r="G669" s="200"/>
      <c r="H669" s="200"/>
      <c r="I669" s="200"/>
      <c r="J669" s="213"/>
      <c r="K669" s="213"/>
      <c r="L669" s="200"/>
      <c r="M669" s="200"/>
      <c r="N669" s="213"/>
      <c r="O669" s="213"/>
      <c r="P669" s="200"/>
      <c r="Q669" s="200"/>
      <c r="R669" s="200"/>
      <c r="T669" s="154"/>
      <c r="U669" s="154"/>
      <c r="V669" s="200"/>
      <c r="W669" s="200"/>
      <c r="X669" s="200"/>
      <c r="Y669" s="200"/>
      <c r="Z669" s="213"/>
      <c r="AA669" s="200"/>
      <c r="AB669" s="200"/>
      <c r="AC669" s="213"/>
      <c r="AD669" s="213"/>
      <c r="AE669" s="200"/>
      <c r="AF669" s="200"/>
      <c r="AG669" s="209"/>
      <c r="AH669" s="201"/>
      <c r="AI669" s="200"/>
      <c r="AJ669" s="200"/>
      <c r="AK669" s="209"/>
      <c r="AL669" s="200"/>
      <c r="AM669" s="210"/>
      <c r="AN669" s="210"/>
    </row>
    <row r="670" spans="1:40" x14ac:dyDescent="0.25">
      <c r="A670" s="202"/>
      <c r="C670" s="154"/>
      <c r="D670" s="154"/>
      <c r="E670" s="154"/>
      <c r="F670" s="200"/>
      <c r="H670" s="200"/>
      <c r="I670" s="200"/>
      <c r="J670" s="213"/>
      <c r="K670" s="213"/>
      <c r="L670" s="200"/>
      <c r="M670" s="200"/>
      <c r="N670" s="213"/>
      <c r="O670" s="213"/>
      <c r="P670" s="200"/>
      <c r="Q670" s="200"/>
      <c r="R670" s="200"/>
      <c r="T670" s="154"/>
      <c r="U670" s="154"/>
      <c r="V670" s="200"/>
      <c r="Y670" s="200"/>
      <c r="Z670" s="213"/>
      <c r="AA670" s="200"/>
      <c r="AB670" s="200"/>
      <c r="AC670" s="213"/>
      <c r="AD670" s="213"/>
      <c r="AE670" s="200"/>
      <c r="AF670" s="200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A671" s="202"/>
      <c r="C671" s="154"/>
      <c r="D671" s="154"/>
      <c r="E671" s="154"/>
      <c r="F671" s="200"/>
      <c r="H671" s="200"/>
      <c r="I671" s="200"/>
      <c r="J671" s="213"/>
      <c r="K671" s="213"/>
      <c r="L671" s="200"/>
      <c r="M671" s="200"/>
      <c r="N671" s="213"/>
      <c r="O671" s="213"/>
      <c r="P671" s="200"/>
      <c r="Q671" s="200"/>
      <c r="R671" s="200"/>
      <c r="T671" s="154"/>
      <c r="U671" s="154"/>
      <c r="V671" s="200"/>
      <c r="Y671" s="200"/>
      <c r="Z671" s="213"/>
      <c r="AA671" s="200"/>
      <c r="AB671" s="200"/>
      <c r="AC671" s="213"/>
      <c r="AD671" s="213"/>
      <c r="AE671" s="200"/>
      <c r="AF671" s="200"/>
      <c r="AG671" s="209"/>
      <c r="AH671" s="201"/>
      <c r="AI671" s="200"/>
      <c r="AJ671" s="200"/>
      <c r="AK671" s="209"/>
      <c r="AL671" s="200"/>
      <c r="AM671" s="210"/>
      <c r="AN671" s="210"/>
    </row>
    <row r="672" spans="1:40" x14ac:dyDescent="0.25">
      <c r="A672" s="202"/>
      <c r="C672" s="154"/>
      <c r="D672" s="154"/>
      <c r="E672" s="154"/>
      <c r="F672" s="200"/>
      <c r="H672" s="200"/>
      <c r="I672" s="200"/>
      <c r="J672" s="213"/>
      <c r="K672" s="213"/>
      <c r="L672" s="200"/>
      <c r="M672" s="200"/>
      <c r="N672" s="213"/>
      <c r="O672" s="213"/>
      <c r="P672" s="200"/>
      <c r="Q672" s="200"/>
      <c r="R672" s="200"/>
      <c r="T672" s="154"/>
      <c r="U672" s="154"/>
      <c r="V672" s="200"/>
      <c r="Y672" s="200"/>
      <c r="Z672" s="213"/>
      <c r="AA672" s="200"/>
      <c r="AB672" s="200"/>
      <c r="AC672" s="213"/>
      <c r="AD672" s="213"/>
      <c r="AE672" s="200"/>
      <c r="AF672" s="200"/>
      <c r="AG672" s="209"/>
      <c r="AH672" s="201"/>
      <c r="AI672" s="200"/>
      <c r="AJ672" s="200"/>
      <c r="AK672" s="209"/>
      <c r="AL672" s="200"/>
      <c r="AM672" s="210"/>
      <c r="AN672" s="210"/>
    </row>
    <row r="673" spans="1:40" x14ac:dyDescent="0.25">
      <c r="A673" s="202"/>
      <c r="C673" s="154"/>
      <c r="D673" s="154"/>
      <c r="E673" s="154"/>
      <c r="F673" s="200"/>
      <c r="H673" s="200"/>
      <c r="I673" s="200"/>
      <c r="J673" s="213"/>
      <c r="K673" s="213"/>
      <c r="L673" s="200"/>
      <c r="M673" s="200"/>
      <c r="N673" s="213"/>
      <c r="O673" s="213"/>
      <c r="P673" s="200"/>
      <c r="Q673" s="200"/>
      <c r="R673" s="200"/>
      <c r="T673" s="154"/>
      <c r="U673" s="154"/>
      <c r="V673" s="200"/>
      <c r="Y673" s="200"/>
      <c r="Z673" s="213"/>
      <c r="AA673" s="200"/>
      <c r="AB673" s="200"/>
      <c r="AC673" s="213"/>
      <c r="AD673" s="213"/>
      <c r="AE673" s="200"/>
      <c r="AF673" s="200"/>
      <c r="AG673" s="209"/>
      <c r="AH673" s="201"/>
      <c r="AI673" s="200"/>
      <c r="AJ673" s="200"/>
      <c r="AK673" s="209"/>
      <c r="AL673" s="200"/>
      <c r="AM673" s="210"/>
      <c r="AN673" s="210"/>
    </row>
    <row r="674" spans="1:40" x14ac:dyDescent="0.25">
      <c r="F674" s="211"/>
      <c r="H674" s="211"/>
      <c r="I674" s="211"/>
      <c r="J674" s="305"/>
      <c r="K674" s="305"/>
      <c r="L674" s="211"/>
      <c r="M674" s="211"/>
      <c r="N674" s="211"/>
      <c r="O674" s="211"/>
      <c r="P674" s="211"/>
      <c r="Q674" s="211"/>
      <c r="R674" s="211"/>
      <c r="V674" s="211"/>
      <c r="Y674" s="211"/>
      <c r="Z674" s="305"/>
      <c r="AA674" s="211"/>
      <c r="AB674" s="211"/>
      <c r="AC674" s="211"/>
      <c r="AD674" s="211"/>
      <c r="AE674" s="211"/>
      <c r="AF674" s="211"/>
      <c r="AI674" s="211"/>
      <c r="AJ674" s="211"/>
      <c r="AK674" s="212"/>
      <c r="AL674" s="211"/>
      <c r="AM674" s="210"/>
      <c r="AN674" s="210"/>
    </row>
    <row r="675" spans="1:40" x14ac:dyDescent="0.25">
      <c r="A675" s="202"/>
      <c r="C675" s="154"/>
      <c r="F675" s="200"/>
      <c r="H675" s="200"/>
      <c r="I675" s="200"/>
      <c r="J675" s="213"/>
      <c r="K675" s="213"/>
      <c r="L675" s="200"/>
      <c r="M675" s="200"/>
      <c r="N675" s="213"/>
      <c r="O675" s="213"/>
      <c r="P675" s="200"/>
      <c r="Q675" s="200"/>
      <c r="R675" s="200"/>
      <c r="T675" s="154"/>
      <c r="V675" s="200"/>
      <c r="Y675" s="200"/>
      <c r="Z675" s="213"/>
      <c r="AA675" s="200"/>
      <c r="AB675" s="200"/>
      <c r="AC675" s="213"/>
      <c r="AD675" s="213"/>
      <c r="AE675" s="200"/>
      <c r="AF675" s="200"/>
      <c r="AG675" s="209"/>
      <c r="AH675" s="201"/>
      <c r="AI675" s="200"/>
      <c r="AJ675" s="200"/>
      <c r="AK675" s="209"/>
      <c r="AL675" s="200"/>
      <c r="AM675" s="210"/>
      <c r="AN675" s="210"/>
    </row>
    <row r="676" spans="1:40" x14ac:dyDescent="0.25">
      <c r="V676" s="200"/>
      <c r="Y676" s="200"/>
      <c r="Z676" s="305"/>
      <c r="AA676" s="200"/>
      <c r="AB676" s="200"/>
      <c r="AC676" s="200"/>
      <c r="AD676" s="200"/>
      <c r="AE676" s="200"/>
      <c r="AF676" s="200"/>
      <c r="AI676" s="200"/>
      <c r="AJ676" s="200"/>
      <c r="AK676" s="209"/>
      <c r="AL676" s="200"/>
      <c r="AM676" s="210"/>
      <c r="AN676" s="210"/>
    </row>
    <row r="677" spans="1:40" x14ac:dyDescent="0.25">
      <c r="A677" s="202"/>
      <c r="C677" s="154"/>
      <c r="D677" s="154"/>
      <c r="E677" s="154"/>
      <c r="L677" s="200"/>
      <c r="M677" s="200"/>
      <c r="N677" s="213"/>
      <c r="O677" s="213"/>
      <c r="P677" s="202"/>
      <c r="Q677" s="202"/>
      <c r="R677" s="200"/>
      <c r="T677" s="154"/>
      <c r="U677" s="154"/>
      <c r="AA677" s="200"/>
      <c r="AB677" s="200"/>
      <c r="AC677" s="213"/>
      <c r="AD677" s="213"/>
      <c r="AE677" s="200"/>
      <c r="AF677" s="200"/>
      <c r="AG677" s="209"/>
      <c r="AH677" s="201"/>
      <c r="AI677" s="202"/>
      <c r="AJ677" s="202"/>
      <c r="AK677" s="209"/>
      <c r="AL677" s="200"/>
      <c r="AM677" s="210"/>
      <c r="AN677" s="210"/>
    </row>
    <row r="678" spans="1:40" x14ac:dyDescent="0.25">
      <c r="A678" s="202"/>
      <c r="D678" s="154"/>
      <c r="E678" s="154"/>
      <c r="F678" s="252"/>
      <c r="H678" s="252"/>
      <c r="I678" s="252"/>
      <c r="J678" s="213"/>
      <c r="K678" s="213"/>
      <c r="L678" s="200"/>
      <c r="M678" s="200"/>
      <c r="N678" s="213"/>
      <c r="O678" s="213"/>
      <c r="P678" s="252"/>
      <c r="Q678" s="252"/>
      <c r="R678" s="200"/>
      <c r="U678" s="154"/>
      <c r="V678" s="200"/>
      <c r="Y678" s="200"/>
      <c r="Z678" s="213"/>
      <c r="AA678" s="200"/>
      <c r="AB678" s="200"/>
      <c r="AC678" s="213"/>
      <c r="AD678" s="213"/>
      <c r="AE678" s="200"/>
      <c r="AF678" s="200"/>
      <c r="AG678" s="209"/>
      <c r="AH678" s="201"/>
      <c r="AI678" s="200"/>
      <c r="AJ678" s="200"/>
      <c r="AK678" s="209"/>
      <c r="AL678" s="200"/>
      <c r="AM678" s="210"/>
      <c r="AN678" s="210"/>
    </row>
    <row r="679" spans="1:40" x14ac:dyDescent="0.25">
      <c r="F679" s="211"/>
      <c r="H679" s="211"/>
      <c r="I679" s="211"/>
      <c r="J679" s="305"/>
      <c r="K679" s="305"/>
      <c r="L679" s="211"/>
      <c r="M679" s="211"/>
      <c r="N679" s="211"/>
      <c r="O679" s="211"/>
      <c r="P679" s="211"/>
      <c r="Q679" s="211"/>
      <c r="R679" s="211"/>
      <c r="V679" s="211"/>
      <c r="Y679" s="211"/>
      <c r="Z679" s="305"/>
      <c r="AA679" s="211"/>
      <c r="AB679" s="211"/>
      <c r="AC679" s="211"/>
      <c r="AD679" s="211"/>
      <c r="AE679" s="211"/>
      <c r="AF679" s="211"/>
      <c r="AI679" s="211"/>
      <c r="AJ679" s="211"/>
      <c r="AK679" s="212"/>
      <c r="AL679" s="211"/>
      <c r="AM679" s="210"/>
      <c r="AN679" s="210"/>
    </row>
    <row r="680" spans="1:40" x14ac:dyDescent="0.25">
      <c r="A680" s="202"/>
      <c r="C680" s="154"/>
      <c r="F680" s="200"/>
      <c r="H680" s="200"/>
      <c r="I680" s="200"/>
      <c r="J680" s="213"/>
      <c r="K680" s="213"/>
      <c r="L680" s="200"/>
      <c r="M680" s="200"/>
      <c r="N680" s="213"/>
      <c r="O680" s="213"/>
      <c r="P680" s="200"/>
      <c r="Q680" s="200"/>
      <c r="R680" s="200"/>
      <c r="T680" s="154"/>
      <c r="V680" s="200"/>
      <c r="Y680" s="200"/>
      <c r="Z680" s="213"/>
      <c r="AA680" s="200"/>
      <c r="AB680" s="200"/>
      <c r="AC680" s="213"/>
      <c r="AD680" s="213"/>
      <c r="AE680" s="200"/>
      <c r="AF680" s="200"/>
      <c r="AG680" s="209"/>
      <c r="AH680" s="201"/>
      <c r="AI680" s="200"/>
      <c r="AJ680" s="200"/>
      <c r="AK680" s="209"/>
      <c r="AL680" s="200"/>
      <c r="AM680" s="210"/>
      <c r="AN680" s="210"/>
    </row>
    <row r="681" spans="1:40" x14ac:dyDescent="0.25">
      <c r="F681" s="200"/>
      <c r="H681" s="200"/>
      <c r="I681" s="200"/>
      <c r="J681" s="213"/>
      <c r="K681" s="213"/>
      <c r="L681" s="200"/>
      <c r="M681" s="200"/>
      <c r="N681" s="213"/>
      <c r="O681" s="213"/>
      <c r="P681" s="200"/>
      <c r="Q681" s="200"/>
      <c r="R681" s="200"/>
      <c r="V681" s="200"/>
      <c r="Y681" s="200"/>
      <c r="Z681" s="213"/>
      <c r="AA681" s="200"/>
      <c r="AB681" s="200"/>
      <c r="AC681" s="213"/>
      <c r="AD681" s="213"/>
      <c r="AG681" s="209"/>
      <c r="AH681" s="201"/>
      <c r="AI681" s="200"/>
      <c r="AJ681" s="200"/>
      <c r="AK681" s="209"/>
      <c r="AL681" s="200"/>
      <c r="AM681" s="210"/>
      <c r="AN681" s="210"/>
    </row>
    <row r="682" spans="1:40" x14ac:dyDescent="0.25">
      <c r="A682" s="202"/>
      <c r="D682" s="154"/>
      <c r="E682" s="154"/>
      <c r="F682" s="200"/>
      <c r="H682" s="200"/>
      <c r="I682" s="200"/>
      <c r="J682" s="213"/>
      <c r="K682" s="213"/>
      <c r="L682" s="252"/>
      <c r="M682" s="252"/>
      <c r="N682" s="213"/>
      <c r="O682" s="213"/>
      <c r="P682" s="200"/>
      <c r="Q682" s="200"/>
      <c r="R682" s="200"/>
      <c r="U682" s="154"/>
      <c r="V682" s="200"/>
      <c r="Y682" s="200"/>
      <c r="Z682" s="213"/>
      <c r="AA682" s="252"/>
      <c r="AB682" s="252"/>
      <c r="AC682" s="213"/>
      <c r="AD682" s="213"/>
      <c r="AE682" s="200"/>
      <c r="AF682" s="200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A683" s="202"/>
      <c r="D683" s="154"/>
      <c r="E683" s="154"/>
      <c r="F683" s="200"/>
      <c r="H683" s="200"/>
      <c r="I683" s="200"/>
      <c r="J683" s="213"/>
      <c r="K683" s="213"/>
      <c r="L683" s="252"/>
      <c r="M683" s="252"/>
      <c r="N683" s="213"/>
      <c r="O683" s="213"/>
      <c r="P683" s="200"/>
      <c r="Q683" s="200"/>
      <c r="R683" s="200"/>
      <c r="U683" s="154"/>
      <c r="V683" s="200"/>
      <c r="Y683" s="200"/>
      <c r="Z683" s="213"/>
      <c r="AA683" s="252"/>
      <c r="AB683" s="252"/>
      <c r="AC683" s="213"/>
      <c r="AD683" s="213"/>
      <c r="AE683" s="200"/>
      <c r="AF683" s="200"/>
      <c r="AG683" s="209"/>
      <c r="AH683" s="201"/>
      <c r="AI683" s="200"/>
      <c r="AJ683" s="200"/>
      <c r="AK683" s="209"/>
      <c r="AL683" s="200"/>
      <c r="AM683" s="210"/>
      <c r="AN683" s="210"/>
    </row>
    <row r="684" spans="1:40" x14ac:dyDescent="0.25">
      <c r="A684" s="202"/>
      <c r="D684" s="154"/>
      <c r="E684" s="154"/>
      <c r="F684" s="200"/>
      <c r="H684" s="200"/>
      <c r="I684" s="200"/>
      <c r="J684" s="213"/>
      <c r="K684" s="213"/>
      <c r="L684" s="252"/>
      <c r="M684" s="252"/>
      <c r="N684" s="213"/>
      <c r="O684" s="213"/>
      <c r="P684" s="200"/>
      <c r="Q684" s="200"/>
      <c r="R684" s="200"/>
      <c r="U684" s="154"/>
      <c r="V684" s="200"/>
      <c r="Y684" s="200"/>
      <c r="Z684" s="213"/>
      <c r="AA684" s="252"/>
      <c r="AB684" s="252"/>
      <c r="AC684" s="213"/>
      <c r="AD684" s="213"/>
      <c r="AE684" s="200"/>
      <c r="AF684" s="200"/>
      <c r="AG684" s="209"/>
      <c r="AH684" s="201"/>
      <c r="AI684" s="200"/>
      <c r="AJ684" s="200"/>
      <c r="AK684" s="209"/>
      <c r="AL684" s="200"/>
      <c r="AM684" s="210"/>
      <c r="AN684" s="210"/>
    </row>
    <row r="685" spans="1:40" x14ac:dyDescent="0.25">
      <c r="F685" s="211"/>
      <c r="H685" s="211"/>
      <c r="I685" s="211"/>
      <c r="J685" s="305"/>
      <c r="K685" s="305"/>
      <c r="L685" s="211"/>
      <c r="M685" s="211"/>
      <c r="N685" s="211"/>
      <c r="O685" s="211"/>
      <c r="P685" s="211"/>
      <c r="Q685" s="211"/>
      <c r="R685" s="211"/>
      <c r="V685" s="211"/>
      <c r="Y685" s="211"/>
      <c r="Z685" s="305"/>
      <c r="AA685" s="211"/>
      <c r="AB685" s="211"/>
      <c r="AC685" s="211"/>
      <c r="AD685" s="211"/>
      <c r="AE685" s="211"/>
      <c r="AF685" s="211"/>
      <c r="AI685" s="211"/>
      <c r="AJ685" s="211"/>
      <c r="AK685" s="212"/>
      <c r="AL685" s="211"/>
      <c r="AM685" s="210"/>
      <c r="AN685" s="210"/>
    </row>
    <row r="686" spans="1:40" x14ac:dyDescent="0.25">
      <c r="A686" s="202"/>
      <c r="C686" s="154"/>
      <c r="F686" s="200"/>
      <c r="H686" s="200"/>
      <c r="I686" s="200"/>
      <c r="J686" s="213"/>
      <c r="K686" s="213"/>
      <c r="L686" s="200"/>
      <c r="M686" s="200"/>
      <c r="N686" s="213"/>
      <c r="O686" s="213"/>
      <c r="P686" s="200"/>
      <c r="Q686" s="200"/>
      <c r="R686" s="200"/>
      <c r="T686" s="154"/>
      <c r="V686" s="200"/>
      <c r="Y686" s="200"/>
      <c r="Z686" s="213"/>
      <c r="AA686" s="200"/>
      <c r="AB686" s="200"/>
      <c r="AC686" s="213"/>
      <c r="AD686" s="213"/>
      <c r="AE686" s="200"/>
      <c r="AF686" s="200"/>
      <c r="AG686" s="209"/>
      <c r="AH686" s="201"/>
      <c r="AI686" s="200"/>
      <c r="AJ686" s="200"/>
      <c r="AK686" s="209"/>
      <c r="AL686" s="200"/>
      <c r="AM686" s="210"/>
      <c r="AN686" s="210"/>
    </row>
    <row r="687" spans="1:40" x14ac:dyDescent="0.25">
      <c r="F687" s="200"/>
      <c r="H687" s="200"/>
      <c r="I687" s="200"/>
      <c r="J687" s="213"/>
      <c r="K687" s="213"/>
      <c r="L687" s="200"/>
      <c r="M687" s="200"/>
      <c r="N687" s="213"/>
      <c r="O687" s="213"/>
      <c r="P687" s="200"/>
      <c r="Q687" s="200"/>
      <c r="R687" s="200"/>
      <c r="V687" s="200"/>
      <c r="Y687" s="200"/>
      <c r="Z687" s="213"/>
      <c r="AA687" s="200"/>
      <c r="AB687" s="200"/>
      <c r="AC687" s="213"/>
      <c r="AD687" s="213"/>
      <c r="AG687" s="209"/>
      <c r="AH687" s="201"/>
      <c r="AI687" s="200"/>
      <c r="AJ687" s="200"/>
      <c r="AK687" s="209"/>
      <c r="AL687" s="200"/>
      <c r="AM687" s="210"/>
      <c r="AN687" s="210"/>
    </row>
    <row r="688" spans="1:40" x14ac:dyDescent="0.25">
      <c r="A688" s="202"/>
      <c r="C688" s="154"/>
      <c r="F688" s="200"/>
      <c r="H688" s="200"/>
      <c r="I688" s="200"/>
      <c r="J688" s="213"/>
      <c r="K688" s="213"/>
      <c r="L688" s="200"/>
      <c r="M688" s="200"/>
      <c r="N688" s="213"/>
      <c r="O688" s="213"/>
      <c r="P688" s="200"/>
      <c r="Q688" s="200"/>
      <c r="R688" s="200"/>
      <c r="T688" s="154"/>
      <c r="V688" s="200"/>
      <c r="Y688" s="200"/>
      <c r="Z688" s="213"/>
      <c r="AA688" s="200"/>
      <c r="AB688" s="200"/>
      <c r="AC688" s="213"/>
      <c r="AD688" s="213"/>
      <c r="AE688" s="200"/>
      <c r="AF688" s="200"/>
      <c r="AG688" s="209"/>
      <c r="AH688" s="201"/>
      <c r="AI688" s="200"/>
      <c r="AJ688" s="200"/>
      <c r="AK688" s="209"/>
      <c r="AL688" s="200"/>
      <c r="AM688" s="210"/>
      <c r="AN688" s="210"/>
    </row>
    <row r="689" spans="1:38" x14ac:dyDescent="0.25">
      <c r="F689" s="211"/>
      <c r="H689" s="211"/>
      <c r="I689" s="211"/>
      <c r="J689" s="305"/>
      <c r="K689" s="305"/>
      <c r="L689" s="211"/>
      <c r="M689" s="211"/>
      <c r="N689" s="211"/>
      <c r="O689" s="211"/>
      <c r="P689" s="211"/>
      <c r="Q689" s="211"/>
      <c r="R689" s="211"/>
      <c r="V689" s="211"/>
      <c r="Y689" s="211"/>
      <c r="Z689" s="305"/>
      <c r="AA689" s="211"/>
      <c r="AB689" s="211"/>
      <c r="AC689" s="211"/>
      <c r="AD689" s="211"/>
      <c r="AE689" s="211"/>
      <c r="AF689" s="211"/>
      <c r="AI689" s="211"/>
      <c r="AJ689" s="211"/>
      <c r="AK689" s="212"/>
      <c r="AL689" s="211"/>
    </row>
    <row r="691" spans="1:38" x14ac:dyDescent="0.25">
      <c r="C691" s="154"/>
      <c r="L691" s="200"/>
      <c r="M691" s="200"/>
      <c r="P691" s="200"/>
      <c r="Q691" s="200"/>
      <c r="R691" s="200"/>
      <c r="T691" s="154"/>
    </row>
    <row r="692" spans="1:38" x14ac:dyDescent="0.25">
      <c r="A692" s="154"/>
      <c r="L692" s="200"/>
      <c r="M692" s="200"/>
      <c r="P692" s="200"/>
      <c r="Q692" s="200"/>
      <c r="R692" s="200"/>
    </row>
    <row r="693" spans="1:38" x14ac:dyDescent="0.25">
      <c r="L693" s="200"/>
      <c r="M693" s="200"/>
      <c r="P693" s="200"/>
      <c r="Q693" s="200"/>
      <c r="R693" s="200"/>
    </row>
    <row r="694" spans="1:38" x14ac:dyDescent="0.25">
      <c r="L694" s="200"/>
      <c r="M694" s="200"/>
      <c r="P694" s="200"/>
      <c r="Q694" s="200"/>
      <c r="R694" s="200"/>
    </row>
    <row r="695" spans="1:38" x14ac:dyDescent="0.25">
      <c r="L695" s="200"/>
      <c r="M695" s="200"/>
      <c r="P695" s="200"/>
      <c r="Q695" s="200"/>
      <c r="R695" s="200"/>
    </row>
    <row r="696" spans="1:38" x14ac:dyDescent="0.25">
      <c r="L696" s="200"/>
      <c r="M696" s="200"/>
      <c r="P696" s="200"/>
      <c r="Q696" s="200"/>
      <c r="R696" s="200"/>
    </row>
    <row r="697" spans="1:38" x14ac:dyDescent="0.25">
      <c r="L697" s="200"/>
      <c r="M697" s="200"/>
      <c r="P697" s="200"/>
      <c r="Q697" s="200"/>
      <c r="R697" s="200"/>
    </row>
    <row r="730" spans="49:49" x14ac:dyDescent="0.25">
      <c r="AW730" s="200"/>
    </row>
    <row r="731" spans="49:49" x14ac:dyDescent="0.25">
      <c r="AW731" s="200"/>
    </row>
    <row r="732" spans="49:49" x14ac:dyDescent="0.25">
      <c r="AW732" s="200"/>
    </row>
    <row r="733" spans="49:49" x14ac:dyDescent="0.25">
      <c r="AW733" s="200"/>
    </row>
    <row r="734" spans="49:49" x14ac:dyDescent="0.25">
      <c r="AW734" s="200"/>
    </row>
    <row r="735" spans="49:49" x14ac:dyDescent="0.25">
      <c r="AW735" s="200"/>
    </row>
    <row r="738" spans="49:49" x14ac:dyDescent="0.25">
      <c r="AW738" s="200"/>
    </row>
    <row r="739" spans="49:49" x14ac:dyDescent="0.25">
      <c r="AW739" s="200"/>
    </row>
    <row r="740" spans="49:49" x14ac:dyDescent="0.25">
      <c r="AW740" s="200"/>
    </row>
    <row r="741" spans="49:49" x14ac:dyDescent="0.25">
      <c r="AW741" s="200"/>
    </row>
    <row r="742" spans="49:49" x14ac:dyDescent="0.25">
      <c r="AW742" s="200"/>
    </row>
    <row r="743" spans="49:49" x14ac:dyDescent="0.25">
      <c r="AW743" s="200"/>
    </row>
    <row r="744" spans="49:49" x14ac:dyDescent="0.25">
      <c r="AW744" s="200"/>
    </row>
    <row r="745" spans="49:49" x14ac:dyDescent="0.25">
      <c r="AW745" s="200"/>
    </row>
    <row r="748" spans="49:49" x14ac:dyDescent="0.25">
      <c r="AW748" s="200"/>
    </row>
    <row r="749" spans="49:49" x14ac:dyDescent="0.25">
      <c r="AW749" s="200"/>
    </row>
    <row r="752" spans="49:49" x14ac:dyDescent="0.25">
      <c r="AW752" s="200"/>
    </row>
    <row r="753" spans="45:56" x14ac:dyDescent="0.25">
      <c r="AW753" s="200"/>
    </row>
    <row r="754" spans="45:56" x14ac:dyDescent="0.25">
      <c r="AW754" s="200"/>
    </row>
    <row r="755" spans="45:56" x14ac:dyDescent="0.25">
      <c r="AW755" s="200"/>
    </row>
    <row r="761" spans="45:56" x14ac:dyDescent="0.25">
      <c r="AY761" s="202"/>
    </row>
    <row r="762" spans="45:56" x14ac:dyDescent="0.25">
      <c r="AY762" s="202"/>
    </row>
    <row r="763" spans="45:56" x14ac:dyDescent="0.25">
      <c r="AY763" s="154"/>
    </row>
    <row r="764" spans="45:56" x14ac:dyDescent="0.25">
      <c r="AY764" s="154"/>
    </row>
    <row r="765" spans="45:56" x14ac:dyDescent="0.25">
      <c r="AS765" s="202"/>
      <c r="BD765" s="154"/>
    </row>
    <row r="766" spans="45:56" x14ac:dyDescent="0.25">
      <c r="AS766" s="202"/>
      <c r="BD766" s="154"/>
    </row>
    <row r="767" spans="45:56" x14ac:dyDescent="0.25">
      <c r="AS767" s="154"/>
      <c r="BD767" s="154"/>
    </row>
    <row r="768" spans="45:56" x14ac:dyDescent="0.25">
      <c r="BD768" s="202"/>
    </row>
    <row r="769" spans="45:69" x14ac:dyDescent="0.25"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</row>
    <row r="770" spans="45:69" x14ac:dyDescent="0.25">
      <c r="AX770" s="154"/>
    </row>
    <row r="771" spans="45:69" x14ac:dyDescent="0.25">
      <c r="AX771" s="102"/>
      <c r="AY771" s="102"/>
      <c r="AZ771" s="102"/>
      <c r="BA771" s="102"/>
      <c r="BC771" s="103"/>
      <c r="BD771" s="103"/>
    </row>
    <row r="772" spans="45:69" x14ac:dyDescent="0.25">
      <c r="AV772" s="103"/>
      <c r="AW772" s="103"/>
      <c r="AZ772" s="103"/>
      <c r="BA772" s="103"/>
      <c r="BC772" s="103"/>
      <c r="BD772" s="103"/>
      <c r="BE772" s="103"/>
      <c r="BG772" s="102"/>
      <c r="BH772" s="154"/>
      <c r="BK772" s="102"/>
      <c r="BM772" s="102"/>
      <c r="BN772" s="154"/>
      <c r="BQ772" s="102"/>
    </row>
    <row r="773" spans="45:69" x14ac:dyDescent="0.25"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H773" s="103"/>
      <c r="BI773" s="103"/>
      <c r="BJ773" s="103"/>
      <c r="BN773" s="103"/>
      <c r="BO773" s="103"/>
      <c r="BP773" s="103"/>
    </row>
    <row r="774" spans="45:69" x14ac:dyDescent="0.25">
      <c r="AS774" s="103"/>
      <c r="AU774" s="154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G774" s="103"/>
      <c r="BH774" s="103"/>
      <c r="BI774" s="103"/>
      <c r="BJ774" s="103"/>
      <c r="BK774" s="103"/>
      <c r="BM774" s="103"/>
      <c r="BN774" s="103"/>
      <c r="BO774" s="103"/>
      <c r="BP774" s="103"/>
      <c r="BQ774" s="103"/>
    </row>
    <row r="775" spans="45:69" x14ac:dyDescent="0.25">
      <c r="AS775" s="103"/>
      <c r="AU775" s="154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G775" s="103"/>
      <c r="BH775" s="103"/>
      <c r="BI775" s="103"/>
      <c r="BJ775" s="103"/>
      <c r="BK775" s="103"/>
      <c r="BM775" s="103"/>
      <c r="BN775" s="103"/>
      <c r="BO775" s="103"/>
      <c r="BP775" s="103"/>
      <c r="BQ775" s="103"/>
    </row>
    <row r="776" spans="45:69" x14ac:dyDescent="0.25"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G776" s="102"/>
      <c r="BH776" s="102"/>
      <c r="BI776" s="102"/>
      <c r="BJ776" s="102"/>
      <c r="BK776" s="102"/>
      <c r="BM776" s="102"/>
      <c r="BN776" s="102"/>
      <c r="BO776" s="102"/>
      <c r="BP776" s="102"/>
      <c r="BQ776" s="102"/>
    </row>
    <row r="777" spans="45:69" x14ac:dyDescent="0.25"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</row>
    <row r="778" spans="45:69" x14ac:dyDescent="0.25">
      <c r="AS778" s="202"/>
      <c r="AU778" s="154"/>
      <c r="AV778" s="103"/>
      <c r="AY778" s="213"/>
    </row>
    <row r="779" spans="45:69" x14ac:dyDescent="0.25">
      <c r="AS779" s="202"/>
      <c r="AV779" s="103"/>
      <c r="AW779" s="200"/>
      <c r="AX779" s="334"/>
      <c r="AY779" s="334"/>
      <c r="AZ779" s="334"/>
      <c r="BA779" s="210"/>
      <c r="BB779" s="334"/>
      <c r="BC779" s="213"/>
      <c r="BD779" s="213"/>
      <c r="BE779" s="210"/>
      <c r="BG779" s="334"/>
      <c r="BH779" s="334"/>
      <c r="BI779" s="334"/>
      <c r="BJ779" s="334"/>
      <c r="BK779" s="334"/>
      <c r="BM779" s="334"/>
      <c r="BN779" s="334"/>
      <c r="BO779" s="334"/>
      <c r="BP779" s="334"/>
      <c r="BQ779" s="334"/>
    </row>
    <row r="780" spans="45:69" x14ac:dyDescent="0.25">
      <c r="AS780" s="202"/>
      <c r="AV780" s="103"/>
      <c r="AW780" s="200"/>
      <c r="AX780" s="334"/>
      <c r="AY780" s="334"/>
      <c r="AZ780" s="334"/>
      <c r="BA780" s="210"/>
      <c r="BB780" s="334"/>
      <c r="BC780" s="213"/>
      <c r="BD780" s="213"/>
      <c r="BE780" s="210"/>
      <c r="BG780" s="334"/>
      <c r="BH780" s="334"/>
      <c r="BI780" s="334"/>
      <c r="BJ780" s="334"/>
      <c r="BK780" s="334"/>
      <c r="BM780" s="334"/>
      <c r="BN780" s="334"/>
      <c r="BO780" s="334"/>
      <c r="BP780" s="334"/>
      <c r="BQ780" s="334"/>
    </row>
    <row r="781" spans="45:69" x14ac:dyDescent="0.25">
      <c r="AS781" s="202"/>
      <c r="AV781" s="103"/>
      <c r="AW781" s="200"/>
      <c r="AX781" s="334"/>
      <c r="AY781" s="334"/>
      <c r="AZ781" s="334"/>
      <c r="BA781" s="210"/>
      <c r="BB781" s="334"/>
      <c r="BC781" s="213"/>
      <c r="BD781" s="213"/>
      <c r="BE781" s="210"/>
      <c r="BG781" s="334"/>
      <c r="BH781" s="334"/>
      <c r="BI781" s="334"/>
      <c r="BJ781" s="334"/>
      <c r="BK781" s="334"/>
      <c r="BM781" s="334"/>
      <c r="BN781" s="334"/>
      <c r="BO781" s="334"/>
      <c r="BP781" s="334"/>
      <c r="BQ781" s="334"/>
    </row>
    <row r="782" spans="45:69" x14ac:dyDescent="0.25">
      <c r="AS782" s="202"/>
      <c r="AV782" s="103"/>
      <c r="AW782" s="200"/>
      <c r="AX782" s="334"/>
      <c r="AY782" s="334"/>
      <c r="AZ782" s="334"/>
      <c r="BA782" s="210"/>
      <c r="BB782" s="334"/>
      <c r="BC782" s="213"/>
      <c r="BD782" s="213"/>
      <c r="BE782" s="210"/>
      <c r="BG782" s="334"/>
      <c r="BH782" s="334"/>
      <c r="BI782" s="334"/>
      <c r="BJ782" s="334"/>
      <c r="BK782" s="334"/>
      <c r="BM782" s="334"/>
      <c r="BN782" s="334"/>
      <c r="BO782" s="334"/>
      <c r="BP782" s="334"/>
      <c r="BQ782" s="334"/>
    </row>
    <row r="783" spans="45:69" x14ac:dyDescent="0.25">
      <c r="AS783" s="202"/>
      <c r="AV783" s="103"/>
      <c r="AW783" s="200"/>
      <c r="AX783" s="334"/>
      <c r="AY783" s="334"/>
      <c r="AZ783" s="334"/>
      <c r="BA783" s="210"/>
      <c r="BB783" s="334"/>
      <c r="BC783" s="213"/>
      <c r="BD783" s="213"/>
      <c r="BE783" s="210"/>
      <c r="BG783" s="334"/>
      <c r="BH783" s="334"/>
      <c r="BI783" s="334"/>
      <c r="BJ783" s="334"/>
      <c r="BK783" s="334"/>
      <c r="BM783" s="334"/>
      <c r="BN783" s="334"/>
      <c r="BO783" s="334"/>
      <c r="BP783" s="334"/>
      <c r="BQ783" s="334"/>
    </row>
    <row r="784" spans="45:69" x14ac:dyDescent="0.25">
      <c r="AS784" s="202"/>
      <c r="AV784" s="103"/>
      <c r="AW784" s="200"/>
      <c r="AX784" s="334"/>
      <c r="AY784" s="334"/>
      <c r="AZ784" s="334"/>
      <c r="BA784" s="210"/>
      <c r="BB784" s="334"/>
      <c r="BC784" s="213"/>
      <c r="BD784" s="213"/>
      <c r="BE784" s="210"/>
      <c r="BG784" s="334"/>
      <c r="BH784" s="334"/>
      <c r="BI784" s="334"/>
      <c r="BJ784" s="334"/>
      <c r="BK784" s="334"/>
      <c r="BM784" s="334"/>
      <c r="BN784" s="334"/>
      <c r="BO784" s="334"/>
      <c r="BP784" s="334"/>
      <c r="BQ784" s="334"/>
    </row>
    <row r="785" spans="45:69" x14ac:dyDescent="0.25">
      <c r="AS785" s="202"/>
      <c r="AV785" s="103"/>
      <c r="AW785" s="200"/>
      <c r="AX785" s="334"/>
      <c r="AY785" s="334"/>
      <c r="AZ785" s="334"/>
      <c r="BA785" s="210"/>
      <c r="BB785" s="334"/>
      <c r="BC785" s="213"/>
      <c r="BD785" s="213"/>
      <c r="BE785" s="210"/>
      <c r="BG785" s="334"/>
      <c r="BH785" s="334"/>
      <c r="BI785" s="334"/>
      <c r="BJ785" s="334"/>
      <c r="BK785" s="334"/>
      <c r="BM785" s="334"/>
      <c r="BN785" s="334"/>
      <c r="BO785" s="334"/>
      <c r="BP785" s="334"/>
      <c r="BQ785" s="334"/>
    </row>
    <row r="786" spans="45:69" x14ac:dyDescent="0.25">
      <c r="AY786" s="213"/>
      <c r="AZ786" s="334"/>
      <c r="BA786" s="210"/>
      <c r="BB786" s="334"/>
      <c r="BC786" s="213"/>
      <c r="BD786" s="213"/>
      <c r="BE786" s="210"/>
      <c r="BK786" s="334"/>
      <c r="BQ786" s="334"/>
    </row>
    <row r="787" spans="45:69" x14ac:dyDescent="0.25">
      <c r="AS787" s="202"/>
      <c r="AV787" s="103"/>
      <c r="AY787" s="213"/>
      <c r="AZ787" s="334"/>
      <c r="BA787" s="210"/>
      <c r="BB787" s="334"/>
      <c r="BC787" s="213"/>
      <c r="BD787" s="213"/>
      <c r="BE787" s="210"/>
      <c r="BK787" s="334"/>
      <c r="BQ787" s="334"/>
    </row>
    <row r="788" spans="45:69" x14ac:dyDescent="0.25">
      <c r="AS788" s="202"/>
      <c r="AV788" s="103"/>
      <c r="AW788" s="200"/>
      <c r="AX788" s="334"/>
      <c r="AY788" s="334"/>
      <c r="AZ788" s="334"/>
      <c r="BA788" s="210"/>
      <c r="BB788" s="334"/>
      <c r="BC788" s="213"/>
      <c r="BD788" s="213"/>
      <c r="BE788" s="210"/>
      <c r="BG788" s="334"/>
      <c r="BH788" s="334"/>
      <c r="BI788" s="334"/>
      <c r="BJ788" s="334"/>
      <c r="BK788" s="334"/>
      <c r="BM788" s="334"/>
      <c r="BN788" s="334"/>
      <c r="BO788" s="334"/>
      <c r="BP788" s="334"/>
      <c r="BQ788" s="334"/>
    </row>
    <row r="789" spans="45:69" x14ac:dyDescent="0.25">
      <c r="AS789" s="202"/>
      <c r="AV789" s="103"/>
      <c r="AW789" s="200"/>
      <c r="AX789" s="334"/>
      <c r="AY789" s="334"/>
      <c r="AZ789" s="334"/>
      <c r="BA789" s="210"/>
      <c r="BB789" s="334"/>
      <c r="BC789" s="213"/>
      <c r="BD789" s="213"/>
      <c r="BE789" s="210"/>
      <c r="BG789" s="334"/>
      <c r="BH789" s="334"/>
      <c r="BI789" s="334"/>
      <c r="BJ789" s="334"/>
      <c r="BK789" s="334"/>
      <c r="BM789" s="334"/>
      <c r="BN789" s="334"/>
      <c r="BO789" s="334"/>
      <c r="BP789" s="334"/>
      <c r="BQ789" s="334"/>
    </row>
    <row r="790" spans="45:69" x14ac:dyDescent="0.25">
      <c r="AS790" s="202"/>
      <c r="AV790" s="103"/>
      <c r="AW790" s="200"/>
      <c r="AX790" s="334"/>
      <c r="AY790" s="334"/>
      <c r="AZ790" s="334"/>
      <c r="BA790" s="210"/>
      <c r="BB790" s="334"/>
      <c r="BC790" s="213"/>
      <c r="BD790" s="213"/>
      <c r="BE790" s="210"/>
      <c r="BG790" s="334"/>
      <c r="BH790" s="334"/>
      <c r="BI790" s="334"/>
      <c r="BJ790" s="334"/>
      <c r="BK790" s="334"/>
      <c r="BM790" s="334"/>
      <c r="BN790" s="334"/>
      <c r="BO790" s="334"/>
      <c r="BP790" s="334"/>
      <c r="BQ790" s="334"/>
    </row>
    <row r="791" spans="45:69" x14ac:dyDescent="0.25">
      <c r="AS791" s="202"/>
      <c r="AV791" s="103"/>
      <c r="AW791" s="200"/>
      <c r="AX791" s="334"/>
      <c r="AY791" s="334"/>
      <c r="AZ791" s="334"/>
      <c r="BA791" s="210"/>
      <c r="BB791" s="334"/>
      <c r="BC791" s="213"/>
      <c r="BD791" s="213"/>
      <c r="BE791" s="210"/>
      <c r="BG791" s="334"/>
      <c r="BH791" s="334"/>
      <c r="BI791" s="334"/>
      <c r="BJ791" s="334"/>
      <c r="BK791" s="334"/>
      <c r="BM791" s="334"/>
      <c r="BN791" s="334"/>
      <c r="BO791" s="334"/>
      <c r="BP791" s="334"/>
      <c r="BQ791" s="334"/>
    </row>
    <row r="792" spans="45:69" x14ac:dyDescent="0.25">
      <c r="AS792" s="202"/>
      <c r="AV792" s="103"/>
      <c r="AW792" s="200"/>
      <c r="AX792" s="334"/>
      <c r="AY792" s="334"/>
      <c r="AZ792" s="334"/>
      <c r="BA792" s="210"/>
      <c r="BB792" s="334"/>
      <c r="BC792" s="213"/>
      <c r="BD792" s="213"/>
      <c r="BE792" s="210"/>
      <c r="BG792" s="334"/>
      <c r="BH792" s="334"/>
      <c r="BI792" s="334"/>
      <c r="BJ792" s="334"/>
      <c r="BK792" s="334"/>
      <c r="BM792" s="334"/>
      <c r="BN792" s="334"/>
      <c r="BO792" s="334"/>
      <c r="BP792" s="334"/>
      <c r="BQ792" s="334"/>
    </row>
    <row r="793" spans="45:69" x14ac:dyDescent="0.25">
      <c r="AS793" s="202"/>
      <c r="AV793" s="103"/>
      <c r="AW793" s="200"/>
      <c r="AX793" s="334"/>
      <c r="AY793" s="334"/>
      <c r="AZ793" s="334"/>
      <c r="BA793" s="210"/>
      <c r="BB793" s="334"/>
      <c r="BC793" s="213"/>
      <c r="BD793" s="213"/>
      <c r="BE793" s="210"/>
      <c r="BG793" s="334"/>
      <c r="BH793" s="334"/>
      <c r="BI793" s="334"/>
      <c r="BJ793" s="334"/>
      <c r="BK793" s="334"/>
      <c r="BM793" s="334"/>
      <c r="BN793" s="334"/>
      <c r="BO793" s="334"/>
      <c r="BP793" s="334"/>
      <c r="BQ793" s="334"/>
    </row>
    <row r="794" spans="45:69" x14ac:dyDescent="0.25">
      <c r="AS794" s="202"/>
      <c r="AV794" s="103"/>
      <c r="AW794" s="200"/>
      <c r="AX794" s="334"/>
      <c r="AY794" s="334"/>
      <c r="AZ794" s="334"/>
      <c r="BA794" s="210"/>
      <c r="BB794" s="334"/>
      <c r="BC794" s="213"/>
      <c r="BD794" s="213"/>
      <c r="BE794" s="210"/>
      <c r="BG794" s="334"/>
      <c r="BH794" s="334"/>
      <c r="BI794" s="334"/>
      <c r="BJ794" s="334"/>
      <c r="BK794" s="334"/>
      <c r="BM794" s="334"/>
      <c r="BN794" s="334"/>
      <c r="BO794" s="334"/>
      <c r="BP794" s="334"/>
      <c r="BQ794" s="334"/>
    </row>
    <row r="795" spans="45:69" x14ac:dyDescent="0.25">
      <c r="AS795" s="202"/>
      <c r="AV795" s="103"/>
      <c r="AW795" s="200"/>
      <c r="AX795" s="334"/>
      <c r="AY795" s="334"/>
      <c r="AZ795" s="334"/>
      <c r="BA795" s="210"/>
      <c r="BB795" s="334"/>
      <c r="BC795" s="213"/>
      <c r="BD795" s="213"/>
      <c r="BE795" s="210"/>
      <c r="BG795" s="334"/>
      <c r="BH795" s="334"/>
      <c r="BI795" s="334"/>
      <c r="BJ795" s="334"/>
      <c r="BK795" s="334"/>
      <c r="BM795" s="334"/>
      <c r="BN795" s="334"/>
      <c r="BO795" s="334"/>
      <c r="BP795" s="334"/>
      <c r="BQ795" s="334"/>
    </row>
    <row r="796" spans="45:69" x14ac:dyDescent="0.25">
      <c r="AY796" s="213"/>
      <c r="AZ796" s="334"/>
      <c r="BA796" s="210"/>
      <c r="BB796" s="334"/>
      <c r="BC796" s="213"/>
      <c r="BD796" s="213"/>
      <c r="BE796" s="210"/>
      <c r="BK796" s="334"/>
      <c r="BQ796" s="334"/>
    </row>
    <row r="797" spans="45:69" x14ac:dyDescent="0.25">
      <c r="AU797" s="154"/>
      <c r="AZ797" s="334"/>
      <c r="BB797" s="334"/>
      <c r="BG797" s="334"/>
      <c r="BH797" s="334"/>
      <c r="BJ797" s="334"/>
      <c r="BK797" s="334"/>
    </row>
    <row r="798" spans="45:69" x14ac:dyDescent="0.25">
      <c r="AZ798" s="334"/>
      <c r="BB798" s="334"/>
    </row>
    <row r="799" spans="45:69" x14ac:dyDescent="0.25">
      <c r="AS799" s="154"/>
      <c r="AZ799" s="334"/>
      <c r="BB799" s="334"/>
      <c r="BI799" s="334"/>
    </row>
    <row r="800" spans="45:69" x14ac:dyDescent="0.25">
      <c r="AY800" s="202"/>
      <c r="AZ800" s="334"/>
      <c r="BB800" s="334"/>
    </row>
    <row r="801" spans="45:75" x14ac:dyDescent="0.25">
      <c r="AY801" s="334"/>
      <c r="BB801" s="334"/>
    </row>
    <row r="802" spans="45:75" x14ac:dyDescent="0.25">
      <c r="AY802" s="154"/>
      <c r="AZ802" s="334"/>
      <c r="BB802" s="334"/>
    </row>
    <row r="803" spans="45:75" x14ac:dyDescent="0.25">
      <c r="AY803" s="154"/>
      <c r="AZ803" s="334"/>
      <c r="BB803" s="334"/>
    </row>
    <row r="804" spans="45:75" x14ac:dyDescent="0.25">
      <c r="AS804" s="202"/>
      <c r="AZ804" s="334"/>
      <c r="BB804" s="334"/>
      <c r="BD804" s="154"/>
    </row>
    <row r="805" spans="45:75" x14ac:dyDescent="0.25">
      <c r="AS805" s="202"/>
      <c r="AZ805" s="334"/>
      <c r="BB805" s="334"/>
      <c r="BD805" s="154"/>
    </row>
    <row r="806" spans="45:75" x14ac:dyDescent="0.25">
      <c r="AS806" s="154"/>
      <c r="AZ806" s="334"/>
      <c r="BB806" s="334"/>
      <c r="BD806" s="154"/>
    </row>
    <row r="807" spans="45:75" x14ac:dyDescent="0.25">
      <c r="AZ807" s="334"/>
      <c r="BB807" s="334"/>
      <c r="BD807" s="202"/>
    </row>
    <row r="808" spans="45:75" x14ac:dyDescent="0.25">
      <c r="AS808" s="102"/>
      <c r="AT808" s="102"/>
      <c r="AU808" s="102"/>
      <c r="AV808" s="102"/>
      <c r="AW808" s="102"/>
      <c r="AX808" s="102"/>
      <c r="AY808" s="102"/>
      <c r="AZ808" s="335"/>
      <c r="BA808" s="102"/>
      <c r="BB808" s="335"/>
      <c r="BC808" s="102"/>
      <c r="BD808" s="102"/>
      <c r="BE808" s="102"/>
    </row>
    <row r="809" spans="45:75" x14ac:dyDescent="0.25">
      <c r="AX809" s="154"/>
      <c r="AZ809" s="334"/>
      <c r="BB809" s="334"/>
    </row>
    <row r="810" spans="45:75" x14ac:dyDescent="0.25">
      <c r="AX810" s="102"/>
      <c r="AY810" s="102"/>
      <c r="AZ810" s="335"/>
      <c r="BA810" s="102"/>
      <c r="BB810" s="334"/>
      <c r="BC810" s="103"/>
      <c r="BD810" s="103"/>
    </row>
    <row r="811" spans="45:75" x14ac:dyDescent="0.25">
      <c r="AV811" s="103"/>
      <c r="AW811" s="103"/>
      <c r="AZ811" s="336"/>
      <c r="BA811" s="103"/>
      <c r="BB811" s="334"/>
      <c r="BC811" s="103"/>
      <c r="BD811" s="103"/>
      <c r="BE811" s="103"/>
      <c r="BG811" s="102"/>
      <c r="BH811" s="102"/>
      <c r="BI811" s="154"/>
      <c r="BM811" s="102"/>
      <c r="BN811" s="102"/>
      <c r="BP811" s="102"/>
      <c r="BQ811" s="102"/>
      <c r="BR811" s="154"/>
      <c r="BV811" s="102"/>
      <c r="BW811" s="102"/>
    </row>
    <row r="812" spans="45:75" x14ac:dyDescent="0.25">
      <c r="AV812" s="103"/>
      <c r="AW812" s="103"/>
      <c r="AX812" s="103"/>
      <c r="AY812" s="103"/>
      <c r="AZ812" s="336"/>
      <c r="BA812" s="103"/>
      <c r="BB812" s="336"/>
      <c r="BC812" s="103"/>
      <c r="BD812" s="103"/>
      <c r="BE812" s="103"/>
      <c r="BH812" s="103"/>
      <c r="BI812" s="103"/>
      <c r="BJ812" s="103"/>
      <c r="BK812" s="103"/>
      <c r="BL812" s="103"/>
      <c r="BM812" s="103"/>
      <c r="BQ812" s="103"/>
      <c r="BR812" s="103"/>
      <c r="BS812" s="103"/>
      <c r="BT812" s="103"/>
      <c r="BU812" s="103"/>
      <c r="BV812" s="103"/>
    </row>
    <row r="813" spans="45:75" x14ac:dyDescent="0.25">
      <c r="AS813" s="103"/>
      <c r="AU813" s="154"/>
      <c r="AV813" s="103"/>
      <c r="AW813" s="103"/>
      <c r="AX813" s="103"/>
      <c r="AY813" s="103"/>
      <c r="AZ813" s="336"/>
      <c r="BA813" s="103"/>
      <c r="BB813" s="336"/>
      <c r="BC813" s="103"/>
      <c r="BD813" s="103"/>
      <c r="BE813" s="103"/>
      <c r="BG813" s="103"/>
      <c r="BH813" s="103"/>
      <c r="BI813" s="103"/>
      <c r="BJ813" s="103"/>
      <c r="BK813" s="103"/>
      <c r="BL813" s="103"/>
      <c r="BM813" s="103"/>
      <c r="BN813" s="103"/>
      <c r="BP813" s="103"/>
      <c r="BQ813" s="103"/>
      <c r="BR813" s="103"/>
      <c r="BS813" s="103"/>
      <c r="BT813" s="103"/>
      <c r="BU813" s="103"/>
      <c r="BV813" s="103"/>
      <c r="BW813" s="103"/>
    </row>
    <row r="814" spans="45:75" x14ac:dyDescent="0.25">
      <c r="AS814" s="103"/>
      <c r="AU814" s="154"/>
      <c r="AV814" s="103"/>
      <c r="AW814" s="103"/>
      <c r="AX814" s="103"/>
      <c r="AY814" s="103"/>
      <c r="AZ814" s="336"/>
      <c r="BA814" s="103"/>
      <c r="BB814" s="336"/>
      <c r="BC814" s="103"/>
      <c r="BD814" s="103"/>
      <c r="BE814" s="103"/>
      <c r="BG814" s="103"/>
      <c r="BH814" s="103"/>
      <c r="BI814" s="103"/>
      <c r="BJ814" s="103"/>
      <c r="BK814" s="103"/>
      <c r="BL814" s="103"/>
      <c r="BM814" s="103"/>
      <c r="BN814" s="103"/>
      <c r="BP814" s="103"/>
      <c r="BQ814" s="103"/>
      <c r="BR814" s="103"/>
      <c r="BS814" s="103"/>
      <c r="BT814" s="103"/>
      <c r="BU814" s="103"/>
      <c r="BV814" s="103"/>
      <c r="BW814" s="103"/>
    </row>
    <row r="815" spans="45:75" x14ac:dyDescent="0.25">
      <c r="AS815" s="102"/>
      <c r="AT815" s="102"/>
      <c r="AU815" s="102"/>
      <c r="AV815" s="102"/>
      <c r="AW815" s="102"/>
      <c r="AX815" s="102"/>
      <c r="AY815" s="102"/>
      <c r="AZ815" s="335"/>
      <c r="BA815" s="102"/>
      <c r="BB815" s="335"/>
      <c r="BC815" s="102"/>
      <c r="BD815" s="102"/>
      <c r="BE815" s="102"/>
      <c r="BG815" s="102"/>
      <c r="BH815" s="102"/>
      <c r="BI815" s="102"/>
      <c r="BJ815" s="102"/>
      <c r="BK815" s="102"/>
      <c r="BL815" s="102"/>
      <c r="BM815" s="102"/>
      <c r="BN815" s="102"/>
      <c r="BP815" s="102"/>
      <c r="BQ815" s="102"/>
      <c r="BR815" s="102"/>
      <c r="BS815" s="102"/>
      <c r="BT815" s="102"/>
      <c r="BU815" s="102"/>
      <c r="BV815" s="102"/>
      <c r="BW815" s="102"/>
    </row>
    <row r="816" spans="45:75" x14ac:dyDescent="0.25">
      <c r="AV816" s="103"/>
      <c r="AW816" s="103"/>
      <c r="AX816" s="103"/>
      <c r="AY816" s="103"/>
      <c r="AZ816" s="336"/>
      <c r="BA816" s="103"/>
      <c r="BB816" s="336"/>
      <c r="BC816" s="103"/>
      <c r="BD816" s="103"/>
      <c r="BE816" s="103"/>
      <c r="BG816" s="334"/>
      <c r="BH816" s="334"/>
      <c r="BI816" s="334"/>
      <c r="BJ816" s="334"/>
      <c r="BK816" s="334"/>
      <c r="BL816" s="334"/>
      <c r="BM816" s="334"/>
      <c r="BN816" s="334"/>
      <c r="BO816" s="334"/>
      <c r="BP816" s="334"/>
      <c r="BQ816" s="334"/>
      <c r="BR816" s="334"/>
      <c r="BS816" s="334"/>
      <c r="BT816" s="334"/>
      <c r="BU816" s="334"/>
      <c r="BV816" s="334"/>
      <c r="BW816" s="334"/>
    </row>
    <row r="817" spans="45:75" x14ac:dyDescent="0.25">
      <c r="AS817" s="202"/>
      <c r="AU817" s="154"/>
      <c r="AV817" s="202"/>
      <c r="AW817" s="200"/>
      <c r="AX817" s="334"/>
      <c r="AY817" s="334"/>
      <c r="AZ817" s="334"/>
      <c r="BA817" s="201"/>
      <c r="BB817" s="334"/>
      <c r="BC817" s="334"/>
      <c r="BD817" s="334"/>
      <c r="BE817" s="201"/>
      <c r="BG817" s="334"/>
      <c r="BH817" s="334"/>
      <c r="BI817" s="334"/>
      <c r="BJ817" s="334"/>
      <c r="BK817" s="334"/>
      <c r="BL817" s="334"/>
      <c r="BM817" s="334"/>
      <c r="BN817" s="334"/>
      <c r="BO817" s="334"/>
      <c r="BP817" s="334"/>
      <c r="BQ817" s="334"/>
      <c r="BR817" s="334"/>
      <c r="BS817" s="334"/>
      <c r="BT817" s="334"/>
      <c r="BU817" s="334"/>
      <c r="BV817" s="334"/>
      <c r="BW817" s="334"/>
    </row>
    <row r="818" spans="45:75" x14ac:dyDescent="0.25">
      <c r="AS818" s="202"/>
      <c r="AV818" s="202"/>
      <c r="AW818" s="200"/>
      <c r="AX818" s="334"/>
      <c r="AY818" s="334"/>
      <c r="AZ818" s="334"/>
      <c r="BA818" s="201"/>
      <c r="BB818" s="334"/>
      <c r="BC818" s="334"/>
      <c r="BD818" s="334"/>
      <c r="BE818" s="201"/>
      <c r="BG818" s="334"/>
      <c r="BH818" s="334"/>
      <c r="BI818" s="334"/>
      <c r="BJ818" s="334"/>
      <c r="BK818" s="334"/>
      <c r="BL818" s="334"/>
      <c r="BM818" s="334"/>
      <c r="BN818" s="334"/>
      <c r="BO818" s="334"/>
      <c r="BP818" s="334"/>
      <c r="BQ818" s="334"/>
      <c r="BR818" s="334"/>
      <c r="BS818" s="334"/>
      <c r="BT818" s="334"/>
      <c r="BU818" s="334"/>
      <c r="BV818" s="334"/>
      <c r="BW818" s="334"/>
    </row>
    <row r="819" spans="45:75" x14ac:dyDescent="0.25">
      <c r="AS819" s="202"/>
      <c r="AV819" s="202"/>
      <c r="AW819" s="200"/>
      <c r="AX819" s="334"/>
      <c r="AY819" s="334"/>
      <c r="AZ819" s="334"/>
      <c r="BA819" s="201"/>
      <c r="BB819" s="334"/>
      <c r="BC819" s="334"/>
      <c r="BD819" s="334"/>
      <c r="BE819" s="201"/>
      <c r="BG819" s="334"/>
      <c r="BH819" s="334"/>
      <c r="BI819" s="334"/>
      <c r="BJ819" s="334"/>
      <c r="BK819" s="334"/>
      <c r="BL819" s="334"/>
      <c r="BM819" s="334"/>
      <c r="BN819" s="334"/>
      <c r="BO819" s="334"/>
      <c r="BP819" s="334"/>
      <c r="BQ819" s="334"/>
      <c r="BR819" s="334"/>
      <c r="BS819" s="334"/>
      <c r="BT819" s="334"/>
      <c r="BU819" s="334"/>
      <c r="BV819" s="334"/>
      <c r="BW819" s="334"/>
    </row>
    <row r="820" spans="45:75" x14ac:dyDescent="0.25">
      <c r="AS820" s="202"/>
      <c r="AV820" s="202"/>
      <c r="AW820" s="200"/>
      <c r="AX820" s="334"/>
      <c r="AY820" s="334"/>
      <c r="AZ820" s="334"/>
      <c r="BA820" s="201"/>
      <c r="BB820" s="334"/>
      <c r="BC820" s="334"/>
      <c r="BD820" s="334"/>
      <c r="BE820" s="201"/>
      <c r="BG820" s="334"/>
      <c r="BH820" s="334"/>
      <c r="BI820" s="334"/>
      <c r="BJ820" s="334"/>
      <c r="BK820" s="334"/>
      <c r="BL820" s="334"/>
      <c r="BM820" s="334"/>
      <c r="BN820" s="334"/>
      <c r="BO820" s="334"/>
      <c r="BP820" s="334"/>
      <c r="BQ820" s="334"/>
      <c r="BR820" s="334"/>
      <c r="BS820" s="334"/>
      <c r="BT820" s="334"/>
      <c r="BU820" s="334"/>
      <c r="BV820" s="334"/>
      <c r="BW820" s="334"/>
    </row>
    <row r="821" spans="45:75" x14ac:dyDescent="0.25">
      <c r="AS821" s="202"/>
      <c r="AV821" s="202"/>
      <c r="AW821" s="200"/>
      <c r="AX821" s="334"/>
      <c r="AY821" s="334"/>
      <c r="AZ821" s="334"/>
      <c r="BA821" s="201"/>
      <c r="BB821" s="334"/>
      <c r="BC821" s="334"/>
      <c r="BD821" s="334"/>
      <c r="BE821" s="201"/>
      <c r="BG821" s="334"/>
      <c r="BH821" s="334"/>
      <c r="BI821" s="334"/>
      <c r="BJ821" s="334"/>
      <c r="BK821" s="334"/>
      <c r="BL821" s="334"/>
      <c r="BM821" s="334"/>
      <c r="BN821" s="334"/>
      <c r="BO821" s="334"/>
      <c r="BP821" s="334"/>
      <c r="BQ821" s="334"/>
      <c r="BR821" s="334"/>
      <c r="BS821" s="334"/>
      <c r="BT821" s="334"/>
      <c r="BU821" s="334"/>
      <c r="BV821" s="334"/>
      <c r="BW821" s="334"/>
    </row>
    <row r="822" spans="45:75" x14ac:dyDescent="0.25">
      <c r="AS822" s="202"/>
      <c r="AV822" s="202"/>
      <c r="AW822" s="200"/>
      <c r="AX822" s="334"/>
      <c r="AY822" s="334"/>
      <c r="AZ822" s="334"/>
      <c r="BA822" s="201"/>
      <c r="BB822" s="334"/>
      <c r="BC822" s="334"/>
      <c r="BD822" s="334"/>
      <c r="BE822" s="201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  <c r="BR822" s="334"/>
      <c r="BS822" s="334"/>
      <c r="BT822" s="334"/>
      <c r="BU822" s="334"/>
      <c r="BV822" s="334"/>
      <c r="BW822" s="334"/>
    </row>
    <row r="823" spans="45:75" x14ac:dyDescent="0.25">
      <c r="AS823" s="202"/>
      <c r="AV823" s="202"/>
      <c r="AW823" s="200"/>
      <c r="AX823" s="334"/>
      <c r="AY823" s="334"/>
      <c r="AZ823" s="334"/>
      <c r="BA823" s="201"/>
      <c r="BB823" s="334"/>
      <c r="BC823" s="334"/>
      <c r="BD823" s="334"/>
      <c r="BE823" s="201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  <c r="BT823" s="334"/>
      <c r="BU823" s="334"/>
      <c r="BV823" s="334"/>
      <c r="BW823" s="334"/>
    </row>
    <row r="824" spans="45:75" x14ac:dyDescent="0.25">
      <c r="AS824" s="202"/>
      <c r="AV824" s="202"/>
      <c r="AW824" s="200"/>
      <c r="AX824" s="334"/>
      <c r="AY824" s="334"/>
      <c r="AZ824" s="334"/>
      <c r="BA824" s="201"/>
      <c r="BB824" s="334"/>
      <c r="BC824" s="334"/>
      <c r="BD824" s="334"/>
      <c r="BE824" s="201"/>
      <c r="BG824" s="334"/>
      <c r="BH824" s="334"/>
      <c r="BI824" s="334"/>
      <c r="BJ824" s="334"/>
      <c r="BK824" s="334"/>
      <c r="BL824" s="334"/>
      <c r="BM824" s="334"/>
      <c r="BN824" s="334"/>
      <c r="BO824" s="334"/>
      <c r="BP824" s="334"/>
      <c r="BQ824" s="334"/>
      <c r="BR824" s="334"/>
      <c r="BS824" s="334"/>
      <c r="BT824" s="334"/>
      <c r="BU824" s="334"/>
      <c r="BV824" s="334"/>
      <c r="BW824" s="334"/>
    </row>
    <row r="825" spans="45:75" x14ac:dyDescent="0.25">
      <c r="AS825" s="202"/>
      <c r="AV825" s="202"/>
      <c r="AW825" s="200"/>
      <c r="AX825" s="334"/>
      <c r="AY825" s="334"/>
      <c r="AZ825" s="334"/>
      <c r="BA825" s="201"/>
      <c r="BB825" s="334"/>
      <c r="BC825" s="334"/>
      <c r="BD825" s="334"/>
      <c r="BE825" s="201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  <c r="BR825" s="334"/>
      <c r="BS825" s="334"/>
      <c r="BT825" s="334"/>
      <c r="BU825" s="334"/>
      <c r="BV825" s="334"/>
      <c r="BW825" s="334"/>
    </row>
    <row r="826" spans="45:75" x14ac:dyDescent="0.25">
      <c r="AS826" s="202"/>
      <c r="AV826" s="202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  <c r="BT826" s="334"/>
      <c r="BU826" s="334"/>
      <c r="BV826" s="334"/>
      <c r="BW826" s="334"/>
    </row>
    <row r="827" spans="45:75" x14ac:dyDescent="0.25">
      <c r="AS827" s="202"/>
      <c r="AV827" s="202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  <c r="BT827" s="334"/>
      <c r="BU827" s="334"/>
      <c r="BV827" s="334"/>
      <c r="BW827" s="334"/>
    </row>
    <row r="828" spans="45:75" x14ac:dyDescent="0.25">
      <c r="AS828" s="202"/>
      <c r="AV828" s="202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  <c r="BT828" s="334"/>
      <c r="BU828" s="334"/>
      <c r="BV828" s="334"/>
      <c r="BW828" s="334"/>
    </row>
    <row r="829" spans="45:75" x14ac:dyDescent="0.25">
      <c r="AS829" s="202"/>
      <c r="AV829" s="202"/>
      <c r="AW829" s="200"/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  <c r="BT829" s="334"/>
      <c r="BU829" s="334"/>
      <c r="BV829" s="334"/>
      <c r="BW829" s="334"/>
    </row>
    <row r="830" spans="45:75" x14ac:dyDescent="0.25">
      <c r="AS830" s="202"/>
      <c r="AV830" s="202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  <c r="BT830" s="334"/>
      <c r="BU830" s="334"/>
      <c r="BV830" s="334"/>
      <c r="BW830" s="334"/>
    </row>
    <row r="831" spans="45:75" x14ac:dyDescent="0.25">
      <c r="AS831" s="202"/>
      <c r="AV831" s="202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  <c r="BT831" s="334"/>
      <c r="BU831" s="334"/>
      <c r="BV831" s="334"/>
      <c r="BW831" s="334"/>
    </row>
    <row r="832" spans="45:75" x14ac:dyDescent="0.25">
      <c r="AS832" s="202"/>
      <c r="AV832" s="202"/>
      <c r="AW832" s="200"/>
      <c r="AX832" s="334"/>
      <c r="AY832" s="334"/>
      <c r="AZ832" s="334"/>
      <c r="BA832" s="201"/>
      <c r="BB832" s="334"/>
      <c r="BC832" s="334"/>
      <c r="BD832" s="334"/>
      <c r="BE832" s="201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  <c r="BT832" s="334"/>
      <c r="BU832" s="334"/>
      <c r="BV832" s="334"/>
      <c r="BW832" s="334"/>
    </row>
    <row r="833" spans="45:75" x14ac:dyDescent="0.25">
      <c r="AS833" s="202"/>
      <c r="AV833" s="202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  <c r="BT833" s="334"/>
      <c r="BU833" s="334"/>
      <c r="BV833" s="334"/>
      <c r="BW833" s="334"/>
    </row>
    <row r="834" spans="45:75" x14ac:dyDescent="0.25">
      <c r="AS834" s="202"/>
      <c r="AV834" s="202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  <c r="BT834" s="334"/>
      <c r="BU834" s="334"/>
      <c r="BV834" s="334"/>
      <c r="BW834" s="334"/>
    </row>
    <row r="835" spans="45:75" x14ac:dyDescent="0.25">
      <c r="AS835" s="202"/>
      <c r="AV835" s="202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  <c r="BT835" s="334"/>
      <c r="BU835" s="334"/>
      <c r="BV835" s="334"/>
      <c r="BW835" s="334"/>
    </row>
    <row r="836" spans="45:75" x14ac:dyDescent="0.25">
      <c r="AS836" s="202"/>
      <c r="AV836" s="202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  <c r="BT836" s="334"/>
      <c r="BU836" s="334"/>
      <c r="BV836" s="334"/>
      <c r="BW836" s="334"/>
    </row>
    <row r="837" spans="45:75" x14ac:dyDescent="0.25">
      <c r="AS837" s="202"/>
      <c r="AV837" s="202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  <c r="BT837" s="334"/>
      <c r="BU837" s="334"/>
      <c r="BV837" s="334"/>
      <c r="BW837" s="334"/>
    </row>
    <row r="838" spans="45:75" x14ac:dyDescent="0.25"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102"/>
      <c r="BH838" s="102"/>
      <c r="BI838" s="154"/>
      <c r="BM838" s="102"/>
      <c r="BN838" s="102"/>
      <c r="BO838" s="334"/>
      <c r="BP838" s="102"/>
      <c r="BQ838" s="102"/>
      <c r="BR838" s="154"/>
      <c r="BV838" s="102"/>
      <c r="BW838" s="102"/>
    </row>
    <row r="839" spans="45:75" x14ac:dyDescent="0.25">
      <c r="AS839" s="202"/>
      <c r="AU839" s="154"/>
      <c r="AV839" s="103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6"/>
      <c r="BH839" s="334"/>
      <c r="BI839" s="334"/>
      <c r="BJ839" s="334"/>
      <c r="BK839" s="336"/>
      <c r="BL839" s="337"/>
      <c r="BM839" s="334"/>
      <c r="BN839" s="336"/>
      <c r="BO839" s="334"/>
      <c r="BP839" s="336"/>
      <c r="BQ839" s="334"/>
      <c r="BR839" s="334"/>
      <c r="BS839" s="334"/>
      <c r="BT839" s="336"/>
      <c r="BU839" s="337"/>
      <c r="BV839" s="334"/>
      <c r="BW839" s="336"/>
    </row>
    <row r="840" spans="45:75" x14ac:dyDescent="0.25">
      <c r="AS840" s="202"/>
      <c r="AV840" s="103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7"/>
      <c r="BM840" s="334"/>
      <c r="BN840" s="334"/>
      <c r="BO840" s="334"/>
      <c r="BP840" s="334"/>
      <c r="BQ840" s="334"/>
      <c r="BR840" s="334"/>
      <c r="BS840" s="334"/>
      <c r="BT840" s="334"/>
      <c r="BU840" s="337"/>
      <c r="BV840" s="334"/>
      <c r="BW840" s="334"/>
    </row>
    <row r="841" spans="45:75" x14ac:dyDescent="0.25">
      <c r="AS841" s="202"/>
      <c r="AV841" s="103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7"/>
      <c r="BM841" s="334"/>
      <c r="BN841" s="334"/>
      <c r="BO841" s="334"/>
      <c r="BP841" s="334"/>
      <c r="BQ841" s="334"/>
      <c r="BR841" s="334"/>
      <c r="BS841" s="334"/>
      <c r="BT841" s="334"/>
      <c r="BU841" s="337"/>
      <c r="BV841" s="334"/>
      <c r="BW841" s="334"/>
    </row>
    <row r="842" spans="45:75" x14ac:dyDescent="0.25">
      <c r="AS842" s="202"/>
      <c r="AV842" s="103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7"/>
      <c r="BM842" s="334"/>
      <c r="BN842" s="334"/>
      <c r="BO842" s="334"/>
      <c r="BP842" s="334"/>
      <c r="BQ842" s="334"/>
      <c r="BR842" s="334"/>
      <c r="BS842" s="334"/>
      <c r="BT842" s="334"/>
      <c r="BU842" s="337"/>
      <c r="BV842" s="334"/>
      <c r="BW842" s="334"/>
    </row>
    <row r="843" spans="45:75" x14ac:dyDescent="0.25"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  <c r="BT843" s="334"/>
      <c r="BU843" s="334"/>
      <c r="BV843" s="334"/>
    </row>
    <row r="844" spans="45:75" x14ac:dyDescent="0.25">
      <c r="AU844" s="154"/>
    </row>
    <row r="845" spans="45:75" x14ac:dyDescent="0.25">
      <c r="AU845" s="15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  <c r="BT845" s="334"/>
      <c r="BU845" s="334"/>
      <c r="BV845" s="334"/>
    </row>
    <row r="846" spans="45:75" x14ac:dyDescent="0.25">
      <c r="AS846" s="154"/>
      <c r="AZ846" s="334"/>
      <c r="BB846" s="334"/>
    </row>
    <row r="847" spans="45:75" x14ac:dyDescent="0.25">
      <c r="AY847" s="202"/>
      <c r="AZ847" s="334"/>
      <c r="BB847" s="334"/>
      <c r="BO847" s="334"/>
      <c r="BP847" s="334"/>
      <c r="BQ847" s="334"/>
      <c r="BR847" s="334"/>
      <c r="BS847" s="334"/>
      <c r="BT847" s="334"/>
      <c r="BU847" s="334"/>
      <c r="BV847" s="334"/>
    </row>
    <row r="848" spans="45:75" x14ac:dyDescent="0.25">
      <c r="AY848" s="334"/>
      <c r="AZ848" s="334"/>
      <c r="BB848" s="334"/>
      <c r="BO848" s="334"/>
      <c r="BP848" s="334"/>
      <c r="BQ848" s="334"/>
      <c r="BR848" s="334"/>
      <c r="BS848" s="334"/>
      <c r="BT848" s="334"/>
      <c r="BU848" s="334"/>
      <c r="BV848" s="334"/>
    </row>
    <row r="849" spans="45:74" x14ac:dyDescent="0.25">
      <c r="AY849" s="154"/>
      <c r="AZ849" s="334"/>
      <c r="BB849" s="334"/>
      <c r="BO849" s="334"/>
      <c r="BP849" s="334"/>
      <c r="BQ849" s="334"/>
      <c r="BR849" s="334"/>
      <c r="BS849" s="334"/>
      <c r="BT849" s="334"/>
      <c r="BU849" s="334"/>
      <c r="BV849" s="334"/>
    </row>
    <row r="850" spans="45:74" x14ac:dyDescent="0.25">
      <c r="AY850" s="154"/>
      <c r="AZ850" s="334"/>
      <c r="BB850" s="334"/>
      <c r="BO850" s="334"/>
      <c r="BP850" s="334"/>
      <c r="BQ850" s="334"/>
      <c r="BR850" s="334"/>
      <c r="BS850" s="334"/>
      <c r="BT850" s="334"/>
      <c r="BU850" s="334"/>
      <c r="BV850" s="334"/>
    </row>
    <row r="851" spans="45:74" x14ac:dyDescent="0.25">
      <c r="AS851" s="202"/>
      <c r="AZ851" s="334"/>
      <c r="BB851" s="334"/>
      <c r="BD851" s="154"/>
      <c r="BO851" s="334"/>
      <c r="BP851" s="334"/>
      <c r="BQ851" s="334"/>
      <c r="BR851" s="334"/>
      <c r="BS851" s="334"/>
      <c r="BT851" s="334"/>
      <c r="BU851" s="334"/>
      <c r="BV851" s="334"/>
    </row>
    <row r="852" spans="45:74" x14ac:dyDescent="0.25">
      <c r="AS852" s="202"/>
      <c r="AZ852" s="334"/>
      <c r="BB852" s="334"/>
      <c r="BD852" s="154"/>
      <c r="BO852" s="334"/>
      <c r="BP852" s="334"/>
      <c r="BQ852" s="334"/>
      <c r="BR852" s="334"/>
      <c r="BS852" s="334"/>
      <c r="BT852" s="334"/>
      <c r="BU852" s="334"/>
      <c r="BV852" s="334"/>
    </row>
    <row r="853" spans="45:74" x14ac:dyDescent="0.25">
      <c r="AS853" s="154"/>
      <c r="AZ853" s="334"/>
      <c r="BB853" s="334"/>
      <c r="BD853" s="154"/>
      <c r="BO853" s="334"/>
      <c r="BP853" s="334"/>
      <c r="BQ853" s="334"/>
      <c r="BR853" s="334"/>
      <c r="BS853" s="334"/>
      <c r="BT853" s="334"/>
      <c r="BU853" s="334"/>
      <c r="BV853" s="334"/>
    </row>
    <row r="854" spans="45:74" x14ac:dyDescent="0.25">
      <c r="AZ854" s="334"/>
      <c r="BB854" s="334"/>
      <c r="BD854" s="202"/>
      <c r="BO854" s="334"/>
      <c r="BP854" s="334"/>
      <c r="BQ854" s="334"/>
      <c r="BR854" s="334"/>
      <c r="BS854" s="334"/>
      <c r="BT854" s="334"/>
      <c r="BU854" s="334"/>
      <c r="BV854" s="334"/>
    </row>
    <row r="855" spans="45:74" x14ac:dyDescent="0.25">
      <c r="AS855" s="102"/>
      <c r="AT855" s="102"/>
      <c r="AU855" s="102"/>
      <c r="AV855" s="102"/>
      <c r="AW855" s="102"/>
      <c r="AX855" s="102"/>
      <c r="AY855" s="102"/>
      <c r="AZ855" s="335"/>
      <c r="BA855" s="102"/>
      <c r="BB855" s="335"/>
      <c r="BC855" s="102"/>
      <c r="BD855" s="102"/>
      <c r="BE855" s="102"/>
      <c r="BO855" s="334"/>
      <c r="BP855" s="334"/>
      <c r="BQ855" s="334"/>
      <c r="BR855" s="334"/>
      <c r="BS855" s="334"/>
      <c r="BT855" s="334"/>
      <c r="BU855" s="334"/>
      <c r="BV855" s="334"/>
    </row>
    <row r="856" spans="45:74" x14ac:dyDescent="0.25">
      <c r="AX856" s="154"/>
      <c r="AZ856" s="334"/>
      <c r="BB856" s="334"/>
      <c r="BO856" s="334"/>
      <c r="BP856" s="334"/>
      <c r="BQ856" s="334"/>
      <c r="BR856" s="334"/>
      <c r="BS856" s="334"/>
      <c r="BT856" s="334"/>
      <c r="BU856" s="334"/>
      <c r="BV856" s="334"/>
    </row>
    <row r="857" spans="45:74" x14ac:dyDescent="0.25">
      <c r="AX857" s="102"/>
      <c r="AY857" s="102"/>
      <c r="AZ857" s="335"/>
      <c r="BA857" s="102"/>
      <c r="BB857" s="334"/>
      <c r="BC857" s="103"/>
      <c r="BD857" s="103"/>
      <c r="BO857" s="334"/>
      <c r="BP857" s="334"/>
      <c r="BQ857" s="334"/>
      <c r="BR857" s="334"/>
      <c r="BS857" s="334"/>
      <c r="BT857" s="334"/>
      <c r="BU857" s="334"/>
      <c r="BV857" s="334"/>
    </row>
    <row r="858" spans="45:74" x14ac:dyDescent="0.25">
      <c r="AV858" s="103"/>
      <c r="AW858" s="103"/>
      <c r="AZ858" s="336"/>
      <c r="BA858" s="103"/>
      <c r="BB858" s="334"/>
      <c r="BC858" s="103"/>
      <c r="BD858" s="103"/>
      <c r="BE858" s="103"/>
      <c r="BG858" s="102"/>
      <c r="BH858" s="154"/>
      <c r="BK858" s="102"/>
      <c r="BM858" s="102"/>
      <c r="BN858" s="154"/>
      <c r="BQ858" s="102"/>
    </row>
    <row r="859" spans="45:74" x14ac:dyDescent="0.25">
      <c r="AV859" s="103"/>
      <c r="AW859" s="103"/>
      <c r="AX859" s="103"/>
      <c r="AY859" s="103"/>
      <c r="AZ859" s="336"/>
      <c r="BA859" s="103"/>
      <c r="BB859" s="336"/>
      <c r="BC859" s="103"/>
      <c r="BD859" s="103"/>
      <c r="BE859" s="103"/>
      <c r="BH859" s="103"/>
      <c r="BI859" s="103"/>
      <c r="BN859" s="103"/>
      <c r="BO859" s="103"/>
    </row>
    <row r="860" spans="45:74" x14ac:dyDescent="0.25">
      <c r="AS860" s="103"/>
      <c r="AU860" s="154"/>
      <c r="AV860" s="103"/>
      <c r="AW860" s="103"/>
      <c r="AX860" s="103"/>
      <c r="AY860" s="103"/>
      <c r="AZ860" s="336"/>
      <c r="BA860" s="103"/>
      <c r="BB860" s="336"/>
      <c r="BC860" s="103"/>
      <c r="BD860" s="103"/>
      <c r="BE860" s="103"/>
      <c r="BG860" s="103"/>
      <c r="BH860" s="103"/>
      <c r="BI860" s="103"/>
      <c r="BJ860" s="103"/>
      <c r="BK860" s="103"/>
      <c r="BM860" s="103"/>
      <c r="BN860" s="103"/>
      <c r="BO860" s="103"/>
      <c r="BP860" s="103"/>
      <c r="BQ860" s="103"/>
    </row>
    <row r="861" spans="45:74" x14ac:dyDescent="0.25">
      <c r="AS861" s="103"/>
      <c r="AU861" s="154"/>
      <c r="AV861" s="103"/>
      <c r="AW861" s="103"/>
      <c r="AX861" s="103"/>
      <c r="AY861" s="103"/>
      <c r="AZ861" s="336"/>
      <c r="BA861" s="103"/>
      <c r="BB861" s="336"/>
      <c r="BC861" s="103"/>
      <c r="BD861" s="103"/>
      <c r="BE861" s="103"/>
      <c r="BG861" s="103"/>
      <c r="BH861" s="103"/>
      <c r="BI861" s="103"/>
      <c r="BJ861" s="103"/>
      <c r="BK861" s="103"/>
      <c r="BM861" s="103"/>
      <c r="BN861" s="103"/>
      <c r="BO861" s="103"/>
      <c r="BP861" s="103"/>
      <c r="BQ861" s="103"/>
    </row>
    <row r="862" spans="45:74" x14ac:dyDescent="0.25">
      <c r="AS862" s="102"/>
      <c r="AT862" s="102"/>
      <c r="AU862" s="102"/>
      <c r="AV862" s="102"/>
      <c r="AW862" s="102"/>
      <c r="AX862" s="102"/>
      <c r="AY862" s="102"/>
      <c r="AZ862" s="335"/>
      <c r="BA862" s="102"/>
      <c r="BB862" s="335"/>
      <c r="BC862" s="102"/>
      <c r="BD862" s="102"/>
      <c r="BE862" s="102"/>
      <c r="BG862" s="102"/>
      <c r="BH862" s="102"/>
      <c r="BI862" s="102"/>
      <c r="BJ862" s="102"/>
      <c r="BK862" s="102"/>
      <c r="BM862" s="102"/>
      <c r="BN862" s="102"/>
      <c r="BO862" s="102"/>
      <c r="BP862" s="102"/>
      <c r="BQ862" s="102"/>
    </row>
    <row r="863" spans="45:74" x14ac:dyDescent="0.25">
      <c r="AV863" s="103"/>
      <c r="AW863" s="103"/>
      <c r="AX863" s="103"/>
      <c r="AY863" s="103"/>
      <c r="AZ863" s="336"/>
      <c r="BA863" s="103"/>
      <c r="BB863" s="336"/>
      <c r="BC863" s="103"/>
      <c r="BD863" s="103"/>
      <c r="BE863" s="103"/>
      <c r="BG863" s="334"/>
      <c r="BH863" s="334"/>
      <c r="BI863" s="334"/>
      <c r="BJ863" s="334"/>
      <c r="BK863" s="334"/>
      <c r="BL863" s="334"/>
      <c r="BM863" s="334"/>
      <c r="BN863" s="334"/>
      <c r="BO863" s="334"/>
      <c r="BP863" s="334"/>
      <c r="BQ863" s="334"/>
    </row>
    <row r="864" spans="45:74" x14ac:dyDescent="0.25">
      <c r="AS864" s="202"/>
      <c r="AT864" s="154"/>
      <c r="AV864" s="200"/>
      <c r="AW864" s="200"/>
      <c r="AX864" s="334"/>
      <c r="AY864" s="334"/>
      <c r="AZ864" s="334"/>
      <c r="BA864" s="201"/>
      <c r="BB864" s="334"/>
      <c r="BC864" s="334"/>
      <c r="BD864" s="334"/>
      <c r="BE864" s="201"/>
      <c r="BG864" s="334"/>
      <c r="BH864" s="334"/>
      <c r="BI864" s="334"/>
      <c r="BJ864" s="334"/>
      <c r="BK864" s="334"/>
      <c r="BL864" s="334"/>
      <c r="BM864" s="334"/>
      <c r="BN864" s="334"/>
      <c r="BO864" s="334"/>
      <c r="BP864" s="334"/>
      <c r="BQ864" s="334"/>
      <c r="BR864" s="334"/>
      <c r="BS864" s="334"/>
    </row>
    <row r="865" spans="45:71" x14ac:dyDescent="0.25">
      <c r="AS865" s="202"/>
      <c r="AV865" s="200"/>
      <c r="AW865" s="200"/>
      <c r="AX865" s="334"/>
      <c r="AY865" s="334"/>
      <c r="AZ865" s="334"/>
      <c r="BA865" s="201"/>
      <c r="BB865" s="334"/>
      <c r="BC865" s="334"/>
      <c r="BD865" s="334"/>
      <c r="BE865" s="201"/>
      <c r="BG865" s="334"/>
      <c r="BH865" s="334"/>
      <c r="BI865" s="334"/>
      <c r="BJ865" s="334"/>
      <c r="BK865" s="334"/>
      <c r="BL865" s="334"/>
      <c r="BM865" s="334"/>
      <c r="BN865" s="334"/>
      <c r="BO865" s="334"/>
      <c r="BP865" s="334"/>
      <c r="BQ865" s="334"/>
      <c r="BR865" s="334"/>
      <c r="BS865" s="334"/>
    </row>
    <row r="866" spans="45:71" x14ac:dyDescent="0.25">
      <c r="AS866" s="202"/>
      <c r="AV866" s="200"/>
      <c r="AW866" s="200"/>
      <c r="AX866" s="334"/>
      <c r="AY866" s="334"/>
      <c r="AZ866" s="334"/>
      <c r="BA866" s="201"/>
      <c r="BB866" s="334"/>
      <c r="BC866" s="334"/>
      <c r="BD866" s="334"/>
      <c r="BE866" s="201"/>
      <c r="BG866" s="334"/>
      <c r="BH866" s="334"/>
      <c r="BI866" s="334"/>
      <c r="BJ866" s="334"/>
      <c r="BK866" s="334"/>
      <c r="BL866" s="334"/>
      <c r="BM866" s="334"/>
      <c r="BN866" s="334"/>
      <c r="BO866" s="334"/>
      <c r="BP866" s="334"/>
      <c r="BQ866" s="334"/>
      <c r="BR866" s="334"/>
      <c r="BS866" s="334"/>
    </row>
    <row r="867" spans="45:71" x14ac:dyDescent="0.25">
      <c r="AS867" s="202"/>
      <c r="AV867" s="200"/>
      <c r="AW867" s="200"/>
      <c r="AX867" s="334"/>
      <c r="AY867" s="334"/>
      <c r="AZ867" s="334"/>
      <c r="BA867" s="201"/>
      <c r="BB867" s="334"/>
      <c r="BC867" s="334"/>
      <c r="BD867" s="334"/>
      <c r="BE867" s="201"/>
      <c r="BG867" s="334"/>
      <c r="BH867" s="334"/>
      <c r="BI867" s="334"/>
      <c r="BJ867" s="334"/>
      <c r="BK867" s="334"/>
      <c r="BL867" s="334"/>
      <c r="BM867" s="334"/>
      <c r="BN867" s="334"/>
      <c r="BO867" s="334"/>
      <c r="BP867" s="334"/>
      <c r="BQ867" s="334"/>
      <c r="BR867" s="334"/>
      <c r="BS867" s="334"/>
    </row>
    <row r="868" spans="45:71" x14ac:dyDescent="0.25">
      <c r="AS868" s="202"/>
      <c r="AV868" s="200"/>
      <c r="AW868" s="200"/>
      <c r="AX868" s="334"/>
      <c r="AY868" s="334"/>
      <c r="AZ868" s="334"/>
      <c r="BA868" s="201"/>
      <c r="BB868" s="334"/>
      <c r="BC868" s="334"/>
      <c r="BD868" s="334"/>
      <c r="BE868" s="201"/>
      <c r="BG868" s="334"/>
      <c r="BH868" s="334"/>
      <c r="BI868" s="334"/>
      <c r="BJ868" s="334"/>
      <c r="BK868" s="334"/>
      <c r="BL868" s="334"/>
      <c r="BM868" s="334"/>
      <c r="BN868" s="334"/>
      <c r="BO868" s="334"/>
      <c r="BP868" s="334"/>
      <c r="BQ868" s="334"/>
      <c r="BR868" s="334"/>
      <c r="BS868" s="334"/>
    </row>
    <row r="869" spans="45:71" x14ac:dyDescent="0.25">
      <c r="AS869" s="202"/>
      <c r="AV869" s="200"/>
      <c r="AW869" s="200"/>
      <c r="AX869" s="334"/>
      <c r="AY869" s="334"/>
      <c r="AZ869" s="334"/>
      <c r="BA869" s="201"/>
      <c r="BB869" s="334"/>
      <c r="BC869" s="334"/>
      <c r="BD869" s="334"/>
      <c r="BE869" s="201"/>
      <c r="BG869" s="334"/>
      <c r="BH869" s="334"/>
      <c r="BI869" s="334"/>
      <c r="BJ869" s="334"/>
      <c r="BK869" s="334"/>
      <c r="BL869" s="334"/>
      <c r="BM869" s="334"/>
      <c r="BN869" s="334"/>
      <c r="BO869" s="334"/>
      <c r="BP869" s="334"/>
      <c r="BQ869" s="334"/>
      <c r="BR869" s="334"/>
      <c r="BS869" s="334"/>
    </row>
    <row r="870" spans="45:71" x14ac:dyDescent="0.25">
      <c r="AS870" s="202"/>
      <c r="AV870" s="200"/>
      <c r="AW870" s="200"/>
      <c r="AX870" s="334"/>
      <c r="AY870" s="334"/>
      <c r="AZ870" s="334"/>
      <c r="BA870" s="201"/>
      <c r="BB870" s="334"/>
      <c r="BC870" s="334"/>
      <c r="BD870" s="334"/>
      <c r="BE870" s="201"/>
      <c r="BG870" s="334"/>
      <c r="BH870" s="334"/>
      <c r="BI870" s="334"/>
      <c r="BJ870" s="334"/>
      <c r="BK870" s="334"/>
      <c r="BL870" s="334"/>
      <c r="BM870" s="334"/>
      <c r="BN870" s="334"/>
      <c r="BO870" s="334"/>
      <c r="BP870" s="334"/>
      <c r="BQ870" s="334"/>
      <c r="BR870" s="334"/>
      <c r="BS870" s="334"/>
    </row>
    <row r="871" spans="45:71" x14ac:dyDescent="0.25">
      <c r="AS871" s="202"/>
      <c r="AV871" s="200"/>
      <c r="AW871" s="200"/>
      <c r="AX871" s="334"/>
      <c r="AY871" s="334"/>
      <c r="AZ871" s="334"/>
      <c r="BA871" s="201"/>
      <c r="BB871" s="334"/>
      <c r="BC871" s="334"/>
      <c r="BD871" s="334"/>
      <c r="BE871" s="201"/>
      <c r="BG871" s="334"/>
      <c r="BH871" s="334"/>
      <c r="BI871" s="334"/>
      <c r="BJ871" s="334"/>
      <c r="BK871" s="334"/>
      <c r="BL871" s="334"/>
      <c r="BM871" s="334"/>
      <c r="BN871" s="334"/>
      <c r="BO871" s="334"/>
      <c r="BP871" s="334"/>
      <c r="BQ871" s="334"/>
      <c r="BR871" s="334"/>
      <c r="BS871" s="334"/>
    </row>
    <row r="872" spans="45:71" x14ac:dyDescent="0.25">
      <c r="AS872" s="202"/>
      <c r="AV872" s="200"/>
      <c r="AW872" s="200"/>
      <c r="AX872" s="334"/>
      <c r="AY872" s="334"/>
      <c r="AZ872" s="334"/>
      <c r="BA872" s="201"/>
      <c r="BB872" s="334"/>
      <c r="BC872" s="334"/>
      <c r="BD872" s="334"/>
      <c r="BE872" s="201"/>
      <c r="BG872" s="334"/>
      <c r="BH872" s="334"/>
      <c r="BI872" s="334"/>
      <c r="BJ872" s="334"/>
      <c r="BK872" s="334"/>
      <c r="BL872" s="334"/>
      <c r="BM872" s="334"/>
      <c r="BN872" s="334"/>
      <c r="BO872" s="334"/>
      <c r="BP872" s="334"/>
      <c r="BQ872" s="334"/>
      <c r="BR872" s="334"/>
      <c r="BS872" s="334"/>
    </row>
    <row r="873" spans="45:71" x14ac:dyDescent="0.25">
      <c r="AS873" s="202"/>
      <c r="AV873" s="200"/>
      <c r="AW873" s="200"/>
      <c r="AX873" s="334"/>
      <c r="AY873" s="334"/>
      <c r="AZ873" s="334"/>
      <c r="BA873" s="201"/>
      <c r="BB873" s="334"/>
      <c r="BC873" s="334"/>
      <c r="BD873" s="334"/>
      <c r="BE873" s="201"/>
      <c r="BG873" s="334"/>
      <c r="BH873" s="334"/>
      <c r="BI873" s="334"/>
      <c r="BJ873" s="334"/>
      <c r="BK873" s="334"/>
      <c r="BL873" s="334"/>
      <c r="BM873" s="334"/>
      <c r="BN873" s="334"/>
      <c r="BO873" s="334"/>
      <c r="BP873" s="334"/>
      <c r="BQ873" s="334"/>
      <c r="BR873" s="334"/>
      <c r="BS873" s="334"/>
    </row>
    <row r="874" spans="45:71" x14ac:dyDescent="0.25">
      <c r="AS874" s="202"/>
      <c r="AV874" s="200"/>
      <c r="AW874" s="200"/>
      <c r="AX874" s="334"/>
      <c r="AY874" s="334"/>
      <c r="AZ874" s="334"/>
      <c r="BA874" s="201"/>
      <c r="BB874" s="334"/>
      <c r="BC874" s="334"/>
      <c r="BD874" s="334"/>
      <c r="BE874" s="201"/>
      <c r="BG874" s="334"/>
      <c r="BH874" s="334"/>
      <c r="BI874" s="334"/>
      <c r="BJ874" s="334"/>
      <c r="BK874" s="334"/>
      <c r="BL874" s="334"/>
      <c r="BM874" s="334"/>
      <c r="BN874" s="334"/>
      <c r="BO874" s="334"/>
      <c r="BP874" s="334"/>
      <c r="BQ874" s="334"/>
      <c r="BR874" s="334"/>
      <c r="BS874" s="334"/>
    </row>
    <row r="875" spans="45:71" x14ac:dyDescent="0.25">
      <c r="AS875" s="202"/>
      <c r="AV875" s="200"/>
      <c r="AW875" s="200"/>
      <c r="AX875" s="334"/>
      <c r="AY875" s="334"/>
      <c r="AZ875" s="334"/>
      <c r="BA875" s="201"/>
      <c r="BB875" s="334"/>
      <c r="BC875" s="334"/>
      <c r="BD875" s="334"/>
      <c r="BE875" s="201"/>
      <c r="BG875" s="334"/>
      <c r="BH875" s="334"/>
      <c r="BI875" s="334"/>
      <c r="BJ875" s="334"/>
      <c r="BK875" s="334"/>
      <c r="BL875" s="334"/>
      <c r="BM875" s="334"/>
      <c r="BN875" s="334"/>
      <c r="BO875" s="334"/>
      <c r="BP875" s="334"/>
      <c r="BQ875" s="334"/>
      <c r="BR875" s="334"/>
      <c r="BS875" s="334"/>
    </row>
    <row r="876" spans="45:71" x14ac:dyDescent="0.25">
      <c r="AS876" s="202"/>
      <c r="AV876" s="200"/>
      <c r="AW876" s="200"/>
      <c r="AX876" s="334"/>
      <c r="AY876" s="334"/>
      <c r="AZ876" s="334"/>
      <c r="BA876" s="201"/>
      <c r="BB876" s="334"/>
      <c r="BC876" s="334"/>
      <c r="BD876" s="334"/>
      <c r="BE876" s="201"/>
      <c r="BG876" s="334"/>
      <c r="BH876" s="334"/>
      <c r="BI876" s="334"/>
      <c r="BJ876" s="334"/>
      <c r="BK876" s="334"/>
      <c r="BL876" s="334"/>
      <c r="BM876" s="334"/>
      <c r="BN876" s="334"/>
      <c r="BO876" s="334"/>
      <c r="BP876" s="334"/>
      <c r="BQ876" s="334"/>
      <c r="BR876" s="334"/>
      <c r="BS876" s="334"/>
    </row>
    <row r="877" spans="45:71" x14ac:dyDescent="0.25">
      <c r="AS877" s="202"/>
      <c r="AV877" s="200"/>
      <c r="AW877" s="200"/>
      <c r="AX877" s="334"/>
      <c r="AY877" s="334"/>
      <c r="AZ877" s="334"/>
      <c r="BA877" s="201"/>
      <c r="BB877" s="334"/>
      <c r="BC877" s="334"/>
      <c r="BD877" s="334"/>
      <c r="BE877" s="201"/>
      <c r="BG877" s="334"/>
      <c r="BH877" s="334"/>
      <c r="BI877" s="334"/>
      <c r="BJ877" s="334"/>
      <c r="BK877" s="334"/>
      <c r="BL877" s="334"/>
      <c r="BM877" s="334"/>
      <c r="BN877" s="334"/>
      <c r="BO877" s="334"/>
      <c r="BP877" s="334"/>
      <c r="BQ877" s="334"/>
      <c r="BR877" s="334"/>
      <c r="BS877" s="334"/>
    </row>
    <row r="878" spans="45:71" x14ac:dyDescent="0.25">
      <c r="AS878" s="202"/>
      <c r="AV878" s="200"/>
      <c r="AW878" s="200"/>
      <c r="AX878" s="334"/>
      <c r="AY878" s="334"/>
      <c r="AZ878" s="334"/>
      <c r="BA878" s="201"/>
      <c r="BB878" s="334"/>
      <c r="BC878" s="334"/>
      <c r="BD878" s="334"/>
      <c r="BE878" s="201"/>
      <c r="BG878" s="334"/>
      <c r="BH878" s="334"/>
      <c r="BI878" s="334"/>
      <c r="BJ878" s="334"/>
      <c r="BK878" s="334"/>
      <c r="BL878" s="334"/>
      <c r="BM878" s="334"/>
      <c r="BN878" s="334"/>
      <c r="BO878" s="334"/>
      <c r="BP878" s="334"/>
      <c r="BQ878" s="334"/>
      <c r="BR878" s="334"/>
      <c r="BS878" s="334"/>
    </row>
    <row r="879" spans="45:71" x14ac:dyDescent="0.25">
      <c r="AS879" s="202"/>
      <c r="AV879" s="200"/>
      <c r="AW879" s="200"/>
      <c r="AX879" s="334"/>
      <c r="AY879" s="334"/>
      <c r="AZ879" s="334"/>
      <c r="BA879" s="201"/>
      <c r="BB879" s="334"/>
      <c r="BC879" s="334"/>
      <c r="BD879" s="334"/>
      <c r="BE879" s="201"/>
      <c r="BG879" s="334"/>
      <c r="BH879" s="334"/>
      <c r="BI879" s="334"/>
      <c r="BJ879" s="334"/>
      <c r="BK879" s="334"/>
      <c r="BL879" s="334"/>
      <c r="BM879" s="334"/>
      <c r="BN879" s="334"/>
      <c r="BO879" s="334"/>
      <c r="BP879" s="334"/>
      <c r="BQ879" s="334"/>
      <c r="BR879" s="334"/>
      <c r="BS879" s="334"/>
    </row>
    <row r="880" spans="45:71" x14ac:dyDescent="0.25">
      <c r="AS880" s="202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  <c r="BG880" s="334"/>
      <c r="BH880" s="334"/>
      <c r="BI880" s="334"/>
      <c r="BJ880" s="334"/>
      <c r="BK880" s="334"/>
      <c r="BL880" s="334"/>
      <c r="BM880" s="334"/>
      <c r="BN880" s="334"/>
      <c r="BO880" s="334"/>
      <c r="BP880" s="334"/>
      <c r="BQ880" s="334"/>
      <c r="BR880" s="334"/>
      <c r="BS880" s="334"/>
    </row>
    <row r="881" spans="45:71" x14ac:dyDescent="0.25">
      <c r="AS881" s="202"/>
      <c r="AV881" s="200"/>
      <c r="AW881" s="200"/>
      <c r="AX881" s="334"/>
      <c r="AY881" s="334"/>
      <c r="AZ881" s="334"/>
      <c r="BA881" s="201"/>
      <c r="BB881" s="334"/>
      <c r="BC881" s="334"/>
      <c r="BD881" s="334"/>
      <c r="BE881" s="201"/>
      <c r="BG881" s="334"/>
      <c r="BH881" s="334"/>
      <c r="BI881" s="334"/>
      <c r="BJ881" s="334"/>
      <c r="BK881" s="334"/>
      <c r="BL881" s="334"/>
      <c r="BM881" s="334"/>
      <c r="BN881" s="334"/>
      <c r="BO881" s="334"/>
      <c r="BP881" s="334"/>
      <c r="BQ881" s="334"/>
      <c r="BR881" s="334"/>
      <c r="BS881" s="334"/>
    </row>
    <row r="882" spans="45:71" x14ac:dyDescent="0.25">
      <c r="AZ882" s="334"/>
      <c r="BB882" s="334"/>
      <c r="BC882" s="334"/>
      <c r="BD882" s="334"/>
      <c r="BG882" s="334"/>
      <c r="BH882" s="334"/>
      <c r="BI882" s="334"/>
      <c r="BJ882" s="334"/>
      <c r="BK882" s="334"/>
      <c r="BL882" s="334"/>
      <c r="BM882" s="334"/>
      <c r="BN882" s="334"/>
      <c r="BO882" s="334"/>
      <c r="BP882" s="334"/>
      <c r="BQ882" s="334"/>
      <c r="BR882" s="334"/>
      <c r="BS882" s="334"/>
    </row>
    <row r="883" spans="45:71" x14ac:dyDescent="0.25">
      <c r="AS883" s="202"/>
      <c r="AT883" s="154"/>
      <c r="AV883" s="200"/>
      <c r="AW883" s="200"/>
      <c r="AX883" s="334"/>
      <c r="AY883" s="334"/>
      <c r="AZ883" s="334"/>
      <c r="BA883" s="201"/>
      <c r="BB883" s="334"/>
      <c r="BC883" s="334"/>
      <c r="BD883" s="334"/>
      <c r="BE883" s="201"/>
    </row>
    <row r="884" spans="45:71" x14ac:dyDescent="0.25">
      <c r="AS884" s="202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</row>
    <row r="885" spans="45:71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</row>
    <row r="886" spans="45:71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</row>
    <row r="887" spans="45:71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</row>
    <row r="888" spans="45:71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</row>
    <row r="889" spans="45:71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71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71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71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</row>
    <row r="893" spans="45:71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4" spans="45:71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</row>
    <row r="895" spans="45:71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</row>
    <row r="896" spans="45:71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</row>
    <row r="897" spans="45:57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</row>
    <row r="898" spans="45:57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</row>
    <row r="899" spans="45:57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</row>
    <row r="900" spans="45:57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57" x14ac:dyDescent="0.25">
      <c r="BB901" s="334"/>
    </row>
    <row r="902" spans="45:57" x14ac:dyDescent="0.25">
      <c r="AU902" s="154"/>
      <c r="BB902" s="334"/>
    </row>
    <row r="903" spans="45:57" x14ac:dyDescent="0.25">
      <c r="AU903" s="154"/>
    </row>
    <row r="904" spans="45:57" x14ac:dyDescent="0.25">
      <c r="AU904" s="154"/>
      <c r="BB904" s="334"/>
    </row>
    <row r="905" spans="45:57" x14ac:dyDescent="0.25">
      <c r="AS905" s="154"/>
      <c r="AZ905" s="334"/>
      <c r="BB905" s="334"/>
    </row>
    <row r="906" spans="45:57" x14ac:dyDescent="0.25">
      <c r="AY906" s="202"/>
      <c r="AZ906" s="334"/>
      <c r="BB906" s="334"/>
    </row>
    <row r="907" spans="45:57" x14ac:dyDescent="0.25">
      <c r="AY907" s="334"/>
      <c r="AZ907" s="334"/>
      <c r="BB907" s="334"/>
    </row>
    <row r="908" spans="45:57" x14ac:dyDescent="0.25">
      <c r="AY908" s="154"/>
      <c r="AZ908" s="334"/>
      <c r="BB908" s="334"/>
    </row>
    <row r="909" spans="45:57" x14ac:dyDescent="0.25">
      <c r="AY909" s="154"/>
      <c r="AZ909" s="334"/>
      <c r="BB909" s="334"/>
    </row>
    <row r="910" spans="45:57" x14ac:dyDescent="0.25">
      <c r="AS910" s="202"/>
      <c r="AZ910" s="334"/>
      <c r="BB910" s="334"/>
      <c r="BD910" s="154"/>
    </row>
    <row r="911" spans="45:57" x14ac:dyDescent="0.25">
      <c r="AS911" s="202"/>
      <c r="AZ911" s="334"/>
      <c r="BB911" s="334"/>
      <c r="BD911" s="154"/>
    </row>
    <row r="912" spans="45:57" x14ac:dyDescent="0.25">
      <c r="AS912" s="154"/>
      <c r="AZ912" s="334"/>
      <c r="BB912" s="334"/>
      <c r="BD912" s="154"/>
    </row>
    <row r="913" spans="45:57" x14ac:dyDescent="0.25">
      <c r="AZ913" s="334"/>
      <c r="BB913" s="334"/>
      <c r="BD913" s="202"/>
    </row>
    <row r="914" spans="45:57" x14ac:dyDescent="0.25">
      <c r="AS914" s="102"/>
      <c r="AT914" s="102"/>
      <c r="AU914" s="102"/>
      <c r="AV914" s="102"/>
      <c r="AW914" s="102"/>
      <c r="AX914" s="102"/>
      <c r="AY914" s="102"/>
      <c r="AZ914" s="335"/>
      <c r="BA914" s="102"/>
      <c r="BB914" s="335"/>
      <c r="BC914" s="102"/>
      <c r="BD914" s="102"/>
      <c r="BE914" s="102"/>
    </row>
    <row r="915" spans="45:57" x14ac:dyDescent="0.25">
      <c r="AX915" s="154"/>
      <c r="AZ915" s="334"/>
      <c r="BB915" s="334"/>
    </row>
    <row r="916" spans="45:57" x14ac:dyDescent="0.25">
      <c r="AX916" s="102"/>
      <c r="AY916" s="102"/>
      <c r="AZ916" s="335"/>
      <c r="BA916" s="102"/>
      <c r="BB916" s="334"/>
      <c r="BC916" s="103"/>
      <c r="BD916" s="103"/>
    </row>
    <row r="917" spans="45:57" x14ac:dyDescent="0.25">
      <c r="AV917" s="103"/>
      <c r="AW917" s="103"/>
      <c r="AZ917" s="336"/>
      <c r="BA917" s="103"/>
      <c r="BB917" s="334"/>
      <c r="BC917" s="103"/>
      <c r="BD917" s="103"/>
      <c r="BE917" s="103"/>
    </row>
    <row r="918" spans="45:57" x14ac:dyDescent="0.25">
      <c r="AV918" s="103"/>
      <c r="AW918" s="103"/>
      <c r="AX918" s="103"/>
      <c r="AY918" s="103"/>
      <c r="AZ918" s="336"/>
      <c r="BA918" s="103"/>
      <c r="BB918" s="336"/>
      <c r="BC918" s="103"/>
      <c r="BD918" s="103"/>
      <c r="BE918" s="103"/>
    </row>
    <row r="919" spans="45:57" x14ac:dyDescent="0.25">
      <c r="AS919" s="103"/>
      <c r="AU919" s="154"/>
      <c r="AV919" s="103"/>
      <c r="AW919" s="103"/>
      <c r="AX919" s="103"/>
      <c r="AY919" s="103"/>
      <c r="AZ919" s="336"/>
      <c r="BA919" s="103"/>
      <c r="BB919" s="336"/>
      <c r="BC919" s="103"/>
      <c r="BD919" s="103"/>
      <c r="BE919" s="103"/>
    </row>
    <row r="920" spans="45:57" x14ac:dyDescent="0.25">
      <c r="AS920" s="103"/>
      <c r="AU920" s="154"/>
      <c r="AV920" s="103"/>
      <c r="AW920" s="103"/>
      <c r="AX920" s="103"/>
      <c r="AY920" s="103"/>
      <c r="AZ920" s="336"/>
      <c r="BA920" s="103"/>
      <c r="BB920" s="336"/>
      <c r="BC920" s="103"/>
      <c r="BD920" s="103"/>
      <c r="BE920" s="103"/>
    </row>
    <row r="921" spans="45:57" x14ac:dyDescent="0.25">
      <c r="AS921" s="102"/>
      <c r="AT921" s="102"/>
      <c r="AU921" s="102"/>
      <c r="AV921" s="102"/>
      <c r="AW921" s="102"/>
      <c r="AX921" s="102"/>
      <c r="AY921" s="102"/>
      <c r="AZ921" s="335"/>
      <c r="BA921" s="102"/>
      <c r="BB921" s="335"/>
      <c r="BC921" s="102"/>
      <c r="BD921" s="102"/>
      <c r="BE921" s="102"/>
    </row>
    <row r="922" spans="45:57" x14ac:dyDescent="0.25">
      <c r="AV922" s="103"/>
      <c r="AW922" s="103"/>
      <c r="AX922" s="103"/>
      <c r="AY922" s="103"/>
      <c r="AZ922" s="336"/>
      <c r="BA922" s="103"/>
      <c r="BB922" s="336"/>
      <c r="BC922" s="103"/>
      <c r="BD922" s="103"/>
      <c r="BE922" s="103"/>
    </row>
    <row r="923" spans="45:57" x14ac:dyDescent="0.25">
      <c r="AS923" s="202"/>
      <c r="AT923" s="154"/>
      <c r="AV923" s="200"/>
      <c r="AW923" s="200"/>
      <c r="AX923" s="334"/>
      <c r="AY923" s="334"/>
      <c r="AZ923" s="334"/>
      <c r="BA923" s="201"/>
      <c r="BB923" s="334"/>
      <c r="BC923" s="334"/>
      <c r="BD923" s="334"/>
      <c r="BE923" s="201"/>
    </row>
    <row r="924" spans="45:57" x14ac:dyDescent="0.25">
      <c r="AS924" s="202"/>
      <c r="AV924" s="200"/>
      <c r="AW924" s="200"/>
      <c r="AX924" s="334"/>
      <c r="AY924" s="334"/>
      <c r="AZ924" s="334"/>
      <c r="BA924" s="201"/>
      <c r="BB924" s="334"/>
      <c r="BC924" s="334"/>
      <c r="BD924" s="334"/>
      <c r="BE924" s="201"/>
    </row>
    <row r="925" spans="45:57" x14ac:dyDescent="0.25">
      <c r="AS925" s="202"/>
      <c r="AV925" s="200"/>
      <c r="AW925" s="200"/>
      <c r="AX925" s="334"/>
      <c r="AY925" s="334"/>
      <c r="AZ925" s="334"/>
      <c r="BA925" s="201"/>
      <c r="BB925" s="334"/>
      <c r="BC925" s="334"/>
      <c r="BD925" s="334"/>
      <c r="BE925" s="201"/>
    </row>
    <row r="926" spans="45:57" x14ac:dyDescent="0.25">
      <c r="AS926" s="202"/>
      <c r="AV926" s="200"/>
      <c r="AW926" s="200"/>
      <c r="AX926" s="334"/>
      <c r="AY926" s="334"/>
      <c r="AZ926" s="334"/>
      <c r="BA926" s="201"/>
      <c r="BB926" s="334"/>
      <c r="BC926" s="334"/>
      <c r="BD926" s="334"/>
      <c r="BE926" s="201"/>
    </row>
    <row r="927" spans="45:57" x14ac:dyDescent="0.25">
      <c r="AS927" s="202"/>
      <c r="AV927" s="200"/>
      <c r="AW927" s="200"/>
      <c r="AX927" s="334"/>
      <c r="AY927" s="334"/>
      <c r="AZ927" s="334"/>
      <c r="BA927" s="201"/>
      <c r="BB927" s="334"/>
      <c r="BC927" s="334"/>
      <c r="BD927" s="334"/>
      <c r="BE927" s="201"/>
    </row>
    <row r="928" spans="45:57" x14ac:dyDescent="0.25">
      <c r="AS928" s="202"/>
      <c r="AV928" s="200"/>
      <c r="AW928" s="200"/>
      <c r="AX928" s="334"/>
      <c r="AY928" s="334"/>
      <c r="AZ928" s="334"/>
      <c r="BA928" s="201"/>
      <c r="BB928" s="334"/>
      <c r="BC928" s="334"/>
      <c r="BD928" s="334"/>
      <c r="BE928" s="201"/>
    </row>
    <row r="929" spans="45:57" x14ac:dyDescent="0.25">
      <c r="AS929" s="202"/>
      <c r="AV929" s="200"/>
      <c r="AW929" s="200"/>
      <c r="AX929" s="334"/>
      <c r="AY929" s="334"/>
      <c r="AZ929" s="334"/>
      <c r="BA929" s="201"/>
      <c r="BB929" s="334"/>
      <c r="BC929" s="334"/>
      <c r="BD929" s="334"/>
      <c r="BE929" s="201"/>
    </row>
    <row r="930" spans="45:57" x14ac:dyDescent="0.25">
      <c r="AS930" s="202"/>
      <c r="AV930" s="200"/>
      <c r="AW930" s="200"/>
      <c r="AX930" s="334"/>
      <c r="AY930" s="334"/>
      <c r="AZ930" s="334"/>
      <c r="BA930" s="201"/>
      <c r="BB930" s="334"/>
      <c r="BC930" s="334"/>
      <c r="BD930" s="334"/>
      <c r="BE930" s="201"/>
    </row>
    <row r="931" spans="45:57" x14ac:dyDescent="0.25">
      <c r="AS931" s="202"/>
      <c r="AV931" s="200"/>
      <c r="AW931" s="200"/>
      <c r="AX931" s="334"/>
      <c r="AY931" s="334"/>
      <c r="AZ931" s="334"/>
      <c r="BA931" s="201"/>
      <c r="BB931" s="334"/>
      <c r="BC931" s="334"/>
      <c r="BD931" s="334"/>
      <c r="BE931" s="201"/>
    </row>
    <row r="932" spans="45:57" x14ac:dyDescent="0.25">
      <c r="AS932" s="202"/>
      <c r="AV932" s="200"/>
      <c r="AW932" s="200"/>
      <c r="AX932" s="334"/>
      <c r="AY932" s="334"/>
      <c r="AZ932" s="334"/>
      <c r="BA932" s="201"/>
      <c r="BB932" s="334"/>
      <c r="BC932" s="334"/>
      <c r="BD932" s="334"/>
      <c r="BE932" s="201"/>
    </row>
    <row r="933" spans="45:57" x14ac:dyDescent="0.25">
      <c r="AV933" s="200"/>
      <c r="AW933" s="200"/>
      <c r="BB933" s="334"/>
    </row>
    <row r="934" spans="45:57" x14ac:dyDescent="0.25">
      <c r="AS934" s="202"/>
      <c r="AT934" s="154"/>
      <c r="AV934" s="200"/>
      <c r="AW934" s="200"/>
      <c r="AX934" s="334"/>
      <c r="AY934" s="334"/>
      <c r="AZ934" s="334"/>
      <c r="BA934" s="201"/>
      <c r="BB934" s="334"/>
      <c r="BC934" s="334"/>
      <c r="BD934" s="334"/>
      <c r="BE934" s="201"/>
    </row>
    <row r="935" spans="45:57" x14ac:dyDescent="0.25">
      <c r="AS935" s="202"/>
      <c r="AV935" s="200"/>
      <c r="AW935" s="200"/>
      <c r="AX935" s="334"/>
      <c r="AY935" s="334"/>
      <c r="AZ935" s="334"/>
      <c r="BA935" s="201"/>
      <c r="BB935" s="334"/>
      <c r="BC935" s="334"/>
      <c r="BD935" s="334"/>
      <c r="BE935" s="201"/>
    </row>
    <row r="936" spans="45:57" x14ac:dyDescent="0.25">
      <c r="AS936" s="202"/>
      <c r="AV936" s="200"/>
      <c r="AW936" s="200"/>
      <c r="AX936" s="334"/>
      <c r="AY936" s="334"/>
      <c r="AZ936" s="334"/>
      <c r="BA936" s="201"/>
      <c r="BB936" s="334"/>
      <c r="BC936" s="334"/>
      <c r="BD936" s="334"/>
      <c r="BE936" s="201"/>
    </row>
    <row r="937" spans="45:57" x14ac:dyDescent="0.25">
      <c r="AS937" s="202"/>
      <c r="AV937" s="200"/>
      <c r="AW937" s="200"/>
      <c r="AX937" s="334"/>
      <c r="AY937" s="334"/>
      <c r="AZ937" s="334"/>
      <c r="BA937" s="201"/>
      <c r="BB937" s="334"/>
      <c r="BC937" s="334"/>
      <c r="BD937" s="334"/>
      <c r="BE937" s="201"/>
    </row>
    <row r="938" spans="45:57" x14ac:dyDescent="0.25">
      <c r="AS938" s="202"/>
      <c r="AV938" s="200"/>
      <c r="AW938" s="200"/>
      <c r="AX938" s="334"/>
      <c r="AY938" s="334"/>
      <c r="AZ938" s="334"/>
      <c r="BA938" s="201"/>
      <c r="BB938" s="334"/>
      <c r="BC938" s="334"/>
      <c r="BD938" s="334"/>
      <c r="BE938" s="201"/>
    </row>
    <row r="939" spans="45:57" x14ac:dyDescent="0.25">
      <c r="AS939" s="202"/>
      <c r="AV939" s="200"/>
      <c r="AW939" s="200"/>
      <c r="AX939" s="334"/>
      <c r="AY939" s="334"/>
      <c r="AZ939" s="334"/>
      <c r="BA939" s="201"/>
      <c r="BB939" s="334"/>
      <c r="BC939" s="334"/>
      <c r="BD939" s="334"/>
      <c r="BE939" s="201"/>
    </row>
    <row r="940" spans="45:57" x14ac:dyDescent="0.25">
      <c r="AS940" s="202"/>
      <c r="AV940" s="200"/>
      <c r="AW940" s="200"/>
      <c r="AX940" s="334"/>
      <c r="AY940" s="334"/>
      <c r="AZ940" s="334"/>
      <c r="BA940" s="201"/>
      <c r="BB940" s="334"/>
      <c r="BC940" s="334"/>
      <c r="BD940" s="334"/>
      <c r="BE940" s="201"/>
    </row>
    <row r="941" spans="45:57" x14ac:dyDescent="0.25">
      <c r="AS941" s="202"/>
      <c r="AV941" s="200"/>
      <c r="AW941" s="200"/>
      <c r="AX941" s="334"/>
      <c r="AY941" s="334"/>
      <c r="AZ941" s="334"/>
      <c r="BA941" s="201"/>
      <c r="BB941" s="334"/>
      <c r="BC941" s="334"/>
      <c r="BD941" s="334"/>
      <c r="BE941" s="201"/>
    </row>
    <row r="942" spans="45:57" x14ac:dyDescent="0.25">
      <c r="AS942" s="202"/>
      <c r="AV942" s="200"/>
      <c r="AW942" s="200"/>
      <c r="AX942" s="334"/>
      <c r="AY942" s="334"/>
      <c r="AZ942" s="334"/>
      <c r="BA942" s="201"/>
      <c r="BB942" s="334"/>
      <c r="BC942" s="334"/>
      <c r="BD942" s="334"/>
      <c r="BE942" s="201"/>
    </row>
    <row r="943" spans="45:57" x14ac:dyDescent="0.25">
      <c r="AS943" s="202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5" spans="45:47" x14ac:dyDescent="0.25">
      <c r="AU945" s="154"/>
    </row>
    <row r="946" spans="45:47" x14ac:dyDescent="0.25">
      <c r="AU946" s="154"/>
    </row>
    <row r="947" spans="45:47" x14ac:dyDescent="0.25">
      <c r="AU947" s="154"/>
    </row>
    <row r="948" spans="45:47" x14ac:dyDescent="0.25">
      <c r="AS948" s="154"/>
    </row>
    <row r="969" spans="52:71" x14ac:dyDescent="0.25">
      <c r="AZ969" s="334"/>
      <c r="BB969" s="334"/>
      <c r="BC969" s="334"/>
      <c r="BD969" s="334"/>
      <c r="BG969" s="334"/>
      <c r="BH969" s="334"/>
      <c r="BI969" s="334"/>
      <c r="BJ969" s="334"/>
      <c r="BK969" s="334"/>
      <c r="BL969" s="334"/>
      <c r="BM969" s="334"/>
      <c r="BN969" s="334"/>
      <c r="BO969" s="334"/>
      <c r="BP969" s="334"/>
      <c r="BQ969" s="334"/>
      <c r="BR969" s="334"/>
      <c r="BS969" s="334"/>
    </row>
    <row r="970" spans="52:71" x14ac:dyDescent="0.25">
      <c r="AZ970" s="334"/>
      <c r="BB970" s="334"/>
      <c r="BC970" s="334"/>
      <c r="BD970" s="334"/>
      <c r="BG970" s="334"/>
      <c r="BH970" s="334"/>
      <c r="BI970" s="334"/>
      <c r="BJ970" s="334"/>
      <c r="BK970" s="334"/>
      <c r="BL970" s="334"/>
      <c r="BM970" s="334"/>
      <c r="BN970" s="334"/>
      <c r="BO970" s="334"/>
      <c r="BP970" s="334"/>
      <c r="BQ970" s="334"/>
      <c r="BR970" s="334"/>
      <c r="BS970" s="334"/>
    </row>
    <row r="971" spans="52:71" x14ac:dyDescent="0.25">
      <c r="AZ971" s="334"/>
      <c r="BB971" s="334"/>
      <c r="BC971" s="334"/>
      <c r="BD971" s="334"/>
      <c r="BG971" s="334"/>
      <c r="BH971" s="334"/>
      <c r="BI971" s="334"/>
      <c r="BJ971" s="334"/>
      <c r="BK971" s="334"/>
      <c r="BL971" s="334"/>
      <c r="BM971" s="334"/>
      <c r="BN971" s="334"/>
      <c r="BO971" s="334"/>
      <c r="BP971" s="334"/>
      <c r="BQ971" s="334"/>
      <c r="BR971" s="334"/>
      <c r="BS971" s="334"/>
    </row>
    <row r="972" spans="52:71" x14ac:dyDescent="0.25">
      <c r="AZ972" s="334"/>
      <c r="BB972" s="334"/>
      <c r="BC972" s="334"/>
      <c r="BD972" s="334"/>
      <c r="BG972" s="334"/>
      <c r="BH972" s="334"/>
      <c r="BI972" s="334"/>
      <c r="BJ972" s="334"/>
      <c r="BK972" s="334"/>
      <c r="BL972" s="334"/>
      <c r="BM972" s="334"/>
      <c r="BN972" s="334"/>
      <c r="BO972" s="334"/>
      <c r="BP972" s="334"/>
      <c r="BQ972" s="334"/>
      <c r="BR972" s="334"/>
      <c r="BS972" s="334"/>
    </row>
    <row r="973" spans="52:71" x14ac:dyDescent="0.25">
      <c r="AZ973" s="334"/>
      <c r="BB973" s="334"/>
      <c r="BC973" s="334"/>
      <c r="BD973" s="334"/>
      <c r="BG973" s="334"/>
      <c r="BH973" s="334"/>
      <c r="BI973" s="334"/>
      <c r="BJ973" s="334"/>
      <c r="BK973" s="334"/>
      <c r="BL973" s="334"/>
      <c r="BM973" s="334"/>
      <c r="BN973" s="334"/>
      <c r="BO973" s="334"/>
      <c r="BP973" s="334"/>
      <c r="BQ973" s="334"/>
      <c r="BR973" s="334"/>
      <c r="BS973" s="334"/>
    </row>
    <row r="974" spans="52:71" x14ac:dyDescent="0.25">
      <c r="AZ974" s="334"/>
      <c r="BB974" s="334"/>
      <c r="BC974" s="334"/>
      <c r="BD974" s="334"/>
      <c r="BG974" s="334"/>
      <c r="BH974" s="334"/>
      <c r="BI974" s="334"/>
      <c r="BJ974" s="334"/>
      <c r="BK974" s="334"/>
      <c r="BL974" s="334"/>
      <c r="BM974" s="334"/>
      <c r="BN974" s="334"/>
      <c r="BO974" s="334"/>
      <c r="BP974" s="334"/>
      <c r="BQ974" s="334"/>
      <c r="BR974" s="334"/>
      <c r="BS974" s="334"/>
    </row>
    <row r="975" spans="52:71" x14ac:dyDescent="0.25">
      <c r="AZ975" s="334"/>
      <c r="BB975" s="334"/>
      <c r="BC975" s="334"/>
      <c r="BD975" s="334"/>
      <c r="BG975" s="334"/>
      <c r="BH975" s="334"/>
      <c r="BI975" s="334"/>
      <c r="BJ975" s="334"/>
      <c r="BK975" s="334"/>
      <c r="BL975" s="334"/>
      <c r="BM975" s="334"/>
      <c r="BN975" s="334"/>
      <c r="BO975" s="334"/>
      <c r="BP975" s="334"/>
      <c r="BQ975" s="334"/>
      <c r="BR975" s="334"/>
      <c r="BS975" s="334"/>
    </row>
    <row r="976" spans="52:71" x14ac:dyDescent="0.25">
      <c r="AZ976" s="334"/>
      <c r="BB976" s="334"/>
      <c r="BC976" s="334"/>
      <c r="BD976" s="334"/>
      <c r="BG976" s="334"/>
      <c r="BH976" s="334"/>
      <c r="BI976" s="334"/>
      <c r="BJ976" s="334"/>
      <c r="BK976" s="334"/>
      <c r="BL976" s="334"/>
      <c r="BM976" s="334"/>
      <c r="BN976" s="334"/>
      <c r="BO976" s="334"/>
      <c r="BP976" s="334"/>
      <c r="BQ976" s="334"/>
      <c r="BR976" s="334"/>
      <c r="BS976" s="334"/>
    </row>
    <row r="977" spans="52:71" x14ac:dyDescent="0.25">
      <c r="AZ977" s="334"/>
      <c r="BB977" s="334"/>
      <c r="BC977" s="334"/>
      <c r="BD977" s="334"/>
      <c r="BG977" s="334"/>
      <c r="BH977" s="334"/>
      <c r="BI977" s="334"/>
      <c r="BJ977" s="334"/>
      <c r="BK977" s="334"/>
      <c r="BL977" s="334"/>
      <c r="BM977" s="334"/>
      <c r="BN977" s="334"/>
      <c r="BO977" s="334"/>
      <c r="BP977" s="334"/>
      <c r="BQ977" s="334"/>
      <c r="BR977" s="334"/>
      <c r="BS977" s="334"/>
    </row>
    <row r="978" spans="52:71" x14ac:dyDescent="0.25">
      <c r="AZ978" s="334"/>
      <c r="BB978" s="334"/>
      <c r="BC978" s="334"/>
      <c r="BD978" s="334"/>
      <c r="BG978" s="334"/>
      <c r="BH978" s="334"/>
      <c r="BI978" s="334"/>
      <c r="BJ978" s="334"/>
      <c r="BK978" s="334"/>
      <c r="BL978" s="334"/>
      <c r="BM978" s="334"/>
      <c r="BN978" s="334"/>
      <c r="BO978" s="334"/>
      <c r="BP978" s="334"/>
      <c r="BQ978" s="334"/>
      <c r="BR978" s="334"/>
      <c r="BS978" s="334"/>
    </row>
    <row r="979" spans="52:71" x14ac:dyDescent="0.25">
      <c r="AZ979" s="334"/>
      <c r="BB979" s="334"/>
      <c r="BC979" s="334"/>
      <c r="BD979" s="334"/>
      <c r="BG979" s="334"/>
      <c r="BH979" s="334"/>
      <c r="BI979" s="334"/>
      <c r="BJ979" s="334"/>
      <c r="BK979" s="334"/>
      <c r="BL979" s="334"/>
      <c r="BM979" s="334"/>
      <c r="BN979" s="334"/>
      <c r="BO979" s="334"/>
      <c r="BP979" s="334"/>
      <c r="BQ979" s="334"/>
      <c r="BR979" s="334"/>
      <c r="BS979" s="334"/>
    </row>
    <row r="980" spans="52:71" x14ac:dyDescent="0.25">
      <c r="AZ980" s="334"/>
      <c r="BB980" s="334"/>
      <c r="BC980" s="334"/>
      <c r="BD980" s="334"/>
      <c r="BG980" s="334"/>
      <c r="BH980" s="334"/>
      <c r="BI980" s="334"/>
      <c r="BJ980" s="334"/>
      <c r="BK980" s="334"/>
      <c r="BL980" s="334"/>
      <c r="BM980" s="334"/>
      <c r="BN980" s="334"/>
      <c r="BO980" s="334"/>
      <c r="BP980" s="334"/>
      <c r="BQ980" s="334"/>
      <c r="BR980" s="334"/>
      <c r="BS980" s="334"/>
    </row>
    <row r="981" spans="52:71" x14ac:dyDescent="0.25">
      <c r="AZ981" s="334"/>
      <c r="BG981" s="334"/>
      <c r="BH981" s="334"/>
      <c r="BI981" s="334"/>
      <c r="BJ981" s="334"/>
      <c r="BK981" s="334"/>
      <c r="BL981" s="334"/>
      <c r="BM981" s="334"/>
      <c r="BN981" s="334"/>
      <c r="BO981" s="334"/>
      <c r="BP981" s="334"/>
      <c r="BQ981" s="334"/>
      <c r="BR981" s="334"/>
      <c r="BS981" s="334"/>
    </row>
    <row r="982" spans="52:71" x14ac:dyDescent="0.25">
      <c r="AZ982" s="334"/>
      <c r="BG982" s="334"/>
      <c r="BH982" s="334"/>
      <c r="BI982" s="334"/>
      <c r="BJ982" s="334"/>
      <c r="BK982" s="334"/>
      <c r="BL982" s="334"/>
      <c r="BM982" s="334"/>
      <c r="BN982" s="334"/>
      <c r="BO982" s="334"/>
      <c r="BP982" s="334"/>
      <c r="BQ982" s="334"/>
      <c r="BR982" s="334"/>
      <c r="BS982" s="334"/>
    </row>
    <row r="983" spans="52:71" x14ac:dyDescent="0.25">
      <c r="AZ983" s="334"/>
      <c r="BG983" s="334"/>
      <c r="BH983" s="334"/>
      <c r="BI983" s="334"/>
      <c r="BJ983" s="334"/>
      <c r="BK983" s="334"/>
      <c r="BL983" s="334"/>
      <c r="BM983" s="334"/>
      <c r="BN983" s="334"/>
      <c r="BO983" s="334"/>
      <c r="BP983" s="334"/>
      <c r="BQ983" s="334"/>
      <c r="BR983" s="334"/>
      <c r="BS983" s="334"/>
    </row>
    <row r="984" spans="52:71" x14ac:dyDescent="0.25">
      <c r="AZ984" s="334"/>
      <c r="BG984" s="334"/>
      <c r="BH984" s="334"/>
      <c r="BI984" s="334"/>
      <c r="BJ984" s="334"/>
      <c r="BK984" s="334"/>
      <c r="BL984" s="334"/>
      <c r="BM984" s="334"/>
      <c r="BN984" s="334"/>
      <c r="BO984" s="334"/>
      <c r="BP984" s="334"/>
      <c r="BQ984" s="334"/>
      <c r="BR984" s="334"/>
      <c r="BS984" s="334"/>
    </row>
    <row r="985" spans="52:71" x14ac:dyDescent="0.25">
      <c r="AZ985" s="334"/>
      <c r="BG985" s="334"/>
      <c r="BH985" s="334"/>
      <c r="BI985" s="334"/>
      <c r="BJ985" s="334"/>
      <c r="BK985" s="334"/>
      <c r="BL985" s="334"/>
      <c r="BM985" s="334"/>
      <c r="BN985" s="334"/>
      <c r="BO985" s="334"/>
      <c r="BP985" s="334"/>
      <c r="BQ985" s="334"/>
      <c r="BR985" s="334"/>
      <c r="BS985" s="334"/>
    </row>
    <row r="986" spans="52:71" x14ac:dyDescent="0.25">
      <c r="AZ986" s="334"/>
      <c r="BG986" s="334"/>
      <c r="BH986" s="334"/>
      <c r="BI986" s="334"/>
      <c r="BJ986" s="334"/>
      <c r="BK986" s="334"/>
      <c r="BL986" s="334"/>
      <c r="BM986" s="334"/>
      <c r="BN986" s="334"/>
      <c r="BO986" s="334"/>
      <c r="BP986" s="334"/>
      <c r="BQ986" s="334"/>
      <c r="BR986" s="334"/>
      <c r="BS986" s="334"/>
    </row>
    <row r="987" spans="52:71" x14ac:dyDescent="0.25">
      <c r="AZ987" s="334"/>
      <c r="BG987" s="334"/>
      <c r="BH987" s="334"/>
      <c r="BI987" s="334"/>
      <c r="BJ987" s="334"/>
      <c r="BK987" s="334"/>
      <c r="BL987" s="334"/>
      <c r="BM987" s="334"/>
      <c r="BN987" s="334"/>
      <c r="BO987" s="334"/>
      <c r="BP987" s="334"/>
      <c r="BQ987" s="334"/>
      <c r="BR987" s="334"/>
      <c r="BS987" s="334"/>
    </row>
    <row r="988" spans="52:71" x14ac:dyDescent="0.25">
      <c r="AZ988" s="334"/>
    </row>
    <row r="989" spans="52:71" x14ac:dyDescent="0.25">
      <c r="AZ989" s="334"/>
    </row>
    <row r="1003" spans="1:28" x14ac:dyDescent="0.25">
      <c r="A1003" s="154"/>
    </row>
    <row r="1006" spans="1:28" x14ac:dyDescent="0.25">
      <c r="Y1006" s="154"/>
    </row>
    <row r="1007" spans="1:28" x14ac:dyDescent="0.25">
      <c r="A1007" s="154"/>
      <c r="H1007" s="154"/>
      <c r="I1007" s="154"/>
    </row>
    <row r="1008" spans="1:28" x14ac:dyDescent="0.25">
      <c r="A1008" s="154"/>
      <c r="V1008" s="103"/>
      <c r="AA1008" s="103"/>
      <c r="AB1008" s="103"/>
    </row>
    <row r="1009" spans="1:28" x14ac:dyDescent="0.25">
      <c r="A1009" s="154"/>
      <c r="V1009" s="102"/>
      <c r="AA1009" s="102"/>
      <c r="AB1009" s="102"/>
    </row>
    <row r="1010" spans="1:28" x14ac:dyDescent="0.25">
      <c r="A1010" s="154"/>
      <c r="U1010" s="154"/>
      <c r="AA1010" s="103"/>
      <c r="AB1010" s="103"/>
    </row>
    <row r="1011" spans="1:28" x14ac:dyDescent="0.25">
      <c r="A1011" s="154"/>
    </row>
    <row r="1012" spans="1:28" x14ac:dyDescent="0.25">
      <c r="A1012" s="154"/>
      <c r="U1012" s="154"/>
      <c r="AA1012" s="103"/>
      <c r="AB1012" s="103"/>
    </row>
    <row r="1013" spans="1:28" x14ac:dyDescent="0.25">
      <c r="A1013" s="154"/>
    </row>
    <row r="1014" spans="1:28" x14ac:dyDescent="0.25">
      <c r="A1014" s="154"/>
      <c r="U1014" s="154"/>
      <c r="V1014" s="338"/>
      <c r="AA1014" s="103"/>
      <c r="AB1014" s="103"/>
    </row>
    <row r="1015" spans="1:28" x14ac:dyDescent="0.25">
      <c r="A1015" s="154"/>
    </row>
    <row r="1016" spans="1:28" x14ac:dyDescent="0.25">
      <c r="A1016" s="154"/>
      <c r="U1016" s="154"/>
      <c r="AA1016" s="103"/>
      <c r="AB1016" s="103"/>
    </row>
    <row r="1017" spans="1:28" x14ac:dyDescent="0.25">
      <c r="A1017" s="154"/>
    </row>
    <row r="1018" spans="1:28" x14ac:dyDescent="0.25">
      <c r="A1018" s="154"/>
      <c r="U1018" s="154"/>
      <c r="AA1018" s="103"/>
      <c r="AB1018" s="103"/>
    </row>
    <row r="1019" spans="1:28" x14ac:dyDescent="0.25">
      <c r="A1019" s="154"/>
    </row>
    <row r="1020" spans="1:28" x14ac:dyDescent="0.25">
      <c r="A1020" s="154"/>
    </row>
    <row r="1021" spans="1:28" x14ac:dyDescent="0.25">
      <c r="A1021" s="154"/>
    </row>
    <row r="1022" spans="1:28" x14ac:dyDescent="0.25">
      <c r="A1022" s="154"/>
    </row>
    <row r="1023" spans="1:28" x14ac:dyDescent="0.25">
      <c r="A1023" s="154"/>
    </row>
    <row r="1024" spans="1:28" x14ac:dyDescent="0.25">
      <c r="A1024" s="154"/>
    </row>
    <row r="1025" spans="1:9" x14ac:dyDescent="0.25">
      <c r="A1025" s="154"/>
    </row>
    <row r="1026" spans="1:9" x14ac:dyDescent="0.25">
      <c r="A1026" s="154"/>
    </row>
    <row r="1027" spans="1:9" x14ac:dyDescent="0.25">
      <c r="A1027" s="154"/>
    </row>
    <row r="1028" spans="1:9" x14ac:dyDescent="0.25">
      <c r="A1028" s="154"/>
    </row>
    <row r="1029" spans="1:9" x14ac:dyDescent="0.25">
      <c r="A1029" s="154"/>
      <c r="H1029" s="154"/>
      <c r="I1029" s="154"/>
    </row>
    <row r="1032" spans="1:9" x14ac:dyDescent="0.25">
      <c r="A1032" s="154"/>
    </row>
    <row r="1035" spans="1:9" x14ac:dyDescent="0.25">
      <c r="A1035" s="154"/>
    </row>
    <row r="1038" spans="1:9" x14ac:dyDescent="0.25">
      <c r="A1038" s="154"/>
    </row>
    <row r="1039" spans="1:9" x14ac:dyDescent="0.25">
      <c r="A1039" s="154"/>
    </row>
    <row r="1040" spans="1:9" x14ac:dyDescent="0.25">
      <c r="A1040" s="154"/>
    </row>
    <row r="1041" spans="1:1" x14ac:dyDescent="0.25">
      <c r="A1041" s="154"/>
    </row>
    <row r="1042" spans="1:1" x14ac:dyDescent="0.25">
      <c r="A1042" s="154"/>
    </row>
    <row r="1043" spans="1:1" x14ac:dyDescent="0.25">
      <c r="A1043" s="154"/>
    </row>
    <row r="1044" spans="1:1" x14ac:dyDescent="0.25">
      <c r="A1044" s="154"/>
    </row>
    <row r="1045" spans="1:1" x14ac:dyDescent="0.25">
      <c r="A1045" s="154"/>
    </row>
    <row r="1046" spans="1:1" x14ac:dyDescent="0.25">
      <c r="A1046" s="154"/>
    </row>
    <row r="1047" spans="1:1" x14ac:dyDescent="0.25">
      <c r="A1047" s="154"/>
    </row>
    <row r="1048" spans="1:1" x14ac:dyDescent="0.25">
      <c r="A1048" s="154"/>
    </row>
    <row r="1049" spans="1:1" x14ac:dyDescent="0.25">
      <c r="A1049" s="154"/>
    </row>
    <row r="1050" spans="1:1" x14ac:dyDescent="0.25">
      <c r="A1050" s="154"/>
    </row>
    <row r="1051" spans="1:1" x14ac:dyDescent="0.25">
      <c r="A1051" s="154"/>
    </row>
    <row r="1052" spans="1:1" x14ac:dyDescent="0.25">
      <c r="A1052" s="154"/>
    </row>
    <row r="1053" spans="1:1" x14ac:dyDescent="0.25">
      <c r="A1053" s="154"/>
    </row>
    <row r="1054" spans="1:1" x14ac:dyDescent="0.25">
      <c r="A1054" s="154"/>
    </row>
    <row r="1055" spans="1:1" x14ac:dyDescent="0.25">
      <c r="A1055" s="154"/>
    </row>
    <row r="1056" spans="1:1" x14ac:dyDescent="0.25">
      <c r="A1056" s="154"/>
    </row>
    <row r="1057" spans="1:1" x14ac:dyDescent="0.25">
      <c r="A1057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  <row r="1068" spans="1:1" x14ac:dyDescent="0.25">
      <c r="A1068" s="154"/>
    </row>
    <row r="1069" spans="1:1" x14ac:dyDescent="0.25">
      <c r="A1069" s="154"/>
    </row>
    <row r="1070" spans="1:1" x14ac:dyDescent="0.25">
      <c r="A1070" s="154"/>
    </row>
    <row r="1071" spans="1:1" x14ac:dyDescent="0.25">
      <c r="A1071" s="154"/>
    </row>
    <row r="1072" spans="1:1" x14ac:dyDescent="0.25">
      <c r="A1072" s="154"/>
    </row>
    <row r="1077" spans="1:1" x14ac:dyDescent="0.25">
      <c r="A1077" s="154"/>
    </row>
    <row r="1078" spans="1:1" x14ac:dyDescent="0.25">
      <c r="A1078" s="154"/>
    </row>
    <row r="1081" spans="1:1" x14ac:dyDescent="0.25">
      <c r="A1081" s="154"/>
    </row>
    <row r="1083" spans="1:1" x14ac:dyDescent="0.25">
      <c r="A1083" s="154"/>
    </row>
    <row r="1085" spans="1:1" x14ac:dyDescent="0.25">
      <c r="A1085" s="154"/>
    </row>
    <row r="1087" spans="1:1" x14ac:dyDescent="0.25">
      <c r="A1087" s="154"/>
    </row>
    <row r="1090" spans="1:1" x14ac:dyDescent="0.25">
      <c r="A1090" s="154"/>
    </row>
    <row r="1091" spans="1:1" x14ac:dyDescent="0.25">
      <c r="A1091" s="154"/>
    </row>
    <row r="1092" spans="1:1" x14ac:dyDescent="0.25">
      <c r="A1092" s="154"/>
    </row>
    <row r="1093" spans="1:1" x14ac:dyDescent="0.25">
      <c r="A1093" s="154"/>
    </row>
    <row r="1094" spans="1:1" x14ac:dyDescent="0.25">
      <c r="A1094" s="154"/>
    </row>
    <row r="1095" spans="1:1" x14ac:dyDescent="0.25">
      <c r="A1095" s="154"/>
    </row>
    <row r="1096" spans="1:1" x14ac:dyDescent="0.25">
      <c r="A1096" s="154"/>
    </row>
    <row r="1097" spans="1:1" x14ac:dyDescent="0.25">
      <c r="A1097" s="154"/>
    </row>
  </sheetData>
  <customSheetViews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"/>
      <headerFooter alignWithMargins="0"/>
    </customSheetView>
    <customSheetView guid="{0C49E549-011E-46F4-A82E-2CC8951A9C1E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2"/>
      <headerFooter alignWithMargins="0"/>
    </customSheetView>
    <customSheetView guid="{4BC93440-BA85-4935-A8C9-66DC6AE5DE5E}" scale="75" fitToPage="1" showRuler="0" topLeftCell="Y82">
      <selection activeCell="Y119" sqref="Y11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4"/>
      <headerFooter alignWithMargins="0"/>
    </customSheetView>
    <customSheetView guid="{2EA35095-1ADC-4CC7-8C3C-B487D65FA247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5"/>
      <headerFooter alignWithMargins="0"/>
    </customSheetView>
    <customSheetView guid="{8FC77C99-DBF7-40B8-99B8-01B75826CDCB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7"/>
      <headerFooter alignWithMargins="0"/>
    </customSheetView>
    <customSheetView guid="{6B3D5C27-2FDE-4561-9575-1E98BFB869D0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0" orientation="landscape" r:id="rId8"/>
      <headerFooter alignWithMargins="0"/>
    </customSheetView>
    <customSheetView guid="{0BC1F393-8A13-47D5-BC6C-0C99615B5AB9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9"/>
      <headerFooter alignWithMargins="0"/>
    </customSheetView>
    <customSheetView guid="{18BDED73-BFA0-442E-87EC-CED86EE4CF94}" scale="75" fitToPage="1" showRuler="0" topLeftCell="A83">
      <selection activeCell="AA97" sqref="AA9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0"/>
      <headerFooter alignWithMargins="0"/>
    </customSheetView>
    <customSheetView guid="{35F19056-2E6F-4935-B863-78836FE990BF}" scale="75" fitToPage="1" showRuler="0">
      <selection activeCell="H21" sqref="H2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1"/>
      <headerFooter alignWithMargins="0"/>
    </customSheetView>
    <customSheetView guid="{F562D92E-120C-4AE9-9663-89E64D41DC53}" scale="75" fitToPage="1" topLeftCell="W89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2"/>
      <headerFooter alignWithMargins="0"/>
    </customSheetView>
  </customSheetViews>
  <phoneticPr fontId="9" type="noConversion"/>
  <printOptions horizontalCentered="1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5" manualBreakCount="15"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1"/>
  <dimension ref="A1:BX1113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6.77734375" style="101" customWidth="1"/>
    <col min="4" max="4" width="31" style="101" customWidth="1"/>
    <col min="5" max="5" width="0.441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2.3320312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22.88671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4.5546875" style="101" customWidth="1"/>
    <col min="23" max="23" width="41.88671875" style="101" customWidth="1"/>
    <col min="24" max="24" width="0.4414062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2.2187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754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430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218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116</v>
      </c>
      <c r="D20" s="253" t="s">
        <v>176</v>
      </c>
      <c r="E20" s="82"/>
      <c r="F20" s="70"/>
      <c r="G20" s="70"/>
      <c r="H20" s="298"/>
      <c r="I20" s="298"/>
      <c r="J20" s="299" t="s">
        <v>435</v>
      </c>
      <c r="K20" s="298"/>
      <c r="L20" s="298"/>
      <c r="M20" s="298"/>
      <c r="N20" s="298"/>
      <c r="O20" s="298"/>
      <c r="P20" s="298"/>
      <c r="Q20" s="298"/>
      <c r="R20" s="298"/>
      <c r="T20" s="154"/>
      <c r="U20" s="154"/>
    </row>
    <row r="21" spans="1:40" x14ac:dyDescent="0.25">
      <c r="A21" s="159">
        <v>2</v>
      </c>
      <c r="B21" s="80"/>
      <c r="C21" s="258"/>
      <c r="D21" s="253" t="s">
        <v>177</v>
      </c>
      <c r="E21" s="82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154"/>
    </row>
    <row r="22" spans="1:40" x14ac:dyDescent="0.25">
      <c r="A22" s="80"/>
      <c r="B22" s="80"/>
      <c r="C22" s="80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9"/>
      <c r="G23" s="70"/>
      <c r="H23" s="70"/>
      <c r="I23" s="70"/>
      <c r="J23" s="359"/>
      <c r="K23" s="359"/>
      <c r="L23" s="79"/>
      <c r="M23" s="79"/>
      <c r="N23" s="70"/>
      <c r="O23" s="70"/>
      <c r="P23" s="70"/>
      <c r="Q23" s="70"/>
      <c r="R23" s="79"/>
      <c r="S23" s="200"/>
      <c r="T23" s="154"/>
      <c r="V23" s="200"/>
      <c r="Y23" s="200"/>
      <c r="Z23" s="300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159">
        <v>4</v>
      </c>
      <c r="B24" s="80"/>
      <c r="C24" s="82" t="s">
        <v>156</v>
      </c>
      <c r="D24" s="80"/>
      <c r="E24" s="80"/>
      <c r="F24" s="225">
        <v>112</v>
      </c>
      <c r="G24" s="70"/>
      <c r="H24" s="78"/>
      <c r="I24" s="78"/>
      <c r="J24" s="283">
        <f>INPUT!D85</f>
        <v>17.14</v>
      </c>
      <c r="K24" s="284"/>
      <c r="L24" s="79">
        <f>ROUND(F24*J24,0)</f>
        <v>1920</v>
      </c>
      <c r="M24" s="79"/>
      <c r="N24" s="156">
        <f>ROUND((L24/L$45)*100,1)</f>
        <v>0.3</v>
      </c>
      <c r="O24" s="156"/>
      <c r="P24" s="79"/>
      <c r="Q24" s="79"/>
      <c r="R24" s="79">
        <f>L24+P24</f>
        <v>1920</v>
      </c>
      <c r="S24" s="200"/>
      <c r="V24" s="211"/>
      <c r="Y24" s="211"/>
      <c r="Z24" s="305"/>
      <c r="AA24" s="211"/>
      <c r="AB24" s="211"/>
      <c r="AC24" s="211"/>
      <c r="AD24" s="211"/>
      <c r="AE24" s="211"/>
      <c r="AF24" s="211"/>
      <c r="AI24" s="211"/>
      <c r="AJ24" s="211"/>
      <c r="AK24" s="212"/>
      <c r="AL24" s="211"/>
      <c r="AM24" s="210"/>
      <c r="AN24" s="210"/>
    </row>
    <row r="25" spans="1:40" x14ac:dyDescent="0.25">
      <c r="A25" s="159">
        <v>5</v>
      </c>
      <c r="B25" s="80"/>
      <c r="C25" s="82" t="s">
        <v>157</v>
      </c>
      <c r="D25" s="80"/>
      <c r="E25" s="80"/>
      <c r="F25" s="225">
        <v>390</v>
      </c>
      <c r="G25" s="70"/>
      <c r="H25" s="285"/>
      <c r="I25" s="285"/>
      <c r="J25" s="283">
        <f>INPUT!D86</f>
        <v>34.28</v>
      </c>
      <c r="K25" s="284"/>
      <c r="L25" s="79">
        <f>ROUND(F25*J25,0)</f>
        <v>13369</v>
      </c>
      <c r="M25" s="79"/>
      <c r="N25" s="156">
        <f>ROUND((L25/L$45)*100,1)-0.1</f>
        <v>1.7999999999999998</v>
      </c>
      <c r="O25" s="156"/>
      <c r="P25" s="79"/>
      <c r="Q25" s="79"/>
      <c r="R25" s="79">
        <f>L25+P25</f>
        <v>13369</v>
      </c>
      <c r="S25" s="200"/>
      <c r="V25" s="252"/>
      <c r="Y25" s="252"/>
      <c r="Z25" s="305"/>
      <c r="AA25" s="200"/>
      <c r="AB25" s="200"/>
      <c r="AC25" s="210"/>
      <c r="AD25" s="210"/>
      <c r="AE25" s="200"/>
      <c r="AF25" s="200"/>
      <c r="AI25" s="200"/>
      <c r="AJ25" s="200"/>
      <c r="AK25" s="209"/>
      <c r="AL25" s="200"/>
      <c r="AM25" s="210"/>
      <c r="AN25" s="210"/>
    </row>
    <row r="26" spans="1:40" x14ac:dyDescent="0.25">
      <c r="A26" s="159">
        <v>6</v>
      </c>
      <c r="B26" s="80"/>
      <c r="C26" s="81" t="s">
        <v>166</v>
      </c>
      <c r="D26" s="80"/>
      <c r="E26" s="80"/>
      <c r="F26" s="225">
        <v>0</v>
      </c>
      <c r="G26" s="70"/>
      <c r="H26" s="285"/>
      <c r="I26" s="285"/>
      <c r="J26" s="283">
        <f>INPUT!D87</f>
        <v>118.78</v>
      </c>
      <c r="K26" s="284"/>
      <c r="L26" s="79">
        <f>ROUND(F26*J26,0)</f>
        <v>0</v>
      </c>
      <c r="M26" s="79"/>
      <c r="N26" s="341">
        <f>ROUND((L26/L$45)*100,1)</f>
        <v>0</v>
      </c>
      <c r="O26" s="156"/>
      <c r="P26" s="79"/>
      <c r="Q26" s="79"/>
      <c r="R26" s="167">
        <f>L26+P26</f>
        <v>0</v>
      </c>
      <c r="S26" s="200"/>
      <c r="V26" s="252"/>
      <c r="Y26" s="252"/>
      <c r="Z26" s="305"/>
      <c r="AA26" s="200"/>
      <c r="AB26" s="200"/>
      <c r="AC26" s="210"/>
      <c r="AD26" s="210"/>
      <c r="AE26" s="200"/>
      <c r="AF26" s="200"/>
      <c r="AI26" s="200"/>
      <c r="AJ26" s="200"/>
      <c r="AK26" s="209"/>
      <c r="AL26" s="200"/>
      <c r="AM26" s="210"/>
      <c r="AN26" s="210"/>
    </row>
    <row r="27" spans="1:40" ht="20.100000000000001" customHeight="1" x14ac:dyDescent="0.25">
      <c r="A27" s="159">
        <v>7</v>
      </c>
      <c r="B27" s="80"/>
      <c r="C27" s="253" t="s">
        <v>158</v>
      </c>
      <c r="D27" s="80"/>
      <c r="E27" s="80"/>
      <c r="F27" s="169">
        <f>SUM(F24:F26)</f>
        <v>502</v>
      </c>
      <c r="G27" s="70"/>
      <c r="H27" s="79"/>
      <c r="I27" s="79"/>
      <c r="J27" s="263"/>
      <c r="K27" s="263"/>
      <c r="L27" s="169">
        <f>SUM(L24:L26)</f>
        <v>15289</v>
      </c>
      <c r="M27" s="79"/>
      <c r="N27" s="303">
        <f>ROUND((L27/L$45)*100,1)</f>
        <v>2.1</v>
      </c>
      <c r="O27" s="156"/>
      <c r="P27" s="169"/>
      <c r="Q27" s="79"/>
      <c r="R27" s="169">
        <f>SUM(R24:R26)</f>
        <v>15289</v>
      </c>
      <c r="S27" s="200"/>
      <c r="V27" s="211"/>
      <c r="Y27" s="211"/>
      <c r="Z27" s="305"/>
      <c r="AA27" s="211"/>
      <c r="AB27" s="211"/>
      <c r="AC27" s="211"/>
      <c r="AD27" s="211"/>
      <c r="AE27" s="211"/>
      <c r="AF27" s="211"/>
      <c r="AI27" s="211"/>
      <c r="AJ27" s="211"/>
      <c r="AK27" s="212"/>
      <c r="AL27" s="211"/>
      <c r="AM27" s="210"/>
      <c r="AN27" s="210"/>
    </row>
    <row r="28" spans="1:40" x14ac:dyDescent="0.25">
      <c r="A28" s="159"/>
      <c r="B28" s="80"/>
      <c r="C28" s="82"/>
      <c r="D28" s="80"/>
      <c r="E28" s="80"/>
      <c r="F28" s="163"/>
      <c r="G28" s="70"/>
      <c r="H28" s="79"/>
      <c r="I28" s="79"/>
      <c r="J28" s="263"/>
      <c r="K28" s="263"/>
      <c r="L28" s="163"/>
      <c r="M28" s="79"/>
      <c r="N28" s="198"/>
      <c r="O28" s="156"/>
      <c r="P28" s="163"/>
      <c r="Q28" s="79"/>
      <c r="R28" s="163"/>
      <c r="S28" s="200"/>
      <c r="V28" s="211"/>
      <c r="Y28" s="211"/>
      <c r="Z28" s="305"/>
      <c r="AA28" s="211"/>
      <c r="AB28" s="211"/>
      <c r="AC28" s="211"/>
      <c r="AD28" s="211"/>
      <c r="AE28" s="211"/>
      <c r="AF28" s="211"/>
      <c r="AI28" s="211"/>
      <c r="AJ28" s="211"/>
      <c r="AK28" s="212"/>
      <c r="AL28" s="211"/>
      <c r="AM28" s="210"/>
      <c r="AN28" s="210"/>
    </row>
    <row r="29" spans="1:40" x14ac:dyDescent="0.25">
      <c r="A29" s="159">
        <v>8</v>
      </c>
      <c r="B29" s="80"/>
      <c r="C29" s="253" t="s">
        <v>65</v>
      </c>
      <c r="D29" s="80"/>
      <c r="E29" s="80"/>
      <c r="F29" s="163"/>
      <c r="G29" s="70"/>
      <c r="H29" s="79"/>
      <c r="I29" s="79"/>
      <c r="J29" s="263"/>
      <c r="K29" s="263"/>
      <c r="L29" s="163"/>
      <c r="M29" s="79"/>
      <c r="N29" s="198"/>
      <c r="O29" s="156"/>
      <c r="P29" s="163"/>
      <c r="Q29" s="79"/>
      <c r="R29" s="163"/>
      <c r="S29" s="200"/>
      <c r="V29" s="211"/>
      <c r="Y29" s="211"/>
      <c r="Z29" s="305"/>
      <c r="AA29" s="211"/>
      <c r="AB29" s="211"/>
      <c r="AC29" s="211"/>
      <c r="AD29" s="211"/>
      <c r="AE29" s="211"/>
      <c r="AF29" s="211"/>
      <c r="AI29" s="211"/>
      <c r="AJ29" s="211"/>
      <c r="AK29" s="212"/>
      <c r="AL29" s="211"/>
      <c r="AM29" s="210"/>
      <c r="AN29" s="210"/>
    </row>
    <row r="30" spans="1:40" x14ac:dyDescent="0.25">
      <c r="A30" s="159">
        <v>9</v>
      </c>
      <c r="B30" s="80"/>
      <c r="C30" s="82" t="s">
        <v>172</v>
      </c>
      <c r="D30" s="80"/>
      <c r="E30" s="80"/>
      <c r="F30" s="163"/>
      <c r="G30" s="70"/>
      <c r="H30" s="353">
        <v>38467.440000000002</v>
      </c>
      <c r="I30" s="79"/>
      <c r="J30" s="360">
        <f>INPUT!D91</f>
        <v>0</v>
      </c>
      <c r="K30" s="263"/>
      <c r="L30" s="167">
        <f>ROUND((H30*J30),0)</f>
        <v>0</v>
      </c>
      <c r="M30" s="79"/>
      <c r="N30" s="341">
        <f>ROUND((L30/L$45)*100,1)</f>
        <v>0</v>
      </c>
      <c r="O30" s="156"/>
      <c r="P30" s="167"/>
      <c r="Q30" s="79"/>
      <c r="R30" s="167">
        <f>L30+P30</f>
        <v>0</v>
      </c>
      <c r="S30" s="200"/>
      <c r="V30" s="211"/>
      <c r="Y30" s="211"/>
      <c r="Z30" s="305"/>
      <c r="AA30" s="211"/>
      <c r="AB30" s="211"/>
      <c r="AC30" s="211"/>
      <c r="AD30" s="211"/>
      <c r="AE30" s="211"/>
      <c r="AF30" s="211"/>
      <c r="AI30" s="211"/>
      <c r="AJ30" s="211"/>
      <c r="AK30" s="212"/>
      <c r="AL30" s="211"/>
      <c r="AM30" s="210"/>
      <c r="AN30" s="210"/>
    </row>
    <row r="31" spans="1:40" x14ac:dyDescent="0.25">
      <c r="A31" s="159"/>
      <c r="B31" s="80"/>
      <c r="C31" s="82"/>
      <c r="D31" s="80"/>
      <c r="E31" s="80"/>
      <c r="F31" s="163"/>
      <c r="G31" s="70"/>
      <c r="H31" s="200"/>
      <c r="I31" s="79"/>
      <c r="J31" s="360"/>
      <c r="K31" s="263"/>
      <c r="L31" s="163"/>
      <c r="M31" s="79"/>
      <c r="N31" s="198"/>
      <c r="O31" s="156"/>
      <c r="P31" s="163"/>
      <c r="Q31" s="79"/>
      <c r="R31" s="163"/>
      <c r="S31" s="200"/>
      <c r="V31" s="211"/>
      <c r="Y31" s="211"/>
      <c r="Z31" s="305"/>
      <c r="AA31" s="211"/>
      <c r="AB31" s="211"/>
      <c r="AC31" s="211"/>
      <c r="AD31" s="211"/>
      <c r="AE31" s="211"/>
      <c r="AF31" s="211"/>
      <c r="AI31" s="211"/>
      <c r="AJ31" s="211"/>
      <c r="AK31" s="212"/>
      <c r="AL31" s="211"/>
      <c r="AM31" s="210"/>
      <c r="AN31" s="210"/>
    </row>
    <row r="32" spans="1:40" x14ac:dyDescent="0.25">
      <c r="A32" s="159">
        <v>10</v>
      </c>
      <c r="B32" s="80"/>
      <c r="C32" s="253" t="s">
        <v>481</v>
      </c>
      <c r="D32" s="80"/>
      <c r="E32" s="80"/>
      <c r="F32" s="79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9"/>
      <c r="S32" s="200"/>
      <c r="T32" s="154"/>
      <c r="Z32" s="305"/>
      <c r="AA32" s="200"/>
      <c r="AB32" s="200"/>
      <c r="AC32" s="210"/>
      <c r="AD32" s="210"/>
      <c r="AE32" s="200"/>
      <c r="AF32" s="200"/>
      <c r="AG32" s="209"/>
      <c r="AH32" s="210"/>
      <c r="AI32" s="200"/>
      <c r="AJ32" s="200"/>
      <c r="AK32" s="209"/>
      <c r="AL32" s="200"/>
      <c r="AM32" s="210"/>
      <c r="AN32" s="210"/>
    </row>
    <row r="33" spans="1:44" x14ac:dyDescent="0.25">
      <c r="A33" s="159">
        <v>11</v>
      </c>
      <c r="B33" s="80"/>
      <c r="C33" s="82" t="s">
        <v>70</v>
      </c>
      <c r="D33" s="80"/>
      <c r="E33" s="80"/>
      <c r="F33" s="167"/>
      <c r="G33" s="70"/>
      <c r="H33" s="287">
        <v>9803357</v>
      </c>
      <c r="I33" s="78"/>
      <c r="J33" s="295">
        <f>INPUT!D89</f>
        <v>6.9946999999999995E-2</v>
      </c>
      <c r="K33" s="289"/>
      <c r="L33" s="167">
        <f>ROUND((H33*J33),0)</f>
        <v>685715</v>
      </c>
      <c r="M33" s="79"/>
      <c r="N33" s="341">
        <f>ROUND((L33/L$45)*100,1)</f>
        <v>95</v>
      </c>
      <c r="O33" s="156"/>
      <c r="P33" s="286"/>
      <c r="Q33" s="78"/>
      <c r="R33" s="167">
        <f>L33+P33</f>
        <v>685715</v>
      </c>
      <c r="Z33" s="202"/>
    </row>
    <row r="34" spans="1:44" ht="18" customHeight="1" x14ac:dyDescent="0.25">
      <c r="A34" s="159">
        <v>12</v>
      </c>
      <c r="B34" s="80"/>
      <c r="C34" s="265" t="s">
        <v>565</v>
      </c>
      <c r="D34" s="80"/>
      <c r="E34" s="80"/>
      <c r="F34" s="167">
        <f>F27</f>
        <v>502</v>
      </c>
      <c r="G34" s="70"/>
      <c r="H34" s="126">
        <f>H33</f>
        <v>9803357</v>
      </c>
      <c r="I34" s="78"/>
      <c r="J34" s="295"/>
      <c r="K34" s="289"/>
      <c r="L34" s="169">
        <f>L27+L30+L33</f>
        <v>701004</v>
      </c>
      <c r="M34" s="79"/>
      <c r="N34" s="303">
        <f>ROUND((L34/L$45)*100,1)</f>
        <v>97.1</v>
      </c>
      <c r="O34" s="156"/>
      <c r="P34" s="126"/>
      <c r="Q34" s="78"/>
      <c r="R34" s="169">
        <f>R33+R30+R27</f>
        <v>701004</v>
      </c>
      <c r="Z34" s="202"/>
    </row>
    <row r="35" spans="1:44" x14ac:dyDescent="0.25">
      <c r="A35" s="159"/>
      <c r="B35" s="80"/>
      <c r="C35" s="82"/>
      <c r="D35" s="80"/>
      <c r="E35" s="80"/>
      <c r="F35" s="163"/>
      <c r="G35" s="70"/>
      <c r="H35" s="252"/>
      <c r="I35" s="78"/>
      <c r="J35" s="295"/>
      <c r="K35" s="289"/>
      <c r="L35" s="163"/>
      <c r="M35" s="79"/>
      <c r="N35" s="198"/>
      <c r="O35" s="156"/>
      <c r="P35" s="230"/>
      <c r="Q35" s="78"/>
      <c r="R35" s="163"/>
      <c r="Z35" s="202"/>
    </row>
    <row r="36" spans="1:44" x14ac:dyDescent="0.25">
      <c r="A36" s="159">
        <v>13</v>
      </c>
      <c r="B36" s="80"/>
      <c r="C36" s="253" t="s">
        <v>553</v>
      </c>
      <c r="D36" s="80"/>
      <c r="E36" s="80"/>
      <c r="F36" s="163"/>
      <c r="G36" s="70"/>
      <c r="H36" s="163"/>
      <c r="I36" s="163"/>
      <c r="J36" s="347"/>
      <c r="K36" s="289"/>
      <c r="L36" s="163"/>
      <c r="M36" s="79"/>
      <c r="N36" s="198"/>
      <c r="O36" s="156"/>
      <c r="P36" s="230"/>
      <c r="Q36" s="78"/>
      <c r="R36" s="163"/>
      <c r="Z36" s="202"/>
    </row>
    <row r="37" spans="1:44" x14ac:dyDescent="0.25">
      <c r="A37" s="159">
        <v>14</v>
      </c>
      <c r="B37" s="80"/>
      <c r="C37" s="153" t="str">
        <f>DSMR_Name</f>
        <v>DEMAND SIDE MANAGEMENT RIDER (DSMR)</v>
      </c>
      <c r="D37" s="80"/>
      <c r="E37" s="80"/>
      <c r="F37" s="163"/>
      <c r="G37" s="70"/>
      <c r="H37" s="163"/>
      <c r="I37" s="163"/>
      <c r="J37" s="308">
        <f>PRO_DSM_DIST</f>
        <v>2.5760000000000002E-3</v>
      </c>
      <c r="K37" s="289"/>
      <c r="L37" s="163">
        <f>ROUND($H$34*J37,0)</f>
        <v>25253</v>
      </c>
      <c r="M37" s="79"/>
      <c r="N37" s="155">
        <f>ROUND((L37/L$45)*100,1)</f>
        <v>3.5</v>
      </c>
      <c r="O37" s="156"/>
      <c r="P37" s="230"/>
      <c r="Q37" s="78"/>
      <c r="R37" s="79">
        <f t="shared" ref="R37:R42" si="0">L37+P37</f>
        <v>25253</v>
      </c>
      <c r="Z37" s="202"/>
    </row>
    <row r="38" spans="1:44" x14ac:dyDescent="0.25">
      <c r="A38" s="159">
        <v>15</v>
      </c>
      <c r="B38" s="80"/>
      <c r="C38" s="153" t="str">
        <f>ESM_Name</f>
        <v>ENVIRONMENTAL SURCHARGE MECHANISM RIDER (ESM)</v>
      </c>
      <c r="D38" s="80"/>
      <c r="E38" s="80"/>
      <c r="F38" s="163"/>
      <c r="G38" s="70"/>
      <c r="H38" s="163"/>
      <c r="I38" s="163"/>
      <c r="J38" s="288">
        <f>PRO_ESM</f>
        <v>0</v>
      </c>
      <c r="K38" s="289"/>
      <c r="L38" s="163">
        <f>ROUND(R34*J38,0)</f>
        <v>0</v>
      </c>
      <c r="M38" s="79"/>
      <c r="N38" s="155">
        <f t="shared" ref="N38:N39" si="1">ROUND((L38/L$45)*100,1)</f>
        <v>0</v>
      </c>
      <c r="O38" s="156"/>
      <c r="P38" s="230"/>
      <c r="Q38" s="78"/>
      <c r="R38" s="79">
        <f t="shared" si="0"/>
        <v>0</v>
      </c>
      <c r="Z38" s="202"/>
    </row>
    <row r="39" spans="1:44" x14ac:dyDescent="0.25">
      <c r="A39" s="159">
        <v>16</v>
      </c>
      <c r="B39" s="80"/>
      <c r="C39" s="153" t="str">
        <f>DCI_Name</f>
        <v>DISTRIBUTION CAPITAL INVESTMENT RIDER (DCI)</v>
      </c>
      <c r="D39" s="80"/>
      <c r="E39" s="80"/>
      <c r="F39" s="163"/>
      <c r="G39" s="70"/>
      <c r="H39" s="163"/>
      <c r="I39" s="163"/>
      <c r="J39" s="288">
        <f>PRO_DCI_EH</f>
        <v>0</v>
      </c>
      <c r="K39" s="289"/>
      <c r="L39" s="163">
        <f>ROUND($H$33*J39,0)</f>
        <v>0</v>
      </c>
      <c r="M39" s="79"/>
      <c r="N39" s="155">
        <f t="shared" si="1"/>
        <v>0</v>
      </c>
      <c r="O39" s="156"/>
      <c r="P39" s="230"/>
      <c r="Q39" s="78"/>
      <c r="R39" s="79">
        <f t="shared" si="0"/>
        <v>0</v>
      </c>
      <c r="Z39" s="202"/>
    </row>
    <row r="40" spans="1:44" x14ac:dyDescent="0.25">
      <c r="A40" s="159">
        <v>17</v>
      </c>
      <c r="B40" s="80"/>
      <c r="C40" s="153" t="str">
        <f>FAC_Name</f>
        <v>FUEL ADJUSTMENT CLAUSE (FAC)</v>
      </c>
      <c r="D40" s="80"/>
      <c r="E40" s="80"/>
      <c r="F40" s="163"/>
      <c r="G40" s="70"/>
      <c r="H40" s="163"/>
      <c r="I40" s="163"/>
      <c r="J40" s="308">
        <f>PRO_FAC</f>
        <v>1.0280000000000003E-3</v>
      </c>
      <c r="K40" s="289"/>
      <c r="L40" s="163"/>
      <c r="M40" s="79"/>
      <c r="N40" s="155">
        <f>ROUND((L40/L$45)*100,1)</f>
        <v>0</v>
      </c>
      <c r="O40" s="156"/>
      <c r="P40" s="230">
        <f>ROUND(H34*PRO_FAC,0)</f>
        <v>10078</v>
      </c>
      <c r="Q40" s="78"/>
      <c r="R40" s="79">
        <f t="shared" si="0"/>
        <v>10078</v>
      </c>
      <c r="Z40" s="202"/>
    </row>
    <row r="41" spans="1:44" x14ac:dyDescent="0.25">
      <c r="A41" s="159">
        <v>18</v>
      </c>
      <c r="B41" s="80"/>
      <c r="C41" s="153" t="str">
        <f>FTR_Name</f>
        <v>FERC TRANSMISSION COST RECOVERY RECONCILIATION (FTR)</v>
      </c>
      <c r="D41" s="80"/>
      <c r="E41" s="80"/>
      <c r="F41" s="163"/>
      <c r="G41" s="70"/>
      <c r="H41" s="163"/>
      <c r="I41" s="163"/>
      <c r="J41" s="288">
        <f>PRO_FTR_EH</f>
        <v>0</v>
      </c>
      <c r="K41" s="289"/>
      <c r="L41" s="163">
        <f>ROUND($H$33*J41,0)</f>
        <v>0</v>
      </c>
      <c r="M41" s="79"/>
      <c r="N41" s="155">
        <f>ROUND((L41/L$45)*100,1)</f>
        <v>0</v>
      </c>
      <c r="O41" s="156"/>
      <c r="P41" s="230"/>
      <c r="Q41" s="78"/>
      <c r="R41" s="79">
        <f t="shared" si="0"/>
        <v>0</v>
      </c>
      <c r="Z41" s="202"/>
    </row>
    <row r="42" spans="1:44" x14ac:dyDescent="0.25">
      <c r="A42" s="159">
        <v>19</v>
      </c>
      <c r="B42" s="80"/>
      <c r="C42" s="153" t="str">
        <f>PSM_Name</f>
        <v>PROFIT SHARING MECHANISM (PSM)</v>
      </c>
      <c r="D42" s="80"/>
      <c r="E42" s="80"/>
      <c r="F42" s="163"/>
      <c r="G42" s="70"/>
      <c r="H42" s="163"/>
      <c r="I42" s="163"/>
      <c r="J42" s="308">
        <f>PRO_PSM</f>
        <v>-4.5600000000000003E-4</v>
      </c>
      <c r="K42" s="289"/>
      <c r="L42" s="167">
        <f>ROUND(H34*PRO_PSM,0)</f>
        <v>-4470</v>
      </c>
      <c r="M42" s="79"/>
      <c r="N42" s="155">
        <f>ROUND((L42/L$45)*100,1)</f>
        <v>-0.6</v>
      </c>
      <c r="O42" s="156"/>
      <c r="P42" s="286"/>
      <c r="Q42" s="78"/>
      <c r="R42" s="79">
        <f t="shared" si="0"/>
        <v>-4470</v>
      </c>
      <c r="Z42" s="202"/>
    </row>
    <row r="43" spans="1:44" ht="18" customHeight="1" x14ac:dyDescent="0.25">
      <c r="A43" s="159">
        <v>20</v>
      </c>
      <c r="B43" s="80"/>
      <c r="C43" s="253" t="s">
        <v>557</v>
      </c>
      <c r="D43" s="80"/>
      <c r="E43" s="80"/>
      <c r="F43" s="167"/>
      <c r="G43" s="70"/>
      <c r="H43" s="167"/>
      <c r="I43" s="163"/>
      <c r="J43" s="268"/>
      <c r="K43" s="289"/>
      <c r="L43" s="169">
        <f>SUM(L37:L42)</f>
        <v>20783</v>
      </c>
      <c r="M43" s="79"/>
      <c r="N43" s="170">
        <f>ROUND((L43/L$45)*100,1)</f>
        <v>2.9</v>
      </c>
      <c r="O43" s="156"/>
      <c r="P43" s="126">
        <f>SUM(P37:P42)</f>
        <v>10078</v>
      </c>
      <c r="Q43" s="78"/>
      <c r="R43" s="169">
        <f>SUM(R37:R42)</f>
        <v>30861</v>
      </c>
      <c r="Z43" s="202"/>
    </row>
    <row r="44" spans="1:44" x14ac:dyDescent="0.25">
      <c r="A44" s="159"/>
      <c r="B44" s="80"/>
      <c r="C44" s="82"/>
      <c r="D44" s="80"/>
      <c r="E44" s="80"/>
      <c r="F44" s="163"/>
      <c r="G44" s="70"/>
      <c r="H44" s="252"/>
      <c r="I44" s="78"/>
      <c r="J44" s="290"/>
      <c r="K44" s="289"/>
      <c r="L44" s="163"/>
      <c r="M44" s="79"/>
      <c r="N44" s="198"/>
      <c r="O44" s="156"/>
      <c r="P44" s="230"/>
      <c r="Q44" s="78"/>
      <c r="R44" s="163"/>
      <c r="Z44" s="202"/>
    </row>
    <row r="45" spans="1:44" ht="20.100000000000001" customHeight="1" thickBot="1" x14ac:dyDescent="0.3">
      <c r="A45" s="159">
        <v>21</v>
      </c>
      <c r="B45" s="80"/>
      <c r="C45" s="253" t="s">
        <v>566</v>
      </c>
      <c r="D45" s="80"/>
      <c r="E45" s="80"/>
      <c r="F45" s="275">
        <f>F34</f>
        <v>502</v>
      </c>
      <c r="G45" s="70"/>
      <c r="H45" s="275">
        <f>H34</f>
        <v>9803357</v>
      </c>
      <c r="I45" s="79"/>
      <c r="J45" s="359"/>
      <c r="K45" s="359"/>
      <c r="L45" s="275">
        <f>L34+L43</f>
        <v>721787</v>
      </c>
      <c r="M45" s="79"/>
      <c r="N45" s="309">
        <v>100</v>
      </c>
      <c r="O45" s="156"/>
      <c r="P45" s="275">
        <f>P43+P34</f>
        <v>10078</v>
      </c>
      <c r="Q45" s="79"/>
      <c r="R45" s="275">
        <f>R43+R34</f>
        <v>731865</v>
      </c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188"/>
      <c r="AH45" s="80"/>
      <c r="AI45" s="80"/>
      <c r="AJ45" s="80"/>
      <c r="AK45" s="188"/>
      <c r="AL45" s="80"/>
      <c r="AM45" s="80"/>
      <c r="AN45" s="80"/>
      <c r="AO45" s="80"/>
      <c r="AP45" s="80"/>
      <c r="AQ45" s="188"/>
      <c r="AR45" s="80"/>
    </row>
    <row r="46" spans="1:44" ht="16.5" thickTop="1" x14ac:dyDescent="0.25">
      <c r="A46" s="80"/>
      <c r="B46" s="80"/>
      <c r="C46" s="80"/>
      <c r="D46" s="80"/>
      <c r="E46" s="8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9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188"/>
      <c r="AH46" s="80"/>
      <c r="AI46" s="80"/>
      <c r="AJ46" s="80"/>
      <c r="AK46" s="188"/>
      <c r="AL46" s="80"/>
      <c r="AM46" s="80"/>
      <c r="AN46" s="80"/>
      <c r="AO46" s="80"/>
      <c r="AP46" s="80"/>
      <c r="AQ46" s="188"/>
      <c r="AR46" s="80"/>
    </row>
    <row r="47" spans="1:44" x14ac:dyDescent="0.25">
      <c r="A47" s="80"/>
      <c r="B47" s="80"/>
      <c r="C47" s="173" t="s">
        <v>61</v>
      </c>
      <c r="D47" s="80"/>
      <c r="E47" s="80"/>
      <c r="F47" s="189"/>
      <c r="G47" s="80"/>
      <c r="H47" s="189"/>
      <c r="I47" s="189"/>
      <c r="J47" s="310"/>
      <c r="K47" s="310"/>
      <c r="L47" s="189"/>
      <c r="M47" s="189"/>
      <c r="N47" s="189"/>
      <c r="O47" s="189"/>
      <c r="P47" s="189"/>
      <c r="Q47" s="189"/>
      <c r="R47" s="189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188"/>
      <c r="AH47" s="80"/>
      <c r="AI47" s="80"/>
      <c r="AJ47" s="80"/>
      <c r="AK47" s="188"/>
      <c r="AL47" s="80"/>
      <c r="AM47" s="80"/>
      <c r="AN47" s="80"/>
      <c r="AO47" s="80"/>
      <c r="AP47" s="80"/>
      <c r="AQ47" s="188"/>
      <c r="AR47" s="80"/>
    </row>
    <row r="48" spans="1:44" x14ac:dyDescent="0.25">
      <c r="A48" s="80"/>
      <c r="B48" s="80"/>
      <c r="C48" s="173" t="str">
        <f>"(2) REFLECTS FUEL COMPONENT OF "&amp;TEXT(PRO_FAC,"$0.000000;($0.000000)")&amp;"  PER KWH."</f>
        <v>(2) REFLECTS FUEL COMPONENT OF $0.001028  PER KWH.</v>
      </c>
      <c r="D48" s="80"/>
      <c r="E48" s="80"/>
      <c r="F48" s="189"/>
      <c r="G48" s="80"/>
      <c r="H48" s="189"/>
      <c r="I48" s="189"/>
      <c r="J48" s="310"/>
      <c r="K48" s="310"/>
      <c r="L48" s="189"/>
      <c r="M48" s="189"/>
      <c r="N48" s="189"/>
      <c r="O48" s="189"/>
      <c r="P48" s="189"/>
      <c r="Q48" s="189"/>
      <c r="R48" s="189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188"/>
      <c r="AH48" s="80"/>
      <c r="AI48" s="80"/>
      <c r="AJ48" s="80"/>
      <c r="AK48" s="188"/>
      <c r="AL48" s="80"/>
      <c r="AM48" s="80"/>
      <c r="AN48" s="80"/>
      <c r="AO48" s="80"/>
      <c r="AP48" s="80"/>
      <c r="AQ48" s="188"/>
      <c r="AR48" s="80"/>
    </row>
    <row r="49" spans="1:47" x14ac:dyDescent="0.25">
      <c r="A49" s="103"/>
      <c r="C49" s="173" t="str">
        <f>"(3) REFLECTS FUEL COST RECOVERY INCLUDED IN BASE RATES OF "&amp;TEXT(PRO_BASE_FUEL,"$0.000000;($0.000000)")&amp;"  PER KWH."</f>
        <v>(3) REFLECTS FUEL COST RECOVERY INCLUDED IN BASE RATES OF $0.023837  PER KWH.</v>
      </c>
      <c r="D49" s="103"/>
      <c r="E49" s="103"/>
      <c r="F49" s="103"/>
      <c r="J49" s="103"/>
      <c r="K49" s="103"/>
      <c r="L49" s="103"/>
      <c r="M49" s="103"/>
      <c r="N49" s="103"/>
      <c r="O49" s="103"/>
      <c r="P49" s="103"/>
      <c r="Q49" s="103"/>
      <c r="R49" s="103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188"/>
      <c r="AH49" s="80"/>
      <c r="AI49" s="80"/>
      <c r="AJ49" s="80"/>
      <c r="AK49" s="188"/>
      <c r="AL49" s="80"/>
      <c r="AM49" s="80"/>
      <c r="AN49" s="80"/>
      <c r="AO49" s="80"/>
      <c r="AP49" s="80"/>
      <c r="AQ49" s="188"/>
      <c r="AR49" s="80"/>
    </row>
    <row r="50" spans="1:47" x14ac:dyDescent="0.25">
      <c r="A50" s="103"/>
      <c r="C50" s="103"/>
      <c r="D50" s="103"/>
      <c r="E50" s="103"/>
      <c r="F50" s="103"/>
      <c r="J50" s="103"/>
      <c r="K50" s="103"/>
      <c r="L50" s="103"/>
      <c r="M50" s="103"/>
      <c r="N50" s="103"/>
      <c r="O50" s="103"/>
      <c r="P50" s="103"/>
      <c r="Q50" s="103"/>
      <c r="R50" s="103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188"/>
      <c r="AH50" s="80"/>
      <c r="AI50" s="80"/>
      <c r="AJ50" s="80"/>
      <c r="AK50" s="188"/>
      <c r="AL50" s="80"/>
      <c r="AM50" s="80"/>
      <c r="AN50" s="80"/>
      <c r="AO50" s="80"/>
      <c r="AP50" s="80"/>
      <c r="AQ50" s="188"/>
      <c r="AR50" s="80"/>
    </row>
    <row r="51" spans="1:47" x14ac:dyDescent="0.25">
      <c r="A51" s="103"/>
      <c r="C51" s="103"/>
      <c r="D51" s="103"/>
      <c r="E51" s="103"/>
      <c r="F51" s="361"/>
      <c r="G51" s="361"/>
      <c r="H51" s="361"/>
      <c r="I51" s="361"/>
      <c r="J51" s="361"/>
      <c r="K51" s="103"/>
      <c r="L51" s="103"/>
      <c r="M51" s="103"/>
      <c r="N51" s="103"/>
      <c r="O51" s="103"/>
      <c r="P51" s="103"/>
      <c r="Q51" s="103"/>
      <c r="R51" s="103"/>
      <c r="T51" s="150" t="str">
        <f>NAME</f>
        <v>DUKE ENERGY KENTUCKY, INC.</v>
      </c>
      <c r="U51" s="150"/>
      <c r="V51" s="150"/>
      <c r="W51" s="150"/>
      <c r="X51" s="150"/>
      <c r="Y51" s="150"/>
      <c r="Z51" s="150"/>
      <c r="AA51" s="150"/>
      <c r="AB51" s="150"/>
      <c r="AC51" s="187"/>
      <c r="AD51" s="187"/>
      <c r="AE51" s="150"/>
      <c r="AF51" s="100"/>
      <c r="AG51" s="190"/>
      <c r="AH51" s="100"/>
      <c r="AI51" s="150"/>
      <c r="AJ51" s="150"/>
      <c r="AK51" s="190"/>
      <c r="AL51" s="150"/>
      <c r="AM51" s="150"/>
      <c r="AN51" s="100"/>
      <c r="AO51" s="150"/>
      <c r="AP51" s="150"/>
      <c r="AQ51" s="190"/>
    </row>
    <row r="52" spans="1:47" x14ac:dyDescent="0.25">
      <c r="A52" s="103"/>
      <c r="C52" s="103"/>
      <c r="D52" s="103"/>
      <c r="E52" s="103"/>
      <c r="F52" s="361"/>
      <c r="G52" s="361"/>
      <c r="H52" s="361"/>
      <c r="I52" s="361"/>
      <c r="J52" s="361"/>
      <c r="K52" s="103"/>
      <c r="L52" s="103"/>
      <c r="M52" s="103"/>
      <c r="N52" s="103"/>
      <c r="O52" s="103"/>
      <c r="P52" s="103"/>
      <c r="Q52" s="103"/>
      <c r="R52" s="103"/>
      <c r="T52" s="150" t="str">
        <f>CASE_NO</f>
        <v>CASE NO.   2017-00321</v>
      </c>
      <c r="U52" s="150"/>
      <c r="V52" s="150"/>
      <c r="W52" s="150"/>
      <c r="X52" s="150"/>
      <c r="Y52" s="150"/>
      <c r="Z52" s="150"/>
      <c r="AA52" s="150"/>
      <c r="AB52" s="150"/>
      <c r="AC52" s="187"/>
      <c r="AD52" s="187"/>
      <c r="AE52" s="150"/>
      <c r="AF52" s="100"/>
      <c r="AG52" s="190"/>
      <c r="AH52" s="100"/>
      <c r="AI52" s="150"/>
      <c r="AJ52" s="150"/>
      <c r="AK52" s="190"/>
      <c r="AL52" s="150"/>
      <c r="AM52" s="150"/>
      <c r="AN52" s="100"/>
      <c r="AO52" s="150"/>
      <c r="AP52" s="150"/>
      <c r="AQ52" s="190"/>
    </row>
    <row r="53" spans="1:47" x14ac:dyDescent="0.25">
      <c r="C53" s="103"/>
      <c r="D53" s="103"/>
      <c r="E53" s="103"/>
      <c r="F53" s="361"/>
      <c r="G53" s="361"/>
      <c r="H53" s="361"/>
      <c r="I53" s="361"/>
      <c r="J53" s="361"/>
      <c r="K53" s="103"/>
      <c r="L53" s="103"/>
      <c r="M53" s="103"/>
      <c r="N53" s="103"/>
      <c r="O53" s="103"/>
      <c r="P53" s="103"/>
      <c r="Q53" s="103"/>
      <c r="R53" s="103"/>
      <c r="T53" s="187" t="str">
        <f>TITLE</f>
        <v>ANNUALIZED BASE YEAR REVENUES AT PROPOSED VS. MOST CURRENT RATES</v>
      </c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00"/>
      <c r="AG53" s="190"/>
      <c r="AH53" s="100"/>
      <c r="AI53" s="150"/>
      <c r="AJ53" s="150"/>
      <c r="AK53" s="190"/>
      <c r="AL53" s="150"/>
      <c r="AM53" s="150"/>
      <c r="AN53" s="100"/>
      <c r="AO53" s="150"/>
      <c r="AP53" s="150"/>
      <c r="AQ53" s="190"/>
    </row>
    <row r="54" spans="1:47" x14ac:dyDescent="0.25">
      <c r="A54" s="102"/>
      <c r="B54" s="102"/>
      <c r="C54" s="102"/>
      <c r="D54" s="102"/>
      <c r="E54" s="102"/>
      <c r="F54" s="361"/>
      <c r="G54" s="361"/>
      <c r="H54" s="361"/>
      <c r="I54" s="361"/>
      <c r="J54" s="361"/>
      <c r="K54" s="102"/>
      <c r="L54" s="102"/>
      <c r="M54" s="102"/>
      <c r="N54" s="102"/>
      <c r="O54" s="102"/>
      <c r="P54" s="102"/>
      <c r="Q54" s="102"/>
      <c r="R54" s="102"/>
      <c r="T54" s="150" t="str">
        <f>DATE</f>
        <v>FOR THE TWELVE MONTHS ENDED November 30, 2017</v>
      </c>
      <c r="U54" s="150"/>
      <c r="V54" s="150"/>
      <c r="W54" s="150"/>
      <c r="X54" s="150"/>
      <c r="Y54" s="150"/>
      <c r="Z54" s="150"/>
      <c r="AA54" s="150"/>
      <c r="AB54" s="150"/>
      <c r="AC54" s="187"/>
      <c r="AD54" s="187"/>
      <c r="AE54" s="150"/>
      <c r="AF54" s="100"/>
      <c r="AG54" s="190"/>
      <c r="AH54" s="100"/>
      <c r="AI54" s="150"/>
      <c r="AJ54" s="150"/>
      <c r="AK54" s="190"/>
      <c r="AL54" s="150"/>
      <c r="AM54" s="150"/>
      <c r="AN54" s="100"/>
      <c r="AO54" s="150"/>
      <c r="AP54" s="150"/>
      <c r="AQ54" s="190"/>
    </row>
    <row r="55" spans="1:47" x14ac:dyDescent="0.25">
      <c r="F55" s="361"/>
      <c r="G55" s="361"/>
      <c r="H55" s="361"/>
      <c r="I55" s="361"/>
      <c r="J55" s="361"/>
      <c r="K55" s="103"/>
      <c r="L55" s="103"/>
      <c r="M55" s="103"/>
      <c r="N55" s="103"/>
      <c r="O55" s="103"/>
      <c r="P55" s="103"/>
      <c r="Q55" s="103"/>
      <c r="R55" s="103"/>
      <c r="T55" s="150" t="str">
        <f>SERVICE</f>
        <v>(ELECTRIC SERVICE)</v>
      </c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87"/>
      <c r="AF55" s="312"/>
      <c r="AG55" s="190"/>
      <c r="AH55" s="100"/>
      <c r="AI55" s="150"/>
      <c r="AJ55" s="150"/>
      <c r="AK55" s="190"/>
      <c r="AL55" s="150"/>
      <c r="AM55" s="150"/>
      <c r="AN55" s="100"/>
      <c r="AO55" s="150"/>
      <c r="AP55" s="150"/>
      <c r="AQ55" s="190"/>
    </row>
    <row r="56" spans="1:47" x14ac:dyDescent="0.25">
      <c r="A56" s="202"/>
      <c r="C56" s="154"/>
      <c r="D56" s="154"/>
      <c r="E56" s="154"/>
      <c r="F56" s="361"/>
      <c r="G56" s="361"/>
      <c r="H56" s="361"/>
      <c r="I56" s="361"/>
      <c r="J56" s="361"/>
      <c r="T56" s="159" t="str">
        <f>DATA_PERIOD</f>
        <v>DATA: __X__ BASE PERIOD   ____FORECASTED PERIOD</v>
      </c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G56" s="188"/>
      <c r="AI56" s="80"/>
      <c r="AJ56" s="80"/>
      <c r="AK56" s="188"/>
      <c r="AL56" s="80"/>
      <c r="AM56" s="80"/>
      <c r="AO56" s="82" t="s">
        <v>179</v>
      </c>
      <c r="AP56" s="82"/>
      <c r="AQ56" s="188"/>
    </row>
    <row r="57" spans="1:47" x14ac:dyDescent="0.25">
      <c r="A57" s="202"/>
      <c r="D57" s="154"/>
      <c r="E57" s="154"/>
      <c r="T57" s="159" t="str">
        <f>TYPE</f>
        <v>TYPE OF FILING: _X_ ORIGINAL   ___UPDATED  ___ REVISED</v>
      </c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G57" s="188"/>
      <c r="AI57" s="80"/>
      <c r="AJ57" s="80"/>
      <c r="AK57" s="188"/>
      <c r="AL57" s="80"/>
      <c r="AM57" s="80"/>
      <c r="AO57" s="81" t="str">
        <f>R7</f>
        <v>PAGE  6  OF  22</v>
      </c>
      <c r="AP57" s="82"/>
      <c r="AQ57" s="188"/>
    </row>
    <row r="58" spans="1:47" x14ac:dyDescent="0.25">
      <c r="T58" s="82" t="s">
        <v>192</v>
      </c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G58" s="188"/>
      <c r="AI58" s="80"/>
      <c r="AJ58" s="80"/>
      <c r="AK58" s="188"/>
      <c r="AL58" s="80"/>
      <c r="AM58" s="80"/>
      <c r="AO58" s="82" t="s">
        <v>3</v>
      </c>
      <c r="AP58" s="82"/>
      <c r="AQ58" s="188"/>
    </row>
    <row r="59" spans="1:47" x14ac:dyDescent="0.25">
      <c r="A59" s="202"/>
      <c r="C59" s="154"/>
      <c r="T59" s="253" t="str">
        <f>TIME</f>
        <v>6 Months Actual and 6 Months Projected</v>
      </c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G59" s="188"/>
      <c r="AI59" s="80"/>
      <c r="AJ59" s="80"/>
      <c r="AK59" s="188"/>
      <c r="AL59" s="80"/>
      <c r="AM59" s="80"/>
      <c r="AO59" s="159" t="str">
        <f>WIT</f>
        <v>B. L. SAILERS</v>
      </c>
      <c r="AP59" s="159"/>
      <c r="AQ59" s="188"/>
    </row>
    <row r="60" spans="1:47" x14ac:dyDescent="0.25">
      <c r="A60" s="202"/>
      <c r="C60" s="154"/>
      <c r="T60" s="253" t="str">
        <f>INPUT!B5</f>
        <v>6 Months Actual Ending May 31, 2017</v>
      </c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G60" s="188"/>
      <c r="AI60" s="80"/>
      <c r="AJ60" s="80"/>
      <c r="AK60" s="188"/>
      <c r="AL60" s="80"/>
      <c r="AM60" s="80"/>
      <c r="AO60" s="159"/>
      <c r="AP60" s="159"/>
      <c r="AQ60" s="188"/>
    </row>
    <row r="61" spans="1:47" x14ac:dyDescent="0.25">
      <c r="A61" s="202"/>
      <c r="C61" s="154"/>
      <c r="F61" s="252"/>
      <c r="H61" s="252"/>
      <c r="I61" s="252"/>
      <c r="J61" s="300"/>
      <c r="K61" s="300"/>
      <c r="L61" s="200"/>
      <c r="M61" s="200"/>
      <c r="N61" s="210"/>
      <c r="O61" s="210"/>
      <c r="P61" s="202"/>
      <c r="Q61" s="202"/>
      <c r="R61" s="200"/>
      <c r="T61" s="187" t="s">
        <v>152</v>
      </c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00"/>
      <c r="AG61" s="190"/>
      <c r="AH61" s="100"/>
      <c r="AI61" s="150"/>
      <c r="AJ61" s="150"/>
      <c r="AK61" s="190"/>
      <c r="AL61" s="150"/>
      <c r="AM61" s="150"/>
      <c r="AN61" s="100"/>
      <c r="AO61" s="150"/>
      <c r="AP61" s="150"/>
      <c r="AQ61" s="190"/>
    </row>
    <row r="62" spans="1:47" x14ac:dyDescent="0.25">
      <c r="A62" s="202"/>
      <c r="C62" s="154"/>
      <c r="F62" s="252"/>
      <c r="H62" s="252"/>
      <c r="I62" s="252"/>
      <c r="J62" s="300"/>
      <c r="K62" s="300"/>
      <c r="L62" s="200"/>
      <c r="M62" s="200"/>
      <c r="N62" s="210"/>
      <c r="O62" s="210"/>
      <c r="P62" s="202"/>
      <c r="Q62" s="202"/>
      <c r="R62" s="200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5"/>
      <c r="AH62" s="254"/>
      <c r="AI62" s="254"/>
      <c r="AJ62" s="254"/>
      <c r="AK62" s="255"/>
      <c r="AL62" s="254"/>
      <c r="AM62" s="254"/>
      <c r="AN62" s="254"/>
      <c r="AO62" s="254"/>
      <c r="AP62" s="254"/>
      <c r="AQ62" s="255"/>
      <c r="AS62" s="80"/>
      <c r="AT62" s="80"/>
      <c r="AU62" s="80"/>
    </row>
    <row r="63" spans="1:47" ht="18" customHeight="1" x14ac:dyDescent="0.25">
      <c r="F63" s="211"/>
      <c r="H63" s="200"/>
      <c r="I63" s="200"/>
      <c r="J63" s="305"/>
      <c r="K63" s="305"/>
      <c r="L63" s="211"/>
      <c r="M63" s="211"/>
      <c r="N63" s="211"/>
      <c r="O63" s="211"/>
      <c r="P63" s="211"/>
      <c r="Q63" s="211"/>
      <c r="R63" s="211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3" t="s">
        <v>8</v>
      </c>
      <c r="AF63" s="103"/>
      <c r="AG63" s="195" t="s">
        <v>7</v>
      </c>
      <c r="AH63" s="103"/>
      <c r="AI63" s="83" t="s">
        <v>9</v>
      </c>
      <c r="AJ63" s="83"/>
      <c r="AK63" s="195" t="s">
        <v>10</v>
      </c>
      <c r="AL63" s="83"/>
      <c r="AM63" s="80"/>
      <c r="AO63" s="83" t="s">
        <v>8</v>
      </c>
      <c r="AP63" s="83"/>
      <c r="AQ63" s="195" t="s">
        <v>11</v>
      </c>
      <c r="AS63" s="80"/>
      <c r="AT63" s="80"/>
      <c r="AU63" s="80"/>
    </row>
    <row r="64" spans="1:47" x14ac:dyDescent="0.25">
      <c r="A64" s="202"/>
      <c r="C64" s="154"/>
      <c r="F64" s="200"/>
      <c r="H64" s="200"/>
      <c r="I64" s="200"/>
      <c r="J64" s="305"/>
      <c r="K64" s="305"/>
      <c r="L64" s="200"/>
      <c r="M64" s="200"/>
      <c r="N64" s="210"/>
      <c r="O64" s="210"/>
      <c r="P64" s="200"/>
      <c r="Q64" s="200"/>
      <c r="R64" s="200"/>
      <c r="T64" s="80"/>
      <c r="U64" s="80"/>
      <c r="V64" s="80"/>
      <c r="W64" s="80"/>
      <c r="X64" s="80"/>
      <c r="Y64" s="80"/>
      <c r="Z64" s="80"/>
      <c r="AA64" s="80"/>
      <c r="AB64" s="80"/>
      <c r="AC64" s="83" t="s">
        <v>14</v>
      </c>
      <c r="AD64" s="83"/>
      <c r="AE64" s="83" t="s">
        <v>12</v>
      </c>
      <c r="AF64" s="103"/>
      <c r="AG64" s="195" t="s">
        <v>13</v>
      </c>
      <c r="AH64" s="103"/>
      <c r="AI64" s="83" t="s">
        <v>15</v>
      </c>
      <c r="AJ64" s="83"/>
      <c r="AK64" s="195" t="s">
        <v>16</v>
      </c>
      <c r="AL64" s="83"/>
      <c r="AM64" s="80"/>
      <c r="AO64" s="83" t="s">
        <v>11</v>
      </c>
      <c r="AP64" s="83"/>
      <c r="AQ64" s="195" t="s">
        <v>9</v>
      </c>
      <c r="AS64" s="80"/>
      <c r="AT64" s="80"/>
      <c r="AU64" s="80"/>
    </row>
    <row r="65" spans="1:76" x14ac:dyDescent="0.25">
      <c r="F65" s="211"/>
      <c r="H65" s="200"/>
      <c r="I65" s="200"/>
      <c r="J65" s="305"/>
      <c r="K65" s="305"/>
      <c r="L65" s="211"/>
      <c r="M65" s="211"/>
      <c r="N65" s="211"/>
      <c r="O65" s="211"/>
      <c r="P65" s="211"/>
      <c r="Q65" s="211"/>
      <c r="R65" s="211"/>
      <c r="T65" s="83" t="s">
        <v>17</v>
      </c>
      <c r="U65" s="80"/>
      <c r="V65" s="83" t="s">
        <v>18</v>
      </c>
      <c r="W65" s="83" t="s">
        <v>19</v>
      </c>
      <c r="X65" s="83"/>
      <c r="Y65" s="83" t="s">
        <v>20</v>
      </c>
      <c r="Z65" s="80"/>
      <c r="AA65" s="80"/>
      <c r="AB65" s="80"/>
      <c r="AC65" s="83" t="s">
        <v>8</v>
      </c>
      <c r="AD65" s="83"/>
      <c r="AE65" s="83" t="s">
        <v>21</v>
      </c>
      <c r="AF65" s="103"/>
      <c r="AG65" s="195" t="s">
        <v>21</v>
      </c>
      <c r="AH65" s="103"/>
      <c r="AI65" s="83" t="s">
        <v>22</v>
      </c>
      <c r="AJ65" s="83"/>
      <c r="AK65" s="195" t="s">
        <v>22</v>
      </c>
      <c r="AL65" s="83"/>
      <c r="AM65" s="83" t="s">
        <v>21</v>
      </c>
      <c r="AN65" s="103"/>
      <c r="AO65" s="83" t="s">
        <v>9</v>
      </c>
      <c r="AP65" s="83"/>
      <c r="AQ65" s="195" t="s">
        <v>23</v>
      </c>
      <c r="AS65" s="189"/>
      <c r="AT65" s="189"/>
      <c r="AU65" s="362"/>
    </row>
    <row r="66" spans="1:76" x14ac:dyDescent="0.25">
      <c r="F66" s="200"/>
      <c r="H66" s="200"/>
      <c r="I66" s="200"/>
      <c r="J66" s="305"/>
      <c r="K66" s="305"/>
      <c r="L66" s="200"/>
      <c r="M66" s="200"/>
      <c r="N66" s="210"/>
      <c r="O66" s="210"/>
      <c r="P66" s="200"/>
      <c r="Q66" s="200"/>
      <c r="R66" s="200"/>
      <c r="T66" s="83" t="s">
        <v>24</v>
      </c>
      <c r="U66" s="80"/>
      <c r="V66" s="83" t="s">
        <v>25</v>
      </c>
      <c r="W66" s="83" t="s">
        <v>26</v>
      </c>
      <c r="X66" s="83"/>
      <c r="Y66" s="83" t="s">
        <v>27</v>
      </c>
      <c r="Z66" s="80"/>
      <c r="AA66" s="83" t="s">
        <v>28</v>
      </c>
      <c r="AB66" s="83"/>
      <c r="AC66" s="83" t="s">
        <v>29</v>
      </c>
      <c r="AD66" s="83"/>
      <c r="AE66" s="83" t="s">
        <v>9</v>
      </c>
      <c r="AF66" s="103"/>
      <c r="AG66" s="195" t="s">
        <v>9</v>
      </c>
      <c r="AH66" s="103"/>
      <c r="AI66" s="256" t="s">
        <v>31</v>
      </c>
      <c r="AJ66" s="256"/>
      <c r="AK66" s="257" t="s">
        <v>32</v>
      </c>
      <c r="AL66" s="83"/>
      <c r="AM66" s="83" t="s">
        <v>430</v>
      </c>
      <c r="AN66" s="103"/>
      <c r="AO66" s="256" t="s">
        <v>33</v>
      </c>
      <c r="AP66" s="256"/>
      <c r="AQ66" s="257" t="s">
        <v>34</v>
      </c>
      <c r="AS66" s="189"/>
      <c r="AT66" s="189"/>
      <c r="AU66" s="363"/>
      <c r="BX66" s="317"/>
    </row>
    <row r="67" spans="1:76" x14ac:dyDescent="0.25">
      <c r="A67" s="202"/>
      <c r="C67" s="154"/>
      <c r="F67" s="252"/>
      <c r="H67" s="252"/>
      <c r="I67" s="252"/>
      <c r="J67" s="300"/>
      <c r="K67" s="300"/>
      <c r="L67" s="200"/>
      <c r="M67" s="200"/>
      <c r="N67" s="210"/>
      <c r="O67" s="210"/>
      <c r="P67" s="200"/>
      <c r="Q67" s="200"/>
      <c r="R67" s="200"/>
      <c r="T67" s="80"/>
      <c r="U67" s="80"/>
      <c r="V67" s="256" t="s">
        <v>35</v>
      </c>
      <c r="W67" s="256" t="s">
        <v>36</v>
      </c>
      <c r="X67" s="256"/>
      <c r="Y67" s="256" t="s">
        <v>37</v>
      </c>
      <c r="Z67" s="258"/>
      <c r="AA67" s="256" t="s">
        <v>38</v>
      </c>
      <c r="AB67" s="256"/>
      <c r="AC67" s="256" t="s">
        <v>44</v>
      </c>
      <c r="AD67" s="256"/>
      <c r="AE67" s="256" t="s">
        <v>45</v>
      </c>
      <c r="AF67" s="313"/>
      <c r="AG67" s="257" t="s">
        <v>46</v>
      </c>
      <c r="AH67" s="313"/>
      <c r="AI67" s="256" t="s">
        <v>47</v>
      </c>
      <c r="AJ67" s="256"/>
      <c r="AK67" s="257" t="s">
        <v>48</v>
      </c>
      <c r="AL67" s="256"/>
      <c r="AM67" s="256" t="s">
        <v>42</v>
      </c>
      <c r="AN67" s="313"/>
      <c r="AO67" s="256" t="s">
        <v>49</v>
      </c>
      <c r="AP67" s="256"/>
      <c r="AQ67" s="257" t="s">
        <v>50</v>
      </c>
      <c r="AS67" s="189"/>
      <c r="AT67" s="189"/>
      <c r="AU67" s="363"/>
    </row>
    <row r="68" spans="1:76" x14ac:dyDescent="0.25">
      <c r="F68" s="200"/>
      <c r="H68" s="211"/>
      <c r="I68" s="211"/>
      <c r="J68" s="305"/>
      <c r="K68" s="305"/>
      <c r="L68" s="211"/>
      <c r="M68" s="211"/>
      <c r="N68" s="211"/>
      <c r="O68" s="211"/>
      <c r="P68" s="211"/>
      <c r="Q68" s="211"/>
      <c r="R68" s="211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5"/>
      <c r="AH68" s="254"/>
      <c r="AI68" s="254"/>
      <c r="AJ68" s="254"/>
      <c r="AK68" s="255"/>
      <c r="AL68" s="254"/>
      <c r="AM68" s="254"/>
      <c r="AN68" s="254"/>
      <c r="AO68" s="254"/>
      <c r="AP68" s="254"/>
      <c r="AQ68" s="255"/>
      <c r="AS68" s="189"/>
      <c r="AT68" s="189"/>
      <c r="AU68" s="363"/>
    </row>
    <row r="69" spans="1:76" ht="17.100000000000001" customHeight="1" x14ac:dyDescent="0.25">
      <c r="A69" s="202"/>
      <c r="C69" s="154"/>
      <c r="F69" s="200"/>
      <c r="H69" s="200"/>
      <c r="I69" s="200"/>
      <c r="J69" s="213"/>
      <c r="K69" s="213"/>
      <c r="L69" s="200"/>
      <c r="M69" s="200"/>
      <c r="N69" s="210"/>
      <c r="O69" s="210"/>
      <c r="P69" s="200"/>
      <c r="Q69" s="200"/>
      <c r="R69" s="200"/>
      <c r="T69" s="80"/>
      <c r="U69" s="80"/>
      <c r="V69" s="80"/>
      <c r="W69" s="80"/>
      <c r="X69" s="80"/>
      <c r="Y69" s="80"/>
      <c r="Z69" s="80"/>
      <c r="AA69" s="260" t="s">
        <v>218</v>
      </c>
      <c r="AB69" s="259"/>
      <c r="AC69" s="260" t="s">
        <v>441</v>
      </c>
      <c r="AD69" s="259"/>
      <c r="AE69" s="259" t="s">
        <v>52</v>
      </c>
      <c r="AF69" s="314"/>
      <c r="AG69" s="261" t="s">
        <v>53</v>
      </c>
      <c r="AH69" s="314"/>
      <c r="AI69" s="259" t="s">
        <v>52</v>
      </c>
      <c r="AJ69" s="259"/>
      <c r="AK69" s="261" t="s">
        <v>53</v>
      </c>
      <c r="AL69" s="259"/>
      <c r="AM69" s="259" t="s">
        <v>52</v>
      </c>
      <c r="AN69" s="314"/>
      <c r="AO69" s="259" t="s">
        <v>52</v>
      </c>
      <c r="AP69" s="259"/>
      <c r="AQ69" s="261" t="s">
        <v>53</v>
      </c>
      <c r="AS69" s="189"/>
      <c r="AT69" s="189"/>
      <c r="AU69" s="362"/>
    </row>
    <row r="70" spans="1:76" x14ac:dyDescent="0.25">
      <c r="A70" s="202"/>
      <c r="C70" s="154"/>
      <c r="F70" s="252"/>
      <c r="H70" s="252"/>
      <c r="I70" s="252"/>
      <c r="J70" s="320"/>
      <c r="K70" s="320"/>
      <c r="L70" s="200"/>
      <c r="M70" s="200"/>
      <c r="N70" s="210"/>
      <c r="O70" s="210"/>
      <c r="P70" s="252"/>
      <c r="Q70" s="252"/>
      <c r="R70" s="200"/>
      <c r="T70" s="159">
        <v>1</v>
      </c>
      <c r="U70" s="80"/>
      <c r="V70" s="253" t="s">
        <v>116</v>
      </c>
      <c r="W70" s="253" t="s">
        <v>176</v>
      </c>
      <c r="X70" s="82"/>
      <c r="Y70" s="70"/>
      <c r="Z70" s="70"/>
      <c r="AA70" s="298"/>
      <c r="AB70" s="298"/>
      <c r="AC70" s="299" t="s">
        <v>435</v>
      </c>
      <c r="AD70" s="298"/>
      <c r="AE70" s="298"/>
      <c r="AF70" s="298"/>
      <c r="AG70" s="316"/>
      <c r="AH70" s="298"/>
      <c r="AI70" s="298"/>
      <c r="AJ70" s="298"/>
      <c r="AK70" s="316"/>
      <c r="AL70" s="298"/>
      <c r="AM70" s="298"/>
      <c r="AN70" s="298"/>
      <c r="AO70" s="298"/>
      <c r="AP70" s="298"/>
      <c r="AQ70" s="316"/>
      <c r="AS70" s="189"/>
      <c r="AT70" s="189"/>
      <c r="AU70" s="363"/>
    </row>
    <row r="71" spans="1:76" x14ac:dyDescent="0.25">
      <c r="A71" s="202"/>
      <c r="C71" s="154"/>
      <c r="H71" s="252"/>
      <c r="I71" s="252"/>
      <c r="J71" s="320"/>
      <c r="K71" s="320"/>
      <c r="L71" s="200"/>
      <c r="M71" s="200"/>
      <c r="N71" s="210"/>
      <c r="O71" s="210"/>
      <c r="P71" s="252"/>
      <c r="Q71" s="252"/>
      <c r="R71" s="200"/>
      <c r="T71" s="159">
        <v>2</v>
      </c>
      <c r="U71" s="80"/>
      <c r="V71" s="258"/>
      <c r="W71" s="253" t="s">
        <v>177</v>
      </c>
      <c r="X71" s="82"/>
      <c r="Y71" s="70"/>
      <c r="Z71" s="70"/>
      <c r="AA71" s="70"/>
      <c r="AB71" s="70"/>
      <c r="AC71" s="70"/>
      <c r="AD71" s="70"/>
      <c r="AE71" s="70"/>
      <c r="AF71" s="70"/>
      <c r="AG71" s="164"/>
      <c r="AH71" s="70"/>
      <c r="AI71" s="70"/>
      <c r="AJ71" s="70"/>
      <c r="AK71" s="164"/>
      <c r="AL71" s="70"/>
      <c r="AM71" s="70"/>
      <c r="AN71" s="70"/>
      <c r="AO71" s="70"/>
      <c r="AP71" s="70"/>
      <c r="AQ71" s="164"/>
      <c r="AS71" s="189"/>
      <c r="AT71" s="189"/>
      <c r="AU71" s="363"/>
    </row>
    <row r="72" spans="1:76" x14ac:dyDescent="0.25">
      <c r="A72" s="202"/>
      <c r="C72" s="154"/>
      <c r="F72" s="200"/>
      <c r="H72" s="200"/>
      <c r="I72" s="200"/>
      <c r="J72" s="213"/>
      <c r="K72" s="213"/>
      <c r="L72" s="200"/>
      <c r="M72" s="200"/>
      <c r="N72" s="210"/>
      <c r="O72" s="210"/>
      <c r="P72" s="200"/>
      <c r="Q72" s="200"/>
      <c r="R72" s="200"/>
      <c r="T72" s="80"/>
      <c r="U72" s="80"/>
      <c r="V72" s="80"/>
      <c r="W72" s="80"/>
      <c r="X72" s="80"/>
      <c r="Y72" s="70"/>
      <c r="Z72" s="70"/>
      <c r="AA72" s="70"/>
      <c r="AB72" s="70"/>
      <c r="AC72" s="70"/>
      <c r="AD72" s="70"/>
      <c r="AE72" s="70"/>
      <c r="AF72" s="70"/>
      <c r="AG72" s="164"/>
      <c r="AH72" s="70"/>
      <c r="AI72" s="70"/>
      <c r="AJ72" s="70"/>
      <c r="AK72" s="164"/>
      <c r="AL72" s="70"/>
      <c r="AM72" s="70"/>
      <c r="AN72" s="70"/>
      <c r="AO72" s="70"/>
      <c r="AP72" s="70"/>
      <c r="AQ72" s="164"/>
      <c r="AS72" s="189"/>
      <c r="AT72" s="189"/>
      <c r="AU72" s="363"/>
    </row>
    <row r="73" spans="1:76" x14ac:dyDescent="0.25">
      <c r="F73" s="211"/>
      <c r="H73" s="211"/>
      <c r="I73" s="211"/>
      <c r="J73" s="305"/>
      <c r="K73" s="305"/>
      <c r="L73" s="211"/>
      <c r="M73" s="211"/>
      <c r="N73" s="211"/>
      <c r="O73" s="211"/>
      <c r="P73" s="211"/>
      <c r="Q73" s="211"/>
      <c r="R73" s="211"/>
      <c r="T73" s="159">
        <v>3</v>
      </c>
      <c r="U73" s="80"/>
      <c r="V73" s="253" t="s">
        <v>155</v>
      </c>
      <c r="W73" s="80"/>
      <c r="X73" s="80"/>
      <c r="Y73" s="79"/>
      <c r="Z73" s="70"/>
      <c r="AA73" s="70"/>
      <c r="AB73" s="70"/>
      <c r="AC73" s="359"/>
      <c r="AD73" s="359"/>
      <c r="AE73" s="79"/>
      <c r="AF73" s="79"/>
      <c r="AG73" s="164"/>
      <c r="AH73" s="70"/>
      <c r="AI73" s="70"/>
      <c r="AJ73" s="70"/>
      <c r="AK73" s="164"/>
      <c r="AL73" s="70"/>
      <c r="AM73" s="70"/>
      <c r="AN73" s="70"/>
      <c r="AO73" s="79"/>
      <c r="AP73" s="79"/>
      <c r="AQ73" s="164"/>
      <c r="AS73" s="189"/>
      <c r="AT73" s="189"/>
      <c r="AU73" s="363"/>
    </row>
    <row r="74" spans="1:76" x14ac:dyDescent="0.25">
      <c r="A74" s="154"/>
      <c r="F74" s="200"/>
      <c r="H74" s="200"/>
      <c r="I74" s="200"/>
      <c r="J74" s="213"/>
      <c r="K74" s="213"/>
      <c r="L74" s="200"/>
      <c r="M74" s="200"/>
      <c r="N74" s="200"/>
      <c r="O74" s="200"/>
      <c r="P74" s="200"/>
      <c r="Q74" s="200"/>
      <c r="R74" s="200"/>
      <c r="T74" s="159">
        <v>4</v>
      </c>
      <c r="U74" s="80"/>
      <c r="V74" s="82" t="s">
        <v>156</v>
      </c>
      <c r="W74" s="80"/>
      <c r="X74" s="80"/>
      <c r="Y74" s="79">
        <f>F24</f>
        <v>112</v>
      </c>
      <c r="Z74" s="70"/>
      <c r="AA74" s="79"/>
      <c r="AB74" s="79"/>
      <c r="AC74" s="283">
        <f>INPUT!C85</f>
        <v>7.5</v>
      </c>
      <c r="AD74" s="284"/>
      <c r="AE74" s="79">
        <f>ROUND(Y74*AC74,0)</f>
        <v>840</v>
      </c>
      <c r="AF74" s="79"/>
      <c r="AG74" s="197">
        <f>ROUND((AE74/AE$95)*100,1)</f>
        <v>0.1</v>
      </c>
      <c r="AH74" s="156"/>
      <c r="AI74" s="79">
        <f>L24-AE74</f>
        <v>1080</v>
      </c>
      <c r="AJ74" s="79"/>
      <c r="AK74" s="157">
        <f>IF(AE74=0,"0.0 ",ROUND((AI74/AE74)*100,1))</f>
        <v>128.6</v>
      </c>
      <c r="AL74" s="158"/>
      <c r="AM74" s="79"/>
      <c r="AN74" s="79"/>
      <c r="AO74" s="79">
        <f>AE74+AM74</f>
        <v>840</v>
      </c>
      <c r="AP74" s="79"/>
      <c r="AQ74" s="157">
        <f>IF(AO74=0,"0.0 ",ROUND((AI74/AO74)*100,1))</f>
        <v>128.6</v>
      </c>
      <c r="AR74" s="200"/>
      <c r="AS74" s="189"/>
      <c r="AT74" s="189"/>
      <c r="AU74" s="363"/>
    </row>
    <row r="75" spans="1:76" x14ac:dyDescent="0.25">
      <c r="L75" s="200"/>
      <c r="M75" s="200"/>
      <c r="N75" s="200"/>
      <c r="O75" s="200"/>
      <c r="P75" s="200"/>
      <c r="Q75" s="200"/>
      <c r="R75" s="200"/>
      <c r="T75" s="159">
        <v>5</v>
      </c>
      <c r="U75" s="80"/>
      <c r="V75" s="82" t="s">
        <v>157</v>
      </c>
      <c r="W75" s="80"/>
      <c r="X75" s="80"/>
      <c r="Y75" s="79">
        <f>F25</f>
        <v>390</v>
      </c>
      <c r="Z75" s="70"/>
      <c r="AA75" s="79"/>
      <c r="AB75" s="79"/>
      <c r="AC75" s="283">
        <f>INPUT!C86</f>
        <v>15</v>
      </c>
      <c r="AD75" s="284"/>
      <c r="AE75" s="79">
        <f>ROUND(Y75*AC75,0)</f>
        <v>5850</v>
      </c>
      <c r="AF75" s="79"/>
      <c r="AG75" s="197">
        <f>ROUND((AE75/AE$95)*100,1)+0.1</f>
        <v>1</v>
      </c>
      <c r="AH75" s="156"/>
      <c r="AI75" s="79">
        <f>L25-AE75</f>
        <v>7519</v>
      </c>
      <c r="AJ75" s="79"/>
      <c r="AK75" s="155">
        <f>IF(AE75=0,"0.0 ",ROUND((AI75/AE75)*100,1))</f>
        <v>128.5</v>
      </c>
      <c r="AL75" s="158"/>
      <c r="AM75" s="79"/>
      <c r="AN75" s="79"/>
      <c r="AO75" s="79">
        <f>AE75+AM75</f>
        <v>5850</v>
      </c>
      <c r="AP75" s="79"/>
      <c r="AQ75" s="157">
        <f>IF(AO75=0,"0.0 ",ROUND((AI75/AO75)*100,1))</f>
        <v>128.5</v>
      </c>
      <c r="AR75" s="200"/>
      <c r="AS75" s="189"/>
      <c r="AT75" s="189"/>
      <c r="AU75" s="363"/>
    </row>
    <row r="76" spans="1:76" x14ac:dyDescent="0.25">
      <c r="L76" s="200"/>
      <c r="M76" s="200"/>
      <c r="N76" s="200"/>
      <c r="O76" s="200"/>
      <c r="P76" s="200"/>
      <c r="Q76" s="200"/>
      <c r="R76" s="200"/>
      <c r="T76" s="159">
        <v>6</v>
      </c>
      <c r="U76" s="80"/>
      <c r="V76" s="82" t="s">
        <v>166</v>
      </c>
      <c r="W76" s="80"/>
      <c r="X76" s="80"/>
      <c r="Y76" s="79">
        <f>F26</f>
        <v>0</v>
      </c>
      <c r="Z76" s="70"/>
      <c r="AA76" s="79"/>
      <c r="AB76" s="79"/>
      <c r="AC76" s="283">
        <f>INPUT!C87</f>
        <v>100</v>
      </c>
      <c r="AD76" s="284"/>
      <c r="AE76" s="167">
        <f>ROUND(Y76*AC76,0)</f>
        <v>0</v>
      </c>
      <c r="AF76" s="79"/>
      <c r="AG76" s="166">
        <f>ROUND((AE76/AE$95)*100,1)</f>
        <v>0</v>
      </c>
      <c r="AH76" s="156"/>
      <c r="AI76" s="79">
        <f>L26-AE76</f>
        <v>0</v>
      </c>
      <c r="AJ76" s="79"/>
      <c r="AK76" s="168" t="str">
        <f>IF(AE76=0,"0.0 ",ROUND((AI76/AE76)*100,1))</f>
        <v xml:space="preserve">0.0 </v>
      </c>
      <c r="AL76" s="158"/>
      <c r="AM76" s="79"/>
      <c r="AN76" s="79"/>
      <c r="AO76" s="79">
        <f>AE76+AM76</f>
        <v>0</v>
      </c>
      <c r="AP76" s="79"/>
      <c r="AQ76" s="157" t="str">
        <f>IF(AO76=0,"0.0 ",ROUND((AI76/AO76)*100,1))</f>
        <v xml:space="preserve">0.0 </v>
      </c>
      <c r="AR76" s="200"/>
      <c r="AS76" s="189"/>
      <c r="AT76" s="189"/>
      <c r="AU76" s="363"/>
    </row>
    <row r="77" spans="1:76" ht="20.100000000000001" customHeight="1" x14ac:dyDescent="0.25">
      <c r="H77" s="154"/>
      <c r="I77" s="154"/>
      <c r="T77" s="159">
        <v>7</v>
      </c>
      <c r="U77" s="80"/>
      <c r="V77" s="253" t="s">
        <v>158</v>
      </c>
      <c r="W77" s="80"/>
      <c r="X77" s="80"/>
      <c r="Y77" s="169">
        <f>F27</f>
        <v>502</v>
      </c>
      <c r="Z77" s="70"/>
      <c r="AA77" s="79"/>
      <c r="AB77" s="79"/>
      <c r="AC77" s="263"/>
      <c r="AD77" s="263"/>
      <c r="AE77" s="169">
        <f>SUM(AE74:AE76)</f>
        <v>6690</v>
      </c>
      <c r="AF77" s="79"/>
      <c r="AG77" s="166">
        <f>ROUND((AE77/AE$95)*100,1)</f>
        <v>1.1000000000000001</v>
      </c>
      <c r="AH77" s="156"/>
      <c r="AI77" s="169">
        <f>SUM(AI74:AI76)</f>
        <v>8599</v>
      </c>
      <c r="AJ77" s="79"/>
      <c r="AK77" s="171">
        <f>IF(AE77=0,"0.0 ",ROUND((AI77/AE77)*100,1))</f>
        <v>128.5</v>
      </c>
      <c r="AL77" s="158"/>
      <c r="AM77" s="169"/>
      <c r="AN77" s="79"/>
      <c r="AO77" s="169">
        <f>SUM(AO74:AO76)</f>
        <v>6690</v>
      </c>
      <c r="AP77" s="79"/>
      <c r="AQ77" s="157">
        <f>IF(AO77=0,"0.0 ",ROUND((AI77/AO77)*100,1))</f>
        <v>128.5</v>
      </c>
      <c r="AR77" s="200"/>
      <c r="AS77" s="80"/>
      <c r="AT77" s="80"/>
      <c r="AU77" s="80"/>
    </row>
    <row r="78" spans="1:76" x14ac:dyDescent="0.25">
      <c r="L78" s="154"/>
      <c r="M78" s="154"/>
      <c r="T78" s="80"/>
      <c r="U78" s="80"/>
      <c r="V78" s="80"/>
      <c r="W78" s="80"/>
      <c r="X78" s="80"/>
      <c r="Y78" s="79"/>
      <c r="Z78" s="70"/>
      <c r="AA78" s="70"/>
      <c r="AB78" s="70"/>
      <c r="AC78" s="70"/>
      <c r="AD78" s="70"/>
      <c r="AE78" s="70"/>
      <c r="AF78" s="70"/>
      <c r="AG78" s="164"/>
      <c r="AH78" s="70"/>
      <c r="AI78" s="70"/>
      <c r="AJ78" s="70"/>
      <c r="AK78" s="164"/>
      <c r="AL78" s="70"/>
      <c r="AM78" s="70"/>
      <c r="AN78" s="70"/>
      <c r="AO78" s="79"/>
      <c r="AP78" s="79"/>
      <c r="AQ78" s="164"/>
      <c r="AR78" s="252"/>
    </row>
    <row r="79" spans="1:76" x14ac:dyDescent="0.25">
      <c r="L79" s="154"/>
      <c r="M79" s="154"/>
      <c r="T79" s="80">
        <v>8</v>
      </c>
      <c r="U79" s="80"/>
      <c r="V79" s="258" t="s">
        <v>65</v>
      </c>
      <c r="W79" s="80"/>
      <c r="X79" s="80"/>
      <c r="Y79" s="79"/>
      <c r="Z79" s="70"/>
      <c r="AA79" s="70"/>
      <c r="AB79" s="70"/>
      <c r="AC79" s="70"/>
      <c r="AD79" s="70"/>
      <c r="AE79" s="70"/>
      <c r="AF79" s="70"/>
      <c r="AG79" s="164"/>
      <c r="AH79" s="70"/>
      <c r="AI79" s="70"/>
      <c r="AJ79" s="70"/>
      <c r="AK79" s="351"/>
      <c r="AL79" s="70"/>
      <c r="AM79" s="70"/>
      <c r="AN79" s="70"/>
      <c r="AO79" s="79"/>
      <c r="AP79" s="79"/>
      <c r="AQ79" s="164"/>
      <c r="AR79" s="252"/>
    </row>
    <row r="80" spans="1:76" x14ac:dyDescent="0.25">
      <c r="L80" s="154"/>
      <c r="M80" s="154"/>
      <c r="T80" s="80">
        <v>9</v>
      </c>
      <c r="U80" s="80"/>
      <c r="V80" s="80" t="s">
        <v>172</v>
      </c>
      <c r="W80" s="80"/>
      <c r="X80" s="80"/>
      <c r="Y80" s="79"/>
      <c r="Z80" s="70"/>
      <c r="AA80" s="203">
        <f>H30</f>
        <v>38467.440000000002</v>
      </c>
      <c r="AB80" s="70"/>
      <c r="AC80" s="283">
        <f>INPUT!C91</f>
        <v>0</v>
      </c>
      <c r="AD80" s="70"/>
      <c r="AE80" s="167">
        <f>ROUND(Y80*AC80,0)</f>
        <v>0</v>
      </c>
      <c r="AF80" s="70"/>
      <c r="AG80" s="166">
        <f>ROUND((AE80/AE$95)*100,1)</f>
        <v>0</v>
      </c>
      <c r="AH80" s="70"/>
      <c r="AI80" s="167">
        <f>L30-AE80</f>
        <v>0</v>
      </c>
      <c r="AJ80" s="70"/>
      <c r="AK80" s="168" t="str">
        <f>IF(AE80=0,"0.0 ",ROUND((AI80/AE80)*100,1))</f>
        <v xml:space="preserve">0.0 </v>
      </c>
      <c r="AL80" s="70"/>
      <c r="AM80" s="84"/>
      <c r="AN80" s="70"/>
      <c r="AO80" s="167">
        <f>AE80+AM80</f>
        <v>0</v>
      </c>
      <c r="AP80" s="79"/>
      <c r="AQ80" s="157" t="str">
        <f>IF(AO80=0,"0.0 ",ROUND((AI80/AO80)*100,1))</f>
        <v xml:space="preserve">0.0 </v>
      </c>
      <c r="AR80" s="252"/>
    </row>
    <row r="81" spans="1:44" x14ac:dyDescent="0.25">
      <c r="L81" s="154"/>
      <c r="M81" s="154"/>
      <c r="T81" s="80"/>
      <c r="U81" s="80"/>
      <c r="V81" s="80"/>
      <c r="W81" s="80"/>
      <c r="X81" s="80"/>
      <c r="Y81" s="79"/>
      <c r="Z81" s="70"/>
      <c r="AA81" s="70"/>
      <c r="AB81" s="70"/>
      <c r="AC81" s="70"/>
      <c r="AD81" s="70"/>
      <c r="AE81" s="70"/>
      <c r="AF81" s="70"/>
      <c r="AG81" s="164"/>
      <c r="AH81" s="70"/>
      <c r="AI81" s="70"/>
      <c r="AJ81" s="70"/>
      <c r="AK81" s="164"/>
      <c r="AL81" s="70"/>
      <c r="AM81" s="70"/>
      <c r="AN81" s="70"/>
      <c r="AO81" s="79"/>
      <c r="AP81" s="79"/>
      <c r="AQ81" s="164"/>
      <c r="AR81" s="252"/>
    </row>
    <row r="82" spans="1:44" x14ac:dyDescent="0.25">
      <c r="A82" s="202"/>
      <c r="R82" s="154"/>
      <c r="T82" s="159">
        <v>10</v>
      </c>
      <c r="U82" s="80"/>
      <c r="V82" s="253" t="s">
        <v>481</v>
      </c>
      <c r="W82" s="80"/>
      <c r="X82" s="80"/>
      <c r="Y82" s="79"/>
      <c r="Z82" s="70"/>
      <c r="AA82" s="70"/>
      <c r="AB82" s="70"/>
      <c r="AC82" s="70"/>
      <c r="AD82" s="70"/>
      <c r="AE82" s="70"/>
      <c r="AF82" s="70"/>
      <c r="AG82" s="164"/>
      <c r="AH82" s="70"/>
      <c r="AI82" s="70"/>
      <c r="AJ82" s="70"/>
      <c r="AK82" s="351"/>
      <c r="AL82" s="70"/>
      <c r="AM82" s="70"/>
      <c r="AN82" s="70"/>
      <c r="AO82" s="79"/>
      <c r="AP82" s="79"/>
      <c r="AQ82" s="164"/>
      <c r="AR82" s="252"/>
    </row>
    <row r="83" spans="1:44" x14ac:dyDescent="0.25">
      <c r="A83" s="154"/>
      <c r="R83" s="154"/>
      <c r="T83" s="159">
        <v>11</v>
      </c>
      <c r="U83" s="80"/>
      <c r="V83" s="82" t="s">
        <v>89</v>
      </c>
      <c r="W83" s="80"/>
      <c r="X83" s="80"/>
      <c r="Y83" s="163"/>
      <c r="Z83" s="85"/>
      <c r="AA83" s="167">
        <f>H33</f>
        <v>9803357</v>
      </c>
      <c r="AB83" s="79"/>
      <c r="AC83" s="288">
        <f>INPUT!C89</f>
        <v>6.1524000000000002E-2</v>
      </c>
      <c r="AD83" s="293"/>
      <c r="AE83" s="167">
        <f>ROUND((AA83*AC83),0)</f>
        <v>603142</v>
      </c>
      <c r="AF83" s="79"/>
      <c r="AG83" s="166">
        <f>ROUND((AE83/AE$95)*100,1)</f>
        <v>95.6</v>
      </c>
      <c r="AH83" s="156"/>
      <c r="AI83" s="167">
        <f>L33-AE83</f>
        <v>82573</v>
      </c>
      <c r="AJ83" s="79"/>
      <c r="AK83" s="168">
        <f>IF(AE83=0,"0.0 ",ROUND((AI83/AE83)*100,1))</f>
        <v>13.7</v>
      </c>
      <c r="AL83" s="158"/>
      <c r="AM83" s="286"/>
      <c r="AN83" s="78"/>
      <c r="AO83" s="167">
        <f>AE83+AM83</f>
        <v>603142</v>
      </c>
      <c r="AP83" s="79"/>
      <c r="AQ83" s="157">
        <f>IF(AO83=0,"0.0 ",ROUND((AI83/AO83)*100,1))</f>
        <v>13.7</v>
      </c>
      <c r="AR83" s="200"/>
    </row>
    <row r="84" spans="1:44" ht="20.100000000000001" customHeight="1" x14ac:dyDescent="0.25">
      <c r="A84" s="154"/>
      <c r="R84" s="154"/>
      <c r="T84" s="159">
        <v>12</v>
      </c>
      <c r="U84" s="80"/>
      <c r="V84" s="265" t="s">
        <v>565</v>
      </c>
      <c r="W84" s="80"/>
      <c r="X84" s="80"/>
      <c r="Y84" s="167">
        <f>Y77</f>
        <v>502</v>
      </c>
      <c r="Z84" s="85"/>
      <c r="AA84" s="169">
        <f>AA83</f>
        <v>9803357</v>
      </c>
      <c r="AB84" s="79"/>
      <c r="AC84" s="290"/>
      <c r="AD84" s="293"/>
      <c r="AE84" s="169">
        <f>AE77+AE80+AE83</f>
        <v>609832</v>
      </c>
      <c r="AF84" s="79"/>
      <c r="AG84" s="170">
        <f>ROUND((AE84/AE$95)*100,1)</f>
        <v>96.7</v>
      </c>
      <c r="AH84" s="156"/>
      <c r="AI84" s="169">
        <f>AI77+AI80+AI83</f>
        <v>91172</v>
      </c>
      <c r="AJ84" s="79"/>
      <c r="AK84" s="171">
        <f>IF(AE84=0,"0.0 ",ROUND((AI84/AE84)*100,1))</f>
        <v>15</v>
      </c>
      <c r="AL84" s="158"/>
      <c r="AM84" s="126"/>
      <c r="AN84" s="78"/>
      <c r="AO84" s="169">
        <f>AO77+AO80+AO83</f>
        <v>609832</v>
      </c>
      <c r="AP84" s="79"/>
      <c r="AQ84" s="157">
        <f>IF(AO84=0,"0.0 ",ROUND((AI84/AO84)*100,1))</f>
        <v>15</v>
      </c>
      <c r="AR84" s="200"/>
    </row>
    <row r="85" spans="1:44" x14ac:dyDescent="0.25">
      <c r="A85" s="154"/>
      <c r="R85" s="154"/>
      <c r="T85" s="159"/>
      <c r="U85" s="80"/>
      <c r="V85" s="82"/>
      <c r="W85" s="80"/>
      <c r="X85" s="80"/>
      <c r="Y85" s="163"/>
      <c r="Z85" s="85"/>
      <c r="AA85" s="163"/>
      <c r="AB85" s="79"/>
      <c r="AC85" s="290"/>
      <c r="AD85" s="293"/>
      <c r="AE85" s="163"/>
      <c r="AF85" s="79"/>
      <c r="AG85" s="197"/>
      <c r="AH85" s="156"/>
      <c r="AI85" s="163"/>
      <c r="AJ85" s="79"/>
      <c r="AK85" s="172"/>
      <c r="AL85" s="158"/>
      <c r="AM85" s="230"/>
      <c r="AN85" s="78"/>
      <c r="AO85" s="163"/>
      <c r="AP85" s="79"/>
      <c r="AQ85" s="157"/>
      <c r="AR85" s="200"/>
    </row>
    <row r="86" spans="1:44" x14ac:dyDescent="0.25">
      <c r="A86" s="154"/>
      <c r="R86" s="154"/>
      <c r="T86" s="159">
        <f>A36</f>
        <v>13</v>
      </c>
      <c r="U86" s="80"/>
      <c r="V86" s="253" t="s">
        <v>553</v>
      </c>
      <c r="W86" s="80"/>
      <c r="X86" s="80"/>
      <c r="Y86" s="163"/>
      <c r="Z86" s="85"/>
      <c r="AA86" s="163"/>
      <c r="AB86" s="79"/>
      <c r="AC86" s="290"/>
      <c r="AD86" s="293"/>
      <c r="AE86" s="163"/>
      <c r="AF86" s="79"/>
      <c r="AG86" s="197"/>
      <c r="AH86" s="156"/>
      <c r="AI86" s="163"/>
      <c r="AJ86" s="79"/>
      <c r="AK86" s="172"/>
      <c r="AL86" s="158"/>
      <c r="AM86" s="230"/>
      <c r="AN86" s="78"/>
      <c r="AO86" s="163"/>
      <c r="AP86" s="79"/>
      <c r="AQ86" s="157"/>
      <c r="AR86" s="200"/>
    </row>
    <row r="87" spans="1:44" x14ac:dyDescent="0.25">
      <c r="A87" s="154"/>
      <c r="R87" s="154"/>
      <c r="T87" s="159">
        <f t="shared" ref="T87:T93" si="2">A37</f>
        <v>14</v>
      </c>
      <c r="U87" s="80"/>
      <c r="V87" s="153" t="str">
        <f>C37</f>
        <v>DEMAND SIDE MANAGEMENT RIDER (DSMR)</v>
      </c>
      <c r="W87" s="80"/>
      <c r="X87" s="80"/>
      <c r="Y87" s="163"/>
      <c r="Z87" s="85"/>
      <c r="AA87" s="163"/>
      <c r="AB87" s="79"/>
      <c r="AC87" s="308">
        <f>DSM_DIST</f>
        <v>2.5760000000000002E-3</v>
      </c>
      <c r="AD87" s="293"/>
      <c r="AE87" s="163">
        <f>ROUND($AA$84*AC87,0)</f>
        <v>25253</v>
      </c>
      <c r="AF87" s="79"/>
      <c r="AG87" s="197">
        <f>ROUND((AE87/AE$95)*100,1)</f>
        <v>4</v>
      </c>
      <c r="AH87" s="156"/>
      <c r="AI87" s="79">
        <f>L37-AE87</f>
        <v>0</v>
      </c>
      <c r="AJ87" s="79"/>
      <c r="AK87" s="157">
        <f t="shared" ref="AK87:AK93" si="3">IF(AE87=0,"0.0 ",ROUND((AI87/AE87)*100,1))</f>
        <v>0</v>
      </c>
      <c r="AL87" s="158"/>
      <c r="AM87" s="230"/>
      <c r="AN87" s="78"/>
      <c r="AO87" s="79">
        <f t="shared" ref="AO87:AO92" si="4">AE87+AM87</f>
        <v>25253</v>
      </c>
      <c r="AP87" s="79"/>
      <c r="AQ87" s="157">
        <f t="shared" ref="AQ87:AQ93" si="5">IF(AO87=0,"0.0 ",ROUND((AI87/AO87)*100,1))</f>
        <v>0</v>
      </c>
      <c r="AR87" s="200"/>
    </row>
    <row r="88" spans="1:44" x14ac:dyDescent="0.25">
      <c r="A88" s="154"/>
      <c r="R88" s="154"/>
      <c r="T88" s="159">
        <f t="shared" si="2"/>
        <v>15</v>
      </c>
      <c r="U88" s="80"/>
      <c r="V88" s="153" t="str">
        <f t="shared" ref="V88:V92" si="6">C38</f>
        <v>ENVIRONMENTAL SURCHARGE MECHANISM RIDER (ESM)</v>
      </c>
      <c r="W88" s="80"/>
      <c r="X88" s="80"/>
      <c r="Y88" s="163"/>
      <c r="Z88" s="85"/>
      <c r="AA88" s="163"/>
      <c r="AB88" s="79"/>
      <c r="AC88" s="308">
        <f>CUR_ESM</f>
        <v>0</v>
      </c>
      <c r="AD88" s="293"/>
      <c r="AE88" s="163">
        <f>ROUND(AO84*AC88,0)</f>
        <v>0</v>
      </c>
      <c r="AF88" s="79"/>
      <c r="AG88" s="197">
        <f t="shared" ref="AG88:AG91" si="7">ROUND((AE88/AE$95)*100,1)</f>
        <v>0</v>
      </c>
      <c r="AH88" s="156"/>
      <c r="AI88" s="79">
        <f t="shared" ref="AI88:AI89" si="8">L38-AE88</f>
        <v>0</v>
      </c>
      <c r="AJ88" s="79"/>
      <c r="AK88" s="157" t="str">
        <f t="shared" si="3"/>
        <v xml:space="preserve">0.0 </v>
      </c>
      <c r="AL88" s="158"/>
      <c r="AM88" s="230"/>
      <c r="AN88" s="78"/>
      <c r="AO88" s="79">
        <f t="shared" ref="AO88:AO89" si="9">AE88+AM88</f>
        <v>0</v>
      </c>
      <c r="AP88" s="79"/>
      <c r="AQ88" s="157" t="str">
        <f t="shared" ref="AQ88:AQ89" si="10">IF(AO88=0,"0.0 ",ROUND((AI88/AO88)*100,1))</f>
        <v xml:space="preserve">0.0 </v>
      </c>
      <c r="AR88" s="200"/>
    </row>
    <row r="89" spans="1:44" x14ac:dyDescent="0.25">
      <c r="A89" s="154"/>
      <c r="R89" s="154"/>
      <c r="T89" s="159">
        <f t="shared" si="2"/>
        <v>16</v>
      </c>
      <c r="U89" s="80"/>
      <c r="V89" s="153" t="str">
        <f t="shared" si="6"/>
        <v>DISTRIBUTION CAPITAL INVESTMENT RIDER (DCI)</v>
      </c>
      <c r="W89" s="80"/>
      <c r="X89" s="80"/>
      <c r="Y89" s="163"/>
      <c r="Z89" s="85"/>
      <c r="AA89" s="163"/>
      <c r="AB89" s="79"/>
      <c r="AC89" s="308">
        <f>CUR_DCI_EH</f>
        <v>0</v>
      </c>
      <c r="AD89" s="293"/>
      <c r="AE89" s="163">
        <f>ROUND($AA$83*AC89,0)</f>
        <v>0</v>
      </c>
      <c r="AF89" s="79"/>
      <c r="AG89" s="197">
        <f t="shared" si="7"/>
        <v>0</v>
      </c>
      <c r="AH89" s="156"/>
      <c r="AI89" s="79">
        <f t="shared" si="8"/>
        <v>0</v>
      </c>
      <c r="AJ89" s="79"/>
      <c r="AK89" s="157" t="str">
        <f t="shared" si="3"/>
        <v xml:space="preserve">0.0 </v>
      </c>
      <c r="AL89" s="158"/>
      <c r="AM89" s="230"/>
      <c r="AN89" s="78"/>
      <c r="AO89" s="79">
        <f t="shared" si="9"/>
        <v>0</v>
      </c>
      <c r="AP89" s="79"/>
      <c r="AQ89" s="157" t="str">
        <f t="shared" si="10"/>
        <v xml:space="preserve">0.0 </v>
      </c>
      <c r="AR89" s="200"/>
    </row>
    <row r="90" spans="1:44" x14ac:dyDescent="0.25">
      <c r="A90" s="154"/>
      <c r="R90" s="154"/>
      <c r="T90" s="159">
        <f t="shared" si="2"/>
        <v>17</v>
      </c>
      <c r="U90" s="80"/>
      <c r="V90" s="153" t="str">
        <f t="shared" si="6"/>
        <v>FUEL ADJUSTMENT CLAUSE (FAC)</v>
      </c>
      <c r="W90" s="80"/>
      <c r="X90" s="80"/>
      <c r="Y90" s="163"/>
      <c r="Z90" s="85"/>
      <c r="AA90" s="163"/>
      <c r="AB90" s="79"/>
      <c r="AC90" s="308">
        <f>CUR_FAC</f>
        <v>1.0280000000000001E-3</v>
      </c>
      <c r="AD90" s="293"/>
      <c r="AE90" s="163"/>
      <c r="AF90" s="79"/>
      <c r="AG90" s="197"/>
      <c r="AH90" s="156"/>
      <c r="AI90" s="79"/>
      <c r="AJ90" s="79"/>
      <c r="AK90" s="157"/>
      <c r="AL90" s="158"/>
      <c r="AM90" s="230">
        <f>ROUND(AA84*CUR_FAC,0)</f>
        <v>10078</v>
      </c>
      <c r="AN90" s="78"/>
      <c r="AO90" s="79">
        <f t="shared" si="4"/>
        <v>10078</v>
      </c>
      <c r="AP90" s="79"/>
      <c r="AQ90" s="157">
        <f>IF(AO90=0,"0.0 ",ROUND(((R40-AO90)/AO90)*100,1))</f>
        <v>0</v>
      </c>
      <c r="AR90" s="200"/>
    </row>
    <row r="91" spans="1:44" x14ac:dyDescent="0.25">
      <c r="A91" s="154"/>
      <c r="R91" s="154"/>
      <c r="T91" s="159">
        <f t="shared" si="2"/>
        <v>18</v>
      </c>
      <c r="U91" s="80"/>
      <c r="V91" s="153" t="str">
        <f t="shared" si="6"/>
        <v>FERC TRANSMISSION COST RECOVERY RECONCILIATION (FTR)</v>
      </c>
      <c r="W91" s="80"/>
      <c r="X91" s="80"/>
      <c r="Y91" s="163"/>
      <c r="Z91" s="85"/>
      <c r="AA91" s="163"/>
      <c r="AB91" s="79"/>
      <c r="AC91" s="308">
        <f>CUR_FTR_EH</f>
        <v>0</v>
      </c>
      <c r="AD91" s="293"/>
      <c r="AE91" s="163">
        <f>ROUND($AA$83*AC91,0)</f>
        <v>0</v>
      </c>
      <c r="AF91" s="79"/>
      <c r="AG91" s="197">
        <f t="shared" si="7"/>
        <v>0</v>
      </c>
      <c r="AH91" s="156"/>
      <c r="AI91" s="79">
        <f>L41-AE91</f>
        <v>0</v>
      </c>
      <c r="AJ91" s="79"/>
      <c r="AK91" s="157" t="str">
        <f t="shared" si="3"/>
        <v xml:space="preserve">0.0 </v>
      </c>
      <c r="AL91" s="158"/>
      <c r="AM91" s="230"/>
      <c r="AN91" s="78"/>
      <c r="AO91" s="79">
        <f t="shared" ref="AO91" si="11">AE91+AM91</f>
        <v>0</v>
      </c>
      <c r="AP91" s="79"/>
      <c r="AQ91" s="157" t="str">
        <f t="shared" ref="AQ91" si="12">IF(AO91=0,"0.0 ",ROUND((AI91/AO91)*100,1))</f>
        <v xml:space="preserve">0.0 </v>
      </c>
      <c r="AR91" s="200"/>
    </row>
    <row r="92" spans="1:44" x14ac:dyDescent="0.25">
      <c r="A92" s="154"/>
      <c r="R92" s="154"/>
      <c r="T92" s="159">
        <f t="shared" si="2"/>
        <v>19</v>
      </c>
      <c r="U92" s="80"/>
      <c r="V92" s="153" t="str">
        <f t="shared" si="6"/>
        <v>PROFIT SHARING MECHANISM (PSM)</v>
      </c>
      <c r="W92" s="80"/>
      <c r="X92" s="80"/>
      <c r="Y92" s="163"/>
      <c r="Z92" s="85"/>
      <c r="AA92" s="163"/>
      <c r="AB92" s="79"/>
      <c r="AC92" s="308">
        <f>RS_PSM</f>
        <v>-4.5600000000000003E-4</v>
      </c>
      <c r="AD92" s="293"/>
      <c r="AE92" s="167">
        <f>ROUND(AA84*RS_PSM,0)</f>
        <v>-4470</v>
      </c>
      <c r="AF92" s="79"/>
      <c r="AG92" s="166">
        <f>ROUND((AE92/AE$95)*100,1)</f>
        <v>-0.7</v>
      </c>
      <c r="AH92" s="156"/>
      <c r="AI92" s="79">
        <f>L42-AE92</f>
        <v>0</v>
      </c>
      <c r="AJ92" s="79"/>
      <c r="AK92" s="168">
        <f t="shared" si="3"/>
        <v>0</v>
      </c>
      <c r="AL92" s="158"/>
      <c r="AM92" s="286"/>
      <c r="AN92" s="78"/>
      <c r="AO92" s="167">
        <f t="shared" si="4"/>
        <v>-4470</v>
      </c>
      <c r="AP92" s="79"/>
      <c r="AQ92" s="157">
        <f t="shared" si="5"/>
        <v>0</v>
      </c>
      <c r="AR92" s="200"/>
    </row>
    <row r="93" spans="1:44" ht="20.100000000000001" customHeight="1" x14ac:dyDescent="0.25">
      <c r="A93" s="154"/>
      <c r="R93" s="154"/>
      <c r="T93" s="159">
        <f t="shared" si="2"/>
        <v>20</v>
      </c>
      <c r="U93" s="80"/>
      <c r="V93" s="253" t="s">
        <v>557</v>
      </c>
      <c r="W93" s="80"/>
      <c r="X93" s="80"/>
      <c r="Y93" s="167"/>
      <c r="Z93" s="85"/>
      <c r="AA93" s="167"/>
      <c r="AB93" s="79"/>
      <c r="AC93" s="290"/>
      <c r="AD93" s="293"/>
      <c r="AE93" s="169">
        <f>SUM(AE87:AE92)</f>
        <v>20783</v>
      </c>
      <c r="AF93" s="79"/>
      <c r="AG93" s="170">
        <f>ROUND((AE93/AE$95)*100,1)</f>
        <v>3.3</v>
      </c>
      <c r="AH93" s="156"/>
      <c r="AI93" s="169">
        <f>SUM(AI87:AI92)</f>
        <v>0</v>
      </c>
      <c r="AJ93" s="79"/>
      <c r="AK93" s="171">
        <f t="shared" si="3"/>
        <v>0</v>
      </c>
      <c r="AL93" s="158"/>
      <c r="AM93" s="126">
        <f>SUM(AM87:AM92)</f>
        <v>10078</v>
      </c>
      <c r="AN93" s="78"/>
      <c r="AO93" s="169">
        <f>SUM(AO87:AO92)</f>
        <v>30861</v>
      </c>
      <c r="AP93" s="79"/>
      <c r="AQ93" s="157">
        <f t="shared" si="5"/>
        <v>0</v>
      </c>
      <c r="AR93" s="200"/>
    </row>
    <row r="94" spans="1:44" x14ac:dyDescent="0.25">
      <c r="A94" s="154"/>
      <c r="R94" s="154"/>
      <c r="T94" s="159"/>
      <c r="U94" s="80"/>
      <c r="V94" s="82"/>
      <c r="W94" s="80"/>
      <c r="X94" s="80"/>
      <c r="Y94" s="163"/>
      <c r="Z94" s="85"/>
      <c r="AA94" s="163"/>
      <c r="AB94" s="79"/>
      <c r="AC94" s="290"/>
      <c r="AD94" s="293"/>
      <c r="AE94" s="163"/>
      <c r="AF94" s="79"/>
      <c r="AG94" s="197"/>
      <c r="AH94" s="156"/>
      <c r="AI94" s="163"/>
      <c r="AJ94" s="79"/>
      <c r="AK94" s="172"/>
      <c r="AL94" s="158"/>
      <c r="AM94" s="230"/>
      <c r="AN94" s="78"/>
      <c r="AO94" s="163"/>
      <c r="AP94" s="79"/>
      <c r="AQ94" s="157"/>
      <c r="AR94" s="200"/>
    </row>
    <row r="95" spans="1:44" ht="20.100000000000001" customHeight="1" thickBot="1" x14ac:dyDescent="0.3">
      <c r="L95" s="103"/>
      <c r="M95" s="103"/>
      <c r="N95" s="103"/>
      <c r="O95" s="103"/>
      <c r="R95" s="103"/>
      <c r="T95" s="159">
        <f>A45</f>
        <v>21</v>
      </c>
      <c r="U95" s="80"/>
      <c r="V95" s="253" t="s">
        <v>566</v>
      </c>
      <c r="W95" s="80"/>
      <c r="X95" s="80"/>
      <c r="Y95" s="275">
        <f>Y84</f>
        <v>502</v>
      </c>
      <c r="Z95" s="70"/>
      <c r="AA95" s="275">
        <f>AA84</f>
        <v>9803357</v>
      </c>
      <c r="AB95" s="79"/>
      <c r="AC95" s="359"/>
      <c r="AD95" s="359"/>
      <c r="AE95" s="275">
        <f>AE93+AE84</f>
        <v>630615</v>
      </c>
      <c r="AF95" s="79"/>
      <c r="AG95" s="291">
        <v>100</v>
      </c>
      <c r="AH95" s="156"/>
      <c r="AI95" s="275">
        <f>AI93+AI84</f>
        <v>91172</v>
      </c>
      <c r="AJ95" s="79"/>
      <c r="AK95" s="364">
        <f>IF(AE95=0,"0.0 ",ROUND((AI95/AE95)*100,1))</f>
        <v>14.5</v>
      </c>
      <c r="AL95" s="158"/>
      <c r="AM95" s="275">
        <f>AM93+AM84</f>
        <v>10078</v>
      </c>
      <c r="AN95" s="79"/>
      <c r="AO95" s="275">
        <f>AO93+AO84</f>
        <v>640693</v>
      </c>
      <c r="AP95" s="79"/>
      <c r="AQ95" s="157">
        <f>IF(AO95=0,"0.0 ",ROUND((AI95/AO95)*100,1))</f>
        <v>14.2</v>
      </c>
    </row>
    <row r="96" spans="1:44" ht="16.5" thickTop="1" x14ac:dyDescent="0.25">
      <c r="C96" s="103"/>
      <c r="D96" s="103"/>
      <c r="E96" s="103"/>
      <c r="F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T96" s="80"/>
      <c r="U96" s="80"/>
      <c r="V96" s="80"/>
      <c r="W96" s="80"/>
      <c r="X96" s="80"/>
      <c r="Y96" s="70"/>
      <c r="Z96" s="70"/>
      <c r="AA96" s="70"/>
      <c r="AB96" s="70"/>
      <c r="AC96" s="70"/>
      <c r="AD96" s="70"/>
      <c r="AE96" s="70"/>
      <c r="AF96" s="70"/>
      <c r="AG96" s="164"/>
      <c r="AH96" s="70"/>
      <c r="AI96" s="70"/>
      <c r="AJ96" s="70"/>
      <c r="AK96" s="155"/>
      <c r="AL96" s="79"/>
      <c r="AM96" s="70"/>
      <c r="AN96" s="70"/>
      <c r="AO96" s="70"/>
      <c r="AP96" s="70"/>
      <c r="AQ96" s="155"/>
    </row>
    <row r="97" spans="1:43" x14ac:dyDescent="0.25"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T97" s="80"/>
      <c r="U97" s="80"/>
      <c r="V97" s="173" t="s">
        <v>61</v>
      </c>
      <c r="W97" s="80"/>
      <c r="X97" s="80"/>
      <c r="Y97" s="189"/>
      <c r="Z97" s="80"/>
      <c r="AA97" s="189"/>
      <c r="AB97" s="189"/>
      <c r="AC97" s="310"/>
      <c r="AD97" s="310"/>
      <c r="AE97" s="189"/>
      <c r="AF97" s="189"/>
      <c r="AG97" s="296"/>
      <c r="AH97" s="189"/>
      <c r="AI97" s="189"/>
      <c r="AJ97" s="189"/>
      <c r="AK97" s="296"/>
      <c r="AL97" s="189"/>
      <c r="AM97" s="80"/>
      <c r="AN97" s="80"/>
      <c r="AO97" s="80"/>
      <c r="AP97" s="80"/>
      <c r="AQ97" s="188"/>
    </row>
    <row r="98" spans="1:43" x14ac:dyDescent="0.25"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T98" s="80"/>
      <c r="U98" s="80"/>
      <c r="V98" s="173" t="str">
        <f>"(2) REFLECTS FUEL COMPONENT OF "&amp;TEXT(CUR_FAC,"$0.000000;($0.000000)")&amp;"  PER KWH."</f>
        <v>(2) REFLECTS FUEL COMPONENT OF $0.001028  PER KWH.</v>
      </c>
      <c r="W98" s="80"/>
      <c r="X98" s="80"/>
      <c r="Y98" s="189"/>
      <c r="Z98" s="80"/>
      <c r="AA98" s="189"/>
      <c r="AB98" s="189"/>
      <c r="AC98" s="310"/>
      <c r="AD98" s="310"/>
      <c r="AE98" s="189"/>
      <c r="AF98" s="189"/>
      <c r="AG98" s="296"/>
      <c r="AH98" s="189"/>
      <c r="AI98" s="189"/>
      <c r="AJ98" s="189"/>
      <c r="AK98" s="296"/>
      <c r="AL98" s="189"/>
      <c r="AM98" s="80"/>
      <c r="AN98" s="80"/>
      <c r="AO98" s="80"/>
      <c r="AP98" s="80"/>
      <c r="AQ98" s="188"/>
    </row>
    <row r="99" spans="1:43" x14ac:dyDescent="0.25">
      <c r="A99" s="202"/>
      <c r="C99" s="154"/>
      <c r="D99" s="154"/>
      <c r="E99" s="154"/>
      <c r="T99" s="102"/>
      <c r="U99" s="102"/>
      <c r="V99" s="173" t="str">
        <f>"(3) REFLECTS FUEL COST RECOVERY INCLUDED IN BASE RATES OF "&amp;TEXT(CUR_BASE_FUEL,"$0.000000;($0.000000)")&amp;"  PER KWH."</f>
        <v>(3) REFLECTS FUEL COST RECOVERY INCLUDED IN BASE RATES OF $0.023837  PER KWH.</v>
      </c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208"/>
      <c r="AH99" s="102"/>
      <c r="AI99" s="102"/>
      <c r="AJ99" s="102"/>
      <c r="AK99" s="208"/>
      <c r="AL99" s="102"/>
      <c r="AM99" s="102"/>
      <c r="AN99" s="102"/>
    </row>
    <row r="100" spans="1:43" x14ac:dyDescent="0.25">
      <c r="A100" s="202"/>
      <c r="C100" s="154"/>
      <c r="AA100" s="103"/>
      <c r="AB100" s="103"/>
      <c r="AC100" s="103"/>
      <c r="AD100" s="103"/>
      <c r="AE100" s="103"/>
      <c r="AF100" s="103"/>
      <c r="AG100" s="185"/>
      <c r="AH100" s="103"/>
      <c r="AK100" s="185"/>
      <c r="AL100" s="103"/>
      <c r="AM100" s="103"/>
      <c r="AN100" s="103"/>
    </row>
    <row r="101" spans="1:43" x14ac:dyDescent="0.25">
      <c r="Z101" s="103"/>
      <c r="AA101" s="103"/>
      <c r="AB101" s="103"/>
      <c r="AC101" s="103"/>
      <c r="AD101" s="103"/>
      <c r="AE101" s="103"/>
      <c r="AF101" s="103"/>
      <c r="AG101" s="185"/>
      <c r="AH101" s="103"/>
      <c r="AK101" s="185"/>
      <c r="AL101" s="103"/>
      <c r="AM101" s="103"/>
      <c r="AN101" s="103"/>
    </row>
    <row r="102" spans="1:43" x14ac:dyDescent="0.25">
      <c r="A102" s="202"/>
      <c r="C102" s="154"/>
      <c r="T102" s="103"/>
      <c r="U102" s="103"/>
      <c r="V102" s="103"/>
      <c r="Z102" s="103"/>
      <c r="AA102" s="103"/>
      <c r="AB102" s="103"/>
      <c r="AC102" s="103"/>
      <c r="AD102" s="103"/>
      <c r="AE102" s="103"/>
      <c r="AF102" s="103"/>
      <c r="AG102" s="185"/>
      <c r="AH102" s="103"/>
      <c r="AI102" s="103"/>
      <c r="AJ102" s="103"/>
      <c r="AK102" s="185"/>
      <c r="AL102" s="103"/>
      <c r="AM102" s="103"/>
      <c r="AN102" s="103"/>
    </row>
    <row r="103" spans="1:43" x14ac:dyDescent="0.25">
      <c r="A103" s="202"/>
      <c r="C103" s="154"/>
      <c r="F103" s="252"/>
      <c r="H103" s="252"/>
      <c r="I103" s="252"/>
      <c r="J103" s="300"/>
      <c r="K103" s="300"/>
      <c r="L103" s="200"/>
      <c r="M103" s="200"/>
      <c r="N103" s="210"/>
      <c r="O103" s="210"/>
      <c r="P103" s="202"/>
      <c r="Q103" s="202"/>
      <c r="R103" s="200"/>
      <c r="T103" s="103"/>
      <c r="U103" s="103"/>
      <c r="V103" s="103"/>
      <c r="Y103" s="103"/>
      <c r="Z103" s="103"/>
      <c r="AA103" s="103"/>
      <c r="AB103" s="103"/>
      <c r="AC103" s="103"/>
      <c r="AD103" s="103"/>
      <c r="AE103" s="103"/>
      <c r="AF103" s="103"/>
      <c r="AG103" s="185"/>
      <c r="AH103" s="103"/>
      <c r="AI103" s="103"/>
      <c r="AJ103" s="103"/>
      <c r="AK103" s="185"/>
      <c r="AL103" s="103"/>
      <c r="AM103" s="103"/>
      <c r="AN103" s="103"/>
    </row>
    <row r="104" spans="1:43" x14ac:dyDescent="0.25">
      <c r="A104" s="202"/>
      <c r="C104" s="154"/>
      <c r="F104" s="252"/>
      <c r="H104" s="252"/>
      <c r="I104" s="252"/>
      <c r="J104" s="300"/>
      <c r="K104" s="300"/>
      <c r="L104" s="200"/>
      <c r="M104" s="200"/>
      <c r="N104" s="210"/>
      <c r="O104" s="210"/>
      <c r="P104" s="202"/>
      <c r="Q104" s="202"/>
      <c r="R104" s="200"/>
      <c r="T104" s="103"/>
      <c r="U104" s="103"/>
      <c r="V104" s="103"/>
      <c r="Y104" s="103"/>
      <c r="Z104" s="103"/>
      <c r="AA104" s="103"/>
      <c r="AB104" s="103"/>
      <c r="AC104" s="103"/>
      <c r="AD104" s="103"/>
      <c r="AE104" s="103"/>
      <c r="AF104" s="103"/>
      <c r="AG104" s="185"/>
      <c r="AH104" s="103"/>
      <c r="AI104" s="103"/>
      <c r="AJ104" s="103"/>
      <c r="AK104" s="185"/>
      <c r="AL104" s="103"/>
      <c r="AM104" s="103"/>
      <c r="AN104" s="103"/>
    </row>
    <row r="105" spans="1:43" x14ac:dyDescent="0.25">
      <c r="A105" s="202"/>
      <c r="C105" s="154"/>
      <c r="F105" s="252"/>
      <c r="H105" s="252"/>
      <c r="I105" s="252"/>
      <c r="J105" s="300"/>
      <c r="K105" s="300"/>
      <c r="L105" s="200"/>
      <c r="M105" s="200"/>
      <c r="N105" s="210"/>
      <c r="O105" s="210"/>
      <c r="P105" s="202"/>
      <c r="Q105" s="202"/>
      <c r="R105" s="200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208"/>
      <c r="AH105" s="102"/>
      <c r="AI105" s="102"/>
      <c r="AJ105" s="102"/>
      <c r="AK105" s="208"/>
      <c r="AL105" s="102"/>
      <c r="AM105" s="102"/>
      <c r="AN105" s="102"/>
    </row>
    <row r="106" spans="1:43" x14ac:dyDescent="0.25">
      <c r="F106" s="211"/>
      <c r="H106" s="200"/>
      <c r="I106" s="200"/>
      <c r="J106" s="305"/>
      <c r="K106" s="305"/>
      <c r="L106" s="211"/>
      <c r="M106" s="211"/>
      <c r="N106" s="211"/>
      <c r="O106" s="211"/>
      <c r="P106" s="211"/>
      <c r="Q106" s="211"/>
      <c r="R106" s="211"/>
      <c r="Y106" s="103"/>
      <c r="Z106" s="103"/>
      <c r="AA106" s="103"/>
      <c r="AB106" s="103"/>
      <c r="AC106" s="103"/>
      <c r="AD106" s="103"/>
      <c r="AE106" s="103"/>
      <c r="AF106" s="103"/>
      <c r="AG106" s="185"/>
      <c r="AH106" s="103"/>
      <c r="AI106" s="103"/>
      <c r="AJ106" s="103"/>
      <c r="AK106" s="185"/>
      <c r="AL106" s="103"/>
      <c r="AM106" s="103"/>
      <c r="AN106" s="103"/>
    </row>
    <row r="107" spans="1:43" x14ac:dyDescent="0.25">
      <c r="A107" s="202"/>
      <c r="C107" s="154"/>
      <c r="F107" s="200"/>
      <c r="H107" s="200"/>
      <c r="I107" s="200"/>
      <c r="J107" s="305"/>
      <c r="K107" s="305"/>
      <c r="L107" s="200"/>
      <c r="M107" s="200"/>
      <c r="N107" s="210"/>
      <c r="O107" s="210"/>
      <c r="P107" s="200"/>
      <c r="Q107" s="200"/>
      <c r="R107" s="200"/>
      <c r="T107" s="154"/>
      <c r="U107" s="154"/>
    </row>
    <row r="108" spans="1:43" x14ac:dyDescent="0.25">
      <c r="F108" s="211"/>
      <c r="H108" s="200"/>
      <c r="I108" s="200"/>
      <c r="J108" s="305"/>
      <c r="K108" s="305"/>
      <c r="L108" s="211"/>
      <c r="M108" s="211"/>
      <c r="N108" s="211"/>
      <c r="O108" s="211"/>
      <c r="P108" s="211"/>
      <c r="Q108" s="211"/>
      <c r="R108" s="211"/>
      <c r="T108" s="154"/>
    </row>
    <row r="109" spans="1:43" x14ac:dyDescent="0.25">
      <c r="A109" s="202"/>
      <c r="C109" s="154"/>
      <c r="F109" s="252"/>
      <c r="H109" s="252"/>
      <c r="I109" s="252"/>
      <c r="J109" s="328"/>
      <c r="K109" s="328"/>
      <c r="L109" s="200"/>
      <c r="M109" s="200"/>
      <c r="N109" s="210"/>
      <c r="O109" s="210"/>
      <c r="P109" s="200"/>
      <c r="Q109" s="200"/>
      <c r="R109" s="200"/>
      <c r="S109" s="200"/>
    </row>
    <row r="110" spans="1:43" x14ac:dyDescent="0.25">
      <c r="A110" s="202"/>
      <c r="C110" s="154"/>
      <c r="F110" s="252"/>
      <c r="H110" s="252"/>
      <c r="I110" s="252"/>
      <c r="J110" s="300"/>
      <c r="K110" s="300"/>
      <c r="L110" s="200"/>
      <c r="M110" s="200"/>
      <c r="N110" s="210"/>
      <c r="O110" s="210"/>
      <c r="P110" s="200"/>
      <c r="Q110" s="200"/>
      <c r="R110" s="200"/>
      <c r="T110" s="154"/>
    </row>
    <row r="111" spans="1:43" x14ac:dyDescent="0.25">
      <c r="A111" s="202"/>
      <c r="C111" s="154"/>
      <c r="F111" s="252"/>
      <c r="H111" s="252"/>
      <c r="I111" s="252"/>
      <c r="J111" s="300"/>
      <c r="K111" s="300"/>
      <c r="L111" s="200"/>
      <c r="M111" s="200"/>
      <c r="N111" s="210"/>
      <c r="O111" s="210"/>
      <c r="P111" s="200"/>
      <c r="Q111" s="200"/>
      <c r="R111" s="200"/>
      <c r="T111" s="154"/>
      <c r="V111" s="200"/>
      <c r="Y111" s="252"/>
      <c r="Z111" s="300"/>
      <c r="AA111" s="200"/>
      <c r="AB111" s="200"/>
      <c r="AC111" s="210"/>
      <c r="AD111" s="210"/>
      <c r="AE111" s="200"/>
      <c r="AF111" s="200"/>
      <c r="AG111" s="325"/>
      <c r="AH111" s="326"/>
      <c r="AI111" s="202"/>
      <c r="AJ111" s="202"/>
      <c r="AK111" s="209"/>
      <c r="AL111" s="200"/>
      <c r="AM111" s="327"/>
      <c r="AN111" s="327"/>
    </row>
    <row r="112" spans="1:43" x14ac:dyDescent="0.25">
      <c r="F112" s="200"/>
      <c r="H112" s="211"/>
      <c r="I112" s="211"/>
      <c r="J112" s="305"/>
      <c r="K112" s="305"/>
      <c r="L112" s="211"/>
      <c r="M112" s="211"/>
      <c r="N112" s="211"/>
      <c r="O112" s="211"/>
      <c r="P112" s="211"/>
      <c r="Q112" s="211"/>
      <c r="R112" s="211"/>
      <c r="T112" s="154"/>
      <c r="V112" s="200"/>
      <c r="Y112" s="252"/>
      <c r="Z112" s="300"/>
      <c r="AA112" s="200"/>
      <c r="AB112" s="200"/>
      <c r="AC112" s="210"/>
      <c r="AD112" s="210"/>
      <c r="AE112" s="200"/>
      <c r="AF112" s="200"/>
      <c r="AG112" s="209"/>
      <c r="AH112" s="201"/>
      <c r="AI112" s="202"/>
      <c r="AJ112" s="202"/>
      <c r="AK112" s="209"/>
      <c r="AL112" s="200"/>
      <c r="AM112" s="210"/>
      <c r="AN112" s="210"/>
    </row>
    <row r="113" spans="1:40" x14ac:dyDescent="0.25">
      <c r="A113" s="202"/>
      <c r="C113" s="154"/>
      <c r="F113" s="200"/>
      <c r="H113" s="200"/>
      <c r="I113" s="200"/>
      <c r="J113" s="305"/>
      <c r="K113" s="305"/>
      <c r="L113" s="200"/>
      <c r="M113" s="200"/>
      <c r="N113" s="210"/>
      <c r="O113" s="210"/>
      <c r="P113" s="200"/>
      <c r="Q113" s="200"/>
      <c r="R113" s="200"/>
      <c r="T113" s="154"/>
      <c r="V113" s="200"/>
      <c r="Y113" s="252"/>
      <c r="Z113" s="300"/>
      <c r="AA113" s="200"/>
      <c r="AB113" s="200"/>
      <c r="AC113" s="210"/>
      <c r="AD113" s="210"/>
      <c r="AE113" s="200"/>
      <c r="AF113" s="200"/>
      <c r="AG113" s="209"/>
      <c r="AH113" s="201"/>
      <c r="AI113" s="202"/>
      <c r="AJ113" s="202"/>
      <c r="AK113" s="209"/>
      <c r="AL113" s="200"/>
      <c r="AM113" s="210"/>
      <c r="AN113" s="210"/>
    </row>
    <row r="114" spans="1:40" x14ac:dyDescent="0.25">
      <c r="F114" s="200"/>
      <c r="H114" s="211"/>
      <c r="I114" s="211"/>
      <c r="J114" s="305"/>
      <c r="K114" s="305"/>
      <c r="L114" s="211"/>
      <c r="M114" s="211"/>
      <c r="N114" s="211"/>
      <c r="O114" s="211"/>
      <c r="P114" s="211"/>
      <c r="Q114" s="211"/>
      <c r="R114" s="211"/>
      <c r="V114" s="211"/>
      <c r="Y114" s="200"/>
      <c r="Z114" s="305"/>
      <c r="AA114" s="211"/>
      <c r="AB114" s="211"/>
      <c r="AC114" s="211"/>
      <c r="AD114" s="211"/>
      <c r="AE114" s="211"/>
      <c r="AF114" s="211"/>
      <c r="AI114" s="211"/>
      <c r="AJ114" s="211"/>
      <c r="AK114" s="212"/>
      <c r="AL114" s="211"/>
      <c r="AM114" s="210"/>
      <c r="AN114" s="210"/>
    </row>
    <row r="115" spans="1:40" x14ac:dyDescent="0.25">
      <c r="A115" s="202"/>
      <c r="C115" s="154"/>
      <c r="F115" s="200"/>
      <c r="H115" s="200"/>
      <c r="I115" s="200"/>
      <c r="J115" s="305"/>
      <c r="K115" s="305"/>
      <c r="L115" s="200"/>
      <c r="M115" s="200"/>
      <c r="N115" s="200"/>
      <c r="O115" s="200"/>
      <c r="P115" s="200"/>
      <c r="Q115" s="200"/>
      <c r="R115" s="200"/>
      <c r="T115" s="154"/>
      <c r="V115" s="200"/>
      <c r="Y115" s="200"/>
      <c r="Z115" s="213"/>
      <c r="AA115" s="200"/>
      <c r="AB115" s="200"/>
      <c r="AC115" s="210"/>
      <c r="AD115" s="210"/>
      <c r="AE115" s="200"/>
      <c r="AF115" s="200"/>
      <c r="AG115" s="209"/>
      <c r="AH115" s="201"/>
      <c r="AI115" s="200"/>
      <c r="AJ115" s="200"/>
      <c r="AK115" s="209"/>
      <c r="AL115" s="200"/>
      <c r="AM115" s="210"/>
      <c r="AN115" s="210"/>
    </row>
    <row r="116" spans="1:40" x14ac:dyDescent="0.25">
      <c r="A116" s="202"/>
      <c r="C116" s="154"/>
      <c r="F116" s="200"/>
      <c r="H116" s="252"/>
      <c r="I116" s="252"/>
      <c r="J116" s="329"/>
      <c r="K116" s="329"/>
      <c r="L116" s="200"/>
      <c r="M116" s="200"/>
      <c r="N116" s="210"/>
      <c r="O116" s="210"/>
      <c r="P116" s="200"/>
      <c r="Q116" s="200"/>
      <c r="R116" s="200"/>
      <c r="V116" s="211"/>
      <c r="Y116" s="200"/>
      <c r="Z116" s="305"/>
      <c r="AA116" s="211"/>
      <c r="AB116" s="211"/>
      <c r="AC116" s="211"/>
      <c r="AD116" s="211"/>
      <c r="AE116" s="211"/>
      <c r="AF116" s="211"/>
      <c r="AI116" s="211"/>
      <c r="AJ116" s="211"/>
      <c r="AK116" s="212"/>
      <c r="AL116" s="211"/>
      <c r="AM116" s="210"/>
      <c r="AN116" s="210"/>
    </row>
    <row r="117" spans="1:40" x14ac:dyDescent="0.25">
      <c r="A117" s="202"/>
      <c r="C117" s="154"/>
      <c r="H117" s="252"/>
      <c r="I117" s="252"/>
      <c r="J117" s="329"/>
      <c r="K117" s="329"/>
      <c r="L117" s="200"/>
      <c r="M117" s="200"/>
      <c r="N117" s="210"/>
      <c r="O117" s="210"/>
      <c r="P117" s="200"/>
      <c r="Q117" s="200"/>
      <c r="R117" s="200"/>
      <c r="T117" s="154"/>
      <c r="V117" s="252"/>
      <c r="Y117" s="252"/>
      <c r="Z117" s="328"/>
      <c r="AA117" s="200"/>
      <c r="AB117" s="200"/>
      <c r="AC117" s="210"/>
      <c r="AD117" s="210"/>
      <c r="AE117" s="200"/>
      <c r="AF117" s="200"/>
      <c r="AG117" s="209"/>
      <c r="AH117" s="210"/>
      <c r="AI117" s="200"/>
      <c r="AJ117" s="200"/>
      <c r="AK117" s="209"/>
      <c r="AL117" s="200"/>
      <c r="AM117" s="210"/>
      <c r="AN117" s="210"/>
    </row>
    <row r="118" spans="1:40" x14ac:dyDescent="0.25">
      <c r="F118" s="200"/>
      <c r="H118" s="200"/>
      <c r="I118" s="200"/>
      <c r="J118" s="305"/>
      <c r="K118" s="305"/>
      <c r="L118" s="211"/>
      <c r="M118" s="211"/>
      <c r="N118" s="211"/>
      <c r="O118" s="211"/>
      <c r="P118" s="211"/>
      <c r="Q118" s="211"/>
      <c r="R118" s="211"/>
      <c r="T118" s="154"/>
      <c r="V118" s="252"/>
      <c r="Y118" s="200"/>
      <c r="Z118" s="300"/>
      <c r="AA118" s="200"/>
      <c r="AB118" s="200"/>
      <c r="AC118" s="210"/>
      <c r="AD118" s="210"/>
      <c r="AE118" s="200"/>
      <c r="AF118" s="200"/>
      <c r="AG118" s="209"/>
      <c r="AH118" s="201"/>
      <c r="AI118" s="200"/>
      <c r="AJ118" s="200"/>
      <c r="AK118" s="209"/>
      <c r="AL118" s="200"/>
      <c r="AM118" s="210"/>
      <c r="AN118" s="210"/>
    </row>
    <row r="119" spans="1:40" x14ac:dyDescent="0.25">
      <c r="A119" s="202"/>
      <c r="C119" s="154"/>
      <c r="F119" s="200"/>
      <c r="H119" s="200"/>
      <c r="I119" s="200"/>
      <c r="J119" s="213"/>
      <c r="K119" s="213"/>
      <c r="L119" s="200"/>
      <c r="M119" s="200"/>
      <c r="N119" s="210"/>
      <c r="O119" s="210"/>
      <c r="P119" s="200"/>
      <c r="Q119" s="200"/>
      <c r="R119" s="200"/>
      <c r="T119" s="154"/>
      <c r="V119" s="252"/>
      <c r="Y119" s="200"/>
      <c r="Z119" s="300"/>
      <c r="AA119" s="200"/>
      <c r="AB119" s="200"/>
      <c r="AC119" s="210"/>
      <c r="AD119" s="210"/>
      <c r="AE119" s="200"/>
      <c r="AF119" s="200"/>
      <c r="AG119" s="209"/>
      <c r="AH119" s="201"/>
      <c r="AI119" s="200"/>
      <c r="AJ119" s="200"/>
      <c r="AK119" s="209"/>
      <c r="AL119" s="200"/>
      <c r="AM119" s="210"/>
      <c r="AN119" s="210"/>
    </row>
    <row r="120" spans="1:40" x14ac:dyDescent="0.25">
      <c r="F120" s="200"/>
      <c r="H120" s="200"/>
      <c r="I120" s="200"/>
      <c r="J120" s="305"/>
      <c r="K120" s="305"/>
      <c r="L120" s="211"/>
      <c r="M120" s="211"/>
      <c r="N120" s="211"/>
      <c r="O120" s="211"/>
      <c r="P120" s="211"/>
      <c r="Q120" s="211"/>
      <c r="R120" s="211"/>
      <c r="V120" s="200"/>
      <c r="Y120" s="211"/>
      <c r="Z120" s="305"/>
      <c r="AA120" s="211"/>
      <c r="AB120" s="211"/>
      <c r="AC120" s="211"/>
      <c r="AD120" s="211"/>
      <c r="AE120" s="211"/>
      <c r="AF120" s="211"/>
      <c r="AI120" s="211"/>
      <c r="AJ120" s="211"/>
      <c r="AK120" s="212"/>
      <c r="AL120" s="211"/>
      <c r="AM120" s="210"/>
      <c r="AN120" s="210"/>
    </row>
    <row r="121" spans="1:40" x14ac:dyDescent="0.25">
      <c r="A121" s="202"/>
      <c r="C121" s="154"/>
      <c r="F121" s="200"/>
      <c r="H121" s="200"/>
      <c r="I121" s="200"/>
      <c r="J121" s="213"/>
      <c r="K121" s="213"/>
      <c r="L121" s="200"/>
      <c r="M121" s="200"/>
      <c r="N121" s="210"/>
      <c r="O121" s="210"/>
      <c r="P121" s="200"/>
      <c r="Q121" s="200"/>
      <c r="R121" s="200"/>
      <c r="T121" s="154"/>
      <c r="V121" s="200"/>
      <c r="Y121" s="200"/>
      <c r="Z121" s="305"/>
      <c r="AA121" s="200"/>
      <c r="AB121" s="200"/>
      <c r="AC121" s="210"/>
      <c r="AD121" s="210"/>
      <c r="AE121" s="200"/>
      <c r="AF121" s="200"/>
      <c r="AG121" s="209"/>
      <c r="AH121" s="201"/>
      <c r="AI121" s="200"/>
      <c r="AJ121" s="200"/>
      <c r="AK121" s="209"/>
      <c r="AL121" s="200"/>
      <c r="AM121" s="210"/>
      <c r="AN121" s="210"/>
    </row>
    <row r="122" spans="1:40" x14ac:dyDescent="0.25">
      <c r="A122" s="202"/>
      <c r="C122" s="154"/>
      <c r="F122" s="200"/>
      <c r="H122" s="252"/>
      <c r="I122" s="252"/>
      <c r="J122" s="320"/>
      <c r="K122" s="320"/>
      <c r="L122" s="200"/>
      <c r="M122" s="200"/>
      <c r="N122" s="210"/>
      <c r="O122" s="210"/>
      <c r="P122" s="200"/>
      <c r="Q122" s="200"/>
      <c r="R122" s="200"/>
      <c r="V122" s="200"/>
      <c r="Y122" s="211"/>
      <c r="Z122" s="305"/>
      <c r="AA122" s="211"/>
      <c r="AB122" s="211"/>
      <c r="AC122" s="211"/>
      <c r="AD122" s="211"/>
      <c r="AE122" s="211"/>
      <c r="AF122" s="211"/>
      <c r="AI122" s="211"/>
      <c r="AJ122" s="211"/>
      <c r="AK122" s="212"/>
      <c r="AL122" s="211"/>
      <c r="AM122" s="210"/>
      <c r="AN122" s="210"/>
    </row>
    <row r="123" spans="1:40" x14ac:dyDescent="0.25">
      <c r="F123" s="211"/>
      <c r="H123" s="211"/>
      <c r="I123" s="211"/>
      <c r="J123" s="305"/>
      <c r="K123" s="305"/>
      <c r="L123" s="211"/>
      <c r="M123" s="211"/>
      <c r="N123" s="211"/>
      <c r="O123" s="211"/>
      <c r="P123" s="211"/>
      <c r="Q123" s="211"/>
      <c r="R123" s="211"/>
      <c r="T123" s="154"/>
      <c r="V123" s="200"/>
      <c r="Y123" s="200"/>
      <c r="Z123" s="305"/>
      <c r="AA123" s="200"/>
      <c r="AB123" s="200"/>
      <c r="AC123" s="200"/>
      <c r="AD123" s="200"/>
      <c r="AE123" s="200"/>
      <c r="AF123" s="200"/>
      <c r="AG123" s="209"/>
      <c r="AH123" s="201"/>
      <c r="AI123" s="200"/>
      <c r="AJ123" s="200"/>
      <c r="AK123" s="209"/>
      <c r="AL123" s="200"/>
      <c r="AM123" s="210"/>
      <c r="AN123" s="210"/>
    </row>
    <row r="124" spans="1:40" x14ac:dyDescent="0.25">
      <c r="A124" s="202"/>
      <c r="C124" s="154"/>
      <c r="F124" s="200"/>
      <c r="H124" s="200"/>
      <c r="I124" s="200"/>
      <c r="J124" s="305"/>
      <c r="K124" s="305"/>
      <c r="L124" s="200"/>
      <c r="M124" s="200"/>
      <c r="N124" s="210"/>
      <c r="O124" s="210"/>
      <c r="P124" s="200"/>
      <c r="Q124" s="200"/>
      <c r="R124" s="200"/>
      <c r="S124" s="200"/>
      <c r="T124" s="154"/>
      <c r="V124" s="200"/>
      <c r="Y124" s="200"/>
      <c r="Z124" s="329"/>
      <c r="AA124" s="200"/>
      <c r="AB124" s="200"/>
      <c r="AC124" s="210"/>
      <c r="AD124" s="210"/>
      <c r="AE124" s="200"/>
      <c r="AF124" s="200"/>
      <c r="AG124" s="209"/>
      <c r="AH124" s="201"/>
      <c r="AI124" s="200"/>
      <c r="AJ124" s="200"/>
      <c r="AK124" s="209"/>
      <c r="AL124" s="200"/>
      <c r="AM124" s="210"/>
      <c r="AN124" s="210"/>
    </row>
    <row r="125" spans="1:40" x14ac:dyDescent="0.25">
      <c r="F125" s="211"/>
      <c r="H125" s="211"/>
      <c r="I125" s="211"/>
      <c r="J125" s="305"/>
      <c r="K125" s="305"/>
      <c r="L125" s="211"/>
      <c r="M125" s="211"/>
      <c r="N125" s="211"/>
      <c r="O125" s="211"/>
      <c r="P125" s="211"/>
      <c r="Q125" s="211"/>
      <c r="R125" s="211"/>
      <c r="S125" s="200"/>
      <c r="T125" s="154"/>
      <c r="Y125" s="200"/>
      <c r="Z125" s="329"/>
      <c r="AA125" s="200"/>
      <c r="AB125" s="200"/>
      <c r="AC125" s="210"/>
      <c r="AD125" s="210"/>
      <c r="AE125" s="200"/>
      <c r="AF125" s="200"/>
      <c r="AG125" s="209"/>
      <c r="AH125" s="201"/>
      <c r="AI125" s="200"/>
      <c r="AJ125" s="200"/>
      <c r="AK125" s="209"/>
      <c r="AL125" s="200"/>
      <c r="AM125" s="210"/>
      <c r="AN125" s="210"/>
    </row>
    <row r="126" spans="1:40" x14ac:dyDescent="0.25">
      <c r="A126" s="202"/>
      <c r="C126" s="154"/>
      <c r="F126" s="252"/>
      <c r="H126" s="330"/>
      <c r="I126" s="330"/>
      <c r="J126" s="305"/>
      <c r="K126" s="305"/>
      <c r="L126" s="200"/>
      <c r="M126" s="200"/>
      <c r="N126" s="210"/>
      <c r="O126" s="210"/>
      <c r="P126" s="200"/>
      <c r="Q126" s="200"/>
      <c r="R126" s="200"/>
      <c r="S126" s="200"/>
      <c r="V126" s="200"/>
      <c r="Y126" s="200"/>
      <c r="Z126" s="305"/>
      <c r="AA126" s="211"/>
      <c r="AB126" s="211"/>
      <c r="AC126" s="211"/>
      <c r="AD126" s="211"/>
      <c r="AE126" s="211"/>
      <c r="AF126" s="211"/>
      <c r="AI126" s="211"/>
      <c r="AJ126" s="211"/>
      <c r="AK126" s="212"/>
      <c r="AL126" s="211"/>
      <c r="AM126" s="210"/>
      <c r="AN126" s="210"/>
    </row>
    <row r="127" spans="1:40" x14ac:dyDescent="0.25">
      <c r="T127" s="154"/>
      <c r="V127" s="200"/>
      <c r="Y127" s="200"/>
      <c r="Z127" s="213"/>
      <c r="AA127" s="200"/>
      <c r="AB127" s="200"/>
      <c r="AC127" s="210"/>
      <c r="AD127" s="210"/>
      <c r="AE127" s="200"/>
      <c r="AF127" s="200"/>
      <c r="AG127" s="209"/>
      <c r="AH127" s="201"/>
      <c r="AI127" s="200"/>
      <c r="AJ127" s="200"/>
      <c r="AK127" s="209"/>
      <c r="AL127" s="200"/>
      <c r="AM127" s="210"/>
      <c r="AN127" s="210"/>
    </row>
    <row r="128" spans="1:40" x14ac:dyDescent="0.25">
      <c r="A128" s="202"/>
      <c r="C128" s="154"/>
      <c r="V128" s="200"/>
      <c r="Y128" s="200"/>
      <c r="Z128" s="305"/>
      <c r="AA128" s="211"/>
      <c r="AB128" s="211"/>
      <c r="AC128" s="211"/>
      <c r="AD128" s="211"/>
      <c r="AE128" s="211"/>
      <c r="AF128" s="211"/>
      <c r="AI128" s="211"/>
      <c r="AJ128" s="211"/>
      <c r="AK128" s="212"/>
      <c r="AL128" s="211"/>
      <c r="AM128" s="210"/>
      <c r="AN128" s="210"/>
    </row>
    <row r="129" spans="1:40" x14ac:dyDescent="0.25">
      <c r="A129" s="202"/>
      <c r="C129" s="154"/>
      <c r="F129" s="252"/>
      <c r="H129" s="252"/>
      <c r="I129" s="252"/>
      <c r="J129" s="300"/>
      <c r="K129" s="300"/>
      <c r="L129" s="200"/>
      <c r="M129" s="200"/>
      <c r="N129" s="210"/>
      <c r="O129" s="210"/>
      <c r="P129" s="202"/>
      <c r="Q129" s="202"/>
      <c r="R129" s="200"/>
      <c r="T129" s="154"/>
      <c r="V129" s="200"/>
      <c r="Y129" s="200"/>
      <c r="Z129" s="213"/>
      <c r="AA129" s="200"/>
      <c r="AB129" s="200"/>
      <c r="AC129" s="210"/>
      <c r="AD129" s="210"/>
      <c r="AE129" s="200"/>
      <c r="AF129" s="200"/>
      <c r="AG129" s="209"/>
      <c r="AH129" s="201"/>
      <c r="AI129" s="200"/>
      <c r="AJ129" s="200"/>
      <c r="AK129" s="209"/>
      <c r="AL129" s="200"/>
      <c r="AM129" s="210"/>
      <c r="AN129" s="210"/>
    </row>
    <row r="130" spans="1:40" x14ac:dyDescent="0.25">
      <c r="A130" s="202"/>
      <c r="C130" s="154"/>
      <c r="F130" s="252"/>
      <c r="H130" s="252"/>
      <c r="I130" s="252"/>
      <c r="J130" s="300"/>
      <c r="K130" s="300"/>
      <c r="L130" s="200"/>
      <c r="M130" s="200"/>
      <c r="N130" s="210"/>
      <c r="O130" s="210"/>
      <c r="P130" s="202"/>
      <c r="Q130" s="202"/>
      <c r="R130" s="200"/>
      <c r="T130" s="154"/>
      <c r="V130" s="252"/>
      <c r="Y130" s="200"/>
      <c r="Z130" s="320"/>
      <c r="AA130" s="200"/>
      <c r="AB130" s="200"/>
      <c r="AC130" s="210"/>
      <c r="AD130" s="210"/>
      <c r="AE130" s="200"/>
      <c r="AF130" s="200"/>
      <c r="AG130" s="209"/>
      <c r="AH130" s="201"/>
      <c r="AI130" s="200"/>
      <c r="AJ130" s="200"/>
      <c r="AK130" s="209"/>
      <c r="AL130" s="200"/>
      <c r="AM130" s="210"/>
      <c r="AN130" s="210"/>
    </row>
    <row r="131" spans="1:40" x14ac:dyDescent="0.25">
      <c r="A131" s="202"/>
      <c r="C131" s="154"/>
      <c r="F131" s="252"/>
      <c r="H131" s="252"/>
      <c r="I131" s="252"/>
      <c r="J131" s="300"/>
      <c r="K131" s="300"/>
      <c r="L131" s="200"/>
      <c r="M131" s="200"/>
      <c r="N131" s="210"/>
      <c r="O131" s="210"/>
      <c r="P131" s="202"/>
      <c r="Q131" s="202"/>
      <c r="R131" s="200"/>
      <c r="V131" s="211"/>
      <c r="Y131" s="211"/>
      <c r="Z131" s="305"/>
      <c r="AA131" s="211"/>
      <c r="AB131" s="211"/>
      <c r="AC131" s="211"/>
      <c r="AD131" s="211"/>
      <c r="AE131" s="211"/>
      <c r="AF131" s="211"/>
      <c r="AI131" s="211"/>
      <c r="AJ131" s="211"/>
      <c r="AK131" s="212"/>
      <c r="AL131" s="211"/>
      <c r="AM131" s="210"/>
      <c r="AN131" s="210"/>
    </row>
    <row r="132" spans="1:40" x14ac:dyDescent="0.25">
      <c r="F132" s="211"/>
      <c r="H132" s="200"/>
      <c r="I132" s="200"/>
      <c r="J132" s="305"/>
      <c r="K132" s="305"/>
      <c r="L132" s="211"/>
      <c r="M132" s="211"/>
      <c r="N132" s="211"/>
      <c r="O132" s="211"/>
      <c r="P132" s="211"/>
      <c r="Q132" s="211"/>
      <c r="R132" s="211"/>
      <c r="T132" s="154"/>
      <c r="V132" s="200"/>
      <c r="Y132" s="200"/>
      <c r="Z132" s="305"/>
      <c r="AA132" s="200"/>
      <c r="AB132" s="200"/>
      <c r="AC132" s="210"/>
      <c r="AD132" s="210"/>
      <c r="AE132" s="200"/>
      <c r="AF132" s="200"/>
      <c r="AG132" s="209"/>
      <c r="AH132" s="210"/>
      <c r="AI132" s="200"/>
      <c r="AJ132" s="200"/>
      <c r="AK132" s="209"/>
      <c r="AL132" s="200"/>
      <c r="AM132" s="210"/>
      <c r="AN132" s="210"/>
    </row>
    <row r="133" spans="1:40" x14ac:dyDescent="0.25">
      <c r="A133" s="202"/>
      <c r="C133" s="154"/>
      <c r="F133" s="200"/>
      <c r="H133" s="200"/>
      <c r="I133" s="200"/>
      <c r="J133" s="305"/>
      <c r="K133" s="305"/>
      <c r="L133" s="200"/>
      <c r="M133" s="200"/>
      <c r="N133" s="210"/>
      <c r="O133" s="210"/>
      <c r="P133" s="200"/>
      <c r="Q133" s="200"/>
      <c r="R133" s="200"/>
      <c r="V133" s="211"/>
      <c r="Y133" s="211"/>
      <c r="Z133" s="305"/>
      <c r="AA133" s="211"/>
      <c r="AB133" s="211"/>
      <c r="AC133" s="211"/>
      <c r="AD133" s="211"/>
      <c r="AE133" s="211"/>
      <c r="AF133" s="211"/>
      <c r="AI133" s="211"/>
      <c r="AJ133" s="211"/>
      <c r="AK133" s="212"/>
      <c r="AL133" s="211"/>
      <c r="AM133" s="210"/>
      <c r="AN133" s="210"/>
    </row>
    <row r="134" spans="1:40" x14ac:dyDescent="0.25">
      <c r="F134" s="211"/>
      <c r="H134" s="200"/>
      <c r="I134" s="200"/>
      <c r="J134" s="305"/>
      <c r="K134" s="305"/>
      <c r="L134" s="211"/>
      <c r="M134" s="211"/>
      <c r="N134" s="211"/>
      <c r="O134" s="211"/>
      <c r="P134" s="211"/>
      <c r="Q134" s="211"/>
      <c r="R134" s="211"/>
      <c r="T134" s="154"/>
      <c r="V134" s="252"/>
      <c r="Y134" s="252"/>
      <c r="Z134" s="305"/>
      <c r="AA134" s="200"/>
      <c r="AB134" s="200"/>
      <c r="AC134" s="210"/>
      <c r="AD134" s="210"/>
      <c r="AE134" s="200"/>
      <c r="AF134" s="200"/>
      <c r="AI134" s="200"/>
      <c r="AJ134" s="200"/>
      <c r="AK134" s="209"/>
      <c r="AL134" s="200"/>
      <c r="AM134" s="210"/>
      <c r="AN134" s="210"/>
    </row>
    <row r="135" spans="1:40" x14ac:dyDescent="0.25">
      <c r="A135" s="202"/>
      <c r="C135" s="154"/>
      <c r="F135" s="252"/>
      <c r="H135" s="252"/>
      <c r="I135" s="252"/>
      <c r="J135" s="328"/>
      <c r="K135" s="328"/>
      <c r="L135" s="200"/>
      <c r="M135" s="200"/>
      <c r="N135" s="210"/>
      <c r="O135" s="210"/>
      <c r="P135" s="200"/>
      <c r="Q135" s="200"/>
      <c r="R135" s="200"/>
      <c r="S135" s="200"/>
    </row>
    <row r="136" spans="1:40" x14ac:dyDescent="0.25">
      <c r="A136" s="202"/>
      <c r="C136" s="154"/>
      <c r="F136" s="252"/>
      <c r="H136" s="252"/>
      <c r="I136" s="252"/>
      <c r="J136" s="300"/>
      <c r="K136" s="300"/>
      <c r="L136" s="200"/>
      <c r="M136" s="200"/>
      <c r="N136" s="210"/>
      <c r="O136" s="210"/>
      <c r="P136" s="200"/>
      <c r="Q136" s="200"/>
      <c r="R136" s="200"/>
      <c r="T136" s="154"/>
    </row>
    <row r="137" spans="1:40" x14ac:dyDescent="0.25">
      <c r="A137" s="202"/>
      <c r="C137" s="154"/>
      <c r="F137" s="252"/>
      <c r="H137" s="252"/>
      <c r="I137" s="252"/>
      <c r="J137" s="300"/>
      <c r="K137" s="300"/>
      <c r="L137" s="200"/>
      <c r="M137" s="200"/>
      <c r="N137" s="210"/>
      <c r="O137" s="210"/>
      <c r="P137" s="200"/>
      <c r="Q137" s="200"/>
      <c r="R137" s="200"/>
      <c r="T137" s="154"/>
      <c r="V137" s="200"/>
      <c r="Y137" s="252"/>
      <c r="Z137" s="300"/>
      <c r="AA137" s="200"/>
      <c r="AB137" s="200"/>
      <c r="AC137" s="210"/>
      <c r="AD137" s="210"/>
      <c r="AE137" s="200"/>
      <c r="AF137" s="200"/>
      <c r="AG137" s="325"/>
      <c r="AH137" s="326"/>
      <c r="AI137" s="202"/>
      <c r="AJ137" s="202"/>
      <c r="AK137" s="209"/>
      <c r="AL137" s="200"/>
      <c r="AM137" s="327"/>
      <c r="AN137" s="327"/>
    </row>
    <row r="138" spans="1:40" x14ac:dyDescent="0.25">
      <c r="F138" s="200"/>
      <c r="H138" s="211"/>
      <c r="I138" s="211"/>
      <c r="J138" s="305"/>
      <c r="K138" s="305"/>
      <c r="L138" s="211"/>
      <c r="M138" s="211"/>
      <c r="N138" s="211"/>
      <c r="O138" s="211"/>
      <c r="P138" s="211"/>
      <c r="Q138" s="211"/>
      <c r="R138" s="211"/>
      <c r="T138" s="154"/>
      <c r="V138" s="200"/>
      <c r="Y138" s="252"/>
      <c r="Z138" s="300"/>
      <c r="AA138" s="200"/>
      <c r="AB138" s="200"/>
      <c r="AC138" s="210"/>
      <c r="AD138" s="210"/>
      <c r="AE138" s="200"/>
      <c r="AF138" s="200"/>
      <c r="AG138" s="209"/>
      <c r="AH138" s="201"/>
      <c r="AI138" s="202"/>
      <c r="AJ138" s="202"/>
      <c r="AK138" s="209"/>
      <c r="AL138" s="200"/>
      <c r="AM138" s="210"/>
      <c r="AN138" s="210"/>
    </row>
    <row r="139" spans="1:40" x14ac:dyDescent="0.25">
      <c r="A139" s="202"/>
      <c r="C139" s="154"/>
      <c r="F139" s="200"/>
      <c r="H139" s="200"/>
      <c r="I139" s="200"/>
      <c r="J139" s="305"/>
      <c r="K139" s="305"/>
      <c r="L139" s="200"/>
      <c r="M139" s="200"/>
      <c r="N139" s="210"/>
      <c r="O139" s="210"/>
      <c r="P139" s="200"/>
      <c r="Q139" s="200"/>
      <c r="R139" s="200"/>
      <c r="T139" s="154"/>
      <c r="V139" s="200"/>
      <c r="Y139" s="252"/>
      <c r="Z139" s="300"/>
      <c r="AA139" s="200"/>
      <c r="AB139" s="200"/>
      <c r="AC139" s="210"/>
      <c r="AD139" s="210"/>
      <c r="AE139" s="200"/>
      <c r="AF139" s="200"/>
      <c r="AG139" s="209"/>
      <c r="AH139" s="201"/>
      <c r="AI139" s="202"/>
      <c r="AJ139" s="202"/>
      <c r="AK139" s="209"/>
      <c r="AL139" s="200"/>
      <c r="AM139" s="210"/>
      <c r="AN139" s="210"/>
    </row>
    <row r="140" spans="1:40" x14ac:dyDescent="0.25">
      <c r="F140" s="200"/>
      <c r="H140" s="211"/>
      <c r="I140" s="211"/>
      <c r="J140" s="305"/>
      <c r="K140" s="305"/>
      <c r="L140" s="211"/>
      <c r="M140" s="211"/>
      <c r="N140" s="211"/>
      <c r="O140" s="211"/>
      <c r="P140" s="211"/>
      <c r="Q140" s="211"/>
      <c r="R140" s="211"/>
      <c r="V140" s="211"/>
      <c r="Y140" s="200"/>
      <c r="Z140" s="305"/>
      <c r="AA140" s="211"/>
      <c r="AB140" s="211"/>
      <c r="AC140" s="211"/>
      <c r="AD140" s="211"/>
      <c r="AE140" s="211"/>
      <c r="AF140" s="211"/>
      <c r="AI140" s="211"/>
      <c r="AJ140" s="211"/>
      <c r="AK140" s="212"/>
      <c r="AL140" s="211"/>
      <c r="AM140" s="210"/>
      <c r="AN140" s="210"/>
    </row>
    <row r="141" spans="1:40" x14ac:dyDescent="0.25">
      <c r="A141" s="202"/>
      <c r="C141" s="154"/>
      <c r="F141" s="200"/>
      <c r="H141" s="200"/>
      <c r="I141" s="200"/>
      <c r="J141" s="305"/>
      <c r="K141" s="305"/>
      <c r="L141" s="200"/>
      <c r="M141" s="200"/>
      <c r="N141" s="200"/>
      <c r="O141" s="200"/>
      <c r="P141" s="200"/>
      <c r="Q141" s="200"/>
      <c r="R141" s="200"/>
      <c r="T141" s="154"/>
      <c r="V141" s="200"/>
      <c r="Y141" s="200"/>
      <c r="Z141" s="305"/>
      <c r="AA141" s="200"/>
      <c r="AB141" s="200"/>
      <c r="AC141" s="210"/>
      <c r="AD141" s="210"/>
      <c r="AE141" s="200"/>
      <c r="AF141" s="200"/>
      <c r="AG141" s="209"/>
      <c r="AH141" s="201"/>
      <c r="AI141" s="200"/>
      <c r="AJ141" s="200"/>
      <c r="AK141" s="209"/>
      <c r="AL141" s="200"/>
      <c r="AM141" s="210"/>
      <c r="AN141" s="210"/>
    </row>
    <row r="142" spans="1:40" x14ac:dyDescent="0.25">
      <c r="A142" s="202"/>
      <c r="C142" s="154"/>
      <c r="F142" s="200"/>
      <c r="H142" s="252"/>
      <c r="I142" s="252"/>
      <c r="J142" s="329"/>
      <c r="K142" s="329"/>
      <c r="L142" s="200"/>
      <c r="M142" s="200"/>
      <c r="N142" s="210"/>
      <c r="O142" s="210"/>
      <c r="P142" s="200"/>
      <c r="Q142" s="200"/>
      <c r="R142" s="200"/>
      <c r="V142" s="211"/>
      <c r="Y142" s="200"/>
      <c r="Z142" s="305"/>
      <c r="AA142" s="211"/>
      <c r="AB142" s="211"/>
      <c r="AC142" s="211"/>
      <c r="AD142" s="211"/>
      <c r="AE142" s="211"/>
      <c r="AF142" s="211"/>
      <c r="AI142" s="211"/>
      <c r="AJ142" s="211"/>
      <c r="AK142" s="212"/>
      <c r="AL142" s="211"/>
      <c r="AM142" s="210"/>
      <c r="AN142" s="210"/>
    </row>
    <row r="143" spans="1:40" x14ac:dyDescent="0.25">
      <c r="A143" s="202"/>
      <c r="C143" s="154"/>
      <c r="H143" s="252"/>
      <c r="I143" s="252"/>
      <c r="J143" s="329"/>
      <c r="K143" s="329"/>
      <c r="L143" s="200"/>
      <c r="M143" s="200"/>
      <c r="N143" s="210"/>
      <c r="O143" s="210"/>
      <c r="P143" s="200"/>
      <c r="Q143" s="200"/>
      <c r="R143" s="200"/>
      <c r="T143" s="154"/>
      <c r="V143" s="252"/>
      <c r="Y143" s="252"/>
      <c r="Z143" s="328"/>
      <c r="AA143" s="200"/>
      <c r="AB143" s="200"/>
      <c r="AC143" s="210"/>
      <c r="AD143" s="210"/>
      <c r="AE143" s="200"/>
      <c r="AF143" s="200"/>
      <c r="AG143" s="209"/>
      <c r="AH143" s="210"/>
      <c r="AI143" s="200"/>
      <c r="AJ143" s="200"/>
      <c r="AK143" s="209"/>
      <c r="AL143" s="200"/>
      <c r="AM143" s="210"/>
      <c r="AN143" s="210"/>
    </row>
    <row r="144" spans="1:40" x14ac:dyDescent="0.25">
      <c r="F144" s="200"/>
      <c r="H144" s="200"/>
      <c r="I144" s="200"/>
      <c r="J144" s="305"/>
      <c r="K144" s="305"/>
      <c r="L144" s="211"/>
      <c r="M144" s="211"/>
      <c r="N144" s="211"/>
      <c r="O144" s="211"/>
      <c r="P144" s="211"/>
      <c r="Q144" s="211"/>
      <c r="R144" s="211"/>
      <c r="T144" s="154"/>
      <c r="V144" s="252"/>
      <c r="Y144" s="200"/>
      <c r="Z144" s="300"/>
      <c r="AA144" s="200"/>
      <c r="AB144" s="200"/>
      <c r="AC144" s="210"/>
      <c r="AD144" s="210"/>
      <c r="AE144" s="200"/>
      <c r="AF144" s="200"/>
      <c r="AG144" s="209"/>
      <c r="AH144" s="201"/>
      <c r="AI144" s="200"/>
      <c r="AJ144" s="200"/>
      <c r="AK144" s="209"/>
      <c r="AL144" s="200"/>
      <c r="AM144" s="210"/>
      <c r="AN144" s="210"/>
    </row>
    <row r="145" spans="1:40" x14ac:dyDescent="0.25">
      <c r="A145" s="202"/>
      <c r="C145" s="154"/>
      <c r="F145" s="200"/>
      <c r="H145" s="200"/>
      <c r="I145" s="200"/>
      <c r="J145" s="213"/>
      <c r="K145" s="213"/>
      <c r="L145" s="200"/>
      <c r="M145" s="200"/>
      <c r="N145" s="210"/>
      <c r="O145" s="210"/>
      <c r="P145" s="200"/>
      <c r="Q145" s="200"/>
      <c r="R145" s="200"/>
      <c r="T145" s="154"/>
      <c r="V145" s="252"/>
      <c r="Y145" s="200"/>
      <c r="Z145" s="300"/>
      <c r="AA145" s="200"/>
      <c r="AB145" s="200"/>
      <c r="AC145" s="210"/>
      <c r="AD145" s="210"/>
      <c r="AE145" s="200"/>
      <c r="AF145" s="200"/>
      <c r="AG145" s="209"/>
      <c r="AH145" s="201"/>
      <c r="AI145" s="200"/>
      <c r="AJ145" s="200"/>
      <c r="AK145" s="209"/>
      <c r="AL145" s="200"/>
      <c r="AM145" s="210"/>
      <c r="AN145" s="210"/>
    </row>
    <row r="146" spans="1:40" x14ac:dyDescent="0.25">
      <c r="F146" s="200"/>
      <c r="H146" s="200"/>
      <c r="I146" s="200"/>
      <c r="J146" s="305"/>
      <c r="K146" s="305"/>
      <c r="L146" s="211"/>
      <c r="M146" s="211"/>
      <c r="N146" s="211"/>
      <c r="O146" s="211"/>
      <c r="P146" s="211"/>
      <c r="Q146" s="211"/>
      <c r="R146" s="211"/>
      <c r="V146" s="200"/>
      <c r="Y146" s="211"/>
      <c r="Z146" s="305"/>
      <c r="AA146" s="211"/>
      <c r="AB146" s="211"/>
      <c r="AC146" s="211"/>
      <c r="AD146" s="211"/>
      <c r="AE146" s="211"/>
      <c r="AF146" s="211"/>
      <c r="AI146" s="211"/>
      <c r="AJ146" s="211"/>
      <c r="AK146" s="212"/>
      <c r="AL146" s="211"/>
      <c r="AM146" s="210"/>
      <c r="AN146" s="210"/>
    </row>
    <row r="147" spans="1:40" x14ac:dyDescent="0.25">
      <c r="A147" s="202"/>
      <c r="C147" s="154"/>
      <c r="F147" s="200"/>
      <c r="H147" s="200"/>
      <c r="I147" s="200"/>
      <c r="J147" s="213"/>
      <c r="K147" s="213"/>
      <c r="L147" s="200"/>
      <c r="M147" s="200"/>
      <c r="N147" s="210"/>
      <c r="O147" s="210"/>
      <c r="P147" s="200"/>
      <c r="Q147" s="200"/>
      <c r="R147" s="200"/>
      <c r="T147" s="154"/>
      <c r="V147" s="200"/>
      <c r="Y147" s="200"/>
      <c r="Z147" s="305"/>
      <c r="AA147" s="200"/>
      <c r="AB147" s="200"/>
      <c r="AC147" s="210"/>
      <c r="AD147" s="210"/>
      <c r="AE147" s="200"/>
      <c r="AF147" s="200"/>
      <c r="AG147" s="209"/>
      <c r="AH147" s="201"/>
      <c r="AI147" s="200"/>
      <c r="AJ147" s="200"/>
      <c r="AK147" s="209"/>
      <c r="AL147" s="200"/>
      <c r="AM147" s="210"/>
      <c r="AN147" s="210"/>
    </row>
    <row r="148" spans="1:40" x14ac:dyDescent="0.25">
      <c r="A148" s="202"/>
      <c r="C148" s="154"/>
      <c r="F148" s="252"/>
      <c r="H148" s="252"/>
      <c r="I148" s="252"/>
      <c r="J148" s="320"/>
      <c r="K148" s="320"/>
      <c r="L148" s="200"/>
      <c r="M148" s="200"/>
      <c r="N148" s="210"/>
      <c r="O148" s="210"/>
      <c r="P148" s="200"/>
      <c r="Q148" s="200"/>
      <c r="R148" s="200"/>
      <c r="V148" s="200"/>
      <c r="Y148" s="211"/>
      <c r="Z148" s="305"/>
      <c r="AA148" s="211"/>
      <c r="AB148" s="211"/>
      <c r="AC148" s="211"/>
      <c r="AD148" s="211"/>
      <c r="AE148" s="211"/>
      <c r="AF148" s="211"/>
      <c r="AI148" s="211"/>
      <c r="AJ148" s="211"/>
      <c r="AK148" s="212"/>
      <c r="AL148" s="211"/>
      <c r="AM148" s="210"/>
      <c r="AN148" s="210"/>
    </row>
    <row r="149" spans="1:40" x14ac:dyDescent="0.25">
      <c r="F149" s="211"/>
      <c r="H149" s="211"/>
      <c r="I149" s="211"/>
      <c r="J149" s="305"/>
      <c r="K149" s="305"/>
      <c r="L149" s="211"/>
      <c r="M149" s="211"/>
      <c r="N149" s="211"/>
      <c r="O149" s="211"/>
      <c r="P149" s="211"/>
      <c r="Q149" s="211"/>
      <c r="R149" s="211"/>
      <c r="T149" s="154"/>
      <c r="V149" s="200"/>
      <c r="Y149" s="200"/>
      <c r="Z149" s="305"/>
      <c r="AA149" s="200"/>
      <c r="AB149" s="200"/>
      <c r="AC149" s="200"/>
      <c r="AD149" s="200"/>
      <c r="AE149" s="200"/>
      <c r="AF149" s="200"/>
      <c r="AG149" s="209"/>
      <c r="AH149" s="201"/>
      <c r="AI149" s="200"/>
      <c r="AJ149" s="200"/>
      <c r="AK149" s="209"/>
      <c r="AL149" s="200"/>
      <c r="AM149" s="210"/>
      <c r="AN149" s="210"/>
    </row>
    <row r="150" spans="1:40" x14ac:dyDescent="0.25">
      <c r="A150" s="202"/>
      <c r="C150" s="154"/>
      <c r="F150" s="200"/>
      <c r="H150" s="200"/>
      <c r="I150" s="200"/>
      <c r="J150" s="305"/>
      <c r="K150" s="305"/>
      <c r="L150" s="200"/>
      <c r="M150" s="200"/>
      <c r="N150" s="210"/>
      <c r="O150" s="210"/>
      <c r="P150" s="200"/>
      <c r="Q150" s="200"/>
      <c r="R150" s="200"/>
      <c r="S150" s="200"/>
      <c r="T150" s="154"/>
      <c r="V150" s="200"/>
      <c r="Y150" s="200"/>
      <c r="Z150" s="329"/>
      <c r="AA150" s="200"/>
      <c r="AB150" s="200"/>
      <c r="AC150" s="210"/>
      <c r="AD150" s="210"/>
      <c r="AE150" s="200"/>
      <c r="AF150" s="200"/>
      <c r="AG150" s="209"/>
      <c r="AH150" s="201"/>
      <c r="AI150" s="200"/>
      <c r="AJ150" s="200"/>
      <c r="AK150" s="209"/>
      <c r="AL150" s="200"/>
      <c r="AM150" s="210"/>
      <c r="AN150" s="210"/>
    </row>
    <row r="151" spans="1:40" x14ac:dyDescent="0.25">
      <c r="F151" s="211"/>
      <c r="H151" s="211"/>
      <c r="I151" s="211"/>
      <c r="J151" s="305"/>
      <c r="K151" s="305"/>
      <c r="L151" s="211"/>
      <c r="M151" s="211"/>
      <c r="N151" s="211"/>
      <c r="O151" s="211"/>
      <c r="P151" s="211"/>
      <c r="Q151" s="211"/>
      <c r="R151" s="211"/>
      <c r="S151" s="200"/>
      <c r="T151" s="154"/>
      <c r="Y151" s="200"/>
      <c r="Z151" s="329"/>
      <c r="AA151" s="200"/>
      <c r="AB151" s="200"/>
      <c r="AC151" s="210"/>
      <c r="AD151" s="210"/>
      <c r="AE151" s="200"/>
      <c r="AF151" s="200"/>
      <c r="AG151" s="209"/>
      <c r="AH151" s="201"/>
      <c r="AI151" s="200"/>
      <c r="AJ151" s="200"/>
      <c r="AK151" s="209"/>
      <c r="AL151" s="200"/>
      <c r="AM151" s="210"/>
      <c r="AN151" s="210"/>
    </row>
    <row r="152" spans="1:40" x14ac:dyDescent="0.25">
      <c r="A152" s="202"/>
      <c r="C152" s="154"/>
      <c r="V152" s="200"/>
      <c r="Y152" s="200"/>
      <c r="Z152" s="305"/>
      <c r="AA152" s="211"/>
      <c r="AB152" s="211"/>
      <c r="AC152" s="211"/>
      <c r="AD152" s="211"/>
      <c r="AE152" s="211"/>
      <c r="AF152" s="211"/>
      <c r="AI152" s="211"/>
      <c r="AJ152" s="211"/>
      <c r="AK152" s="212"/>
      <c r="AL152" s="211"/>
      <c r="AM152" s="210"/>
      <c r="AN152" s="210"/>
    </row>
    <row r="153" spans="1:40" x14ac:dyDescent="0.25">
      <c r="A153" s="202"/>
      <c r="C153" s="154"/>
      <c r="F153" s="200"/>
      <c r="H153" s="200"/>
      <c r="I153" s="200"/>
      <c r="L153" s="200"/>
      <c r="M153" s="200"/>
      <c r="N153" s="210"/>
      <c r="O153" s="210"/>
      <c r="P153" s="252"/>
      <c r="Q153" s="252"/>
      <c r="R153" s="200"/>
      <c r="T153" s="154"/>
      <c r="V153" s="200"/>
      <c r="Y153" s="200"/>
      <c r="Z153" s="213"/>
      <c r="AA153" s="200"/>
      <c r="AB153" s="200"/>
      <c r="AC153" s="210"/>
      <c r="AD153" s="210"/>
      <c r="AE153" s="200"/>
      <c r="AF153" s="200"/>
      <c r="AG153" s="209"/>
      <c r="AH153" s="201"/>
      <c r="AI153" s="200"/>
      <c r="AJ153" s="200"/>
      <c r="AK153" s="209"/>
      <c r="AL153" s="200"/>
      <c r="AM153" s="210"/>
      <c r="AN153" s="210"/>
    </row>
    <row r="154" spans="1:40" x14ac:dyDescent="0.25">
      <c r="F154" s="211"/>
      <c r="H154" s="211"/>
      <c r="I154" s="211"/>
      <c r="J154" s="305"/>
      <c r="K154" s="305"/>
      <c r="L154" s="211"/>
      <c r="M154" s="211"/>
      <c r="N154" s="211"/>
      <c r="O154" s="211"/>
      <c r="P154" s="211"/>
      <c r="Q154" s="211"/>
      <c r="R154" s="211"/>
      <c r="V154" s="200"/>
      <c r="Y154" s="200"/>
      <c r="Z154" s="305"/>
      <c r="AA154" s="211"/>
      <c r="AB154" s="211"/>
      <c r="AC154" s="211"/>
      <c r="AD154" s="211"/>
      <c r="AE154" s="211"/>
      <c r="AF154" s="211"/>
      <c r="AI154" s="211"/>
      <c r="AJ154" s="211"/>
      <c r="AK154" s="212"/>
      <c r="AL154" s="211"/>
      <c r="AM154" s="210"/>
      <c r="AN154" s="210"/>
    </row>
    <row r="155" spans="1:40" x14ac:dyDescent="0.25">
      <c r="T155" s="154"/>
      <c r="V155" s="200"/>
      <c r="Y155" s="200"/>
      <c r="Z155" s="213"/>
      <c r="AA155" s="200"/>
      <c r="AB155" s="200"/>
      <c r="AC155" s="210"/>
      <c r="AD155" s="210"/>
      <c r="AE155" s="200"/>
      <c r="AF155" s="200"/>
      <c r="AG155" s="209"/>
      <c r="AH155" s="201"/>
      <c r="AI155" s="200"/>
      <c r="AJ155" s="200"/>
      <c r="AK155" s="209"/>
      <c r="AL155" s="200"/>
      <c r="AM155" s="210"/>
      <c r="AN155" s="210"/>
    </row>
    <row r="156" spans="1:40" x14ac:dyDescent="0.25">
      <c r="C156" s="154"/>
      <c r="L156" s="200"/>
      <c r="M156" s="200"/>
      <c r="N156" s="200"/>
      <c r="O156" s="200"/>
      <c r="P156" s="200"/>
      <c r="Q156" s="200"/>
      <c r="R156" s="200"/>
      <c r="S156" s="200"/>
      <c r="T156" s="154"/>
      <c r="V156" s="252"/>
      <c r="Y156" s="200"/>
      <c r="Z156" s="320"/>
      <c r="AA156" s="200"/>
      <c r="AB156" s="200"/>
      <c r="AC156" s="210"/>
      <c r="AD156" s="210"/>
      <c r="AE156" s="200"/>
      <c r="AF156" s="200"/>
      <c r="AG156" s="209"/>
      <c r="AH156" s="201"/>
      <c r="AI156" s="200"/>
      <c r="AJ156" s="200"/>
      <c r="AK156" s="209"/>
      <c r="AL156" s="200"/>
      <c r="AM156" s="210"/>
      <c r="AN156" s="210"/>
    </row>
    <row r="157" spans="1:40" x14ac:dyDescent="0.25">
      <c r="A157" s="154"/>
      <c r="V157" s="211"/>
      <c r="Y157" s="211"/>
      <c r="Z157" s="305"/>
      <c r="AA157" s="211"/>
      <c r="AB157" s="211"/>
      <c r="AC157" s="211"/>
      <c r="AD157" s="211"/>
      <c r="AE157" s="211"/>
      <c r="AF157" s="211"/>
      <c r="AI157" s="211"/>
      <c r="AJ157" s="211"/>
      <c r="AK157" s="212"/>
      <c r="AL157" s="211"/>
      <c r="AM157" s="210"/>
      <c r="AN157" s="210"/>
    </row>
    <row r="158" spans="1:40" x14ac:dyDescent="0.25">
      <c r="J158" s="202"/>
      <c r="K158" s="202"/>
      <c r="T158" s="154"/>
      <c r="V158" s="200"/>
      <c r="Y158" s="200"/>
      <c r="Z158" s="305"/>
      <c r="AA158" s="200"/>
      <c r="AB158" s="200"/>
      <c r="AC158" s="210"/>
      <c r="AD158" s="210"/>
      <c r="AE158" s="200"/>
      <c r="AF158" s="200"/>
      <c r="AG158" s="209"/>
      <c r="AH158" s="210"/>
      <c r="AI158" s="200"/>
      <c r="AJ158" s="200"/>
      <c r="AK158" s="209"/>
      <c r="AL158" s="200"/>
      <c r="AM158" s="210"/>
      <c r="AN158" s="210"/>
    </row>
    <row r="159" spans="1:40" x14ac:dyDescent="0.25">
      <c r="H159" s="154"/>
      <c r="I159" s="154"/>
      <c r="V159" s="211"/>
      <c r="Y159" s="211"/>
      <c r="Z159" s="305"/>
      <c r="AA159" s="211"/>
      <c r="AB159" s="211"/>
      <c r="AC159" s="211"/>
      <c r="AD159" s="211"/>
      <c r="AE159" s="211"/>
      <c r="AF159" s="211"/>
      <c r="AI159" s="211"/>
      <c r="AJ159" s="211"/>
      <c r="AK159" s="212"/>
      <c r="AL159" s="211"/>
      <c r="AM159" s="210"/>
      <c r="AN159" s="210"/>
    </row>
    <row r="160" spans="1:40" x14ac:dyDescent="0.25">
      <c r="J160" s="202"/>
      <c r="K160" s="202"/>
      <c r="T160" s="154"/>
    </row>
    <row r="161" spans="1:40" x14ac:dyDescent="0.25">
      <c r="L161" s="154"/>
      <c r="M161" s="154"/>
      <c r="AA161" s="154"/>
      <c r="AB161" s="154"/>
    </row>
    <row r="162" spans="1:40" x14ac:dyDescent="0.25">
      <c r="A162" s="202"/>
      <c r="R162" s="154"/>
      <c r="AK162" s="297"/>
      <c r="AL162" s="154"/>
    </row>
    <row r="163" spans="1:40" x14ac:dyDescent="0.25">
      <c r="A163" s="202"/>
      <c r="R163" s="154"/>
      <c r="AK163" s="297"/>
      <c r="AL163" s="154"/>
    </row>
    <row r="164" spans="1:40" x14ac:dyDescent="0.25">
      <c r="A164" s="154"/>
      <c r="R164" s="154"/>
      <c r="AK164" s="297"/>
      <c r="AL164" s="154"/>
    </row>
    <row r="165" spans="1:40" x14ac:dyDescent="0.25">
      <c r="L165" s="154"/>
      <c r="M165" s="154"/>
      <c r="R165" s="202"/>
      <c r="AA165" s="154"/>
      <c r="AB165" s="154"/>
      <c r="AK165" s="209"/>
      <c r="AL165" s="202"/>
    </row>
    <row r="166" spans="1:40" x14ac:dyDescent="0.25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208"/>
      <c r="AH166" s="102"/>
      <c r="AI166" s="102"/>
      <c r="AJ166" s="102"/>
      <c r="AK166" s="208"/>
      <c r="AL166" s="102"/>
      <c r="AM166" s="102"/>
      <c r="AN166" s="102"/>
    </row>
    <row r="167" spans="1:40" x14ac:dyDescent="0.25">
      <c r="L167" s="103"/>
      <c r="M167" s="103"/>
      <c r="N167" s="103"/>
      <c r="O167" s="103"/>
      <c r="R167" s="103"/>
      <c r="AA167" s="103"/>
      <c r="AB167" s="103"/>
      <c r="AC167" s="103"/>
      <c r="AD167" s="103"/>
      <c r="AE167" s="103"/>
      <c r="AF167" s="103"/>
      <c r="AG167" s="185"/>
      <c r="AH167" s="103"/>
      <c r="AK167" s="185"/>
      <c r="AL167" s="103"/>
      <c r="AM167" s="103"/>
      <c r="AN167" s="103"/>
    </row>
    <row r="168" spans="1:40" x14ac:dyDescent="0.25">
      <c r="L168" s="103"/>
      <c r="M168" s="103"/>
      <c r="N168" s="103"/>
      <c r="O168" s="103"/>
      <c r="R168" s="103"/>
      <c r="Z168" s="103"/>
      <c r="AA168" s="103"/>
      <c r="AB168" s="103"/>
      <c r="AC168" s="103"/>
      <c r="AD168" s="103"/>
      <c r="AE168" s="103"/>
      <c r="AF168" s="103"/>
      <c r="AG168" s="185"/>
      <c r="AH168" s="103"/>
      <c r="AK168" s="185"/>
      <c r="AL168" s="103"/>
      <c r="AM168" s="103"/>
      <c r="AN168" s="103"/>
    </row>
    <row r="169" spans="1:40" x14ac:dyDescent="0.25">
      <c r="A169" s="103"/>
      <c r="C169" s="103"/>
      <c r="D169" s="103"/>
      <c r="E169" s="103"/>
      <c r="F169" s="103"/>
      <c r="J169" s="103"/>
      <c r="K169" s="103"/>
      <c r="L169" s="103"/>
      <c r="M169" s="103"/>
      <c r="N169" s="103"/>
      <c r="O169" s="103"/>
      <c r="P169" s="103"/>
      <c r="Q169" s="103"/>
      <c r="R169" s="103"/>
      <c r="T169" s="103"/>
      <c r="U169" s="103"/>
      <c r="V169" s="103"/>
      <c r="Z169" s="103"/>
      <c r="AA169" s="103"/>
      <c r="AB169" s="103"/>
      <c r="AC169" s="103"/>
      <c r="AD169" s="103"/>
      <c r="AE169" s="103"/>
      <c r="AF169" s="103"/>
      <c r="AG169" s="185"/>
      <c r="AH169" s="103"/>
      <c r="AI169" s="103"/>
      <c r="AJ169" s="103"/>
      <c r="AK169" s="185"/>
      <c r="AL169" s="103"/>
      <c r="AM169" s="103"/>
      <c r="AN169" s="103"/>
    </row>
    <row r="170" spans="1:40" x14ac:dyDescent="0.25">
      <c r="A170" s="103"/>
      <c r="C170" s="103"/>
      <c r="D170" s="103"/>
      <c r="E170" s="103"/>
      <c r="F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T170" s="103"/>
      <c r="U170" s="103"/>
      <c r="V170" s="103"/>
      <c r="Y170" s="103"/>
      <c r="Z170" s="103"/>
      <c r="AA170" s="103"/>
      <c r="AB170" s="103"/>
      <c r="AC170" s="103"/>
      <c r="AD170" s="103"/>
      <c r="AE170" s="103"/>
      <c r="AF170" s="103"/>
      <c r="AG170" s="185"/>
      <c r="AH170" s="103"/>
      <c r="AI170" s="103"/>
      <c r="AJ170" s="103"/>
      <c r="AK170" s="185"/>
      <c r="AL170" s="103"/>
      <c r="AM170" s="103"/>
      <c r="AN170" s="103"/>
    </row>
    <row r="171" spans="1:40" x14ac:dyDescent="0.25">
      <c r="C171" s="103"/>
      <c r="D171" s="103"/>
      <c r="E171" s="103"/>
      <c r="F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T171" s="103"/>
      <c r="U171" s="103"/>
      <c r="V171" s="103"/>
      <c r="Y171" s="103"/>
      <c r="Z171" s="103"/>
      <c r="AA171" s="103"/>
      <c r="AB171" s="103"/>
      <c r="AC171" s="103"/>
      <c r="AD171" s="103"/>
      <c r="AE171" s="103"/>
      <c r="AF171" s="103"/>
      <c r="AG171" s="185"/>
      <c r="AH171" s="103"/>
      <c r="AI171" s="103"/>
      <c r="AJ171" s="103"/>
      <c r="AK171" s="185"/>
      <c r="AL171" s="103"/>
      <c r="AM171" s="103"/>
      <c r="AN171" s="103"/>
    </row>
    <row r="172" spans="1:40" x14ac:dyDescent="0.25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208"/>
      <c r="AH172" s="102"/>
      <c r="AI172" s="102"/>
      <c r="AJ172" s="102"/>
      <c r="AK172" s="208"/>
      <c r="AL172" s="102"/>
      <c r="AM172" s="102"/>
      <c r="AN172" s="102"/>
    </row>
    <row r="173" spans="1:40" x14ac:dyDescent="0.25"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Y173" s="103"/>
      <c r="Z173" s="103"/>
      <c r="AA173" s="103"/>
      <c r="AB173" s="103"/>
      <c r="AC173" s="103"/>
      <c r="AD173" s="103"/>
      <c r="AE173" s="103"/>
      <c r="AF173" s="103"/>
      <c r="AG173" s="185"/>
      <c r="AH173" s="103"/>
      <c r="AI173" s="103"/>
      <c r="AJ173" s="103"/>
      <c r="AK173" s="185"/>
      <c r="AL173" s="103"/>
      <c r="AM173" s="103"/>
      <c r="AN173" s="103"/>
    </row>
    <row r="174" spans="1:40" x14ac:dyDescent="0.25">
      <c r="A174" s="202"/>
      <c r="C174" s="154"/>
      <c r="D174" s="154"/>
      <c r="E174" s="154"/>
      <c r="T174" s="154"/>
      <c r="U174" s="154"/>
    </row>
    <row r="175" spans="1:40" x14ac:dyDescent="0.25">
      <c r="A175" s="202"/>
      <c r="D175" s="154"/>
      <c r="E175" s="154"/>
      <c r="U175" s="154"/>
    </row>
    <row r="177" spans="1:40" x14ac:dyDescent="0.25">
      <c r="A177" s="202"/>
      <c r="C177" s="154"/>
      <c r="F177" s="252"/>
      <c r="H177" s="252"/>
      <c r="I177" s="252"/>
      <c r="J177" s="300"/>
      <c r="K177" s="300"/>
      <c r="L177" s="200"/>
      <c r="M177" s="200"/>
      <c r="N177" s="210"/>
      <c r="O177" s="210"/>
      <c r="R177" s="200"/>
      <c r="T177" s="154"/>
      <c r="V177" s="200"/>
      <c r="Y177" s="252"/>
      <c r="Z177" s="300"/>
      <c r="AA177" s="200"/>
      <c r="AB177" s="200"/>
      <c r="AC177" s="210"/>
      <c r="AD177" s="210"/>
      <c r="AE177" s="200"/>
      <c r="AF177" s="200"/>
      <c r="AG177" s="325"/>
      <c r="AH177" s="326"/>
      <c r="AK177" s="209"/>
      <c r="AL177" s="200"/>
      <c r="AM177" s="327"/>
      <c r="AN177" s="327"/>
    </row>
    <row r="178" spans="1:40" x14ac:dyDescent="0.25">
      <c r="A178" s="202"/>
      <c r="C178" s="154"/>
      <c r="F178" s="252"/>
      <c r="H178" s="252"/>
      <c r="I178" s="252"/>
      <c r="J178" s="300"/>
      <c r="K178" s="300"/>
      <c r="L178" s="200"/>
      <c r="M178" s="200"/>
      <c r="N178" s="210"/>
      <c r="O178" s="210"/>
      <c r="P178" s="202"/>
      <c r="Q178" s="202"/>
      <c r="R178" s="200"/>
      <c r="T178" s="154"/>
      <c r="V178" s="200"/>
      <c r="Y178" s="252"/>
      <c r="Z178" s="300"/>
      <c r="AA178" s="200"/>
      <c r="AB178" s="200"/>
      <c r="AC178" s="210"/>
      <c r="AD178" s="210"/>
      <c r="AE178" s="200"/>
      <c r="AF178" s="200"/>
      <c r="AG178" s="209"/>
      <c r="AH178" s="201"/>
      <c r="AI178" s="202"/>
      <c r="AJ178" s="202"/>
      <c r="AK178" s="209"/>
      <c r="AL178" s="200"/>
      <c r="AM178" s="210"/>
      <c r="AN178" s="210"/>
    </row>
    <row r="179" spans="1:40" x14ac:dyDescent="0.25">
      <c r="F179" s="211"/>
      <c r="H179" s="200"/>
      <c r="I179" s="200"/>
      <c r="J179" s="305"/>
      <c r="K179" s="305"/>
      <c r="L179" s="211"/>
      <c r="M179" s="211"/>
      <c r="N179" s="211"/>
      <c r="O179" s="211"/>
      <c r="P179" s="211"/>
      <c r="Q179" s="211"/>
      <c r="R179" s="211"/>
      <c r="V179" s="211"/>
      <c r="Y179" s="200"/>
      <c r="Z179" s="305"/>
      <c r="AA179" s="211"/>
      <c r="AB179" s="211"/>
      <c r="AC179" s="211"/>
      <c r="AD179" s="211"/>
      <c r="AE179" s="211"/>
      <c r="AF179" s="211"/>
      <c r="AI179" s="211"/>
      <c r="AJ179" s="211"/>
      <c r="AK179" s="212"/>
      <c r="AL179" s="211"/>
      <c r="AM179" s="210"/>
      <c r="AN179" s="210"/>
    </row>
    <row r="180" spans="1:40" x14ac:dyDescent="0.25">
      <c r="A180" s="202"/>
      <c r="C180" s="154"/>
      <c r="F180" s="200"/>
      <c r="H180" s="200"/>
      <c r="I180" s="200"/>
      <c r="J180" s="305"/>
      <c r="K180" s="305"/>
      <c r="L180" s="200"/>
      <c r="M180" s="200"/>
      <c r="N180" s="210"/>
      <c r="O180" s="210"/>
      <c r="P180" s="200"/>
      <c r="Q180" s="200"/>
      <c r="R180" s="200"/>
      <c r="T180" s="154"/>
      <c r="V180" s="200"/>
      <c r="Y180" s="200"/>
      <c r="Z180" s="213"/>
      <c r="AA180" s="200"/>
      <c r="AB180" s="200"/>
      <c r="AC180" s="210"/>
      <c r="AD180" s="210"/>
      <c r="AE180" s="200"/>
      <c r="AF180" s="200"/>
      <c r="AG180" s="209"/>
      <c r="AH180" s="201"/>
      <c r="AI180" s="200"/>
      <c r="AJ180" s="200"/>
      <c r="AK180" s="209"/>
      <c r="AL180" s="200"/>
      <c r="AM180" s="210"/>
      <c r="AN180" s="210"/>
    </row>
    <row r="181" spans="1:40" x14ac:dyDescent="0.25">
      <c r="F181" s="211"/>
      <c r="H181" s="200"/>
      <c r="I181" s="200"/>
      <c r="J181" s="305"/>
      <c r="K181" s="305"/>
      <c r="L181" s="211"/>
      <c r="M181" s="211"/>
      <c r="N181" s="211"/>
      <c r="O181" s="211"/>
      <c r="P181" s="211"/>
      <c r="Q181" s="211"/>
      <c r="R181" s="211"/>
      <c r="V181" s="211"/>
      <c r="Y181" s="200"/>
      <c r="Z181" s="305"/>
      <c r="AA181" s="211"/>
      <c r="AB181" s="211"/>
      <c r="AC181" s="211"/>
      <c r="AD181" s="211"/>
      <c r="AE181" s="211"/>
      <c r="AF181" s="211"/>
      <c r="AI181" s="211"/>
      <c r="AJ181" s="211"/>
      <c r="AK181" s="212"/>
      <c r="AL181" s="211"/>
      <c r="AM181" s="210"/>
      <c r="AN181" s="210"/>
    </row>
    <row r="182" spans="1:40" x14ac:dyDescent="0.25">
      <c r="F182" s="200"/>
      <c r="H182" s="200"/>
      <c r="I182" s="200"/>
      <c r="J182" s="305"/>
      <c r="K182" s="305"/>
      <c r="L182" s="200"/>
      <c r="M182" s="200"/>
      <c r="N182" s="210"/>
      <c r="O182" s="210"/>
      <c r="P182" s="200"/>
      <c r="Q182" s="200"/>
      <c r="R182" s="200"/>
      <c r="V182" s="200"/>
      <c r="Y182" s="200"/>
      <c r="Z182" s="213"/>
      <c r="AA182" s="200"/>
      <c r="AB182" s="200"/>
      <c r="AC182" s="210"/>
      <c r="AD182" s="210"/>
      <c r="AE182" s="200"/>
      <c r="AF182" s="200"/>
      <c r="AG182" s="209"/>
      <c r="AH182" s="201"/>
      <c r="AI182" s="200"/>
      <c r="AJ182" s="200"/>
      <c r="AK182" s="209"/>
      <c r="AL182" s="200"/>
      <c r="AM182" s="210"/>
      <c r="AN182" s="210"/>
    </row>
    <row r="183" spans="1:40" x14ac:dyDescent="0.25">
      <c r="A183" s="202"/>
      <c r="C183" s="154"/>
      <c r="F183" s="252"/>
      <c r="H183" s="252"/>
      <c r="I183" s="252"/>
      <c r="J183" s="300"/>
      <c r="K183" s="300"/>
      <c r="L183" s="200"/>
      <c r="M183" s="200"/>
      <c r="N183" s="210"/>
      <c r="O183" s="210"/>
      <c r="P183" s="200"/>
      <c r="Q183" s="200"/>
      <c r="R183" s="200"/>
      <c r="T183" s="154"/>
      <c r="V183" s="252"/>
      <c r="Y183" s="200"/>
      <c r="Z183" s="300"/>
      <c r="AA183" s="200"/>
      <c r="AB183" s="200"/>
      <c r="AC183" s="210"/>
      <c r="AD183" s="210"/>
      <c r="AE183" s="200"/>
      <c r="AF183" s="200"/>
      <c r="AG183" s="325"/>
      <c r="AH183" s="326"/>
      <c r="AI183" s="200"/>
      <c r="AJ183" s="200"/>
      <c r="AK183" s="209"/>
      <c r="AL183" s="200"/>
      <c r="AM183" s="327"/>
      <c r="AN183" s="327"/>
    </row>
    <row r="184" spans="1:40" x14ac:dyDescent="0.25">
      <c r="A184" s="202"/>
      <c r="C184" s="154"/>
      <c r="F184" s="252"/>
      <c r="H184" s="252"/>
      <c r="I184" s="252"/>
      <c r="J184" s="300"/>
      <c r="K184" s="300"/>
      <c r="L184" s="200"/>
      <c r="M184" s="200"/>
      <c r="N184" s="210"/>
      <c r="O184" s="210"/>
      <c r="P184" s="200"/>
      <c r="Q184" s="200"/>
      <c r="R184" s="200"/>
      <c r="T184" s="154"/>
      <c r="V184" s="252"/>
      <c r="Y184" s="200"/>
      <c r="Z184" s="300"/>
      <c r="AA184" s="200"/>
      <c r="AB184" s="200"/>
      <c r="AC184" s="210"/>
      <c r="AD184" s="210"/>
      <c r="AE184" s="200"/>
      <c r="AF184" s="200"/>
      <c r="AG184" s="209"/>
      <c r="AH184" s="201"/>
      <c r="AI184" s="200"/>
      <c r="AJ184" s="200"/>
      <c r="AK184" s="209"/>
      <c r="AL184" s="200"/>
      <c r="AM184" s="210"/>
      <c r="AN184" s="210"/>
    </row>
    <row r="185" spans="1:40" x14ac:dyDescent="0.25">
      <c r="F185" s="200"/>
      <c r="H185" s="211"/>
      <c r="I185" s="211"/>
      <c r="J185" s="305"/>
      <c r="K185" s="305"/>
      <c r="L185" s="211"/>
      <c r="M185" s="211"/>
      <c r="N185" s="211"/>
      <c r="O185" s="211"/>
      <c r="P185" s="211"/>
      <c r="Q185" s="211"/>
      <c r="R185" s="211"/>
      <c r="V185" s="200"/>
      <c r="Y185" s="211"/>
      <c r="Z185" s="305"/>
      <c r="AA185" s="211"/>
      <c r="AB185" s="211"/>
      <c r="AC185" s="211"/>
      <c r="AD185" s="211"/>
      <c r="AE185" s="211"/>
      <c r="AF185" s="211"/>
      <c r="AI185" s="211"/>
      <c r="AJ185" s="211"/>
      <c r="AK185" s="212"/>
      <c r="AL185" s="211"/>
      <c r="AM185" s="210"/>
      <c r="AN185" s="210"/>
    </row>
    <row r="186" spans="1:40" x14ac:dyDescent="0.25">
      <c r="A186" s="202"/>
      <c r="C186" s="154"/>
      <c r="F186" s="200"/>
      <c r="H186" s="200"/>
      <c r="I186" s="200"/>
      <c r="J186" s="305"/>
      <c r="K186" s="305"/>
      <c r="L186" s="200"/>
      <c r="M186" s="200"/>
      <c r="N186" s="210"/>
      <c r="O186" s="210"/>
      <c r="P186" s="200"/>
      <c r="Q186" s="200"/>
      <c r="R186" s="200"/>
      <c r="T186" s="154"/>
      <c r="V186" s="200"/>
      <c r="Y186" s="200"/>
      <c r="Z186" s="305"/>
      <c r="AA186" s="200"/>
      <c r="AB186" s="200"/>
      <c r="AC186" s="210"/>
      <c r="AD186" s="210"/>
      <c r="AE186" s="200"/>
      <c r="AF186" s="200"/>
      <c r="AG186" s="209"/>
      <c r="AH186" s="201"/>
      <c r="AI186" s="200"/>
      <c r="AJ186" s="200"/>
      <c r="AK186" s="209"/>
      <c r="AL186" s="200"/>
      <c r="AM186" s="210"/>
      <c r="AN186" s="210"/>
    </row>
    <row r="187" spans="1:40" x14ac:dyDescent="0.25">
      <c r="F187" s="200"/>
      <c r="H187" s="211"/>
      <c r="I187" s="211"/>
      <c r="J187" s="305"/>
      <c r="K187" s="305"/>
      <c r="L187" s="211"/>
      <c r="M187" s="211"/>
      <c r="N187" s="211"/>
      <c r="O187" s="211"/>
      <c r="P187" s="211"/>
      <c r="Q187" s="211"/>
      <c r="R187" s="211"/>
      <c r="V187" s="200"/>
      <c r="Y187" s="211"/>
      <c r="Z187" s="305"/>
      <c r="AA187" s="211"/>
      <c r="AB187" s="211"/>
      <c r="AC187" s="211"/>
      <c r="AD187" s="211"/>
      <c r="AE187" s="211"/>
      <c r="AF187" s="211"/>
      <c r="AI187" s="211"/>
      <c r="AJ187" s="211"/>
      <c r="AK187" s="212"/>
      <c r="AL187" s="211"/>
      <c r="AM187" s="210"/>
      <c r="AN187" s="210"/>
    </row>
    <row r="188" spans="1:40" x14ac:dyDescent="0.25">
      <c r="F188" s="200"/>
      <c r="H188" s="200"/>
      <c r="I188" s="200"/>
      <c r="J188" s="305"/>
      <c r="K188" s="305"/>
      <c r="L188" s="200"/>
      <c r="M188" s="200"/>
      <c r="N188" s="200"/>
      <c r="O188" s="200"/>
      <c r="P188" s="200"/>
      <c r="Q188" s="200"/>
      <c r="R188" s="200"/>
      <c r="V188" s="200"/>
      <c r="Y188" s="200"/>
      <c r="Z188" s="305"/>
      <c r="AA188" s="200"/>
      <c r="AB188" s="200"/>
      <c r="AC188" s="200"/>
      <c r="AD188" s="200"/>
      <c r="AE188" s="200"/>
      <c r="AF188" s="200"/>
      <c r="AG188" s="209"/>
      <c r="AH188" s="201"/>
      <c r="AI188" s="200"/>
      <c r="AJ188" s="200"/>
      <c r="AK188" s="209"/>
      <c r="AL188" s="200"/>
      <c r="AM188" s="210"/>
      <c r="AN188" s="210"/>
    </row>
    <row r="189" spans="1:40" x14ac:dyDescent="0.25">
      <c r="A189" s="202"/>
      <c r="C189" s="154"/>
      <c r="F189" s="252"/>
      <c r="H189" s="252"/>
      <c r="I189" s="252"/>
      <c r="J189" s="320"/>
      <c r="K189" s="320"/>
      <c r="L189" s="200"/>
      <c r="M189" s="200"/>
      <c r="N189" s="210"/>
      <c r="O189" s="210"/>
      <c r="P189" s="252"/>
      <c r="Q189" s="252"/>
      <c r="R189" s="200"/>
      <c r="T189" s="154"/>
      <c r="V189" s="252"/>
      <c r="Y189" s="252"/>
      <c r="Z189" s="328"/>
      <c r="AA189" s="200"/>
      <c r="AB189" s="200"/>
      <c r="AC189" s="210"/>
      <c r="AD189" s="210"/>
      <c r="AE189" s="200"/>
      <c r="AF189" s="200"/>
      <c r="AG189" s="209"/>
      <c r="AH189" s="201"/>
      <c r="AI189" s="252"/>
      <c r="AJ189" s="252"/>
      <c r="AK189" s="209"/>
      <c r="AL189" s="200"/>
      <c r="AM189" s="210"/>
      <c r="AN189" s="210"/>
    </row>
    <row r="190" spans="1:40" x14ac:dyDescent="0.25">
      <c r="A190" s="202"/>
      <c r="C190" s="154"/>
      <c r="F190" s="252"/>
      <c r="H190" s="252"/>
      <c r="I190" s="252"/>
      <c r="J190" s="320"/>
      <c r="K190" s="320"/>
      <c r="L190" s="200"/>
      <c r="M190" s="200"/>
      <c r="N190" s="210"/>
      <c r="O190" s="210"/>
      <c r="P190" s="252"/>
      <c r="Q190" s="252"/>
      <c r="R190" s="200"/>
      <c r="T190" s="154"/>
      <c r="V190" s="252"/>
      <c r="Y190" s="200"/>
      <c r="Z190" s="304"/>
      <c r="AA190" s="200"/>
      <c r="AB190" s="200"/>
      <c r="AC190" s="210"/>
      <c r="AD190" s="210"/>
      <c r="AE190" s="200"/>
      <c r="AF190" s="200"/>
      <c r="AG190" s="209"/>
      <c r="AH190" s="201"/>
      <c r="AI190" s="252"/>
      <c r="AJ190" s="252"/>
      <c r="AK190" s="209"/>
      <c r="AL190" s="200"/>
      <c r="AM190" s="210"/>
      <c r="AN190" s="210"/>
    </row>
    <row r="191" spans="1:40" x14ac:dyDescent="0.25">
      <c r="A191" s="202"/>
      <c r="C191" s="154"/>
      <c r="F191" s="252"/>
      <c r="H191" s="252"/>
      <c r="I191" s="252"/>
      <c r="J191" s="320"/>
      <c r="K191" s="320"/>
      <c r="L191" s="200"/>
      <c r="M191" s="200"/>
      <c r="N191" s="210"/>
      <c r="O191" s="210"/>
      <c r="P191" s="252"/>
      <c r="Q191" s="252"/>
      <c r="R191" s="200"/>
      <c r="T191" s="154"/>
      <c r="V191" s="252"/>
      <c r="Y191" s="200"/>
      <c r="Z191" s="304"/>
      <c r="AA191" s="200"/>
      <c r="AB191" s="200"/>
      <c r="AC191" s="210"/>
      <c r="AD191" s="210"/>
      <c r="AE191" s="200"/>
      <c r="AF191" s="200"/>
      <c r="AG191" s="209"/>
      <c r="AH191" s="201"/>
      <c r="AI191" s="252"/>
      <c r="AJ191" s="252"/>
      <c r="AK191" s="209"/>
      <c r="AL191" s="200"/>
      <c r="AM191" s="210"/>
      <c r="AN191" s="210"/>
    </row>
    <row r="192" spans="1:40" x14ac:dyDescent="0.25">
      <c r="F192" s="211"/>
      <c r="H192" s="211"/>
      <c r="I192" s="211"/>
      <c r="J192" s="305"/>
      <c r="K192" s="305"/>
      <c r="L192" s="211"/>
      <c r="M192" s="211"/>
      <c r="N192" s="211"/>
      <c r="O192" s="211"/>
      <c r="P192" s="211"/>
      <c r="Q192" s="211"/>
      <c r="R192" s="211"/>
      <c r="V192" s="211"/>
      <c r="Y192" s="211"/>
      <c r="Z192" s="305"/>
      <c r="AA192" s="211"/>
      <c r="AB192" s="211"/>
      <c r="AC192" s="211"/>
      <c r="AD192" s="211"/>
      <c r="AE192" s="211"/>
      <c r="AF192" s="211"/>
      <c r="AI192" s="211"/>
      <c r="AJ192" s="211"/>
      <c r="AK192" s="212"/>
      <c r="AL192" s="211"/>
      <c r="AM192" s="210"/>
      <c r="AN192" s="210"/>
    </row>
    <row r="193" spans="1:40" x14ac:dyDescent="0.25">
      <c r="A193" s="202"/>
      <c r="C193" s="154"/>
      <c r="F193" s="200"/>
      <c r="H193" s="200"/>
      <c r="I193" s="200"/>
      <c r="J193" s="213"/>
      <c r="K193" s="213"/>
      <c r="L193" s="200"/>
      <c r="M193" s="200"/>
      <c r="N193" s="210"/>
      <c r="O193" s="210"/>
      <c r="P193" s="200"/>
      <c r="Q193" s="200"/>
      <c r="R193" s="200"/>
      <c r="T193" s="154"/>
      <c r="V193" s="200"/>
      <c r="Y193" s="200"/>
      <c r="Z193" s="213"/>
      <c r="AA193" s="200"/>
      <c r="AB193" s="200"/>
      <c r="AC193" s="210"/>
      <c r="AD193" s="210"/>
      <c r="AE193" s="200"/>
      <c r="AF193" s="200"/>
      <c r="AG193" s="209"/>
      <c r="AH193" s="201"/>
      <c r="AI193" s="200"/>
      <c r="AJ193" s="200"/>
      <c r="AK193" s="209"/>
      <c r="AL193" s="200"/>
      <c r="AM193" s="210"/>
      <c r="AN193" s="210"/>
    </row>
    <row r="194" spans="1:40" x14ac:dyDescent="0.25">
      <c r="F194" s="211"/>
      <c r="H194" s="211"/>
      <c r="I194" s="211"/>
      <c r="J194" s="305"/>
      <c r="K194" s="305"/>
      <c r="L194" s="211"/>
      <c r="M194" s="211"/>
      <c r="N194" s="211"/>
      <c r="O194" s="211"/>
      <c r="P194" s="211"/>
      <c r="Q194" s="211"/>
      <c r="R194" s="211"/>
      <c r="V194" s="211"/>
      <c r="Y194" s="211"/>
      <c r="Z194" s="305"/>
      <c r="AA194" s="211"/>
      <c r="AB194" s="211"/>
      <c r="AC194" s="211"/>
      <c r="AD194" s="211"/>
      <c r="AE194" s="211"/>
      <c r="AF194" s="211"/>
      <c r="AI194" s="211"/>
      <c r="AJ194" s="211"/>
      <c r="AK194" s="212"/>
      <c r="AL194" s="211"/>
      <c r="AM194" s="210"/>
      <c r="AN194" s="210"/>
    </row>
    <row r="195" spans="1:40" x14ac:dyDescent="0.25">
      <c r="A195" s="202"/>
      <c r="C195" s="154"/>
      <c r="F195" s="200"/>
      <c r="H195" s="200"/>
      <c r="I195" s="200"/>
      <c r="J195" s="213"/>
      <c r="K195" s="213"/>
      <c r="L195" s="200"/>
      <c r="M195" s="200"/>
      <c r="N195" s="210"/>
      <c r="O195" s="210"/>
      <c r="P195" s="200"/>
      <c r="Q195" s="200"/>
      <c r="R195" s="200"/>
      <c r="T195" s="154"/>
      <c r="V195" s="200"/>
      <c r="Y195" s="200"/>
      <c r="Z195" s="213"/>
      <c r="AA195" s="200"/>
      <c r="AB195" s="200"/>
      <c r="AC195" s="210"/>
      <c r="AD195" s="210"/>
      <c r="AE195" s="200"/>
      <c r="AF195" s="200"/>
      <c r="AG195" s="209"/>
      <c r="AH195" s="201"/>
      <c r="AI195" s="200"/>
      <c r="AJ195" s="200"/>
      <c r="AK195" s="209"/>
      <c r="AL195" s="200"/>
      <c r="AM195" s="210"/>
      <c r="AN195" s="210"/>
    </row>
    <row r="196" spans="1:40" x14ac:dyDescent="0.25">
      <c r="A196" s="202"/>
      <c r="C196" s="154"/>
      <c r="F196" s="200"/>
      <c r="H196" s="200"/>
      <c r="I196" s="200"/>
      <c r="J196" s="213"/>
      <c r="K196" s="213"/>
      <c r="L196" s="200"/>
      <c r="M196" s="200"/>
      <c r="N196" s="210"/>
      <c r="O196" s="210"/>
      <c r="P196" s="200"/>
      <c r="Q196" s="200"/>
      <c r="R196" s="200"/>
      <c r="T196" s="154"/>
      <c r="V196" s="200"/>
      <c r="Y196" s="200"/>
      <c r="Z196" s="213"/>
      <c r="AA196" s="200"/>
      <c r="AB196" s="200"/>
      <c r="AC196" s="210"/>
      <c r="AD196" s="210"/>
      <c r="AE196" s="200"/>
      <c r="AF196" s="200"/>
      <c r="AG196" s="209"/>
      <c r="AH196" s="201"/>
      <c r="AI196" s="200"/>
      <c r="AJ196" s="200"/>
      <c r="AK196" s="209"/>
      <c r="AL196" s="200"/>
      <c r="AM196" s="210"/>
      <c r="AN196" s="210"/>
    </row>
    <row r="197" spans="1:40" x14ac:dyDescent="0.25">
      <c r="F197" s="211"/>
      <c r="H197" s="211"/>
      <c r="I197" s="211"/>
      <c r="J197" s="305"/>
      <c r="K197" s="305"/>
      <c r="L197" s="211"/>
      <c r="M197" s="211"/>
      <c r="N197" s="211"/>
      <c r="O197" s="211"/>
      <c r="P197" s="211"/>
      <c r="Q197" s="211"/>
      <c r="R197" s="211"/>
      <c r="V197" s="211"/>
      <c r="Y197" s="211"/>
      <c r="Z197" s="305"/>
      <c r="AA197" s="211"/>
      <c r="AB197" s="211"/>
      <c r="AC197" s="211"/>
      <c r="AD197" s="211"/>
      <c r="AE197" s="211"/>
      <c r="AF197" s="211"/>
      <c r="AI197" s="211"/>
      <c r="AJ197" s="211"/>
      <c r="AK197" s="212"/>
      <c r="AL197" s="211"/>
      <c r="AM197" s="200"/>
      <c r="AN197" s="200"/>
    </row>
    <row r="198" spans="1:40" x14ac:dyDescent="0.25">
      <c r="F198" s="200"/>
      <c r="H198" s="200"/>
      <c r="I198" s="200"/>
      <c r="J198" s="213"/>
      <c r="K198" s="213"/>
      <c r="L198" s="200"/>
      <c r="M198" s="200"/>
      <c r="N198" s="200"/>
      <c r="O198" s="200"/>
      <c r="P198" s="200"/>
      <c r="Q198" s="200"/>
      <c r="R198" s="200"/>
      <c r="V198" s="200"/>
      <c r="Y198" s="200"/>
      <c r="Z198" s="213"/>
      <c r="AA198" s="200"/>
      <c r="AB198" s="200"/>
      <c r="AC198" s="200"/>
      <c r="AD198" s="200"/>
    </row>
    <row r="199" spans="1:40" x14ac:dyDescent="0.25">
      <c r="C199" s="154"/>
      <c r="F199" s="200"/>
      <c r="H199" s="200"/>
      <c r="I199" s="200"/>
      <c r="J199" s="213"/>
      <c r="K199" s="213"/>
      <c r="L199" s="200"/>
      <c r="M199" s="200"/>
      <c r="N199" s="200"/>
      <c r="O199" s="200"/>
      <c r="P199" s="200"/>
      <c r="Q199" s="200"/>
      <c r="R199" s="200"/>
      <c r="T199" s="154"/>
      <c r="V199" s="200"/>
      <c r="Y199" s="200"/>
      <c r="Z199" s="213"/>
      <c r="AA199" s="200"/>
      <c r="AB199" s="200"/>
      <c r="AC199" s="200"/>
      <c r="AD199" s="200"/>
    </row>
    <row r="200" spans="1:40" x14ac:dyDescent="0.25">
      <c r="A200" s="154"/>
    </row>
    <row r="201" spans="1:40" x14ac:dyDescent="0.25">
      <c r="J201" s="202"/>
      <c r="K201" s="202"/>
      <c r="Z201" s="202"/>
    </row>
    <row r="202" spans="1:40" x14ac:dyDescent="0.25">
      <c r="H202" s="154"/>
      <c r="I202" s="154"/>
      <c r="Y202" s="154"/>
    </row>
    <row r="203" spans="1:40" x14ac:dyDescent="0.25">
      <c r="J203" s="202"/>
      <c r="K203" s="202"/>
      <c r="Z203" s="202"/>
    </row>
    <row r="204" spans="1:40" x14ac:dyDescent="0.25">
      <c r="L204" s="154"/>
      <c r="M204" s="154"/>
      <c r="AA204" s="154"/>
      <c r="AB204" s="154"/>
    </row>
    <row r="205" spans="1:40" x14ac:dyDescent="0.25">
      <c r="A205" s="202"/>
      <c r="R205" s="154"/>
      <c r="AK205" s="297"/>
      <c r="AL205" s="154"/>
    </row>
    <row r="206" spans="1:40" x14ac:dyDescent="0.25">
      <c r="A206" s="202"/>
      <c r="R206" s="154"/>
      <c r="AK206" s="297"/>
      <c r="AL206" s="154"/>
    </row>
    <row r="207" spans="1:40" x14ac:dyDescent="0.25">
      <c r="A207" s="154"/>
      <c r="R207" s="154"/>
      <c r="AK207" s="297"/>
      <c r="AL207" s="154"/>
    </row>
    <row r="208" spans="1:40" x14ac:dyDescent="0.25">
      <c r="L208" s="154"/>
      <c r="M208" s="154"/>
      <c r="R208" s="202"/>
      <c r="AA208" s="154"/>
      <c r="AB208" s="154"/>
      <c r="AK208" s="209"/>
      <c r="AL208" s="202"/>
    </row>
    <row r="209" spans="1:40" x14ac:dyDescent="0.25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208"/>
      <c r="AH209" s="102"/>
      <c r="AI209" s="102"/>
      <c r="AJ209" s="102"/>
      <c r="AK209" s="208"/>
      <c r="AL209" s="102"/>
      <c r="AM209" s="102"/>
      <c r="AN209" s="102"/>
    </row>
    <row r="210" spans="1:40" x14ac:dyDescent="0.25">
      <c r="L210" s="103"/>
      <c r="M210" s="103"/>
      <c r="N210" s="103"/>
      <c r="O210" s="103"/>
      <c r="R210" s="103"/>
      <c r="AA210" s="103"/>
      <c r="AB210" s="103"/>
      <c r="AC210" s="103"/>
      <c r="AD210" s="103"/>
      <c r="AE210" s="103"/>
      <c r="AF210" s="103"/>
      <c r="AG210" s="185"/>
      <c r="AH210" s="103"/>
      <c r="AK210" s="185"/>
      <c r="AL210" s="103"/>
      <c r="AM210" s="103"/>
      <c r="AN210" s="103"/>
    </row>
    <row r="211" spans="1:40" x14ac:dyDescent="0.25">
      <c r="L211" s="103"/>
      <c r="M211" s="103"/>
      <c r="N211" s="103"/>
      <c r="O211" s="103"/>
      <c r="R211" s="103"/>
      <c r="Z211" s="103"/>
      <c r="AA211" s="103"/>
      <c r="AB211" s="103"/>
      <c r="AC211" s="103"/>
      <c r="AD211" s="103"/>
      <c r="AE211" s="103"/>
      <c r="AF211" s="103"/>
      <c r="AG211" s="185"/>
      <c r="AH211" s="103"/>
      <c r="AK211" s="185"/>
      <c r="AL211" s="103"/>
      <c r="AM211" s="103"/>
      <c r="AN211" s="103"/>
    </row>
    <row r="212" spans="1:40" x14ac:dyDescent="0.25">
      <c r="A212" s="103"/>
      <c r="C212" s="103"/>
      <c r="D212" s="103"/>
      <c r="E212" s="103"/>
      <c r="F212" s="103"/>
      <c r="J212" s="103"/>
      <c r="K212" s="103"/>
      <c r="L212" s="103"/>
      <c r="M212" s="103"/>
      <c r="N212" s="103"/>
      <c r="O212" s="103"/>
      <c r="P212" s="103"/>
      <c r="Q212" s="103"/>
      <c r="R212" s="103"/>
      <c r="T212" s="103"/>
      <c r="U212" s="103"/>
      <c r="V212" s="103"/>
      <c r="Z212" s="103"/>
      <c r="AA212" s="103"/>
      <c r="AB212" s="103"/>
      <c r="AC212" s="103"/>
      <c r="AD212" s="103"/>
      <c r="AE212" s="103"/>
      <c r="AF212" s="103"/>
      <c r="AG212" s="185"/>
      <c r="AH212" s="103"/>
      <c r="AI212" s="103"/>
      <c r="AJ212" s="103"/>
      <c r="AK212" s="185"/>
      <c r="AL212" s="103"/>
      <c r="AM212" s="103"/>
      <c r="AN212" s="103"/>
    </row>
    <row r="213" spans="1:40" x14ac:dyDescent="0.25">
      <c r="A213" s="103"/>
      <c r="C213" s="103"/>
      <c r="D213" s="103"/>
      <c r="E213" s="103"/>
      <c r="F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T213" s="103"/>
      <c r="U213" s="103"/>
      <c r="V213" s="103"/>
      <c r="Y213" s="103"/>
      <c r="Z213" s="103"/>
      <c r="AA213" s="103"/>
      <c r="AB213" s="103"/>
      <c r="AC213" s="103"/>
      <c r="AD213" s="103"/>
      <c r="AE213" s="103"/>
      <c r="AF213" s="103"/>
      <c r="AG213" s="185"/>
      <c r="AH213" s="103"/>
      <c r="AI213" s="103"/>
      <c r="AJ213" s="103"/>
      <c r="AK213" s="185"/>
      <c r="AL213" s="103"/>
      <c r="AM213" s="103"/>
      <c r="AN213" s="103"/>
    </row>
    <row r="214" spans="1:40" x14ac:dyDescent="0.25">
      <c r="C214" s="103"/>
      <c r="D214" s="103"/>
      <c r="E214" s="103"/>
      <c r="F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T214" s="103"/>
      <c r="U214" s="103"/>
      <c r="V214" s="103"/>
      <c r="Y214" s="103"/>
      <c r="Z214" s="103"/>
      <c r="AA214" s="103"/>
      <c r="AB214" s="103"/>
      <c r="AC214" s="103"/>
      <c r="AD214" s="103"/>
      <c r="AE214" s="103"/>
      <c r="AF214" s="103"/>
      <c r="AG214" s="185"/>
      <c r="AH214" s="103"/>
      <c r="AI214" s="103"/>
      <c r="AJ214" s="103"/>
      <c r="AK214" s="185"/>
      <c r="AL214" s="103"/>
      <c r="AM214" s="103"/>
      <c r="AN214" s="103"/>
    </row>
    <row r="215" spans="1:40" x14ac:dyDescent="0.25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208"/>
      <c r="AH215" s="102"/>
      <c r="AI215" s="102"/>
      <c r="AJ215" s="102"/>
      <c r="AK215" s="208"/>
      <c r="AL215" s="102"/>
      <c r="AM215" s="102"/>
      <c r="AN215" s="102"/>
    </row>
    <row r="216" spans="1:40" x14ac:dyDescent="0.25"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Y216" s="103"/>
      <c r="Z216" s="103"/>
      <c r="AA216" s="103"/>
      <c r="AB216" s="103"/>
      <c r="AC216" s="103"/>
      <c r="AD216" s="103"/>
      <c r="AE216" s="103"/>
      <c r="AF216" s="103"/>
      <c r="AG216" s="185"/>
      <c r="AH216" s="103"/>
      <c r="AI216" s="103"/>
      <c r="AJ216" s="103"/>
      <c r="AK216" s="185"/>
      <c r="AL216" s="103"/>
      <c r="AM216" s="103"/>
      <c r="AN216" s="103"/>
    </row>
    <row r="217" spans="1:40" x14ac:dyDescent="0.25">
      <c r="A217" s="202"/>
      <c r="C217" s="154"/>
      <c r="D217" s="154"/>
      <c r="E217" s="154"/>
      <c r="T217" s="154"/>
      <c r="U217" s="154"/>
    </row>
    <row r="219" spans="1:40" x14ac:dyDescent="0.25">
      <c r="A219" s="202"/>
      <c r="C219" s="154"/>
      <c r="F219" s="252"/>
      <c r="H219" s="317"/>
      <c r="I219" s="317"/>
      <c r="J219" s="300"/>
      <c r="K219" s="300"/>
      <c r="L219" s="200"/>
      <c r="M219" s="200"/>
      <c r="N219" s="202"/>
      <c r="O219" s="202"/>
      <c r="P219" s="202"/>
      <c r="Q219" s="202"/>
      <c r="R219" s="200"/>
      <c r="T219" s="154"/>
      <c r="V219" s="200"/>
      <c r="Y219" s="202"/>
      <c r="Z219" s="300"/>
      <c r="AA219" s="200"/>
      <c r="AB219" s="200"/>
      <c r="AC219" s="202"/>
      <c r="AD219" s="202"/>
      <c r="AE219" s="200"/>
      <c r="AF219" s="200"/>
      <c r="AG219" s="325"/>
      <c r="AH219" s="326"/>
      <c r="AI219" s="200"/>
      <c r="AJ219" s="200"/>
      <c r="AK219" s="209"/>
      <c r="AL219" s="200"/>
      <c r="AM219" s="327"/>
      <c r="AN219" s="327"/>
    </row>
    <row r="220" spans="1:40" x14ac:dyDescent="0.25">
      <c r="F220" s="252"/>
      <c r="H220" s="317"/>
      <c r="I220" s="317"/>
      <c r="J220" s="317"/>
      <c r="K220" s="317"/>
      <c r="R220" s="200"/>
      <c r="V220" s="200"/>
      <c r="Z220" s="317"/>
    </row>
    <row r="221" spans="1:40" x14ac:dyDescent="0.25">
      <c r="A221" s="202"/>
      <c r="C221" s="154"/>
      <c r="F221" s="252"/>
      <c r="H221" s="252"/>
      <c r="I221" s="252"/>
      <c r="J221" s="320"/>
      <c r="K221" s="320"/>
      <c r="L221" s="200"/>
      <c r="M221" s="200"/>
      <c r="N221" s="210"/>
      <c r="O221" s="210"/>
      <c r="P221" s="252"/>
      <c r="Q221" s="252"/>
      <c r="R221" s="200"/>
      <c r="T221" s="154"/>
      <c r="V221" s="200"/>
      <c r="Y221" s="200"/>
      <c r="Z221" s="304"/>
      <c r="AA221" s="200"/>
      <c r="AB221" s="200"/>
      <c r="AC221" s="210"/>
      <c r="AD221" s="210"/>
      <c r="AE221" s="200"/>
      <c r="AF221" s="200"/>
      <c r="AG221" s="209"/>
      <c r="AH221" s="201"/>
      <c r="AI221" s="252"/>
      <c r="AJ221" s="252"/>
      <c r="AK221" s="209"/>
      <c r="AL221" s="200"/>
      <c r="AM221" s="210"/>
      <c r="AN221" s="210"/>
    </row>
    <row r="222" spans="1:40" x14ac:dyDescent="0.25">
      <c r="F222" s="211"/>
      <c r="H222" s="211"/>
      <c r="I222" s="211"/>
      <c r="J222" s="305"/>
      <c r="K222" s="305"/>
      <c r="L222" s="211"/>
      <c r="M222" s="211"/>
      <c r="N222" s="211"/>
      <c r="O222" s="211"/>
      <c r="P222" s="211"/>
      <c r="Q222" s="211"/>
      <c r="R222" s="211"/>
      <c r="V222" s="211"/>
      <c r="Y222" s="211"/>
      <c r="Z222" s="305"/>
      <c r="AA222" s="211"/>
      <c r="AB222" s="211"/>
      <c r="AC222" s="211"/>
      <c r="AD222" s="211"/>
      <c r="AE222" s="211"/>
      <c r="AF222" s="211"/>
      <c r="AI222" s="211"/>
      <c r="AJ222" s="211"/>
      <c r="AK222" s="212"/>
      <c r="AL222" s="211"/>
    </row>
    <row r="223" spans="1:40" x14ac:dyDescent="0.25">
      <c r="A223" s="202"/>
      <c r="D223" s="154"/>
      <c r="E223" s="154"/>
      <c r="F223" s="200"/>
      <c r="H223" s="200"/>
      <c r="I223" s="200"/>
      <c r="J223" s="213"/>
      <c r="K223" s="213"/>
      <c r="L223" s="200"/>
      <c r="M223" s="200"/>
      <c r="N223" s="210"/>
      <c r="O223" s="210"/>
      <c r="P223" s="200"/>
      <c r="Q223" s="200"/>
      <c r="R223" s="200"/>
      <c r="U223" s="154"/>
      <c r="V223" s="200"/>
      <c r="Y223" s="200"/>
      <c r="Z223" s="213"/>
      <c r="AA223" s="200"/>
      <c r="AB223" s="200"/>
      <c r="AC223" s="210"/>
      <c r="AD223" s="210"/>
      <c r="AE223" s="200"/>
      <c r="AF223" s="200"/>
      <c r="AG223" s="209"/>
      <c r="AH223" s="201"/>
      <c r="AI223" s="200"/>
      <c r="AJ223" s="200"/>
      <c r="AK223" s="209"/>
      <c r="AL223" s="200"/>
      <c r="AM223" s="210"/>
      <c r="AN223" s="210"/>
    </row>
    <row r="224" spans="1:40" x14ac:dyDescent="0.25">
      <c r="F224" s="211"/>
      <c r="H224" s="211"/>
      <c r="I224" s="211"/>
      <c r="J224" s="305"/>
      <c r="K224" s="305"/>
      <c r="L224" s="211"/>
      <c r="M224" s="211"/>
      <c r="N224" s="211"/>
      <c r="O224" s="211"/>
      <c r="P224" s="211"/>
      <c r="Q224" s="211"/>
      <c r="R224" s="211"/>
      <c r="V224" s="211"/>
      <c r="Y224" s="211"/>
      <c r="Z224" s="305"/>
      <c r="AA224" s="211"/>
      <c r="AB224" s="211"/>
      <c r="AC224" s="211"/>
      <c r="AD224" s="211"/>
      <c r="AE224" s="211"/>
      <c r="AF224" s="211"/>
      <c r="AI224" s="211"/>
      <c r="AJ224" s="211"/>
      <c r="AK224" s="212"/>
      <c r="AL224" s="211"/>
    </row>
    <row r="225" spans="1:40" x14ac:dyDescent="0.25">
      <c r="R225" s="200"/>
    </row>
    <row r="226" spans="1:40" x14ac:dyDescent="0.25">
      <c r="R226" s="200"/>
    </row>
    <row r="227" spans="1:40" x14ac:dyDescent="0.25">
      <c r="R227" s="200"/>
    </row>
    <row r="228" spans="1:40" x14ac:dyDescent="0.25">
      <c r="A228" s="202"/>
      <c r="C228" s="154"/>
      <c r="D228" s="154"/>
      <c r="E228" s="154"/>
      <c r="H228" s="200"/>
      <c r="I228" s="200"/>
      <c r="J228" s="213"/>
      <c r="K228" s="213"/>
      <c r="L228" s="200"/>
      <c r="M228" s="200"/>
      <c r="N228" s="210"/>
      <c r="O228" s="210"/>
      <c r="P228" s="200"/>
      <c r="Q228" s="200"/>
      <c r="R228" s="200"/>
      <c r="T228" s="154"/>
      <c r="U228" s="154"/>
      <c r="Y228" s="200"/>
      <c r="Z228" s="213"/>
      <c r="AA228" s="200"/>
      <c r="AB228" s="200"/>
      <c r="AC228" s="210"/>
      <c r="AD228" s="210"/>
    </row>
    <row r="229" spans="1:40" x14ac:dyDescent="0.25">
      <c r="H229" s="200"/>
      <c r="I229" s="200"/>
      <c r="J229" s="213"/>
      <c r="K229" s="213"/>
      <c r="L229" s="200"/>
      <c r="M229" s="200"/>
      <c r="N229" s="210"/>
      <c r="O229" s="210"/>
      <c r="P229" s="200"/>
      <c r="Q229" s="200"/>
      <c r="R229" s="200"/>
      <c r="Y229" s="200"/>
      <c r="Z229" s="213"/>
      <c r="AA229" s="200"/>
      <c r="AB229" s="200"/>
      <c r="AC229" s="210"/>
      <c r="AD229" s="210"/>
    </row>
    <row r="230" spans="1:40" x14ac:dyDescent="0.25">
      <c r="A230" s="202"/>
      <c r="C230" s="154"/>
      <c r="F230" s="252"/>
      <c r="H230" s="252"/>
      <c r="I230" s="252"/>
      <c r="J230" s="214"/>
      <c r="K230" s="214"/>
      <c r="L230" s="252"/>
      <c r="M230" s="252"/>
      <c r="N230" s="210"/>
      <c r="O230" s="210"/>
      <c r="P230" s="200"/>
      <c r="Q230" s="200"/>
      <c r="R230" s="200"/>
      <c r="T230" s="154"/>
      <c r="V230" s="200"/>
      <c r="Y230" s="200"/>
      <c r="Z230" s="214"/>
      <c r="AA230" s="200"/>
      <c r="AB230" s="200"/>
      <c r="AC230" s="210"/>
      <c r="AD230" s="210"/>
      <c r="AE230" s="200"/>
      <c r="AF230" s="200"/>
      <c r="AG230" s="209"/>
      <c r="AH230" s="201"/>
      <c r="AI230" s="200"/>
      <c r="AJ230" s="200"/>
      <c r="AK230" s="209"/>
      <c r="AL230" s="200"/>
      <c r="AM230" s="210"/>
      <c r="AN230" s="210"/>
    </row>
    <row r="231" spans="1:40" x14ac:dyDescent="0.25">
      <c r="F231" s="252"/>
      <c r="H231" s="317"/>
      <c r="I231" s="317"/>
      <c r="J231" s="317"/>
      <c r="K231" s="317"/>
      <c r="R231" s="200"/>
      <c r="V231" s="200"/>
      <c r="Z231" s="317"/>
    </row>
    <row r="232" spans="1:40" x14ac:dyDescent="0.25">
      <c r="A232" s="202"/>
      <c r="C232" s="154"/>
      <c r="F232" s="252"/>
      <c r="H232" s="252"/>
      <c r="I232" s="252"/>
      <c r="J232" s="300"/>
      <c r="K232" s="300"/>
      <c r="L232" s="200"/>
      <c r="M232" s="200"/>
      <c r="N232" s="210"/>
      <c r="O232" s="210"/>
      <c r="P232" s="200"/>
      <c r="Q232" s="200"/>
      <c r="R232" s="200"/>
      <c r="T232" s="154"/>
      <c r="V232" s="200"/>
      <c r="Y232" s="200"/>
      <c r="Z232" s="300"/>
      <c r="AA232" s="200"/>
      <c r="AB232" s="200"/>
      <c r="AC232" s="210"/>
      <c r="AD232" s="210"/>
      <c r="AE232" s="200"/>
      <c r="AF232" s="200"/>
      <c r="AG232" s="209"/>
      <c r="AH232" s="201"/>
      <c r="AI232" s="200"/>
      <c r="AJ232" s="200"/>
      <c r="AK232" s="209"/>
      <c r="AL232" s="200"/>
      <c r="AM232" s="210"/>
      <c r="AN232" s="210"/>
    </row>
    <row r="233" spans="1:40" x14ac:dyDescent="0.25">
      <c r="F233" s="252"/>
      <c r="H233" s="317"/>
      <c r="I233" s="317"/>
      <c r="J233" s="317"/>
      <c r="K233" s="317"/>
      <c r="R233" s="200"/>
      <c r="V233" s="200"/>
      <c r="Z233" s="317"/>
    </row>
    <row r="234" spans="1:40" x14ac:dyDescent="0.25">
      <c r="A234" s="202"/>
      <c r="C234" s="154"/>
      <c r="F234" s="252"/>
      <c r="H234" s="252"/>
      <c r="I234" s="252"/>
      <c r="J234" s="320"/>
      <c r="K234" s="320"/>
      <c r="L234" s="200"/>
      <c r="M234" s="200"/>
      <c r="N234" s="210"/>
      <c r="O234" s="210"/>
      <c r="P234" s="200"/>
      <c r="Q234" s="200"/>
      <c r="R234" s="200"/>
      <c r="T234" s="154"/>
      <c r="V234" s="200"/>
      <c r="Y234" s="200"/>
      <c r="Z234" s="304"/>
      <c r="AA234" s="200"/>
      <c r="AB234" s="200"/>
      <c r="AC234" s="210"/>
      <c r="AD234" s="210"/>
      <c r="AE234" s="200"/>
      <c r="AF234" s="200"/>
      <c r="AG234" s="209"/>
      <c r="AH234" s="201"/>
      <c r="AI234" s="200"/>
      <c r="AJ234" s="200"/>
      <c r="AK234" s="209"/>
      <c r="AL234" s="200"/>
      <c r="AM234" s="210"/>
      <c r="AN234" s="210"/>
    </row>
    <row r="235" spans="1:40" x14ac:dyDescent="0.25">
      <c r="F235" s="211"/>
      <c r="H235" s="211"/>
      <c r="I235" s="211"/>
      <c r="J235" s="305"/>
      <c r="K235" s="305"/>
      <c r="L235" s="211"/>
      <c r="M235" s="211"/>
      <c r="N235" s="211"/>
      <c r="O235" s="211"/>
      <c r="P235" s="211"/>
      <c r="Q235" s="211"/>
      <c r="R235" s="211"/>
      <c r="S235" s="200"/>
      <c r="V235" s="211"/>
      <c r="Y235" s="211"/>
      <c r="Z235" s="305"/>
      <c r="AA235" s="211"/>
      <c r="AB235" s="211"/>
      <c r="AC235" s="211"/>
      <c r="AD235" s="211"/>
      <c r="AE235" s="211"/>
      <c r="AF235" s="211"/>
      <c r="AI235" s="211"/>
      <c r="AJ235" s="211"/>
      <c r="AK235" s="212"/>
      <c r="AL235" s="211"/>
    </row>
    <row r="236" spans="1:40" x14ac:dyDescent="0.25">
      <c r="A236" s="202"/>
      <c r="D236" s="154"/>
      <c r="E236" s="154"/>
      <c r="F236" s="200"/>
      <c r="H236" s="200"/>
      <c r="I236" s="200"/>
      <c r="J236" s="213"/>
      <c r="K236" s="213"/>
      <c r="L236" s="200"/>
      <c r="M236" s="200"/>
      <c r="N236" s="210"/>
      <c r="O236" s="210"/>
      <c r="P236" s="252"/>
      <c r="Q236" s="252"/>
      <c r="R236" s="200"/>
      <c r="S236" s="200"/>
      <c r="U236" s="154"/>
      <c r="V236" s="200"/>
      <c r="Y236" s="200"/>
      <c r="Z236" s="213"/>
      <c r="AA236" s="200"/>
      <c r="AB236" s="200"/>
      <c r="AC236" s="210"/>
      <c r="AD236" s="210"/>
      <c r="AE236" s="200"/>
      <c r="AF236" s="200"/>
      <c r="AG236" s="209"/>
      <c r="AH236" s="201"/>
      <c r="AI236" s="252"/>
      <c r="AJ236" s="252"/>
      <c r="AK236" s="209"/>
      <c r="AL236" s="200"/>
      <c r="AM236" s="210"/>
      <c r="AN236" s="210"/>
    </row>
    <row r="237" spans="1:40" x14ac:dyDescent="0.25">
      <c r="F237" s="211"/>
      <c r="H237" s="211"/>
      <c r="I237" s="211"/>
      <c r="J237" s="305"/>
      <c r="K237" s="305"/>
      <c r="L237" s="211"/>
      <c r="M237" s="211"/>
      <c r="N237" s="211"/>
      <c r="O237" s="211"/>
      <c r="P237" s="211"/>
      <c r="Q237" s="211"/>
      <c r="R237" s="211"/>
      <c r="S237" s="200"/>
      <c r="V237" s="211"/>
      <c r="Y237" s="211"/>
      <c r="Z237" s="305"/>
      <c r="AA237" s="211"/>
      <c r="AB237" s="211"/>
      <c r="AC237" s="211"/>
      <c r="AD237" s="211"/>
      <c r="AE237" s="211"/>
      <c r="AF237" s="211"/>
      <c r="AI237" s="211"/>
      <c r="AJ237" s="211"/>
      <c r="AK237" s="212"/>
      <c r="AL237" s="211"/>
    </row>
    <row r="238" spans="1:40" x14ac:dyDescent="0.25">
      <c r="R238" s="200"/>
    </row>
    <row r="239" spans="1:40" x14ac:dyDescent="0.25">
      <c r="F239" s="200"/>
      <c r="H239" s="200"/>
      <c r="I239" s="200"/>
      <c r="J239" s="213"/>
      <c r="K239" s="213"/>
      <c r="L239" s="200"/>
      <c r="M239" s="200"/>
      <c r="N239" s="200"/>
      <c r="O239" s="200"/>
      <c r="P239" s="200"/>
      <c r="Q239" s="200"/>
      <c r="R239" s="200"/>
      <c r="V239" s="200"/>
      <c r="Y239" s="200"/>
      <c r="Z239" s="213"/>
      <c r="AA239" s="200"/>
      <c r="AB239" s="200"/>
      <c r="AC239" s="200"/>
      <c r="AD239" s="200"/>
    </row>
    <row r="240" spans="1:40" x14ac:dyDescent="0.25">
      <c r="C240" s="154"/>
      <c r="F240" s="200"/>
      <c r="H240" s="200"/>
      <c r="I240" s="200"/>
      <c r="J240" s="213"/>
      <c r="K240" s="213"/>
      <c r="L240" s="200"/>
      <c r="M240" s="200"/>
      <c r="N240" s="200"/>
      <c r="O240" s="200"/>
      <c r="P240" s="200"/>
      <c r="Q240" s="200"/>
      <c r="R240" s="200"/>
      <c r="T240" s="154"/>
      <c r="V240" s="200"/>
      <c r="Y240" s="200"/>
      <c r="Z240" s="213"/>
      <c r="AA240" s="200"/>
      <c r="AB240" s="200"/>
      <c r="AC240" s="200"/>
      <c r="AD240" s="200"/>
    </row>
    <row r="241" spans="1:40" x14ac:dyDescent="0.25">
      <c r="C241" s="154"/>
      <c r="T241" s="154"/>
    </row>
    <row r="242" spans="1:40" x14ac:dyDescent="0.25">
      <c r="A242" s="154"/>
    </row>
    <row r="244" spans="1:40" x14ac:dyDescent="0.25">
      <c r="J244" s="202"/>
      <c r="K244" s="202"/>
      <c r="Z244" s="202"/>
    </row>
    <row r="245" spans="1:40" x14ac:dyDescent="0.25">
      <c r="H245" s="154"/>
      <c r="I245" s="154"/>
      <c r="Y245" s="154"/>
    </row>
    <row r="246" spans="1:40" x14ac:dyDescent="0.25">
      <c r="J246" s="202"/>
      <c r="K246" s="202"/>
      <c r="Z246" s="202"/>
    </row>
    <row r="247" spans="1:40" x14ac:dyDescent="0.25">
      <c r="L247" s="154"/>
      <c r="M247" s="154"/>
      <c r="AA247" s="154"/>
      <c r="AB247" s="154"/>
    </row>
    <row r="248" spans="1:40" x14ac:dyDescent="0.25">
      <c r="A248" s="202"/>
      <c r="R248" s="154"/>
      <c r="AK248" s="297"/>
      <c r="AL248" s="154"/>
    </row>
    <row r="249" spans="1:40" x14ac:dyDescent="0.25">
      <c r="A249" s="202"/>
      <c r="R249" s="154"/>
      <c r="AK249" s="297"/>
      <c r="AL249" s="154"/>
    </row>
    <row r="250" spans="1:40" x14ac:dyDescent="0.25">
      <c r="A250" s="154"/>
      <c r="R250" s="154"/>
      <c r="AK250" s="297"/>
      <c r="AL250" s="154"/>
    </row>
    <row r="251" spans="1:40" x14ac:dyDescent="0.25">
      <c r="L251" s="154"/>
      <c r="M251" s="154"/>
      <c r="R251" s="202"/>
      <c r="AA251" s="154"/>
      <c r="AB251" s="154"/>
      <c r="AK251" s="209"/>
      <c r="AL251" s="202"/>
    </row>
    <row r="252" spans="1:40" x14ac:dyDescent="0.25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208"/>
      <c r="AH252" s="102"/>
      <c r="AI252" s="102"/>
      <c r="AJ252" s="102"/>
      <c r="AK252" s="208"/>
      <c r="AL252" s="102"/>
      <c r="AM252" s="102"/>
      <c r="AN252" s="102"/>
    </row>
    <row r="253" spans="1:40" x14ac:dyDescent="0.25">
      <c r="L253" s="103"/>
      <c r="M253" s="103"/>
      <c r="N253" s="103"/>
      <c r="O253" s="103"/>
      <c r="R253" s="103"/>
      <c r="AA253" s="103"/>
      <c r="AB253" s="103"/>
      <c r="AC253" s="103"/>
      <c r="AD253" s="103"/>
      <c r="AE253" s="103"/>
      <c r="AF253" s="103"/>
      <c r="AG253" s="185"/>
      <c r="AH253" s="103"/>
      <c r="AK253" s="185"/>
      <c r="AL253" s="103"/>
      <c r="AM253" s="103"/>
      <c r="AN253" s="103"/>
    </row>
    <row r="254" spans="1:40" x14ac:dyDescent="0.25">
      <c r="L254" s="103"/>
      <c r="M254" s="103"/>
      <c r="N254" s="103"/>
      <c r="O254" s="103"/>
      <c r="R254" s="103"/>
      <c r="Z254" s="103"/>
      <c r="AA254" s="103"/>
      <c r="AB254" s="103"/>
      <c r="AC254" s="103"/>
      <c r="AD254" s="103"/>
      <c r="AE254" s="103"/>
      <c r="AF254" s="103"/>
      <c r="AG254" s="185"/>
      <c r="AH254" s="103"/>
      <c r="AK254" s="185"/>
      <c r="AL254" s="103"/>
      <c r="AM254" s="103"/>
      <c r="AN254" s="103"/>
    </row>
    <row r="255" spans="1:40" x14ac:dyDescent="0.25">
      <c r="A255" s="103"/>
      <c r="C255" s="103"/>
      <c r="D255" s="103"/>
      <c r="E255" s="103"/>
      <c r="F255" s="103"/>
      <c r="J255" s="103"/>
      <c r="K255" s="103"/>
      <c r="L255" s="103"/>
      <c r="M255" s="103"/>
      <c r="N255" s="103"/>
      <c r="O255" s="103"/>
      <c r="P255" s="103"/>
      <c r="Q255" s="103"/>
      <c r="R255" s="103"/>
      <c r="T255" s="103"/>
      <c r="U255" s="103"/>
      <c r="V255" s="103"/>
      <c r="Z255" s="103"/>
      <c r="AA255" s="103"/>
      <c r="AB255" s="103"/>
      <c r="AC255" s="103"/>
      <c r="AD255" s="103"/>
      <c r="AE255" s="103"/>
      <c r="AF255" s="103"/>
      <c r="AG255" s="185"/>
      <c r="AH255" s="103"/>
      <c r="AI255" s="103"/>
      <c r="AJ255" s="103"/>
      <c r="AK255" s="185"/>
      <c r="AL255" s="103"/>
      <c r="AM255" s="103"/>
      <c r="AN255" s="103"/>
    </row>
    <row r="256" spans="1:40" x14ac:dyDescent="0.25">
      <c r="A256" s="103"/>
      <c r="C256" s="103"/>
      <c r="D256" s="103"/>
      <c r="E256" s="103"/>
      <c r="F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T256" s="103"/>
      <c r="U256" s="103"/>
      <c r="V256" s="103"/>
      <c r="Y256" s="103"/>
      <c r="Z256" s="103"/>
      <c r="AA256" s="103"/>
      <c r="AB256" s="103"/>
      <c r="AC256" s="103"/>
      <c r="AD256" s="103"/>
      <c r="AE256" s="103"/>
      <c r="AF256" s="103"/>
      <c r="AG256" s="185"/>
      <c r="AH256" s="103"/>
      <c r="AI256" s="103"/>
      <c r="AJ256" s="103"/>
      <c r="AK256" s="185"/>
      <c r="AL256" s="103"/>
      <c r="AM256" s="103"/>
      <c r="AN256" s="103"/>
    </row>
    <row r="257" spans="1:40" x14ac:dyDescent="0.25">
      <c r="C257" s="103"/>
      <c r="D257" s="103"/>
      <c r="E257" s="103"/>
      <c r="F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T257" s="103"/>
      <c r="U257" s="103"/>
      <c r="V257" s="103"/>
      <c r="Y257" s="103"/>
      <c r="Z257" s="103"/>
      <c r="AA257" s="103"/>
      <c r="AB257" s="103"/>
      <c r="AC257" s="103"/>
      <c r="AD257" s="103"/>
      <c r="AE257" s="103"/>
      <c r="AF257" s="103"/>
      <c r="AG257" s="185"/>
      <c r="AH257" s="103"/>
      <c r="AI257" s="103"/>
      <c r="AJ257" s="103"/>
      <c r="AK257" s="185"/>
      <c r="AL257" s="103"/>
      <c r="AM257" s="103"/>
      <c r="AN257" s="103"/>
    </row>
    <row r="258" spans="1:40" x14ac:dyDescent="0.25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208"/>
      <c r="AH258" s="102"/>
      <c r="AI258" s="102"/>
      <c r="AJ258" s="102"/>
      <c r="AK258" s="208"/>
      <c r="AL258" s="102"/>
      <c r="AM258" s="102"/>
      <c r="AN258" s="102"/>
    </row>
    <row r="259" spans="1:40" x14ac:dyDescent="0.25"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Y259" s="103"/>
      <c r="Z259" s="103"/>
      <c r="AA259" s="103"/>
      <c r="AB259" s="103"/>
      <c r="AC259" s="103"/>
      <c r="AD259" s="103"/>
      <c r="AE259" s="103"/>
      <c r="AF259" s="103"/>
      <c r="AG259" s="185"/>
      <c r="AH259" s="103"/>
      <c r="AI259" s="103"/>
      <c r="AJ259" s="103"/>
      <c r="AK259" s="185"/>
      <c r="AL259" s="103"/>
      <c r="AM259" s="103"/>
      <c r="AN259" s="103"/>
    </row>
    <row r="260" spans="1:40" x14ac:dyDescent="0.25">
      <c r="A260" s="202"/>
      <c r="C260" s="154"/>
      <c r="D260" s="154"/>
      <c r="E260" s="154"/>
      <c r="T260" s="154"/>
      <c r="U260" s="154"/>
    </row>
    <row r="261" spans="1:40" x14ac:dyDescent="0.25">
      <c r="A261" s="202"/>
      <c r="D261" s="154"/>
      <c r="E261" s="154"/>
      <c r="U261" s="154"/>
    </row>
    <row r="263" spans="1:40" x14ac:dyDescent="0.25">
      <c r="A263" s="202"/>
      <c r="C263" s="154"/>
      <c r="F263" s="200"/>
      <c r="J263" s="215"/>
      <c r="K263" s="215"/>
      <c r="L263" s="200"/>
      <c r="M263" s="200"/>
      <c r="R263" s="200"/>
      <c r="T263" s="154"/>
      <c r="V263" s="200"/>
      <c r="Z263" s="215"/>
      <c r="AA263" s="200"/>
      <c r="AB263" s="200"/>
      <c r="AK263" s="209"/>
      <c r="AL263" s="200"/>
    </row>
    <row r="264" spans="1:40" x14ac:dyDescent="0.25">
      <c r="F264" s="200"/>
      <c r="R264" s="200"/>
      <c r="V264" s="200"/>
      <c r="AK264" s="209"/>
      <c r="AL264" s="200"/>
    </row>
    <row r="265" spans="1:40" x14ac:dyDescent="0.25">
      <c r="A265" s="202"/>
      <c r="C265" s="154"/>
      <c r="F265" s="252"/>
      <c r="H265" s="252"/>
      <c r="I265" s="252"/>
      <c r="J265" s="300"/>
      <c r="K265" s="300"/>
      <c r="L265" s="200"/>
      <c r="M265" s="200"/>
      <c r="N265" s="210"/>
      <c r="O265" s="210"/>
      <c r="P265" s="200"/>
      <c r="Q265" s="200"/>
      <c r="R265" s="200"/>
      <c r="T265" s="154"/>
      <c r="V265" s="200"/>
      <c r="Y265" s="200"/>
      <c r="Z265" s="300"/>
      <c r="AA265" s="200"/>
      <c r="AB265" s="200"/>
      <c r="AC265" s="210"/>
      <c r="AD265" s="210"/>
      <c r="AE265" s="200"/>
      <c r="AF265" s="200"/>
      <c r="AG265" s="209"/>
      <c r="AH265" s="201"/>
      <c r="AI265" s="200"/>
      <c r="AJ265" s="200"/>
      <c r="AK265" s="209"/>
      <c r="AL265" s="200"/>
      <c r="AM265" s="210"/>
      <c r="AN265" s="210"/>
    </row>
    <row r="266" spans="1:40" x14ac:dyDescent="0.25">
      <c r="A266" s="202"/>
      <c r="C266" s="154"/>
      <c r="F266" s="252"/>
      <c r="H266" s="317"/>
      <c r="I266" s="317"/>
      <c r="J266" s="300"/>
      <c r="K266" s="300"/>
      <c r="L266" s="200"/>
      <c r="M266" s="200"/>
      <c r="N266" s="210"/>
      <c r="O266" s="210"/>
      <c r="P266" s="200"/>
      <c r="Q266" s="200"/>
      <c r="R266" s="200"/>
      <c r="T266" s="154"/>
      <c r="V266" s="200"/>
      <c r="Y266" s="200"/>
      <c r="Z266" s="300"/>
      <c r="AA266" s="200"/>
      <c r="AB266" s="200"/>
      <c r="AC266" s="210"/>
      <c r="AD266" s="210"/>
      <c r="AE266" s="200"/>
      <c r="AF266" s="200"/>
      <c r="AG266" s="209"/>
      <c r="AH266" s="201"/>
      <c r="AI266" s="200"/>
      <c r="AJ266" s="200"/>
      <c r="AK266" s="209"/>
      <c r="AL266" s="200"/>
      <c r="AM266" s="210"/>
      <c r="AN266" s="210"/>
    </row>
    <row r="267" spans="1:40" x14ac:dyDescent="0.25">
      <c r="F267" s="211"/>
      <c r="H267" s="200"/>
      <c r="I267" s="200"/>
      <c r="J267" s="305"/>
      <c r="K267" s="305"/>
      <c r="L267" s="211"/>
      <c r="M267" s="211"/>
      <c r="N267" s="211"/>
      <c r="O267" s="211"/>
      <c r="P267" s="211"/>
      <c r="Q267" s="211"/>
      <c r="R267" s="211"/>
      <c r="V267" s="211"/>
      <c r="Y267" s="200"/>
      <c r="Z267" s="305"/>
      <c r="AA267" s="211"/>
      <c r="AB267" s="211"/>
      <c r="AC267" s="211"/>
      <c r="AD267" s="211"/>
      <c r="AE267" s="211"/>
      <c r="AF267" s="211"/>
      <c r="AI267" s="211"/>
      <c r="AJ267" s="211"/>
      <c r="AK267" s="212"/>
      <c r="AL267" s="211"/>
    </row>
    <row r="268" spans="1:40" x14ac:dyDescent="0.25">
      <c r="A268" s="202"/>
      <c r="C268" s="154"/>
      <c r="F268" s="200"/>
      <c r="H268" s="200"/>
      <c r="I268" s="200"/>
      <c r="J268" s="213"/>
      <c r="K268" s="213"/>
      <c r="L268" s="200"/>
      <c r="M268" s="200"/>
      <c r="N268" s="210"/>
      <c r="O268" s="210"/>
      <c r="P268" s="200"/>
      <c r="Q268" s="200"/>
      <c r="R268" s="200"/>
      <c r="T268" s="154"/>
      <c r="V268" s="200"/>
      <c r="Y268" s="200"/>
      <c r="Z268" s="213"/>
      <c r="AA268" s="200"/>
      <c r="AB268" s="200"/>
      <c r="AC268" s="210"/>
      <c r="AD268" s="210"/>
      <c r="AE268" s="200"/>
      <c r="AF268" s="200"/>
      <c r="AG268" s="209"/>
      <c r="AH268" s="201"/>
      <c r="AI268" s="200"/>
      <c r="AJ268" s="200"/>
      <c r="AK268" s="209"/>
      <c r="AL268" s="200"/>
      <c r="AM268" s="210"/>
      <c r="AN268" s="210"/>
    </row>
    <row r="269" spans="1:40" x14ac:dyDescent="0.25">
      <c r="F269" s="211"/>
      <c r="H269" s="200"/>
      <c r="I269" s="200"/>
      <c r="J269" s="305"/>
      <c r="K269" s="305"/>
      <c r="L269" s="211"/>
      <c r="M269" s="211"/>
      <c r="N269" s="211"/>
      <c r="O269" s="211"/>
      <c r="P269" s="211"/>
      <c r="Q269" s="211"/>
      <c r="R269" s="211"/>
      <c r="V269" s="211"/>
      <c r="Y269" s="200"/>
      <c r="Z269" s="305"/>
      <c r="AA269" s="211"/>
      <c r="AB269" s="211"/>
      <c r="AC269" s="211"/>
      <c r="AD269" s="211"/>
      <c r="AE269" s="211"/>
      <c r="AF269" s="211"/>
      <c r="AI269" s="211"/>
      <c r="AJ269" s="211"/>
      <c r="AK269" s="212"/>
      <c r="AL269" s="211"/>
    </row>
    <row r="270" spans="1:40" x14ac:dyDescent="0.25">
      <c r="F270" s="200"/>
      <c r="R270" s="200"/>
      <c r="V270" s="200"/>
      <c r="AK270" s="209"/>
      <c r="AL270" s="200"/>
    </row>
    <row r="271" spans="1:40" x14ac:dyDescent="0.25">
      <c r="A271" s="202"/>
      <c r="C271" s="154"/>
      <c r="F271" s="200"/>
      <c r="R271" s="200"/>
      <c r="T271" s="154"/>
      <c r="V271" s="200"/>
      <c r="AK271" s="209"/>
      <c r="AL271" s="200"/>
    </row>
    <row r="272" spans="1:40" x14ac:dyDescent="0.25">
      <c r="F272" s="200"/>
      <c r="R272" s="200"/>
      <c r="V272" s="200"/>
      <c r="AK272" s="209"/>
      <c r="AL272" s="200"/>
    </row>
    <row r="273" spans="1:40" x14ac:dyDescent="0.25">
      <c r="A273" s="202"/>
      <c r="C273" s="154"/>
      <c r="F273" s="200"/>
      <c r="H273" s="252"/>
      <c r="I273" s="252"/>
      <c r="J273" s="320"/>
      <c r="K273" s="320"/>
      <c r="L273" s="200"/>
      <c r="M273" s="200"/>
      <c r="N273" s="210"/>
      <c r="O273" s="210"/>
      <c r="P273" s="252"/>
      <c r="Q273" s="252"/>
      <c r="R273" s="200"/>
      <c r="T273" s="154"/>
      <c r="V273" s="200"/>
      <c r="Y273" s="200"/>
      <c r="Z273" s="304"/>
      <c r="AA273" s="200"/>
      <c r="AB273" s="200"/>
      <c r="AC273" s="210"/>
      <c r="AD273" s="210"/>
      <c r="AE273" s="200"/>
      <c r="AF273" s="200"/>
      <c r="AG273" s="209"/>
      <c r="AH273" s="201"/>
      <c r="AI273" s="252"/>
      <c r="AJ273" s="252"/>
      <c r="AK273" s="209"/>
      <c r="AL273" s="200"/>
      <c r="AM273" s="210"/>
      <c r="AN273" s="210"/>
    </row>
    <row r="274" spans="1:40" x14ac:dyDescent="0.25">
      <c r="F274" s="211"/>
      <c r="H274" s="211"/>
      <c r="I274" s="211"/>
      <c r="J274" s="305"/>
      <c r="K274" s="305"/>
      <c r="L274" s="211"/>
      <c r="M274" s="211"/>
      <c r="N274" s="211"/>
      <c r="O274" s="211"/>
      <c r="P274" s="211"/>
      <c r="Q274" s="211"/>
      <c r="R274" s="211"/>
      <c r="V274" s="211"/>
      <c r="Y274" s="211"/>
      <c r="Z274" s="305"/>
      <c r="AA274" s="211"/>
      <c r="AB274" s="211"/>
      <c r="AC274" s="211"/>
      <c r="AD274" s="211"/>
      <c r="AE274" s="211"/>
      <c r="AF274" s="211"/>
      <c r="AI274" s="211"/>
      <c r="AJ274" s="211"/>
      <c r="AK274" s="212"/>
      <c r="AL274" s="211"/>
    </row>
    <row r="276" spans="1:40" x14ac:dyDescent="0.25">
      <c r="A276" s="202"/>
      <c r="C276" s="154"/>
      <c r="F276" s="200"/>
      <c r="H276" s="200"/>
      <c r="I276" s="200"/>
      <c r="J276" s="215"/>
      <c r="K276" s="215"/>
      <c r="L276" s="200"/>
      <c r="M276" s="200"/>
      <c r="N276" s="210"/>
      <c r="O276" s="210"/>
      <c r="P276" s="200"/>
      <c r="Q276" s="200"/>
      <c r="R276" s="200"/>
      <c r="T276" s="154"/>
      <c r="V276" s="200"/>
      <c r="Y276" s="200"/>
      <c r="Z276" s="215"/>
      <c r="AA276" s="200"/>
      <c r="AB276" s="200"/>
      <c r="AC276" s="210"/>
      <c r="AD276" s="210"/>
      <c r="AE276" s="200"/>
      <c r="AF276" s="200"/>
      <c r="AG276" s="209"/>
      <c r="AH276" s="201"/>
      <c r="AI276" s="200"/>
      <c r="AJ276" s="200"/>
      <c r="AK276" s="209"/>
      <c r="AL276" s="200"/>
      <c r="AM276" s="210"/>
      <c r="AN276" s="210"/>
    </row>
    <row r="277" spans="1:40" x14ac:dyDescent="0.25">
      <c r="F277" s="211"/>
      <c r="H277" s="211"/>
      <c r="I277" s="211"/>
      <c r="J277" s="305"/>
      <c r="K277" s="305"/>
      <c r="L277" s="211"/>
      <c r="M277" s="211"/>
      <c r="N277" s="211"/>
      <c r="O277" s="211"/>
      <c r="P277" s="211"/>
      <c r="Q277" s="211"/>
      <c r="R277" s="211"/>
      <c r="V277" s="211"/>
      <c r="Y277" s="211"/>
      <c r="Z277" s="305"/>
      <c r="AA277" s="211"/>
      <c r="AB277" s="211"/>
      <c r="AC277" s="211"/>
      <c r="AD277" s="211"/>
      <c r="AE277" s="211"/>
      <c r="AF277" s="211"/>
      <c r="AI277" s="211"/>
      <c r="AJ277" s="211"/>
      <c r="AK277" s="212"/>
      <c r="AL277" s="211"/>
    </row>
    <row r="278" spans="1:40" x14ac:dyDescent="0.25">
      <c r="R278" s="200"/>
      <c r="AG278" s="209"/>
      <c r="AH278" s="200"/>
    </row>
    <row r="279" spans="1:40" x14ac:dyDescent="0.25">
      <c r="F279" s="200"/>
      <c r="H279" s="200"/>
      <c r="I279" s="200"/>
      <c r="J279" s="213"/>
      <c r="K279" s="213"/>
      <c r="L279" s="200"/>
      <c r="M279" s="200"/>
      <c r="N279" s="200"/>
      <c r="O279" s="200"/>
      <c r="P279" s="200"/>
      <c r="Q279" s="200"/>
      <c r="R279" s="200"/>
      <c r="V279" s="200"/>
      <c r="Y279" s="200"/>
      <c r="Z279" s="213"/>
      <c r="AA279" s="200"/>
      <c r="AB279" s="200"/>
      <c r="AC279" s="200"/>
      <c r="AD279" s="200"/>
      <c r="AE279" s="200"/>
      <c r="AF279" s="200"/>
      <c r="AG279" s="209"/>
      <c r="AH279" s="200"/>
    </row>
    <row r="280" spans="1:40" x14ac:dyDescent="0.25">
      <c r="C280" s="154"/>
      <c r="F280" s="200"/>
      <c r="H280" s="200"/>
      <c r="I280" s="200"/>
      <c r="J280" s="213"/>
      <c r="K280" s="213"/>
      <c r="L280" s="200"/>
      <c r="M280" s="200"/>
      <c r="N280" s="200"/>
      <c r="O280" s="200"/>
      <c r="P280" s="200"/>
      <c r="Q280" s="200"/>
      <c r="R280" s="200"/>
      <c r="T280" s="154"/>
      <c r="V280" s="200"/>
      <c r="Y280" s="200"/>
      <c r="Z280" s="213"/>
      <c r="AA280" s="200"/>
      <c r="AB280" s="200"/>
      <c r="AC280" s="200"/>
      <c r="AD280" s="200"/>
      <c r="AE280" s="200"/>
      <c r="AF280" s="200"/>
      <c r="AG280" s="209"/>
      <c r="AH280" s="200"/>
    </row>
    <row r="281" spans="1:40" x14ac:dyDescent="0.25">
      <c r="A281" s="154"/>
    </row>
    <row r="283" spans="1:40" x14ac:dyDescent="0.25">
      <c r="J283" s="202"/>
      <c r="K283" s="202"/>
      <c r="Z283" s="202"/>
    </row>
    <row r="284" spans="1:40" x14ac:dyDescent="0.25">
      <c r="H284" s="154"/>
      <c r="I284" s="154"/>
      <c r="Y284" s="154"/>
    </row>
    <row r="285" spans="1:40" x14ac:dyDescent="0.25">
      <c r="J285" s="202"/>
      <c r="K285" s="202"/>
      <c r="Z285" s="202"/>
    </row>
    <row r="286" spans="1:40" x14ac:dyDescent="0.25">
      <c r="L286" s="154"/>
      <c r="M286" s="154"/>
      <c r="AA286" s="154"/>
      <c r="AB286" s="154"/>
    </row>
    <row r="287" spans="1:40" x14ac:dyDescent="0.25">
      <c r="A287" s="202"/>
      <c r="R287" s="154"/>
      <c r="AK287" s="297"/>
      <c r="AL287" s="154"/>
    </row>
    <row r="288" spans="1:40" x14ac:dyDescent="0.25">
      <c r="A288" s="202"/>
      <c r="R288" s="154"/>
      <c r="AK288" s="297"/>
      <c r="AL288" s="154"/>
    </row>
    <row r="289" spans="1:40" x14ac:dyDescent="0.25">
      <c r="A289" s="154"/>
      <c r="R289" s="154"/>
      <c r="AK289" s="297"/>
      <c r="AL289" s="154"/>
    </row>
    <row r="290" spans="1:40" x14ac:dyDescent="0.25">
      <c r="L290" s="154"/>
      <c r="M290" s="154"/>
      <c r="R290" s="202"/>
      <c r="AA290" s="154"/>
      <c r="AB290" s="154"/>
      <c r="AK290" s="209"/>
      <c r="AL290" s="202"/>
    </row>
    <row r="291" spans="1:40" x14ac:dyDescent="0.25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208"/>
      <c r="AH291" s="102"/>
      <c r="AI291" s="102"/>
      <c r="AJ291" s="102"/>
      <c r="AK291" s="208"/>
      <c r="AL291" s="102"/>
      <c r="AM291" s="102"/>
      <c r="AN291" s="102"/>
    </row>
    <row r="292" spans="1:40" x14ac:dyDescent="0.25">
      <c r="L292" s="103"/>
      <c r="M292" s="103"/>
      <c r="N292" s="103"/>
      <c r="O292" s="103"/>
      <c r="R292" s="103"/>
      <c r="AA292" s="103"/>
      <c r="AB292" s="103"/>
      <c r="AC292" s="103"/>
      <c r="AD292" s="103"/>
      <c r="AE292" s="103"/>
      <c r="AF292" s="103"/>
      <c r="AG292" s="185"/>
      <c r="AH292" s="103"/>
      <c r="AK292" s="185"/>
      <c r="AL292" s="103"/>
      <c r="AM292" s="103"/>
      <c r="AN292" s="103"/>
    </row>
    <row r="293" spans="1:40" x14ac:dyDescent="0.25">
      <c r="L293" s="103"/>
      <c r="M293" s="103"/>
      <c r="N293" s="103"/>
      <c r="O293" s="103"/>
      <c r="R293" s="103"/>
      <c r="Z293" s="103"/>
      <c r="AA293" s="103"/>
      <c r="AB293" s="103"/>
      <c r="AC293" s="103"/>
      <c r="AD293" s="103"/>
      <c r="AE293" s="103"/>
      <c r="AF293" s="103"/>
      <c r="AG293" s="185"/>
      <c r="AH293" s="103"/>
      <c r="AK293" s="185"/>
      <c r="AL293" s="103"/>
      <c r="AM293" s="103"/>
      <c r="AN293" s="103"/>
    </row>
    <row r="294" spans="1:40" x14ac:dyDescent="0.25">
      <c r="A294" s="103"/>
      <c r="C294" s="103"/>
      <c r="D294" s="103"/>
      <c r="E294" s="103"/>
      <c r="F294" s="103"/>
      <c r="J294" s="103"/>
      <c r="K294" s="103"/>
      <c r="L294" s="103"/>
      <c r="M294" s="103"/>
      <c r="N294" s="103"/>
      <c r="O294" s="103"/>
      <c r="P294" s="103"/>
      <c r="Q294" s="103"/>
      <c r="R294" s="103"/>
      <c r="T294" s="103"/>
      <c r="U294" s="103"/>
      <c r="V294" s="103"/>
      <c r="Z294" s="103"/>
      <c r="AA294" s="103"/>
      <c r="AB294" s="103"/>
      <c r="AC294" s="103"/>
      <c r="AD294" s="103"/>
      <c r="AE294" s="103"/>
      <c r="AF294" s="103"/>
      <c r="AG294" s="185"/>
      <c r="AH294" s="103"/>
      <c r="AI294" s="103"/>
      <c r="AJ294" s="103"/>
      <c r="AK294" s="185"/>
      <c r="AL294" s="103"/>
      <c r="AM294" s="103"/>
      <c r="AN294" s="103"/>
    </row>
    <row r="295" spans="1:40" x14ac:dyDescent="0.25">
      <c r="A295" s="103"/>
      <c r="C295" s="103"/>
      <c r="D295" s="103"/>
      <c r="E295" s="103"/>
      <c r="F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T295" s="103"/>
      <c r="U295" s="103"/>
      <c r="V295" s="103"/>
      <c r="Y295" s="103"/>
      <c r="Z295" s="103"/>
      <c r="AA295" s="103"/>
      <c r="AB295" s="103"/>
      <c r="AC295" s="103"/>
      <c r="AD295" s="103"/>
      <c r="AE295" s="103"/>
      <c r="AF295" s="103"/>
      <c r="AG295" s="185"/>
      <c r="AH295" s="103"/>
      <c r="AI295" s="103"/>
      <c r="AJ295" s="103"/>
      <c r="AK295" s="185"/>
      <c r="AL295" s="103"/>
      <c r="AM295" s="103"/>
      <c r="AN295" s="103"/>
    </row>
    <row r="296" spans="1:40" x14ac:dyDescent="0.25">
      <c r="C296" s="103"/>
      <c r="D296" s="103"/>
      <c r="E296" s="103"/>
      <c r="F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T296" s="103"/>
      <c r="U296" s="103"/>
      <c r="V296" s="103"/>
      <c r="Y296" s="103"/>
      <c r="Z296" s="103"/>
      <c r="AA296" s="103"/>
      <c r="AB296" s="103"/>
      <c r="AC296" s="103"/>
      <c r="AD296" s="103"/>
      <c r="AE296" s="103"/>
      <c r="AF296" s="103"/>
      <c r="AG296" s="185"/>
      <c r="AH296" s="103"/>
      <c r="AI296" s="103"/>
      <c r="AJ296" s="103"/>
      <c r="AK296" s="185"/>
      <c r="AL296" s="103"/>
      <c r="AM296" s="103"/>
      <c r="AN296" s="103"/>
    </row>
    <row r="297" spans="1:40" x14ac:dyDescent="0.25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208"/>
      <c r="AH297" s="102"/>
      <c r="AI297" s="102"/>
      <c r="AJ297" s="102"/>
      <c r="AK297" s="208"/>
      <c r="AL297" s="102"/>
      <c r="AM297" s="102"/>
      <c r="AN297" s="102"/>
    </row>
    <row r="298" spans="1:40" x14ac:dyDescent="0.25"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Y298" s="103"/>
      <c r="Z298" s="103"/>
      <c r="AA298" s="103"/>
      <c r="AB298" s="103"/>
      <c r="AC298" s="103"/>
      <c r="AD298" s="103"/>
      <c r="AE298" s="103"/>
      <c r="AF298" s="103"/>
      <c r="AG298" s="185"/>
      <c r="AH298" s="103"/>
      <c r="AI298" s="103"/>
      <c r="AJ298" s="103"/>
      <c r="AK298" s="185"/>
      <c r="AL298" s="103"/>
      <c r="AM298" s="103"/>
      <c r="AN298" s="103"/>
    </row>
    <row r="299" spans="1:40" x14ac:dyDescent="0.25">
      <c r="A299" s="202"/>
      <c r="C299" s="154"/>
      <c r="D299" s="154"/>
      <c r="E299" s="154"/>
      <c r="T299" s="154"/>
      <c r="U299" s="154"/>
    </row>
    <row r="300" spans="1:40" x14ac:dyDescent="0.25">
      <c r="A300" s="202"/>
      <c r="C300" s="154"/>
      <c r="T300" s="154"/>
    </row>
    <row r="302" spans="1:40" x14ac:dyDescent="0.25">
      <c r="A302" s="202"/>
      <c r="C302" s="154"/>
      <c r="F302" s="252"/>
      <c r="H302" s="252"/>
      <c r="I302" s="252"/>
      <c r="J302" s="300"/>
      <c r="K302" s="300"/>
      <c r="L302" s="200"/>
      <c r="M302" s="200"/>
      <c r="N302" s="210"/>
      <c r="O302" s="210"/>
      <c r="P302" s="202"/>
      <c r="Q302" s="202"/>
      <c r="R302" s="200"/>
      <c r="T302" s="154"/>
      <c r="V302" s="200"/>
      <c r="Y302" s="252"/>
      <c r="Z302" s="300"/>
      <c r="AA302" s="200"/>
      <c r="AB302" s="200"/>
      <c r="AC302" s="210"/>
      <c r="AD302" s="210"/>
      <c r="AE302" s="200"/>
      <c r="AF302" s="200"/>
      <c r="AG302" s="209"/>
      <c r="AH302" s="201"/>
      <c r="AI302" s="202"/>
      <c r="AJ302" s="202"/>
      <c r="AK302" s="209"/>
      <c r="AL302" s="200"/>
      <c r="AM302" s="210"/>
      <c r="AN302" s="210"/>
    </row>
    <row r="303" spans="1:40" x14ac:dyDescent="0.25">
      <c r="F303" s="211"/>
      <c r="H303" s="200"/>
      <c r="I303" s="200"/>
      <c r="J303" s="305"/>
      <c r="K303" s="305"/>
      <c r="L303" s="211"/>
      <c r="M303" s="211"/>
      <c r="N303" s="211"/>
      <c r="O303" s="211"/>
      <c r="P303" s="211"/>
      <c r="Q303" s="211"/>
      <c r="R303" s="211"/>
      <c r="V303" s="211"/>
      <c r="Y303" s="200"/>
      <c r="Z303" s="305"/>
      <c r="AA303" s="211"/>
      <c r="AB303" s="211"/>
      <c r="AC303" s="211"/>
      <c r="AD303" s="211"/>
      <c r="AE303" s="211"/>
      <c r="AF303" s="211"/>
      <c r="AI303" s="211"/>
      <c r="AJ303" s="211"/>
      <c r="AK303" s="212"/>
      <c r="AL303" s="211"/>
      <c r="AM303" s="210"/>
      <c r="AN303" s="210"/>
    </row>
    <row r="304" spans="1:40" x14ac:dyDescent="0.25">
      <c r="A304" s="202"/>
      <c r="C304" s="154"/>
      <c r="F304" s="252"/>
      <c r="H304" s="252"/>
      <c r="I304" s="252"/>
      <c r="J304" s="328"/>
      <c r="K304" s="328"/>
      <c r="L304" s="200"/>
      <c r="M304" s="200"/>
      <c r="N304" s="210"/>
      <c r="O304" s="210"/>
      <c r="P304" s="200"/>
      <c r="Q304" s="200"/>
      <c r="R304" s="200"/>
      <c r="S304" s="200"/>
      <c r="T304" s="154"/>
      <c r="V304" s="252"/>
      <c r="Y304" s="252"/>
      <c r="Z304" s="328"/>
      <c r="AA304" s="200"/>
      <c r="AB304" s="200"/>
      <c r="AC304" s="210"/>
      <c r="AD304" s="210"/>
      <c r="AE304" s="200"/>
      <c r="AF304" s="200"/>
      <c r="AG304" s="209"/>
      <c r="AH304" s="210"/>
      <c r="AI304" s="200"/>
      <c r="AJ304" s="200"/>
      <c r="AK304" s="209"/>
      <c r="AL304" s="200"/>
      <c r="AM304" s="210"/>
      <c r="AN304" s="210"/>
    </row>
    <row r="305" spans="1:40" x14ac:dyDescent="0.25">
      <c r="A305" s="202"/>
      <c r="C305" s="154"/>
      <c r="F305" s="252"/>
      <c r="H305" s="252"/>
      <c r="I305" s="252"/>
      <c r="J305" s="300"/>
      <c r="K305" s="300"/>
      <c r="L305" s="200"/>
      <c r="M305" s="200"/>
      <c r="N305" s="210"/>
      <c r="O305" s="210"/>
      <c r="P305" s="200"/>
      <c r="Q305" s="200"/>
      <c r="R305" s="200"/>
      <c r="T305" s="154"/>
      <c r="V305" s="252"/>
      <c r="Y305" s="200"/>
      <c r="Z305" s="300"/>
      <c r="AA305" s="200"/>
      <c r="AB305" s="200"/>
      <c r="AC305" s="210"/>
      <c r="AD305" s="210"/>
      <c r="AE305" s="200"/>
      <c r="AF305" s="200"/>
      <c r="AG305" s="209"/>
      <c r="AH305" s="201"/>
      <c r="AI305" s="200"/>
      <c r="AJ305" s="200"/>
      <c r="AK305" s="209"/>
      <c r="AL305" s="200"/>
      <c r="AM305" s="210"/>
      <c r="AN305" s="210"/>
    </row>
    <row r="306" spans="1:40" x14ac:dyDescent="0.25">
      <c r="A306" s="202"/>
      <c r="C306" s="154"/>
      <c r="F306" s="252"/>
      <c r="H306" s="252"/>
      <c r="I306" s="252"/>
      <c r="J306" s="300"/>
      <c r="K306" s="300"/>
      <c r="L306" s="200"/>
      <c r="M306" s="200"/>
      <c r="N306" s="210"/>
      <c r="O306" s="210"/>
      <c r="P306" s="200"/>
      <c r="Q306" s="200"/>
      <c r="R306" s="200"/>
      <c r="T306" s="154"/>
      <c r="V306" s="252"/>
      <c r="Y306" s="200"/>
      <c r="Z306" s="300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F307" s="211"/>
      <c r="H307" s="211"/>
      <c r="I307" s="211"/>
      <c r="J307" s="305"/>
      <c r="K307" s="305"/>
      <c r="L307" s="211"/>
      <c r="M307" s="211"/>
      <c r="N307" s="211"/>
      <c r="O307" s="211"/>
      <c r="P307" s="211"/>
      <c r="Q307" s="211"/>
      <c r="R307" s="211"/>
      <c r="V307" s="211"/>
      <c r="Y307" s="211"/>
      <c r="Z307" s="305"/>
      <c r="AA307" s="211"/>
      <c r="AB307" s="211"/>
      <c r="AC307" s="211"/>
      <c r="AD307" s="211"/>
      <c r="AE307" s="211"/>
      <c r="AF307" s="211"/>
      <c r="AI307" s="211"/>
      <c r="AJ307" s="211"/>
      <c r="AK307" s="212"/>
      <c r="AL307" s="211"/>
      <c r="AM307" s="210"/>
      <c r="AN307" s="210"/>
    </row>
    <row r="308" spans="1:40" x14ac:dyDescent="0.25">
      <c r="A308" s="202"/>
      <c r="C308" s="154"/>
      <c r="F308" s="200"/>
      <c r="H308" s="200"/>
      <c r="I308" s="200"/>
      <c r="J308" s="213"/>
      <c r="K308" s="213"/>
      <c r="L308" s="200"/>
      <c r="M308" s="200"/>
      <c r="N308" s="210"/>
      <c r="O308" s="210"/>
      <c r="P308" s="200"/>
      <c r="Q308" s="200"/>
      <c r="R308" s="200"/>
      <c r="T308" s="154"/>
      <c r="V308" s="200"/>
      <c r="Y308" s="200"/>
      <c r="Z308" s="213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F309" s="211"/>
      <c r="H309" s="211"/>
      <c r="I309" s="211"/>
      <c r="J309" s="305"/>
      <c r="K309" s="305"/>
      <c r="L309" s="211"/>
      <c r="M309" s="211"/>
      <c r="N309" s="211"/>
      <c r="O309" s="211"/>
      <c r="P309" s="211"/>
      <c r="Q309" s="211"/>
      <c r="R309" s="211"/>
      <c r="V309" s="211"/>
      <c r="Y309" s="211"/>
      <c r="Z309" s="305"/>
      <c r="AA309" s="211"/>
      <c r="AB309" s="211"/>
      <c r="AC309" s="211"/>
      <c r="AD309" s="211"/>
      <c r="AE309" s="211"/>
      <c r="AF309" s="211"/>
      <c r="AI309" s="211"/>
      <c r="AJ309" s="211"/>
      <c r="AK309" s="212"/>
      <c r="AL309" s="211"/>
      <c r="AM309" s="210"/>
      <c r="AN309" s="210"/>
    </row>
    <row r="310" spans="1:40" x14ac:dyDescent="0.25">
      <c r="A310" s="202"/>
      <c r="C310" s="154"/>
      <c r="F310" s="200"/>
      <c r="H310" s="200"/>
      <c r="I310" s="200"/>
      <c r="J310" s="213"/>
      <c r="K310" s="213"/>
      <c r="L310" s="200"/>
      <c r="M310" s="200"/>
      <c r="N310" s="210"/>
      <c r="O310" s="210"/>
      <c r="P310" s="200"/>
      <c r="Q310" s="200"/>
      <c r="R310" s="200"/>
      <c r="T310" s="154"/>
      <c r="V310" s="200"/>
      <c r="Y310" s="200"/>
      <c r="Z310" s="213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A311" s="202"/>
      <c r="C311" s="154"/>
      <c r="F311" s="200"/>
      <c r="H311" s="252"/>
      <c r="I311" s="252"/>
      <c r="J311" s="320"/>
      <c r="K311" s="320"/>
      <c r="L311" s="200"/>
      <c r="M311" s="200"/>
      <c r="N311" s="210"/>
      <c r="O311" s="210"/>
      <c r="P311" s="200"/>
      <c r="Q311" s="200"/>
      <c r="R311" s="200"/>
      <c r="T311" s="154"/>
      <c r="V311" s="200"/>
      <c r="Y311" s="200"/>
      <c r="Z311" s="304"/>
      <c r="AA311" s="200"/>
      <c r="AB311" s="200"/>
      <c r="AC311" s="210"/>
      <c r="AD311" s="210"/>
      <c r="AE311" s="200"/>
      <c r="AF311" s="200"/>
      <c r="AG311" s="209"/>
      <c r="AH311" s="201"/>
      <c r="AI311" s="200"/>
      <c r="AJ311" s="200"/>
      <c r="AK311" s="209"/>
      <c r="AL311" s="200"/>
      <c r="AM311" s="210"/>
      <c r="AN311" s="210"/>
    </row>
    <row r="312" spans="1:40" x14ac:dyDescent="0.25">
      <c r="F312" s="211"/>
      <c r="H312" s="211"/>
      <c r="I312" s="211"/>
      <c r="J312" s="305"/>
      <c r="K312" s="305"/>
      <c r="L312" s="211"/>
      <c r="M312" s="211"/>
      <c r="N312" s="211"/>
      <c r="O312" s="211"/>
      <c r="P312" s="211"/>
      <c r="Q312" s="211"/>
      <c r="R312" s="211"/>
      <c r="V312" s="211"/>
      <c r="Y312" s="211"/>
      <c r="Z312" s="305"/>
      <c r="AA312" s="211"/>
      <c r="AB312" s="211"/>
      <c r="AC312" s="211"/>
      <c r="AD312" s="211"/>
      <c r="AE312" s="211"/>
      <c r="AF312" s="211"/>
      <c r="AI312" s="211"/>
      <c r="AJ312" s="211"/>
      <c r="AK312" s="212"/>
      <c r="AL312" s="211"/>
      <c r="AM312" s="210"/>
      <c r="AN312" s="210"/>
    </row>
    <row r="314" spans="1:40" x14ac:dyDescent="0.25">
      <c r="A314" s="202"/>
      <c r="C314" s="154"/>
      <c r="F314" s="200"/>
      <c r="H314" s="200"/>
      <c r="I314" s="200"/>
      <c r="J314" s="305"/>
      <c r="K314" s="305"/>
      <c r="L314" s="200"/>
      <c r="M314" s="200"/>
      <c r="N314" s="210"/>
      <c r="O314" s="210"/>
      <c r="P314" s="200"/>
      <c r="Q314" s="200"/>
      <c r="R314" s="200"/>
      <c r="S314" s="200"/>
      <c r="T314" s="154"/>
      <c r="V314" s="200"/>
      <c r="Y314" s="200"/>
      <c r="Z314" s="305"/>
      <c r="AA314" s="200"/>
      <c r="AB314" s="200"/>
      <c r="AC314" s="210"/>
      <c r="AD314" s="210"/>
      <c r="AE314" s="200"/>
      <c r="AF314" s="200"/>
      <c r="AG314" s="209"/>
      <c r="AH314" s="210"/>
      <c r="AI314" s="200"/>
      <c r="AJ314" s="200"/>
      <c r="AK314" s="209"/>
      <c r="AL314" s="200"/>
      <c r="AM314" s="210"/>
      <c r="AN314" s="210"/>
    </row>
    <row r="315" spans="1:40" x14ac:dyDescent="0.25">
      <c r="F315" s="211"/>
      <c r="H315" s="211"/>
      <c r="I315" s="211"/>
      <c r="J315" s="305"/>
      <c r="K315" s="305"/>
      <c r="L315" s="211"/>
      <c r="M315" s="211"/>
      <c r="N315" s="211"/>
      <c r="O315" s="211"/>
      <c r="P315" s="211"/>
      <c r="Q315" s="211"/>
      <c r="R315" s="211"/>
      <c r="S315" s="200"/>
      <c r="V315" s="211"/>
      <c r="Y315" s="211"/>
      <c r="Z315" s="305"/>
      <c r="AA315" s="211"/>
      <c r="AB315" s="211"/>
      <c r="AC315" s="211"/>
      <c r="AD315" s="211"/>
      <c r="AE315" s="211"/>
      <c r="AF315" s="211"/>
      <c r="AI315" s="211"/>
      <c r="AJ315" s="211"/>
      <c r="AK315" s="212"/>
      <c r="AL315" s="211"/>
      <c r="AM315" s="210"/>
      <c r="AN315" s="210"/>
    </row>
    <row r="316" spans="1:40" x14ac:dyDescent="0.25">
      <c r="A316" s="202"/>
      <c r="C316" s="154"/>
      <c r="F316" s="252"/>
      <c r="H316" s="252"/>
      <c r="I316" s="252"/>
      <c r="J316" s="305"/>
      <c r="K316" s="305"/>
      <c r="L316" s="200"/>
      <c r="M316" s="200"/>
      <c r="N316" s="210"/>
      <c r="O316" s="210"/>
      <c r="P316" s="200"/>
      <c r="Q316" s="200"/>
      <c r="R316" s="200"/>
      <c r="S316" s="200"/>
      <c r="T316" s="154"/>
      <c r="V316" s="252"/>
      <c r="Y316" s="252"/>
      <c r="Z316" s="305"/>
      <c r="AA316" s="200"/>
      <c r="AB316" s="200"/>
      <c r="AC316" s="210"/>
      <c r="AD316" s="210"/>
      <c r="AE316" s="200"/>
      <c r="AF316" s="200"/>
      <c r="AI316" s="200"/>
      <c r="AJ316" s="200"/>
      <c r="AK316" s="209"/>
      <c r="AL316" s="200"/>
      <c r="AM316" s="210"/>
      <c r="AN316" s="210"/>
    </row>
    <row r="318" spans="1:40" x14ac:dyDescent="0.25">
      <c r="A318" s="202"/>
      <c r="C318" s="154"/>
      <c r="F318" s="252"/>
      <c r="H318" s="252"/>
      <c r="I318" s="252"/>
      <c r="J318" s="300"/>
      <c r="K318" s="300"/>
      <c r="L318" s="200"/>
      <c r="M318" s="200"/>
      <c r="N318" s="210"/>
      <c r="O318" s="210"/>
      <c r="P318" s="202"/>
      <c r="Q318" s="202"/>
      <c r="R318" s="200"/>
      <c r="T318" s="154"/>
      <c r="V318" s="200"/>
      <c r="Y318" s="252"/>
      <c r="Z318" s="300"/>
      <c r="AA318" s="200"/>
      <c r="AB318" s="200"/>
      <c r="AC318" s="210"/>
      <c r="AD318" s="210"/>
      <c r="AE318" s="200"/>
      <c r="AF318" s="200"/>
      <c r="AG318" s="209"/>
      <c r="AH318" s="201"/>
      <c r="AI318" s="202"/>
      <c r="AJ318" s="202"/>
      <c r="AK318" s="209"/>
      <c r="AL318" s="200"/>
      <c r="AM318" s="210"/>
      <c r="AN318" s="210"/>
    </row>
    <row r="319" spans="1:40" x14ac:dyDescent="0.25">
      <c r="F319" s="211"/>
      <c r="H319" s="200"/>
      <c r="I319" s="200"/>
      <c r="J319" s="305"/>
      <c r="K319" s="305"/>
      <c r="L319" s="211"/>
      <c r="M319" s="211"/>
      <c r="N319" s="211"/>
      <c r="O319" s="211"/>
      <c r="P319" s="211"/>
      <c r="Q319" s="211"/>
      <c r="R319" s="211"/>
      <c r="V319" s="211"/>
      <c r="Y319" s="200"/>
      <c r="Z319" s="305"/>
      <c r="AA319" s="211"/>
      <c r="AB319" s="211"/>
      <c r="AC319" s="211"/>
      <c r="AD319" s="211"/>
      <c r="AE319" s="211"/>
      <c r="AF319" s="211"/>
      <c r="AI319" s="211"/>
      <c r="AJ319" s="211"/>
      <c r="AK319" s="212"/>
      <c r="AL319" s="211"/>
      <c r="AM319" s="210"/>
      <c r="AN319" s="210"/>
    </row>
    <row r="320" spans="1:40" x14ac:dyDescent="0.25">
      <c r="A320" s="202"/>
      <c r="C320" s="154"/>
      <c r="F320" s="252"/>
      <c r="H320" s="252"/>
      <c r="I320" s="252"/>
      <c r="J320" s="328"/>
      <c r="K320" s="328"/>
      <c r="L320" s="200"/>
      <c r="M320" s="200"/>
      <c r="N320" s="210"/>
      <c r="O320" s="210"/>
      <c r="P320" s="200"/>
      <c r="Q320" s="200"/>
      <c r="R320" s="200"/>
      <c r="S320" s="200"/>
      <c r="T320" s="154"/>
      <c r="V320" s="252"/>
      <c r="Y320" s="252"/>
      <c r="Z320" s="328"/>
      <c r="AA320" s="200"/>
      <c r="AB320" s="200"/>
      <c r="AC320" s="210"/>
      <c r="AD320" s="210"/>
      <c r="AE320" s="200"/>
      <c r="AF320" s="200"/>
      <c r="AG320" s="209"/>
      <c r="AH320" s="210"/>
      <c r="AI320" s="200"/>
      <c r="AJ320" s="200"/>
      <c r="AK320" s="209"/>
      <c r="AL320" s="200"/>
      <c r="AM320" s="210"/>
      <c r="AN320" s="210"/>
    </row>
    <row r="321" spans="1:40" x14ac:dyDescent="0.25">
      <c r="A321" s="202"/>
      <c r="C321" s="154"/>
      <c r="F321" s="252"/>
      <c r="H321" s="252"/>
      <c r="I321" s="252"/>
      <c r="J321" s="300"/>
      <c r="K321" s="300"/>
      <c r="L321" s="200"/>
      <c r="M321" s="200"/>
      <c r="N321" s="210"/>
      <c r="O321" s="210"/>
      <c r="P321" s="200"/>
      <c r="Q321" s="200"/>
      <c r="R321" s="200"/>
      <c r="T321" s="154"/>
      <c r="V321" s="252"/>
      <c r="Y321" s="200"/>
      <c r="Z321" s="300"/>
      <c r="AA321" s="200"/>
      <c r="AB321" s="200"/>
      <c r="AC321" s="210"/>
      <c r="AD321" s="210"/>
      <c r="AE321" s="200"/>
      <c r="AF321" s="200"/>
      <c r="AG321" s="209"/>
      <c r="AH321" s="201"/>
      <c r="AI321" s="200"/>
      <c r="AJ321" s="200"/>
      <c r="AK321" s="209"/>
      <c r="AL321" s="200"/>
      <c r="AM321" s="210"/>
      <c r="AN321" s="210"/>
    </row>
    <row r="322" spans="1:40" x14ac:dyDescent="0.25">
      <c r="A322" s="202"/>
      <c r="C322" s="154"/>
      <c r="F322" s="252"/>
      <c r="H322" s="252"/>
      <c r="I322" s="252"/>
      <c r="J322" s="300"/>
      <c r="K322" s="300"/>
      <c r="L322" s="200"/>
      <c r="M322" s="200"/>
      <c r="N322" s="210"/>
      <c r="O322" s="210"/>
      <c r="P322" s="200"/>
      <c r="Q322" s="200"/>
      <c r="R322" s="200"/>
      <c r="T322" s="154"/>
      <c r="V322" s="252"/>
      <c r="Y322" s="200"/>
      <c r="Z322" s="300"/>
      <c r="AA322" s="200"/>
      <c r="AB322" s="200"/>
      <c r="AC322" s="210"/>
      <c r="AD322" s="210"/>
      <c r="AE322" s="200"/>
      <c r="AF322" s="200"/>
      <c r="AG322" s="209"/>
      <c r="AH322" s="201"/>
      <c r="AI322" s="200"/>
      <c r="AJ322" s="200"/>
      <c r="AK322" s="209"/>
      <c r="AL322" s="200"/>
      <c r="AM322" s="210"/>
      <c r="AN322" s="210"/>
    </row>
    <row r="323" spans="1:40" x14ac:dyDescent="0.25">
      <c r="F323" s="211"/>
      <c r="H323" s="211"/>
      <c r="I323" s="211"/>
      <c r="J323" s="305"/>
      <c r="K323" s="305"/>
      <c r="L323" s="211"/>
      <c r="M323" s="211"/>
      <c r="N323" s="211"/>
      <c r="O323" s="211"/>
      <c r="P323" s="211"/>
      <c r="Q323" s="211"/>
      <c r="R323" s="211"/>
      <c r="V323" s="211"/>
      <c r="Y323" s="211"/>
      <c r="Z323" s="305"/>
      <c r="AA323" s="211"/>
      <c r="AB323" s="211"/>
      <c r="AC323" s="211"/>
      <c r="AD323" s="211"/>
      <c r="AE323" s="211"/>
      <c r="AF323" s="211"/>
      <c r="AI323" s="211"/>
      <c r="AJ323" s="211"/>
      <c r="AK323" s="212"/>
      <c r="AL323" s="211"/>
      <c r="AM323" s="210"/>
      <c r="AN323" s="210"/>
    </row>
    <row r="324" spans="1:40" x14ac:dyDescent="0.25">
      <c r="A324" s="202"/>
      <c r="C324" s="154"/>
      <c r="F324" s="200"/>
      <c r="H324" s="200"/>
      <c r="I324" s="200"/>
      <c r="J324" s="213"/>
      <c r="K324" s="213"/>
      <c r="L324" s="200"/>
      <c r="M324" s="200"/>
      <c r="N324" s="210"/>
      <c r="O324" s="210"/>
      <c r="P324" s="200"/>
      <c r="Q324" s="200"/>
      <c r="R324" s="200"/>
      <c r="T324" s="154"/>
      <c r="V324" s="200"/>
      <c r="Y324" s="200"/>
      <c r="Z324" s="213"/>
      <c r="AA324" s="200"/>
      <c r="AB324" s="200"/>
      <c r="AC324" s="210"/>
      <c r="AD324" s="210"/>
      <c r="AE324" s="200"/>
      <c r="AF324" s="200"/>
      <c r="AG324" s="209"/>
      <c r="AH324" s="201"/>
      <c r="AI324" s="200"/>
      <c r="AJ324" s="200"/>
      <c r="AK324" s="209"/>
      <c r="AL324" s="200"/>
      <c r="AM324" s="210"/>
      <c r="AN324" s="210"/>
    </row>
    <row r="325" spans="1:40" x14ac:dyDescent="0.25">
      <c r="F325" s="211"/>
      <c r="H325" s="211"/>
      <c r="I325" s="211"/>
      <c r="J325" s="305"/>
      <c r="K325" s="305"/>
      <c r="L325" s="211"/>
      <c r="M325" s="211"/>
      <c r="N325" s="211"/>
      <c r="O325" s="211"/>
      <c r="P325" s="211"/>
      <c r="Q325" s="211"/>
      <c r="R325" s="211"/>
      <c r="V325" s="211"/>
      <c r="Y325" s="211"/>
      <c r="Z325" s="305"/>
      <c r="AA325" s="211"/>
      <c r="AB325" s="211"/>
      <c r="AC325" s="211"/>
      <c r="AD325" s="211"/>
      <c r="AE325" s="211"/>
      <c r="AF325" s="211"/>
      <c r="AI325" s="211"/>
      <c r="AJ325" s="211"/>
      <c r="AK325" s="212"/>
      <c r="AL325" s="211"/>
      <c r="AM325" s="210"/>
      <c r="AN325" s="210"/>
    </row>
    <row r="326" spans="1:40" x14ac:dyDescent="0.25">
      <c r="A326" s="202"/>
      <c r="C326" s="154"/>
      <c r="F326" s="200"/>
      <c r="H326" s="200"/>
      <c r="I326" s="200"/>
      <c r="J326" s="213"/>
      <c r="K326" s="213"/>
      <c r="L326" s="200"/>
      <c r="M326" s="200"/>
      <c r="N326" s="210"/>
      <c r="O326" s="210"/>
      <c r="P326" s="200"/>
      <c r="Q326" s="200"/>
      <c r="R326" s="200"/>
      <c r="T326" s="154"/>
      <c r="V326" s="200"/>
      <c r="Y326" s="200"/>
      <c r="Z326" s="213"/>
      <c r="AA326" s="200"/>
      <c r="AB326" s="200"/>
      <c r="AC326" s="210"/>
      <c r="AD326" s="210"/>
      <c r="AE326" s="200"/>
      <c r="AF326" s="200"/>
      <c r="AG326" s="209"/>
      <c r="AH326" s="201"/>
      <c r="AI326" s="200"/>
      <c r="AJ326" s="200"/>
      <c r="AK326" s="209"/>
      <c r="AL326" s="200"/>
      <c r="AM326" s="210"/>
      <c r="AN326" s="210"/>
    </row>
    <row r="327" spans="1:40" x14ac:dyDescent="0.25">
      <c r="A327" s="202"/>
      <c r="C327" s="154"/>
      <c r="F327" s="200"/>
      <c r="H327" s="252"/>
      <c r="I327" s="252"/>
      <c r="J327" s="320"/>
      <c r="K327" s="320"/>
      <c r="L327" s="200"/>
      <c r="M327" s="200"/>
      <c r="N327" s="210"/>
      <c r="O327" s="210"/>
      <c r="P327" s="200"/>
      <c r="Q327" s="200"/>
      <c r="R327" s="200"/>
      <c r="T327" s="154"/>
      <c r="V327" s="200"/>
      <c r="Y327" s="200"/>
      <c r="Z327" s="304"/>
      <c r="AA327" s="200"/>
      <c r="AB327" s="200"/>
      <c r="AC327" s="210"/>
      <c r="AD327" s="210"/>
      <c r="AE327" s="200"/>
      <c r="AF327" s="200"/>
      <c r="AG327" s="209"/>
      <c r="AH327" s="201"/>
      <c r="AI327" s="200"/>
      <c r="AJ327" s="200"/>
      <c r="AK327" s="209"/>
      <c r="AL327" s="200"/>
      <c r="AM327" s="210"/>
      <c r="AN327" s="210"/>
    </row>
    <row r="328" spans="1:40" x14ac:dyDescent="0.25">
      <c r="F328" s="211"/>
      <c r="H328" s="211"/>
      <c r="I328" s="211"/>
      <c r="J328" s="305"/>
      <c r="K328" s="305"/>
      <c r="L328" s="211"/>
      <c r="M328" s="211"/>
      <c r="N328" s="211"/>
      <c r="O328" s="211"/>
      <c r="P328" s="211"/>
      <c r="Q328" s="211"/>
      <c r="R328" s="211"/>
      <c r="V328" s="211"/>
      <c r="Y328" s="211"/>
      <c r="Z328" s="305"/>
      <c r="AA328" s="211"/>
      <c r="AB328" s="211"/>
      <c r="AC328" s="211"/>
      <c r="AD328" s="211"/>
      <c r="AE328" s="211"/>
      <c r="AF328" s="211"/>
      <c r="AI328" s="211"/>
      <c r="AJ328" s="211"/>
      <c r="AK328" s="212"/>
      <c r="AL328" s="211"/>
      <c r="AM328" s="210"/>
      <c r="AN328" s="210"/>
    </row>
    <row r="330" spans="1:40" x14ac:dyDescent="0.25">
      <c r="A330" s="202"/>
      <c r="C330" s="154"/>
      <c r="F330" s="200"/>
      <c r="H330" s="200"/>
      <c r="I330" s="200"/>
      <c r="J330" s="305"/>
      <c r="K330" s="305"/>
      <c r="L330" s="200"/>
      <c r="M330" s="200"/>
      <c r="N330" s="210"/>
      <c r="O330" s="210"/>
      <c r="P330" s="200"/>
      <c r="Q330" s="200"/>
      <c r="R330" s="200"/>
      <c r="S330" s="200"/>
      <c r="T330" s="154"/>
      <c r="V330" s="200"/>
      <c r="Y330" s="200"/>
      <c r="Z330" s="305"/>
      <c r="AA330" s="200"/>
      <c r="AB330" s="200"/>
      <c r="AC330" s="210"/>
      <c r="AD330" s="210"/>
      <c r="AE330" s="200"/>
      <c r="AF330" s="200"/>
      <c r="AG330" s="209"/>
      <c r="AH330" s="210"/>
      <c r="AI330" s="200"/>
      <c r="AJ330" s="200"/>
      <c r="AK330" s="209"/>
      <c r="AL330" s="200"/>
      <c r="AM330" s="210"/>
      <c r="AN330" s="210"/>
    </row>
    <row r="331" spans="1:40" x14ac:dyDescent="0.25">
      <c r="F331" s="211"/>
      <c r="H331" s="211"/>
      <c r="I331" s="211"/>
      <c r="J331" s="305"/>
      <c r="K331" s="305"/>
      <c r="L331" s="211"/>
      <c r="M331" s="211"/>
      <c r="N331" s="211"/>
      <c r="O331" s="211"/>
      <c r="P331" s="211"/>
      <c r="Q331" s="211"/>
      <c r="R331" s="211"/>
      <c r="S331" s="200"/>
      <c r="V331" s="211"/>
      <c r="Y331" s="211"/>
      <c r="Z331" s="305"/>
      <c r="AA331" s="211"/>
      <c r="AB331" s="211"/>
      <c r="AC331" s="211"/>
      <c r="AD331" s="211"/>
      <c r="AE331" s="211"/>
      <c r="AF331" s="211"/>
      <c r="AI331" s="211"/>
      <c r="AJ331" s="211"/>
      <c r="AK331" s="212"/>
      <c r="AL331" s="211"/>
      <c r="AM331" s="210"/>
      <c r="AN331" s="210"/>
    </row>
    <row r="332" spans="1:40" x14ac:dyDescent="0.25">
      <c r="A332" s="202"/>
      <c r="C332" s="154"/>
      <c r="T332" s="154"/>
    </row>
    <row r="333" spans="1:40" x14ac:dyDescent="0.25">
      <c r="A333" s="202"/>
      <c r="C333" s="154"/>
      <c r="F333" s="200"/>
      <c r="H333" s="200"/>
      <c r="I333" s="200"/>
      <c r="L333" s="200"/>
      <c r="M333" s="200"/>
      <c r="N333" s="210"/>
      <c r="O333" s="210"/>
      <c r="P333" s="252"/>
      <c r="Q333" s="252"/>
      <c r="R333" s="200"/>
      <c r="T333" s="154"/>
      <c r="V333" s="200"/>
      <c r="Y333" s="200"/>
      <c r="AA333" s="200"/>
      <c r="AB333" s="200"/>
      <c r="AC333" s="210"/>
      <c r="AD333" s="210"/>
      <c r="AE333" s="200"/>
      <c r="AF333" s="200"/>
      <c r="AG333" s="209"/>
      <c r="AH333" s="210"/>
      <c r="AI333" s="252"/>
      <c r="AJ333" s="252"/>
      <c r="AK333" s="209"/>
      <c r="AL333" s="200"/>
      <c r="AM333" s="210"/>
      <c r="AN333" s="210"/>
    </row>
    <row r="334" spans="1:40" x14ac:dyDescent="0.25">
      <c r="F334" s="211"/>
      <c r="H334" s="211"/>
      <c r="I334" s="211"/>
      <c r="J334" s="305"/>
      <c r="K334" s="305"/>
      <c r="L334" s="211"/>
      <c r="M334" s="211"/>
      <c r="N334" s="211"/>
      <c r="O334" s="211"/>
      <c r="P334" s="211"/>
      <c r="Q334" s="211"/>
      <c r="R334" s="211"/>
      <c r="V334" s="211"/>
      <c r="Y334" s="211"/>
      <c r="Z334" s="305"/>
      <c r="AA334" s="211"/>
      <c r="AB334" s="211"/>
      <c r="AC334" s="211"/>
      <c r="AD334" s="211"/>
      <c r="AE334" s="211"/>
      <c r="AF334" s="211"/>
      <c r="AI334" s="211"/>
      <c r="AJ334" s="211"/>
      <c r="AK334" s="212"/>
      <c r="AL334" s="211"/>
    </row>
    <row r="336" spans="1:40" x14ac:dyDescent="0.25">
      <c r="C336" s="154"/>
      <c r="L336" s="200"/>
      <c r="M336" s="200"/>
      <c r="N336" s="200"/>
      <c r="O336" s="200"/>
      <c r="P336" s="200"/>
      <c r="Q336" s="200"/>
      <c r="R336" s="200"/>
      <c r="S336" s="200"/>
      <c r="T336" s="154"/>
      <c r="AA336" s="200"/>
      <c r="AB336" s="200"/>
      <c r="AC336" s="200"/>
      <c r="AD336" s="200"/>
      <c r="AI336" s="200"/>
      <c r="AJ336" s="200"/>
      <c r="AK336" s="209"/>
      <c r="AL336" s="200"/>
    </row>
    <row r="337" spans="1:40" x14ac:dyDescent="0.25">
      <c r="A337" s="154"/>
    </row>
    <row r="338" spans="1:40" x14ac:dyDescent="0.25">
      <c r="J338" s="202"/>
      <c r="K338" s="202"/>
      <c r="Z338" s="202"/>
    </row>
    <row r="339" spans="1:40" x14ac:dyDescent="0.25">
      <c r="H339" s="154"/>
      <c r="I339" s="154"/>
      <c r="Y339" s="154"/>
    </row>
    <row r="340" spans="1:40" x14ac:dyDescent="0.25">
      <c r="J340" s="202"/>
      <c r="K340" s="202"/>
      <c r="Z340" s="202"/>
    </row>
    <row r="341" spans="1:40" x14ac:dyDescent="0.25">
      <c r="L341" s="154"/>
      <c r="M341" s="154"/>
      <c r="AA341" s="154"/>
      <c r="AB341" s="154"/>
    </row>
    <row r="342" spans="1:40" x14ac:dyDescent="0.25">
      <c r="A342" s="202"/>
      <c r="R342" s="154"/>
      <c r="AK342" s="297"/>
      <c r="AL342" s="154"/>
    </row>
    <row r="343" spans="1:40" x14ac:dyDescent="0.25">
      <c r="A343" s="202"/>
      <c r="R343" s="154"/>
      <c r="AK343" s="297"/>
      <c r="AL343" s="154"/>
    </row>
    <row r="344" spans="1:40" x14ac:dyDescent="0.25">
      <c r="A344" s="154"/>
      <c r="R344" s="154"/>
      <c r="AK344" s="297"/>
      <c r="AL344" s="154"/>
    </row>
    <row r="345" spans="1:40" x14ac:dyDescent="0.25">
      <c r="L345" s="154"/>
      <c r="M345" s="154"/>
      <c r="R345" s="202"/>
      <c r="AA345" s="154"/>
      <c r="AB345" s="154"/>
      <c r="AK345" s="209"/>
      <c r="AL345" s="202"/>
    </row>
    <row r="346" spans="1:40" x14ac:dyDescent="0.25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208"/>
      <c r="AH346" s="102"/>
      <c r="AI346" s="102"/>
      <c r="AJ346" s="102"/>
      <c r="AK346" s="208"/>
      <c r="AL346" s="102"/>
      <c r="AM346" s="102"/>
      <c r="AN346" s="102"/>
    </row>
    <row r="347" spans="1:40" x14ac:dyDescent="0.25">
      <c r="L347" s="103"/>
      <c r="M347" s="103"/>
      <c r="N347" s="103"/>
      <c r="O347" s="103"/>
      <c r="R347" s="103"/>
      <c r="AA347" s="103"/>
      <c r="AB347" s="103"/>
      <c r="AC347" s="103"/>
      <c r="AD347" s="103"/>
      <c r="AE347" s="103"/>
      <c r="AF347" s="103"/>
      <c r="AG347" s="185"/>
      <c r="AH347" s="103"/>
      <c r="AK347" s="185"/>
      <c r="AL347" s="103"/>
      <c r="AM347" s="103"/>
      <c r="AN347" s="103"/>
    </row>
    <row r="348" spans="1:40" x14ac:dyDescent="0.25">
      <c r="L348" s="103"/>
      <c r="M348" s="103"/>
      <c r="N348" s="103"/>
      <c r="O348" s="103"/>
      <c r="R348" s="103"/>
      <c r="Z348" s="103"/>
      <c r="AA348" s="103"/>
      <c r="AB348" s="103"/>
      <c r="AC348" s="103"/>
      <c r="AD348" s="103"/>
      <c r="AE348" s="103"/>
      <c r="AF348" s="103"/>
      <c r="AG348" s="185"/>
      <c r="AH348" s="103"/>
      <c r="AK348" s="185"/>
      <c r="AL348" s="103"/>
      <c r="AM348" s="103"/>
      <c r="AN348" s="103"/>
    </row>
    <row r="349" spans="1:40" x14ac:dyDescent="0.25">
      <c r="A349" s="103"/>
      <c r="C349" s="103"/>
      <c r="D349" s="103"/>
      <c r="E349" s="103"/>
      <c r="F349" s="103"/>
      <c r="J349" s="103"/>
      <c r="K349" s="103"/>
      <c r="L349" s="103"/>
      <c r="M349" s="103"/>
      <c r="N349" s="103"/>
      <c r="O349" s="103"/>
      <c r="P349" s="103"/>
      <c r="Q349" s="103"/>
      <c r="R349" s="103"/>
      <c r="T349" s="103"/>
      <c r="U349" s="103"/>
      <c r="V349" s="103"/>
      <c r="Z349" s="103"/>
      <c r="AA349" s="103"/>
      <c r="AB349" s="103"/>
      <c r="AC349" s="103"/>
      <c r="AD349" s="103"/>
      <c r="AE349" s="103"/>
      <c r="AF349" s="103"/>
      <c r="AG349" s="185"/>
      <c r="AH349" s="103"/>
      <c r="AI349" s="103"/>
      <c r="AJ349" s="103"/>
      <c r="AK349" s="185"/>
      <c r="AL349" s="103"/>
      <c r="AM349" s="103"/>
      <c r="AN349" s="103"/>
    </row>
    <row r="350" spans="1:40" x14ac:dyDescent="0.25">
      <c r="A350" s="103"/>
      <c r="C350" s="103"/>
      <c r="D350" s="103"/>
      <c r="E350" s="103"/>
      <c r="F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T350" s="103"/>
      <c r="U350" s="103"/>
      <c r="V350" s="103"/>
      <c r="Y350" s="103"/>
      <c r="Z350" s="103"/>
      <c r="AA350" s="103"/>
      <c r="AB350" s="103"/>
      <c r="AC350" s="103"/>
      <c r="AD350" s="103"/>
      <c r="AE350" s="103"/>
      <c r="AF350" s="103"/>
      <c r="AG350" s="185"/>
      <c r="AH350" s="103"/>
      <c r="AI350" s="103"/>
      <c r="AJ350" s="103"/>
      <c r="AK350" s="185"/>
      <c r="AL350" s="103"/>
      <c r="AM350" s="103"/>
      <c r="AN350" s="103"/>
    </row>
    <row r="351" spans="1:40" x14ac:dyDescent="0.25">
      <c r="C351" s="103"/>
      <c r="D351" s="103"/>
      <c r="E351" s="103"/>
      <c r="F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T351" s="103"/>
      <c r="U351" s="103"/>
      <c r="V351" s="103"/>
      <c r="Y351" s="103"/>
      <c r="Z351" s="103"/>
      <c r="AA351" s="103"/>
      <c r="AB351" s="103"/>
      <c r="AC351" s="103"/>
      <c r="AD351" s="103"/>
      <c r="AE351" s="103"/>
      <c r="AF351" s="103"/>
      <c r="AG351" s="185"/>
      <c r="AH351" s="103"/>
      <c r="AI351" s="103"/>
      <c r="AJ351" s="103"/>
      <c r="AK351" s="185"/>
      <c r="AL351" s="103"/>
      <c r="AM351" s="103"/>
      <c r="AN351" s="103"/>
    </row>
    <row r="352" spans="1:40" x14ac:dyDescent="0.25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208"/>
      <c r="AH352" s="102"/>
      <c r="AI352" s="102"/>
      <c r="AJ352" s="102"/>
      <c r="AK352" s="208"/>
      <c r="AL352" s="102"/>
      <c r="AM352" s="102"/>
      <c r="AN352" s="102"/>
    </row>
    <row r="353" spans="1:40" x14ac:dyDescent="0.25"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Y353" s="103"/>
      <c r="Z353" s="103"/>
      <c r="AA353" s="103"/>
      <c r="AB353" s="103"/>
      <c r="AC353" s="103"/>
      <c r="AD353" s="103"/>
      <c r="AE353" s="103"/>
      <c r="AF353" s="103"/>
      <c r="AG353" s="185"/>
      <c r="AH353" s="103"/>
      <c r="AI353" s="103"/>
      <c r="AJ353" s="103"/>
      <c r="AK353" s="185"/>
      <c r="AL353" s="103"/>
      <c r="AM353" s="103"/>
      <c r="AN353" s="103"/>
    </row>
    <row r="354" spans="1:40" x14ac:dyDescent="0.25">
      <c r="A354" s="202"/>
      <c r="C354" s="154"/>
      <c r="D354" s="154"/>
      <c r="E354" s="154"/>
      <c r="T354" s="154"/>
      <c r="U354" s="154"/>
    </row>
    <row r="355" spans="1:40" x14ac:dyDescent="0.25">
      <c r="D355" s="154"/>
      <c r="E355" s="154"/>
      <c r="U355" s="154"/>
    </row>
    <row r="357" spans="1:40" x14ac:dyDescent="0.25">
      <c r="A357" s="202"/>
      <c r="C357" s="154"/>
      <c r="T357" s="154"/>
    </row>
    <row r="358" spans="1:40" x14ac:dyDescent="0.25">
      <c r="A358" s="202"/>
      <c r="C358" s="154"/>
      <c r="F358" s="252"/>
      <c r="H358" s="252"/>
      <c r="I358" s="252"/>
      <c r="J358" s="329"/>
      <c r="K358" s="329"/>
      <c r="L358" s="200"/>
      <c r="M358" s="200"/>
      <c r="N358" s="210"/>
      <c r="O358" s="210"/>
      <c r="P358" s="200"/>
      <c r="Q358" s="200"/>
      <c r="R358" s="200"/>
      <c r="T358" s="154"/>
      <c r="V358" s="252"/>
      <c r="W358" s="200"/>
      <c r="X358" s="200"/>
      <c r="Y358" s="252"/>
      <c r="Z358" s="329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A359" s="202"/>
      <c r="C359" s="154"/>
      <c r="F359" s="200"/>
      <c r="H359" s="200"/>
      <c r="I359" s="200"/>
      <c r="J359" s="305"/>
      <c r="K359" s="305"/>
      <c r="L359" s="200"/>
      <c r="M359" s="200"/>
      <c r="N359" s="210"/>
      <c r="O359" s="210"/>
      <c r="P359" s="200"/>
      <c r="Q359" s="200"/>
      <c r="R359" s="200"/>
      <c r="T359" s="154"/>
      <c r="V359" s="252"/>
      <c r="W359" s="200"/>
      <c r="X359" s="200"/>
      <c r="Y359" s="252"/>
      <c r="Z359" s="305"/>
      <c r="AA359" s="200"/>
      <c r="AB359" s="200"/>
      <c r="AC359" s="210"/>
      <c r="AD359" s="210"/>
      <c r="AE359" s="200"/>
      <c r="AF359" s="200"/>
      <c r="AG359" s="209"/>
      <c r="AH359" s="201"/>
      <c r="AI359" s="200"/>
      <c r="AJ359" s="200"/>
      <c r="AK359" s="209"/>
      <c r="AL359" s="200"/>
      <c r="AM359" s="210"/>
      <c r="AN359" s="210"/>
    </row>
    <row r="360" spans="1:40" x14ac:dyDescent="0.25">
      <c r="A360" s="202"/>
      <c r="C360" s="154"/>
      <c r="F360" s="252"/>
      <c r="H360" s="252"/>
      <c r="I360" s="252"/>
      <c r="J360" s="329"/>
      <c r="K360" s="329"/>
      <c r="L360" s="200"/>
      <c r="M360" s="200"/>
      <c r="N360" s="210"/>
      <c r="O360" s="210"/>
      <c r="P360" s="200"/>
      <c r="Q360" s="200"/>
      <c r="R360" s="200"/>
      <c r="T360" s="154"/>
      <c r="V360" s="252"/>
      <c r="W360" s="200"/>
      <c r="X360" s="200"/>
      <c r="Y360" s="252"/>
      <c r="Z360" s="329"/>
      <c r="AA360" s="200"/>
      <c r="AB360" s="200"/>
      <c r="AC360" s="210"/>
      <c r="AD360" s="210"/>
      <c r="AE360" s="200"/>
      <c r="AF360" s="200"/>
      <c r="AG360" s="209"/>
      <c r="AH360" s="201"/>
      <c r="AI360" s="200"/>
      <c r="AJ360" s="200"/>
      <c r="AK360" s="209"/>
      <c r="AL360" s="200"/>
      <c r="AM360" s="210"/>
      <c r="AN360" s="210"/>
    </row>
    <row r="361" spans="1:40" x14ac:dyDescent="0.25">
      <c r="A361" s="202"/>
      <c r="C361" s="154"/>
      <c r="F361" s="252"/>
      <c r="H361" s="252"/>
      <c r="I361" s="252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52"/>
      <c r="W361" s="200"/>
      <c r="X361" s="200"/>
      <c r="Y361" s="252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52"/>
      <c r="W362" s="200"/>
      <c r="X362" s="200"/>
      <c r="Y362" s="252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00"/>
      <c r="H363" s="200"/>
      <c r="I363" s="200"/>
      <c r="J363" s="329"/>
      <c r="K363" s="329"/>
      <c r="L363" s="200"/>
      <c r="M363" s="200"/>
      <c r="N363" s="210"/>
      <c r="O363" s="210"/>
      <c r="P363" s="200"/>
      <c r="Q363" s="200"/>
      <c r="R363" s="200"/>
      <c r="T363" s="154"/>
      <c r="V363" s="252"/>
      <c r="W363" s="200"/>
      <c r="X363" s="200"/>
      <c r="Y363" s="252"/>
      <c r="Z363" s="329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A364" s="202"/>
      <c r="C364" s="154"/>
      <c r="F364" s="200"/>
      <c r="H364" s="200"/>
      <c r="I364" s="200"/>
      <c r="J364" s="329"/>
      <c r="K364" s="329"/>
      <c r="L364" s="200"/>
      <c r="M364" s="200"/>
      <c r="N364" s="210"/>
      <c r="O364" s="210"/>
      <c r="P364" s="200"/>
      <c r="Q364" s="200"/>
      <c r="R364" s="200"/>
      <c r="T364" s="154"/>
      <c r="V364" s="252"/>
      <c r="W364" s="200"/>
      <c r="X364" s="200"/>
      <c r="Y364" s="252"/>
      <c r="Z364" s="329"/>
      <c r="AA364" s="200"/>
      <c r="AB364" s="200"/>
      <c r="AC364" s="210"/>
      <c r="AD364" s="210"/>
      <c r="AE364" s="200"/>
      <c r="AF364" s="200"/>
      <c r="AG364" s="209"/>
      <c r="AH364" s="201"/>
      <c r="AI364" s="200"/>
      <c r="AJ364" s="200"/>
      <c r="AK364" s="209"/>
      <c r="AL364" s="200"/>
      <c r="AM364" s="210"/>
      <c r="AN364" s="210"/>
    </row>
    <row r="365" spans="1:40" x14ac:dyDescent="0.25">
      <c r="F365" s="331"/>
      <c r="H365" s="332"/>
      <c r="I365" s="332"/>
      <c r="J365" s="329"/>
      <c r="K365" s="329"/>
      <c r="L365" s="331"/>
      <c r="M365" s="331"/>
      <c r="N365" s="211"/>
      <c r="O365" s="211"/>
      <c r="P365" s="331"/>
      <c r="Q365" s="331"/>
      <c r="R365" s="331"/>
      <c r="V365" s="331"/>
      <c r="W365" s="200"/>
      <c r="X365" s="200"/>
      <c r="Y365" s="331"/>
      <c r="Z365" s="329"/>
      <c r="AA365" s="331"/>
      <c r="AB365" s="331"/>
      <c r="AC365" s="333"/>
      <c r="AD365" s="333"/>
      <c r="AE365" s="331"/>
      <c r="AF365" s="331"/>
      <c r="AG365" s="209"/>
      <c r="AH365" s="201"/>
      <c r="AI365" s="331"/>
      <c r="AJ365" s="331"/>
      <c r="AK365" s="208"/>
      <c r="AL365" s="331"/>
      <c r="AM365" s="210"/>
      <c r="AN365" s="210"/>
    </row>
    <row r="366" spans="1:40" x14ac:dyDescent="0.25">
      <c r="A366" s="202"/>
      <c r="C366" s="154"/>
      <c r="F366" s="200"/>
      <c r="H366" s="200"/>
      <c r="I366" s="200"/>
      <c r="J366" s="329"/>
      <c r="K366" s="329"/>
      <c r="L366" s="200"/>
      <c r="M366" s="200"/>
      <c r="N366" s="201"/>
      <c r="O366" s="201"/>
      <c r="P366" s="200"/>
      <c r="Q366" s="200"/>
      <c r="R366" s="200"/>
      <c r="T366" s="103"/>
      <c r="V366" s="200"/>
      <c r="W366" s="200"/>
      <c r="X366" s="200"/>
      <c r="Y366" s="200"/>
      <c r="Z366" s="329"/>
      <c r="AA366" s="200"/>
      <c r="AB366" s="200"/>
      <c r="AC366" s="201"/>
      <c r="AD366" s="201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F367" s="102"/>
      <c r="H367" s="102"/>
      <c r="I367" s="102"/>
      <c r="L367" s="102"/>
      <c r="M367" s="102"/>
      <c r="N367" s="333"/>
      <c r="O367" s="333"/>
      <c r="P367" s="331"/>
      <c r="Q367" s="331"/>
      <c r="R367" s="331"/>
      <c r="V367" s="331"/>
      <c r="Y367" s="331"/>
      <c r="Z367" s="305"/>
      <c r="AA367" s="331"/>
      <c r="AB367" s="331"/>
      <c r="AC367" s="331"/>
      <c r="AD367" s="331"/>
      <c r="AE367" s="331"/>
      <c r="AF367" s="331"/>
      <c r="AI367" s="331"/>
      <c r="AJ367" s="331"/>
      <c r="AK367" s="208"/>
      <c r="AL367" s="331"/>
      <c r="AM367" s="333"/>
      <c r="AN367" s="333"/>
    </row>
    <row r="368" spans="1:40" x14ac:dyDescent="0.25">
      <c r="AI368" s="202"/>
      <c r="AJ368" s="202"/>
    </row>
    <row r="372" spans="1:40" x14ac:dyDescent="0.25">
      <c r="N372" s="200"/>
      <c r="O372" s="200"/>
      <c r="P372" s="200"/>
      <c r="Q372" s="200"/>
      <c r="R372" s="200"/>
      <c r="V372" s="200"/>
      <c r="Y372" s="200"/>
      <c r="Z372" s="213"/>
      <c r="AA372" s="200"/>
      <c r="AB372" s="200"/>
      <c r="AC372" s="210"/>
      <c r="AD372" s="210"/>
      <c r="AE372" s="200"/>
      <c r="AF372" s="200"/>
      <c r="AG372" s="209"/>
      <c r="AH372" s="201"/>
      <c r="AI372" s="200"/>
      <c r="AJ372" s="200"/>
      <c r="AK372" s="209"/>
      <c r="AL372" s="200"/>
      <c r="AM372" s="210"/>
      <c r="AN372" s="210"/>
    </row>
    <row r="373" spans="1:40" x14ac:dyDescent="0.25">
      <c r="A373" s="202"/>
      <c r="C373" s="154"/>
      <c r="D373" s="154"/>
      <c r="E373" s="154"/>
      <c r="J373" s="334"/>
      <c r="K373" s="334"/>
      <c r="T373" s="154"/>
      <c r="U373" s="154"/>
      <c r="Z373" s="334"/>
      <c r="AE373" s="200"/>
      <c r="AF373" s="200"/>
      <c r="AI373" s="200"/>
      <c r="AJ373" s="200"/>
      <c r="AK373" s="209"/>
      <c r="AL373" s="200"/>
      <c r="AM373" s="210"/>
      <c r="AN373" s="210"/>
    </row>
    <row r="374" spans="1:40" x14ac:dyDescent="0.25">
      <c r="D374" s="154"/>
      <c r="E374" s="154"/>
      <c r="F374" s="200"/>
      <c r="H374" s="200"/>
      <c r="I374" s="200"/>
      <c r="J374" s="329"/>
      <c r="K374" s="329"/>
      <c r="L374" s="200"/>
      <c r="M374" s="200"/>
      <c r="N374" s="210"/>
      <c r="O374" s="210"/>
      <c r="P374" s="200"/>
      <c r="Q374" s="200"/>
      <c r="R374" s="200"/>
      <c r="U374" s="154"/>
      <c r="V374" s="200"/>
      <c r="Y374" s="200"/>
      <c r="Z374" s="329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F375" s="200"/>
      <c r="H375" s="200"/>
      <c r="I375" s="200"/>
      <c r="J375" s="305"/>
      <c r="K375" s="305"/>
      <c r="L375" s="200"/>
      <c r="M375" s="200"/>
      <c r="N375" s="200"/>
      <c r="O375" s="200"/>
      <c r="P375" s="200"/>
      <c r="Q375" s="200"/>
      <c r="R375" s="200"/>
      <c r="V375" s="200"/>
      <c r="Y375" s="200"/>
      <c r="Z375" s="305"/>
      <c r="AA375" s="200"/>
      <c r="AB375" s="200"/>
      <c r="AC375" s="200"/>
      <c r="AD375" s="200"/>
      <c r="AE375" s="200"/>
      <c r="AF375" s="200"/>
      <c r="AG375" s="209"/>
      <c r="AH375" s="201"/>
      <c r="AI375" s="252"/>
      <c r="AJ375" s="252"/>
      <c r="AK375" s="209"/>
      <c r="AL375" s="200"/>
      <c r="AM375" s="210"/>
      <c r="AN375" s="210"/>
    </row>
    <row r="376" spans="1:40" x14ac:dyDescent="0.25">
      <c r="A376" s="202"/>
      <c r="C376" s="154"/>
      <c r="F376" s="252"/>
      <c r="H376" s="252"/>
      <c r="I376" s="252"/>
      <c r="J376" s="304"/>
      <c r="K376" s="304"/>
      <c r="L376" s="200"/>
      <c r="M376" s="200"/>
      <c r="N376" s="210"/>
      <c r="O376" s="210"/>
      <c r="P376" s="200"/>
      <c r="Q376" s="200"/>
      <c r="R376" s="200"/>
      <c r="T376" s="154"/>
      <c r="V376" s="252"/>
      <c r="Y376" s="252"/>
      <c r="Z376" s="304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F377" s="102"/>
      <c r="H377" s="102"/>
      <c r="I377" s="102"/>
      <c r="L377" s="102"/>
      <c r="M377" s="102"/>
      <c r="N377" s="102"/>
      <c r="O377" s="102"/>
      <c r="P377" s="102"/>
      <c r="Q377" s="102"/>
      <c r="R377" s="102"/>
      <c r="V377" s="102"/>
      <c r="Y377" s="102"/>
      <c r="AA377" s="102"/>
      <c r="AB377" s="102"/>
      <c r="AC377" s="102"/>
      <c r="AD377" s="102"/>
      <c r="AE377" s="102"/>
      <c r="AF377" s="102"/>
      <c r="AG377" s="208"/>
      <c r="AH377" s="102"/>
      <c r="AI377" s="102"/>
      <c r="AJ377" s="102"/>
      <c r="AK377" s="208"/>
      <c r="AL377" s="102"/>
      <c r="AM377" s="102"/>
      <c r="AN377" s="102"/>
    </row>
    <row r="378" spans="1:40" x14ac:dyDescent="0.25">
      <c r="A378" s="202"/>
      <c r="C378" s="103"/>
      <c r="F378" s="252"/>
      <c r="H378" s="252"/>
      <c r="I378" s="252"/>
      <c r="J378" s="300"/>
      <c r="K378" s="300"/>
      <c r="L378" s="252"/>
      <c r="M378" s="252"/>
      <c r="N378" s="210"/>
      <c r="O378" s="210"/>
      <c r="P378" s="252"/>
      <c r="Q378" s="252"/>
      <c r="R378" s="252"/>
      <c r="T378" s="103"/>
      <c r="V378" s="200"/>
      <c r="Y378" s="200"/>
      <c r="Z378" s="213"/>
      <c r="AA378" s="200"/>
      <c r="AB378" s="200"/>
      <c r="AC378" s="210"/>
      <c r="AD378" s="210"/>
      <c r="AE378" s="202"/>
      <c r="AF378" s="202"/>
      <c r="AG378" s="209"/>
      <c r="AH378" s="201"/>
      <c r="AI378" s="200"/>
      <c r="AJ378" s="200"/>
      <c r="AK378" s="209"/>
      <c r="AL378" s="200"/>
      <c r="AM378" s="210"/>
      <c r="AN378" s="210"/>
    </row>
    <row r="379" spans="1:40" x14ac:dyDescent="0.25">
      <c r="F379" s="331"/>
      <c r="H379" s="331"/>
      <c r="I379" s="331"/>
      <c r="J379" s="305"/>
      <c r="K379" s="305"/>
      <c r="L379" s="331"/>
      <c r="M379" s="331"/>
      <c r="N379" s="331"/>
      <c r="O379" s="331"/>
      <c r="P379" s="331"/>
      <c r="Q379" s="331"/>
      <c r="R379" s="331"/>
      <c r="V379" s="102"/>
      <c r="Y379" s="102"/>
      <c r="AA379" s="102"/>
      <c r="AB379" s="102"/>
      <c r="AC379" s="102"/>
      <c r="AD379" s="102"/>
      <c r="AE379" s="102"/>
      <c r="AF379" s="102"/>
      <c r="AG379" s="208"/>
      <c r="AH379" s="102"/>
      <c r="AI379" s="102"/>
      <c r="AJ379" s="102"/>
      <c r="AK379" s="208"/>
      <c r="AL379" s="102"/>
      <c r="AM379" s="102"/>
      <c r="AN379" s="102"/>
    </row>
    <row r="380" spans="1:40" x14ac:dyDescent="0.25">
      <c r="F380" s="252"/>
      <c r="H380" s="252"/>
      <c r="I380" s="252"/>
      <c r="J380" s="328"/>
      <c r="K380" s="328"/>
      <c r="L380" s="200"/>
      <c r="M380" s="200"/>
      <c r="N380" s="210"/>
      <c r="O380" s="210"/>
      <c r="P380" s="200"/>
      <c r="Q380" s="200"/>
      <c r="R380" s="200"/>
    </row>
    <row r="381" spans="1:40" x14ac:dyDescent="0.25">
      <c r="A381" s="154"/>
      <c r="F381" s="252"/>
      <c r="H381" s="252"/>
      <c r="I381" s="252"/>
      <c r="J381" s="300"/>
      <c r="K381" s="300"/>
      <c r="L381" s="200"/>
      <c r="M381" s="200"/>
      <c r="N381" s="210"/>
      <c r="O381" s="210"/>
      <c r="P381" s="200"/>
      <c r="Q381" s="200"/>
      <c r="R381" s="200"/>
    </row>
    <row r="382" spans="1:40" x14ac:dyDescent="0.25">
      <c r="F382" s="252"/>
      <c r="H382" s="252"/>
      <c r="I382" s="252"/>
      <c r="J382" s="300"/>
      <c r="K382" s="300"/>
      <c r="L382" s="200"/>
      <c r="M382" s="200"/>
      <c r="N382" s="210"/>
      <c r="O382" s="210"/>
      <c r="P382" s="200"/>
      <c r="Q382" s="200"/>
      <c r="R382" s="200"/>
    </row>
    <row r="383" spans="1:40" x14ac:dyDescent="0.25">
      <c r="A383" s="154"/>
    </row>
    <row r="385" spans="1:40" x14ac:dyDescent="0.25">
      <c r="J385" s="202"/>
      <c r="K385" s="202"/>
      <c r="Z385" s="202"/>
    </row>
    <row r="386" spans="1:40" x14ac:dyDescent="0.25">
      <c r="H386" s="154"/>
      <c r="I386" s="154"/>
      <c r="Y386" s="154"/>
    </row>
    <row r="387" spans="1:40" x14ac:dyDescent="0.25">
      <c r="J387" s="202"/>
      <c r="K387" s="202"/>
      <c r="Z387" s="202"/>
    </row>
    <row r="388" spans="1:40" x14ac:dyDescent="0.25">
      <c r="L388" s="154"/>
      <c r="M388" s="154"/>
      <c r="AA388" s="154"/>
      <c r="AB388" s="154"/>
    </row>
    <row r="389" spans="1:40" x14ac:dyDescent="0.25">
      <c r="A389" s="202"/>
      <c r="R389" s="154"/>
      <c r="AK389" s="297"/>
      <c r="AL389" s="154"/>
    </row>
    <row r="390" spans="1:40" x14ac:dyDescent="0.25">
      <c r="A390" s="202"/>
      <c r="R390" s="154"/>
      <c r="AK390" s="297"/>
      <c r="AL390" s="154"/>
    </row>
    <row r="391" spans="1:40" x14ac:dyDescent="0.25">
      <c r="A391" s="154"/>
      <c r="R391" s="154"/>
      <c r="AK391" s="297"/>
      <c r="AL391" s="154"/>
    </row>
    <row r="392" spans="1:40" x14ac:dyDescent="0.25">
      <c r="L392" s="154"/>
      <c r="M392" s="154"/>
      <c r="R392" s="202"/>
      <c r="AA392" s="154"/>
      <c r="AB392" s="154"/>
      <c r="AK392" s="209"/>
      <c r="AL392" s="202"/>
    </row>
    <row r="393" spans="1:40" x14ac:dyDescent="0.25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208"/>
      <c r="AH393" s="102"/>
      <c r="AI393" s="102"/>
      <c r="AJ393" s="102"/>
      <c r="AK393" s="208"/>
      <c r="AL393" s="102"/>
      <c r="AM393" s="102"/>
      <c r="AN393" s="102"/>
    </row>
    <row r="394" spans="1:40" x14ac:dyDescent="0.25">
      <c r="L394" s="103"/>
      <c r="M394" s="103"/>
      <c r="N394" s="103"/>
      <c r="O394" s="103"/>
      <c r="R394" s="103"/>
      <c r="AA394" s="103"/>
      <c r="AB394" s="103"/>
      <c r="AC394" s="103"/>
      <c r="AD394" s="103"/>
      <c r="AE394" s="103"/>
      <c r="AF394" s="103"/>
      <c r="AG394" s="185"/>
      <c r="AH394" s="103"/>
      <c r="AK394" s="185"/>
      <c r="AL394" s="103"/>
      <c r="AM394" s="103"/>
      <c r="AN394" s="103"/>
    </row>
    <row r="395" spans="1:40" x14ac:dyDescent="0.25">
      <c r="L395" s="103"/>
      <c r="M395" s="103"/>
      <c r="N395" s="103"/>
      <c r="O395" s="103"/>
      <c r="R395" s="103"/>
      <c r="Z395" s="103"/>
      <c r="AA395" s="103"/>
      <c r="AB395" s="103"/>
      <c r="AC395" s="103"/>
      <c r="AD395" s="103"/>
      <c r="AE395" s="103"/>
      <c r="AF395" s="103"/>
      <c r="AG395" s="185"/>
      <c r="AH395" s="103"/>
      <c r="AK395" s="185"/>
      <c r="AL395" s="103"/>
      <c r="AM395" s="103"/>
      <c r="AN395" s="103"/>
    </row>
    <row r="396" spans="1:40" x14ac:dyDescent="0.25">
      <c r="A396" s="103"/>
      <c r="C396" s="103"/>
      <c r="D396" s="103"/>
      <c r="E396" s="103"/>
      <c r="F396" s="103"/>
      <c r="J396" s="103"/>
      <c r="K396" s="103"/>
      <c r="L396" s="103"/>
      <c r="M396" s="103"/>
      <c r="N396" s="103"/>
      <c r="O396" s="103"/>
      <c r="P396" s="103"/>
      <c r="Q396" s="103"/>
      <c r="R396" s="103"/>
      <c r="T396" s="103"/>
      <c r="U396" s="103"/>
      <c r="V396" s="103"/>
      <c r="Z396" s="103"/>
      <c r="AA396" s="103"/>
      <c r="AB396" s="103"/>
      <c r="AC396" s="103"/>
      <c r="AD396" s="103"/>
      <c r="AE396" s="103"/>
      <c r="AF396" s="103"/>
      <c r="AG396" s="185"/>
      <c r="AH396" s="103"/>
      <c r="AI396" s="103"/>
      <c r="AJ396" s="103"/>
      <c r="AK396" s="185"/>
      <c r="AL396" s="103"/>
      <c r="AM396" s="103"/>
      <c r="AN396" s="103"/>
    </row>
    <row r="397" spans="1:40" x14ac:dyDescent="0.25">
      <c r="A397" s="103"/>
      <c r="C397" s="103"/>
      <c r="D397" s="103"/>
      <c r="E397" s="103"/>
      <c r="F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T397" s="103"/>
      <c r="U397" s="103"/>
      <c r="V397" s="103"/>
      <c r="Y397" s="103"/>
      <c r="Z397" s="103"/>
      <c r="AA397" s="103"/>
      <c r="AB397" s="103"/>
      <c r="AC397" s="103"/>
      <c r="AD397" s="103"/>
      <c r="AE397" s="103"/>
      <c r="AF397" s="103"/>
      <c r="AG397" s="185"/>
      <c r="AH397" s="103"/>
      <c r="AI397" s="103"/>
      <c r="AJ397" s="103"/>
      <c r="AK397" s="185"/>
      <c r="AL397" s="103"/>
      <c r="AM397" s="103"/>
      <c r="AN397" s="103"/>
    </row>
    <row r="398" spans="1:40" x14ac:dyDescent="0.25">
      <c r="C398" s="103"/>
      <c r="D398" s="103"/>
      <c r="E398" s="103"/>
      <c r="F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T398" s="103"/>
      <c r="U398" s="103"/>
      <c r="V398" s="103"/>
      <c r="Y398" s="103"/>
      <c r="Z398" s="103"/>
      <c r="AA398" s="103"/>
      <c r="AB398" s="103"/>
      <c r="AC398" s="103"/>
      <c r="AD398" s="103"/>
      <c r="AE398" s="103"/>
      <c r="AF398" s="103"/>
      <c r="AG398" s="185"/>
      <c r="AH398" s="103"/>
      <c r="AI398" s="103"/>
      <c r="AJ398" s="103"/>
      <c r="AK398" s="185"/>
      <c r="AL398" s="103"/>
      <c r="AM398" s="103"/>
      <c r="AN398" s="103"/>
    </row>
    <row r="399" spans="1:40" x14ac:dyDescent="0.25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208"/>
      <c r="AH399" s="102"/>
      <c r="AI399" s="102"/>
      <c r="AJ399" s="102"/>
      <c r="AK399" s="208"/>
      <c r="AL399" s="102"/>
      <c r="AM399" s="102"/>
      <c r="AN399" s="102"/>
    </row>
    <row r="400" spans="1:40" x14ac:dyDescent="0.25"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Y400" s="103"/>
      <c r="Z400" s="103"/>
      <c r="AA400" s="103"/>
      <c r="AB400" s="103"/>
      <c r="AC400" s="103"/>
      <c r="AD400" s="103"/>
      <c r="AE400" s="103"/>
      <c r="AF400" s="103"/>
      <c r="AG400" s="185"/>
      <c r="AH400" s="103"/>
      <c r="AI400" s="103"/>
      <c r="AJ400" s="103"/>
      <c r="AK400" s="185"/>
      <c r="AL400" s="103"/>
      <c r="AM400" s="103"/>
      <c r="AN400" s="103"/>
    </row>
    <row r="401" spans="1:40" x14ac:dyDescent="0.25">
      <c r="A401" s="202"/>
      <c r="C401" s="154"/>
      <c r="D401" s="154"/>
      <c r="E401" s="154"/>
      <c r="T401" s="154"/>
      <c r="U401" s="154"/>
    </row>
    <row r="403" spans="1:40" x14ac:dyDescent="0.25">
      <c r="A403" s="202"/>
      <c r="C403" s="154"/>
      <c r="T403" s="154"/>
    </row>
    <row r="404" spans="1:40" x14ac:dyDescent="0.25">
      <c r="A404" s="202"/>
      <c r="C404" s="154"/>
      <c r="F404" s="252"/>
      <c r="H404" s="252"/>
      <c r="I404" s="252"/>
      <c r="J404" s="305"/>
      <c r="K404" s="305"/>
      <c r="L404" s="200"/>
      <c r="M404" s="200"/>
      <c r="N404" s="210"/>
      <c r="O404" s="210"/>
      <c r="P404" s="200"/>
      <c r="Q404" s="200"/>
      <c r="R404" s="200"/>
      <c r="T404" s="154"/>
      <c r="V404" s="252"/>
      <c r="Y404" s="252"/>
      <c r="Z404" s="305"/>
      <c r="AA404" s="200"/>
      <c r="AB404" s="200"/>
      <c r="AC404" s="210"/>
      <c r="AD404" s="210"/>
      <c r="AE404" s="200"/>
      <c r="AF404" s="200"/>
      <c r="AG404" s="209"/>
      <c r="AH404" s="201"/>
      <c r="AI404" s="200"/>
      <c r="AJ404" s="200"/>
      <c r="AK404" s="209"/>
      <c r="AL404" s="200"/>
      <c r="AM404" s="210"/>
      <c r="AN404" s="210"/>
    </row>
    <row r="405" spans="1:40" x14ac:dyDescent="0.25">
      <c r="A405" s="202"/>
      <c r="C405" s="154"/>
      <c r="T405" s="154"/>
    </row>
    <row r="406" spans="1:40" x14ac:dyDescent="0.25">
      <c r="A406" s="202"/>
      <c r="C406" s="154"/>
      <c r="F406" s="252"/>
      <c r="H406" s="252"/>
      <c r="I406" s="252"/>
      <c r="J406" s="329"/>
      <c r="K406" s="329"/>
      <c r="L406" s="200"/>
      <c r="M406" s="200"/>
      <c r="N406" s="210"/>
      <c r="O406" s="210"/>
      <c r="P406" s="200"/>
      <c r="Q406" s="200"/>
      <c r="R406" s="200"/>
      <c r="T406" s="154"/>
      <c r="V406" s="200"/>
      <c r="Y406" s="200"/>
      <c r="Z406" s="329"/>
      <c r="AA406" s="200"/>
      <c r="AB406" s="200"/>
      <c r="AC406" s="210"/>
      <c r="AD406" s="210"/>
      <c r="AE406" s="200"/>
      <c r="AF406" s="200"/>
      <c r="AG406" s="209"/>
      <c r="AH406" s="201"/>
      <c r="AI406" s="200"/>
      <c r="AJ406" s="200"/>
      <c r="AK406" s="209"/>
      <c r="AL406" s="200"/>
      <c r="AM406" s="210"/>
      <c r="AN406" s="210"/>
    </row>
    <row r="407" spans="1:40" x14ac:dyDescent="0.25">
      <c r="A407" s="202"/>
      <c r="C407" s="154"/>
      <c r="F407" s="252"/>
      <c r="H407" s="252"/>
      <c r="I407" s="252"/>
      <c r="J407" s="329"/>
      <c r="K407" s="329"/>
      <c r="L407" s="200"/>
      <c r="M407" s="200"/>
      <c r="N407" s="210"/>
      <c r="O407" s="210"/>
      <c r="P407" s="200"/>
      <c r="Q407" s="200"/>
      <c r="R407" s="200"/>
      <c r="T407" s="154"/>
      <c r="V407" s="200"/>
      <c r="Y407" s="200"/>
      <c r="Z407" s="329"/>
      <c r="AA407" s="200"/>
      <c r="AB407" s="200"/>
      <c r="AC407" s="210"/>
      <c r="AD407" s="210"/>
      <c r="AE407" s="200"/>
      <c r="AF407" s="200"/>
      <c r="AG407" s="209"/>
      <c r="AH407" s="201"/>
      <c r="AI407" s="200"/>
      <c r="AJ407" s="200"/>
      <c r="AK407" s="209"/>
      <c r="AL407" s="200"/>
      <c r="AM407" s="210"/>
      <c r="AN407" s="210"/>
    </row>
    <row r="408" spans="1:40" x14ac:dyDescent="0.25">
      <c r="A408" s="202"/>
      <c r="C408" s="154"/>
      <c r="F408" s="252"/>
      <c r="H408" s="252"/>
      <c r="I408" s="252"/>
      <c r="J408" s="329"/>
      <c r="K408" s="329"/>
      <c r="L408" s="200"/>
      <c r="M408" s="200"/>
      <c r="N408" s="210"/>
      <c r="O408" s="210"/>
      <c r="P408" s="200"/>
      <c r="Q408" s="200"/>
      <c r="R408" s="200"/>
      <c r="T408" s="154"/>
      <c r="V408" s="200"/>
      <c r="Y408" s="200"/>
      <c r="Z408" s="329"/>
      <c r="AA408" s="200"/>
      <c r="AB408" s="200"/>
      <c r="AC408" s="210"/>
      <c r="AD408" s="210"/>
      <c r="AE408" s="200"/>
      <c r="AF408" s="200"/>
      <c r="AG408" s="209"/>
      <c r="AH408" s="201"/>
      <c r="AI408" s="200"/>
      <c r="AJ408" s="200"/>
      <c r="AK408" s="209"/>
      <c r="AL408" s="200"/>
      <c r="AM408" s="210"/>
      <c r="AN408" s="210"/>
    </row>
    <row r="409" spans="1:40" x14ac:dyDescent="0.25">
      <c r="A409" s="202"/>
      <c r="C409" s="154"/>
      <c r="F409" s="252"/>
      <c r="H409" s="252"/>
      <c r="I409" s="252"/>
      <c r="J409" s="329"/>
      <c r="K409" s="329"/>
      <c r="L409" s="200"/>
      <c r="M409" s="200"/>
      <c r="N409" s="210"/>
      <c r="O409" s="210"/>
      <c r="P409" s="200"/>
      <c r="Q409" s="200"/>
      <c r="R409" s="200"/>
      <c r="T409" s="154"/>
      <c r="V409" s="200"/>
      <c r="Y409" s="200"/>
      <c r="Z409" s="329"/>
      <c r="AA409" s="200"/>
      <c r="AB409" s="200"/>
      <c r="AC409" s="210"/>
      <c r="AD409" s="210"/>
      <c r="AE409" s="200"/>
      <c r="AF409" s="200"/>
      <c r="AG409" s="209"/>
      <c r="AH409" s="201"/>
      <c r="AI409" s="200"/>
      <c r="AJ409" s="200"/>
      <c r="AK409" s="209"/>
      <c r="AL409" s="200"/>
      <c r="AM409" s="210"/>
      <c r="AN409" s="210"/>
    </row>
    <row r="410" spans="1:40" x14ac:dyDescent="0.25">
      <c r="A410" s="202"/>
      <c r="C410" s="154"/>
      <c r="J410" s="334"/>
      <c r="K410" s="334"/>
      <c r="T410" s="154"/>
      <c r="Z410" s="334"/>
    </row>
    <row r="411" spans="1:40" x14ac:dyDescent="0.25">
      <c r="A411" s="202"/>
      <c r="C411" s="154"/>
      <c r="F411" s="252"/>
      <c r="H411" s="252"/>
      <c r="I411" s="252"/>
      <c r="J411" s="329"/>
      <c r="K411" s="329"/>
      <c r="L411" s="200"/>
      <c r="M411" s="200"/>
      <c r="N411" s="210"/>
      <c r="O411" s="210"/>
      <c r="P411" s="200"/>
      <c r="Q411" s="200"/>
      <c r="R411" s="200"/>
      <c r="T411" s="154"/>
      <c r="V411" s="200"/>
      <c r="Y411" s="200"/>
      <c r="Z411" s="329"/>
      <c r="AA411" s="200"/>
      <c r="AB411" s="200"/>
      <c r="AC411" s="210"/>
      <c r="AD411" s="210"/>
      <c r="AE411" s="200"/>
      <c r="AF411" s="200"/>
      <c r="AG411" s="209"/>
      <c r="AH411" s="201"/>
      <c r="AI411" s="200"/>
      <c r="AJ411" s="200"/>
      <c r="AK411" s="209"/>
      <c r="AL411" s="200"/>
      <c r="AM411" s="210"/>
      <c r="AN411" s="210"/>
    </row>
    <row r="412" spans="1:40" x14ac:dyDescent="0.25">
      <c r="A412" s="202"/>
      <c r="C412" s="154"/>
      <c r="F412" s="252"/>
      <c r="H412" s="252"/>
      <c r="I412" s="252"/>
      <c r="J412" s="329"/>
      <c r="K412" s="329"/>
      <c r="L412" s="200"/>
      <c r="M412" s="200"/>
      <c r="N412" s="210"/>
      <c r="O412" s="210"/>
      <c r="P412" s="200"/>
      <c r="Q412" s="200"/>
      <c r="R412" s="200"/>
      <c r="T412" s="154"/>
      <c r="V412" s="200"/>
      <c r="Y412" s="200"/>
      <c r="Z412" s="329"/>
      <c r="AA412" s="200"/>
      <c r="AB412" s="200"/>
      <c r="AC412" s="210"/>
      <c r="AD412" s="210"/>
      <c r="AE412" s="200"/>
      <c r="AF412" s="200"/>
      <c r="AG412" s="209"/>
      <c r="AH412" s="201"/>
      <c r="AI412" s="200"/>
      <c r="AJ412" s="200"/>
      <c r="AK412" s="209"/>
      <c r="AL412" s="200"/>
      <c r="AM412" s="210"/>
      <c r="AN412" s="210"/>
    </row>
    <row r="413" spans="1:40" x14ac:dyDescent="0.25">
      <c r="A413" s="202"/>
      <c r="C413" s="154"/>
      <c r="F413" s="252"/>
      <c r="H413" s="252"/>
      <c r="I413" s="252"/>
      <c r="J413" s="329"/>
      <c r="K413" s="329"/>
      <c r="L413" s="200"/>
      <c r="M413" s="200"/>
      <c r="N413" s="210"/>
      <c r="O413" s="210"/>
      <c r="P413" s="200"/>
      <c r="Q413" s="200"/>
      <c r="R413" s="200"/>
      <c r="T413" s="154"/>
      <c r="V413" s="200"/>
      <c r="Y413" s="200"/>
      <c r="Z413" s="329"/>
      <c r="AA413" s="200"/>
      <c r="AB413" s="200"/>
      <c r="AC413" s="210"/>
      <c r="AD413" s="210"/>
      <c r="AE413" s="200"/>
      <c r="AF413" s="200"/>
      <c r="AG413" s="209"/>
      <c r="AH413" s="201"/>
      <c r="AI413" s="200"/>
      <c r="AJ413" s="200"/>
      <c r="AK413" s="209"/>
      <c r="AL413" s="200"/>
      <c r="AM413" s="210"/>
      <c r="AN413" s="210"/>
    </row>
    <row r="414" spans="1:40" x14ac:dyDescent="0.25">
      <c r="A414" s="202"/>
      <c r="C414" s="154"/>
      <c r="J414" s="334"/>
      <c r="K414" s="334"/>
      <c r="T414" s="154"/>
      <c r="Z414" s="334"/>
    </row>
    <row r="415" spans="1:40" x14ac:dyDescent="0.25">
      <c r="A415" s="202"/>
      <c r="C415" s="154"/>
      <c r="F415" s="252"/>
      <c r="H415" s="252"/>
      <c r="I415" s="252"/>
      <c r="J415" s="329"/>
      <c r="K415" s="329"/>
      <c r="L415" s="200"/>
      <c r="M415" s="200"/>
      <c r="N415" s="210"/>
      <c r="O415" s="210"/>
      <c r="P415" s="200"/>
      <c r="Q415" s="200"/>
      <c r="R415" s="200"/>
      <c r="T415" s="154"/>
      <c r="V415" s="200"/>
      <c r="Y415" s="200"/>
      <c r="Z415" s="329"/>
      <c r="AA415" s="200"/>
      <c r="AB415" s="200"/>
      <c r="AC415" s="210"/>
      <c r="AD415" s="210"/>
      <c r="AE415" s="200"/>
      <c r="AF415" s="200"/>
      <c r="AG415" s="209"/>
      <c r="AH415" s="201"/>
      <c r="AI415" s="200"/>
      <c r="AJ415" s="200"/>
      <c r="AK415" s="209"/>
      <c r="AL415" s="200"/>
      <c r="AM415" s="210"/>
      <c r="AN415" s="210"/>
    </row>
    <row r="416" spans="1:40" x14ac:dyDescent="0.25">
      <c r="A416" s="202"/>
      <c r="C416" s="154"/>
      <c r="F416" s="252"/>
      <c r="H416" s="252"/>
      <c r="I416" s="252"/>
      <c r="J416" s="329"/>
      <c r="K416" s="329"/>
      <c r="L416" s="200"/>
      <c r="M416" s="200"/>
      <c r="N416" s="210"/>
      <c r="O416" s="210"/>
      <c r="P416" s="200"/>
      <c r="Q416" s="200"/>
      <c r="R416" s="200"/>
      <c r="T416" s="154"/>
      <c r="V416" s="200"/>
      <c r="Y416" s="200"/>
      <c r="Z416" s="329"/>
      <c r="AA416" s="200"/>
      <c r="AB416" s="200"/>
      <c r="AC416" s="210"/>
      <c r="AD416" s="210"/>
      <c r="AE416" s="200"/>
      <c r="AF416" s="200"/>
      <c r="AG416" s="209"/>
      <c r="AH416" s="201"/>
      <c r="AI416" s="200"/>
      <c r="AJ416" s="200"/>
      <c r="AK416" s="209"/>
      <c r="AL416" s="200"/>
      <c r="AM416" s="210"/>
      <c r="AN416" s="210"/>
    </row>
    <row r="417" spans="1:40" x14ac:dyDescent="0.25">
      <c r="A417" s="202"/>
      <c r="C417" s="154"/>
      <c r="J417" s="334"/>
      <c r="K417" s="334"/>
      <c r="T417" s="154"/>
      <c r="Z417" s="334"/>
    </row>
    <row r="418" spans="1:40" x14ac:dyDescent="0.25">
      <c r="A418" s="202"/>
      <c r="C418" s="154"/>
      <c r="F418" s="252"/>
      <c r="H418" s="252"/>
      <c r="I418" s="252"/>
      <c r="J418" s="329"/>
      <c r="K418" s="329"/>
      <c r="L418" s="200"/>
      <c r="M418" s="200"/>
      <c r="N418" s="210"/>
      <c r="O418" s="210"/>
      <c r="P418" s="200"/>
      <c r="Q418" s="200"/>
      <c r="R418" s="200"/>
      <c r="T418" s="154"/>
      <c r="V418" s="200"/>
      <c r="Y418" s="200"/>
      <c r="Z418" s="329"/>
      <c r="AA418" s="200"/>
      <c r="AB418" s="200"/>
      <c r="AC418" s="210"/>
      <c r="AD418" s="210"/>
      <c r="AE418" s="200"/>
      <c r="AF418" s="200"/>
      <c r="AG418" s="209"/>
      <c r="AH418" s="201"/>
      <c r="AI418" s="200"/>
      <c r="AJ418" s="200"/>
      <c r="AK418" s="209"/>
      <c r="AL418" s="200"/>
      <c r="AM418" s="210"/>
      <c r="AN418" s="210"/>
    </row>
    <row r="419" spans="1:40" x14ac:dyDescent="0.25">
      <c r="A419" s="202"/>
      <c r="C419" s="154"/>
      <c r="F419" s="252"/>
      <c r="H419" s="252"/>
      <c r="I419" s="252"/>
      <c r="J419" s="329"/>
      <c r="K419" s="329"/>
      <c r="L419" s="200"/>
      <c r="M419" s="200"/>
      <c r="N419" s="210"/>
      <c r="O419" s="210"/>
      <c r="P419" s="200"/>
      <c r="Q419" s="200"/>
      <c r="R419" s="200"/>
      <c r="T419" s="154"/>
      <c r="V419" s="200"/>
      <c r="Y419" s="200"/>
      <c r="Z419" s="329"/>
      <c r="AA419" s="200"/>
      <c r="AB419" s="200"/>
      <c r="AC419" s="210"/>
      <c r="AD419" s="210"/>
      <c r="AE419" s="200"/>
      <c r="AF419" s="200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A420" s="202"/>
      <c r="C420" s="154"/>
      <c r="F420" s="252"/>
      <c r="H420" s="252"/>
      <c r="I420" s="252"/>
      <c r="J420" s="329"/>
      <c r="K420" s="329"/>
      <c r="L420" s="200"/>
      <c r="M420" s="200"/>
      <c r="N420" s="210"/>
      <c r="O420" s="210"/>
      <c r="P420" s="200"/>
      <c r="Q420" s="200"/>
      <c r="R420" s="200"/>
      <c r="T420" s="154"/>
      <c r="V420" s="200"/>
      <c r="Y420" s="200"/>
      <c r="Z420" s="329"/>
      <c r="AA420" s="200"/>
      <c r="AB420" s="200"/>
      <c r="AC420" s="210"/>
      <c r="AD420" s="210"/>
      <c r="AE420" s="200"/>
      <c r="AF420" s="200"/>
      <c r="AG420" s="209"/>
      <c r="AH420" s="201"/>
      <c r="AI420" s="200"/>
      <c r="AJ420" s="200"/>
      <c r="AK420" s="209"/>
      <c r="AL420" s="200"/>
      <c r="AM420" s="210"/>
      <c r="AN420" s="210"/>
    </row>
    <row r="421" spans="1:40" x14ac:dyDescent="0.25">
      <c r="F421" s="211"/>
      <c r="H421" s="211"/>
      <c r="I421" s="211"/>
      <c r="J421" s="329"/>
      <c r="K421" s="329"/>
      <c r="L421" s="211"/>
      <c r="M421" s="211"/>
      <c r="N421" s="211"/>
      <c r="O421" s="211"/>
      <c r="P421" s="211"/>
      <c r="Q421" s="211"/>
      <c r="R421" s="211"/>
      <c r="V421" s="211"/>
      <c r="Y421" s="211"/>
      <c r="Z421" s="329"/>
      <c r="AA421" s="211"/>
      <c r="AB421" s="211"/>
      <c r="AC421" s="211"/>
      <c r="AD421" s="211"/>
      <c r="AE421" s="211"/>
      <c r="AF421" s="211"/>
      <c r="AI421" s="211"/>
      <c r="AJ421" s="211"/>
      <c r="AK421" s="212"/>
      <c r="AL421" s="211"/>
    </row>
    <row r="422" spans="1:40" x14ac:dyDescent="0.25">
      <c r="A422" s="202"/>
      <c r="C422" s="103"/>
      <c r="F422" s="200"/>
      <c r="H422" s="200"/>
      <c r="I422" s="200"/>
      <c r="J422" s="334"/>
      <c r="K422" s="334"/>
      <c r="L422" s="200"/>
      <c r="M422" s="200"/>
      <c r="N422" s="201"/>
      <c r="O422" s="201"/>
      <c r="P422" s="200"/>
      <c r="Q422" s="200"/>
      <c r="R422" s="200"/>
      <c r="T422" s="103"/>
      <c r="V422" s="200"/>
      <c r="Y422" s="200"/>
      <c r="Z422" s="334"/>
      <c r="AA422" s="200"/>
      <c r="AB422" s="200"/>
      <c r="AC422" s="200"/>
      <c r="AD422" s="200"/>
      <c r="AE422" s="200"/>
      <c r="AF422" s="200"/>
      <c r="AG422" s="209"/>
      <c r="AH422" s="201"/>
      <c r="AI422" s="200"/>
      <c r="AJ422" s="200"/>
      <c r="AK422" s="209"/>
      <c r="AL422" s="200"/>
      <c r="AM422" s="210"/>
      <c r="AN422" s="210"/>
    </row>
    <row r="423" spans="1:40" x14ac:dyDescent="0.25">
      <c r="F423" s="211"/>
      <c r="H423" s="211"/>
      <c r="I423" s="211"/>
      <c r="J423" s="329"/>
      <c r="K423" s="329"/>
      <c r="L423" s="211"/>
      <c r="M423" s="211"/>
      <c r="N423" s="211"/>
      <c r="O423" s="211"/>
      <c r="P423" s="211"/>
      <c r="Q423" s="211"/>
      <c r="R423" s="211"/>
      <c r="V423" s="211"/>
      <c r="Y423" s="211"/>
      <c r="Z423" s="329"/>
      <c r="AA423" s="211"/>
      <c r="AB423" s="211"/>
      <c r="AC423" s="211"/>
      <c r="AD423" s="211"/>
      <c r="AE423" s="211"/>
      <c r="AF423" s="211"/>
      <c r="AI423" s="211"/>
      <c r="AJ423" s="211"/>
      <c r="AK423" s="212"/>
      <c r="AL423" s="211"/>
    </row>
    <row r="424" spans="1:40" x14ac:dyDescent="0.25">
      <c r="A424" s="202"/>
      <c r="C424" s="154"/>
      <c r="J424" s="334"/>
      <c r="K424" s="334"/>
      <c r="T424" s="154"/>
      <c r="Z424" s="334"/>
    </row>
    <row r="425" spans="1:40" x14ac:dyDescent="0.25">
      <c r="A425" s="202"/>
      <c r="C425" s="154"/>
      <c r="J425" s="334"/>
      <c r="K425" s="334"/>
      <c r="T425" s="154"/>
      <c r="Z425" s="334"/>
    </row>
    <row r="426" spans="1:40" x14ac:dyDescent="0.25">
      <c r="A426" s="202"/>
      <c r="C426" s="154"/>
      <c r="F426" s="252"/>
      <c r="H426" s="252"/>
      <c r="I426" s="252"/>
      <c r="J426" s="329"/>
      <c r="K426" s="329"/>
      <c r="L426" s="200"/>
      <c r="M426" s="200"/>
      <c r="N426" s="210"/>
      <c r="O426" s="210"/>
      <c r="P426" s="200"/>
      <c r="Q426" s="200"/>
      <c r="R426" s="200"/>
      <c r="T426" s="154"/>
      <c r="V426" s="200"/>
      <c r="Y426" s="200"/>
      <c r="Z426" s="329"/>
      <c r="AA426" s="200"/>
      <c r="AB426" s="200"/>
      <c r="AC426" s="210"/>
      <c r="AD426" s="210"/>
      <c r="AE426" s="200"/>
      <c r="AF426" s="200"/>
      <c r="AG426" s="209"/>
      <c r="AH426" s="201"/>
      <c r="AI426" s="200"/>
      <c r="AJ426" s="200"/>
      <c r="AK426" s="209"/>
      <c r="AL426" s="200"/>
      <c r="AM426" s="210"/>
      <c r="AN426" s="210"/>
    </row>
    <row r="427" spans="1:40" x14ac:dyDescent="0.25">
      <c r="A427" s="202"/>
      <c r="C427" s="154"/>
      <c r="F427" s="252"/>
      <c r="H427" s="252"/>
      <c r="I427" s="252"/>
      <c r="J427" s="329"/>
      <c r="K427" s="329"/>
      <c r="L427" s="200"/>
      <c r="M427" s="200"/>
      <c r="N427" s="210"/>
      <c r="O427" s="210"/>
      <c r="P427" s="200"/>
      <c r="Q427" s="200"/>
      <c r="R427" s="200"/>
      <c r="T427" s="154"/>
      <c r="V427" s="200"/>
      <c r="Y427" s="200"/>
      <c r="Z427" s="329"/>
      <c r="AA427" s="200"/>
      <c r="AB427" s="200"/>
      <c r="AC427" s="210"/>
      <c r="AD427" s="210"/>
      <c r="AE427" s="200"/>
      <c r="AF427" s="200"/>
      <c r="AG427" s="209"/>
      <c r="AH427" s="201"/>
      <c r="AI427" s="200"/>
      <c r="AJ427" s="200"/>
      <c r="AK427" s="209"/>
      <c r="AL427" s="200"/>
      <c r="AM427" s="210"/>
      <c r="AN427" s="210"/>
    </row>
    <row r="428" spans="1:40" x14ac:dyDescent="0.25">
      <c r="A428" s="202"/>
      <c r="C428" s="154"/>
      <c r="F428" s="252"/>
      <c r="H428" s="252"/>
      <c r="I428" s="252"/>
      <c r="J428" s="329"/>
      <c r="K428" s="329"/>
      <c r="L428" s="200"/>
      <c r="M428" s="200"/>
      <c r="N428" s="210"/>
      <c r="O428" s="210"/>
      <c r="P428" s="200"/>
      <c r="Q428" s="200"/>
      <c r="R428" s="200"/>
      <c r="T428" s="154"/>
      <c r="V428" s="200"/>
      <c r="Y428" s="200"/>
      <c r="Z428" s="329"/>
      <c r="AA428" s="200"/>
      <c r="AB428" s="200"/>
      <c r="AC428" s="210"/>
      <c r="AD428" s="210"/>
      <c r="AE428" s="200"/>
      <c r="AF428" s="200"/>
      <c r="AG428" s="209"/>
      <c r="AH428" s="201"/>
      <c r="AI428" s="200"/>
      <c r="AJ428" s="200"/>
      <c r="AK428" s="209"/>
      <c r="AL428" s="200"/>
      <c r="AM428" s="210"/>
      <c r="AN428" s="210"/>
    </row>
    <row r="429" spans="1:40" x14ac:dyDescent="0.25">
      <c r="A429" s="202"/>
      <c r="C429" s="154"/>
      <c r="F429" s="252"/>
      <c r="H429" s="252"/>
      <c r="I429" s="252"/>
      <c r="J429" s="329"/>
      <c r="K429" s="329"/>
      <c r="L429" s="200"/>
      <c r="M429" s="200"/>
      <c r="N429" s="210"/>
      <c r="O429" s="210"/>
      <c r="P429" s="200"/>
      <c r="Q429" s="200"/>
      <c r="R429" s="200"/>
      <c r="T429" s="154"/>
      <c r="V429" s="200"/>
      <c r="Y429" s="200"/>
      <c r="Z429" s="329"/>
      <c r="AA429" s="200"/>
      <c r="AB429" s="200"/>
      <c r="AC429" s="210"/>
      <c r="AD429" s="210"/>
      <c r="AE429" s="200"/>
      <c r="AF429" s="200"/>
      <c r="AG429" s="209"/>
      <c r="AH429" s="201"/>
      <c r="AI429" s="200"/>
      <c r="AJ429" s="200"/>
      <c r="AK429" s="209"/>
      <c r="AL429" s="200"/>
      <c r="AM429" s="210"/>
      <c r="AN429" s="210"/>
    </row>
    <row r="430" spans="1:40" x14ac:dyDescent="0.25">
      <c r="A430" s="202"/>
      <c r="C430" s="154"/>
      <c r="F430" s="252"/>
      <c r="H430" s="252"/>
      <c r="I430" s="252"/>
      <c r="J430" s="329"/>
      <c r="K430" s="329"/>
      <c r="L430" s="200"/>
      <c r="M430" s="200"/>
      <c r="N430" s="210"/>
      <c r="O430" s="210"/>
      <c r="P430" s="200"/>
      <c r="Q430" s="200"/>
      <c r="R430" s="200"/>
      <c r="T430" s="154"/>
      <c r="V430" s="200"/>
      <c r="Y430" s="200"/>
      <c r="Z430" s="329"/>
      <c r="AA430" s="200"/>
      <c r="AB430" s="200"/>
      <c r="AC430" s="210"/>
      <c r="AD430" s="210"/>
      <c r="AE430" s="200"/>
      <c r="AF430" s="200"/>
      <c r="AG430" s="209"/>
      <c r="AH430" s="201"/>
      <c r="AI430" s="200"/>
      <c r="AJ430" s="200"/>
      <c r="AK430" s="209"/>
      <c r="AL430" s="200"/>
      <c r="AM430" s="210"/>
      <c r="AN430" s="210"/>
    </row>
    <row r="431" spans="1:40" x14ac:dyDescent="0.25">
      <c r="A431" s="202"/>
      <c r="C431" s="154"/>
      <c r="F431" s="252"/>
      <c r="H431" s="252"/>
      <c r="I431" s="252"/>
      <c r="J431" s="329"/>
      <c r="K431" s="329"/>
      <c r="L431" s="200"/>
      <c r="M431" s="200"/>
      <c r="N431" s="210"/>
      <c r="O431" s="210"/>
      <c r="P431" s="200"/>
      <c r="Q431" s="200"/>
      <c r="R431" s="200"/>
      <c r="T431" s="154"/>
      <c r="V431" s="200"/>
      <c r="Y431" s="200"/>
      <c r="Z431" s="329"/>
      <c r="AA431" s="200"/>
      <c r="AB431" s="200"/>
      <c r="AC431" s="210"/>
      <c r="AD431" s="210"/>
      <c r="AE431" s="200"/>
      <c r="AF431" s="200"/>
      <c r="AG431" s="209"/>
      <c r="AH431" s="201"/>
      <c r="AI431" s="200"/>
      <c r="AJ431" s="200"/>
      <c r="AK431" s="209"/>
      <c r="AL431" s="200"/>
      <c r="AM431" s="210"/>
      <c r="AN431" s="210"/>
    </row>
    <row r="432" spans="1:40" x14ac:dyDescent="0.25">
      <c r="A432" s="202"/>
      <c r="C432" s="154"/>
      <c r="F432" s="252"/>
      <c r="H432" s="252"/>
      <c r="I432" s="252"/>
      <c r="J432" s="329"/>
      <c r="K432" s="329"/>
      <c r="L432" s="200"/>
      <c r="M432" s="200"/>
      <c r="N432" s="210"/>
      <c r="O432" s="210"/>
      <c r="P432" s="200"/>
      <c r="Q432" s="200"/>
      <c r="R432" s="200"/>
      <c r="T432" s="154"/>
      <c r="V432" s="200"/>
      <c r="Y432" s="200"/>
      <c r="Z432" s="329"/>
      <c r="AA432" s="200"/>
      <c r="AB432" s="200"/>
      <c r="AC432" s="210"/>
      <c r="AD432" s="210"/>
      <c r="AE432" s="200"/>
      <c r="AF432" s="200"/>
      <c r="AG432" s="209"/>
      <c r="AH432" s="201"/>
      <c r="AI432" s="200"/>
      <c r="AJ432" s="200"/>
      <c r="AK432" s="209"/>
      <c r="AL432" s="200"/>
      <c r="AM432" s="210"/>
      <c r="AN432" s="210"/>
    </row>
    <row r="433" spans="1:40" x14ac:dyDescent="0.25">
      <c r="A433" s="202"/>
      <c r="C433" s="154"/>
      <c r="J433" s="334"/>
      <c r="K433" s="334"/>
      <c r="T433" s="154"/>
      <c r="Z433" s="334"/>
    </row>
    <row r="434" spans="1:40" x14ac:dyDescent="0.25">
      <c r="A434" s="202"/>
      <c r="C434" s="154"/>
      <c r="F434" s="252"/>
      <c r="H434" s="252"/>
      <c r="I434" s="252"/>
      <c r="J434" s="329"/>
      <c r="K434" s="329"/>
      <c r="L434" s="200"/>
      <c r="M434" s="200"/>
      <c r="N434" s="210"/>
      <c r="O434" s="210"/>
      <c r="P434" s="200"/>
      <c r="Q434" s="200"/>
      <c r="R434" s="200"/>
      <c r="T434" s="154"/>
      <c r="V434" s="200"/>
      <c r="Y434" s="200"/>
      <c r="Z434" s="329"/>
      <c r="AA434" s="200"/>
      <c r="AB434" s="200"/>
      <c r="AC434" s="210"/>
      <c r="AD434" s="210"/>
      <c r="AE434" s="200"/>
      <c r="AF434" s="200"/>
      <c r="AG434" s="209"/>
      <c r="AH434" s="201"/>
      <c r="AI434" s="200"/>
      <c r="AJ434" s="200"/>
      <c r="AK434" s="209"/>
      <c r="AL434" s="200"/>
      <c r="AM434" s="210"/>
      <c r="AN434" s="210"/>
    </row>
    <row r="435" spans="1:40" x14ac:dyDescent="0.25">
      <c r="A435" s="202"/>
      <c r="C435" s="154"/>
      <c r="F435" s="252"/>
      <c r="H435" s="252"/>
      <c r="I435" s="252"/>
      <c r="J435" s="329"/>
      <c r="K435" s="329"/>
      <c r="L435" s="200"/>
      <c r="M435" s="200"/>
      <c r="N435" s="210"/>
      <c r="O435" s="210"/>
      <c r="P435" s="200"/>
      <c r="Q435" s="200"/>
      <c r="R435" s="200"/>
      <c r="T435" s="154"/>
      <c r="V435" s="200"/>
      <c r="Y435" s="200"/>
      <c r="Z435" s="329"/>
      <c r="AA435" s="200"/>
      <c r="AB435" s="200"/>
      <c r="AC435" s="210"/>
      <c r="AD435" s="210"/>
      <c r="AE435" s="200"/>
      <c r="AF435" s="200"/>
      <c r="AG435" s="209"/>
      <c r="AH435" s="201"/>
      <c r="AI435" s="200"/>
      <c r="AJ435" s="200"/>
      <c r="AK435" s="209"/>
      <c r="AL435" s="200"/>
      <c r="AM435" s="210"/>
      <c r="AN435" s="210"/>
    </row>
    <row r="436" spans="1:40" x14ac:dyDescent="0.25">
      <c r="A436" s="202"/>
      <c r="C436" s="154"/>
      <c r="F436" s="252"/>
      <c r="H436" s="252"/>
      <c r="I436" s="252"/>
      <c r="J436" s="329"/>
      <c r="K436" s="329"/>
      <c r="L436" s="200"/>
      <c r="M436" s="200"/>
      <c r="N436" s="210"/>
      <c r="O436" s="210"/>
      <c r="P436" s="200"/>
      <c r="Q436" s="200"/>
      <c r="R436" s="200"/>
      <c r="T436" s="154"/>
      <c r="V436" s="200"/>
      <c r="Y436" s="200"/>
      <c r="Z436" s="329"/>
      <c r="AA436" s="200"/>
      <c r="AB436" s="200"/>
      <c r="AC436" s="210"/>
      <c r="AD436" s="210"/>
      <c r="AE436" s="200"/>
      <c r="AF436" s="200"/>
      <c r="AG436" s="209"/>
      <c r="AH436" s="201"/>
      <c r="AI436" s="200"/>
      <c r="AJ436" s="200"/>
      <c r="AK436" s="209"/>
      <c r="AL436" s="200"/>
      <c r="AM436" s="210"/>
      <c r="AN436" s="210"/>
    </row>
    <row r="437" spans="1:40" x14ac:dyDescent="0.25">
      <c r="A437" s="202"/>
      <c r="C437" s="154"/>
      <c r="F437" s="252"/>
      <c r="H437" s="252"/>
      <c r="I437" s="252"/>
      <c r="J437" s="329"/>
      <c r="K437" s="329"/>
      <c r="L437" s="200"/>
      <c r="M437" s="200"/>
      <c r="N437" s="210"/>
      <c r="O437" s="210"/>
      <c r="P437" s="200"/>
      <c r="Q437" s="200"/>
      <c r="R437" s="200"/>
      <c r="T437" s="154"/>
      <c r="V437" s="200"/>
      <c r="Y437" s="200"/>
      <c r="Z437" s="329"/>
      <c r="AA437" s="200"/>
      <c r="AB437" s="200"/>
      <c r="AC437" s="210"/>
      <c r="AD437" s="210"/>
      <c r="AE437" s="200"/>
      <c r="AF437" s="200"/>
      <c r="AG437" s="209"/>
      <c r="AH437" s="201"/>
      <c r="AI437" s="200"/>
      <c r="AJ437" s="200"/>
      <c r="AK437" s="209"/>
      <c r="AL437" s="200"/>
      <c r="AM437" s="210"/>
      <c r="AN437" s="210"/>
    </row>
    <row r="438" spans="1:40" x14ac:dyDescent="0.25">
      <c r="A438" s="202"/>
      <c r="C438" s="154"/>
      <c r="J438" s="334"/>
      <c r="K438" s="334"/>
      <c r="T438" s="154"/>
      <c r="Z438" s="334"/>
    </row>
    <row r="439" spans="1:40" x14ac:dyDescent="0.25">
      <c r="A439" s="202"/>
      <c r="C439" s="154"/>
      <c r="F439" s="252"/>
      <c r="H439" s="252"/>
      <c r="I439" s="252"/>
      <c r="J439" s="329"/>
      <c r="K439" s="329"/>
      <c r="L439" s="200"/>
      <c r="M439" s="200"/>
      <c r="N439" s="210"/>
      <c r="O439" s="210"/>
      <c r="P439" s="200"/>
      <c r="Q439" s="200"/>
      <c r="R439" s="200"/>
      <c r="T439" s="154"/>
      <c r="V439" s="200"/>
      <c r="Y439" s="200"/>
      <c r="Z439" s="329"/>
      <c r="AA439" s="200"/>
      <c r="AB439" s="200"/>
      <c r="AC439" s="210"/>
      <c r="AD439" s="210"/>
      <c r="AE439" s="200"/>
      <c r="AF439" s="200"/>
      <c r="AG439" s="209"/>
      <c r="AH439" s="201"/>
      <c r="AI439" s="200"/>
      <c r="AJ439" s="200"/>
      <c r="AK439" s="209"/>
      <c r="AL439" s="200"/>
      <c r="AM439" s="210"/>
      <c r="AN439" s="210"/>
    </row>
    <row r="440" spans="1:40" x14ac:dyDescent="0.25">
      <c r="A440" s="202"/>
      <c r="C440" s="154"/>
      <c r="F440" s="252"/>
      <c r="H440" s="252"/>
      <c r="I440" s="252"/>
      <c r="J440" s="329"/>
      <c r="K440" s="329"/>
      <c r="L440" s="200"/>
      <c r="M440" s="200"/>
      <c r="N440" s="210"/>
      <c r="O440" s="210"/>
      <c r="P440" s="200"/>
      <c r="Q440" s="200"/>
      <c r="R440" s="200"/>
      <c r="T440" s="154"/>
      <c r="V440" s="200"/>
      <c r="Y440" s="200"/>
      <c r="Z440" s="329"/>
      <c r="AA440" s="200"/>
      <c r="AB440" s="200"/>
      <c r="AC440" s="210"/>
      <c r="AD440" s="210"/>
      <c r="AE440" s="200"/>
      <c r="AF440" s="200"/>
      <c r="AG440" s="209"/>
      <c r="AH440" s="201"/>
      <c r="AI440" s="200"/>
      <c r="AJ440" s="200"/>
      <c r="AK440" s="209"/>
      <c r="AL440" s="200"/>
      <c r="AM440" s="210"/>
      <c r="AN440" s="210"/>
    </row>
    <row r="441" spans="1:40" x14ac:dyDescent="0.25">
      <c r="A441" s="202"/>
      <c r="C441" s="154"/>
      <c r="F441" s="252"/>
      <c r="H441" s="252"/>
      <c r="I441" s="252"/>
      <c r="J441" s="329"/>
      <c r="K441" s="329"/>
      <c r="L441" s="200"/>
      <c r="M441" s="200"/>
      <c r="N441" s="210"/>
      <c r="O441" s="210"/>
      <c r="P441" s="200"/>
      <c r="Q441" s="200"/>
      <c r="R441" s="200"/>
      <c r="T441" s="154"/>
      <c r="V441" s="200"/>
      <c r="Y441" s="200"/>
      <c r="Z441" s="329"/>
      <c r="AA441" s="200"/>
      <c r="AB441" s="200"/>
      <c r="AC441" s="210"/>
      <c r="AD441" s="210"/>
      <c r="AE441" s="200"/>
      <c r="AF441" s="200"/>
      <c r="AG441" s="209"/>
      <c r="AH441" s="201"/>
      <c r="AI441" s="200"/>
      <c r="AJ441" s="200"/>
      <c r="AK441" s="209"/>
      <c r="AL441" s="200"/>
      <c r="AM441" s="210"/>
      <c r="AN441" s="210"/>
    </row>
    <row r="442" spans="1:40" x14ac:dyDescent="0.25">
      <c r="A442" s="202"/>
      <c r="C442" s="154"/>
      <c r="F442" s="252"/>
      <c r="H442" s="252"/>
      <c r="I442" s="252"/>
      <c r="J442" s="329"/>
      <c r="K442" s="329"/>
      <c r="L442" s="200"/>
      <c r="M442" s="200"/>
      <c r="N442" s="210"/>
      <c r="O442" s="210"/>
      <c r="P442" s="200"/>
      <c r="Q442" s="200"/>
      <c r="R442" s="200"/>
      <c r="T442" s="154"/>
      <c r="V442" s="200"/>
      <c r="Y442" s="200"/>
      <c r="Z442" s="329"/>
      <c r="AA442" s="200"/>
      <c r="AB442" s="200"/>
      <c r="AC442" s="210"/>
      <c r="AD442" s="210"/>
      <c r="AE442" s="200"/>
      <c r="AF442" s="200"/>
      <c r="AG442" s="209"/>
      <c r="AH442" s="201"/>
      <c r="AI442" s="200"/>
      <c r="AJ442" s="200"/>
      <c r="AK442" s="209"/>
      <c r="AL442" s="200"/>
      <c r="AM442" s="210"/>
      <c r="AN442" s="210"/>
    </row>
    <row r="443" spans="1:40" x14ac:dyDescent="0.25">
      <c r="A443" s="202"/>
      <c r="C443" s="154"/>
      <c r="F443" s="252"/>
      <c r="H443" s="252"/>
      <c r="I443" s="252"/>
      <c r="J443" s="329"/>
      <c r="K443" s="329"/>
      <c r="L443" s="200"/>
      <c r="M443" s="200"/>
      <c r="N443" s="210"/>
      <c r="O443" s="210"/>
      <c r="P443" s="200"/>
      <c r="Q443" s="200"/>
      <c r="R443" s="200"/>
      <c r="T443" s="154"/>
      <c r="V443" s="200"/>
      <c r="Y443" s="200"/>
      <c r="Z443" s="329"/>
      <c r="AA443" s="200"/>
      <c r="AB443" s="200"/>
      <c r="AC443" s="210"/>
      <c r="AD443" s="210"/>
      <c r="AE443" s="200"/>
      <c r="AF443" s="200"/>
      <c r="AG443" s="209"/>
      <c r="AH443" s="201"/>
      <c r="AI443" s="200"/>
      <c r="AJ443" s="200"/>
      <c r="AK443" s="209"/>
      <c r="AL443" s="200"/>
      <c r="AM443" s="210"/>
      <c r="AN443" s="210"/>
    </row>
    <row r="444" spans="1:40" x14ac:dyDescent="0.25">
      <c r="F444" s="211"/>
      <c r="H444" s="211"/>
      <c r="I444" s="211"/>
      <c r="J444" s="305"/>
      <c r="K444" s="305"/>
      <c r="L444" s="211"/>
      <c r="M444" s="211"/>
      <c r="N444" s="211"/>
      <c r="O444" s="211"/>
      <c r="P444" s="211"/>
      <c r="Q444" s="211"/>
      <c r="R444" s="211"/>
      <c r="V444" s="211"/>
      <c r="Y444" s="211"/>
      <c r="Z444" s="329"/>
      <c r="AA444" s="211"/>
      <c r="AB444" s="211"/>
      <c r="AC444" s="211"/>
      <c r="AD444" s="211"/>
      <c r="AE444" s="211"/>
      <c r="AF444" s="211"/>
      <c r="AI444" s="211"/>
      <c r="AJ444" s="211"/>
      <c r="AK444" s="212"/>
      <c r="AL444" s="211"/>
    </row>
    <row r="445" spans="1:40" x14ac:dyDescent="0.25">
      <c r="A445" s="202"/>
      <c r="C445" s="154"/>
      <c r="F445" s="200"/>
      <c r="H445" s="200"/>
      <c r="I445" s="200"/>
      <c r="L445" s="200"/>
      <c r="M445" s="200"/>
      <c r="N445" s="201"/>
      <c r="O445" s="201"/>
      <c r="P445" s="200"/>
      <c r="Q445" s="200"/>
      <c r="R445" s="200"/>
      <c r="T445" s="154"/>
      <c r="V445" s="200"/>
      <c r="Y445" s="200"/>
      <c r="AA445" s="200"/>
      <c r="AB445" s="200"/>
      <c r="AC445" s="210"/>
      <c r="AD445" s="210"/>
      <c r="AE445" s="200"/>
      <c r="AF445" s="200"/>
      <c r="AG445" s="209"/>
      <c r="AH445" s="201"/>
      <c r="AI445" s="200"/>
      <c r="AJ445" s="200"/>
      <c r="AK445" s="209"/>
      <c r="AL445" s="200"/>
      <c r="AM445" s="210"/>
      <c r="AN445" s="210"/>
    </row>
    <row r="446" spans="1:40" x14ac:dyDescent="0.25">
      <c r="F446" s="211"/>
      <c r="H446" s="211"/>
      <c r="I446" s="211"/>
      <c r="J446" s="305"/>
      <c r="K446" s="305"/>
      <c r="L446" s="211"/>
      <c r="M446" s="211"/>
      <c r="N446" s="211"/>
      <c r="O446" s="211"/>
      <c r="P446" s="211"/>
      <c r="Q446" s="211"/>
      <c r="R446" s="211"/>
      <c r="V446" s="211"/>
      <c r="Y446" s="211"/>
      <c r="Z446" s="305"/>
      <c r="AA446" s="211"/>
      <c r="AB446" s="211"/>
      <c r="AC446" s="211"/>
      <c r="AD446" s="211"/>
      <c r="AE446" s="211"/>
      <c r="AF446" s="211"/>
      <c r="AI446" s="211"/>
      <c r="AJ446" s="211"/>
      <c r="AK446" s="212"/>
      <c r="AL446" s="211"/>
    </row>
    <row r="447" spans="1:40" x14ac:dyDescent="0.25">
      <c r="A447" s="202"/>
      <c r="C447" s="154"/>
      <c r="T447" s="154"/>
    </row>
    <row r="448" spans="1:40" x14ac:dyDescent="0.25">
      <c r="A448" s="202"/>
      <c r="C448" s="154"/>
      <c r="F448" s="252"/>
      <c r="H448" s="252"/>
      <c r="I448" s="252"/>
      <c r="J448" s="300"/>
      <c r="K448" s="300"/>
      <c r="L448" s="200"/>
      <c r="M448" s="200"/>
      <c r="N448" s="210"/>
      <c r="O448" s="210"/>
      <c r="P448" s="200"/>
      <c r="Q448" s="200"/>
      <c r="R448" s="200"/>
      <c r="T448" s="154"/>
      <c r="V448" s="200"/>
      <c r="Y448" s="200"/>
      <c r="Z448" s="300"/>
      <c r="AA448" s="200"/>
      <c r="AB448" s="200"/>
      <c r="AC448" s="210"/>
      <c r="AD448" s="210"/>
      <c r="AE448" s="200"/>
      <c r="AF448" s="200"/>
      <c r="AG448" s="209"/>
      <c r="AH448" s="201"/>
      <c r="AI448" s="200"/>
      <c r="AJ448" s="200"/>
      <c r="AK448" s="209"/>
      <c r="AL448" s="200"/>
      <c r="AM448" s="210"/>
      <c r="AN448" s="210"/>
    </row>
    <row r="449" spans="1:40" x14ac:dyDescent="0.25">
      <c r="A449" s="202"/>
      <c r="C449" s="154"/>
      <c r="F449" s="252"/>
      <c r="H449" s="252"/>
      <c r="I449" s="252"/>
      <c r="J449" s="300"/>
      <c r="K449" s="300"/>
      <c r="L449" s="200"/>
      <c r="M449" s="200"/>
      <c r="N449" s="210"/>
      <c r="O449" s="210"/>
      <c r="P449" s="200"/>
      <c r="Q449" s="200"/>
      <c r="R449" s="200"/>
      <c r="T449" s="154"/>
      <c r="V449" s="200"/>
      <c r="Y449" s="200"/>
      <c r="Z449" s="300"/>
      <c r="AA449" s="200"/>
      <c r="AB449" s="200"/>
      <c r="AC449" s="210"/>
      <c r="AD449" s="210"/>
      <c r="AE449" s="200"/>
      <c r="AF449" s="200"/>
      <c r="AG449" s="209"/>
      <c r="AH449" s="201"/>
      <c r="AI449" s="200"/>
      <c r="AJ449" s="200"/>
      <c r="AK449" s="209"/>
      <c r="AL449" s="200"/>
      <c r="AM449" s="210"/>
      <c r="AN449" s="210"/>
    </row>
    <row r="450" spans="1:40" x14ac:dyDescent="0.25">
      <c r="F450" s="211"/>
      <c r="H450" s="200"/>
      <c r="I450" s="200"/>
      <c r="J450" s="305"/>
      <c r="K450" s="305"/>
      <c r="L450" s="211"/>
      <c r="M450" s="211"/>
      <c r="N450" s="211"/>
      <c r="O450" s="211"/>
      <c r="P450" s="211"/>
      <c r="Q450" s="211"/>
      <c r="R450" s="211"/>
      <c r="V450" s="211"/>
      <c r="Y450" s="200"/>
      <c r="Z450" s="305"/>
      <c r="AA450" s="211"/>
      <c r="AB450" s="211"/>
      <c r="AC450" s="211"/>
      <c r="AD450" s="211"/>
      <c r="AE450" s="211"/>
      <c r="AF450" s="211"/>
      <c r="AI450" s="211"/>
      <c r="AJ450" s="211"/>
      <c r="AK450" s="212"/>
      <c r="AL450" s="211"/>
    </row>
    <row r="451" spans="1:40" x14ac:dyDescent="0.25">
      <c r="F451" s="200"/>
      <c r="H451" s="200"/>
      <c r="I451" s="200"/>
      <c r="J451" s="305"/>
      <c r="K451" s="305"/>
      <c r="L451" s="200"/>
      <c r="M451" s="200"/>
      <c r="N451" s="200"/>
      <c r="O451" s="200"/>
      <c r="P451" s="200"/>
      <c r="Q451" s="200"/>
      <c r="R451" s="200"/>
      <c r="V451" s="200"/>
      <c r="Y451" s="200"/>
      <c r="Z451" s="305"/>
      <c r="AA451" s="200"/>
      <c r="AB451" s="200"/>
      <c r="AC451" s="200"/>
      <c r="AD451" s="200"/>
      <c r="AE451" s="200"/>
      <c r="AF451" s="200"/>
      <c r="AI451" s="200"/>
      <c r="AJ451" s="200"/>
      <c r="AK451" s="209"/>
      <c r="AL451" s="200"/>
    </row>
    <row r="452" spans="1:40" x14ac:dyDescent="0.25">
      <c r="A452" s="202"/>
      <c r="C452" s="154"/>
      <c r="F452" s="200"/>
      <c r="H452" s="200"/>
      <c r="I452" s="200"/>
      <c r="L452" s="200"/>
      <c r="M452" s="200"/>
      <c r="N452" s="210"/>
      <c r="O452" s="210"/>
      <c r="P452" s="200"/>
      <c r="Q452" s="200"/>
      <c r="R452" s="200"/>
      <c r="T452" s="154"/>
      <c r="V452" s="200"/>
      <c r="Y452" s="200"/>
      <c r="AA452" s="200"/>
      <c r="AB452" s="200"/>
      <c r="AC452" s="210"/>
      <c r="AD452" s="210"/>
      <c r="AE452" s="200"/>
      <c r="AF452" s="200"/>
      <c r="AG452" s="209"/>
      <c r="AH452" s="201"/>
      <c r="AI452" s="252"/>
      <c r="AJ452" s="252"/>
      <c r="AK452" s="209"/>
      <c r="AL452" s="200"/>
      <c r="AM452" s="210"/>
      <c r="AN452" s="210"/>
    </row>
    <row r="453" spans="1:40" x14ac:dyDescent="0.25">
      <c r="F453" s="211"/>
      <c r="H453" s="211"/>
      <c r="I453" s="211"/>
      <c r="J453" s="305"/>
      <c r="K453" s="305"/>
      <c r="L453" s="211"/>
      <c r="M453" s="211"/>
      <c r="N453" s="211"/>
      <c r="O453" s="211"/>
      <c r="P453" s="211"/>
      <c r="Q453" s="211"/>
      <c r="R453" s="211"/>
      <c r="V453" s="211"/>
      <c r="Y453" s="211"/>
      <c r="Z453" s="305"/>
      <c r="AA453" s="211"/>
      <c r="AB453" s="211"/>
      <c r="AC453" s="211"/>
      <c r="AD453" s="211"/>
      <c r="AE453" s="211"/>
      <c r="AF453" s="211"/>
      <c r="AI453" s="211"/>
      <c r="AJ453" s="211"/>
      <c r="AK453" s="212"/>
      <c r="AL453" s="211"/>
    </row>
    <row r="455" spans="1:40" x14ac:dyDescent="0.25">
      <c r="A455" s="154"/>
      <c r="T455" s="154"/>
    </row>
    <row r="456" spans="1:40" x14ac:dyDescent="0.25">
      <c r="A456" s="154"/>
      <c r="T456" s="154"/>
    </row>
    <row r="457" spans="1:40" x14ac:dyDescent="0.25">
      <c r="A457" s="154"/>
      <c r="T457" s="154"/>
    </row>
    <row r="458" spans="1:40" x14ac:dyDescent="0.25">
      <c r="A458" s="154"/>
      <c r="T458" s="154"/>
    </row>
    <row r="459" spans="1:40" x14ac:dyDescent="0.25">
      <c r="A459" s="154"/>
      <c r="T459" s="154"/>
    </row>
    <row r="460" spans="1:40" x14ac:dyDescent="0.25">
      <c r="A460" s="154"/>
      <c r="T460" s="154"/>
    </row>
    <row r="461" spans="1:40" x14ac:dyDescent="0.25">
      <c r="A461" s="154"/>
      <c r="T461" s="154"/>
    </row>
    <row r="462" spans="1:40" x14ac:dyDescent="0.25">
      <c r="A462" s="154"/>
      <c r="T462" s="154"/>
    </row>
    <row r="463" spans="1:40" x14ac:dyDescent="0.25">
      <c r="A463" s="154"/>
      <c r="T463" s="154"/>
    </row>
    <row r="465" spans="1:40" x14ac:dyDescent="0.25">
      <c r="A465" s="154"/>
    </row>
    <row r="466" spans="1:40" x14ac:dyDescent="0.25">
      <c r="J466" s="202"/>
      <c r="K466" s="202"/>
      <c r="Z466" s="202"/>
    </row>
    <row r="467" spans="1:40" x14ac:dyDescent="0.25">
      <c r="H467" s="154"/>
      <c r="I467" s="154"/>
      <c r="Y467" s="154"/>
    </row>
    <row r="468" spans="1:40" x14ac:dyDescent="0.25">
      <c r="J468" s="202"/>
      <c r="K468" s="202"/>
      <c r="Z468" s="202"/>
    </row>
    <row r="469" spans="1:40" x14ac:dyDescent="0.25">
      <c r="L469" s="154"/>
      <c r="M469" s="154"/>
      <c r="AA469" s="154"/>
      <c r="AB469" s="154"/>
    </row>
    <row r="470" spans="1:40" x14ac:dyDescent="0.25">
      <c r="A470" s="202"/>
      <c r="R470" s="154"/>
      <c r="AK470" s="297"/>
      <c r="AL470" s="154"/>
    </row>
    <row r="471" spans="1:40" x14ac:dyDescent="0.25">
      <c r="A471" s="202"/>
      <c r="R471" s="154"/>
      <c r="AK471" s="297"/>
      <c r="AL471" s="154"/>
    </row>
    <row r="472" spans="1:40" x14ac:dyDescent="0.25">
      <c r="A472" s="154"/>
      <c r="R472" s="154"/>
      <c r="AK472" s="297"/>
      <c r="AL472" s="154"/>
    </row>
    <row r="473" spans="1:40" x14ac:dyDescent="0.25">
      <c r="L473" s="154"/>
      <c r="M473" s="154"/>
      <c r="R473" s="202"/>
      <c r="AA473" s="154"/>
      <c r="AB473" s="154"/>
      <c r="AK473" s="209"/>
      <c r="AL473" s="202"/>
    </row>
    <row r="474" spans="1:40" x14ac:dyDescent="0.25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208"/>
      <c r="AH474" s="102"/>
      <c r="AI474" s="102"/>
      <c r="AJ474" s="102"/>
      <c r="AK474" s="208"/>
      <c r="AL474" s="102"/>
      <c r="AM474" s="102"/>
      <c r="AN474" s="102"/>
    </row>
    <row r="475" spans="1:40" x14ac:dyDescent="0.25">
      <c r="L475" s="103"/>
      <c r="M475" s="103"/>
      <c r="N475" s="103"/>
      <c r="O475" s="103"/>
      <c r="R475" s="103"/>
      <c r="AA475" s="103"/>
      <c r="AB475" s="103"/>
      <c r="AC475" s="103"/>
      <c r="AD475" s="103"/>
      <c r="AE475" s="103"/>
      <c r="AF475" s="103"/>
      <c r="AG475" s="185"/>
      <c r="AH475" s="103"/>
      <c r="AK475" s="185"/>
      <c r="AL475" s="103"/>
      <c r="AM475" s="103"/>
      <c r="AN475" s="103"/>
    </row>
    <row r="476" spans="1:40" x14ac:dyDescent="0.25">
      <c r="L476" s="103"/>
      <c r="M476" s="103"/>
      <c r="N476" s="103"/>
      <c r="O476" s="103"/>
      <c r="R476" s="103"/>
      <c r="Z476" s="103"/>
      <c r="AA476" s="103"/>
      <c r="AB476" s="103"/>
      <c r="AC476" s="103"/>
      <c r="AD476" s="103"/>
      <c r="AE476" s="103"/>
      <c r="AF476" s="103"/>
      <c r="AG476" s="185"/>
      <c r="AH476" s="103"/>
      <c r="AK476" s="185"/>
      <c r="AL476" s="103"/>
      <c r="AM476" s="103"/>
      <c r="AN476" s="103"/>
    </row>
    <row r="477" spans="1:40" x14ac:dyDescent="0.25">
      <c r="A477" s="103"/>
      <c r="C477" s="103"/>
      <c r="D477" s="103"/>
      <c r="E477" s="103"/>
      <c r="F477" s="103"/>
      <c r="J477" s="103"/>
      <c r="K477" s="103"/>
      <c r="L477" s="103"/>
      <c r="M477" s="103"/>
      <c r="N477" s="103"/>
      <c r="O477" s="103"/>
      <c r="P477" s="103"/>
      <c r="Q477" s="103"/>
      <c r="R477" s="103"/>
      <c r="T477" s="103"/>
      <c r="U477" s="103"/>
      <c r="V477" s="103"/>
      <c r="Z477" s="103"/>
      <c r="AA477" s="103"/>
      <c r="AB477" s="103"/>
      <c r="AC477" s="103"/>
      <c r="AD477" s="103"/>
      <c r="AE477" s="103"/>
      <c r="AF477" s="103"/>
      <c r="AG477" s="185"/>
      <c r="AH477" s="103"/>
      <c r="AI477" s="103"/>
      <c r="AJ477" s="103"/>
      <c r="AK477" s="185"/>
      <c r="AL477" s="103"/>
      <c r="AM477" s="103"/>
      <c r="AN477" s="103"/>
    </row>
    <row r="478" spans="1:40" x14ac:dyDescent="0.25">
      <c r="A478" s="103"/>
      <c r="C478" s="103"/>
      <c r="D478" s="103"/>
      <c r="E478" s="103"/>
      <c r="F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T478" s="103"/>
      <c r="U478" s="103"/>
      <c r="V478" s="103"/>
      <c r="Y478" s="103"/>
      <c r="Z478" s="103"/>
      <c r="AA478" s="103"/>
      <c r="AB478" s="103"/>
      <c r="AC478" s="103"/>
      <c r="AD478" s="103"/>
      <c r="AE478" s="103"/>
      <c r="AF478" s="103"/>
      <c r="AG478" s="185"/>
      <c r="AH478" s="103"/>
      <c r="AI478" s="103"/>
      <c r="AJ478" s="103"/>
      <c r="AK478" s="185"/>
      <c r="AL478" s="103"/>
      <c r="AM478" s="103"/>
      <c r="AN478" s="103"/>
    </row>
    <row r="479" spans="1:40" x14ac:dyDescent="0.25">
      <c r="C479" s="103"/>
      <c r="D479" s="103"/>
      <c r="E479" s="103"/>
      <c r="F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T479" s="103"/>
      <c r="U479" s="103"/>
      <c r="V479" s="103"/>
      <c r="Y479" s="103"/>
      <c r="Z479" s="103"/>
      <c r="AA479" s="103"/>
      <c r="AB479" s="103"/>
      <c r="AC479" s="103"/>
      <c r="AD479" s="103"/>
      <c r="AE479" s="103"/>
      <c r="AF479" s="103"/>
      <c r="AG479" s="185"/>
      <c r="AH479" s="103"/>
      <c r="AI479" s="103"/>
      <c r="AJ479" s="103"/>
      <c r="AK479" s="185"/>
      <c r="AL479" s="103"/>
      <c r="AM479" s="103"/>
      <c r="AN479" s="103"/>
    </row>
    <row r="480" spans="1:40" x14ac:dyDescent="0.25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208"/>
      <c r="AH480" s="102"/>
      <c r="AI480" s="102"/>
      <c r="AJ480" s="102"/>
      <c r="AK480" s="208"/>
      <c r="AL480" s="102"/>
      <c r="AM480" s="102"/>
      <c r="AN480" s="102"/>
    </row>
    <row r="481" spans="1:40" x14ac:dyDescent="0.25"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Y481" s="103"/>
      <c r="Z481" s="103"/>
      <c r="AA481" s="103"/>
      <c r="AB481" s="103"/>
      <c r="AC481" s="103"/>
      <c r="AD481" s="103"/>
      <c r="AE481" s="103"/>
      <c r="AF481" s="103"/>
      <c r="AG481" s="185"/>
      <c r="AH481" s="103"/>
      <c r="AI481" s="103"/>
      <c r="AJ481" s="103"/>
      <c r="AK481" s="185"/>
      <c r="AL481" s="103"/>
      <c r="AM481" s="103"/>
      <c r="AN481" s="103"/>
    </row>
    <row r="482" spans="1:40" x14ac:dyDescent="0.25">
      <c r="A482" s="202"/>
      <c r="C482" s="154"/>
      <c r="D482" s="154"/>
      <c r="E482" s="154"/>
      <c r="T482" s="154"/>
      <c r="U482" s="154"/>
    </row>
    <row r="483" spans="1:40" x14ac:dyDescent="0.25">
      <c r="A483" s="202"/>
      <c r="D483" s="154"/>
      <c r="E483" s="154"/>
      <c r="U483" s="154"/>
    </row>
    <row r="485" spans="1:40" x14ac:dyDescent="0.25">
      <c r="A485" s="202"/>
      <c r="C485" s="154"/>
      <c r="F485" s="200"/>
      <c r="J485" s="215"/>
      <c r="K485" s="215"/>
      <c r="L485" s="200"/>
      <c r="M485" s="200"/>
      <c r="R485" s="200"/>
      <c r="T485" s="154"/>
      <c r="V485" s="200"/>
      <c r="Z485" s="215"/>
      <c r="AA485" s="200"/>
      <c r="AB485" s="200"/>
      <c r="AG485" s="209"/>
      <c r="AH485" s="200"/>
      <c r="AK485" s="209"/>
      <c r="AL485" s="200"/>
    </row>
    <row r="486" spans="1:40" x14ac:dyDescent="0.25">
      <c r="A486" s="202"/>
      <c r="C486" s="154"/>
      <c r="F486" s="200"/>
      <c r="R486" s="200"/>
      <c r="T486" s="154"/>
      <c r="V486" s="200"/>
      <c r="AG486" s="209"/>
      <c r="AH486" s="200"/>
      <c r="AK486" s="209"/>
      <c r="AL486" s="200"/>
    </row>
    <row r="487" spans="1:40" x14ac:dyDescent="0.25">
      <c r="AI487" s="200"/>
      <c r="AJ487" s="200"/>
      <c r="AK487" s="209"/>
      <c r="AL487" s="200"/>
      <c r="AM487" s="210"/>
      <c r="AN487" s="210"/>
    </row>
    <row r="488" spans="1:40" x14ac:dyDescent="0.25">
      <c r="A488" s="202"/>
      <c r="C488" s="154"/>
      <c r="F488" s="252"/>
      <c r="H488" s="252"/>
      <c r="I488" s="252"/>
      <c r="J488" s="328"/>
      <c r="K488" s="328"/>
      <c r="L488" s="200"/>
      <c r="M488" s="200"/>
      <c r="N488" s="210"/>
      <c r="O488" s="210"/>
      <c r="P488" s="200"/>
      <c r="Q488" s="200"/>
      <c r="R488" s="200"/>
      <c r="T488" s="154"/>
      <c r="V488" s="200"/>
      <c r="Y488" s="200"/>
      <c r="Z488" s="328"/>
      <c r="AA488" s="200"/>
      <c r="AB488" s="200"/>
      <c r="AC488" s="210"/>
      <c r="AD488" s="210"/>
      <c r="AE488" s="200"/>
      <c r="AF488" s="200"/>
      <c r="AG488" s="209"/>
      <c r="AH488" s="201"/>
      <c r="AI488" s="200"/>
      <c r="AJ488" s="200"/>
      <c r="AK488" s="209"/>
      <c r="AL488" s="200"/>
      <c r="AM488" s="210"/>
      <c r="AN488" s="210"/>
    </row>
    <row r="489" spans="1:40" x14ac:dyDescent="0.25">
      <c r="F489" s="200"/>
      <c r="H489" s="200"/>
      <c r="I489" s="200"/>
      <c r="J489" s="213"/>
      <c r="K489" s="213"/>
      <c r="L489" s="200"/>
      <c r="M489" s="200"/>
      <c r="P489" s="200"/>
      <c r="Q489" s="200"/>
      <c r="R489" s="200"/>
      <c r="V489" s="200"/>
      <c r="Y489" s="200"/>
      <c r="Z489" s="213"/>
      <c r="AA489" s="200"/>
      <c r="AB489" s="200"/>
      <c r="AI489" s="200"/>
      <c r="AJ489" s="200"/>
      <c r="AK489" s="209"/>
      <c r="AL489" s="200"/>
      <c r="AM489" s="210"/>
      <c r="AN489" s="210"/>
    </row>
    <row r="490" spans="1:40" x14ac:dyDescent="0.25">
      <c r="F490" s="200"/>
      <c r="R490" s="200"/>
      <c r="V490" s="200"/>
      <c r="AK490" s="209"/>
      <c r="AL490" s="200"/>
      <c r="AM490" s="210"/>
      <c r="AN490" s="210"/>
    </row>
    <row r="491" spans="1:40" x14ac:dyDescent="0.25">
      <c r="A491" s="202"/>
      <c r="C491" s="154"/>
      <c r="F491" s="200"/>
      <c r="J491" s="215"/>
      <c r="K491" s="215"/>
      <c r="L491" s="200"/>
      <c r="M491" s="200"/>
      <c r="N491" s="210"/>
      <c r="O491" s="210"/>
      <c r="R491" s="200"/>
      <c r="T491" s="154"/>
      <c r="V491" s="200"/>
      <c r="Z491" s="215"/>
      <c r="AA491" s="200"/>
      <c r="AB491" s="200"/>
      <c r="AC491" s="210"/>
      <c r="AD491" s="210"/>
      <c r="AK491" s="209"/>
      <c r="AL491" s="200"/>
      <c r="AM491" s="210"/>
      <c r="AN491" s="210"/>
    </row>
    <row r="492" spans="1:40" x14ac:dyDescent="0.25">
      <c r="A492" s="202"/>
      <c r="C492" s="154"/>
      <c r="F492" s="200"/>
      <c r="H492" s="200"/>
      <c r="I492" s="200"/>
      <c r="J492" s="215"/>
      <c r="K492" s="215"/>
      <c r="L492" s="200"/>
      <c r="M492" s="200"/>
      <c r="N492" s="210"/>
      <c r="O492" s="210"/>
      <c r="P492" s="200"/>
      <c r="Q492" s="200"/>
      <c r="R492" s="200"/>
      <c r="T492" s="154"/>
      <c r="V492" s="200"/>
      <c r="Y492" s="200"/>
      <c r="Z492" s="215"/>
      <c r="AA492" s="200"/>
      <c r="AB492" s="200"/>
      <c r="AC492" s="210"/>
      <c r="AD492" s="210"/>
      <c r="AI492" s="200"/>
      <c r="AJ492" s="200"/>
      <c r="AK492" s="209"/>
      <c r="AL492" s="200"/>
      <c r="AM492" s="210"/>
      <c r="AN492" s="210"/>
    </row>
    <row r="493" spans="1:40" x14ac:dyDescent="0.25">
      <c r="A493" s="202"/>
      <c r="C493" s="154"/>
      <c r="T493" s="154"/>
      <c r="AM493" s="210"/>
      <c r="AN493" s="210"/>
    </row>
    <row r="494" spans="1:40" x14ac:dyDescent="0.25">
      <c r="A494" s="202"/>
      <c r="C494" s="154"/>
      <c r="T494" s="154"/>
      <c r="AM494" s="210"/>
      <c r="AN494" s="210"/>
    </row>
    <row r="495" spans="1:40" x14ac:dyDescent="0.25">
      <c r="AM495" s="210"/>
      <c r="AN495" s="210"/>
    </row>
    <row r="496" spans="1:40" x14ac:dyDescent="0.25">
      <c r="A496" s="202"/>
      <c r="C496" s="154"/>
      <c r="F496" s="252"/>
      <c r="H496" s="252"/>
      <c r="I496" s="252"/>
      <c r="J496" s="328"/>
      <c r="K496" s="328"/>
      <c r="L496" s="200"/>
      <c r="M496" s="200"/>
      <c r="N496" s="210"/>
      <c r="O496" s="210"/>
      <c r="P496" s="200"/>
      <c r="Q496" s="200"/>
      <c r="R496" s="200"/>
      <c r="T496" s="154"/>
      <c r="V496" s="200"/>
      <c r="Y496" s="200"/>
      <c r="Z496" s="328"/>
      <c r="AA496" s="200"/>
      <c r="AB496" s="200"/>
      <c r="AC496" s="210"/>
      <c r="AD496" s="210"/>
      <c r="AE496" s="200"/>
      <c r="AF496" s="200"/>
      <c r="AG496" s="209"/>
      <c r="AH496" s="201"/>
      <c r="AI496" s="200"/>
      <c r="AJ496" s="200"/>
      <c r="AK496" s="209"/>
      <c r="AL496" s="200"/>
      <c r="AM496" s="210"/>
      <c r="AN496" s="210"/>
    </row>
    <row r="497" spans="1:40" x14ac:dyDescent="0.25">
      <c r="F497" s="211"/>
      <c r="H497" s="211"/>
      <c r="I497" s="211"/>
      <c r="J497" s="305"/>
      <c r="K497" s="305"/>
      <c r="L497" s="211"/>
      <c r="M497" s="211"/>
      <c r="N497" s="211"/>
      <c r="O497" s="211"/>
      <c r="P497" s="211"/>
      <c r="Q497" s="211"/>
      <c r="R497" s="211"/>
      <c r="V497" s="211"/>
      <c r="Y497" s="211"/>
      <c r="Z497" s="305"/>
      <c r="AA497" s="211"/>
      <c r="AB497" s="211"/>
      <c r="AC497" s="211"/>
      <c r="AD497" s="211"/>
      <c r="AE497" s="211"/>
      <c r="AF497" s="211"/>
      <c r="AI497" s="211"/>
      <c r="AJ497" s="211"/>
      <c r="AK497" s="212"/>
      <c r="AL497" s="211"/>
      <c r="AM497" s="210"/>
      <c r="AN497" s="210"/>
    </row>
    <row r="498" spans="1:40" x14ac:dyDescent="0.25">
      <c r="H498" s="200"/>
      <c r="I498" s="200"/>
      <c r="Y498" s="200"/>
      <c r="AM498" s="210"/>
      <c r="AN498" s="210"/>
    </row>
    <row r="499" spans="1:40" x14ac:dyDescent="0.25">
      <c r="A499" s="202"/>
      <c r="C499" s="154"/>
      <c r="F499" s="200"/>
      <c r="H499" s="200"/>
      <c r="I499" s="200"/>
      <c r="L499" s="200"/>
      <c r="M499" s="200"/>
      <c r="N499" s="210"/>
      <c r="O499" s="210"/>
      <c r="P499" s="252"/>
      <c r="Q499" s="252"/>
      <c r="R499" s="200"/>
      <c r="T499" s="154"/>
      <c r="V499" s="200"/>
      <c r="Y499" s="200"/>
      <c r="AA499" s="200"/>
      <c r="AB499" s="200"/>
      <c r="AC499" s="210"/>
      <c r="AD499" s="210"/>
      <c r="AE499" s="200"/>
      <c r="AF499" s="200"/>
      <c r="AG499" s="209"/>
      <c r="AH499" s="201"/>
      <c r="AI499" s="252"/>
      <c r="AJ499" s="252"/>
      <c r="AK499" s="209"/>
      <c r="AL499" s="200"/>
      <c r="AM499" s="210"/>
      <c r="AN499" s="210"/>
    </row>
    <row r="500" spans="1:40" x14ac:dyDescent="0.25">
      <c r="F500" s="211"/>
      <c r="H500" s="211"/>
      <c r="I500" s="211"/>
      <c r="J500" s="305"/>
      <c r="K500" s="305"/>
      <c r="L500" s="211"/>
      <c r="M500" s="211"/>
      <c r="N500" s="211"/>
      <c r="O500" s="211"/>
      <c r="P500" s="211"/>
      <c r="Q500" s="211"/>
      <c r="R500" s="211"/>
      <c r="V500" s="211"/>
      <c r="Y500" s="211"/>
      <c r="Z500" s="305"/>
      <c r="AA500" s="211"/>
      <c r="AB500" s="211"/>
      <c r="AC500" s="211"/>
      <c r="AD500" s="211"/>
      <c r="AE500" s="211"/>
      <c r="AF500" s="211"/>
      <c r="AI500" s="211"/>
      <c r="AJ500" s="211"/>
      <c r="AK500" s="212"/>
      <c r="AL500" s="211"/>
      <c r="AM500" s="210"/>
      <c r="AN500" s="210"/>
    </row>
    <row r="502" spans="1:40" x14ac:dyDescent="0.25">
      <c r="F502" s="200"/>
      <c r="H502" s="200"/>
      <c r="I502" s="200"/>
      <c r="J502" s="213"/>
      <c r="K502" s="213"/>
      <c r="L502" s="200"/>
      <c r="M502" s="200"/>
      <c r="N502" s="200"/>
      <c r="O502" s="200"/>
      <c r="P502" s="200"/>
      <c r="Q502" s="200"/>
      <c r="R502" s="200"/>
      <c r="V502" s="200"/>
      <c r="Y502" s="200"/>
      <c r="Z502" s="213"/>
      <c r="AA502" s="200"/>
      <c r="AB502" s="200"/>
      <c r="AC502" s="200"/>
      <c r="AD502" s="200"/>
      <c r="AE502" s="200"/>
      <c r="AF502" s="200"/>
      <c r="AG502" s="209"/>
      <c r="AH502" s="200"/>
      <c r="AI502" s="200"/>
      <c r="AJ502" s="200"/>
      <c r="AK502" s="209"/>
      <c r="AL502" s="200"/>
    </row>
    <row r="503" spans="1:40" x14ac:dyDescent="0.25">
      <c r="A503" s="154"/>
    </row>
    <row r="504" spans="1:40" x14ac:dyDescent="0.25">
      <c r="J504" s="202"/>
      <c r="K504" s="202"/>
      <c r="Z504" s="202"/>
    </row>
    <row r="505" spans="1:40" x14ac:dyDescent="0.25">
      <c r="H505" s="154"/>
      <c r="I505" s="154"/>
      <c r="Y505" s="154"/>
    </row>
    <row r="506" spans="1:40" x14ac:dyDescent="0.25">
      <c r="J506" s="202"/>
      <c r="K506" s="202"/>
      <c r="Z506" s="202"/>
    </row>
    <row r="507" spans="1:40" x14ac:dyDescent="0.25">
      <c r="L507" s="154"/>
      <c r="M507" s="154"/>
      <c r="AA507" s="154"/>
      <c r="AB507" s="154"/>
    </row>
    <row r="508" spans="1:40" x14ac:dyDescent="0.25">
      <c r="A508" s="202"/>
      <c r="R508" s="154"/>
      <c r="AK508" s="297"/>
      <c r="AL508" s="154"/>
    </row>
    <row r="509" spans="1:40" x14ac:dyDescent="0.25">
      <c r="A509" s="202"/>
      <c r="R509" s="154"/>
      <c r="AK509" s="297"/>
      <c r="AL509" s="154"/>
    </row>
    <row r="510" spans="1:40" x14ac:dyDescent="0.25">
      <c r="A510" s="154"/>
      <c r="R510" s="154"/>
      <c r="AK510" s="297"/>
      <c r="AL510" s="154"/>
    </row>
    <row r="511" spans="1:40" x14ac:dyDescent="0.25">
      <c r="L511" s="154"/>
      <c r="M511" s="154"/>
      <c r="R511" s="202"/>
      <c r="AA511" s="154"/>
      <c r="AB511" s="154"/>
      <c r="AK511" s="209"/>
      <c r="AL511" s="202"/>
    </row>
    <row r="512" spans="1:40" x14ac:dyDescent="0.25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208"/>
      <c r="AH512" s="102"/>
      <c r="AI512" s="102"/>
      <c r="AJ512" s="102"/>
      <c r="AK512" s="208"/>
      <c r="AL512" s="102"/>
      <c r="AM512" s="102"/>
      <c r="AN512" s="102"/>
    </row>
    <row r="513" spans="1:40" x14ac:dyDescent="0.25">
      <c r="L513" s="103"/>
      <c r="M513" s="103"/>
      <c r="N513" s="103"/>
      <c r="O513" s="103"/>
      <c r="R513" s="103"/>
      <c r="AA513" s="103"/>
      <c r="AB513" s="103"/>
      <c r="AC513" s="103"/>
      <c r="AD513" s="103"/>
      <c r="AE513" s="103"/>
      <c r="AF513" s="103"/>
      <c r="AG513" s="185"/>
      <c r="AH513" s="103"/>
      <c r="AK513" s="185"/>
      <c r="AL513" s="103"/>
      <c r="AM513" s="103"/>
      <c r="AN513" s="103"/>
    </row>
    <row r="514" spans="1:40" x14ac:dyDescent="0.25">
      <c r="L514" s="103"/>
      <c r="M514" s="103"/>
      <c r="N514" s="103"/>
      <c r="O514" s="103"/>
      <c r="R514" s="103"/>
      <c r="Z514" s="103"/>
      <c r="AA514" s="103"/>
      <c r="AB514" s="103"/>
      <c r="AC514" s="103"/>
      <c r="AD514" s="103"/>
      <c r="AE514" s="103"/>
      <c r="AF514" s="103"/>
      <c r="AG514" s="185"/>
      <c r="AH514" s="103"/>
      <c r="AK514" s="185"/>
      <c r="AL514" s="103"/>
      <c r="AM514" s="103"/>
      <c r="AN514" s="103"/>
    </row>
    <row r="515" spans="1:40" x14ac:dyDescent="0.25">
      <c r="A515" s="103"/>
      <c r="C515" s="103"/>
      <c r="D515" s="103"/>
      <c r="E515" s="103"/>
      <c r="F515" s="103"/>
      <c r="J515" s="103"/>
      <c r="K515" s="103"/>
      <c r="L515" s="103"/>
      <c r="M515" s="103"/>
      <c r="N515" s="103"/>
      <c r="O515" s="103"/>
      <c r="P515" s="103"/>
      <c r="Q515" s="103"/>
      <c r="R515" s="103"/>
      <c r="T515" s="103"/>
      <c r="U515" s="103"/>
      <c r="V515" s="103"/>
      <c r="Z515" s="103"/>
      <c r="AA515" s="103"/>
      <c r="AB515" s="103"/>
      <c r="AC515" s="103"/>
      <c r="AD515" s="103"/>
      <c r="AE515" s="103"/>
      <c r="AF515" s="103"/>
      <c r="AG515" s="185"/>
      <c r="AH515" s="103"/>
      <c r="AI515" s="103"/>
      <c r="AJ515" s="103"/>
      <c r="AK515" s="185"/>
      <c r="AL515" s="103"/>
      <c r="AM515" s="103"/>
      <c r="AN515" s="103"/>
    </row>
    <row r="516" spans="1:40" x14ac:dyDescent="0.25">
      <c r="A516" s="103"/>
      <c r="C516" s="103"/>
      <c r="D516" s="103"/>
      <c r="E516" s="103"/>
      <c r="F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T516" s="103"/>
      <c r="U516" s="103"/>
      <c r="V516" s="103"/>
      <c r="Y516" s="103"/>
      <c r="Z516" s="103"/>
      <c r="AA516" s="103"/>
      <c r="AB516" s="103"/>
      <c r="AC516" s="103"/>
      <c r="AD516" s="103"/>
      <c r="AE516" s="103"/>
      <c r="AF516" s="103"/>
      <c r="AG516" s="185"/>
      <c r="AH516" s="103"/>
      <c r="AI516" s="103"/>
      <c r="AJ516" s="103"/>
      <c r="AK516" s="185"/>
      <c r="AL516" s="103"/>
      <c r="AM516" s="103"/>
      <c r="AN516" s="103"/>
    </row>
    <row r="517" spans="1:40" x14ac:dyDescent="0.25">
      <c r="C517" s="103"/>
      <c r="D517" s="103"/>
      <c r="E517" s="103"/>
      <c r="F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T517" s="103"/>
      <c r="U517" s="103"/>
      <c r="V517" s="103"/>
      <c r="Y517" s="103"/>
      <c r="Z517" s="103"/>
      <c r="AA517" s="103"/>
      <c r="AB517" s="103"/>
      <c r="AC517" s="103"/>
      <c r="AD517" s="103"/>
      <c r="AE517" s="103"/>
      <c r="AF517" s="103"/>
      <c r="AG517" s="185"/>
      <c r="AH517" s="103"/>
      <c r="AI517" s="103"/>
      <c r="AJ517" s="103"/>
      <c r="AK517" s="185"/>
      <c r="AL517" s="103"/>
      <c r="AM517" s="103"/>
      <c r="AN517" s="103"/>
    </row>
    <row r="518" spans="1:40" x14ac:dyDescent="0.25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208"/>
      <c r="AH518" s="102"/>
      <c r="AI518" s="102"/>
      <c r="AJ518" s="102"/>
      <c r="AK518" s="208"/>
      <c r="AL518" s="102"/>
      <c r="AM518" s="102"/>
      <c r="AN518" s="102"/>
    </row>
    <row r="519" spans="1:40" x14ac:dyDescent="0.25"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Y519" s="103"/>
      <c r="Z519" s="103"/>
      <c r="AA519" s="103"/>
      <c r="AB519" s="103"/>
      <c r="AC519" s="103"/>
      <c r="AD519" s="103"/>
      <c r="AE519" s="103"/>
      <c r="AF519" s="103"/>
      <c r="AG519" s="185"/>
      <c r="AH519" s="103"/>
      <c r="AI519" s="103"/>
      <c r="AJ519" s="103"/>
      <c r="AK519" s="185"/>
      <c r="AL519" s="103"/>
      <c r="AM519" s="103"/>
      <c r="AN519" s="103"/>
    </row>
    <row r="520" spans="1:40" x14ac:dyDescent="0.25">
      <c r="A520" s="202"/>
      <c r="C520" s="154"/>
      <c r="D520" s="154"/>
      <c r="E520" s="154"/>
      <c r="T520" s="154"/>
      <c r="U520" s="154"/>
      <c r="V520" s="200"/>
      <c r="W520" s="200"/>
      <c r="X520" s="200"/>
      <c r="Y520" s="200"/>
      <c r="Z520" s="328"/>
    </row>
    <row r="522" spans="1:40" x14ac:dyDescent="0.25">
      <c r="A522" s="202"/>
      <c r="C522" s="154"/>
      <c r="T522" s="154"/>
      <c r="V522" s="200"/>
      <c r="W522" s="200"/>
      <c r="X522" s="200"/>
      <c r="Y522" s="200"/>
      <c r="Z522" s="328"/>
    </row>
    <row r="523" spans="1:40" x14ac:dyDescent="0.25">
      <c r="A523" s="202"/>
      <c r="C523" s="154"/>
      <c r="F523" s="252"/>
      <c r="H523" s="252"/>
      <c r="I523" s="252"/>
      <c r="J523" s="329"/>
      <c r="K523" s="329"/>
      <c r="L523" s="200"/>
      <c r="M523" s="200"/>
      <c r="N523" s="210"/>
      <c r="O523" s="210"/>
      <c r="P523" s="200"/>
      <c r="Q523" s="200"/>
      <c r="R523" s="200"/>
      <c r="T523" s="154"/>
      <c r="V523" s="200"/>
      <c r="W523" s="200"/>
      <c r="X523" s="200"/>
      <c r="Y523" s="200"/>
      <c r="Z523" s="329"/>
      <c r="AA523" s="200"/>
      <c r="AB523" s="200"/>
      <c r="AC523" s="210"/>
      <c r="AD523" s="210"/>
      <c r="AE523" s="200"/>
      <c r="AF523" s="200"/>
      <c r="AG523" s="209"/>
      <c r="AH523" s="201"/>
      <c r="AI523" s="200"/>
      <c r="AJ523" s="200"/>
      <c r="AK523" s="209"/>
      <c r="AL523" s="200"/>
      <c r="AM523" s="210"/>
      <c r="AN523" s="210"/>
    </row>
    <row r="524" spans="1:40" x14ac:dyDescent="0.25">
      <c r="A524" s="202"/>
      <c r="C524" s="154"/>
      <c r="F524" s="252"/>
      <c r="H524" s="252"/>
      <c r="I524" s="252"/>
      <c r="J524" s="329"/>
      <c r="K524" s="329"/>
      <c r="L524" s="200"/>
      <c r="M524" s="200"/>
      <c r="N524" s="210"/>
      <c r="O524" s="210"/>
      <c r="P524" s="200"/>
      <c r="Q524" s="200"/>
      <c r="R524" s="200"/>
      <c r="T524" s="154"/>
      <c r="V524" s="200"/>
      <c r="W524" s="200"/>
      <c r="X524" s="200"/>
      <c r="Y524" s="200"/>
      <c r="Z524" s="329"/>
      <c r="AA524" s="200"/>
      <c r="AB524" s="200"/>
      <c r="AC524" s="210"/>
      <c r="AD524" s="210"/>
      <c r="AE524" s="200"/>
      <c r="AF524" s="200"/>
      <c r="AG524" s="209"/>
      <c r="AH524" s="201"/>
      <c r="AI524" s="200"/>
      <c r="AJ524" s="200"/>
      <c r="AK524" s="209"/>
      <c r="AL524" s="200"/>
      <c r="AM524" s="210"/>
      <c r="AN524" s="210"/>
    </row>
    <row r="525" spans="1:40" x14ac:dyDescent="0.25">
      <c r="A525" s="202"/>
      <c r="C525" s="154"/>
      <c r="F525" s="252"/>
      <c r="H525" s="252"/>
      <c r="I525" s="252"/>
      <c r="J525" s="329"/>
      <c r="K525" s="329"/>
      <c r="L525" s="200"/>
      <c r="M525" s="200"/>
      <c r="N525" s="210"/>
      <c r="O525" s="210"/>
      <c r="P525" s="200"/>
      <c r="Q525" s="200"/>
      <c r="R525" s="200"/>
      <c r="T525" s="154"/>
      <c r="V525" s="200"/>
      <c r="W525" s="200"/>
      <c r="X525" s="200"/>
      <c r="Y525" s="200"/>
      <c r="Z525" s="329"/>
      <c r="AA525" s="200"/>
      <c r="AB525" s="200"/>
      <c r="AC525" s="210"/>
      <c r="AD525" s="210"/>
      <c r="AE525" s="200"/>
      <c r="AF525" s="200"/>
      <c r="AG525" s="209"/>
      <c r="AH525" s="201"/>
      <c r="AI525" s="200"/>
      <c r="AJ525" s="200"/>
      <c r="AK525" s="209"/>
      <c r="AL525" s="200"/>
      <c r="AM525" s="210"/>
      <c r="AN525" s="210"/>
    </row>
    <row r="526" spans="1:40" x14ac:dyDescent="0.25">
      <c r="A526" s="202"/>
      <c r="C526" s="154"/>
      <c r="F526" s="252"/>
      <c r="H526" s="252"/>
      <c r="I526" s="252"/>
      <c r="J526" s="329"/>
      <c r="K526" s="329"/>
      <c r="L526" s="200"/>
      <c r="M526" s="200"/>
      <c r="N526" s="210"/>
      <c r="O526" s="210"/>
      <c r="P526" s="200"/>
      <c r="Q526" s="200"/>
      <c r="R526" s="200"/>
      <c r="T526" s="154"/>
      <c r="V526" s="200"/>
      <c r="W526" s="200"/>
      <c r="X526" s="200"/>
      <c r="Y526" s="200"/>
      <c r="Z526" s="329"/>
      <c r="AA526" s="200"/>
      <c r="AB526" s="200"/>
      <c r="AC526" s="210"/>
      <c r="AD526" s="210"/>
      <c r="AE526" s="200"/>
      <c r="AF526" s="200"/>
      <c r="AG526" s="209"/>
      <c r="AH526" s="201"/>
      <c r="AI526" s="200"/>
      <c r="AJ526" s="200"/>
      <c r="AK526" s="209"/>
      <c r="AL526" s="200"/>
      <c r="AM526" s="210"/>
      <c r="AN526" s="210"/>
    </row>
    <row r="527" spans="1:40" x14ac:dyDescent="0.25">
      <c r="J527" s="334"/>
      <c r="K527" s="334"/>
      <c r="V527" s="200"/>
      <c r="W527" s="200"/>
      <c r="X527" s="200"/>
      <c r="Y527" s="200"/>
      <c r="Z527" s="329"/>
    </row>
    <row r="528" spans="1:40" x14ac:dyDescent="0.25">
      <c r="A528" s="202"/>
      <c r="C528" s="154"/>
      <c r="F528" s="252"/>
      <c r="H528" s="252"/>
      <c r="I528" s="252"/>
      <c r="J528" s="329"/>
      <c r="K528" s="329"/>
      <c r="L528" s="200"/>
      <c r="M528" s="200"/>
      <c r="N528" s="210"/>
      <c r="O528" s="210"/>
      <c r="P528" s="200"/>
      <c r="Q528" s="200"/>
      <c r="R528" s="200"/>
      <c r="T528" s="154"/>
      <c r="V528" s="200"/>
      <c r="W528" s="200"/>
      <c r="X528" s="200"/>
      <c r="Y528" s="200"/>
      <c r="Z528" s="329"/>
      <c r="AA528" s="200"/>
      <c r="AB528" s="200"/>
      <c r="AC528" s="210"/>
      <c r="AD528" s="210"/>
      <c r="AE528" s="200"/>
      <c r="AF528" s="200"/>
      <c r="AG528" s="209"/>
      <c r="AH528" s="201"/>
      <c r="AI528" s="200"/>
      <c r="AJ528" s="200"/>
      <c r="AK528" s="209"/>
      <c r="AL528" s="200"/>
      <c r="AM528" s="201"/>
      <c r="AN528" s="201"/>
    </row>
    <row r="529" spans="1:40" x14ac:dyDescent="0.25">
      <c r="A529" s="202"/>
      <c r="C529" s="154"/>
      <c r="J529" s="334"/>
      <c r="K529" s="334"/>
      <c r="T529" s="154"/>
      <c r="V529" s="200"/>
      <c r="W529" s="200"/>
      <c r="X529" s="200"/>
      <c r="Y529" s="200"/>
      <c r="Z529" s="329"/>
    </row>
    <row r="530" spans="1:40" x14ac:dyDescent="0.25">
      <c r="A530" s="202"/>
      <c r="C530" s="154"/>
      <c r="F530" s="252"/>
      <c r="H530" s="252"/>
      <c r="I530" s="252"/>
      <c r="J530" s="329"/>
      <c r="K530" s="329"/>
      <c r="L530" s="200"/>
      <c r="M530" s="200"/>
      <c r="N530" s="210"/>
      <c r="O530" s="210"/>
      <c r="P530" s="200"/>
      <c r="Q530" s="200"/>
      <c r="R530" s="200"/>
      <c r="T530" s="154"/>
      <c r="V530" s="200"/>
      <c r="W530" s="200"/>
      <c r="X530" s="200"/>
      <c r="Y530" s="200"/>
      <c r="Z530" s="329"/>
      <c r="AA530" s="200"/>
      <c r="AB530" s="200"/>
      <c r="AC530" s="210"/>
      <c r="AD530" s="210"/>
      <c r="AE530" s="200"/>
      <c r="AF530" s="200"/>
      <c r="AG530" s="209"/>
      <c r="AH530" s="201"/>
      <c r="AI530" s="200"/>
      <c r="AJ530" s="200"/>
      <c r="AK530" s="209"/>
      <c r="AL530" s="200"/>
      <c r="AM530" s="201"/>
      <c r="AN530" s="201"/>
    </row>
    <row r="531" spans="1:40" x14ac:dyDescent="0.25">
      <c r="J531" s="334"/>
      <c r="K531" s="334"/>
      <c r="Z531" s="334"/>
    </row>
    <row r="532" spans="1:40" x14ac:dyDescent="0.25">
      <c r="A532" s="202"/>
      <c r="C532" s="154"/>
      <c r="J532" s="334"/>
      <c r="K532" s="334"/>
      <c r="T532" s="154"/>
      <c r="V532" s="200"/>
      <c r="W532" s="200"/>
      <c r="X532" s="200"/>
      <c r="Y532" s="200"/>
      <c r="Z532" s="329"/>
    </row>
    <row r="533" spans="1:40" x14ac:dyDescent="0.25">
      <c r="A533" s="202"/>
      <c r="C533" s="154"/>
      <c r="F533" s="252"/>
      <c r="H533" s="252"/>
      <c r="I533" s="252"/>
      <c r="J533" s="329"/>
      <c r="K533" s="329"/>
      <c r="L533" s="200"/>
      <c r="M533" s="200"/>
      <c r="N533" s="210"/>
      <c r="O533" s="210"/>
      <c r="P533" s="200"/>
      <c r="Q533" s="200"/>
      <c r="R533" s="200"/>
      <c r="T533" s="154"/>
      <c r="V533" s="200"/>
      <c r="W533" s="200"/>
      <c r="X533" s="200"/>
      <c r="Y533" s="200"/>
      <c r="Z533" s="329"/>
      <c r="AA533" s="200"/>
      <c r="AB533" s="200"/>
      <c r="AC533" s="210"/>
      <c r="AD533" s="210"/>
      <c r="AE533" s="200"/>
      <c r="AF533" s="200"/>
      <c r="AG533" s="209"/>
      <c r="AH533" s="201"/>
      <c r="AI533" s="200"/>
      <c r="AJ533" s="200"/>
      <c r="AK533" s="209"/>
      <c r="AL533" s="200"/>
      <c r="AM533" s="201"/>
      <c r="AN533" s="201"/>
    </row>
    <row r="534" spans="1:40" x14ac:dyDescent="0.25">
      <c r="A534" s="202"/>
      <c r="C534" s="154"/>
      <c r="F534" s="252"/>
      <c r="H534" s="252"/>
      <c r="I534" s="252"/>
      <c r="J534" s="329"/>
      <c r="K534" s="329"/>
      <c r="L534" s="200"/>
      <c r="M534" s="200"/>
      <c r="N534" s="210"/>
      <c r="O534" s="210"/>
      <c r="P534" s="200"/>
      <c r="Q534" s="200"/>
      <c r="R534" s="200"/>
      <c r="T534" s="154"/>
      <c r="V534" s="200"/>
      <c r="W534" s="200"/>
      <c r="X534" s="200"/>
      <c r="Y534" s="200"/>
      <c r="Z534" s="329"/>
      <c r="AA534" s="200"/>
      <c r="AB534" s="200"/>
      <c r="AC534" s="210"/>
      <c r="AD534" s="210"/>
      <c r="AE534" s="200"/>
      <c r="AF534" s="200"/>
      <c r="AG534" s="209"/>
      <c r="AH534" s="201"/>
      <c r="AI534" s="200"/>
      <c r="AJ534" s="200"/>
      <c r="AK534" s="209"/>
      <c r="AL534" s="200"/>
      <c r="AM534" s="201"/>
      <c r="AN534" s="201"/>
    </row>
    <row r="535" spans="1:40" x14ac:dyDescent="0.25">
      <c r="F535" s="211"/>
      <c r="H535" s="211"/>
      <c r="I535" s="211"/>
      <c r="J535" s="329"/>
      <c r="K535" s="329"/>
      <c r="L535" s="211"/>
      <c r="M535" s="211"/>
      <c r="N535" s="211"/>
      <c r="O535" s="211"/>
      <c r="P535" s="211"/>
      <c r="Q535" s="211"/>
      <c r="R535" s="211"/>
      <c r="V535" s="211"/>
      <c r="Y535" s="211"/>
      <c r="Z535" s="305"/>
      <c r="AA535" s="211"/>
      <c r="AB535" s="211"/>
      <c r="AC535" s="211"/>
      <c r="AD535" s="211"/>
      <c r="AE535" s="211"/>
      <c r="AF535" s="211"/>
      <c r="AI535" s="211"/>
      <c r="AJ535" s="211"/>
      <c r="AK535" s="212"/>
      <c r="AL535" s="211"/>
    </row>
    <row r="536" spans="1:40" x14ac:dyDescent="0.25">
      <c r="A536" s="202"/>
      <c r="C536" s="154"/>
      <c r="F536" s="200"/>
      <c r="H536" s="200"/>
      <c r="I536" s="200"/>
      <c r="L536" s="200"/>
      <c r="M536" s="200"/>
      <c r="N536" s="210"/>
      <c r="O536" s="210"/>
      <c r="P536" s="252"/>
      <c r="Q536" s="252"/>
      <c r="R536" s="200"/>
      <c r="T536" s="154"/>
      <c r="V536" s="200"/>
      <c r="W536" s="200"/>
      <c r="X536" s="200"/>
      <c r="Y536" s="200"/>
      <c r="Z536" s="328"/>
      <c r="AA536" s="200"/>
      <c r="AB536" s="200"/>
      <c r="AC536" s="210"/>
      <c r="AD536" s="210"/>
      <c r="AE536" s="200"/>
      <c r="AF536" s="200"/>
      <c r="AG536" s="209"/>
      <c r="AH536" s="201"/>
      <c r="AI536" s="252"/>
      <c r="AJ536" s="252"/>
      <c r="AK536" s="209"/>
      <c r="AL536" s="200"/>
      <c r="AM536" s="201"/>
      <c r="AN536" s="201"/>
    </row>
    <row r="537" spans="1:40" x14ac:dyDescent="0.25">
      <c r="F537" s="211"/>
      <c r="H537" s="211"/>
      <c r="I537" s="211"/>
      <c r="J537" s="305"/>
      <c r="K537" s="305"/>
      <c r="L537" s="211"/>
      <c r="M537" s="211"/>
      <c r="N537" s="211"/>
      <c r="O537" s="211"/>
      <c r="P537" s="211"/>
      <c r="Q537" s="211"/>
      <c r="R537" s="211"/>
      <c r="V537" s="211"/>
      <c r="Y537" s="211"/>
      <c r="Z537" s="305"/>
      <c r="AA537" s="211"/>
      <c r="AB537" s="211"/>
      <c r="AC537" s="211"/>
      <c r="AD537" s="211"/>
      <c r="AE537" s="211"/>
      <c r="AF537" s="211"/>
      <c r="AI537" s="211"/>
      <c r="AJ537" s="211"/>
      <c r="AK537" s="212"/>
      <c r="AL537" s="211"/>
    </row>
    <row r="539" spans="1:40" x14ac:dyDescent="0.25">
      <c r="C539" s="202"/>
      <c r="T539" s="202"/>
    </row>
    <row r="540" spans="1:40" x14ac:dyDescent="0.25">
      <c r="A540" s="154"/>
    </row>
    <row r="541" spans="1:40" x14ac:dyDescent="0.25">
      <c r="J541" s="202"/>
      <c r="K541" s="202"/>
      <c r="Z541" s="202"/>
    </row>
    <row r="542" spans="1:40" x14ac:dyDescent="0.25">
      <c r="H542" s="154"/>
      <c r="I542" s="154"/>
      <c r="Y542" s="154"/>
    </row>
    <row r="543" spans="1:40" x14ac:dyDescent="0.25">
      <c r="J543" s="202"/>
      <c r="K543" s="202"/>
      <c r="Z543" s="202"/>
    </row>
    <row r="544" spans="1:40" x14ac:dyDescent="0.25">
      <c r="L544" s="154"/>
      <c r="M544" s="154"/>
      <c r="AA544" s="154"/>
      <c r="AB544" s="154"/>
    </row>
    <row r="545" spans="1:40" x14ac:dyDescent="0.25">
      <c r="A545" s="202"/>
      <c r="R545" s="154"/>
      <c r="AK545" s="297"/>
      <c r="AL545" s="154"/>
    </row>
    <row r="546" spans="1:40" x14ac:dyDescent="0.25">
      <c r="A546" s="202"/>
      <c r="R546" s="154"/>
      <c r="AK546" s="297"/>
      <c r="AL546" s="154"/>
    </row>
    <row r="547" spans="1:40" x14ac:dyDescent="0.25">
      <c r="A547" s="154"/>
      <c r="R547" s="154"/>
      <c r="AK547" s="297"/>
      <c r="AL547" s="154"/>
    </row>
    <row r="548" spans="1:40" x14ac:dyDescent="0.25">
      <c r="L548" s="154"/>
      <c r="M548" s="154"/>
      <c r="R548" s="202"/>
      <c r="AA548" s="154"/>
      <c r="AB548" s="154"/>
      <c r="AK548" s="209"/>
      <c r="AL548" s="202"/>
    </row>
    <row r="549" spans="1:40" x14ac:dyDescent="0.25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208"/>
      <c r="AH549" s="102"/>
      <c r="AI549" s="102"/>
      <c r="AJ549" s="102"/>
      <c r="AK549" s="208"/>
      <c r="AL549" s="102"/>
      <c r="AM549" s="102"/>
      <c r="AN549" s="102"/>
    </row>
    <row r="550" spans="1:40" x14ac:dyDescent="0.25">
      <c r="L550" s="103"/>
      <c r="M550" s="103"/>
      <c r="N550" s="103"/>
      <c r="O550" s="103"/>
      <c r="R550" s="103"/>
      <c r="AA550" s="103"/>
      <c r="AB550" s="103"/>
      <c r="AC550" s="103"/>
      <c r="AD550" s="103"/>
      <c r="AE550" s="103"/>
      <c r="AF550" s="103"/>
      <c r="AG550" s="185"/>
      <c r="AH550" s="103"/>
      <c r="AK550" s="185"/>
      <c r="AL550" s="103"/>
      <c r="AM550" s="103"/>
      <c r="AN550" s="103"/>
    </row>
    <row r="551" spans="1:40" x14ac:dyDescent="0.25">
      <c r="L551" s="103"/>
      <c r="M551" s="103"/>
      <c r="N551" s="103"/>
      <c r="O551" s="103"/>
      <c r="R551" s="103"/>
      <c r="Z551" s="103"/>
      <c r="AA551" s="103"/>
      <c r="AB551" s="103"/>
      <c r="AC551" s="103"/>
      <c r="AD551" s="103"/>
      <c r="AE551" s="103"/>
      <c r="AF551" s="103"/>
      <c r="AG551" s="185"/>
      <c r="AH551" s="103"/>
      <c r="AK551" s="185"/>
      <c r="AL551" s="103"/>
      <c r="AM551" s="103"/>
      <c r="AN551" s="103"/>
    </row>
    <row r="552" spans="1:40" x14ac:dyDescent="0.25">
      <c r="A552" s="103"/>
      <c r="C552" s="103"/>
      <c r="D552" s="103"/>
      <c r="E552" s="103"/>
      <c r="F552" s="103"/>
      <c r="J552" s="103"/>
      <c r="K552" s="103"/>
      <c r="L552" s="103"/>
      <c r="M552" s="103"/>
      <c r="N552" s="103"/>
      <c r="O552" s="103"/>
      <c r="P552" s="103"/>
      <c r="Q552" s="103"/>
      <c r="R552" s="103"/>
      <c r="T552" s="103"/>
      <c r="U552" s="103"/>
      <c r="V552" s="103"/>
      <c r="Z552" s="103"/>
      <c r="AA552" s="103"/>
      <c r="AB552" s="103"/>
      <c r="AC552" s="103"/>
      <c r="AD552" s="103"/>
      <c r="AE552" s="103"/>
      <c r="AF552" s="103"/>
      <c r="AG552" s="185"/>
      <c r="AH552" s="103"/>
      <c r="AI552" s="103"/>
      <c r="AJ552" s="103"/>
      <c r="AK552" s="185"/>
      <c r="AL552" s="103"/>
      <c r="AM552" s="103"/>
      <c r="AN552" s="103"/>
    </row>
    <row r="553" spans="1:40" x14ac:dyDescent="0.25">
      <c r="A553" s="103"/>
      <c r="C553" s="103"/>
      <c r="D553" s="103"/>
      <c r="E553" s="103"/>
      <c r="F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T553" s="103"/>
      <c r="U553" s="103"/>
      <c r="V553" s="103"/>
      <c r="Y553" s="103"/>
      <c r="Z553" s="103"/>
      <c r="AA553" s="103"/>
      <c r="AB553" s="103"/>
      <c r="AC553" s="103"/>
      <c r="AD553" s="103"/>
      <c r="AE553" s="103"/>
      <c r="AF553" s="103"/>
      <c r="AG553" s="185"/>
      <c r="AH553" s="103"/>
      <c r="AI553" s="103"/>
      <c r="AJ553" s="103"/>
      <c r="AK553" s="185"/>
      <c r="AL553" s="103"/>
      <c r="AM553" s="103"/>
      <c r="AN553" s="103"/>
    </row>
    <row r="554" spans="1:40" x14ac:dyDescent="0.25">
      <c r="C554" s="103"/>
      <c r="D554" s="103"/>
      <c r="E554" s="103"/>
      <c r="F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T554" s="103"/>
      <c r="U554" s="103"/>
      <c r="V554" s="103"/>
      <c r="Y554" s="103"/>
      <c r="Z554" s="103"/>
      <c r="AA554" s="103"/>
      <c r="AB554" s="103"/>
      <c r="AC554" s="103"/>
      <c r="AD554" s="103"/>
      <c r="AE554" s="103"/>
      <c r="AF554" s="103"/>
      <c r="AG554" s="185"/>
      <c r="AH554" s="103"/>
      <c r="AI554" s="103"/>
      <c r="AJ554" s="103"/>
      <c r="AK554" s="185"/>
      <c r="AL554" s="103"/>
      <c r="AM554" s="103"/>
      <c r="AN554" s="103"/>
    </row>
    <row r="555" spans="1:40" x14ac:dyDescent="0.25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208"/>
      <c r="AH555" s="102"/>
      <c r="AI555" s="102"/>
      <c r="AJ555" s="102"/>
      <c r="AK555" s="208"/>
      <c r="AL555" s="102"/>
      <c r="AM555" s="102"/>
      <c r="AN555" s="102"/>
    </row>
    <row r="556" spans="1:40" x14ac:dyDescent="0.25"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Y556" s="103"/>
      <c r="Z556" s="103"/>
      <c r="AA556" s="103"/>
      <c r="AB556" s="103"/>
      <c r="AC556" s="103"/>
      <c r="AD556" s="103"/>
      <c r="AE556" s="103"/>
      <c r="AF556" s="103"/>
      <c r="AG556" s="185"/>
      <c r="AH556" s="103"/>
      <c r="AI556" s="103"/>
      <c r="AJ556" s="103"/>
      <c r="AK556" s="185"/>
      <c r="AL556" s="103"/>
      <c r="AM556" s="103"/>
      <c r="AN556" s="103"/>
    </row>
    <row r="557" spans="1:40" x14ac:dyDescent="0.25">
      <c r="A557" s="202"/>
      <c r="C557" s="154"/>
      <c r="D557" s="154"/>
      <c r="E557" s="154"/>
      <c r="T557" s="154"/>
      <c r="U557" s="154"/>
    </row>
    <row r="559" spans="1:40" x14ac:dyDescent="0.25">
      <c r="A559" s="202"/>
      <c r="C559" s="154"/>
      <c r="T559" s="154"/>
    </row>
    <row r="560" spans="1:40" x14ac:dyDescent="0.25">
      <c r="A560" s="202"/>
      <c r="C560" s="154"/>
      <c r="T560" s="154"/>
    </row>
    <row r="561" spans="1:40" x14ac:dyDescent="0.25">
      <c r="A561" s="202"/>
      <c r="C561" s="154"/>
      <c r="F561" s="252"/>
      <c r="H561" s="252"/>
      <c r="I561" s="252"/>
      <c r="J561" s="329"/>
      <c r="K561" s="329"/>
      <c r="L561" s="200"/>
      <c r="M561" s="200"/>
      <c r="N561" s="210"/>
      <c r="O561" s="210"/>
      <c r="P561" s="200"/>
      <c r="Q561" s="200"/>
      <c r="R561" s="200"/>
      <c r="T561" s="154"/>
      <c r="V561" s="200"/>
      <c r="W561" s="200"/>
      <c r="X561" s="200"/>
      <c r="Y561" s="200"/>
      <c r="Z561" s="329"/>
      <c r="AA561" s="200"/>
      <c r="AB561" s="200"/>
      <c r="AC561" s="210"/>
      <c r="AD561" s="210"/>
      <c r="AE561" s="200"/>
      <c r="AF561" s="200"/>
      <c r="AG561" s="209"/>
      <c r="AH561" s="201"/>
      <c r="AI561" s="200"/>
      <c r="AJ561" s="200"/>
      <c r="AK561" s="209"/>
      <c r="AL561" s="200"/>
      <c r="AM561" s="201"/>
      <c r="AN561" s="201"/>
    </row>
    <row r="562" spans="1:40" x14ac:dyDescent="0.25">
      <c r="A562" s="202"/>
      <c r="C562" s="154"/>
      <c r="F562" s="200"/>
      <c r="H562" s="200"/>
      <c r="I562" s="200"/>
      <c r="J562" s="334"/>
      <c r="K562" s="334"/>
      <c r="L562" s="200"/>
      <c r="M562" s="200"/>
      <c r="N562" s="210"/>
      <c r="O562" s="210"/>
      <c r="P562" s="200"/>
      <c r="Q562" s="200"/>
      <c r="R562" s="200"/>
      <c r="T562" s="154"/>
      <c r="V562" s="200"/>
      <c r="W562" s="200"/>
      <c r="X562" s="200"/>
      <c r="Y562" s="200"/>
      <c r="Z562" s="334"/>
      <c r="AA562" s="200"/>
      <c r="AB562" s="200"/>
      <c r="AC562" s="210"/>
      <c r="AD562" s="210"/>
      <c r="AE562" s="200"/>
      <c r="AF562" s="200"/>
      <c r="AG562" s="209"/>
      <c r="AH562" s="201"/>
      <c r="AI562" s="200"/>
      <c r="AJ562" s="200"/>
      <c r="AK562" s="209"/>
      <c r="AL562" s="200"/>
      <c r="AM562" s="201"/>
      <c r="AN562" s="201"/>
    </row>
    <row r="563" spans="1:40" x14ac:dyDescent="0.25">
      <c r="A563" s="202"/>
      <c r="C563" s="154"/>
      <c r="F563" s="200"/>
      <c r="H563" s="200"/>
      <c r="I563" s="200"/>
      <c r="J563" s="334"/>
      <c r="K563" s="334"/>
      <c r="L563" s="200"/>
      <c r="M563" s="200"/>
      <c r="N563" s="210"/>
      <c r="O563" s="210"/>
      <c r="P563" s="200"/>
      <c r="Q563" s="200"/>
      <c r="R563" s="200"/>
      <c r="T563" s="154"/>
      <c r="V563" s="200"/>
      <c r="W563" s="200"/>
      <c r="X563" s="200"/>
      <c r="Y563" s="200"/>
      <c r="Z563" s="334"/>
      <c r="AA563" s="200"/>
      <c r="AB563" s="200"/>
      <c r="AC563" s="210"/>
      <c r="AD563" s="210"/>
      <c r="AE563" s="200"/>
      <c r="AF563" s="200"/>
      <c r="AG563" s="209"/>
      <c r="AH563" s="201"/>
      <c r="AI563" s="200"/>
      <c r="AJ563" s="200"/>
      <c r="AK563" s="209"/>
      <c r="AL563" s="200"/>
      <c r="AM563" s="201"/>
      <c r="AN563" s="201"/>
    </row>
    <row r="564" spans="1:40" x14ac:dyDescent="0.25">
      <c r="A564" s="202"/>
      <c r="C564" s="154"/>
      <c r="F564" s="200"/>
      <c r="H564" s="200"/>
      <c r="I564" s="200"/>
      <c r="J564" s="334"/>
      <c r="K564" s="334"/>
      <c r="T564" s="154"/>
      <c r="V564" s="200"/>
      <c r="Z564" s="334"/>
    </row>
    <row r="565" spans="1:40" x14ac:dyDescent="0.25">
      <c r="A565" s="202"/>
      <c r="C565" s="154"/>
      <c r="F565" s="252"/>
      <c r="H565" s="252"/>
      <c r="I565" s="252"/>
      <c r="J565" s="329"/>
      <c r="K565" s="329"/>
      <c r="L565" s="200"/>
      <c r="M565" s="200"/>
      <c r="N565" s="210"/>
      <c r="O565" s="210"/>
      <c r="P565" s="200"/>
      <c r="Q565" s="200"/>
      <c r="R565" s="200"/>
      <c r="T565" s="154"/>
      <c r="V565" s="200"/>
      <c r="W565" s="200"/>
      <c r="X565" s="200"/>
      <c r="Y565" s="200"/>
      <c r="Z565" s="329"/>
      <c r="AA565" s="200"/>
      <c r="AB565" s="200"/>
      <c r="AC565" s="210"/>
      <c r="AD565" s="210"/>
      <c r="AE565" s="200"/>
      <c r="AF565" s="200"/>
      <c r="AG565" s="209"/>
      <c r="AH565" s="201"/>
      <c r="AI565" s="200"/>
      <c r="AJ565" s="200"/>
      <c r="AK565" s="209"/>
      <c r="AL565" s="200"/>
      <c r="AM565" s="201"/>
      <c r="AN565" s="201"/>
    </row>
    <row r="566" spans="1:40" x14ac:dyDescent="0.25">
      <c r="A566" s="202"/>
      <c r="C566" s="154"/>
      <c r="F566" s="200"/>
      <c r="H566" s="200"/>
      <c r="I566" s="200"/>
      <c r="J566" s="334"/>
      <c r="K566" s="334"/>
      <c r="T566" s="154"/>
      <c r="V566" s="200"/>
      <c r="W566" s="200"/>
      <c r="X566" s="200"/>
      <c r="Y566" s="200"/>
      <c r="Z566" s="334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01"/>
      <c r="AN566" s="201"/>
    </row>
    <row r="567" spans="1:40" x14ac:dyDescent="0.25">
      <c r="A567" s="202"/>
      <c r="C567" s="154"/>
      <c r="F567" s="252"/>
      <c r="H567" s="252"/>
      <c r="I567" s="252"/>
      <c r="J567" s="329"/>
      <c r="K567" s="329"/>
      <c r="L567" s="200"/>
      <c r="M567" s="200"/>
      <c r="N567" s="210"/>
      <c r="O567" s="210"/>
      <c r="P567" s="200"/>
      <c r="Q567" s="200"/>
      <c r="R567" s="200"/>
      <c r="T567" s="154"/>
      <c r="V567" s="200"/>
      <c r="W567" s="200"/>
      <c r="X567" s="200"/>
      <c r="Y567" s="200"/>
      <c r="Z567" s="329"/>
      <c r="AA567" s="200"/>
      <c r="AB567" s="200"/>
      <c r="AC567" s="210"/>
      <c r="AD567" s="210"/>
      <c r="AE567" s="200"/>
      <c r="AF567" s="200"/>
      <c r="AG567" s="209"/>
      <c r="AH567" s="201"/>
      <c r="AI567" s="200"/>
      <c r="AJ567" s="200"/>
      <c r="AK567" s="209"/>
      <c r="AL567" s="200"/>
      <c r="AM567" s="201"/>
      <c r="AN567" s="201"/>
    </row>
    <row r="568" spans="1:40" x14ac:dyDescent="0.25">
      <c r="A568" s="202"/>
      <c r="C568" s="154"/>
      <c r="F568" s="200"/>
      <c r="H568" s="200"/>
      <c r="I568" s="200"/>
      <c r="J568" s="334"/>
      <c r="K568" s="334"/>
      <c r="L568" s="200"/>
      <c r="M568" s="200"/>
      <c r="N568" s="210"/>
      <c r="O568" s="210"/>
      <c r="P568" s="200"/>
      <c r="Q568" s="200"/>
      <c r="R568" s="200"/>
      <c r="T568" s="154"/>
      <c r="V568" s="200"/>
      <c r="W568" s="200"/>
      <c r="X568" s="200"/>
      <c r="Y568" s="200"/>
      <c r="Z568" s="334"/>
      <c r="AA568" s="200"/>
      <c r="AB568" s="200"/>
      <c r="AC568" s="210"/>
      <c r="AD568" s="210"/>
      <c r="AE568" s="200"/>
      <c r="AF568" s="200"/>
      <c r="AG568" s="209"/>
      <c r="AH568" s="201"/>
      <c r="AI568" s="200"/>
      <c r="AJ568" s="200"/>
      <c r="AK568" s="209"/>
      <c r="AL568" s="200"/>
      <c r="AM568" s="201"/>
      <c r="AN568" s="201"/>
    </row>
    <row r="569" spans="1:40" x14ac:dyDescent="0.25">
      <c r="F569" s="200"/>
      <c r="H569" s="200"/>
      <c r="I569" s="200"/>
      <c r="J569" s="334"/>
      <c r="K569" s="334"/>
      <c r="Z569" s="334"/>
    </row>
    <row r="570" spans="1:40" x14ac:dyDescent="0.25">
      <c r="A570" s="202"/>
      <c r="C570" s="154"/>
      <c r="F570" s="200"/>
      <c r="H570" s="252"/>
      <c r="I570" s="252"/>
      <c r="J570" s="329"/>
      <c r="K570" s="329"/>
      <c r="L570" s="200"/>
      <c r="M570" s="200"/>
      <c r="N570" s="210"/>
      <c r="O570" s="210"/>
      <c r="P570" s="200"/>
      <c r="Q570" s="200"/>
      <c r="R570" s="200"/>
      <c r="T570" s="154"/>
      <c r="V570" s="200"/>
      <c r="W570" s="200"/>
      <c r="X570" s="200"/>
      <c r="Y570" s="200"/>
      <c r="Z570" s="329"/>
      <c r="AA570" s="200"/>
      <c r="AB570" s="200"/>
      <c r="AC570" s="210"/>
      <c r="AD570" s="210"/>
      <c r="AE570" s="200"/>
      <c r="AF570" s="200"/>
      <c r="AG570" s="209"/>
      <c r="AH570" s="201"/>
      <c r="AI570" s="200"/>
      <c r="AJ570" s="200"/>
      <c r="AK570" s="209"/>
      <c r="AL570" s="200"/>
      <c r="AM570" s="201"/>
      <c r="AN570" s="201"/>
    </row>
    <row r="571" spans="1:40" x14ac:dyDescent="0.25">
      <c r="F571" s="211"/>
      <c r="H571" s="211"/>
      <c r="I571" s="211"/>
      <c r="J571" s="329"/>
      <c r="K571" s="329"/>
      <c r="L571" s="211"/>
      <c r="M571" s="211"/>
      <c r="N571" s="211"/>
      <c r="O571" s="211"/>
      <c r="P571" s="211"/>
      <c r="Q571" s="211"/>
      <c r="R571" s="211"/>
      <c r="V571" s="211"/>
      <c r="Y571" s="211"/>
      <c r="Z571" s="329"/>
      <c r="AA571" s="211"/>
      <c r="AB571" s="211"/>
      <c r="AC571" s="211"/>
      <c r="AD571" s="211"/>
      <c r="AE571" s="211"/>
      <c r="AF571" s="211"/>
      <c r="AI571" s="211"/>
      <c r="AJ571" s="211"/>
      <c r="AK571" s="212"/>
      <c r="AL571" s="211"/>
    </row>
    <row r="572" spans="1:40" x14ac:dyDescent="0.25">
      <c r="A572" s="202"/>
      <c r="C572" s="154"/>
      <c r="F572" s="200"/>
      <c r="H572" s="200"/>
      <c r="I572" s="200"/>
      <c r="J572" s="334"/>
      <c r="K572" s="334"/>
      <c r="L572" s="200"/>
      <c r="M572" s="200"/>
      <c r="N572" s="202"/>
      <c r="O572" s="202"/>
      <c r="P572" s="200"/>
      <c r="Q572" s="200"/>
      <c r="R572" s="200"/>
      <c r="T572" s="154"/>
      <c r="V572" s="200"/>
      <c r="Y572" s="200"/>
      <c r="Z572" s="334"/>
      <c r="AA572" s="200"/>
      <c r="AB572" s="200"/>
      <c r="AC572" s="201"/>
      <c r="AD572" s="201"/>
      <c r="AE572" s="200"/>
      <c r="AF572" s="200"/>
      <c r="AG572" s="209"/>
      <c r="AH572" s="201"/>
      <c r="AI572" s="200"/>
      <c r="AJ572" s="200"/>
      <c r="AK572" s="209"/>
      <c r="AL572" s="200"/>
      <c r="AM572" s="201"/>
      <c r="AN572" s="201"/>
    </row>
    <row r="573" spans="1:40" x14ac:dyDescent="0.25">
      <c r="F573" s="211"/>
      <c r="H573" s="211"/>
      <c r="I573" s="211"/>
      <c r="J573" s="329"/>
      <c r="K573" s="329"/>
      <c r="L573" s="211"/>
      <c r="M573" s="211"/>
      <c r="N573" s="211"/>
      <c r="O573" s="211"/>
      <c r="P573" s="211"/>
      <c r="Q573" s="211"/>
      <c r="R573" s="211"/>
      <c r="V573" s="211"/>
      <c r="Y573" s="211"/>
      <c r="Z573" s="329"/>
      <c r="AA573" s="211"/>
      <c r="AB573" s="211"/>
      <c r="AC573" s="211"/>
      <c r="AD573" s="211"/>
      <c r="AE573" s="211"/>
      <c r="AF573" s="211"/>
      <c r="AI573" s="211"/>
      <c r="AJ573" s="211"/>
      <c r="AK573" s="212"/>
      <c r="AL573" s="211"/>
    </row>
    <row r="574" spans="1:40" x14ac:dyDescent="0.25">
      <c r="J574" s="334"/>
      <c r="K574" s="334"/>
      <c r="Z574" s="334"/>
    </row>
    <row r="575" spans="1:40" x14ac:dyDescent="0.25">
      <c r="A575" s="202"/>
      <c r="C575" s="154"/>
      <c r="J575" s="334"/>
      <c r="K575" s="334"/>
      <c r="T575" s="154"/>
      <c r="Z575" s="334"/>
    </row>
    <row r="576" spans="1:40" x14ac:dyDescent="0.25">
      <c r="A576" s="202"/>
      <c r="C576" s="154"/>
      <c r="J576" s="334"/>
      <c r="K576" s="334"/>
      <c r="T576" s="154"/>
      <c r="Z576" s="334"/>
    </row>
    <row r="577" spans="1:40" x14ac:dyDescent="0.25">
      <c r="A577" s="202"/>
      <c r="C577" s="154"/>
      <c r="F577" s="252"/>
      <c r="H577" s="252"/>
      <c r="I577" s="252"/>
      <c r="J577" s="329"/>
      <c r="K577" s="329"/>
      <c r="L577" s="200"/>
      <c r="M577" s="200"/>
      <c r="N577" s="210"/>
      <c r="O577" s="210"/>
      <c r="P577" s="200"/>
      <c r="Q577" s="200"/>
      <c r="R577" s="200"/>
      <c r="T577" s="154"/>
      <c r="V577" s="200"/>
      <c r="W577" s="200"/>
      <c r="X577" s="200"/>
      <c r="Y577" s="200"/>
      <c r="Z577" s="329"/>
      <c r="AA577" s="200"/>
      <c r="AB577" s="200"/>
      <c r="AC577" s="210"/>
      <c r="AD577" s="210"/>
      <c r="AE577" s="200"/>
      <c r="AF577" s="200"/>
      <c r="AG577" s="209"/>
      <c r="AH577" s="201"/>
      <c r="AI577" s="200"/>
      <c r="AJ577" s="200"/>
      <c r="AK577" s="209"/>
      <c r="AL577" s="200"/>
      <c r="AM577" s="201"/>
      <c r="AN577" s="201"/>
    </row>
    <row r="578" spans="1:40" x14ac:dyDescent="0.25">
      <c r="A578" s="202"/>
      <c r="C578" s="154"/>
      <c r="J578" s="334"/>
      <c r="K578" s="334"/>
      <c r="T578" s="154"/>
      <c r="Z578" s="334"/>
    </row>
    <row r="579" spans="1:40" x14ac:dyDescent="0.25">
      <c r="A579" s="202"/>
      <c r="C579" s="154"/>
      <c r="F579" s="252"/>
      <c r="H579" s="252"/>
      <c r="I579" s="252"/>
      <c r="J579" s="329"/>
      <c r="K579" s="329"/>
      <c r="L579" s="200"/>
      <c r="M579" s="200"/>
      <c r="N579" s="210"/>
      <c r="O579" s="210"/>
      <c r="P579" s="200"/>
      <c r="Q579" s="200"/>
      <c r="R579" s="200"/>
      <c r="T579" s="154"/>
      <c r="V579" s="200"/>
      <c r="W579" s="200"/>
      <c r="X579" s="200"/>
      <c r="Y579" s="200"/>
      <c r="Z579" s="329"/>
      <c r="AA579" s="200"/>
      <c r="AB579" s="200"/>
      <c r="AC579" s="210"/>
      <c r="AD579" s="210"/>
      <c r="AE579" s="200"/>
      <c r="AF579" s="200"/>
      <c r="AG579" s="209"/>
      <c r="AH579" s="201"/>
      <c r="AI579" s="200"/>
      <c r="AJ579" s="200"/>
      <c r="AK579" s="209"/>
      <c r="AL579" s="200"/>
      <c r="AM579" s="201"/>
      <c r="AN579" s="201"/>
    </row>
    <row r="580" spans="1:40" x14ac:dyDescent="0.25">
      <c r="F580" s="211"/>
      <c r="H580" s="211"/>
      <c r="I580" s="211"/>
      <c r="J580" s="329"/>
      <c r="K580" s="329"/>
      <c r="L580" s="211"/>
      <c r="M580" s="211"/>
      <c r="N580" s="211"/>
      <c r="O580" s="211"/>
      <c r="P580" s="211"/>
      <c r="Q580" s="211"/>
      <c r="R580" s="211"/>
      <c r="V580" s="211"/>
      <c r="Y580" s="211"/>
      <c r="Z580" s="329"/>
      <c r="AA580" s="211"/>
      <c r="AB580" s="211"/>
      <c r="AC580" s="211"/>
      <c r="AD580" s="211"/>
      <c r="AE580" s="211"/>
      <c r="AF580" s="211"/>
      <c r="AI580" s="211"/>
      <c r="AJ580" s="211"/>
      <c r="AK580" s="212"/>
      <c r="AL580" s="211"/>
    </row>
    <row r="581" spans="1:40" x14ac:dyDescent="0.25">
      <c r="A581" s="202"/>
      <c r="C581" s="154"/>
      <c r="F581" s="200"/>
      <c r="H581" s="200"/>
      <c r="I581" s="200"/>
      <c r="J581" s="334"/>
      <c r="K581" s="334"/>
      <c r="L581" s="200"/>
      <c r="M581" s="200"/>
      <c r="N581" s="201"/>
      <c r="O581" s="201"/>
      <c r="P581" s="200"/>
      <c r="Q581" s="200"/>
      <c r="R581" s="200"/>
      <c r="T581" s="154"/>
      <c r="V581" s="200"/>
      <c r="Y581" s="200"/>
      <c r="Z581" s="334"/>
      <c r="AA581" s="200"/>
      <c r="AB581" s="200"/>
      <c r="AC581" s="201"/>
      <c r="AD581" s="201"/>
      <c r="AE581" s="200"/>
      <c r="AF581" s="200"/>
      <c r="AG581" s="209"/>
      <c r="AH581" s="201"/>
      <c r="AI581" s="200"/>
      <c r="AJ581" s="200"/>
      <c r="AK581" s="209"/>
      <c r="AL581" s="200"/>
      <c r="AM581" s="201"/>
      <c r="AN581" s="201"/>
    </row>
    <row r="582" spans="1:40" x14ac:dyDescent="0.25">
      <c r="F582" s="211"/>
      <c r="H582" s="211"/>
      <c r="I582" s="211"/>
      <c r="J582" s="329"/>
      <c r="K582" s="329"/>
      <c r="L582" s="211"/>
      <c r="M582" s="211"/>
      <c r="N582" s="211"/>
      <c r="O582" s="211"/>
      <c r="P582" s="211"/>
      <c r="Q582" s="211"/>
      <c r="R582" s="211"/>
      <c r="V582" s="211"/>
      <c r="Y582" s="211"/>
      <c r="Z582" s="305"/>
      <c r="AA582" s="211"/>
      <c r="AB582" s="211"/>
      <c r="AC582" s="211"/>
      <c r="AD582" s="211"/>
      <c r="AE582" s="211"/>
      <c r="AF582" s="211"/>
      <c r="AI582" s="211"/>
      <c r="AJ582" s="211"/>
      <c r="AK582" s="212"/>
      <c r="AL582" s="211"/>
    </row>
    <row r="583" spans="1:40" x14ac:dyDescent="0.25">
      <c r="J583" s="334"/>
      <c r="K583" s="334"/>
    </row>
    <row r="584" spans="1:40" x14ac:dyDescent="0.25">
      <c r="A584" s="202"/>
      <c r="C584" s="154"/>
      <c r="F584" s="200"/>
      <c r="H584" s="200"/>
      <c r="I584" s="200"/>
      <c r="J584" s="334"/>
      <c r="K584" s="334"/>
      <c r="L584" s="200"/>
      <c r="M584" s="200"/>
      <c r="N584" s="210"/>
      <c r="O584" s="210"/>
      <c r="P584" s="252"/>
      <c r="Q584" s="252"/>
      <c r="R584" s="200"/>
      <c r="T584" s="154"/>
      <c r="V584" s="200"/>
      <c r="Y584" s="200"/>
      <c r="AA584" s="200"/>
      <c r="AB584" s="200"/>
      <c r="AC584" s="201"/>
      <c r="AD584" s="201"/>
      <c r="AE584" s="200"/>
      <c r="AF584" s="200"/>
      <c r="AG584" s="209"/>
      <c r="AH584" s="201"/>
      <c r="AI584" s="252"/>
      <c r="AJ584" s="252"/>
      <c r="AK584" s="209"/>
      <c r="AL584" s="200"/>
      <c r="AM584" s="201"/>
      <c r="AN584" s="201"/>
    </row>
    <row r="585" spans="1:40" x14ac:dyDescent="0.25">
      <c r="F585" s="211"/>
      <c r="H585" s="211"/>
      <c r="I585" s="211"/>
      <c r="J585" s="329"/>
      <c r="K585" s="329"/>
      <c r="L585" s="211"/>
      <c r="M585" s="211"/>
      <c r="N585" s="211"/>
      <c r="O585" s="211"/>
      <c r="P585" s="211"/>
      <c r="Q585" s="211"/>
      <c r="R585" s="211"/>
      <c r="V585" s="211"/>
      <c r="Y585" s="211"/>
      <c r="Z585" s="305"/>
      <c r="AA585" s="211"/>
      <c r="AB585" s="211"/>
      <c r="AC585" s="211"/>
      <c r="AD585" s="211"/>
      <c r="AE585" s="211"/>
      <c r="AF585" s="211"/>
      <c r="AI585" s="211"/>
      <c r="AJ585" s="211"/>
      <c r="AK585" s="212"/>
      <c r="AL585" s="211"/>
    </row>
    <row r="587" spans="1:40" x14ac:dyDescent="0.25">
      <c r="C587" s="202"/>
      <c r="T587" s="202"/>
    </row>
    <row r="588" spans="1:40" x14ac:dyDescent="0.25">
      <c r="A588" s="154"/>
    </row>
    <row r="589" spans="1:40" x14ac:dyDescent="0.25">
      <c r="J589" s="202"/>
      <c r="K589" s="202"/>
      <c r="Z589" s="202"/>
    </row>
    <row r="590" spans="1:40" x14ac:dyDescent="0.25">
      <c r="H590" s="154"/>
      <c r="I590" s="154"/>
      <c r="Y590" s="154"/>
    </row>
    <row r="591" spans="1:40" x14ac:dyDescent="0.25">
      <c r="J591" s="202"/>
      <c r="K591" s="202"/>
      <c r="Z591" s="202"/>
    </row>
    <row r="592" spans="1:40" x14ac:dyDescent="0.25">
      <c r="L592" s="154"/>
      <c r="M592" s="154"/>
      <c r="AA592" s="154"/>
      <c r="AB592" s="154"/>
    </row>
    <row r="593" spans="1:40" x14ac:dyDescent="0.25">
      <c r="A593" s="202"/>
      <c r="R593" s="154"/>
      <c r="AK593" s="297"/>
      <c r="AL593" s="154"/>
    </row>
    <row r="594" spans="1:40" x14ac:dyDescent="0.25">
      <c r="A594" s="202"/>
      <c r="R594" s="154"/>
      <c r="AK594" s="297"/>
      <c r="AL594" s="154"/>
    </row>
    <row r="595" spans="1:40" x14ac:dyDescent="0.25">
      <c r="A595" s="154"/>
      <c r="R595" s="154"/>
      <c r="AK595" s="297"/>
      <c r="AL595" s="154"/>
    </row>
    <row r="596" spans="1:40" x14ac:dyDescent="0.25">
      <c r="L596" s="154"/>
      <c r="M596" s="154"/>
      <c r="R596" s="202"/>
      <c r="AA596" s="154"/>
      <c r="AB596" s="154"/>
      <c r="AK596" s="209"/>
      <c r="AL596" s="202"/>
    </row>
    <row r="597" spans="1:40" x14ac:dyDescent="0.25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208"/>
      <c r="AH597" s="102"/>
      <c r="AI597" s="102"/>
      <c r="AJ597" s="102"/>
      <c r="AK597" s="208"/>
      <c r="AL597" s="102"/>
      <c r="AM597" s="102"/>
      <c r="AN597" s="102"/>
    </row>
    <row r="598" spans="1:40" x14ac:dyDescent="0.25">
      <c r="L598" s="103"/>
      <c r="M598" s="103"/>
      <c r="N598" s="103"/>
      <c r="O598" s="103"/>
      <c r="R598" s="103"/>
      <c r="AA598" s="103"/>
      <c r="AB598" s="103"/>
      <c r="AC598" s="103"/>
      <c r="AD598" s="103"/>
      <c r="AE598" s="103"/>
      <c r="AF598" s="103"/>
      <c r="AG598" s="185"/>
      <c r="AH598" s="103"/>
      <c r="AK598" s="185"/>
      <c r="AL598" s="103"/>
      <c r="AM598" s="103"/>
      <c r="AN598" s="103"/>
    </row>
    <row r="599" spans="1:40" x14ac:dyDescent="0.25">
      <c r="L599" s="103"/>
      <c r="M599" s="103"/>
      <c r="N599" s="103"/>
      <c r="O599" s="103"/>
      <c r="R599" s="103"/>
      <c r="Z599" s="103"/>
      <c r="AA599" s="103"/>
      <c r="AB599" s="103"/>
      <c r="AC599" s="103"/>
      <c r="AD599" s="103"/>
      <c r="AE599" s="103"/>
      <c r="AF599" s="103"/>
      <c r="AG599" s="185"/>
      <c r="AH599" s="103"/>
      <c r="AK599" s="185"/>
      <c r="AL599" s="103"/>
      <c r="AM599" s="103"/>
      <c r="AN599" s="103"/>
    </row>
    <row r="600" spans="1:40" x14ac:dyDescent="0.25">
      <c r="A600" s="103"/>
      <c r="C600" s="103"/>
      <c r="D600" s="103"/>
      <c r="E600" s="103"/>
      <c r="F600" s="103"/>
      <c r="J600" s="103"/>
      <c r="K600" s="103"/>
      <c r="L600" s="103"/>
      <c r="M600" s="103"/>
      <c r="N600" s="103"/>
      <c r="O600" s="103"/>
      <c r="P600" s="103"/>
      <c r="Q600" s="103"/>
      <c r="R600" s="103"/>
      <c r="T600" s="103"/>
      <c r="U600" s="103"/>
      <c r="V600" s="103"/>
      <c r="Z600" s="103"/>
      <c r="AA600" s="103"/>
      <c r="AB600" s="103"/>
      <c r="AC600" s="103"/>
      <c r="AD600" s="103"/>
      <c r="AE600" s="103"/>
      <c r="AF600" s="103"/>
      <c r="AG600" s="185"/>
      <c r="AH600" s="103"/>
      <c r="AI600" s="103"/>
      <c r="AJ600" s="103"/>
      <c r="AK600" s="185"/>
      <c r="AL600" s="103"/>
      <c r="AM600" s="103"/>
      <c r="AN600" s="103"/>
    </row>
    <row r="601" spans="1:40" x14ac:dyDescent="0.25">
      <c r="A601" s="103"/>
      <c r="C601" s="103"/>
      <c r="D601" s="103"/>
      <c r="E601" s="103"/>
      <c r="F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T601" s="103"/>
      <c r="U601" s="103"/>
      <c r="V601" s="103"/>
      <c r="Y601" s="103"/>
      <c r="Z601" s="103"/>
      <c r="AA601" s="103"/>
      <c r="AB601" s="103"/>
      <c r="AC601" s="103"/>
      <c r="AD601" s="103"/>
      <c r="AE601" s="103"/>
      <c r="AF601" s="103"/>
      <c r="AG601" s="185"/>
      <c r="AH601" s="103"/>
      <c r="AI601" s="103"/>
      <c r="AJ601" s="103"/>
      <c r="AK601" s="185"/>
      <c r="AL601" s="103"/>
      <c r="AM601" s="103"/>
      <c r="AN601" s="103"/>
    </row>
    <row r="602" spans="1:40" x14ac:dyDescent="0.25">
      <c r="C602" s="103"/>
      <c r="D602" s="103"/>
      <c r="E602" s="103"/>
      <c r="F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T602" s="103"/>
      <c r="U602" s="103"/>
      <c r="V602" s="103"/>
      <c r="Y602" s="103"/>
      <c r="Z602" s="103"/>
      <c r="AA602" s="103"/>
      <c r="AB602" s="103"/>
      <c r="AC602" s="103"/>
      <c r="AD602" s="103"/>
      <c r="AE602" s="103"/>
      <c r="AF602" s="103"/>
      <c r="AG602" s="185"/>
      <c r="AH602" s="103"/>
      <c r="AI602" s="103"/>
      <c r="AJ602" s="103"/>
      <c r="AK602" s="185"/>
      <c r="AL602" s="103"/>
      <c r="AM602" s="103"/>
      <c r="AN602" s="103"/>
    </row>
    <row r="603" spans="1:40" x14ac:dyDescent="0.25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208"/>
      <c r="AH603" s="102"/>
      <c r="AI603" s="102"/>
      <c r="AJ603" s="102"/>
      <c r="AK603" s="208"/>
      <c r="AL603" s="102"/>
      <c r="AM603" s="102"/>
      <c r="AN603" s="102"/>
    </row>
    <row r="604" spans="1:40" x14ac:dyDescent="0.25"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Y604" s="103"/>
      <c r="Z604" s="103"/>
      <c r="AA604" s="103"/>
      <c r="AB604" s="103"/>
      <c r="AC604" s="103"/>
      <c r="AD604" s="103"/>
      <c r="AE604" s="103"/>
      <c r="AF604" s="103"/>
      <c r="AG604" s="185"/>
      <c r="AH604" s="103"/>
      <c r="AI604" s="103"/>
      <c r="AJ604" s="103"/>
      <c r="AK604" s="185"/>
      <c r="AL604" s="103"/>
      <c r="AM604" s="103"/>
      <c r="AN604" s="103"/>
    </row>
    <row r="605" spans="1:40" x14ac:dyDescent="0.25">
      <c r="A605" s="202"/>
      <c r="C605" s="154"/>
      <c r="D605" s="154"/>
      <c r="E605" s="154"/>
      <c r="T605" s="154"/>
      <c r="U605" s="154"/>
    </row>
    <row r="607" spans="1:40" x14ac:dyDescent="0.25">
      <c r="A607" s="202"/>
      <c r="C607" s="154"/>
      <c r="D607" s="154"/>
      <c r="E607" s="154"/>
      <c r="T607" s="154"/>
      <c r="U607" s="154"/>
    </row>
    <row r="608" spans="1:40" x14ac:dyDescent="0.25">
      <c r="A608" s="202"/>
      <c r="C608" s="154"/>
      <c r="T608" s="154"/>
    </row>
    <row r="609" spans="1:40" x14ac:dyDescent="0.25">
      <c r="A609" s="202"/>
      <c r="C609" s="154"/>
      <c r="T609" s="154"/>
    </row>
    <row r="610" spans="1:40" x14ac:dyDescent="0.25">
      <c r="A610" s="202"/>
      <c r="C610" s="154"/>
      <c r="F610" s="252"/>
      <c r="H610" s="252"/>
      <c r="I610" s="252"/>
      <c r="J610" s="329"/>
      <c r="K610" s="329"/>
      <c r="L610" s="200"/>
      <c r="M610" s="200"/>
      <c r="N610" s="210"/>
      <c r="O610" s="210"/>
      <c r="P610" s="200"/>
      <c r="Q610" s="200"/>
      <c r="R610" s="200"/>
      <c r="T610" s="154"/>
      <c r="V610" s="200"/>
      <c r="W610" s="200"/>
      <c r="X610" s="200"/>
      <c r="Y610" s="200"/>
      <c r="Z610" s="329"/>
      <c r="AA610" s="200"/>
      <c r="AB610" s="200"/>
      <c r="AC610" s="210"/>
      <c r="AD610" s="210"/>
      <c r="AE610" s="200"/>
      <c r="AF610" s="200"/>
      <c r="AG610" s="209"/>
      <c r="AH610" s="201"/>
      <c r="AI610" s="200"/>
      <c r="AJ610" s="200"/>
      <c r="AK610" s="209"/>
      <c r="AL610" s="200"/>
      <c r="AM610" s="210"/>
      <c r="AN610" s="210"/>
    </row>
    <row r="611" spans="1:40" x14ac:dyDescent="0.25">
      <c r="A611" s="202"/>
      <c r="C611" s="154"/>
      <c r="J611" s="334"/>
      <c r="K611" s="334"/>
      <c r="T611" s="154"/>
      <c r="V611" s="200"/>
      <c r="W611" s="200"/>
      <c r="X611" s="200"/>
      <c r="Y611" s="200"/>
      <c r="Z611" s="329"/>
    </row>
    <row r="612" spans="1:40" x14ac:dyDescent="0.25">
      <c r="A612" s="202"/>
      <c r="C612" s="154"/>
      <c r="F612" s="252"/>
      <c r="H612" s="252"/>
      <c r="I612" s="252"/>
      <c r="J612" s="329"/>
      <c r="K612" s="329"/>
      <c r="L612" s="200"/>
      <c r="M612" s="200"/>
      <c r="N612" s="210"/>
      <c r="O612" s="210"/>
      <c r="P612" s="200"/>
      <c r="Q612" s="200"/>
      <c r="R612" s="200"/>
      <c r="T612" s="154"/>
      <c r="V612" s="200"/>
      <c r="W612" s="200"/>
      <c r="X612" s="200"/>
      <c r="Y612" s="200"/>
      <c r="Z612" s="329"/>
      <c r="AA612" s="200"/>
      <c r="AB612" s="200"/>
      <c r="AC612" s="210"/>
      <c r="AD612" s="210"/>
      <c r="AE612" s="200"/>
      <c r="AF612" s="200"/>
      <c r="AG612" s="209"/>
      <c r="AH612" s="201"/>
      <c r="AI612" s="200"/>
      <c r="AJ612" s="200"/>
      <c r="AK612" s="209"/>
      <c r="AL612" s="200"/>
      <c r="AM612" s="210"/>
      <c r="AN612" s="210"/>
    </row>
    <row r="613" spans="1:40" x14ac:dyDescent="0.25">
      <c r="A613" s="202"/>
      <c r="C613" s="154"/>
      <c r="J613" s="334"/>
      <c r="K613" s="334"/>
      <c r="T613" s="154"/>
      <c r="V613" s="200"/>
      <c r="W613" s="200"/>
      <c r="X613" s="200"/>
      <c r="Y613" s="200"/>
      <c r="Z613" s="329"/>
    </row>
    <row r="614" spans="1:40" x14ac:dyDescent="0.25">
      <c r="A614" s="202"/>
      <c r="C614" s="154"/>
      <c r="F614" s="252"/>
      <c r="H614" s="252"/>
      <c r="I614" s="252"/>
      <c r="J614" s="329"/>
      <c r="K614" s="329"/>
      <c r="L614" s="200"/>
      <c r="M614" s="200"/>
      <c r="N614" s="210"/>
      <c r="O614" s="210"/>
      <c r="P614" s="200"/>
      <c r="Q614" s="200"/>
      <c r="R614" s="200"/>
      <c r="T614" s="154"/>
      <c r="V614" s="200"/>
      <c r="W614" s="200"/>
      <c r="X614" s="200"/>
      <c r="Y614" s="200"/>
      <c r="Z614" s="329"/>
      <c r="AA614" s="200"/>
      <c r="AB614" s="200"/>
      <c r="AC614" s="210"/>
      <c r="AD614" s="210"/>
      <c r="AE614" s="200"/>
      <c r="AF614" s="200"/>
      <c r="AG614" s="209"/>
      <c r="AH614" s="201"/>
      <c r="AI614" s="200"/>
      <c r="AJ614" s="200"/>
      <c r="AK614" s="209"/>
      <c r="AL614" s="200"/>
      <c r="AM614" s="210"/>
      <c r="AN614" s="210"/>
    </row>
    <row r="615" spans="1:40" x14ac:dyDescent="0.25">
      <c r="A615" s="202"/>
      <c r="C615" s="154"/>
      <c r="J615" s="334"/>
      <c r="K615" s="334"/>
      <c r="T615" s="154"/>
      <c r="V615" s="200"/>
      <c r="W615" s="200"/>
      <c r="X615" s="200"/>
      <c r="Y615" s="200"/>
      <c r="Z615" s="329"/>
    </row>
    <row r="616" spans="1:40" x14ac:dyDescent="0.25">
      <c r="A616" s="202"/>
      <c r="C616" s="154"/>
      <c r="F616" s="252"/>
      <c r="H616" s="252"/>
      <c r="I616" s="252"/>
      <c r="J616" s="329"/>
      <c r="K616" s="329"/>
      <c r="L616" s="200"/>
      <c r="M616" s="200"/>
      <c r="N616" s="210"/>
      <c r="O616" s="210"/>
      <c r="P616" s="200"/>
      <c r="Q616" s="200"/>
      <c r="R616" s="200"/>
      <c r="T616" s="154"/>
      <c r="V616" s="200"/>
      <c r="W616" s="200"/>
      <c r="X616" s="200"/>
      <c r="Y616" s="200"/>
      <c r="Z616" s="329"/>
      <c r="AA616" s="200"/>
      <c r="AB616" s="200"/>
      <c r="AC616" s="210"/>
      <c r="AD616" s="210"/>
      <c r="AE616" s="200"/>
      <c r="AF616" s="200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A617" s="202"/>
      <c r="C617" s="154"/>
      <c r="J617" s="334"/>
      <c r="K617" s="334"/>
      <c r="T617" s="154"/>
      <c r="V617" s="200"/>
      <c r="W617" s="200"/>
      <c r="X617" s="200"/>
      <c r="Y617" s="200"/>
      <c r="Z617" s="329"/>
    </row>
    <row r="618" spans="1:40" x14ac:dyDescent="0.25">
      <c r="A618" s="202"/>
      <c r="C618" s="154"/>
      <c r="F618" s="252"/>
      <c r="H618" s="252"/>
      <c r="I618" s="252"/>
      <c r="J618" s="329"/>
      <c r="K618" s="329"/>
      <c r="L618" s="200"/>
      <c r="M618" s="200"/>
      <c r="N618" s="210"/>
      <c r="O618" s="210"/>
      <c r="P618" s="200"/>
      <c r="Q618" s="200"/>
      <c r="R618" s="200"/>
      <c r="T618" s="154"/>
      <c r="V618" s="200"/>
      <c r="W618" s="200"/>
      <c r="X618" s="200"/>
      <c r="Y618" s="200"/>
      <c r="Z618" s="329"/>
      <c r="AA618" s="200"/>
      <c r="AB618" s="200"/>
      <c r="AC618" s="210"/>
      <c r="AD618" s="210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A619" s="202"/>
      <c r="C619" s="154"/>
      <c r="J619" s="334"/>
      <c r="K619" s="334"/>
      <c r="T619" s="154"/>
      <c r="V619" s="200"/>
      <c r="W619" s="200"/>
      <c r="X619" s="200"/>
      <c r="Y619" s="200"/>
      <c r="Z619" s="329"/>
    </row>
    <row r="620" spans="1:40" x14ac:dyDescent="0.25">
      <c r="A620" s="202"/>
      <c r="C620" s="154"/>
      <c r="F620" s="252"/>
      <c r="H620" s="252"/>
      <c r="I620" s="252"/>
      <c r="J620" s="329"/>
      <c r="K620" s="329"/>
      <c r="L620" s="200"/>
      <c r="M620" s="200"/>
      <c r="N620" s="210"/>
      <c r="O620" s="210"/>
      <c r="P620" s="200"/>
      <c r="Q620" s="200"/>
      <c r="R620" s="200"/>
      <c r="T620" s="154"/>
      <c r="V620" s="200"/>
      <c r="W620" s="200"/>
      <c r="X620" s="200"/>
      <c r="Y620" s="200"/>
      <c r="Z620" s="329"/>
      <c r="AA620" s="200"/>
      <c r="AB620" s="200"/>
      <c r="AC620" s="210"/>
      <c r="AD620" s="210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F621" s="211"/>
      <c r="H621" s="211"/>
      <c r="I621" s="211"/>
      <c r="J621" s="329"/>
      <c r="K621" s="329"/>
      <c r="L621" s="211"/>
      <c r="M621" s="211"/>
      <c r="N621" s="211"/>
      <c r="O621" s="211"/>
      <c r="P621" s="211"/>
      <c r="Q621" s="211"/>
      <c r="R621" s="211"/>
      <c r="V621" s="211"/>
      <c r="Y621" s="211"/>
      <c r="Z621" s="329"/>
      <c r="AA621" s="211"/>
      <c r="AB621" s="211"/>
      <c r="AC621" s="211"/>
      <c r="AD621" s="211"/>
      <c r="AE621" s="211"/>
      <c r="AF621" s="211"/>
      <c r="AI621" s="211"/>
      <c r="AJ621" s="211"/>
      <c r="AK621" s="212"/>
      <c r="AL621" s="211"/>
      <c r="AM621" s="210"/>
      <c r="AN621" s="210"/>
    </row>
    <row r="622" spans="1:40" x14ac:dyDescent="0.25">
      <c r="A622" s="202"/>
      <c r="C622" s="154"/>
      <c r="F622" s="200"/>
      <c r="H622" s="200"/>
      <c r="I622" s="200"/>
      <c r="J622" s="334"/>
      <c r="K622" s="334"/>
      <c r="L622" s="200"/>
      <c r="M622" s="200"/>
      <c r="N622" s="210"/>
      <c r="O622" s="210"/>
      <c r="P622" s="252"/>
      <c r="Q622" s="252"/>
      <c r="R622" s="200"/>
      <c r="T622" s="154"/>
      <c r="V622" s="200"/>
      <c r="W622" s="200"/>
      <c r="X622" s="200"/>
      <c r="Y622" s="200"/>
      <c r="Z622" s="329"/>
      <c r="AA622" s="200"/>
      <c r="AB622" s="200"/>
      <c r="AC622" s="210"/>
      <c r="AD622" s="210"/>
      <c r="AE622" s="200"/>
      <c r="AF622" s="200"/>
      <c r="AG622" s="209"/>
      <c r="AH622" s="201"/>
      <c r="AI622" s="252"/>
      <c r="AJ622" s="252"/>
      <c r="AK622" s="209"/>
      <c r="AL622" s="200"/>
      <c r="AM622" s="210"/>
      <c r="AN622" s="210"/>
    </row>
    <row r="623" spans="1:40" x14ac:dyDescent="0.25">
      <c r="F623" s="211"/>
      <c r="H623" s="211"/>
      <c r="I623" s="211"/>
      <c r="J623" s="329"/>
      <c r="K623" s="329"/>
      <c r="L623" s="211"/>
      <c r="M623" s="211"/>
      <c r="N623" s="211"/>
      <c r="O623" s="211"/>
      <c r="P623" s="211"/>
      <c r="Q623" s="211"/>
      <c r="R623" s="211"/>
      <c r="V623" s="211"/>
      <c r="Y623" s="211"/>
      <c r="Z623" s="329"/>
      <c r="AA623" s="211"/>
      <c r="AB623" s="211"/>
      <c r="AC623" s="211"/>
      <c r="AD623" s="211"/>
      <c r="AE623" s="211"/>
      <c r="AF623" s="211"/>
      <c r="AI623" s="211"/>
      <c r="AJ623" s="211"/>
      <c r="AK623" s="212"/>
      <c r="AL623" s="211"/>
    </row>
    <row r="624" spans="1:40" x14ac:dyDescent="0.25">
      <c r="A624" s="202"/>
      <c r="C624" s="154"/>
      <c r="D624" s="154"/>
      <c r="E624" s="154"/>
      <c r="J624" s="334"/>
      <c r="K624" s="334"/>
      <c r="T624" s="154"/>
      <c r="U624" s="154"/>
      <c r="V624" s="200"/>
      <c r="W624" s="200"/>
      <c r="X624" s="200"/>
      <c r="Y624" s="200"/>
      <c r="Z624" s="329"/>
    </row>
    <row r="625" spans="1:40" x14ac:dyDescent="0.25">
      <c r="A625" s="202"/>
      <c r="C625" s="154"/>
      <c r="J625" s="334"/>
      <c r="K625" s="334"/>
      <c r="T625" s="154"/>
      <c r="V625" s="200"/>
      <c r="W625" s="200"/>
      <c r="X625" s="200"/>
      <c r="Y625" s="200"/>
      <c r="Z625" s="329"/>
    </row>
    <row r="626" spans="1:40" x14ac:dyDescent="0.25">
      <c r="A626" s="202"/>
      <c r="C626" s="154"/>
      <c r="J626" s="334"/>
      <c r="K626" s="334"/>
      <c r="T626" s="154"/>
      <c r="V626" s="200"/>
      <c r="W626" s="200"/>
      <c r="X626" s="200"/>
      <c r="Y626" s="200"/>
      <c r="Z626" s="329"/>
    </row>
    <row r="627" spans="1:40" x14ac:dyDescent="0.25">
      <c r="A627" s="202"/>
      <c r="C627" s="154"/>
      <c r="F627" s="252"/>
      <c r="H627" s="252"/>
      <c r="I627" s="252"/>
      <c r="J627" s="329"/>
      <c r="K627" s="329"/>
      <c r="L627" s="200"/>
      <c r="M627" s="200"/>
      <c r="N627" s="210"/>
      <c r="O627" s="210"/>
      <c r="P627" s="200"/>
      <c r="Q627" s="200"/>
      <c r="R627" s="200"/>
      <c r="T627" s="154"/>
      <c r="V627" s="200"/>
      <c r="W627" s="200"/>
      <c r="X627" s="200"/>
      <c r="Y627" s="200"/>
      <c r="Z627" s="329"/>
      <c r="AA627" s="200"/>
      <c r="AB627" s="200"/>
      <c r="AC627" s="210"/>
      <c r="AD627" s="210"/>
      <c r="AE627" s="200"/>
      <c r="AF627" s="200"/>
      <c r="AG627" s="209"/>
      <c r="AH627" s="201"/>
      <c r="AI627" s="200"/>
      <c r="AJ627" s="200"/>
      <c r="AK627" s="209"/>
      <c r="AL627" s="200"/>
      <c r="AM627" s="210"/>
      <c r="AN627" s="210"/>
    </row>
    <row r="628" spans="1:40" x14ac:dyDescent="0.25">
      <c r="A628" s="202"/>
      <c r="C628" s="154"/>
      <c r="J628" s="334"/>
      <c r="K628" s="334"/>
      <c r="T628" s="154"/>
      <c r="V628" s="200"/>
      <c r="W628" s="200"/>
      <c r="X628" s="200"/>
      <c r="Y628" s="200"/>
      <c r="Z628" s="329"/>
    </row>
    <row r="629" spans="1:40" x14ac:dyDescent="0.25">
      <c r="A629" s="202"/>
      <c r="C629" s="154"/>
      <c r="F629" s="252"/>
      <c r="H629" s="252"/>
      <c r="I629" s="252"/>
      <c r="J629" s="329"/>
      <c r="K629" s="329"/>
      <c r="L629" s="200"/>
      <c r="M629" s="200"/>
      <c r="N629" s="210"/>
      <c r="O629" s="210"/>
      <c r="P629" s="200"/>
      <c r="Q629" s="200"/>
      <c r="R629" s="200"/>
      <c r="T629" s="154"/>
      <c r="V629" s="200"/>
      <c r="W629" s="200"/>
      <c r="X629" s="200"/>
      <c r="Y629" s="200"/>
      <c r="Z629" s="329"/>
      <c r="AA629" s="200"/>
      <c r="AB629" s="200"/>
      <c r="AC629" s="210"/>
      <c r="AD629" s="210"/>
      <c r="AE629" s="200"/>
      <c r="AF629" s="200"/>
      <c r="AG629" s="209"/>
      <c r="AH629" s="201"/>
      <c r="AI629" s="200"/>
      <c r="AJ629" s="200"/>
      <c r="AK629" s="209"/>
      <c r="AL629" s="200"/>
      <c r="AM629" s="210"/>
      <c r="AN629" s="210"/>
    </row>
    <row r="630" spans="1:40" x14ac:dyDescent="0.25">
      <c r="F630" s="211"/>
      <c r="H630" s="211"/>
      <c r="I630" s="211"/>
      <c r="J630" s="329"/>
      <c r="K630" s="329"/>
      <c r="L630" s="211"/>
      <c r="M630" s="211"/>
      <c r="N630" s="211"/>
      <c r="O630" s="211"/>
      <c r="P630" s="211"/>
      <c r="Q630" s="211"/>
      <c r="R630" s="211"/>
      <c r="V630" s="211"/>
      <c r="Y630" s="211"/>
      <c r="Z630" s="305"/>
      <c r="AA630" s="211"/>
      <c r="AB630" s="211"/>
      <c r="AC630" s="211"/>
      <c r="AD630" s="211"/>
      <c r="AE630" s="211"/>
      <c r="AF630" s="211"/>
      <c r="AI630" s="211"/>
      <c r="AJ630" s="211"/>
      <c r="AK630" s="212"/>
      <c r="AL630" s="211"/>
    </row>
    <row r="631" spans="1:40" x14ac:dyDescent="0.25">
      <c r="A631" s="202"/>
      <c r="C631" s="154"/>
      <c r="F631" s="200"/>
      <c r="H631" s="200"/>
      <c r="I631" s="200"/>
      <c r="L631" s="200"/>
      <c r="M631" s="200"/>
      <c r="N631" s="210"/>
      <c r="O631" s="210"/>
      <c r="P631" s="252"/>
      <c r="Q631" s="252"/>
      <c r="R631" s="200"/>
      <c r="T631" s="154"/>
      <c r="V631" s="200"/>
      <c r="W631" s="200"/>
      <c r="X631" s="200"/>
      <c r="Y631" s="200"/>
      <c r="Z631" s="328"/>
      <c r="AA631" s="200"/>
      <c r="AB631" s="200"/>
      <c r="AC631" s="210"/>
      <c r="AD631" s="210"/>
      <c r="AE631" s="200"/>
      <c r="AF631" s="200"/>
      <c r="AG631" s="209"/>
      <c r="AH631" s="201"/>
      <c r="AI631" s="252"/>
      <c r="AJ631" s="252"/>
      <c r="AK631" s="209"/>
      <c r="AL631" s="200"/>
      <c r="AM631" s="210"/>
      <c r="AN631" s="210"/>
    </row>
    <row r="632" spans="1:40" x14ac:dyDescent="0.25">
      <c r="F632" s="211"/>
      <c r="H632" s="211"/>
      <c r="I632" s="211"/>
      <c r="J632" s="305"/>
      <c r="K632" s="305"/>
      <c r="L632" s="211"/>
      <c r="M632" s="211"/>
      <c r="N632" s="211"/>
      <c r="O632" s="211"/>
      <c r="P632" s="211"/>
      <c r="Q632" s="211"/>
      <c r="R632" s="211"/>
      <c r="V632" s="211"/>
      <c r="Y632" s="211"/>
      <c r="Z632" s="305"/>
      <c r="AA632" s="211"/>
      <c r="AB632" s="211"/>
      <c r="AC632" s="211"/>
      <c r="AD632" s="211"/>
      <c r="AE632" s="211"/>
      <c r="AF632" s="211"/>
      <c r="AI632" s="211"/>
      <c r="AJ632" s="211"/>
      <c r="AK632" s="212"/>
      <c r="AL632" s="211"/>
    </row>
    <row r="633" spans="1:40" x14ac:dyDescent="0.25">
      <c r="A633" s="202"/>
      <c r="C633" s="154"/>
      <c r="D633" s="154"/>
      <c r="E633" s="154"/>
      <c r="T633" s="154"/>
      <c r="U633" s="154"/>
      <c r="V633" s="200"/>
      <c r="W633" s="200"/>
      <c r="X633" s="200"/>
      <c r="Y633" s="200"/>
      <c r="Z633" s="328"/>
    </row>
    <row r="634" spans="1:40" x14ac:dyDescent="0.25">
      <c r="A634" s="202"/>
      <c r="C634" s="154"/>
      <c r="T634" s="154"/>
      <c r="V634" s="200"/>
      <c r="W634" s="200"/>
      <c r="X634" s="200"/>
      <c r="Y634" s="200"/>
      <c r="Z634" s="328"/>
    </row>
    <row r="635" spans="1:40" x14ac:dyDescent="0.25">
      <c r="A635" s="202"/>
      <c r="C635" s="154"/>
      <c r="F635" s="252"/>
      <c r="H635" s="252"/>
      <c r="I635" s="252"/>
      <c r="J635" s="328"/>
      <c r="K635" s="328"/>
      <c r="L635" s="200"/>
      <c r="M635" s="200"/>
      <c r="N635" s="210"/>
      <c r="O635" s="210"/>
      <c r="P635" s="200"/>
      <c r="Q635" s="200"/>
      <c r="R635" s="200"/>
      <c r="T635" s="154"/>
      <c r="V635" s="200"/>
      <c r="W635" s="200"/>
      <c r="X635" s="200"/>
      <c r="Y635" s="200"/>
      <c r="Z635" s="328"/>
      <c r="AA635" s="200"/>
      <c r="AB635" s="200"/>
      <c r="AC635" s="210"/>
      <c r="AD635" s="210"/>
      <c r="AE635" s="200"/>
      <c r="AF635" s="200"/>
      <c r="AG635" s="209"/>
      <c r="AH635" s="201"/>
      <c r="AI635" s="200"/>
      <c r="AJ635" s="200"/>
      <c r="AK635" s="209"/>
      <c r="AL635" s="200"/>
      <c r="AM635" s="210"/>
      <c r="AN635" s="210"/>
    </row>
    <row r="636" spans="1:40" x14ac:dyDescent="0.25">
      <c r="A636" s="202"/>
      <c r="C636" s="154"/>
      <c r="T636" s="154"/>
      <c r="V636" s="200"/>
      <c r="W636" s="200"/>
      <c r="X636" s="200"/>
      <c r="Y636" s="200"/>
      <c r="Z636" s="328"/>
    </row>
    <row r="637" spans="1:40" x14ac:dyDescent="0.25">
      <c r="A637" s="202"/>
      <c r="C637" s="154"/>
      <c r="F637" s="252"/>
      <c r="H637" s="252"/>
      <c r="I637" s="252"/>
      <c r="J637" s="328"/>
      <c r="K637" s="328"/>
      <c r="L637" s="200"/>
      <c r="M637" s="200"/>
      <c r="N637" s="210"/>
      <c r="O637" s="210"/>
      <c r="P637" s="200"/>
      <c r="Q637" s="200"/>
      <c r="R637" s="200"/>
      <c r="T637" s="154"/>
      <c r="V637" s="200"/>
      <c r="W637" s="200"/>
      <c r="X637" s="200"/>
      <c r="Y637" s="200"/>
      <c r="Z637" s="328"/>
      <c r="AA637" s="200"/>
      <c r="AB637" s="200"/>
      <c r="AC637" s="210"/>
      <c r="AD637" s="210"/>
      <c r="AE637" s="200"/>
      <c r="AF637" s="200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A638" s="202"/>
      <c r="C638" s="154"/>
      <c r="T638" s="154"/>
      <c r="V638" s="200"/>
      <c r="W638" s="200"/>
      <c r="X638" s="200"/>
      <c r="Y638" s="200"/>
      <c r="Z638" s="328"/>
    </row>
    <row r="639" spans="1:40" x14ac:dyDescent="0.25">
      <c r="A639" s="202"/>
      <c r="C639" s="154"/>
      <c r="F639" s="252"/>
      <c r="H639" s="252"/>
      <c r="I639" s="252"/>
      <c r="J639" s="328"/>
      <c r="K639" s="328"/>
      <c r="L639" s="200"/>
      <c r="M639" s="200"/>
      <c r="N639" s="210"/>
      <c r="O639" s="210"/>
      <c r="P639" s="200"/>
      <c r="Q639" s="200"/>
      <c r="R639" s="200"/>
      <c r="T639" s="154"/>
      <c r="V639" s="200"/>
      <c r="W639" s="200"/>
      <c r="X639" s="200"/>
      <c r="Y639" s="200"/>
      <c r="Z639" s="328"/>
      <c r="AA639" s="200"/>
      <c r="AB639" s="200"/>
      <c r="AC639" s="210"/>
      <c r="AD639" s="210"/>
      <c r="AE639" s="200"/>
      <c r="AF639" s="200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A640" s="202"/>
      <c r="C640" s="154"/>
      <c r="T640" s="154"/>
      <c r="V640" s="200"/>
      <c r="W640" s="200"/>
      <c r="X640" s="200"/>
      <c r="Y640" s="200"/>
      <c r="Z640" s="328"/>
    </row>
    <row r="641" spans="1:40" x14ac:dyDescent="0.25">
      <c r="A641" s="202"/>
      <c r="C641" s="154"/>
      <c r="F641" s="252"/>
      <c r="H641" s="252"/>
      <c r="I641" s="252"/>
      <c r="J641" s="328"/>
      <c r="K641" s="328"/>
      <c r="L641" s="200"/>
      <c r="M641" s="200"/>
      <c r="N641" s="210"/>
      <c r="O641" s="210"/>
      <c r="P641" s="200"/>
      <c r="Q641" s="200"/>
      <c r="R641" s="200"/>
      <c r="T641" s="154"/>
      <c r="V641" s="200"/>
      <c r="W641" s="200"/>
      <c r="X641" s="200"/>
      <c r="Y641" s="200"/>
      <c r="Z641" s="328"/>
      <c r="AA641" s="200"/>
      <c r="AB641" s="200"/>
      <c r="AC641" s="210"/>
      <c r="AD641" s="210"/>
      <c r="AE641" s="200"/>
      <c r="AF641" s="200"/>
      <c r="AG641" s="209"/>
      <c r="AH641" s="201"/>
      <c r="AI641" s="200"/>
      <c r="AJ641" s="200"/>
      <c r="AK641" s="209"/>
      <c r="AL641" s="200"/>
      <c r="AM641" s="210"/>
      <c r="AN641" s="210"/>
    </row>
    <row r="642" spans="1:40" x14ac:dyDescent="0.25">
      <c r="F642" s="211"/>
      <c r="H642" s="211"/>
      <c r="I642" s="211"/>
      <c r="J642" s="305"/>
      <c r="K642" s="305"/>
      <c r="L642" s="211"/>
      <c r="M642" s="211"/>
      <c r="N642" s="211"/>
      <c r="O642" s="211"/>
      <c r="P642" s="211"/>
      <c r="Q642" s="211"/>
      <c r="R642" s="211"/>
      <c r="V642" s="211"/>
      <c r="Y642" s="211"/>
      <c r="Z642" s="305"/>
      <c r="AA642" s="211"/>
      <c r="AB642" s="211"/>
      <c r="AC642" s="211"/>
      <c r="AD642" s="211"/>
      <c r="AE642" s="211"/>
      <c r="AF642" s="211"/>
      <c r="AI642" s="211"/>
      <c r="AJ642" s="211"/>
      <c r="AK642" s="212"/>
      <c r="AL642" s="211"/>
    </row>
    <row r="643" spans="1:40" x14ac:dyDescent="0.25">
      <c r="A643" s="202"/>
      <c r="C643" s="154"/>
      <c r="F643" s="200"/>
      <c r="H643" s="200"/>
      <c r="I643" s="200"/>
      <c r="L643" s="200"/>
      <c r="M643" s="200"/>
      <c r="N643" s="210"/>
      <c r="O643" s="210"/>
      <c r="P643" s="252"/>
      <c r="Q643" s="252"/>
      <c r="R643" s="200"/>
      <c r="T643" s="154"/>
      <c r="V643" s="200"/>
      <c r="W643" s="200"/>
      <c r="X643" s="200"/>
      <c r="Y643" s="200"/>
      <c r="Z643" s="328"/>
      <c r="AA643" s="200"/>
      <c r="AB643" s="200"/>
      <c r="AC643" s="210"/>
      <c r="AD643" s="210"/>
      <c r="AE643" s="200"/>
      <c r="AF643" s="200"/>
      <c r="AG643" s="209"/>
      <c r="AH643" s="201"/>
      <c r="AI643" s="252"/>
      <c r="AJ643" s="252"/>
      <c r="AK643" s="209"/>
      <c r="AL643" s="200"/>
      <c r="AM643" s="210"/>
      <c r="AN643" s="210"/>
    </row>
    <row r="644" spans="1:40" x14ac:dyDescent="0.25">
      <c r="F644" s="211"/>
      <c r="H644" s="211"/>
      <c r="I644" s="211"/>
      <c r="J644" s="305"/>
      <c r="K644" s="305"/>
      <c r="L644" s="211"/>
      <c r="M644" s="211"/>
      <c r="N644" s="211"/>
      <c r="O644" s="211"/>
      <c r="P644" s="211"/>
      <c r="Q644" s="211"/>
      <c r="R644" s="211"/>
      <c r="V644" s="211"/>
      <c r="Y644" s="211"/>
      <c r="Z644" s="305"/>
      <c r="AA644" s="211"/>
      <c r="AB644" s="211"/>
      <c r="AC644" s="211"/>
      <c r="AD644" s="211"/>
      <c r="AE644" s="211"/>
      <c r="AF644" s="211"/>
      <c r="AI644" s="211"/>
      <c r="AJ644" s="211"/>
      <c r="AK644" s="212"/>
      <c r="AL644" s="211"/>
    </row>
    <row r="645" spans="1:40" x14ac:dyDescent="0.25">
      <c r="A645" s="202"/>
      <c r="C645" s="154"/>
      <c r="F645" s="200"/>
      <c r="H645" s="200"/>
      <c r="I645" s="200"/>
      <c r="L645" s="200"/>
      <c r="M645" s="200"/>
      <c r="N645" s="210"/>
      <c r="O645" s="210"/>
      <c r="P645" s="200"/>
      <c r="Q645" s="200"/>
      <c r="R645" s="200"/>
      <c r="T645" s="154"/>
      <c r="V645" s="200"/>
      <c r="W645" s="200"/>
      <c r="X645" s="200"/>
      <c r="Y645" s="200"/>
      <c r="AA645" s="200"/>
      <c r="AB645" s="200"/>
      <c r="AC645" s="210"/>
      <c r="AD645" s="210"/>
      <c r="AE645" s="200"/>
      <c r="AF645" s="200"/>
      <c r="AG645" s="209"/>
      <c r="AH645" s="201"/>
      <c r="AI645" s="200"/>
      <c r="AJ645" s="200"/>
      <c r="AK645" s="209"/>
      <c r="AL645" s="200"/>
      <c r="AM645" s="201"/>
      <c r="AN645" s="201"/>
    </row>
    <row r="646" spans="1:40" x14ac:dyDescent="0.25">
      <c r="F646" s="211"/>
      <c r="H646" s="211"/>
      <c r="I646" s="211"/>
      <c r="J646" s="305"/>
      <c r="K646" s="305"/>
      <c r="L646" s="211"/>
      <c r="M646" s="211"/>
      <c r="N646" s="211"/>
      <c r="O646" s="211"/>
      <c r="P646" s="211"/>
      <c r="Q646" s="211"/>
      <c r="R646" s="211"/>
      <c r="V646" s="211"/>
      <c r="Y646" s="211"/>
      <c r="Z646" s="305"/>
      <c r="AA646" s="211"/>
      <c r="AB646" s="211"/>
      <c r="AC646" s="211"/>
      <c r="AD646" s="211"/>
      <c r="AE646" s="211"/>
      <c r="AF646" s="211"/>
      <c r="AI646" s="211"/>
      <c r="AJ646" s="211"/>
      <c r="AK646" s="212"/>
      <c r="AL646" s="211"/>
    </row>
    <row r="648" spans="1:40" x14ac:dyDescent="0.25">
      <c r="C648" s="202"/>
      <c r="T648" s="202"/>
    </row>
    <row r="649" spans="1:40" x14ac:dyDescent="0.25">
      <c r="A649" s="154"/>
    </row>
    <row r="650" spans="1:40" x14ac:dyDescent="0.25">
      <c r="J650" s="202"/>
      <c r="K650" s="202"/>
      <c r="Z650" s="202"/>
    </row>
    <row r="651" spans="1:40" x14ac:dyDescent="0.25">
      <c r="H651" s="154"/>
      <c r="I651" s="154"/>
      <c r="Y651" s="154"/>
    </row>
    <row r="652" spans="1:40" x14ac:dyDescent="0.25">
      <c r="J652" s="202"/>
      <c r="K652" s="202"/>
      <c r="Z652" s="202"/>
    </row>
    <row r="653" spans="1:40" x14ac:dyDescent="0.25">
      <c r="L653" s="154"/>
      <c r="M653" s="154"/>
      <c r="AA653" s="154"/>
      <c r="AB653" s="154"/>
    </row>
    <row r="654" spans="1:40" x14ac:dyDescent="0.25">
      <c r="A654" s="202"/>
      <c r="R654" s="154"/>
      <c r="AK654" s="297"/>
      <c r="AL654" s="154"/>
    </row>
    <row r="655" spans="1:40" x14ac:dyDescent="0.25">
      <c r="A655" s="202"/>
      <c r="R655" s="154"/>
      <c r="AK655" s="297"/>
      <c r="AL655" s="154"/>
    </row>
    <row r="656" spans="1:40" x14ac:dyDescent="0.25">
      <c r="A656" s="154"/>
      <c r="R656" s="154"/>
      <c r="AK656" s="297"/>
      <c r="AL656" s="154"/>
    </row>
    <row r="657" spans="1:40" x14ac:dyDescent="0.25">
      <c r="L657" s="154"/>
      <c r="M657" s="154"/>
      <c r="R657" s="202"/>
      <c r="AA657" s="154"/>
      <c r="AB657" s="154"/>
      <c r="AK657" s="209"/>
      <c r="AL657" s="202"/>
    </row>
    <row r="658" spans="1:40" x14ac:dyDescent="0.25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208"/>
      <c r="AH658" s="102"/>
      <c r="AI658" s="102"/>
      <c r="AJ658" s="102"/>
      <c r="AK658" s="208"/>
      <c r="AL658" s="102"/>
      <c r="AM658" s="102"/>
      <c r="AN658" s="102"/>
    </row>
    <row r="659" spans="1:40" x14ac:dyDescent="0.25">
      <c r="L659" s="103"/>
      <c r="M659" s="103"/>
      <c r="N659" s="103"/>
      <c r="O659" s="103"/>
      <c r="R659" s="103"/>
      <c r="AA659" s="103"/>
      <c r="AB659" s="103"/>
      <c r="AC659" s="103"/>
      <c r="AD659" s="103"/>
      <c r="AE659" s="103"/>
      <c r="AF659" s="103"/>
      <c r="AG659" s="185"/>
      <c r="AH659" s="103"/>
      <c r="AK659" s="185"/>
      <c r="AL659" s="103"/>
      <c r="AM659" s="103"/>
      <c r="AN659" s="103"/>
    </row>
    <row r="660" spans="1:40" x14ac:dyDescent="0.25">
      <c r="L660" s="103"/>
      <c r="M660" s="103"/>
      <c r="N660" s="103"/>
      <c r="O660" s="103"/>
      <c r="R660" s="103"/>
      <c r="Z660" s="103"/>
      <c r="AA660" s="103"/>
      <c r="AB660" s="103"/>
      <c r="AC660" s="103"/>
      <c r="AD660" s="103"/>
      <c r="AE660" s="103"/>
      <c r="AF660" s="103"/>
      <c r="AG660" s="185"/>
      <c r="AH660" s="103"/>
      <c r="AK660" s="185"/>
      <c r="AL660" s="103"/>
      <c r="AM660" s="103"/>
      <c r="AN660" s="103"/>
    </row>
    <row r="661" spans="1:40" x14ac:dyDescent="0.25">
      <c r="A661" s="103"/>
      <c r="C661" s="103"/>
      <c r="D661" s="103"/>
      <c r="E661" s="103"/>
      <c r="F661" s="103"/>
      <c r="J661" s="103"/>
      <c r="K661" s="103"/>
      <c r="L661" s="103"/>
      <c r="M661" s="103"/>
      <c r="N661" s="103"/>
      <c r="O661" s="103"/>
      <c r="P661" s="103"/>
      <c r="Q661" s="103"/>
      <c r="R661" s="103"/>
      <c r="T661" s="103"/>
      <c r="U661" s="103"/>
      <c r="V661" s="103"/>
      <c r="Z661" s="103"/>
      <c r="AA661" s="103"/>
      <c r="AB661" s="103"/>
      <c r="AC661" s="103"/>
      <c r="AD661" s="103"/>
      <c r="AE661" s="103"/>
      <c r="AF661" s="103"/>
      <c r="AG661" s="185"/>
      <c r="AH661" s="103"/>
      <c r="AI661" s="103"/>
      <c r="AJ661" s="103"/>
      <c r="AK661" s="185"/>
      <c r="AL661" s="103"/>
      <c r="AM661" s="103"/>
      <c r="AN661" s="103"/>
    </row>
    <row r="662" spans="1:40" x14ac:dyDescent="0.25">
      <c r="A662" s="103"/>
      <c r="C662" s="103"/>
      <c r="D662" s="103"/>
      <c r="E662" s="103"/>
      <c r="F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T662" s="103"/>
      <c r="U662" s="103"/>
      <c r="V662" s="103"/>
      <c r="Y662" s="103"/>
      <c r="Z662" s="103"/>
      <c r="AA662" s="103"/>
      <c r="AB662" s="103"/>
      <c r="AC662" s="103"/>
      <c r="AD662" s="103"/>
      <c r="AE662" s="103"/>
      <c r="AF662" s="103"/>
      <c r="AG662" s="185"/>
      <c r="AH662" s="103"/>
      <c r="AI662" s="103"/>
      <c r="AJ662" s="103"/>
      <c r="AK662" s="185"/>
      <c r="AL662" s="103"/>
      <c r="AM662" s="103"/>
      <c r="AN662" s="103"/>
    </row>
    <row r="663" spans="1:40" x14ac:dyDescent="0.25">
      <c r="C663" s="103"/>
      <c r="D663" s="103"/>
      <c r="E663" s="103"/>
      <c r="F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T663" s="103"/>
      <c r="U663" s="103"/>
      <c r="V663" s="103"/>
      <c r="Y663" s="103"/>
      <c r="Z663" s="103"/>
      <c r="AA663" s="103"/>
      <c r="AB663" s="103"/>
      <c r="AC663" s="103"/>
      <c r="AD663" s="103"/>
      <c r="AE663" s="103"/>
      <c r="AF663" s="103"/>
      <c r="AG663" s="185"/>
      <c r="AH663" s="103"/>
      <c r="AI663" s="103"/>
      <c r="AJ663" s="103"/>
      <c r="AK663" s="185"/>
      <c r="AL663" s="103"/>
      <c r="AM663" s="103"/>
      <c r="AN663" s="103"/>
    </row>
    <row r="664" spans="1:40" x14ac:dyDescent="0.25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208"/>
      <c r="AH664" s="102"/>
      <c r="AI664" s="102"/>
      <c r="AJ664" s="102"/>
      <c r="AK664" s="208"/>
      <c r="AL664" s="102"/>
      <c r="AM664" s="102"/>
      <c r="AN664" s="102"/>
    </row>
    <row r="665" spans="1:40" x14ac:dyDescent="0.25"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Y665" s="103"/>
      <c r="Z665" s="103"/>
      <c r="AA665" s="103"/>
      <c r="AB665" s="103"/>
      <c r="AC665" s="103"/>
      <c r="AD665" s="103"/>
      <c r="AE665" s="103"/>
      <c r="AF665" s="103"/>
      <c r="AG665" s="185"/>
      <c r="AH665" s="103"/>
      <c r="AI665" s="103"/>
      <c r="AJ665" s="103"/>
      <c r="AK665" s="185"/>
      <c r="AL665" s="103"/>
      <c r="AM665" s="103"/>
      <c r="AN665" s="103"/>
    </row>
    <row r="666" spans="1:40" x14ac:dyDescent="0.25">
      <c r="A666" s="202"/>
      <c r="C666" s="154"/>
      <c r="D666" s="154"/>
      <c r="E666" s="154"/>
      <c r="F666" s="200"/>
      <c r="H666" s="200"/>
      <c r="I666" s="200"/>
      <c r="J666" s="213"/>
      <c r="K666" s="213"/>
      <c r="L666" s="200"/>
      <c r="M666" s="200"/>
      <c r="N666" s="213"/>
      <c r="O666" s="213"/>
      <c r="P666" s="200"/>
      <c r="Q666" s="200"/>
      <c r="R666" s="200"/>
      <c r="T666" s="154"/>
      <c r="U666" s="154"/>
      <c r="V666" s="200"/>
      <c r="Y666" s="200"/>
      <c r="Z666" s="213"/>
      <c r="AA666" s="200"/>
      <c r="AB666" s="200"/>
      <c r="AC666" s="213"/>
      <c r="AD666" s="213"/>
      <c r="AE666" s="200"/>
      <c r="AF666" s="200"/>
      <c r="AG666" s="209"/>
      <c r="AH666" s="201"/>
      <c r="AI666" s="200"/>
      <c r="AJ666" s="200"/>
      <c r="AK666" s="209"/>
      <c r="AL666" s="200"/>
      <c r="AM666" s="210"/>
      <c r="AN666" s="210"/>
    </row>
    <row r="667" spans="1:40" x14ac:dyDescent="0.25">
      <c r="F667" s="211"/>
      <c r="H667" s="211"/>
      <c r="I667" s="211"/>
      <c r="J667" s="305"/>
      <c r="K667" s="305"/>
      <c r="L667" s="211"/>
      <c r="M667" s="211"/>
      <c r="N667" s="211"/>
      <c r="O667" s="211"/>
      <c r="P667" s="211"/>
      <c r="Q667" s="211"/>
      <c r="R667" s="211"/>
      <c r="V667" s="211"/>
      <c r="Y667" s="211"/>
      <c r="Z667" s="305"/>
      <c r="AA667" s="211"/>
      <c r="AB667" s="211"/>
      <c r="AC667" s="211"/>
      <c r="AD667" s="211"/>
      <c r="AE667" s="211"/>
      <c r="AF667" s="211"/>
      <c r="AI667" s="211"/>
      <c r="AJ667" s="211"/>
      <c r="AK667" s="212"/>
      <c r="AL667" s="211"/>
      <c r="AM667" s="210"/>
      <c r="AN667" s="210"/>
    </row>
    <row r="668" spans="1:40" x14ac:dyDescent="0.25">
      <c r="A668" s="202"/>
      <c r="C668" s="154"/>
      <c r="F668" s="200"/>
      <c r="H668" s="200"/>
      <c r="I668" s="200"/>
      <c r="J668" s="213"/>
      <c r="K668" s="213"/>
      <c r="L668" s="200"/>
      <c r="M668" s="200"/>
      <c r="N668" s="213"/>
      <c r="O668" s="213"/>
      <c r="P668" s="200"/>
      <c r="Q668" s="200"/>
      <c r="R668" s="200"/>
      <c r="T668" s="154"/>
      <c r="V668" s="200"/>
      <c r="Y668" s="200"/>
      <c r="Z668" s="213"/>
      <c r="AA668" s="200"/>
      <c r="AB668" s="200"/>
      <c r="AC668" s="213"/>
      <c r="AD668" s="213"/>
      <c r="AE668" s="200"/>
      <c r="AF668" s="200"/>
      <c r="AG668" s="209"/>
      <c r="AH668" s="201"/>
      <c r="AI668" s="200"/>
      <c r="AJ668" s="200"/>
      <c r="AK668" s="209"/>
      <c r="AL668" s="200"/>
      <c r="AM668" s="210"/>
      <c r="AN668" s="210"/>
    </row>
    <row r="669" spans="1:40" x14ac:dyDescent="0.25">
      <c r="F669" s="200"/>
      <c r="H669" s="200"/>
      <c r="I669" s="200"/>
      <c r="J669" s="213"/>
      <c r="K669" s="213"/>
      <c r="L669" s="200"/>
      <c r="M669" s="200"/>
      <c r="N669" s="213"/>
      <c r="O669" s="213"/>
      <c r="P669" s="200"/>
      <c r="Q669" s="200"/>
      <c r="R669" s="200"/>
      <c r="V669" s="200"/>
      <c r="Y669" s="200"/>
      <c r="Z669" s="213"/>
      <c r="AA669" s="200"/>
      <c r="AB669" s="200"/>
      <c r="AC669" s="213"/>
      <c r="AD669" s="213"/>
      <c r="AG669" s="209"/>
      <c r="AH669" s="201"/>
      <c r="AI669" s="200"/>
      <c r="AJ669" s="200"/>
      <c r="AK669" s="209"/>
      <c r="AL669" s="200"/>
      <c r="AM669" s="210"/>
      <c r="AN669" s="210"/>
    </row>
    <row r="670" spans="1:40" x14ac:dyDescent="0.25">
      <c r="A670" s="202"/>
      <c r="C670" s="154"/>
      <c r="D670" s="154"/>
      <c r="E670" s="154"/>
      <c r="F670" s="200"/>
      <c r="H670" s="200"/>
      <c r="I670" s="200"/>
      <c r="J670" s="213"/>
      <c r="K670" s="213"/>
      <c r="L670" s="200"/>
      <c r="M670" s="200"/>
      <c r="N670" s="213"/>
      <c r="O670" s="213"/>
      <c r="P670" s="200"/>
      <c r="Q670" s="200"/>
      <c r="R670" s="200"/>
      <c r="T670" s="154"/>
      <c r="U670" s="154"/>
      <c r="V670" s="200"/>
      <c r="Y670" s="200"/>
      <c r="Z670" s="213"/>
      <c r="AA670" s="200"/>
      <c r="AB670" s="200"/>
      <c r="AC670" s="213"/>
      <c r="AD670" s="213"/>
      <c r="AE670" s="200"/>
      <c r="AF670" s="200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A671" s="202"/>
      <c r="C671" s="154"/>
      <c r="D671" s="154"/>
      <c r="E671" s="154"/>
      <c r="F671" s="200"/>
      <c r="H671" s="200"/>
      <c r="I671" s="200"/>
      <c r="J671" s="213"/>
      <c r="K671" s="213"/>
      <c r="L671" s="200"/>
      <c r="M671" s="200"/>
      <c r="N671" s="213"/>
      <c r="O671" s="213"/>
      <c r="P671" s="200"/>
      <c r="Q671" s="200"/>
      <c r="R671" s="200"/>
      <c r="T671" s="154"/>
      <c r="U671" s="154"/>
      <c r="V671" s="200"/>
      <c r="Y671" s="200"/>
      <c r="Z671" s="213"/>
      <c r="AA671" s="200"/>
      <c r="AB671" s="200"/>
      <c r="AC671" s="213"/>
      <c r="AD671" s="213"/>
      <c r="AE671" s="200"/>
      <c r="AF671" s="200"/>
      <c r="AG671" s="209"/>
      <c r="AH671" s="201"/>
      <c r="AI671" s="200"/>
      <c r="AJ671" s="200"/>
      <c r="AK671" s="209"/>
      <c r="AL671" s="200"/>
      <c r="AM671" s="210"/>
      <c r="AN671" s="210"/>
    </row>
    <row r="672" spans="1:40" x14ac:dyDescent="0.25">
      <c r="A672" s="202"/>
      <c r="C672" s="154"/>
      <c r="D672" s="154"/>
      <c r="E672" s="154"/>
      <c r="F672" s="200"/>
      <c r="H672" s="200"/>
      <c r="I672" s="200"/>
      <c r="J672" s="213"/>
      <c r="K672" s="213"/>
      <c r="L672" s="200"/>
      <c r="M672" s="200"/>
      <c r="N672" s="213"/>
      <c r="O672" s="213"/>
      <c r="P672" s="200"/>
      <c r="Q672" s="200"/>
      <c r="R672" s="200"/>
      <c r="T672" s="154"/>
      <c r="U672" s="154"/>
      <c r="V672" s="200"/>
      <c r="Y672" s="200"/>
      <c r="Z672" s="213"/>
      <c r="AA672" s="200"/>
      <c r="AB672" s="200"/>
      <c r="AC672" s="213"/>
      <c r="AD672" s="213"/>
      <c r="AE672" s="200"/>
      <c r="AF672" s="200"/>
      <c r="AG672" s="209"/>
      <c r="AH672" s="201"/>
      <c r="AI672" s="200"/>
      <c r="AJ672" s="200"/>
      <c r="AK672" s="209"/>
      <c r="AL672" s="200"/>
      <c r="AM672" s="210"/>
      <c r="AN672" s="210"/>
    </row>
    <row r="673" spans="1:40" x14ac:dyDescent="0.25">
      <c r="A673" s="202"/>
      <c r="C673" s="154"/>
      <c r="D673" s="154"/>
      <c r="E673" s="154"/>
      <c r="F673" s="200"/>
      <c r="H673" s="200"/>
      <c r="I673" s="200"/>
      <c r="J673" s="213"/>
      <c r="K673" s="213"/>
      <c r="L673" s="200"/>
      <c r="M673" s="200"/>
      <c r="N673" s="213"/>
      <c r="O673" s="213"/>
      <c r="P673" s="200"/>
      <c r="Q673" s="200"/>
      <c r="R673" s="200"/>
      <c r="T673" s="154"/>
      <c r="U673" s="154"/>
      <c r="V673" s="200"/>
      <c r="Y673" s="200"/>
      <c r="Z673" s="213"/>
      <c r="AA673" s="200"/>
      <c r="AB673" s="200"/>
      <c r="AC673" s="213"/>
      <c r="AD673" s="213"/>
      <c r="AE673" s="200"/>
      <c r="AF673" s="200"/>
      <c r="AG673" s="209"/>
      <c r="AH673" s="201"/>
      <c r="AI673" s="200"/>
      <c r="AJ673" s="200"/>
      <c r="AK673" s="209"/>
      <c r="AL673" s="200"/>
      <c r="AM673" s="210"/>
      <c r="AN673" s="210"/>
    </row>
    <row r="674" spans="1:40" x14ac:dyDescent="0.25">
      <c r="A674" s="202"/>
      <c r="C674" s="154"/>
      <c r="D674" s="154"/>
      <c r="E674" s="154"/>
      <c r="F674" s="200"/>
      <c r="H674" s="200"/>
      <c r="I674" s="200"/>
      <c r="J674" s="213"/>
      <c r="K674" s="213"/>
      <c r="L674" s="200"/>
      <c r="M674" s="200"/>
      <c r="N674" s="213"/>
      <c r="O674" s="213"/>
      <c r="P674" s="200"/>
      <c r="Q674" s="200"/>
      <c r="R674" s="200"/>
      <c r="T674" s="154"/>
      <c r="U674" s="154"/>
      <c r="V674" s="200"/>
      <c r="Y674" s="200"/>
      <c r="Z674" s="213"/>
      <c r="AA674" s="200"/>
      <c r="AB674" s="200"/>
      <c r="AC674" s="213"/>
      <c r="AD674" s="213"/>
      <c r="AE674" s="200"/>
      <c r="AF674" s="200"/>
      <c r="AG674" s="209"/>
      <c r="AH674" s="201"/>
      <c r="AI674" s="200"/>
      <c r="AJ674" s="200"/>
      <c r="AK674" s="209"/>
      <c r="AL674" s="200"/>
      <c r="AM674" s="210"/>
      <c r="AN674" s="210"/>
    </row>
    <row r="675" spans="1:40" x14ac:dyDescent="0.25">
      <c r="A675" s="202"/>
      <c r="C675" s="154"/>
      <c r="D675" s="154"/>
      <c r="E675" s="154"/>
      <c r="F675" s="200"/>
      <c r="H675" s="200"/>
      <c r="I675" s="200"/>
      <c r="J675" s="213"/>
      <c r="K675" s="213"/>
      <c r="L675" s="200"/>
      <c r="M675" s="200"/>
      <c r="N675" s="213"/>
      <c r="O675" s="213"/>
      <c r="P675" s="200"/>
      <c r="Q675" s="200"/>
      <c r="R675" s="200"/>
      <c r="T675" s="154"/>
      <c r="U675" s="154"/>
      <c r="V675" s="200"/>
      <c r="Y675" s="200"/>
      <c r="Z675" s="213"/>
      <c r="AA675" s="200"/>
      <c r="AB675" s="200"/>
      <c r="AC675" s="213"/>
      <c r="AD675" s="213"/>
      <c r="AE675" s="200"/>
      <c r="AF675" s="200"/>
      <c r="AG675" s="209"/>
      <c r="AH675" s="201"/>
      <c r="AI675" s="200"/>
      <c r="AJ675" s="200"/>
      <c r="AK675" s="209"/>
      <c r="AL675" s="200"/>
      <c r="AM675" s="210"/>
      <c r="AN675" s="210"/>
    </row>
    <row r="676" spans="1:40" x14ac:dyDescent="0.25">
      <c r="F676" s="211"/>
      <c r="H676" s="211"/>
      <c r="I676" s="211"/>
      <c r="J676" s="305"/>
      <c r="K676" s="305"/>
      <c r="L676" s="211"/>
      <c r="M676" s="211"/>
      <c r="N676" s="211"/>
      <c r="O676" s="211"/>
      <c r="P676" s="211"/>
      <c r="Q676" s="211"/>
      <c r="R676" s="211"/>
      <c r="V676" s="211"/>
      <c r="Y676" s="211"/>
      <c r="Z676" s="305"/>
      <c r="AA676" s="211"/>
      <c r="AB676" s="211"/>
      <c r="AC676" s="211"/>
      <c r="AD676" s="211"/>
      <c r="AE676" s="211"/>
      <c r="AF676" s="211"/>
      <c r="AI676" s="211"/>
      <c r="AJ676" s="211"/>
      <c r="AK676" s="212"/>
      <c r="AL676" s="211"/>
      <c r="AM676" s="210"/>
      <c r="AN676" s="210"/>
    </row>
    <row r="677" spans="1:40" x14ac:dyDescent="0.25">
      <c r="A677" s="202"/>
      <c r="C677" s="154"/>
      <c r="F677" s="200"/>
      <c r="H677" s="200"/>
      <c r="I677" s="200"/>
      <c r="J677" s="213"/>
      <c r="K677" s="213"/>
      <c r="L677" s="200"/>
      <c r="M677" s="200"/>
      <c r="N677" s="213"/>
      <c r="O677" s="213"/>
      <c r="P677" s="200"/>
      <c r="Q677" s="200"/>
      <c r="R677" s="200"/>
      <c r="T677" s="154"/>
      <c r="V677" s="200"/>
      <c r="Y677" s="200"/>
      <c r="Z677" s="213"/>
      <c r="AA677" s="200"/>
      <c r="AB677" s="200"/>
      <c r="AC677" s="213"/>
      <c r="AD677" s="213"/>
      <c r="AE677" s="200"/>
      <c r="AF677" s="200"/>
      <c r="AG677" s="209"/>
      <c r="AH677" s="201"/>
      <c r="AI677" s="200"/>
      <c r="AJ677" s="200"/>
      <c r="AK677" s="209"/>
      <c r="AL677" s="200"/>
      <c r="AM677" s="210"/>
      <c r="AN677" s="210"/>
    </row>
    <row r="678" spans="1:40" x14ac:dyDescent="0.25">
      <c r="F678" s="200"/>
      <c r="H678" s="200"/>
      <c r="I678" s="200"/>
      <c r="J678" s="213"/>
      <c r="K678" s="213"/>
      <c r="L678" s="200"/>
      <c r="M678" s="200"/>
      <c r="N678" s="213"/>
      <c r="O678" s="213"/>
      <c r="P678" s="200"/>
      <c r="Q678" s="200"/>
      <c r="R678" s="200"/>
      <c r="V678" s="200"/>
      <c r="Y678" s="200"/>
      <c r="Z678" s="213"/>
      <c r="AA678" s="200"/>
      <c r="AB678" s="200"/>
      <c r="AC678" s="213"/>
      <c r="AD678" s="213"/>
      <c r="AG678" s="209"/>
      <c r="AH678" s="201"/>
      <c r="AI678" s="200"/>
      <c r="AJ678" s="200"/>
      <c r="AK678" s="209"/>
      <c r="AL678" s="200"/>
      <c r="AM678" s="210"/>
      <c r="AN678" s="210"/>
    </row>
    <row r="679" spans="1:40" x14ac:dyDescent="0.25">
      <c r="A679" s="202"/>
      <c r="C679" s="154"/>
      <c r="D679" s="154"/>
      <c r="E679" s="154"/>
      <c r="F679" s="200"/>
      <c r="H679" s="200"/>
      <c r="I679" s="200"/>
      <c r="J679" s="213"/>
      <c r="K679" s="213"/>
      <c r="L679" s="200"/>
      <c r="M679" s="200"/>
      <c r="N679" s="213"/>
      <c r="O679" s="213"/>
      <c r="P679" s="200"/>
      <c r="Q679" s="200"/>
      <c r="R679" s="200"/>
      <c r="T679" s="154"/>
      <c r="U679" s="154"/>
      <c r="V679" s="200"/>
      <c r="Y679" s="200"/>
      <c r="Z679" s="213"/>
      <c r="AA679" s="200"/>
      <c r="AB679" s="200"/>
      <c r="AC679" s="213"/>
      <c r="AD679" s="213"/>
      <c r="AE679" s="200"/>
      <c r="AF679" s="200"/>
      <c r="AG679" s="209"/>
      <c r="AH679" s="201"/>
      <c r="AI679" s="200"/>
      <c r="AJ679" s="200"/>
      <c r="AK679" s="209"/>
      <c r="AL679" s="200"/>
      <c r="AM679" s="210"/>
      <c r="AN679" s="210"/>
    </row>
    <row r="680" spans="1:40" x14ac:dyDescent="0.25">
      <c r="F680" s="211"/>
      <c r="H680" s="211"/>
      <c r="I680" s="211"/>
      <c r="J680" s="305"/>
      <c r="K680" s="305"/>
      <c r="L680" s="211"/>
      <c r="M680" s="211"/>
      <c r="N680" s="211"/>
      <c r="O680" s="211"/>
      <c r="P680" s="211"/>
      <c r="Q680" s="211"/>
      <c r="R680" s="211"/>
      <c r="V680" s="211"/>
      <c r="Y680" s="211"/>
      <c r="Z680" s="305"/>
      <c r="AA680" s="211"/>
      <c r="AB680" s="211"/>
      <c r="AC680" s="211"/>
      <c r="AD680" s="211"/>
      <c r="AE680" s="211"/>
      <c r="AF680" s="211"/>
      <c r="AI680" s="211"/>
      <c r="AJ680" s="211"/>
      <c r="AK680" s="212"/>
      <c r="AL680" s="211"/>
      <c r="AM680" s="210"/>
      <c r="AN680" s="210"/>
    </row>
    <row r="681" spans="1:40" x14ac:dyDescent="0.25">
      <c r="A681" s="202"/>
      <c r="C681" s="154"/>
      <c r="F681" s="200"/>
      <c r="H681" s="200"/>
      <c r="I681" s="200"/>
      <c r="J681" s="213"/>
      <c r="K681" s="213"/>
      <c r="L681" s="200"/>
      <c r="M681" s="200"/>
      <c r="N681" s="213"/>
      <c r="O681" s="213"/>
      <c r="P681" s="200"/>
      <c r="Q681" s="200"/>
      <c r="R681" s="200"/>
      <c r="T681" s="154"/>
      <c r="V681" s="200"/>
      <c r="Y681" s="200"/>
      <c r="Z681" s="213"/>
      <c r="AA681" s="200"/>
      <c r="AB681" s="200"/>
      <c r="AC681" s="213"/>
      <c r="AD681" s="213"/>
      <c r="AE681" s="200"/>
      <c r="AF681" s="200"/>
      <c r="AG681" s="209"/>
      <c r="AH681" s="201"/>
      <c r="AI681" s="200"/>
      <c r="AJ681" s="200"/>
      <c r="AK681" s="209"/>
      <c r="AL681" s="200"/>
      <c r="AM681" s="210"/>
      <c r="AN681" s="210"/>
    </row>
    <row r="682" spans="1:40" x14ac:dyDescent="0.25">
      <c r="F682" s="200"/>
      <c r="H682" s="200"/>
      <c r="I682" s="200"/>
      <c r="J682" s="213"/>
      <c r="K682" s="213"/>
      <c r="L682" s="200"/>
      <c r="M682" s="200"/>
      <c r="N682" s="213"/>
      <c r="O682" s="213"/>
      <c r="P682" s="200"/>
      <c r="Q682" s="200"/>
      <c r="R682" s="200"/>
      <c r="V682" s="200"/>
      <c r="Y682" s="200"/>
      <c r="Z682" s="213"/>
      <c r="AA682" s="200"/>
      <c r="AB682" s="200"/>
      <c r="AC682" s="213"/>
      <c r="AD682" s="213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A683" s="202"/>
      <c r="C683" s="154"/>
      <c r="D683" s="154"/>
      <c r="E683" s="154"/>
      <c r="F683" s="200"/>
      <c r="H683" s="200"/>
      <c r="I683" s="200"/>
      <c r="J683" s="213"/>
      <c r="K683" s="213"/>
      <c r="L683" s="200"/>
      <c r="M683" s="200"/>
      <c r="N683" s="213"/>
      <c r="O683" s="213"/>
      <c r="P683" s="200"/>
      <c r="Q683" s="200"/>
      <c r="R683" s="200"/>
      <c r="T683" s="154"/>
      <c r="U683" s="154"/>
      <c r="V683" s="200"/>
      <c r="Y683" s="200"/>
      <c r="Z683" s="213"/>
      <c r="AA683" s="200"/>
      <c r="AB683" s="200"/>
      <c r="AC683" s="213"/>
      <c r="AD683" s="213"/>
      <c r="AE683" s="200"/>
      <c r="AF683" s="200"/>
      <c r="AG683" s="209"/>
      <c r="AH683" s="201"/>
      <c r="AI683" s="200"/>
      <c r="AJ683" s="200"/>
      <c r="AK683" s="209"/>
      <c r="AL683" s="200"/>
      <c r="AM683" s="210"/>
      <c r="AN683" s="210"/>
    </row>
    <row r="684" spans="1:40" x14ac:dyDescent="0.25">
      <c r="A684" s="202"/>
      <c r="C684" s="154"/>
      <c r="D684" s="154"/>
      <c r="E684" s="154"/>
      <c r="F684" s="200"/>
      <c r="G684" s="200"/>
      <c r="H684" s="200"/>
      <c r="I684" s="200"/>
      <c r="J684" s="213"/>
      <c r="K684" s="213"/>
      <c r="L684" s="200"/>
      <c r="M684" s="200"/>
      <c r="N684" s="213"/>
      <c r="O684" s="213"/>
      <c r="P684" s="200"/>
      <c r="Q684" s="200"/>
      <c r="R684" s="200"/>
      <c r="T684" s="154"/>
      <c r="U684" s="154"/>
      <c r="V684" s="200"/>
      <c r="W684" s="200"/>
      <c r="X684" s="200"/>
      <c r="Y684" s="200"/>
      <c r="Z684" s="213"/>
      <c r="AA684" s="200"/>
      <c r="AB684" s="200"/>
      <c r="AC684" s="213"/>
      <c r="AD684" s="213"/>
      <c r="AE684" s="200"/>
      <c r="AF684" s="200"/>
      <c r="AG684" s="209"/>
      <c r="AH684" s="201"/>
      <c r="AI684" s="200"/>
      <c r="AJ684" s="200"/>
      <c r="AK684" s="209"/>
      <c r="AL684" s="200"/>
      <c r="AM684" s="210"/>
      <c r="AN684" s="210"/>
    </row>
    <row r="685" spans="1:40" x14ac:dyDescent="0.25">
      <c r="A685" s="202"/>
      <c r="C685" s="154"/>
      <c r="D685" s="154"/>
      <c r="E685" s="154"/>
      <c r="F685" s="200"/>
      <c r="G685" s="200"/>
      <c r="H685" s="200"/>
      <c r="I685" s="200"/>
      <c r="J685" s="213"/>
      <c r="K685" s="213"/>
      <c r="L685" s="200"/>
      <c r="M685" s="200"/>
      <c r="N685" s="213"/>
      <c r="O685" s="213"/>
      <c r="P685" s="200"/>
      <c r="Q685" s="200"/>
      <c r="R685" s="200"/>
      <c r="T685" s="154"/>
      <c r="U685" s="154"/>
      <c r="V685" s="200"/>
      <c r="W685" s="200"/>
      <c r="X685" s="200"/>
      <c r="Y685" s="200"/>
      <c r="Z685" s="213"/>
      <c r="AA685" s="200"/>
      <c r="AB685" s="200"/>
      <c r="AC685" s="213"/>
      <c r="AD685" s="213"/>
      <c r="AE685" s="200"/>
      <c r="AF685" s="200"/>
      <c r="AG685" s="209"/>
      <c r="AH685" s="201"/>
      <c r="AI685" s="200"/>
      <c r="AJ685" s="200"/>
      <c r="AK685" s="209"/>
      <c r="AL685" s="200"/>
      <c r="AM685" s="210"/>
      <c r="AN685" s="210"/>
    </row>
    <row r="686" spans="1:40" x14ac:dyDescent="0.25">
      <c r="A686" s="202"/>
      <c r="C686" s="154"/>
      <c r="D686" s="154"/>
      <c r="E686" s="154"/>
      <c r="F686" s="200"/>
      <c r="H686" s="200"/>
      <c r="I686" s="200"/>
      <c r="J686" s="213"/>
      <c r="K686" s="213"/>
      <c r="L686" s="200"/>
      <c r="M686" s="200"/>
      <c r="N686" s="213"/>
      <c r="O686" s="213"/>
      <c r="P686" s="200"/>
      <c r="Q686" s="200"/>
      <c r="R686" s="200"/>
      <c r="T686" s="154"/>
      <c r="U686" s="154"/>
      <c r="V686" s="200"/>
      <c r="Y686" s="200"/>
      <c r="Z686" s="213"/>
      <c r="AA686" s="200"/>
      <c r="AB686" s="200"/>
      <c r="AC686" s="213"/>
      <c r="AD686" s="213"/>
      <c r="AE686" s="200"/>
      <c r="AF686" s="200"/>
      <c r="AG686" s="209"/>
      <c r="AH686" s="201"/>
      <c r="AI686" s="200"/>
      <c r="AJ686" s="200"/>
      <c r="AK686" s="209"/>
      <c r="AL686" s="200"/>
      <c r="AM686" s="210"/>
      <c r="AN686" s="210"/>
    </row>
    <row r="687" spans="1:40" x14ac:dyDescent="0.25">
      <c r="A687" s="202"/>
      <c r="C687" s="154"/>
      <c r="D687" s="154"/>
      <c r="E687" s="154"/>
      <c r="F687" s="200"/>
      <c r="H687" s="200"/>
      <c r="I687" s="200"/>
      <c r="J687" s="213"/>
      <c r="K687" s="213"/>
      <c r="L687" s="200"/>
      <c r="M687" s="200"/>
      <c r="N687" s="213"/>
      <c r="O687" s="213"/>
      <c r="P687" s="200"/>
      <c r="Q687" s="200"/>
      <c r="R687" s="200"/>
      <c r="T687" s="154"/>
      <c r="U687" s="154"/>
      <c r="V687" s="200"/>
      <c r="Y687" s="200"/>
      <c r="Z687" s="213"/>
      <c r="AA687" s="200"/>
      <c r="AB687" s="200"/>
      <c r="AC687" s="213"/>
      <c r="AD687" s="213"/>
      <c r="AE687" s="200"/>
      <c r="AF687" s="200"/>
      <c r="AG687" s="209"/>
      <c r="AH687" s="201"/>
      <c r="AI687" s="200"/>
      <c r="AJ687" s="200"/>
      <c r="AK687" s="209"/>
      <c r="AL687" s="200"/>
      <c r="AM687" s="210"/>
      <c r="AN687" s="210"/>
    </row>
    <row r="688" spans="1:40" x14ac:dyDescent="0.25">
      <c r="A688" s="202"/>
      <c r="C688" s="154"/>
      <c r="D688" s="154"/>
      <c r="E688" s="154"/>
      <c r="F688" s="200"/>
      <c r="H688" s="200"/>
      <c r="I688" s="200"/>
      <c r="J688" s="213"/>
      <c r="K688" s="213"/>
      <c r="L688" s="200"/>
      <c r="M688" s="200"/>
      <c r="N688" s="213"/>
      <c r="O688" s="213"/>
      <c r="P688" s="200"/>
      <c r="Q688" s="200"/>
      <c r="R688" s="200"/>
      <c r="T688" s="154"/>
      <c r="U688" s="154"/>
      <c r="V688" s="200"/>
      <c r="Y688" s="200"/>
      <c r="Z688" s="213"/>
      <c r="AA688" s="200"/>
      <c r="AB688" s="200"/>
      <c r="AC688" s="213"/>
      <c r="AD688" s="213"/>
      <c r="AE688" s="200"/>
      <c r="AF688" s="200"/>
      <c r="AG688" s="209"/>
      <c r="AH688" s="201"/>
      <c r="AI688" s="200"/>
      <c r="AJ688" s="200"/>
      <c r="AK688" s="209"/>
      <c r="AL688" s="200"/>
      <c r="AM688" s="210"/>
      <c r="AN688" s="210"/>
    </row>
    <row r="689" spans="1:40" x14ac:dyDescent="0.25">
      <c r="A689" s="202"/>
      <c r="C689" s="154"/>
      <c r="D689" s="154"/>
      <c r="E689" s="154"/>
      <c r="F689" s="200"/>
      <c r="H689" s="200"/>
      <c r="I689" s="200"/>
      <c r="J689" s="213"/>
      <c r="K689" s="213"/>
      <c r="L689" s="200"/>
      <c r="M689" s="200"/>
      <c r="N689" s="213"/>
      <c r="O689" s="213"/>
      <c r="P689" s="200"/>
      <c r="Q689" s="200"/>
      <c r="R689" s="200"/>
      <c r="T689" s="154"/>
      <c r="U689" s="154"/>
      <c r="V689" s="200"/>
      <c r="Y689" s="200"/>
      <c r="Z689" s="213"/>
      <c r="AA689" s="200"/>
      <c r="AB689" s="200"/>
      <c r="AC689" s="213"/>
      <c r="AD689" s="213"/>
      <c r="AE689" s="200"/>
      <c r="AF689" s="200"/>
      <c r="AG689" s="209"/>
      <c r="AH689" s="201"/>
      <c r="AI689" s="200"/>
      <c r="AJ689" s="200"/>
      <c r="AK689" s="209"/>
      <c r="AL689" s="200"/>
      <c r="AM689" s="210"/>
      <c r="AN689" s="210"/>
    </row>
    <row r="690" spans="1:40" x14ac:dyDescent="0.25">
      <c r="F690" s="211"/>
      <c r="H690" s="211"/>
      <c r="I690" s="211"/>
      <c r="J690" s="305"/>
      <c r="K690" s="305"/>
      <c r="L690" s="211"/>
      <c r="M690" s="211"/>
      <c r="N690" s="211"/>
      <c r="O690" s="211"/>
      <c r="P690" s="211"/>
      <c r="Q690" s="211"/>
      <c r="R690" s="211"/>
      <c r="V690" s="211"/>
      <c r="Y690" s="211"/>
      <c r="Z690" s="305"/>
      <c r="AA690" s="211"/>
      <c r="AB690" s="211"/>
      <c r="AC690" s="211"/>
      <c r="AD690" s="211"/>
      <c r="AE690" s="211"/>
      <c r="AF690" s="211"/>
      <c r="AI690" s="211"/>
      <c r="AJ690" s="211"/>
      <c r="AK690" s="212"/>
      <c r="AL690" s="211"/>
      <c r="AM690" s="210"/>
      <c r="AN690" s="210"/>
    </row>
    <row r="691" spans="1:40" x14ac:dyDescent="0.25">
      <c r="A691" s="202"/>
      <c r="C691" s="154"/>
      <c r="F691" s="200"/>
      <c r="H691" s="200"/>
      <c r="I691" s="200"/>
      <c r="J691" s="213"/>
      <c r="K691" s="213"/>
      <c r="L691" s="200"/>
      <c r="M691" s="200"/>
      <c r="N691" s="213"/>
      <c r="O691" s="213"/>
      <c r="P691" s="200"/>
      <c r="Q691" s="200"/>
      <c r="R691" s="200"/>
      <c r="T691" s="154"/>
      <c r="V691" s="200"/>
      <c r="Y691" s="200"/>
      <c r="Z691" s="213"/>
      <c r="AA691" s="200"/>
      <c r="AB691" s="200"/>
      <c r="AC691" s="213"/>
      <c r="AD691" s="213"/>
      <c r="AE691" s="200"/>
      <c r="AF691" s="200"/>
      <c r="AG691" s="209"/>
      <c r="AH691" s="201"/>
      <c r="AI691" s="200"/>
      <c r="AJ691" s="200"/>
      <c r="AK691" s="209"/>
      <c r="AL691" s="200"/>
      <c r="AM691" s="210"/>
      <c r="AN691" s="210"/>
    </row>
    <row r="692" spans="1:40" x14ac:dyDescent="0.25">
      <c r="V692" s="200"/>
      <c r="Y692" s="200"/>
      <c r="Z692" s="305"/>
      <c r="AA692" s="200"/>
      <c r="AB692" s="200"/>
      <c r="AC692" s="200"/>
      <c r="AD692" s="200"/>
      <c r="AE692" s="200"/>
      <c r="AF692" s="200"/>
      <c r="AI692" s="200"/>
      <c r="AJ692" s="200"/>
      <c r="AK692" s="209"/>
      <c r="AL692" s="200"/>
      <c r="AM692" s="210"/>
      <c r="AN692" s="210"/>
    </row>
    <row r="693" spans="1:40" x14ac:dyDescent="0.25">
      <c r="A693" s="202"/>
      <c r="C693" s="154"/>
      <c r="D693" s="154"/>
      <c r="E693" s="154"/>
      <c r="L693" s="200"/>
      <c r="M693" s="200"/>
      <c r="N693" s="213"/>
      <c r="O693" s="213"/>
      <c r="P693" s="202"/>
      <c r="Q693" s="202"/>
      <c r="R693" s="200"/>
      <c r="T693" s="154"/>
      <c r="U693" s="154"/>
      <c r="AA693" s="200"/>
      <c r="AB693" s="200"/>
      <c r="AC693" s="213"/>
      <c r="AD693" s="213"/>
      <c r="AE693" s="200"/>
      <c r="AF693" s="200"/>
      <c r="AG693" s="209"/>
      <c r="AH693" s="201"/>
      <c r="AI693" s="202"/>
      <c r="AJ693" s="202"/>
      <c r="AK693" s="209"/>
      <c r="AL693" s="200"/>
      <c r="AM693" s="210"/>
      <c r="AN693" s="210"/>
    </row>
    <row r="694" spans="1:40" x14ac:dyDescent="0.25">
      <c r="A694" s="202"/>
      <c r="D694" s="154"/>
      <c r="E694" s="154"/>
      <c r="F694" s="252"/>
      <c r="H694" s="252"/>
      <c r="I694" s="252"/>
      <c r="J694" s="213"/>
      <c r="K694" s="213"/>
      <c r="L694" s="200"/>
      <c r="M694" s="200"/>
      <c r="N694" s="213"/>
      <c r="O694" s="213"/>
      <c r="P694" s="252"/>
      <c r="Q694" s="252"/>
      <c r="R694" s="200"/>
      <c r="U694" s="154"/>
      <c r="V694" s="200"/>
      <c r="Y694" s="200"/>
      <c r="Z694" s="213"/>
      <c r="AA694" s="200"/>
      <c r="AB694" s="200"/>
      <c r="AC694" s="213"/>
      <c r="AD694" s="213"/>
      <c r="AE694" s="200"/>
      <c r="AF694" s="200"/>
      <c r="AG694" s="209"/>
      <c r="AH694" s="201"/>
      <c r="AI694" s="200"/>
      <c r="AJ694" s="200"/>
      <c r="AK694" s="209"/>
      <c r="AL694" s="200"/>
      <c r="AM694" s="210"/>
      <c r="AN694" s="210"/>
    </row>
    <row r="695" spans="1:40" x14ac:dyDescent="0.25">
      <c r="F695" s="211"/>
      <c r="H695" s="211"/>
      <c r="I695" s="211"/>
      <c r="J695" s="305"/>
      <c r="K695" s="305"/>
      <c r="L695" s="211"/>
      <c r="M695" s="211"/>
      <c r="N695" s="211"/>
      <c r="O695" s="211"/>
      <c r="P695" s="211"/>
      <c r="Q695" s="211"/>
      <c r="R695" s="211"/>
      <c r="V695" s="211"/>
      <c r="Y695" s="211"/>
      <c r="Z695" s="305"/>
      <c r="AA695" s="211"/>
      <c r="AB695" s="211"/>
      <c r="AC695" s="211"/>
      <c r="AD695" s="211"/>
      <c r="AE695" s="211"/>
      <c r="AF695" s="211"/>
      <c r="AI695" s="211"/>
      <c r="AJ695" s="211"/>
      <c r="AK695" s="212"/>
      <c r="AL695" s="211"/>
      <c r="AM695" s="210"/>
      <c r="AN695" s="210"/>
    </row>
    <row r="696" spans="1:40" x14ac:dyDescent="0.25">
      <c r="A696" s="202"/>
      <c r="C696" s="154"/>
      <c r="F696" s="200"/>
      <c r="H696" s="200"/>
      <c r="I696" s="200"/>
      <c r="J696" s="213"/>
      <c r="K696" s="213"/>
      <c r="L696" s="200"/>
      <c r="M696" s="200"/>
      <c r="N696" s="213"/>
      <c r="O696" s="213"/>
      <c r="P696" s="200"/>
      <c r="Q696" s="200"/>
      <c r="R696" s="200"/>
      <c r="T696" s="154"/>
      <c r="V696" s="200"/>
      <c r="Y696" s="200"/>
      <c r="Z696" s="213"/>
      <c r="AA696" s="200"/>
      <c r="AB696" s="200"/>
      <c r="AC696" s="213"/>
      <c r="AD696" s="213"/>
      <c r="AE696" s="200"/>
      <c r="AF696" s="200"/>
      <c r="AG696" s="209"/>
      <c r="AH696" s="201"/>
      <c r="AI696" s="200"/>
      <c r="AJ696" s="200"/>
      <c r="AK696" s="209"/>
      <c r="AL696" s="200"/>
      <c r="AM696" s="210"/>
      <c r="AN696" s="210"/>
    </row>
    <row r="697" spans="1:40" x14ac:dyDescent="0.25">
      <c r="F697" s="200"/>
      <c r="H697" s="200"/>
      <c r="I697" s="200"/>
      <c r="J697" s="213"/>
      <c r="K697" s="213"/>
      <c r="L697" s="200"/>
      <c r="M697" s="200"/>
      <c r="N697" s="213"/>
      <c r="O697" s="213"/>
      <c r="P697" s="200"/>
      <c r="Q697" s="200"/>
      <c r="R697" s="200"/>
      <c r="V697" s="200"/>
      <c r="Y697" s="200"/>
      <c r="Z697" s="213"/>
      <c r="AA697" s="200"/>
      <c r="AB697" s="200"/>
      <c r="AC697" s="213"/>
      <c r="AD697" s="213"/>
      <c r="AG697" s="209"/>
      <c r="AH697" s="201"/>
      <c r="AI697" s="200"/>
      <c r="AJ697" s="200"/>
      <c r="AK697" s="209"/>
      <c r="AL697" s="200"/>
      <c r="AM697" s="210"/>
      <c r="AN697" s="210"/>
    </row>
    <row r="698" spans="1:40" x14ac:dyDescent="0.25">
      <c r="A698" s="202"/>
      <c r="D698" s="154"/>
      <c r="E698" s="154"/>
      <c r="F698" s="200"/>
      <c r="H698" s="200"/>
      <c r="I698" s="200"/>
      <c r="J698" s="213"/>
      <c r="K698" s="213"/>
      <c r="L698" s="252"/>
      <c r="M698" s="252"/>
      <c r="N698" s="213"/>
      <c r="O698" s="213"/>
      <c r="P698" s="200"/>
      <c r="Q698" s="200"/>
      <c r="R698" s="200"/>
      <c r="U698" s="154"/>
      <c r="V698" s="200"/>
      <c r="Y698" s="200"/>
      <c r="Z698" s="213"/>
      <c r="AA698" s="252"/>
      <c r="AB698" s="252"/>
      <c r="AC698" s="213"/>
      <c r="AD698" s="213"/>
      <c r="AE698" s="200"/>
      <c r="AF698" s="200"/>
      <c r="AG698" s="209"/>
      <c r="AH698" s="201"/>
      <c r="AI698" s="200"/>
      <c r="AJ698" s="200"/>
      <c r="AK698" s="209"/>
      <c r="AL698" s="200"/>
      <c r="AM698" s="210"/>
      <c r="AN698" s="210"/>
    </row>
    <row r="699" spans="1:40" x14ac:dyDescent="0.25">
      <c r="A699" s="202"/>
      <c r="D699" s="154"/>
      <c r="E699" s="154"/>
      <c r="F699" s="200"/>
      <c r="H699" s="200"/>
      <c r="I699" s="200"/>
      <c r="J699" s="213"/>
      <c r="K699" s="213"/>
      <c r="L699" s="252"/>
      <c r="M699" s="252"/>
      <c r="N699" s="213"/>
      <c r="O699" s="213"/>
      <c r="P699" s="200"/>
      <c r="Q699" s="200"/>
      <c r="R699" s="200"/>
      <c r="U699" s="154"/>
      <c r="V699" s="200"/>
      <c r="Y699" s="200"/>
      <c r="Z699" s="213"/>
      <c r="AA699" s="252"/>
      <c r="AB699" s="252"/>
      <c r="AC699" s="213"/>
      <c r="AD699" s="213"/>
      <c r="AE699" s="200"/>
      <c r="AF699" s="200"/>
      <c r="AG699" s="209"/>
      <c r="AH699" s="201"/>
      <c r="AI699" s="200"/>
      <c r="AJ699" s="200"/>
      <c r="AK699" s="209"/>
      <c r="AL699" s="200"/>
      <c r="AM699" s="210"/>
      <c r="AN699" s="210"/>
    </row>
    <row r="700" spans="1:40" x14ac:dyDescent="0.25">
      <c r="A700" s="202"/>
      <c r="D700" s="154"/>
      <c r="E700" s="154"/>
      <c r="F700" s="200"/>
      <c r="H700" s="200"/>
      <c r="I700" s="200"/>
      <c r="J700" s="213"/>
      <c r="K700" s="213"/>
      <c r="L700" s="252"/>
      <c r="M700" s="252"/>
      <c r="N700" s="213"/>
      <c r="O700" s="213"/>
      <c r="P700" s="200"/>
      <c r="Q700" s="200"/>
      <c r="R700" s="200"/>
      <c r="U700" s="154"/>
      <c r="V700" s="200"/>
      <c r="Y700" s="200"/>
      <c r="Z700" s="213"/>
      <c r="AA700" s="252"/>
      <c r="AB700" s="252"/>
      <c r="AC700" s="213"/>
      <c r="AD700" s="213"/>
      <c r="AE700" s="200"/>
      <c r="AF700" s="200"/>
      <c r="AG700" s="209"/>
      <c r="AH700" s="201"/>
      <c r="AI700" s="200"/>
      <c r="AJ700" s="200"/>
      <c r="AK700" s="209"/>
      <c r="AL700" s="200"/>
      <c r="AM700" s="210"/>
      <c r="AN700" s="210"/>
    </row>
    <row r="701" spans="1:40" x14ac:dyDescent="0.25">
      <c r="F701" s="211"/>
      <c r="H701" s="211"/>
      <c r="I701" s="211"/>
      <c r="J701" s="305"/>
      <c r="K701" s="305"/>
      <c r="L701" s="211"/>
      <c r="M701" s="211"/>
      <c r="N701" s="211"/>
      <c r="O701" s="211"/>
      <c r="P701" s="211"/>
      <c r="Q701" s="211"/>
      <c r="R701" s="211"/>
      <c r="V701" s="211"/>
      <c r="Y701" s="211"/>
      <c r="Z701" s="305"/>
      <c r="AA701" s="211"/>
      <c r="AB701" s="211"/>
      <c r="AC701" s="211"/>
      <c r="AD701" s="211"/>
      <c r="AE701" s="211"/>
      <c r="AF701" s="211"/>
      <c r="AI701" s="211"/>
      <c r="AJ701" s="211"/>
      <c r="AK701" s="212"/>
      <c r="AL701" s="211"/>
      <c r="AM701" s="210"/>
      <c r="AN701" s="210"/>
    </row>
    <row r="702" spans="1:40" x14ac:dyDescent="0.25">
      <c r="A702" s="202"/>
      <c r="C702" s="154"/>
      <c r="F702" s="200"/>
      <c r="H702" s="200"/>
      <c r="I702" s="200"/>
      <c r="J702" s="213"/>
      <c r="K702" s="213"/>
      <c r="L702" s="200"/>
      <c r="M702" s="200"/>
      <c r="N702" s="213"/>
      <c r="O702" s="213"/>
      <c r="P702" s="200"/>
      <c r="Q702" s="200"/>
      <c r="R702" s="200"/>
      <c r="T702" s="154"/>
      <c r="V702" s="200"/>
      <c r="Y702" s="200"/>
      <c r="Z702" s="213"/>
      <c r="AA702" s="200"/>
      <c r="AB702" s="200"/>
      <c r="AC702" s="213"/>
      <c r="AD702" s="213"/>
      <c r="AE702" s="200"/>
      <c r="AF702" s="200"/>
      <c r="AG702" s="209"/>
      <c r="AH702" s="201"/>
      <c r="AI702" s="200"/>
      <c r="AJ702" s="200"/>
      <c r="AK702" s="209"/>
      <c r="AL702" s="200"/>
      <c r="AM702" s="210"/>
      <c r="AN702" s="210"/>
    </row>
    <row r="703" spans="1:40" x14ac:dyDescent="0.25">
      <c r="F703" s="200"/>
      <c r="H703" s="200"/>
      <c r="I703" s="200"/>
      <c r="J703" s="213"/>
      <c r="K703" s="213"/>
      <c r="L703" s="200"/>
      <c r="M703" s="200"/>
      <c r="N703" s="213"/>
      <c r="O703" s="213"/>
      <c r="P703" s="200"/>
      <c r="Q703" s="200"/>
      <c r="R703" s="200"/>
      <c r="V703" s="200"/>
      <c r="Y703" s="200"/>
      <c r="Z703" s="213"/>
      <c r="AA703" s="200"/>
      <c r="AB703" s="200"/>
      <c r="AC703" s="213"/>
      <c r="AD703" s="213"/>
      <c r="AG703" s="209"/>
      <c r="AH703" s="201"/>
      <c r="AI703" s="200"/>
      <c r="AJ703" s="200"/>
      <c r="AK703" s="209"/>
      <c r="AL703" s="200"/>
      <c r="AM703" s="210"/>
      <c r="AN703" s="210"/>
    </row>
    <row r="704" spans="1:40" x14ac:dyDescent="0.25">
      <c r="A704" s="202"/>
      <c r="C704" s="154"/>
      <c r="F704" s="200"/>
      <c r="H704" s="200"/>
      <c r="I704" s="200"/>
      <c r="J704" s="213"/>
      <c r="K704" s="213"/>
      <c r="L704" s="200"/>
      <c r="M704" s="200"/>
      <c r="N704" s="213"/>
      <c r="O704" s="213"/>
      <c r="P704" s="200"/>
      <c r="Q704" s="200"/>
      <c r="R704" s="200"/>
      <c r="T704" s="154"/>
      <c r="V704" s="200"/>
      <c r="Y704" s="200"/>
      <c r="Z704" s="213"/>
      <c r="AA704" s="200"/>
      <c r="AB704" s="200"/>
      <c r="AC704" s="213"/>
      <c r="AD704" s="213"/>
      <c r="AE704" s="200"/>
      <c r="AF704" s="200"/>
      <c r="AG704" s="209"/>
      <c r="AH704" s="201"/>
      <c r="AI704" s="200"/>
      <c r="AJ704" s="200"/>
      <c r="AK704" s="209"/>
      <c r="AL704" s="200"/>
      <c r="AM704" s="210"/>
      <c r="AN704" s="210"/>
    </row>
    <row r="705" spans="1:38" x14ac:dyDescent="0.25">
      <c r="F705" s="211"/>
      <c r="H705" s="211"/>
      <c r="I705" s="211"/>
      <c r="J705" s="305"/>
      <c r="K705" s="305"/>
      <c r="L705" s="211"/>
      <c r="M705" s="211"/>
      <c r="N705" s="211"/>
      <c r="O705" s="211"/>
      <c r="P705" s="211"/>
      <c r="Q705" s="211"/>
      <c r="R705" s="211"/>
      <c r="V705" s="211"/>
      <c r="Y705" s="211"/>
      <c r="Z705" s="305"/>
      <c r="AA705" s="211"/>
      <c r="AB705" s="211"/>
      <c r="AC705" s="211"/>
      <c r="AD705" s="211"/>
      <c r="AE705" s="211"/>
      <c r="AF705" s="211"/>
      <c r="AI705" s="211"/>
      <c r="AJ705" s="211"/>
      <c r="AK705" s="212"/>
      <c r="AL705" s="211"/>
    </row>
    <row r="707" spans="1:38" x14ac:dyDescent="0.25">
      <c r="C707" s="154"/>
      <c r="L707" s="200"/>
      <c r="M707" s="200"/>
      <c r="P707" s="200"/>
      <c r="Q707" s="200"/>
      <c r="R707" s="200"/>
      <c r="T707" s="154"/>
    </row>
    <row r="708" spans="1:38" x14ac:dyDescent="0.25">
      <c r="A708" s="154"/>
      <c r="L708" s="200"/>
      <c r="M708" s="200"/>
      <c r="P708" s="200"/>
      <c r="Q708" s="200"/>
      <c r="R708" s="200"/>
    </row>
    <row r="709" spans="1:38" x14ac:dyDescent="0.25">
      <c r="L709" s="200"/>
      <c r="M709" s="200"/>
      <c r="P709" s="200"/>
      <c r="Q709" s="200"/>
      <c r="R709" s="200"/>
    </row>
    <row r="710" spans="1:38" x14ac:dyDescent="0.25">
      <c r="L710" s="200"/>
      <c r="M710" s="200"/>
      <c r="P710" s="200"/>
      <c r="Q710" s="200"/>
      <c r="R710" s="200"/>
    </row>
    <row r="711" spans="1:38" x14ac:dyDescent="0.25">
      <c r="L711" s="200"/>
      <c r="M711" s="200"/>
      <c r="P711" s="200"/>
      <c r="Q711" s="200"/>
      <c r="R711" s="200"/>
    </row>
    <row r="712" spans="1:38" x14ac:dyDescent="0.25">
      <c r="L712" s="200"/>
      <c r="M712" s="200"/>
      <c r="P712" s="200"/>
      <c r="Q712" s="200"/>
      <c r="R712" s="200"/>
    </row>
    <row r="713" spans="1:38" x14ac:dyDescent="0.25">
      <c r="L713" s="200"/>
      <c r="M713" s="200"/>
      <c r="P713" s="200"/>
      <c r="Q713" s="200"/>
      <c r="R713" s="200"/>
    </row>
    <row r="746" spans="49:49" x14ac:dyDescent="0.25">
      <c r="AW746" s="200"/>
    </row>
    <row r="747" spans="49:49" x14ac:dyDescent="0.25">
      <c r="AW747" s="200"/>
    </row>
    <row r="748" spans="49:49" x14ac:dyDescent="0.25">
      <c r="AW748" s="200"/>
    </row>
    <row r="749" spans="49:49" x14ac:dyDescent="0.25">
      <c r="AW749" s="200"/>
    </row>
    <row r="750" spans="49:49" x14ac:dyDescent="0.25">
      <c r="AW750" s="200"/>
    </row>
    <row r="751" spans="49:49" x14ac:dyDescent="0.25">
      <c r="AW751" s="200"/>
    </row>
    <row r="754" spans="49:49" x14ac:dyDescent="0.25">
      <c r="AW754" s="200"/>
    </row>
    <row r="755" spans="49:49" x14ac:dyDescent="0.25">
      <c r="AW755" s="200"/>
    </row>
    <row r="756" spans="49:49" x14ac:dyDescent="0.25">
      <c r="AW756" s="200"/>
    </row>
    <row r="757" spans="49:49" x14ac:dyDescent="0.25">
      <c r="AW757" s="200"/>
    </row>
    <row r="758" spans="49:49" x14ac:dyDescent="0.25">
      <c r="AW758" s="200"/>
    </row>
    <row r="759" spans="49:49" x14ac:dyDescent="0.25">
      <c r="AW759" s="200"/>
    </row>
    <row r="760" spans="49:49" x14ac:dyDescent="0.25">
      <c r="AW760" s="200"/>
    </row>
    <row r="761" spans="49:49" x14ac:dyDescent="0.25">
      <c r="AW761" s="200"/>
    </row>
    <row r="764" spans="49:49" x14ac:dyDescent="0.25">
      <c r="AW764" s="200"/>
    </row>
    <row r="765" spans="49:49" x14ac:dyDescent="0.25">
      <c r="AW765" s="200"/>
    </row>
    <row r="768" spans="49:49" x14ac:dyDescent="0.25">
      <c r="AW768" s="200"/>
    </row>
    <row r="769" spans="45:56" x14ac:dyDescent="0.25">
      <c r="AW769" s="200"/>
    </row>
    <row r="770" spans="45:56" x14ac:dyDescent="0.25">
      <c r="AW770" s="200"/>
    </row>
    <row r="771" spans="45:56" x14ac:dyDescent="0.25">
      <c r="AW771" s="200"/>
    </row>
    <row r="777" spans="45:56" x14ac:dyDescent="0.25">
      <c r="AY777" s="202"/>
    </row>
    <row r="778" spans="45:56" x14ac:dyDescent="0.25">
      <c r="AY778" s="202"/>
    </row>
    <row r="779" spans="45:56" x14ac:dyDescent="0.25">
      <c r="AY779" s="154"/>
    </row>
    <row r="780" spans="45:56" x14ac:dyDescent="0.25">
      <c r="AY780" s="154"/>
    </row>
    <row r="781" spans="45:56" x14ac:dyDescent="0.25">
      <c r="AS781" s="202"/>
      <c r="BD781" s="154"/>
    </row>
    <row r="782" spans="45:56" x14ac:dyDescent="0.25">
      <c r="AS782" s="202"/>
      <c r="BD782" s="154"/>
    </row>
    <row r="783" spans="45:56" x14ac:dyDescent="0.25">
      <c r="AS783" s="154"/>
      <c r="BD783" s="154"/>
    </row>
    <row r="784" spans="45:56" x14ac:dyDescent="0.25">
      <c r="BD784" s="202"/>
    </row>
    <row r="785" spans="45:69" x14ac:dyDescent="0.25"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</row>
    <row r="786" spans="45:69" x14ac:dyDescent="0.25">
      <c r="AX786" s="154"/>
    </row>
    <row r="787" spans="45:69" x14ac:dyDescent="0.25">
      <c r="AX787" s="102"/>
      <c r="AY787" s="102"/>
      <c r="AZ787" s="102"/>
      <c r="BA787" s="102"/>
      <c r="BC787" s="103"/>
      <c r="BD787" s="103"/>
    </row>
    <row r="788" spans="45:69" x14ac:dyDescent="0.25">
      <c r="AV788" s="103"/>
      <c r="AW788" s="103"/>
      <c r="AZ788" s="103"/>
      <c r="BA788" s="103"/>
      <c r="BC788" s="103"/>
      <c r="BD788" s="103"/>
      <c r="BE788" s="103"/>
      <c r="BG788" s="102"/>
      <c r="BH788" s="154"/>
      <c r="BK788" s="102"/>
      <c r="BM788" s="102"/>
      <c r="BN788" s="154"/>
      <c r="BQ788" s="102"/>
    </row>
    <row r="789" spans="45:69" x14ac:dyDescent="0.25"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H789" s="103"/>
      <c r="BI789" s="103"/>
      <c r="BJ789" s="103"/>
      <c r="BN789" s="103"/>
      <c r="BO789" s="103"/>
      <c r="BP789" s="103"/>
    </row>
    <row r="790" spans="45:69" x14ac:dyDescent="0.25">
      <c r="AS790" s="103"/>
      <c r="AU790" s="154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G790" s="103"/>
      <c r="BH790" s="103"/>
      <c r="BI790" s="103"/>
      <c r="BJ790" s="103"/>
      <c r="BK790" s="103"/>
      <c r="BM790" s="103"/>
      <c r="BN790" s="103"/>
      <c r="BO790" s="103"/>
      <c r="BP790" s="103"/>
      <c r="BQ790" s="103"/>
    </row>
    <row r="791" spans="45:69" x14ac:dyDescent="0.25">
      <c r="AS791" s="103"/>
      <c r="AU791" s="154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G791" s="103"/>
      <c r="BH791" s="103"/>
      <c r="BI791" s="103"/>
      <c r="BJ791" s="103"/>
      <c r="BK791" s="103"/>
      <c r="BM791" s="103"/>
      <c r="BN791" s="103"/>
      <c r="BO791" s="103"/>
      <c r="BP791" s="103"/>
      <c r="BQ791" s="103"/>
    </row>
    <row r="792" spans="45:69" x14ac:dyDescent="0.25"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G792" s="102"/>
      <c r="BH792" s="102"/>
      <c r="BI792" s="102"/>
      <c r="BJ792" s="102"/>
      <c r="BK792" s="102"/>
      <c r="BM792" s="102"/>
      <c r="BN792" s="102"/>
      <c r="BO792" s="102"/>
      <c r="BP792" s="102"/>
      <c r="BQ792" s="102"/>
    </row>
    <row r="793" spans="45:69" x14ac:dyDescent="0.25"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</row>
    <row r="794" spans="45:69" x14ac:dyDescent="0.25">
      <c r="AS794" s="202"/>
      <c r="AU794" s="154"/>
      <c r="AV794" s="103"/>
      <c r="AY794" s="213"/>
    </row>
    <row r="795" spans="45:69" x14ac:dyDescent="0.25">
      <c r="AS795" s="202"/>
      <c r="AV795" s="103"/>
      <c r="AW795" s="200"/>
      <c r="AX795" s="334"/>
      <c r="AY795" s="334"/>
      <c r="AZ795" s="334"/>
      <c r="BA795" s="210"/>
      <c r="BB795" s="334"/>
      <c r="BC795" s="213"/>
      <c r="BD795" s="213"/>
      <c r="BE795" s="210"/>
      <c r="BG795" s="334"/>
      <c r="BH795" s="334"/>
      <c r="BI795" s="334"/>
      <c r="BJ795" s="334"/>
      <c r="BK795" s="334"/>
      <c r="BM795" s="334"/>
      <c r="BN795" s="334"/>
      <c r="BO795" s="334"/>
      <c r="BP795" s="334"/>
      <c r="BQ795" s="334"/>
    </row>
    <row r="796" spans="45:69" x14ac:dyDescent="0.25">
      <c r="AS796" s="202"/>
      <c r="AV796" s="103"/>
      <c r="AW796" s="200"/>
      <c r="AX796" s="334"/>
      <c r="AY796" s="334"/>
      <c r="AZ796" s="334"/>
      <c r="BA796" s="210"/>
      <c r="BB796" s="334"/>
      <c r="BC796" s="213"/>
      <c r="BD796" s="213"/>
      <c r="BE796" s="210"/>
      <c r="BG796" s="334"/>
      <c r="BH796" s="334"/>
      <c r="BI796" s="334"/>
      <c r="BJ796" s="334"/>
      <c r="BK796" s="334"/>
      <c r="BM796" s="334"/>
      <c r="BN796" s="334"/>
      <c r="BO796" s="334"/>
      <c r="BP796" s="334"/>
      <c r="BQ796" s="334"/>
    </row>
    <row r="797" spans="45:69" x14ac:dyDescent="0.25">
      <c r="AS797" s="202"/>
      <c r="AV797" s="103"/>
      <c r="AW797" s="200"/>
      <c r="AX797" s="334"/>
      <c r="AY797" s="334"/>
      <c r="AZ797" s="334"/>
      <c r="BA797" s="210"/>
      <c r="BB797" s="334"/>
      <c r="BC797" s="213"/>
      <c r="BD797" s="213"/>
      <c r="BE797" s="210"/>
      <c r="BG797" s="334"/>
      <c r="BH797" s="334"/>
      <c r="BI797" s="334"/>
      <c r="BJ797" s="334"/>
      <c r="BK797" s="334"/>
      <c r="BM797" s="334"/>
      <c r="BN797" s="334"/>
      <c r="BO797" s="334"/>
      <c r="BP797" s="334"/>
      <c r="BQ797" s="334"/>
    </row>
    <row r="798" spans="45:69" x14ac:dyDescent="0.25">
      <c r="AS798" s="202"/>
      <c r="AV798" s="103"/>
      <c r="AW798" s="200"/>
      <c r="AX798" s="334"/>
      <c r="AY798" s="334"/>
      <c r="AZ798" s="334"/>
      <c r="BA798" s="210"/>
      <c r="BB798" s="334"/>
      <c r="BC798" s="213"/>
      <c r="BD798" s="213"/>
      <c r="BE798" s="210"/>
      <c r="BG798" s="334"/>
      <c r="BH798" s="334"/>
      <c r="BI798" s="334"/>
      <c r="BJ798" s="334"/>
      <c r="BK798" s="334"/>
      <c r="BM798" s="334"/>
      <c r="BN798" s="334"/>
      <c r="BO798" s="334"/>
      <c r="BP798" s="334"/>
      <c r="BQ798" s="334"/>
    </row>
    <row r="799" spans="45:69" x14ac:dyDescent="0.25">
      <c r="AS799" s="202"/>
      <c r="AV799" s="103"/>
      <c r="AW799" s="200"/>
      <c r="AX799" s="334"/>
      <c r="AY799" s="334"/>
      <c r="AZ799" s="334"/>
      <c r="BA799" s="210"/>
      <c r="BB799" s="334"/>
      <c r="BC799" s="213"/>
      <c r="BD799" s="213"/>
      <c r="BE799" s="210"/>
      <c r="BG799" s="334"/>
      <c r="BH799" s="334"/>
      <c r="BI799" s="334"/>
      <c r="BJ799" s="334"/>
      <c r="BK799" s="334"/>
      <c r="BM799" s="334"/>
      <c r="BN799" s="334"/>
      <c r="BO799" s="334"/>
      <c r="BP799" s="334"/>
      <c r="BQ799" s="334"/>
    </row>
    <row r="800" spans="45:69" x14ac:dyDescent="0.25">
      <c r="AS800" s="202"/>
      <c r="AV800" s="103"/>
      <c r="AW800" s="200"/>
      <c r="AX800" s="334"/>
      <c r="AY800" s="334"/>
      <c r="AZ800" s="334"/>
      <c r="BA800" s="210"/>
      <c r="BB800" s="334"/>
      <c r="BC800" s="213"/>
      <c r="BD800" s="213"/>
      <c r="BE800" s="210"/>
      <c r="BG800" s="334"/>
      <c r="BH800" s="334"/>
      <c r="BI800" s="334"/>
      <c r="BJ800" s="334"/>
      <c r="BK800" s="334"/>
      <c r="BM800" s="334"/>
      <c r="BN800" s="334"/>
      <c r="BO800" s="334"/>
      <c r="BP800" s="334"/>
      <c r="BQ800" s="334"/>
    </row>
    <row r="801" spans="45:69" x14ac:dyDescent="0.25">
      <c r="AS801" s="202"/>
      <c r="AV801" s="103"/>
      <c r="AW801" s="200"/>
      <c r="AX801" s="334"/>
      <c r="AY801" s="334"/>
      <c r="AZ801" s="334"/>
      <c r="BA801" s="210"/>
      <c r="BB801" s="334"/>
      <c r="BC801" s="213"/>
      <c r="BD801" s="213"/>
      <c r="BE801" s="210"/>
      <c r="BG801" s="334"/>
      <c r="BH801" s="334"/>
      <c r="BI801" s="334"/>
      <c r="BJ801" s="334"/>
      <c r="BK801" s="334"/>
      <c r="BM801" s="334"/>
      <c r="BN801" s="334"/>
      <c r="BO801" s="334"/>
      <c r="BP801" s="334"/>
      <c r="BQ801" s="334"/>
    </row>
    <row r="802" spans="45:69" x14ac:dyDescent="0.25">
      <c r="AY802" s="213"/>
      <c r="AZ802" s="334"/>
      <c r="BA802" s="210"/>
      <c r="BB802" s="334"/>
      <c r="BC802" s="213"/>
      <c r="BD802" s="213"/>
      <c r="BE802" s="210"/>
      <c r="BK802" s="334"/>
      <c r="BQ802" s="334"/>
    </row>
    <row r="803" spans="45:69" x14ac:dyDescent="0.25">
      <c r="AS803" s="202"/>
      <c r="AV803" s="103"/>
      <c r="AY803" s="213"/>
      <c r="AZ803" s="334"/>
      <c r="BA803" s="210"/>
      <c r="BB803" s="334"/>
      <c r="BC803" s="213"/>
      <c r="BD803" s="213"/>
      <c r="BE803" s="210"/>
      <c r="BK803" s="334"/>
      <c r="BQ803" s="334"/>
    </row>
    <row r="804" spans="45:69" x14ac:dyDescent="0.25">
      <c r="AS804" s="202"/>
      <c r="AV804" s="103"/>
      <c r="AW804" s="200"/>
      <c r="AX804" s="334"/>
      <c r="AY804" s="334"/>
      <c r="AZ804" s="334"/>
      <c r="BA804" s="210"/>
      <c r="BB804" s="334"/>
      <c r="BC804" s="213"/>
      <c r="BD804" s="213"/>
      <c r="BE804" s="210"/>
      <c r="BG804" s="334"/>
      <c r="BH804" s="334"/>
      <c r="BI804" s="334"/>
      <c r="BJ804" s="334"/>
      <c r="BK804" s="334"/>
      <c r="BM804" s="334"/>
      <c r="BN804" s="334"/>
      <c r="BO804" s="334"/>
      <c r="BP804" s="334"/>
      <c r="BQ804" s="334"/>
    </row>
    <row r="805" spans="45:69" x14ac:dyDescent="0.25">
      <c r="AS805" s="202"/>
      <c r="AV805" s="103"/>
      <c r="AW805" s="200"/>
      <c r="AX805" s="334"/>
      <c r="AY805" s="334"/>
      <c r="AZ805" s="334"/>
      <c r="BA805" s="210"/>
      <c r="BB805" s="334"/>
      <c r="BC805" s="213"/>
      <c r="BD805" s="213"/>
      <c r="BE805" s="210"/>
      <c r="BG805" s="334"/>
      <c r="BH805" s="334"/>
      <c r="BI805" s="334"/>
      <c r="BJ805" s="334"/>
      <c r="BK805" s="334"/>
      <c r="BM805" s="334"/>
      <c r="BN805" s="334"/>
      <c r="BO805" s="334"/>
      <c r="BP805" s="334"/>
      <c r="BQ805" s="334"/>
    </row>
    <row r="806" spans="45:69" x14ac:dyDescent="0.25">
      <c r="AS806" s="202"/>
      <c r="AV806" s="103"/>
      <c r="AW806" s="200"/>
      <c r="AX806" s="334"/>
      <c r="AY806" s="334"/>
      <c r="AZ806" s="334"/>
      <c r="BA806" s="210"/>
      <c r="BB806" s="334"/>
      <c r="BC806" s="213"/>
      <c r="BD806" s="213"/>
      <c r="BE806" s="210"/>
      <c r="BG806" s="334"/>
      <c r="BH806" s="334"/>
      <c r="BI806" s="334"/>
      <c r="BJ806" s="334"/>
      <c r="BK806" s="334"/>
      <c r="BM806" s="334"/>
      <c r="BN806" s="334"/>
      <c r="BO806" s="334"/>
      <c r="BP806" s="334"/>
      <c r="BQ806" s="334"/>
    </row>
    <row r="807" spans="45:69" x14ac:dyDescent="0.25">
      <c r="AS807" s="202"/>
      <c r="AV807" s="103"/>
      <c r="AW807" s="200"/>
      <c r="AX807" s="334"/>
      <c r="AY807" s="334"/>
      <c r="AZ807" s="334"/>
      <c r="BA807" s="210"/>
      <c r="BB807" s="334"/>
      <c r="BC807" s="213"/>
      <c r="BD807" s="213"/>
      <c r="BE807" s="210"/>
      <c r="BG807" s="334"/>
      <c r="BH807" s="334"/>
      <c r="BI807" s="334"/>
      <c r="BJ807" s="334"/>
      <c r="BK807" s="334"/>
      <c r="BM807" s="334"/>
      <c r="BN807" s="334"/>
      <c r="BO807" s="334"/>
      <c r="BP807" s="334"/>
      <c r="BQ807" s="334"/>
    </row>
    <row r="808" spans="45:69" x14ac:dyDescent="0.25">
      <c r="AS808" s="202"/>
      <c r="AV808" s="103"/>
      <c r="AW808" s="200"/>
      <c r="AX808" s="334"/>
      <c r="AY808" s="334"/>
      <c r="AZ808" s="334"/>
      <c r="BA808" s="210"/>
      <c r="BB808" s="334"/>
      <c r="BC808" s="213"/>
      <c r="BD808" s="213"/>
      <c r="BE808" s="210"/>
      <c r="BG808" s="334"/>
      <c r="BH808" s="334"/>
      <c r="BI808" s="334"/>
      <c r="BJ808" s="334"/>
      <c r="BK808" s="334"/>
      <c r="BM808" s="334"/>
      <c r="BN808" s="334"/>
      <c r="BO808" s="334"/>
      <c r="BP808" s="334"/>
      <c r="BQ808" s="334"/>
    </row>
    <row r="809" spans="45:69" x14ac:dyDescent="0.25">
      <c r="AS809" s="202"/>
      <c r="AV809" s="103"/>
      <c r="AW809" s="200"/>
      <c r="AX809" s="334"/>
      <c r="AY809" s="334"/>
      <c r="AZ809" s="334"/>
      <c r="BA809" s="210"/>
      <c r="BB809" s="334"/>
      <c r="BC809" s="213"/>
      <c r="BD809" s="213"/>
      <c r="BE809" s="210"/>
      <c r="BG809" s="334"/>
      <c r="BH809" s="334"/>
      <c r="BI809" s="334"/>
      <c r="BJ809" s="334"/>
      <c r="BK809" s="334"/>
      <c r="BM809" s="334"/>
      <c r="BN809" s="334"/>
      <c r="BO809" s="334"/>
      <c r="BP809" s="334"/>
      <c r="BQ809" s="334"/>
    </row>
    <row r="810" spans="45:69" x14ac:dyDescent="0.25">
      <c r="AS810" s="202"/>
      <c r="AV810" s="103"/>
      <c r="AW810" s="200"/>
      <c r="AX810" s="334"/>
      <c r="AY810" s="334"/>
      <c r="AZ810" s="334"/>
      <c r="BA810" s="210"/>
      <c r="BB810" s="334"/>
      <c r="BC810" s="213"/>
      <c r="BD810" s="213"/>
      <c r="BE810" s="210"/>
      <c r="BG810" s="334"/>
      <c r="BH810" s="334"/>
      <c r="BI810" s="334"/>
      <c r="BJ810" s="334"/>
      <c r="BK810" s="334"/>
      <c r="BM810" s="334"/>
      <c r="BN810" s="334"/>
      <c r="BO810" s="334"/>
      <c r="BP810" s="334"/>
      <c r="BQ810" s="334"/>
    </row>
    <row r="811" spans="45:69" x14ac:dyDescent="0.25">
      <c r="AS811" s="202"/>
      <c r="AV811" s="103"/>
      <c r="AW811" s="200"/>
      <c r="AX811" s="334"/>
      <c r="AY811" s="334"/>
      <c r="AZ811" s="334"/>
      <c r="BA811" s="210"/>
      <c r="BB811" s="334"/>
      <c r="BC811" s="213"/>
      <c r="BD811" s="213"/>
      <c r="BE811" s="210"/>
      <c r="BG811" s="334"/>
      <c r="BH811" s="334"/>
      <c r="BI811" s="334"/>
      <c r="BJ811" s="334"/>
      <c r="BK811" s="334"/>
      <c r="BM811" s="334"/>
      <c r="BN811" s="334"/>
      <c r="BO811" s="334"/>
      <c r="BP811" s="334"/>
      <c r="BQ811" s="334"/>
    </row>
    <row r="812" spans="45:69" x14ac:dyDescent="0.25">
      <c r="AY812" s="213"/>
      <c r="AZ812" s="334"/>
      <c r="BA812" s="210"/>
      <c r="BB812" s="334"/>
      <c r="BC812" s="213"/>
      <c r="BD812" s="213"/>
      <c r="BE812" s="210"/>
      <c r="BK812" s="334"/>
      <c r="BQ812" s="334"/>
    </row>
    <row r="813" spans="45:69" x14ac:dyDescent="0.25">
      <c r="AU813" s="154"/>
      <c r="AZ813" s="334"/>
      <c r="BB813" s="334"/>
      <c r="BG813" s="334"/>
      <c r="BH813" s="334"/>
      <c r="BJ813" s="334"/>
      <c r="BK813" s="334"/>
    </row>
    <row r="814" spans="45:69" x14ac:dyDescent="0.25">
      <c r="AZ814" s="334"/>
      <c r="BB814" s="334"/>
    </row>
    <row r="815" spans="45:69" x14ac:dyDescent="0.25">
      <c r="AS815" s="154"/>
      <c r="AZ815" s="334"/>
      <c r="BB815" s="334"/>
      <c r="BI815" s="334"/>
    </row>
    <row r="816" spans="45:69" x14ac:dyDescent="0.25">
      <c r="AY816" s="202"/>
      <c r="AZ816" s="334"/>
      <c r="BB816" s="334"/>
    </row>
    <row r="817" spans="45:75" x14ac:dyDescent="0.25">
      <c r="AY817" s="334"/>
      <c r="BB817" s="334"/>
    </row>
    <row r="818" spans="45:75" x14ac:dyDescent="0.25">
      <c r="AY818" s="154"/>
      <c r="AZ818" s="334"/>
      <c r="BB818" s="334"/>
    </row>
    <row r="819" spans="45:75" x14ac:dyDescent="0.25">
      <c r="AY819" s="154"/>
      <c r="AZ819" s="334"/>
      <c r="BB819" s="334"/>
    </row>
    <row r="820" spans="45:75" x14ac:dyDescent="0.25">
      <c r="AS820" s="202"/>
      <c r="AZ820" s="334"/>
      <c r="BB820" s="334"/>
      <c r="BD820" s="154"/>
    </row>
    <row r="821" spans="45:75" x14ac:dyDescent="0.25">
      <c r="AS821" s="202"/>
      <c r="AZ821" s="334"/>
      <c r="BB821" s="334"/>
      <c r="BD821" s="154"/>
    </row>
    <row r="822" spans="45:75" x14ac:dyDescent="0.25">
      <c r="AS822" s="154"/>
      <c r="AZ822" s="334"/>
      <c r="BB822" s="334"/>
      <c r="BD822" s="154"/>
    </row>
    <row r="823" spans="45:75" x14ac:dyDescent="0.25">
      <c r="AZ823" s="334"/>
      <c r="BB823" s="334"/>
      <c r="BD823" s="202"/>
    </row>
    <row r="824" spans="45:75" x14ac:dyDescent="0.25">
      <c r="AS824" s="102"/>
      <c r="AT824" s="102"/>
      <c r="AU824" s="102"/>
      <c r="AV824" s="102"/>
      <c r="AW824" s="102"/>
      <c r="AX824" s="102"/>
      <c r="AY824" s="102"/>
      <c r="AZ824" s="335"/>
      <c r="BA824" s="102"/>
      <c r="BB824" s="335"/>
      <c r="BC824" s="102"/>
      <c r="BD824" s="102"/>
      <c r="BE824" s="102"/>
    </row>
    <row r="825" spans="45:75" x14ac:dyDescent="0.25">
      <c r="AX825" s="154"/>
      <c r="AZ825" s="334"/>
      <c r="BB825" s="334"/>
    </row>
    <row r="826" spans="45:75" x14ac:dyDescent="0.25">
      <c r="AX826" s="102"/>
      <c r="AY826" s="102"/>
      <c r="AZ826" s="335"/>
      <c r="BA826" s="102"/>
      <c r="BB826" s="334"/>
      <c r="BC826" s="103"/>
      <c r="BD826" s="103"/>
    </row>
    <row r="827" spans="45:75" x14ac:dyDescent="0.25">
      <c r="AV827" s="103"/>
      <c r="AW827" s="103"/>
      <c r="AZ827" s="336"/>
      <c r="BA827" s="103"/>
      <c r="BB827" s="334"/>
      <c r="BC827" s="103"/>
      <c r="BD827" s="103"/>
      <c r="BE827" s="103"/>
      <c r="BG827" s="102"/>
      <c r="BH827" s="102"/>
      <c r="BI827" s="154"/>
      <c r="BM827" s="102"/>
      <c r="BN827" s="102"/>
      <c r="BP827" s="102"/>
      <c r="BQ827" s="102"/>
      <c r="BR827" s="154"/>
      <c r="BV827" s="102"/>
      <c r="BW827" s="102"/>
    </row>
    <row r="828" spans="45:75" x14ac:dyDescent="0.25">
      <c r="AV828" s="103"/>
      <c r="AW828" s="103"/>
      <c r="AX828" s="103"/>
      <c r="AY828" s="103"/>
      <c r="AZ828" s="336"/>
      <c r="BA828" s="103"/>
      <c r="BB828" s="336"/>
      <c r="BC828" s="103"/>
      <c r="BD828" s="103"/>
      <c r="BE828" s="103"/>
      <c r="BH828" s="103"/>
      <c r="BI828" s="103"/>
      <c r="BJ828" s="103"/>
      <c r="BK828" s="103"/>
      <c r="BL828" s="103"/>
      <c r="BM828" s="103"/>
      <c r="BQ828" s="103"/>
      <c r="BR828" s="103"/>
      <c r="BS828" s="103"/>
      <c r="BT828" s="103"/>
      <c r="BU828" s="103"/>
      <c r="BV828" s="103"/>
    </row>
    <row r="829" spans="45:75" x14ac:dyDescent="0.25">
      <c r="AS829" s="103"/>
      <c r="AU829" s="154"/>
      <c r="AV829" s="103"/>
      <c r="AW829" s="103"/>
      <c r="AX829" s="103"/>
      <c r="AY829" s="103"/>
      <c r="AZ829" s="336"/>
      <c r="BA829" s="103"/>
      <c r="BB829" s="336"/>
      <c r="BC829" s="103"/>
      <c r="BD829" s="103"/>
      <c r="BE829" s="103"/>
      <c r="BG829" s="103"/>
      <c r="BH829" s="103"/>
      <c r="BI829" s="103"/>
      <c r="BJ829" s="103"/>
      <c r="BK829" s="103"/>
      <c r="BL829" s="103"/>
      <c r="BM829" s="103"/>
      <c r="BN829" s="103"/>
      <c r="BP829" s="103"/>
      <c r="BQ829" s="103"/>
      <c r="BR829" s="103"/>
      <c r="BS829" s="103"/>
      <c r="BT829" s="103"/>
      <c r="BU829" s="103"/>
      <c r="BV829" s="103"/>
      <c r="BW829" s="103"/>
    </row>
    <row r="830" spans="45:75" x14ac:dyDescent="0.25">
      <c r="AS830" s="103"/>
      <c r="AU830" s="154"/>
      <c r="AV830" s="103"/>
      <c r="AW830" s="103"/>
      <c r="AX830" s="103"/>
      <c r="AY830" s="103"/>
      <c r="AZ830" s="336"/>
      <c r="BA830" s="103"/>
      <c r="BB830" s="336"/>
      <c r="BC830" s="103"/>
      <c r="BD830" s="103"/>
      <c r="BE830" s="103"/>
      <c r="BG830" s="103"/>
      <c r="BH830" s="103"/>
      <c r="BI830" s="103"/>
      <c r="BJ830" s="103"/>
      <c r="BK830" s="103"/>
      <c r="BL830" s="103"/>
      <c r="BM830" s="103"/>
      <c r="BN830" s="103"/>
      <c r="BP830" s="103"/>
      <c r="BQ830" s="103"/>
      <c r="BR830" s="103"/>
      <c r="BS830" s="103"/>
      <c r="BT830" s="103"/>
      <c r="BU830" s="103"/>
      <c r="BV830" s="103"/>
      <c r="BW830" s="103"/>
    </row>
    <row r="831" spans="45:75" x14ac:dyDescent="0.25">
      <c r="AS831" s="102"/>
      <c r="AT831" s="102"/>
      <c r="AU831" s="102"/>
      <c r="AV831" s="102"/>
      <c r="AW831" s="102"/>
      <c r="AX831" s="102"/>
      <c r="AY831" s="102"/>
      <c r="AZ831" s="335"/>
      <c r="BA831" s="102"/>
      <c r="BB831" s="335"/>
      <c r="BC831" s="102"/>
      <c r="BD831" s="102"/>
      <c r="BE831" s="102"/>
      <c r="BG831" s="102"/>
      <c r="BH831" s="102"/>
      <c r="BI831" s="102"/>
      <c r="BJ831" s="102"/>
      <c r="BK831" s="102"/>
      <c r="BL831" s="102"/>
      <c r="BM831" s="102"/>
      <c r="BN831" s="102"/>
      <c r="BP831" s="102"/>
      <c r="BQ831" s="102"/>
      <c r="BR831" s="102"/>
      <c r="BS831" s="102"/>
      <c r="BT831" s="102"/>
      <c r="BU831" s="102"/>
      <c r="BV831" s="102"/>
      <c r="BW831" s="102"/>
    </row>
    <row r="832" spans="45:75" x14ac:dyDescent="0.25">
      <c r="AV832" s="103"/>
      <c r="AW832" s="103"/>
      <c r="AX832" s="103"/>
      <c r="AY832" s="103"/>
      <c r="AZ832" s="336"/>
      <c r="BA832" s="103"/>
      <c r="BB832" s="336"/>
      <c r="BC832" s="103"/>
      <c r="BD832" s="103"/>
      <c r="BE832" s="103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  <c r="BT832" s="334"/>
      <c r="BU832" s="334"/>
      <c r="BV832" s="334"/>
      <c r="BW832" s="334"/>
    </row>
    <row r="833" spans="45:75" x14ac:dyDescent="0.25">
      <c r="AS833" s="202"/>
      <c r="AU833" s="154"/>
      <c r="AV833" s="202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  <c r="BT833" s="334"/>
      <c r="BU833" s="334"/>
      <c r="BV833" s="334"/>
      <c r="BW833" s="334"/>
    </row>
    <row r="834" spans="45:75" x14ac:dyDescent="0.25">
      <c r="AS834" s="202"/>
      <c r="AV834" s="202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  <c r="BT834" s="334"/>
      <c r="BU834" s="334"/>
      <c r="BV834" s="334"/>
      <c r="BW834" s="334"/>
    </row>
    <row r="835" spans="45:75" x14ac:dyDescent="0.25">
      <c r="AS835" s="202"/>
      <c r="AV835" s="202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  <c r="BT835" s="334"/>
      <c r="BU835" s="334"/>
      <c r="BV835" s="334"/>
      <c r="BW835" s="334"/>
    </row>
    <row r="836" spans="45:75" x14ac:dyDescent="0.25">
      <c r="AS836" s="202"/>
      <c r="AV836" s="202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  <c r="BT836" s="334"/>
      <c r="BU836" s="334"/>
      <c r="BV836" s="334"/>
      <c r="BW836" s="334"/>
    </row>
    <row r="837" spans="45:75" x14ac:dyDescent="0.25">
      <c r="AS837" s="202"/>
      <c r="AV837" s="202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  <c r="BT837" s="334"/>
      <c r="BU837" s="334"/>
      <c r="BV837" s="334"/>
      <c r="BW837" s="334"/>
    </row>
    <row r="838" spans="45:75" x14ac:dyDescent="0.25">
      <c r="AS838" s="202"/>
      <c r="AV838" s="202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  <c r="BT838" s="334"/>
      <c r="BU838" s="334"/>
      <c r="BV838" s="334"/>
      <c r="BW838" s="334"/>
    </row>
    <row r="839" spans="45:75" x14ac:dyDescent="0.25">
      <c r="AS839" s="202"/>
      <c r="AV839" s="202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  <c r="BT839" s="334"/>
      <c r="BU839" s="334"/>
      <c r="BV839" s="334"/>
      <c r="BW839" s="334"/>
    </row>
    <row r="840" spans="45:75" x14ac:dyDescent="0.25">
      <c r="AS840" s="202"/>
      <c r="AV840" s="202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  <c r="BT840" s="334"/>
      <c r="BU840" s="334"/>
      <c r="BV840" s="334"/>
      <c r="BW840" s="334"/>
    </row>
    <row r="841" spans="45:75" x14ac:dyDescent="0.25">
      <c r="AS841" s="202"/>
      <c r="AV841" s="202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  <c r="BT841" s="334"/>
      <c r="BU841" s="334"/>
      <c r="BV841" s="334"/>
      <c r="BW841" s="334"/>
    </row>
    <row r="842" spans="45:75" x14ac:dyDescent="0.25">
      <c r="AS842" s="202"/>
      <c r="AV842" s="202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  <c r="BT842" s="334"/>
      <c r="BU842" s="334"/>
      <c r="BV842" s="334"/>
      <c r="BW842" s="334"/>
    </row>
    <row r="843" spans="45:75" x14ac:dyDescent="0.25">
      <c r="AS843" s="202"/>
      <c r="AV843" s="202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  <c r="BT843" s="334"/>
      <c r="BU843" s="334"/>
      <c r="BV843" s="334"/>
      <c r="BW843" s="334"/>
    </row>
    <row r="844" spans="45:75" x14ac:dyDescent="0.25">
      <c r="AS844" s="202"/>
      <c r="AV844" s="202"/>
      <c r="AW844" s="200"/>
      <c r="AX844" s="334"/>
      <c r="AY844" s="334"/>
      <c r="AZ844" s="334"/>
      <c r="BA844" s="201"/>
      <c r="BB844" s="334"/>
      <c r="BC844" s="334"/>
      <c r="BD844" s="334"/>
      <c r="BE844" s="201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  <c r="BT844" s="334"/>
      <c r="BU844" s="334"/>
      <c r="BV844" s="334"/>
      <c r="BW844" s="334"/>
    </row>
    <row r="845" spans="45:75" x14ac:dyDescent="0.25">
      <c r="AS845" s="202"/>
      <c r="AV845" s="202"/>
      <c r="AW845" s="200"/>
      <c r="AX845" s="334"/>
      <c r="AY845" s="33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  <c r="BT845" s="334"/>
      <c r="BU845" s="334"/>
      <c r="BV845" s="334"/>
      <c r="BW845" s="334"/>
    </row>
    <row r="846" spans="45:75" x14ac:dyDescent="0.25">
      <c r="AS846" s="202"/>
      <c r="AV846" s="202"/>
      <c r="AW846" s="200"/>
      <c r="AX846" s="334"/>
      <c r="AY846" s="334"/>
      <c r="AZ846" s="334"/>
      <c r="BA846" s="201"/>
      <c r="BB846" s="334"/>
      <c r="BC846" s="334"/>
      <c r="BD846" s="334"/>
      <c r="BE846" s="201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  <c r="BT846" s="334"/>
      <c r="BU846" s="334"/>
      <c r="BV846" s="334"/>
      <c r="BW846" s="334"/>
    </row>
    <row r="847" spans="45:75" x14ac:dyDescent="0.25">
      <c r="AS847" s="202"/>
      <c r="AV847" s="202"/>
      <c r="AW847" s="200"/>
      <c r="AX847" s="334"/>
      <c r="AY847" s="334"/>
      <c r="AZ847" s="334"/>
      <c r="BA847" s="201"/>
      <c r="BB847" s="334"/>
      <c r="BC847" s="334"/>
      <c r="BD847" s="334"/>
      <c r="BE847" s="201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  <c r="BT847" s="334"/>
      <c r="BU847" s="334"/>
      <c r="BV847" s="334"/>
      <c r="BW847" s="334"/>
    </row>
    <row r="848" spans="45:75" x14ac:dyDescent="0.25">
      <c r="AS848" s="202"/>
      <c r="AV848" s="202"/>
      <c r="AW848" s="200"/>
      <c r="AX848" s="334"/>
      <c r="AY848" s="334"/>
      <c r="AZ848" s="334"/>
      <c r="BA848" s="201"/>
      <c r="BB848" s="334"/>
      <c r="BC848" s="334"/>
      <c r="BD848" s="334"/>
      <c r="BE848" s="201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  <c r="BT848" s="334"/>
      <c r="BU848" s="334"/>
      <c r="BV848" s="334"/>
      <c r="BW848" s="334"/>
    </row>
    <row r="849" spans="45:75" x14ac:dyDescent="0.25">
      <c r="AS849" s="202"/>
      <c r="AV849" s="202"/>
      <c r="AW849" s="200"/>
      <c r="AX849" s="334"/>
      <c r="AY849" s="334"/>
      <c r="AZ849" s="334"/>
      <c r="BA849" s="201"/>
      <c r="BB849" s="334"/>
      <c r="BC849" s="334"/>
      <c r="BD849" s="334"/>
      <c r="BE849" s="201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  <c r="BR849" s="334"/>
      <c r="BS849" s="334"/>
      <c r="BT849" s="334"/>
      <c r="BU849" s="334"/>
      <c r="BV849" s="334"/>
      <c r="BW849" s="334"/>
    </row>
    <row r="850" spans="45:75" x14ac:dyDescent="0.25">
      <c r="AS850" s="202"/>
      <c r="AV850" s="202"/>
      <c r="AW850" s="200"/>
      <c r="AX850" s="334"/>
      <c r="AY850" s="334"/>
      <c r="AZ850" s="334"/>
      <c r="BA850" s="201"/>
      <c r="BB850" s="334"/>
      <c r="BC850" s="334"/>
      <c r="BD850" s="334"/>
      <c r="BE850" s="201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  <c r="BT850" s="334"/>
      <c r="BU850" s="334"/>
      <c r="BV850" s="334"/>
      <c r="BW850" s="334"/>
    </row>
    <row r="851" spans="45:75" x14ac:dyDescent="0.25">
      <c r="AS851" s="202"/>
      <c r="AV851" s="202"/>
      <c r="AW851" s="200"/>
      <c r="AX851" s="334"/>
      <c r="AY851" s="334"/>
      <c r="AZ851" s="334"/>
      <c r="BA851" s="201"/>
      <c r="BB851" s="334"/>
      <c r="BC851" s="334"/>
      <c r="BD851" s="334"/>
      <c r="BE851" s="201"/>
      <c r="BG851" s="334"/>
      <c r="BH851" s="334"/>
      <c r="BI851" s="334"/>
      <c r="BJ851" s="334"/>
      <c r="BK851" s="334"/>
      <c r="BL851" s="334"/>
      <c r="BM851" s="334"/>
      <c r="BN851" s="334"/>
      <c r="BO851" s="334"/>
      <c r="BP851" s="334"/>
      <c r="BQ851" s="334"/>
      <c r="BR851" s="334"/>
      <c r="BS851" s="334"/>
      <c r="BT851" s="334"/>
      <c r="BU851" s="334"/>
      <c r="BV851" s="334"/>
      <c r="BW851" s="334"/>
    </row>
    <row r="852" spans="45:75" x14ac:dyDescent="0.25">
      <c r="AS852" s="202"/>
      <c r="AV852" s="202"/>
      <c r="AW852" s="200"/>
      <c r="AX852" s="334"/>
      <c r="AY852" s="334"/>
      <c r="AZ852" s="334"/>
      <c r="BA852" s="201"/>
      <c r="BB852" s="334"/>
      <c r="BC852" s="334"/>
      <c r="BD852" s="334"/>
      <c r="BE852" s="201"/>
      <c r="BG852" s="334"/>
      <c r="BH852" s="334"/>
      <c r="BI852" s="334"/>
      <c r="BJ852" s="334"/>
      <c r="BK852" s="334"/>
      <c r="BL852" s="334"/>
      <c r="BM852" s="334"/>
      <c r="BN852" s="334"/>
      <c r="BO852" s="334"/>
      <c r="BP852" s="334"/>
      <c r="BQ852" s="334"/>
      <c r="BR852" s="334"/>
      <c r="BS852" s="334"/>
      <c r="BT852" s="334"/>
      <c r="BU852" s="334"/>
      <c r="BV852" s="334"/>
      <c r="BW852" s="334"/>
    </row>
    <row r="853" spans="45:75" x14ac:dyDescent="0.25">
      <c r="AS853" s="202"/>
      <c r="AV853" s="202"/>
      <c r="AW853" s="200"/>
      <c r="AX853" s="334"/>
      <c r="AY853" s="334"/>
      <c r="AZ853" s="334"/>
      <c r="BA853" s="201"/>
      <c r="BB853" s="334"/>
      <c r="BC853" s="334"/>
      <c r="BD853" s="334"/>
      <c r="BE853" s="201"/>
      <c r="BG853" s="334"/>
      <c r="BH853" s="334"/>
      <c r="BI853" s="334"/>
      <c r="BJ853" s="334"/>
      <c r="BK853" s="334"/>
      <c r="BL853" s="334"/>
      <c r="BM853" s="334"/>
      <c r="BN853" s="334"/>
      <c r="BO853" s="334"/>
      <c r="BP853" s="334"/>
      <c r="BQ853" s="334"/>
      <c r="BR853" s="334"/>
      <c r="BS853" s="334"/>
      <c r="BT853" s="334"/>
      <c r="BU853" s="334"/>
      <c r="BV853" s="334"/>
      <c r="BW853" s="334"/>
    </row>
    <row r="854" spans="45:75" x14ac:dyDescent="0.25">
      <c r="AW854" s="200"/>
      <c r="AX854" s="334"/>
      <c r="AY854" s="334"/>
      <c r="AZ854" s="334"/>
      <c r="BA854" s="201"/>
      <c r="BB854" s="334"/>
      <c r="BC854" s="334"/>
      <c r="BD854" s="334"/>
      <c r="BE854" s="201"/>
      <c r="BG854" s="102"/>
      <c r="BH854" s="102"/>
      <c r="BI854" s="154"/>
      <c r="BM854" s="102"/>
      <c r="BN854" s="102"/>
      <c r="BO854" s="334"/>
      <c r="BP854" s="102"/>
      <c r="BQ854" s="102"/>
      <c r="BR854" s="154"/>
      <c r="BV854" s="102"/>
      <c r="BW854" s="102"/>
    </row>
    <row r="855" spans="45:75" x14ac:dyDescent="0.25">
      <c r="AS855" s="202"/>
      <c r="AU855" s="154"/>
      <c r="AV855" s="103"/>
      <c r="AW855" s="200"/>
      <c r="AX855" s="334"/>
      <c r="AY855" s="334"/>
      <c r="AZ855" s="334"/>
      <c r="BA855" s="201"/>
      <c r="BB855" s="334"/>
      <c r="BC855" s="334"/>
      <c r="BD855" s="334"/>
      <c r="BE855" s="201"/>
      <c r="BG855" s="336"/>
      <c r="BH855" s="334"/>
      <c r="BI855" s="334"/>
      <c r="BJ855" s="334"/>
      <c r="BK855" s="336"/>
      <c r="BL855" s="337"/>
      <c r="BM855" s="334"/>
      <c r="BN855" s="336"/>
      <c r="BO855" s="334"/>
      <c r="BP855" s="336"/>
      <c r="BQ855" s="334"/>
      <c r="BR855" s="334"/>
      <c r="BS855" s="334"/>
      <c r="BT855" s="336"/>
      <c r="BU855" s="337"/>
      <c r="BV855" s="334"/>
      <c r="BW855" s="336"/>
    </row>
    <row r="856" spans="45:75" x14ac:dyDescent="0.25">
      <c r="AS856" s="202"/>
      <c r="AV856" s="103"/>
      <c r="AW856" s="200"/>
      <c r="AX856" s="334"/>
      <c r="AY856" s="334"/>
      <c r="AZ856" s="334"/>
      <c r="BA856" s="201"/>
      <c r="BB856" s="334"/>
      <c r="BC856" s="334"/>
      <c r="BD856" s="334"/>
      <c r="BE856" s="201"/>
      <c r="BG856" s="334"/>
      <c r="BH856" s="334"/>
      <c r="BI856" s="334"/>
      <c r="BJ856" s="334"/>
      <c r="BK856" s="334"/>
      <c r="BL856" s="337"/>
      <c r="BM856" s="334"/>
      <c r="BN856" s="334"/>
      <c r="BO856" s="334"/>
      <c r="BP856" s="334"/>
      <c r="BQ856" s="334"/>
      <c r="BR856" s="334"/>
      <c r="BS856" s="334"/>
      <c r="BT856" s="334"/>
      <c r="BU856" s="337"/>
      <c r="BV856" s="334"/>
      <c r="BW856" s="334"/>
    </row>
    <row r="857" spans="45:75" x14ac:dyDescent="0.25">
      <c r="AS857" s="202"/>
      <c r="AV857" s="103"/>
      <c r="AW857" s="200"/>
      <c r="AX857" s="334"/>
      <c r="AY857" s="334"/>
      <c r="AZ857" s="334"/>
      <c r="BA857" s="201"/>
      <c r="BB857" s="334"/>
      <c r="BC857" s="334"/>
      <c r="BD857" s="334"/>
      <c r="BE857" s="201"/>
      <c r="BG857" s="334"/>
      <c r="BH857" s="334"/>
      <c r="BI857" s="334"/>
      <c r="BJ857" s="334"/>
      <c r="BK857" s="334"/>
      <c r="BL857" s="337"/>
      <c r="BM857" s="334"/>
      <c r="BN857" s="334"/>
      <c r="BO857" s="334"/>
      <c r="BP857" s="334"/>
      <c r="BQ857" s="334"/>
      <c r="BR857" s="334"/>
      <c r="BS857" s="334"/>
      <c r="BT857" s="334"/>
      <c r="BU857" s="337"/>
      <c r="BV857" s="334"/>
      <c r="BW857" s="334"/>
    </row>
    <row r="858" spans="45:75" x14ac:dyDescent="0.25">
      <c r="AS858" s="202"/>
      <c r="AV858" s="103"/>
      <c r="AW858" s="200"/>
      <c r="AX858" s="334"/>
      <c r="AY858" s="334"/>
      <c r="AZ858" s="334"/>
      <c r="BA858" s="201"/>
      <c r="BB858" s="334"/>
      <c r="BC858" s="334"/>
      <c r="BD858" s="334"/>
      <c r="BE858" s="201"/>
      <c r="BG858" s="334"/>
      <c r="BH858" s="334"/>
      <c r="BI858" s="334"/>
      <c r="BJ858" s="334"/>
      <c r="BK858" s="334"/>
      <c r="BL858" s="337"/>
      <c r="BM858" s="334"/>
      <c r="BN858" s="334"/>
      <c r="BO858" s="334"/>
      <c r="BP858" s="334"/>
      <c r="BQ858" s="334"/>
      <c r="BR858" s="334"/>
      <c r="BS858" s="334"/>
      <c r="BT858" s="334"/>
      <c r="BU858" s="337"/>
      <c r="BV858" s="334"/>
      <c r="BW858" s="334"/>
    </row>
    <row r="859" spans="45:75" x14ac:dyDescent="0.25">
      <c r="AX859" s="334"/>
      <c r="AY859" s="334"/>
      <c r="AZ859" s="334"/>
      <c r="BA859" s="201"/>
      <c r="BB859" s="334"/>
      <c r="BC859" s="334"/>
      <c r="BD859" s="334"/>
      <c r="BE859" s="201"/>
      <c r="BG859" s="334"/>
      <c r="BH859" s="334"/>
      <c r="BI859" s="334"/>
      <c r="BJ859" s="334"/>
      <c r="BK859" s="334"/>
      <c r="BL859" s="334"/>
      <c r="BM859" s="334"/>
      <c r="BN859" s="334"/>
      <c r="BO859" s="334"/>
      <c r="BP859" s="334"/>
      <c r="BQ859" s="334"/>
      <c r="BR859" s="334"/>
      <c r="BS859" s="334"/>
      <c r="BT859" s="334"/>
      <c r="BU859" s="334"/>
      <c r="BV859" s="334"/>
    </row>
    <row r="860" spans="45:75" x14ac:dyDescent="0.25">
      <c r="AU860" s="154"/>
    </row>
    <row r="861" spans="45:75" x14ac:dyDescent="0.25">
      <c r="AU861" s="154"/>
      <c r="AZ861" s="334"/>
      <c r="BA861" s="201"/>
      <c r="BB861" s="334"/>
      <c r="BC861" s="334"/>
      <c r="BD861" s="334"/>
      <c r="BE861" s="201"/>
      <c r="BG861" s="334"/>
      <c r="BH861" s="334"/>
      <c r="BI861" s="334"/>
      <c r="BJ861" s="334"/>
      <c r="BK861" s="334"/>
      <c r="BL861" s="334"/>
      <c r="BM861" s="334"/>
      <c r="BN861" s="334"/>
      <c r="BO861" s="334"/>
      <c r="BP861" s="334"/>
      <c r="BQ861" s="334"/>
      <c r="BR861" s="334"/>
      <c r="BS861" s="334"/>
      <c r="BT861" s="334"/>
      <c r="BU861" s="334"/>
      <c r="BV861" s="334"/>
    </row>
    <row r="862" spans="45:75" x14ac:dyDescent="0.25">
      <c r="AS862" s="154"/>
      <c r="AZ862" s="334"/>
      <c r="BB862" s="334"/>
    </row>
    <row r="863" spans="45:75" x14ac:dyDescent="0.25">
      <c r="AY863" s="202"/>
      <c r="AZ863" s="334"/>
      <c r="BB863" s="334"/>
      <c r="BO863" s="334"/>
      <c r="BP863" s="334"/>
      <c r="BQ863" s="334"/>
      <c r="BR863" s="334"/>
      <c r="BS863" s="334"/>
      <c r="BT863" s="334"/>
      <c r="BU863" s="334"/>
      <c r="BV863" s="334"/>
    </row>
    <row r="864" spans="45:75" x14ac:dyDescent="0.25">
      <c r="AY864" s="334"/>
      <c r="AZ864" s="334"/>
      <c r="BB864" s="334"/>
      <c r="BO864" s="334"/>
      <c r="BP864" s="334"/>
      <c r="BQ864" s="334"/>
      <c r="BR864" s="334"/>
      <c r="BS864" s="334"/>
      <c r="BT864" s="334"/>
      <c r="BU864" s="334"/>
      <c r="BV864" s="334"/>
    </row>
    <row r="865" spans="45:74" x14ac:dyDescent="0.25">
      <c r="AY865" s="154"/>
      <c r="AZ865" s="334"/>
      <c r="BB865" s="334"/>
      <c r="BO865" s="334"/>
      <c r="BP865" s="334"/>
      <c r="BQ865" s="334"/>
      <c r="BR865" s="334"/>
      <c r="BS865" s="334"/>
      <c r="BT865" s="334"/>
      <c r="BU865" s="334"/>
      <c r="BV865" s="334"/>
    </row>
    <row r="866" spans="45:74" x14ac:dyDescent="0.25">
      <c r="AY866" s="154"/>
      <c r="AZ866" s="334"/>
      <c r="BB866" s="334"/>
      <c r="BO866" s="334"/>
      <c r="BP866" s="334"/>
      <c r="BQ866" s="334"/>
      <c r="BR866" s="334"/>
      <c r="BS866" s="334"/>
      <c r="BT866" s="334"/>
      <c r="BU866" s="334"/>
      <c r="BV866" s="334"/>
    </row>
    <row r="867" spans="45:74" x14ac:dyDescent="0.25">
      <c r="AS867" s="202"/>
      <c r="AZ867" s="334"/>
      <c r="BB867" s="334"/>
      <c r="BD867" s="154"/>
      <c r="BO867" s="334"/>
      <c r="BP867" s="334"/>
      <c r="BQ867" s="334"/>
      <c r="BR867" s="334"/>
      <c r="BS867" s="334"/>
      <c r="BT867" s="334"/>
      <c r="BU867" s="334"/>
      <c r="BV867" s="334"/>
    </row>
    <row r="868" spans="45:74" x14ac:dyDescent="0.25">
      <c r="AS868" s="202"/>
      <c r="AZ868" s="334"/>
      <c r="BB868" s="334"/>
      <c r="BD868" s="154"/>
      <c r="BO868" s="334"/>
      <c r="BP868" s="334"/>
      <c r="BQ868" s="334"/>
      <c r="BR868" s="334"/>
      <c r="BS868" s="334"/>
      <c r="BT868" s="334"/>
      <c r="BU868" s="334"/>
      <c r="BV868" s="334"/>
    </row>
    <row r="869" spans="45:74" x14ac:dyDescent="0.25">
      <c r="AS869" s="154"/>
      <c r="AZ869" s="334"/>
      <c r="BB869" s="334"/>
      <c r="BD869" s="154"/>
      <c r="BO869" s="334"/>
      <c r="BP869" s="334"/>
      <c r="BQ869" s="334"/>
      <c r="BR869" s="334"/>
      <c r="BS869" s="334"/>
      <c r="BT869" s="334"/>
      <c r="BU869" s="334"/>
      <c r="BV869" s="334"/>
    </row>
    <row r="870" spans="45:74" x14ac:dyDescent="0.25">
      <c r="AZ870" s="334"/>
      <c r="BB870" s="334"/>
      <c r="BD870" s="202"/>
      <c r="BO870" s="334"/>
      <c r="BP870" s="334"/>
      <c r="BQ870" s="334"/>
      <c r="BR870" s="334"/>
      <c r="BS870" s="334"/>
      <c r="BT870" s="334"/>
      <c r="BU870" s="334"/>
      <c r="BV870" s="334"/>
    </row>
    <row r="871" spans="45:74" x14ac:dyDescent="0.25">
      <c r="AS871" s="102"/>
      <c r="AT871" s="102"/>
      <c r="AU871" s="102"/>
      <c r="AV871" s="102"/>
      <c r="AW871" s="102"/>
      <c r="AX871" s="102"/>
      <c r="AY871" s="102"/>
      <c r="AZ871" s="335"/>
      <c r="BA871" s="102"/>
      <c r="BB871" s="335"/>
      <c r="BC871" s="102"/>
      <c r="BD871" s="102"/>
      <c r="BE871" s="102"/>
      <c r="BO871" s="334"/>
      <c r="BP871" s="334"/>
      <c r="BQ871" s="334"/>
      <c r="BR871" s="334"/>
      <c r="BS871" s="334"/>
      <c r="BT871" s="334"/>
      <c r="BU871" s="334"/>
      <c r="BV871" s="334"/>
    </row>
    <row r="872" spans="45:74" x14ac:dyDescent="0.25">
      <c r="AX872" s="154"/>
      <c r="AZ872" s="334"/>
      <c r="BB872" s="334"/>
      <c r="BO872" s="334"/>
      <c r="BP872" s="334"/>
      <c r="BQ872" s="334"/>
      <c r="BR872" s="334"/>
      <c r="BS872" s="334"/>
      <c r="BT872" s="334"/>
      <c r="BU872" s="334"/>
      <c r="BV872" s="334"/>
    </row>
    <row r="873" spans="45:74" x14ac:dyDescent="0.25">
      <c r="AX873" s="102"/>
      <c r="AY873" s="102"/>
      <c r="AZ873" s="335"/>
      <c r="BA873" s="102"/>
      <c r="BB873" s="334"/>
      <c r="BC873" s="103"/>
      <c r="BD873" s="103"/>
      <c r="BO873" s="334"/>
      <c r="BP873" s="334"/>
      <c r="BQ873" s="334"/>
      <c r="BR873" s="334"/>
      <c r="BS873" s="334"/>
      <c r="BT873" s="334"/>
      <c r="BU873" s="334"/>
      <c r="BV873" s="334"/>
    </row>
    <row r="874" spans="45:74" x14ac:dyDescent="0.25">
      <c r="AV874" s="103"/>
      <c r="AW874" s="103"/>
      <c r="AZ874" s="336"/>
      <c r="BA874" s="103"/>
      <c r="BB874" s="334"/>
      <c r="BC874" s="103"/>
      <c r="BD874" s="103"/>
      <c r="BE874" s="103"/>
      <c r="BG874" s="102"/>
      <c r="BH874" s="154"/>
      <c r="BK874" s="102"/>
      <c r="BM874" s="102"/>
      <c r="BN874" s="154"/>
      <c r="BQ874" s="102"/>
    </row>
    <row r="875" spans="45:74" x14ac:dyDescent="0.25">
      <c r="AV875" s="103"/>
      <c r="AW875" s="103"/>
      <c r="AX875" s="103"/>
      <c r="AY875" s="103"/>
      <c r="AZ875" s="336"/>
      <c r="BA875" s="103"/>
      <c r="BB875" s="336"/>
      <c r="BC875" s="103"/>
      <c r="BD875" s="103"/>
      <c r="BE875" s="103"/>
      <c r="BH875" s="103"/>
      <c r="BI875" s="103"/>
      <c r="BN875" s="103"/>
      <c r="BO875" s="103"/>
    </row>
    <row r="876" spans="45:74" x14ac:dyDescent="0.25">
      <c r="AS876" s="103"/>
      <c r="AU876" s="154"/>
      <c r="AV876" s="103"/>
      <c r="AW876" s="103"/>
      <c r="AX876" s="103"/>
      <c r="AY876" s="103"/>
      <c r="AZ876" s="336"/>
      <c r="BA876" s="103"/>
      <c r="BB876" s="336"/>
      <c r="BC876" s="103"/>
      <c r="BD876" s="103"/>
      <c r="BE876" s="103"/>
      <c r="BG876" s="103"/>
      <c r="BH876" s="103"/>
      <c r="BI876" s="103"/>
      <c r="BJ876" s="103"/>
      <c r="BK876" s="103"/>
      <c r="BM876" s="103"/>
      <c r="BN876" s="103"/>
      <c r="BO876" s="103"/>
      <c r="BP876" s="103"/>
      <c r="BQ876" s="103"/>
    </row>
    <row r="877" spans="45:74" x14ac:dyDescent="0.25">
      <c r="AS877" s="103"/>
      <c r="AU877" s="154"/>
      <c r="AV877" s="103"/>
      <c r="AW877" s="103"/>
      <c r="AX877" s="103"/>
      <c r="AY877" s="103"/>
      <c r="AZ877" s="336"/>
      <c r="BA877" s="103"/>
      <c r="BB877" s="336"/>
      <c r="BC877" s="103"/>
      <c r="BD877" s="103"/>
      <c r="BE877" s="103"/>
      <c r="BG877" s="103"/>
      <c r="BH877" s="103"/>
      <c r="BI877" s="103"/>
      <c r="BJ877" s="103"/>
      <c r="BK877" s="103"/>
      <c r="BM877" s="103"/>
      <c r="BN877" s="103"/>
      <c r="BO877" s="103"/>
      <c r="BP877" s="103"/>
      <c r="BQ877" s="103"/>
    </row>
    <row r="878" spans="45:74" x14ac:dyDescent="0.25">
      <c r="AS878" s="102"/>
      <c r="AT878" s="102"/>
      <c r="AU878" s="102"/>
      <c r="AV878" s="102"/>
      <c r="AW878" s="102"/>
      <c r="AX878" s="102"/>
      <c r="AY878" s="102"/>
      <c r="AZ878" s="335"/>
      <c r="BA878" s="102"/>
      <c r="BB878" s="335"/>
      <c r="BC878" s="102"/>
      <c r="BD878" s="102"/>
      <c r="BE878" s="102"/>
      <c r="BG878" s="102"/>
      <c r="BH878" s="102"/>
      <c r="BI878" s="102"/>
      <c r="BJ878" s="102"/>
      <c r="BK878" s="102"/>
      <c r="BM878" s="102"/>
      <c r="BN878" s="102"/>
      <c r="BO878" s="102"/>
      <c r="BP878" s="102"/>
      <c r="BQ878" s="102"/>
    </row>
    <row r="879" spans="45:74" x14ac:dyDescent="0.25">
      <c r="AV879" s="103"/>
      <c r="AW879" s="103"/>
      <c r="AX879" s="103"/>
      <c r="AY879" s="103"/>
      <c r="AZ879" s="336"/>
      <c r="BA879" s="103"/>
      <c r="BB879" s="336"/>
      <c r="BC879" s="103"/>
      <c r="BD879" s="103"/>
      <c r="BE879" s="103"/>
      <c r="BG879" s="334"/>
      <c r="BH879" s="334"/>
      <c r="BI879" s="334"/>
      <c r="BJ879" s="334"/>
      <c r="BK879" s="334"/>
      <c r="BL879" s="334"/>
      <c r="BM879" s="334"/>
      <c r="BN879" s="334"/>
      <c r="BO879" s="334"/>
      <c r="BP879" s="334"/>
      <c r="BQ879" s="334"/>
    </row>
    <row r="880" spans="45:74" x14ac:dyDescent="0.25">
      <c r="AS880" s="202"/>
      <c r="AT880" s="154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  <c r="BG880" s="334"/>
      <c r="BH880" s="334"/>
      <c r="BI880" s="334"/>
      <c r="BJ880" s="334"/>
      <c r="BK880" s="334"/>
      <c r="BL880" s="334"/>
      <c r="BM880" s="334"/>
      <c r="BN880" s="334"/>
      <c r="BO880" s="334"/>
      <c r="BP880" s="334"/>
      <c r="BQ880" s="334"/>
      <c r="BR880" s="334"/>
      <c r="BS880" s="334"/>
    </row>
    <row r="881" spans="45:71" x14ac:dyDescent="0.25">
      <c r="AS881" s="202"/>
      <c r="AV881" s="200"/>
      <c r="AW881" s="200"/>
      <c r="AX881" s="334"/>
      <c r="AY881" s="334"/>
      <c r="AZ881" s="334"/>
      <c r="BA881" s="201"/>
      <c r="BB881" s="334"/>
      <c r="BC881" s="334"/>
      <c r="BD881" s="334"/>
      <c r="BE881" s="201"/>
      <c r="BG881" s="334"/>
      <c r="BH881" s="334"/>
      <c r="BI881" s="334"/>
      <c r="BJ881" s="334"/>
      <c r="BK881" s="334"/>
      <c r="BL881" s="334"/>
      <c r="BM881" s="334"/>
      <c r="BN881" s="334"/>
      <c r="BO881" s="334"/>
      <c r="BP881" s="334"/>
      <c r="BQ881" s="334"/>
      <c r="BR881" s="334"/>
      <c r="BS881" s="334"/>
    </row>
    <row r="882" spans="45:71" x14ac:dyDescent="0.25">
      <c r="AS882" s="202"/>
      <c r="AV882" s="200"/>
      <c r="AW882" s="200"/>
      <c r="AX882" s="334"/>
      <c r="AY882" s="334"/>
      <c r="AZ882" s="334"/>
      <c r="BA882" s="201"/>
      <c r="BB882" s="334"/>
      <c r="BC882" s="334"/>
      <c r="BD882" s="334"/>
      <c r="BE882" s="201"/>
      <c r="BG882" s="334"/>
      <c r="BH882" s="334"/>
      <c r="BI882" s="334"/>
      <c r="BJ882" s="334"/>
      <c r="BK882" s="334"/>
      <c r="BL882" s="334"/>
      <c r="BM882" s="334"/>
      <c r="BN882" s="334"/>
      <c r="BO882" s="334"/>
      <c r="BP882" s="334"/>
      <c r="BQ882" s="334"/>
      <c r="BR882" s="334"/>
      <c r="BS882" s="334"/>
    </row>
    <row r="883" spans="45:71" x14ac:dyDescent="0.25">
      <c r="AS883" s="202"/>
      <c r="AV883" s="200"/>
      <c r="AW883" s="200"/>
      <c r="AX883" s="334"/>
      <c r="AY883" s="334"/>
      <c r="AZ883" s="334"/>
      <c r="BA883" s="201"/>
      <c r="BB883" s="334"/>
      <c r="BC883" s="334"/>
      <c r="BD883" s="334"/>
      <c r="BE883" s="201"/>
      <c r="BG883" s="334"/>
      <c r="BH883" s="334"/>
      <c r="BI883" s="334"/>
      <c r="BJ883" s="334"/>
      <c r="BK883" s="334"/>
      <c r="BL883" s="334"/>
      <c r="BM883" s="334"/>
      <c r="BN883" s="334"/>
      <c r="BO883" s="334"/>
      <c r="BP883" s="334"/>
      <c r="BQ883" s="334"/>
      <c r="BR883" s="334"/>
      <c r="BS883" s="334"/>
    </row>
    <row r="884" spans="45:71" x14ac:dyDescent="0.25">
      <c r="AS884" s="202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  <c r="BG884" s="334"/>
      <c r="BH884" s="334"/>
      <c r="BI884" s="334"/>
      <c r="BJ884" s="334"/>
      <c r="BK884" s="334"/>
      <c r="BL884" s="334"/>
      <c r="BM884" s="334"/>
      <c r="BN884" s="334"/>
      <c r="BO884" s="334"/>
      <c r="BP884" s="334"/>
      <c r="BQ884" s="334"/>
      <c r="BR884" s="334"/>
      <c r="BS884" s="334"/>
    </row>
    <row r="885" spans="45:71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  <c r="BG885" s="334"/>
      <c r="BH885" s="334"/>
      <c r="BI885" s="334"/>
      <c r="BJ885" s="334"/>
      <c r="BK885" s="334"/>
      <c r="BL885" s="334"/>
      <c r="BM885" s="334"/>
      <c r="BN885" s="334"/>
      <c r="BO885" s="334"/>
      <c r="BP885" s="334"/>
      <c r="BQ885" s="334"/>
      <c r="BR885" s="334"/>
      <c r="BS885" s="334"/>
    </row>
    <row r="886" spans="45:71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  <c r="BG886" s="334"/>
      <c r="BH886" s="334"/>
      <c r="BI886" s="334"/>
      <c r="BJ886" s="334"/>
      <c r="BK886" s="334"/>
      <c r="BL886" s="334"/>
      <c r="BM886" s="334"/>
      <c r="BN886" s="334"/>
      <c r="BO886" s="334"/>
      <c r="BP886" s="334"/>
      <c r="BQ886" s="334"/>
      <c r="BR886" s="334"/>
      <c r="BS886" s="334"/>
    </row>
    <row r="887" spans="45:71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  <c r="BG887" s="334"/>
      <c r="BH887" s="334"/>
      <c r="BI887" s="334"/>
      <c r="BJ887" s="334"/>
      <c r="BK887" s="334"/>
      <c r="BL887" s="334"/>
      <c r="BM887" s="334"/>
      <c r="BN887" s="334"/>
      <c r="BO887" s="334"/>
      <c r="BP887" s="334"/>
      <c r="BQ887" s="334"/>
      <c r="BR887" s="334"/>
      <c r="BS887" s="334"/>
    </row>
    <row r="888" spans="45:71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  <c r="BG888" s="334"/>
      <c r="BH888" s="334"/>
      <c r="BI888" s="334"/>
      <c r="BJ888" s="334"/>
      <c r="BK888" s="334"/>
      <c r="BL888" s="334"/>
      <c r="BM888" s="334"/>
      <c r="BN888" s="334"/>
      <c r="BO888" s="334"/>
      <c r="BP888" s="334"/>
      <c r="BQ888" s="334"/>
      <c r="BR888" s="334"/>
      <c r="BS888" s="334"/>
    </row>
    <row r="889" spans="45:71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  <c r="BG889" s="334"/>
      <c r="BH889" s="334"/>
      <c r="BI889" s="334"/>
      <c r="BJ889" s="334"/>
      <c r="BK889" s="334"/>
      <c r="BL889" s="334"/>
      <c r="BM889" s="334"/>
      <c r="BN889" s="334"/>
      <c r="BO889" s="334"/>
      <c r="BP889" s="334"/>
      <c r="BQ889" s="334"/>
      <c r="BR889" s="334"/>
      <c r="BS889" s="334"/>
    </row>
    <row r="890" spans="45:71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  <c r="BG890" s="334"/>
      <c r="BH890" s="334"/>
      <c r="BI890" s="334"/>
      <c r="BJ890" s="334"/>
      <c r="BK890" s="334"/>
      <c r="BL890" s="334"/>
      <c r="BM890" s="334"/>
      <c r="BN890" s="334"/>
      <c r="BO890" s="334"/>
      <c r="BP890" s="334"/>
      <c r="BQ890" s="334"/>
      <c r="BR890" s="334"/>
      <c r="BS890" s="334"/>
    </row>
    <row r="891" spans="45:71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  <c r="BG891" s="334"/>
      <c r="BH891" s="334"/>
      <c r="BI891" s="334"/>
      <c r="BJ891" s="334"/>
      <c r="BK891" s="334"/>
      <c r="BL891" s="334"/>
      <c r="BM891" s="334"/>
      <c r="BN891" s="334"/>
      <c r="BO891" s="334"/>
      <c r="BP891" s="334"/>
      <c r="BQ891" s="334"/>
      <c r="BR891" s="334"/>
      <c r="BS891" s="334"/>
    </row>
    <row r="892" spans="45:71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  <c r="BG892" s="334"/>
      <c r="BH892" s="334"/>
      <c r="BI892" s="334"/>
      <c r="BJ892" s="334"/>
      <c r="BK892" s="334"/>
      <c r="BL892" s="334"/>
      <c r="BM892" s="334"/>
      <c r="BN892" s="334"/>
      <c r="BO892" s="334"/>
      <c r="BP892" s="334"/>
      <c r="BQ892" s="334"/>
      <c r="BR892" s="334"/>
      <c r="BS892" s="334"/>
    </row>
    <row r="893" spans="45:71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  <c r="BG893" s="334"/>
      <c r="BH893" s="334"/>
      <c r="BI893" s="334"/>
      <c r="BJ893" s="334"/>
      <c r="BK893" s="334"/>
      <c r="BL893" s="334"/>
      <c r="BM893" s="334"/>
      <c r="BN893" s="334"/>
      <c r="BO893" s="334"/>
      <c r="BP893" s="334"/>
      <c r="BQ893" s="334"/>
      <c r="BR893" s="334"/>
      <c r="BS893" s="334"/>
    </row>
    <row r="894" spans="45:71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  <c r="BG894" s="334"/>
      <c r="BH894" s="334"/>
      <c r="BI894" s="334"/>
      <c r="BJ894" s="334"/>
      <c r="BK894" s="334"/>
      <c r="BL894" s="334"/>
      <c r="BM894" s="334"/>
      <c r="BN894" s="334"/>
      <c r="BO894" s="334"/>
      <c r="BP894" s="334"/>
      <c r="BQ894" s="334"/>
      <c r="BR894" s="334"/>
      <c r="BS894" s="334"/>
    </row>
    <row r="895" spans="45:71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  <c r="BG895" s="334"/>
      <c r="BH895" s="334"/>
      <c r="BI895" s="334"/>
      <c r="BJ895" s="334"/>
      <c r="BK895" s="334"/>
      <c r="BL895" s="334"/>
      <c r="BM895" s="334"/>
      <c r="BN895" s="334"/>
      <c r="BO895" s="334"/>
      <c r="BP895" s="334"/>
      <c r="BQ895" s="334"/>
      <c r="BR895" s="334"/>
      <c r="BS895" s="334"/>
    </row>
    <row r="896" spans="45:71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  <c r="BG896" s="334"/>
      <c r="BH896" s="334"/>
      <c r="BI896" s="334"/>
      <c r="BJ896" s="334"/>
      <c r="BK896" s="334"/>
      <c r="BL896" s="334"/>
      <c r="BM896" s="334"/>
      <c r="BN896" s="334"/>
      <c r="BO896" s="334"/>
      <c r="BP896" s="334"/>
      <c r="BQ896" s="334"/>
      <c r="BR896" s="334"/>
      <c r="BS896" s="334"/>
    </row>
    <row r="897" spans="45:71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  <c r="BG897" s="334"/>
      <c r="BH897" s="334"/>
      <c r="BI897" s="334"/>
      <c r="BJ897" s="334"/>
      <c r="BK897" s="334"/>
      <c r="BL897" s="334"/>
      <c r="BM897" s="334"/>
      <c r="BN897" s="334"/>
      <c r="BO897" s="334"/>
      <c r="BP897" s="334"/>
      <c r="BQ897" s="334"/>
      <c r="BR897" s="334"/>
      <c r="BS897" s="334"/>
    </row>
    <row r="898" spans="45:71" x14ac:dyDescent="0.25">
      <c r="AZ898" s="334"/>
      <c r="BB898" s="334"/>
      <c r="BC898" s="334"/>
      <c r="BD898" s="334"/>
      <c r="BG898" s="334"/>
      <c r="BH898" s="334"/>
      <c r="BI898" s="334"/>
      <c r="BJ898" s="334"/>
      <c r="BK898" s="334"/>
      <c r="BL898" s="334"/>
      <c r="BM898" s="334"/>
      <c r="BN898" s="334"/>
      <c r="BO898" s="334"/>
      <c r="BP898" s="334"/>
      <c r="BQ898" s="334"/>
      <c r="BR898" s="334"/>
      <c r="BS898" s="334"/>
    </row>
    <row r="899" spans="45:71" x14ac:dyDescent="0.25">
      <c r="AS899" s="202"/>
      <c r="AT899" s="154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</row>
    <row r="900" spans="45:71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71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</row>
    <row r="902" spans="45:71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</row>
    <row r="903" spans="45:71" x14ac:dyDescent="0.25">
      <c r="AS903" s="202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</row>
    <row r="904" spans="45:71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</row>
    <row r="905" spans="45:71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</row>
    <row r="906" spans="45:71" x14ac:dyDescent="0.25">
      <c r="AS906" s="202"/>
      <c r="AV906" s="200"/>
      <c r="AW906" s="200"/>
      <c r="AX906" s="334"/>
      <c r="AY906" s="334"/>
      <c r="AZ906" s="334"/>
      <c r="BA906" s="201"/>
      <c r="BB906" s="334"/>
      <c r="BC906" s="334"/>
      <c r="BD906" s="334"/>
      <c r="BE906" s="201"/>
    </row>
    <row r="907" spans="45:71" x14ac:dyDescent="0.25">
      <c r="AS907" s="202"/>
      <c r="AV907" s="200"/>
      <c r="AW907" s="200"/>
      <c r="AX907" s="334"/>
      <c r="AY907" s="334"/>
      <c r="AZ907" s="334"/>
      <c r="BA907" s="201"/>
      <c r="BB907" s="334"/>
      <c r="BC907" s="334"/>
      <c r="BD907" s="334"/>
      <c r="BE907" s="201"/>
    </row>
    <row r="908" spans="45:71" x14ac:dyDescent="0.25">
      <c r="AS908" s="202"/>
      <c r="AV908" s="200"/>
      <c r="AW908" s="200"/>
      <c r="AX908" s="334"/>
      <c r="AY908" s="334"/>
      <c r="AZ908" s="334"/>
      <c r="BA908" s="201"/>
      <c r="BB908" s="334"/>
      <c r="BC908" s="334"/>
      <c r="BD908" s="334"/>
      <c r="BE908" s="201"/>
    </row>
    <row r="909" spans="45:71" x14ac:dyDescent="0.25">
      <c r="AS909" s="202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</row>
    <row r="910" spans="45:71" x14ac:dyDescent="0.25">
      <c r="AS910" s="202"/>
      <c r="AV910" s="200"/>
      <c r="AW910" s="200"/>
      <c r="AX910" s="334"/>
      <c r="AY910" s="334"/>
      <c r="AZ910" s="334"/>
      <c r="BA910" s="201"/>
      <c r="BB910" s="334"/>
      <c r="BC910" s="334"/>
      <c r="BD910" s="334"/>
      <c r="BE910" s="201"/>
    </row>
    <row r="911" spans="45:71" x14ac:dyDescent="0.25">
      <c r="AS911" s="202"/>
      <c r="AV911" s="200"/>
      <c r="AW911" s="200"/>
      <c r="AX911" s="334"/>
      <c r="AY911" s="334"/>
      <c r="AZ911" s="334"/>
      <c r="BA911" s="201"/>
      <c r="BB911" s="334"/>
      <c r="BC911" s="334"/>
      <c r="BD911" s="334"/>
      <c r="BE911" s="201"/>
    </row>
    <row r="912" spans="45:71" x14ac:dyDescent="0.25">
      <c r="AS912" s="202"/>
      <c r="AV912" s="200"/>
      <c r="AW912" s="200"/>
      <c r="AX912" s="334"/>
      <c r="AY912" s="334"/>
      <c r="AZ912" s="334"/>
      <c r="BA912" s="201"/>
      <c r="BB912" s="334"/>
      <c r="BC912" s="334"/>
      <c r="BD912" s="334"/>
      <c r="BE912" s="201"/>
    </row>
    <row r="913" spans="45:57" x14ac:dyDescent="0.25">
      <c r="AS913" s="202"/>
      <c r="AV913" s="200"/>
      <c r="AW913" s="200"/>
      <c r="AX913" s="334"/>
      <c r="AY913" s="334"/>
      <c r="AZ913" s="334"/>
      <c r="BA913" s="201"/>
      <c r="BB913" s="334"/>
      <c r="BC913" s="334"/>
      <c r="BD913" s="334"/>
      <c r="BE913" s="201"/>
    </row>
    <row r="914" spans="45:57" x14ac:dyDescent="0.25">
      <c r="AS914" s="202"/>
      <c r="AV914" s="200"/>
      <c r="AW914" s="200"/>
      <c r="AX914" s="334"/>
      <c r="AY914" s="334"/>
      <c r="AZ914" s="334"/>
      <c r="BA914" s="201"/>
      <c r="BB914" s="334"/>
      <c r="BC914" s="334"/>
      <c r="BD914" s="334"/>
      <c r="BE914" s="201"/>
    </row>
    <row r="915" spans="45:57" x14ac:dyDescent="0.25">
      <c r="AS915" s="202"/>
      <c r="AV915" s="200"/>
      <c r="AW915" s="200"/>
      <c r="AX915" s="334"/>
      <c r="AY915" s="334"/>
      <c r="AZ915" s="334"/>
      <c r="BA915" s="201"/>
      <c r="BB915" s="334"/>
      <c r="BC915" s="334"/>
      <c r="BD915" s="334"/>
      <c r="BE915" s="201"/>
    </row>
    <row r="916" spans="45:57" x14ac:dyDescent="0.25">
      <c r="AS916" s="202"/>
      <c r="AV916" s="200"/>
      <c r="AW916" s="200"/>
      <c r="AX916" s="334"/>
      <c r="AY916" s="334"/>
      <c r="AZ916" s="334"/>
      <c r="BA916" s="201"/>
      <c r="BB916" s="334"/>
      <c r="BC916" s="334"/>
      <c r="BD916" s="334"/>
      <c r="BE916" s="201"/>
    </row>
    <row r="917" spans="45:57" x14ac:dyDescent="0.25">
      <c r="BB917" s="334"/>
    </row>
    <row r="918" spans="45:57" x14ac:dyDescent="0.25">
      <c r="AU918" s="154"/>
      <c r="BB918" s="334"/>
    </row>
    <row r="919" spans="45:57" x14ac:dyDescent="0.25">
      <c r="AU919" s="154"/>
    </row>
    <row r="920" spans="45:57" x14ac:dyDescent="0.25">
      <c r="AU920" s="154"/>
      <c r="BB920" s="334"/>
    </row>
    <row r="921" spans="45:57" x14ac:dyDescent="0.25">
      <c r="AS921" s="154"/>
      <c r="AZ921" s="334"/>
      <c r="BB921" s="334"/>
    </row>
    <row r="922" spans="45:57" x14ac:dyDescent="0.25">
      <c r="AY922" s="202"/>
      <c r="AZ922" s="334"/>
      <c r="BB922" s="334"/>
    </row>
    <row r="923" spans="45:57" x14ac:dyDescent="0.25">
      <c r="AY923" s="334"/>
      <c r="AZ923" s="334"/>
      <c r="BB923" s="334"/>
    </row>
    <row r="924" spans="45:57" x14ac:dyDescent="0.25">
      <c r="AY924" s="154"/>
      <c r="AZ924" s="334"/>
      <c r="BB924" s="334"/>
    </row>
    <row r="925" spans="45:57" x14ac:dyDescent="0.25">
      <c r="AY925" s="154"/>
      <c r="AZ925" s="334"/>
      <c r="BB925" s="334"/>
    </row>
    <row r="926" spans="45:57" x14ac:dyDescent="0.25">
      <c r="AS926" s="202"/>
      <c r="AZ926" s="334"/>
      <c r="BB926" s="334"/>
      <c r="BD926" s="154"/>
    </row>
    <row r="927" spans="45:57" x14ac:dyDescent="0.25">
      <c r="AS927" s="202"/>
      <c r="AZ927" s="334"/>
      <c r="BB927" s="334"/>
      <c r="BD927" s="154"/>
    </row>
    <row r="928" spans="45:57" x14ac:dyDescent="0.25">
      <c r="AS928" s="154"/>
      <c r="AZ928" s="334"/>
      <c r="BB928" s="334"/>
      <c r="BD928" s="154"/>
    </row>
    <row r="929" spans="45:57" x14ac:dyDescent="0.25">
      <c r="AZ929" s="334"/>
      <c r="BB929" s="334"/>
      <c r="BD929" s="202"/>
    </row>
    <row r="930" spans="45:57" x14ac:dyDescent="0.25">
      <c r="AS930" s="102"/>
      <c r="AT930" s="102"/>
      <c r="AU930" s="102"/>
      <c r="AV930" s="102"/>
      <c r="AW930" s="102"/>
      <c r="AX930" s="102"/>
      <c r="AY930" s="102"/>
      <c r="AZ930" s="335"/>
      <c r="BA930" s="102"/>
      <c r="BB930" s="335"/>
      <c r="BC930" s="102"/>
      <c r="BD930" s="102"/>
      <c r="BE930" s="102"/>
    </row>
    <row r="931" spans="45:57" x14ac:dyDescent="0.25">
      <c r="AX931" s="154"/>
      <c r="AZ931" s="334"/>
      <c r="BB931" s="334"/>
    </row>
    <row r="932" spans="45:57" x14ac:dyDescent="0.25">
      <c r="AX932" s="102"/>
      <c r="AY932" s="102"/>
      <c r="AZ932" s="335"/>
      <c r="BA932" s="102"/>
      <c r="BB932" s="334"/>
      <c r="BC932" s="103"/>
      <c r="BD932" s="103"/>
    </row>
    <row r="933" spans="45:57" x14ac:dyDescent="0.25">
      <c r="AV933" s="103"/>
      <c r="AW933" s="103"/>
      <c r="AZ933" s="336"/>
      <c r="BA933" s="103"/>
      <c r="BB933" s="334"/>
      <c r="BC933" s="103"/>
      <c r="BD933" s="103"/>
      <c r="BE933" s="103"/>
    </row>
    <row r="934" spans="45:57" x14ac:dyDescent="0.25">
      <c r="AV934" s="103"/>
      <c r="AW934" s="103"/>
      <c r="AX934" s="103"/>
      <c r="AY934" s="103"/>
      <c r="AZ934" s="336"/>
      <c r="BA934" s="103"/>
      <c r="BB934" s="336"/>
      <c r="BC934" s="103"/>
      <c r="BD934" s="103"/>
      <c r="BE934" s="103"/>
    </row>
    <row r="935" spans="45:57" x14ac:dyDescent="0.25">
      <c r="AS935" s="103"/>
      <c r="AU935" s="154"/>
      <c r="AV935" s="103"/>
      <c r="AW935" s="103"/>
      <c r="AX935" s="103"/>
      <c r="AY935" s="103"/>
      <c r="AZ935" s="336"/>
      <c r="BA935" s="103"/>
      <c r="BB935" s="336"/>
      <c r="BC935" s="103"/>
      <c r="BD935" s="103"/>
      <c r="BE935" s="103"/>
    </row>
    <row r="936" spans="45:57" x14ac:dyDescent="0.25">
      <c r="AS936" s="103"/>
      <c r="AU936" s="154"/>
      <c r="AV936" s="103"/>
      <c r="AW936" s="103"/>
      <c r="AX936" s="103"/>
      <c r="AY936" s="103"/>
      <c r="AZ936" s="336"/>
      <c r="BA936" s="103"/>
      <c r="BB936" s="336"/>
      <c r="BC936" s="103"/>
      <c r="BD936" s="103"/>
      <c r="BE936" s="103"/>
    </row>
    <row r="937" spans="45:57" x14ac:dyDescent="0.25">
      <c r="AS937" s="102"/>
      <c r="AT937" s="102"/>
      <c r="AU937" s="102"/>
      <c r="AV937" s="102"/>
      <c r="AW937" s="102"/>
      <c r="AX937" s="102"/>
      <c r="AY937" s="102"/>
      <c r="AZ937" s="335"/>
      <c r="BA937" s="102"/>
      <c r="BB937" s="335"/>
      <c r="BC937" s="102"/>
      <c r="BD937" s="102"/>
      <c r="BE937" s="102"/>
    </row>
    <row r="938" spans="45:57" x14ac:dyDescent="0.25">
      <c r="AV938" s="103"/>
      <c r="AW938" s="103"/>
      <c r="AX938" s="103"/>
      <c r="AY938" s="103"/>
      <c r="AZ938" s="336"/>
      <c r="BA938" s="103"/>
      <c r="BB938" s="336"/>
      <c r="BC938" s="103"/>
      <c r="BD938" s="103"/>
      <c r="BE938" s="103"/>
    </row>
    <row r="939" spans="45:57" x14ac:dyDescent="0.25">
      <c r="AS939" s="202"/>
      <c r="AT939" s="154"/>
      <c r="AV939" s="200"/>
      <c r="AW939" s="200"/>
      <c r="AX939" s="334"/>
      <c r="AY939" s="334"/>
      <c r="AZ939" s="334"/>
      <c r="BA939" s="201"/>
      <c r="BB939" s="334"/>
      <c r="BC939" s="334"/>
      <c r="BD939" s="334"/>
      <c r="BE939" s="201"/>
    </row>
    <row r="940" spans="45:57" x14ac:dyDescent="0.25">
      <c r="AS940" s="202"/>
      <c r="AV940" s="200"/>
      <c r="AW940" s="200"/>
      <c r="AX940" s="334"/>
      <c r="AY940" s="334"/>
      <c r="AZ940" s="334"/>
      <c r="BA940" s="201"/>
      <c r="BB940" s="334"/>
      <c r="BC940" s="334"/>
      <c r="BD940" s="334"/>
      <c r="BE940" s="201"/>
    </row>
    <row r="941" spans="45:57" x14ac:dyDescent="0.25">
      <c r="AS941" s="202"/>
      <c r="AV941" s="200"/>
      <c r="AW941" s="200"/>
      <c r="AX941" s="334"/>
      <c r="AY941" s="334"/>
      <c r="AZ941" s="334"/>
      <c r="BA941" s="201"/>
      <c r="BB941" s="334"/>
      <c r="BC941" s="334"/>
      <c r="BD941" s="334"/>
      <c r="BE941" s="201"/>
    </row>
    <row r="942" spans="45:57" x14ac:dyDescent="0.25">
      <c r="AS942" s="202"/>
      <c r="AV942" s="200"/>
      <c r="AW942" s="200"/>
      <c r="AX942" s="334"/>
      <c r="AY942" s="334"/>
      <c r="AZ942" s="334"/>
      <c r="BA942" s="201"/>
      <c r="BB942" s="334"/>
      <c r="BC942" s="334"/>
      <c r="BD942" s="334"/>
      <c r="BE942" s="201"/>
    </row>
    <row r="943" spans="45:57" x14ac:dyDescent="0.25">
      <c r="AS943" s="202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4" spans="45:57" x14ac:dyDescent="0.25">
      <c r="AS944" s="202"/>
      <c r="AV944" s="200"/>
      <c r="AW944" s="200"/>
      <c r="AX944" s="334"/>
      <c r="AY944" s="334"/>
      <c r="AZ944" s="334"/>
      <c r="BA944" s="201"/>
      <c r="BB944" s="334"/>
      <c r="BC944" s="334"/>
      <c r="BD944" s="334"/>
      <c r="BE944" s="201"/>
    </row>
    <row r="945" spans="45:57" x14ac:dyDescent="0.25">
      <c r="AS945" s="202"/>
      <c r="AV945" s="200"/>
      <c r="AW945" s="200"/>
      <c r="AX945" s="334"/>
      <c r="AY945" s="334"/>
      <c r="AZ945" s="334"/>
      <c r="BA945" s="201"/>
      <c r="BB945" s="334"/>
      <c r="BC945" s="334"/>
      <c r="BD945" s="334"/>
      <c r="BE945" s="201"/>
    </row>
    <row r="946" spans="45:57" x14ac:dyDescent="0.25">
      <c r="AS946" s="202"/>
      <c r="AV946" s="200"/>
      <c r="AW946" s="200"/>
      <c r="AX946" s="334"/>
      <c r="AY946" s="334"/>
      <c r="AZ946" s="334"/>
      <c r="BA946" s="201"/>
      <c r="BB946" s="334"/>
      <c r="BC946" s="334"/>
      <c r="BD946" s="334"/>
      <c r="BE946" s="201"/>
    </row>
    <row r="947" spans="45:57" x14ac:dyDescent="0.25">
      <c r="AS947" s="202"/>
      <c r="AV947" s="200"/>
      <c r="AW947" s="200"/>
      <c r="AX947" s="334"/>
      <c r="AY947" s="334"/>
      <c r="AZ947" s="334"/>
      <c r="BA947" s="201"/>
      <c r="BB947" s="334"/>
      <c r="BC947" s="334"/>
      <c r="BD947" s="334"/>
      <c r="BE947" s="201"/>
    </row>
    <row r="948" spans="45:57" x14ac:dyDescent="0.25">
      <c r="AS948" s="202"/>
      <c r="AV948" s="200"/>
      <c r="AW948" s="200"/>
      <c r="AX948" s="334"/>
      <c r="AY948" s="334"/>
      <c r="AZ948" s="334"/>
      <c r="BA948" s="201"/>
      <c r="BB948" s="334"/>
      <c r="BC948" s="334"/>
      <c r="BD948" s="334"/>
      <c r="BE948" s="201"/>
    </row>
    <row r="949" spans="45:57" x14ac:dyDescent="0.25">
      <c r="AV949" s="200"/>
      <c r="AW949" s="200"/>
      <c r="BB949" s="334"/>
    </row>
    <row r="950" spans="45:57" x14ac:dyDescent="0.25">
      <c r="AS950" s="202"/>
      <c r="AT950" s="154"/>
      <c r="AV950" s="200"/>
      <c r="AW950" s="200"/>
      <c r="AX950" s="334"/>
      <c r="AY950" s="334"/>
      <c r="AZ950" s="334"/>
      <c r="BA950" s="201"/>
      <c r="BB950" s="334"/>
      <c r="BC950" s="334"/>
      <c r="BD950" s="334"/>
      <c r="BE950" s="201"/>
    </row>
    <row r="951" spans="45:57" x14ac:dyDescent="0.25">
      <c r="AS951" s="202"/>
      <c r="AV951" s="200"/>
      <c r="AW951" s="200"/>
      <c r="AX951" s="334"/>
      <c r="AY951" s="334"/>
      <c r="AZ951" s="334"/>
      <c r="BA951" s="201"/>
      <c r="BB951" s="334"/>
      <c r="BC951" s="334"/>
      <c r="BD951" s="334"/>
      <c r="BE951" s="201"/>
    </row>
    <row r="952" spans="45:57" x14ac:dyDescent="0.25">
      <c r="AS952" s="202"/>
      <c r="AV952" s="200"/>
      <c r="AW952" s="200"/>
      <c r="AX952" s="334"/>
      <c r="AY952" s="334"/>
      <c r="AZ952" s="334"/>
      <c r="BA952" s="201"/>
      <c r="BB952" s="334"/>
      <c r="BC952" s="334"/>
      <c r="BD952" s="334"/>
      <c r="BE952" s="201"/>
    </row>
    <row r="953" spans="45:57" x14ac:dyDescent="0.25">
      <c r="AS953" s="202"/>
      <c r="AV953" s="200"/>
      <c r="AW953" s="200"/>
      <c r="AX953" s="334"/>
      <c r="AY953" s="334"/>
      <c r="AZ953" s="334"/>
      <c r="BA953" s="201"/>
      <c r="BB953" s="334"/>
      <c r="BC953" s="334"/>
      <c r="BD953" s="334"/>
      <c r="BE953" s="201"/>
    </row>
    <row r="954" spans="45:57" x14ac:dyDescent="0.25">
      <c r="AS954" s="202"/>
      <c r="AV954" s="200"/>
      <c r="AW954" s="200"/>
      <c r="AX954" s="334"/>
      <c r="AY954" s="334"/>
      <c r="AZ954" s="334"/>
      <c r="BA954" s="201"/>
      <c r="BB954" s="334"/>
      <c r="BC954" s="334"/>
      <c r="BD954" s="334"/>
      <c r="BE954" s="201"/>
    </row>
    <row r="955" spans="45:57" x14ac:dyDescent="0.25">
      <c r="AS955" s="202"/>
      <c r="AV955" s="200"/>
      <c r="AW955" s="200"/>
      <c r="AX955" s="334"/>
      <c r="AY955" s="334"/>
      <c r="AZ955" s="334"/>
      <c r="BA955" s="201"/>
      <c r="BB955" s="334"/>
      <c r="BC955" s="334"/>
      <c r="BD955" s="334"/>
      <c r="BE955" s="201"/>
    </row>
    <row r="956" spans="45:57" x14ac:dyDescent="0.25">
      <c r="AS956" s="202"/>
      <c r="AV956" s="200"/>
      <c r="AW956" s="200"/>
      <c r="AX956" s="334"/>
      <c r="AY956" s="334"/>
      <c r="AZ956" s="334"/>
      <c r="BA956" s="201"/>
      <c r="BB956" s="334"/>
      <c r="BC956" s="334"/>
      <c r="BD956" s="334"/>
      <c r="BE956" s="201"/>
    </row>
    <row r="957" spans="45:57" x14ac:dyDescent="0.25">
      <c r="AS957" s="202"/>
      <c r="AV957" s="200"/>
      <c r="AW957" s="200"/>
      <c r="AX957" s="334"/>
      <c r="AY957" s="334"/>
      <c r="AZ957" s="334"/>
      <c r="BA957" s="201"/>
      <c r="BB957" s="334"/>
      <c r="BC957" s="334"/>
      <c r="BD957" s="334"/>
      <c r="BE957" s="201"/>
    </row>
    <row r="958" spans="45:57" x14ac:dyDescent="0.25">
      <c r="AS958" s="202"/>
      <c r="AV958" s="200"/>
      <c r="AW958" s="200"/>
      <c r="AX958" s="334"/>
      <c r="AY958" s="334"/>
      <c r="AZ958" s="334"/>
      <c r="BA958" s="201"/>
      <c r="BB958" s="334"/>
      <c r="BC958" s="334"/>
      <c r="BD958" s="334"/>
      <c r="BE958" s="201"/>
    </row>
    <row r="959" spans="45:57" x14ac:dyDescent="0.25">
      <c r="AS959" s="202"/>
      <c r="AV959" s="200"/>
      <c r="AW959" s="200"/>
      <c r="AX959" s="334"/>
      <c r="AY959" s="334"/>
      <c r="AZ959" s="334"/>
      <c r="BA959" s="201"/>
      <c r="BB959" s="334"/>
      <c r="BC959" s="334"/>
      <c r="BD959" s="334"/>
      <c r="BE959" s="201"/>
    </row>
    <row r="961" spans="45:47" x14ac:dyDescent="0.25">
      <c r="AU961" s="154"/>
    </row>
    <row r="962" spans="45:47" x14ac:dyDescent="0.25">
      <c r="AU962" s="154"/>
    </row>
    <row r="963" spans="45:47" x14ac:dyDescent="0.25">
      <c r="AU963" s="154"/>
    </row>
    <row r="964" spans="45:47" x14ac:dyDescent="0.25">
      <c r="AS964" s="154"/>
    </row>
    <row r="985" spans="52:71" x14ac:dyDescent="0.25">
      <c r="AZ985" s="334"/>
      <c r="BB985" s="334"/>
      <c r="BC985" s="334"/>
      <c r="BD985" s="334"/>
      <c r="BG985" s="334"/>
      <c r="BH985" s="334"/>
      <c r="BI985" s="334"/>
      <c r="BJ985" s="334"/>
      <c r="BK985" s="334"/>
      <c r="BL985" s="334"/>
      <c r="BM985" s="334"/>
      <c r="BN985" s="334"/>
      <c r="BO985" s="334"/>
      <c r="BP985" s="334"/>
      <c r="BQ985" s="334"/>
      <c r="BR985" s="334"/>
      <c r="BS985" s="334"/>
    </row>
    <row r="986" spans="52:71" x14ac:dyDescent="0.25">
      <c r="AZ986" s="334"/>
      <c r="BB986" s="334"/>
      <c r="BC986" s="334"/>
      <c r="BD986" s="334"/>
      <c r="BG986" s="334"/>
      <c r="BH986" s="334"/>
      <c r="BI986" s="334"/>
      <c r="BJ986" s="334"/>
      <c r="BK986" s="334"/>
      <c r="BL986" s="334"/>
      <c r="BM986" s="334"/>
      <c r="BN986" s="334"/>
      <c r="BO986" s="334"/>
      <c r="BP986" s="334"/>
      <c r="BQ986" s="334"/>
      <c r="BR986" s="334"/>
      <c r="BS986" s="334"/>
    </row>
    <row r="987" spans="52:71" x14ac:dyDescent="0.25">
      <c r="AZ987" s="334"/>
      <c r="BB987" s="334"/>
      <c r="BC987" s="334"/>
      <c r="BD987" s="334"/>
      <c r="BG987" s="334"/>
      <c r="BH987" s="334"/>
      <c r="BI987" s="334"/>
      <c r="BJ987" s="334"/>
      <c r="BK987" s="334"/>
      <c r="BL987" s="334"/>
      <c r="BM987" s="334"/>
      <c r="BN987" s="334"/>
      <c r="BO987" s="334"/>
      <c r="BP987" s="334"/>
      <c r="BQ987" s="334"/>
      <c r="BR987" s="334"/>
      <c r="BS987" s="334"/>
    </row>
    <row r="988" spans="52:71" x14ac:dyDescent="0.25">
      <c r="AZ988" s="334"/>
      <c r="BB988" s="334"/>
      <c r="BC988" s="334"/>
      <c r="BD988" s="334"/>
      <c r="BG988" s="334"/>
      <c r="BH988" s="334"/>
      <c r="BI988" s="334"/>
      <c r="BJ988" s="334"/>
      <c r="BK988" s="334"/>
      <c r="BL988" s="334"/>
      <c r="BM988" s="334"/>
      <c r="BN988" s="334"/>
      <c r="BO988" s="334"/>
      <c r="BP988" s="334"/>
      <c r="BQ988" s="334"/>
      <c r="BR988" s="334"/>
      <c r="BS988" s="334"/>
    </row>
    <row r="989" spans="52:71" x14ac:dyDescent="0.25">
      <c r="AZ989" s="334"/>
      <c r="BB989" s="334"/>
      <c r="BC989" s="334"/>
      <c r="BD989" s="334"/>
      <c r="BG989" s="334"/>
      <c r="BH989" s="334"/>
      <c r="BI989" s="334"/>
      <c r="BJ989" s="334"/>
      <c r="BK989" s="334"/>
      <c r="BL989" s="334"/>
      <c r="BM989" s="334"/>
      <c r="BN989" s="334"/>
      <c r="BO989" s="334"/>
      <c r="BP989" s="334"/>
      <c r="BQ989" s="334"/>
      <c r="BR989" s="334"/>
      <c r="BS989" s="334"/>
    </row>
    <row r="990" spans="52:71" x14ac:dyDescent="0.25">
      <c r="AZ990" s="334"/>
      <c r="BB990" s="334"/>
      <c r="BC990" s="334"/>
      <c r="BD990" s="334"/>
      <c r="BG990" s="334"/>
      <c r="BH990" s="334"/>
      <c r="BI990" s="334"/>
      <c r="BJ990" s="334"/>
      <c r="BK990" s="334"/>
      <c r="BL990" s="334"/>
      <c r="BM990" s="334"/>
      <c r="BN990" s="334"/>
      <c r="BO990" s="334"/>
      <c r="BP990" s="334"/>
      <c r="BQ990" s="334"/>
      <c r="BR990" s="334"/>
      <c r="BS990" s="334"/>
    </row>
    <row r="991" spans="52:71" x14ac:dyDescent="0.25">
      <c r="AZ991" s="334"/>
      <c r="BB991" s="334"/>
      <c r="BC991" s="334"/>
      <c r="BD991" s="334"/>
      <c r="BG991" s="334"/>
      <c r="BH991" s="334"/>
      <c r="BI991" s="334"/>
      <c r="BJ991" s="334"/>
      <c r="BK991" s="334"/>
      <c r="BL991" s="334"/>
      <c r="BM991" s="334"/>
      <c r="BN991" s="334"/>
      <c r="BO991" s="334"/>
      <c r="BP991" s="334"/>
      <c r="BQ991" s="334"/>
      <c r="BR991" s="334"/>
      <c r="BS991" s="334"/>
    </row>
    <row r="992" spans="52:71" x14ac:dyDescent="0.25">
      <c r="AZ992" s="334"/>
      <c r="BB992" s="334"/>
      <c r="BC992" s="334"/>
      <c r="BD992" s="334"/>
      <c r="BG992" s="334"/>
      <c r="BH992" s="334"/>
      <c r="BI992" s="334"/>
      <c r="BJ992" s="334"/>
      <c r="BK992" s="334"/>
      <c r="BL992" s="334"/>
      <c r="BM992" s="334"/>
      <c r="BN992" s="334"/>
      <c r="BO992" s="334"/>
      <c r="BP992" s="334"/>
      <c r="BQ992" s="334"/>
      <c r="BR992" s="334"/>
      <c r="BS992" s="334"/>
    </row>
    <row r="993" spans="52:71" x14ac:dyDescent="0.25">
      <c r="AZ993" s="334"/>
      <c r="BB993" s="334"/>
      <c r="BC993" s="334"/>
      <c r="BD993" s="334"/>
      <c r="BG993" s="334"/>
      <c r="BH993" s="334"/>
      <c r="BI993" s="334"/>
      <c r="BJ993" s="334"/>
      <c r="BK993" s="334"/>
      <c r="BL993" s="334"/>
      <c r="BM993" s="334"/>
      <c r="BN993" s="334"/>
      <c r="BO993" s="334"/>
      <c r="BP993" s="334"/>
      <c r="BQ993" s="334"/>
      <c r="BR993" s="334"/>
      <c r="BS993" s="334"/>
    </row>
    <row r="994" spans="52:71" x14ac:dyDescent="0.25">
      <c r="AZ994" s="334"/>
      <c r="BB994" s="334"/>
      <c r="BC994" s="334"/>
      <c r="BD994" s="334"/>
      <c r="BG994" s="334"/>
      <c r="BH994" s="334"/>
      <c r="BI994" s="334"/>
      <c r="BJ994" s="334"/>
      <c r="BK994" s="334"/>
      <c r="BL994" s="334"/>
      <c r="BM994" s="334"/>
      <c r="BN994" s="334"/>
      <c r="BO994" s="334"/>
      <c r="BP994" s="334"/>
      <c r="BQ994" s="334"/>
      <c r="BR994" s="334"/>
      <c r="BS994" s="334"/>
    </row>
    <row r="995" spans="52:71" x14ac:dyDescent="0.25">
      <c r="AZ995" s="334"/>
      <c r="BB995" s="334"/>
      <c r="BC995" s="334"/>
      <c r="BD995" s="334"/>
      <c r="BG995" s="334"/>
      <c r="BH995" s="334"/>
      <c r="BI995" s="334"/>
      <c r="BJ995" s="334"/>
      <c r="BK995" s="334"/>
      <c r="BL995" s="334"/>
      <c r="BM995" s="334"/>
      <c r="BN995" s="334"/>
      <c r="BO995" s="334"/>
      <c r="BP995" s="334"/>
      <c r="BQ995" s="334"/>
      <c r="BR995" s="334"/>
      <c r="BS995" s="334"/>
    </row>
    <row r="996" spans="52:71" x14ac:dyDescent="0.25">
      <c r="AZ996" s="334"/>
      <c r="BB996" s="334"/>
      <c r="BC996" s="334"/>
      <c r="BD996" s="334"/>
      <c r="BG996" s="334"/>
      <c r="BH996" s="334"/>
      <c r="BI996" s="334"/>
      <c r="BJ996" s="334"/>
      <c r="BK996" s="334"/>
      <c r="BL996" s="334"/>
      <c r="BM996" s="334"/>
      <c r="BN996" s="334"/>
      <c r="BO996" s="334"/>
      <c r="BP996" s="334"/>
      <c r="BQ996" s="334"/>
      <c r="BR996" s="334"/>
      <c r="BS996" s="334"/>
    </row>
    <row r="997" spans="52:71" x14ac:dyDescent="0.25">
      <c r="AZ997" s="334"/>
      <c r="BG997" s="334"/>
      <c r="BH997" s="334"/>
      <c r="BI997" s="334"/>
      <c r="BJ997" s="334"/>
      <c r="BK997" s="334"/>
      <c r="BL997" s="334"/>
      <c r="BM997" s="334"/>
      <c r="BN997" s="334"/>
      <c r="BO997" s="334"/>
      <c r="BP997" s="334"/>
      <c r="BQ997" s="334"/>
      <c r="BR997" s="334"/>
      <c r="BS997" s="334"/>
    </row>
    <row r="998" spans="52:71" x14ac:dyDescent="0.25">
      <c r="AZ998" s="334"/>
      <c r="BG998" s="334"/>
      <c r="BH998" s="334"/>
      <c r="BI998" s="334"/>
      <c r="BJ998" s="334"/>
      <c r="BK998" s="334"/>
      <c r="BL998" s="334"/>
      <c r="BM998" s="334"/>
      <c r="BN998" s="334"/>
      <c r="BO998" s="334"/>
      <c r="BP998" s="334"/>
      <c r="BQ998" s="334"/>
      <c r="BR998" s="334"/>
      <c r="BS998" s="334"/>
    </row>
    <row r="999" spans="52:71" x14ac:dyDescent="0.25">
      <c r="AZ999" s="334"/>
      <c r="BG999" s="334"/>
      <c r="BH999" s="334"/>
      <c r="BI999" s="334"/>
      <c r="BJ999" s="334"/>
      <c r="BK999" s="334"/>
      <c r="BL999" s="334"/>
      <c r="BM999" s="334"/>
      <c r="BN999" s="334"/>
      <c r="BO999" s="334"/>
      <c r="BP999" s="334"/>
      <c r="BQ999" s="334"/>
      <c r="BR999" s="334"/>
      <c r="BS999" s="334"/>
    </row>
    <row r="1000" spans="52:71" x14ac:dyDescent="0.25">
      <c r="AZ1000" s="334"/>
      <c r="BG1000" s="334"/>
      <c r="BH1000" s="334"/>
      <c r="BI1000" s="334"/>
      <c r="BJ1000" s="334"/>
      <c r="BK1000" s="334"/>
      <c r="BL1000" s="334"/>
      <c r="BM1000" s="334"/>
      <c r="BN1000" s="334"/>
      <c r="BO1000" s="334"/>
      <c r="BP1000" s="334"/>
      <c r="BQ1000" s="334"/>
      <c r="BR1000" s="334"/>
      <c r="BS1000" s="334"/>
    </row>
    <row r="1001" spans="52:71" x14ac:dyDescent="0.25">
      <c r="AZ1001" s="334"/>
      <c r="BG1001" s="334"/>
      <c r="BH1001" s="334"/>
      <c r="BI1001" s="334"/>
      <c r="BJ1001" s="334"/>
      <c r="BK1001" s="334"/>
      <c r="BL1001" s="334"/>
      <c r="BM1001" s="334"/>
      <c r="BN1001" s="334"/>
      <c r="BO1001" s="334"/>
      <c r="BP1001" s="334"/>
      <c r="BQ1001" s="334"/>
      <c r="BR1001" s="334"/>
      <c r="BS1001" s="334"/>
    </row>
    <row r="1002" spans="52:71" x14ac:dyDescent="0.25">
      <c r="AZ1002" s="334"/>
      <c r="BG1002" s="334"/>
      <c r="BH1002" s="334"/>
      <c r="BI1002" s="334"/>
      <c r="BJ1002" s="334"/>
      <c r="BK1002" s="334"/>
      <c r="BL1002" s="334"/>
      <c r="BM1002" s="334"/>
      <c r="BN1002" s="334"/>
      <c r="BO1002" s="334"/>
      <c r="BP1002" s="334"/>
      <c r="BQ1002" s="334"/>
      <c r="BR1002" s="334"/>
      <c r="BS1002" s="334"/>
    </row>
    <row r="1003" spans="52:71" x14ac:dyDescent="0.25">
      <c r="AZ1003" s="334"/>
      <c r="BG1003" s="334"/>
      <c r="BH1003" s="334"/>
      <c r="BI1003" s="334"/>
      <c r="BJ1003" s="334"/>
      <c r="BK1003" s="334"/>
      <c r="BL1003" s="334"/>
      <c r="BM1003" s="334"/>
      <c r="BN1003" s="334"/>
      <c r="BO1003" s="334"/>
      <c r="BP1003" s="334"/>
      <c r="BQ1003" s="334"/>
      <c r="BR1003" s="334"/>
      <c r="BS1003" s="334"/>
    </row>
    <row r="1004" spans="52:71" x14ac:dyDescent="0.25">
      <c r="AZ1004" s="334"/>
    </row>
    <row r="1005" spans="52:71" x14ac:dyDescent="0.25">
      <c r="AZ1005" s="334"/>
    </row>
    <row r="1019" spans="1:28" x14ac:dyDescent="0.25">
      <c r="A1019" s="154"/>
    </row>
    <row r="1022" spans="1:28" x14ac:dyDescent="0.25">
      <c r="Y1022" s="154"/>
    </row>
    <row r="1023" spans="1:28" x14ac:dyDescent="0.25">
      <c r="A1023" s="154"/>
      <c r="H1023" s="154"/>
      <c r="I1023" s="154"/>
    </row>
    <row r="1024" spans="1:28" x14ac:dyDescent="0.25">
      <c r="A1024" s="154"/>
      <c r="V1024" s="103"/>
      <c r="AA1024" s="103"/>
      <c r="AB1024" s="103"/>
    </row>
    <row r="1025" spans="1:28" x14ac:dyDescent="0.25">
      <c r="A1025" s="154"/>
      <c r="V1025" s="102"/>
      <c r="AA1025" s="102"/>
      <c r="AB1025" s="102"/>
    </row>
    <row r="1026" spans="1:28" x14ac:dyDescent="0.25">
      <c r="A1026" s="154"/>
      <c r="U1026" s="154"/>
      <c r="AA1026" s="103"/>
      <c r="AB1026" s="103"/>
    </row>
    <row r="1027" spans="1:28" x14ac:dyDescent="0.25">
      <c r="A1027" s="154"/>
    </row>
    <row r="1028" spans="1:28" x14ac:dyDescent="0.25">
      <c r="A1028" s="154"/>
      <c r="U1028" s="154"/>
      <c r="AA1028" s="103"/>
      <c r="AB1028" s="103"/>
    </row>
    <row r="1029" spans="1:28" x14ac:dyDescent="0.25">
      <c r="A1029" s="154"/>
    </row>
    <row r="1030" spans="1:28" x14ac:dyDescent="0.25">
      <c r="A1030" s="154"/>
      <c r="U1030" s="154"/>
      <c r="V1030" s="338"/>
      <c r="AA1030" s="103"/>
      <c r="AB1030" s="103"/>
    </row>
    <row r="1031" spans="1:28" x14ac:dyDescent="0.25">
      <c r="A1031" s="154"/>
    </row>
    <row r="1032" spans="1:28" x14ac:dyDescent="0.25">
      <c r="A1032" s="154"/>
      <c r="U1032" s="154"/>
      <c r="AA1032" s="103"/>
      <c r="AB1032" s="103"/>
    </row>
    <row r="1033" spans="1:28" x14ac:dyDescent="0.25">
      <c r="A1033" s="154"/>
    </row>
    <row r="1034" spans="1:28" x14ac:dyDescent="0.25">
      <c r="A1034" s="154"/>
      <c r="U1034" s="154"/>
      <c r="AA1034" s="103"/>
      <c r="AB1034" s="103"/>
    </row>
    <row r="1035" spans="1:28" x14ac:dyDescent="0.25">
      <c r="A1035" s="154"/>
    </row>
    <row r="1036" spans="1:28" x14ac:dyDescent="0.25">
      <c r="A1036" s="154"/>
    </row>
    <row r="1037" spans="1:28" x14ac:dyDescent="0.25">
      <c r="A1037" s="154"/>
    </row>
    <row r="1038" spans="1:28" x14ac:dyDescent="0.25">
      <c r="A1038" s="154"/>
    </row>
    <row r="1039" spans="1:28" x14ac:dyDescent="0.25">
      <c r="A1039" s="154"/>
    </row>
    <row r="1040" spans="1:28" x14ac:dyDescent="0.25">
      <c r="A1040" s="154"/>
    </row>
    <row r="1041" spans="1:9" x14ac:dyDescent="0.25">
      <c r="A1041" s="154"/>
    </row>
    <row r="1042" spans="1:9" x14ac:dyDescent="0.25">
      <c r="A1042" s="154"/>
    </row>
    <row r="1043" spans="1:9" x14ac:dyDescent="0.25">
      <c r="A1043" s="154"/>
    </row>
    <row r="1044" spans="1:9" x14ac:dyDescent="0.25">
      <c r="A1044" s="154"/>
    </row>
    <row r="1045" spans="1:9" x14ac:dyDescent="0.25">
      <c r="A1045" s="154"/>
      <c r="H1045" s="154"/>
      <c r="I1045" s="154"/>
    </row>
    <row r="1048" spans="1:9" x14ac:dyDescent="0.25">
      <c r="A1048" s="154"/>
    </row>
    <row r="1051" spans="1:9" x14ac:dyDescent="0.25">
      <c r="A1051" s="154"/>
    </row>
    <row r="1054" spans="1:9" x14ac:dyDescent="0.25">
      <c r="A1054" s="154"/>
    </row>
    <row r="1055" spans="1:9" x14ac:dyDescent="0.25">
      <c r="A1055" s="154"/>
    </row>
    <row r="1056" spans="1:9" x14ac:dyDescent="0.25">
      <c r="A1056" s="154"/>
    </row>
    <row r="1057" spans="1:1" x14ac:dyDescent="0.25">
      <c r="A1057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  <row r="1068" spans="1:1" x14ac:dyDescent="0.25">
      <c r="A1068" s="154"/>
    </row>
    <row r="1069" spans="1:1" x14ac:dyDescent="0.25">
      <c r="A1069" s="154"/>
    </row>
    <row r="1070" spans="1:1" x14ac:dyDescent="0.25">
      <c r="A1070" s="154"/>
    </row>
    <row r="1071" spans="1:1" x14ac:dyDescent="0.25">
      <c r="A1071" s="154"/>
    </row>
    <row r="1072" spans="1:1" x14ac:dyDescent="0.25">
      <c r="A1072" s="154"/>
    </row>
    <row r="1073" spans="1:1" x14ac:dyDescent="0.25">
      <c r="A1073" s="154"/>
    </row>
    <row r="1074" spans="1:1" x14ac:dyDescent="0.25">
      <c r="A1074" s="154"/>
    </row>
    <row r="1075" spans="1:1" x14ac:dyDescent="0.25">
      <c r="A1075" s="154"/>
    </row>
    <row r="1076" spans="1:1" x14ac:dyDescent="0.25">
      <c r="A1076" s="154"/>
    </row>
    <row r="1077" spans="1:1" x14ac:dyDescent="0.25">
      <c r="A1077" s="154"/>
    </row>
    <row r="1078" spans="1:1" x14ac:dyDescent="0.25">
      <c r="A1078" s="154"/>
    </row>
    <row r="1079" spans="1:1" x14ac:dyDescent="0.25">
      <c r="A1079" s="154"/>
    </row>
    <row r="1080" spans="1:1" x14ac:dyDescent="0.25">
      <c r="A1080" s="154"/>
    </row>
    <row r="1081" spans="1:1" x14ac:dyDescent="0.25">
      <c r="A1081" s="154"/>
    </row>
    <row r="1082" spans="1:1" x14ac:dyDescent="0.25">
      <c r="A1082" s="154"/>
    </row>
    <row r="1083" spans="1:1" x14ac:dyDescent="0.25">
      <c r="A1083" s="154"/>
    </row>
    <row r="1084" spans="1:1" x14ac:dyDescent="0.25">
      <c r="A1084" s="154"/>
    </row>
    <row r="1085" spans="1:1" x14ac:dyDescent="0.25">
      <c r="A1085" s="154"/>
    </row>
    <row r="1086" spans="1:1" x14ac:dyDescent="0.25">
      <c r="A1086" s="154"/>
    </row>
    <row r="1087" spans="1:1" x14ac:dyDescent="0.25">
      <c r="A1087" s="154"/>
    </row>
    <row r="1088" spans="1:1" x14ac:dyDescent="0.25">
      <c r="A1088" s="154"/>
    </row>
    <row r="1093" spans="1:1" x14ac:dyDescent="0.25">
      <c r="A1093" s="154"/>
    </row>
    <row r="1094" spans="1:1" x14ac:dyDescent="0.25">
      <c r="A1094" s="154"/>
    </row>
    <row r="1097" spans="1:1" x14ac:dyDescent="0.25">
      <c r="A1097" s="154"/>
    </row>
    <row r="1099" spans="1:1" x14ac:dyDescent="0.25">
      <c r="A1099" s="154"/>
    </row>
    <row r="1101" spans="1:1" x14ac:dyDescent="0.25">
      <c r="A1101" s="154"/>
    </row>
    <row r="1103" spans="1:1" x14ac:dyDescent="0.25">
      <c r="A1103" s="154"/>
    </row>
    <row r="1106" spans="1:1" x14ac:dyDescent="0.25">
      <c r="A1106" s="154"/>
    </row>
    <row r="1107" spans="1:1" x14ac:dyDescent="0.25">
      <c r="A1107" s="154"/>
    </row>
    <row r="1108" spans="1:1" x14ac:dyDescent="0.25">
      <c r="A1108" s="154"/>
    </row>
    <row r="1109" spans="1:1" x14ac:dyDescent="0.25">
      <c r="A1109" s="154"/>
    </row>
    <row r="1110" spans="1:1" x14ac:dyDescent="0.25">
      <c r="A1110" s="154"/>
    </row>
    <row r="1111" spans="1:1" x14ac:dyDescent="0.25">
      <c r="A1111" s="154"/>
    </row>
    <row r="1112" spans="1:1" x14ac:dyDescent="0.25">
      <c r="A1112" s="154"/>
    </row>
    <row r="1113" spans="1:1" x14ac:dyDescent="0.25">
      <c r="A1113" s="1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3"/>
      <headerFooter alignWithMargins="0"/>
    </customSheetView>
    <customSheetView guid="{2431C9E5-7CC2-4B8D-99C3-962247B1DBF5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4"/>
      <headerFooter alignWithMargins="0"/>
    </customSheetView>
    <customSheetView guid="{2EA35095-1ADC-4CC7-8C3C-B487D65FA247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8"/>
      <headerFooter alignWithMargins="0"/>
    </customSheetView>
    <customSheetView guid="{0BC1F393-8A13-47D5-BC6C-0C99615B5AB9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V50">
      <selection activeCell="P35" sqref="P3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6" transitionEvaluation="1" transitionEntry="1" codeName="Sheet10"/>
  <dimension ref="A1:BX1148"/>
  <sheetViews>
    <sheetView tabSelected="1" view="pageLayout" topLeftCell="A16" zoomScaleNormal="75" workbookViewId="0">
      <selection activeCell="L6" sqref="L6"/>
    </sheetView>
  </sheetViews>
  <sheetFormatPr defaultColWidth="9.77734375" defaultRowHeight="15.75" x14ac:dyDescent="0.25"/>
  <cols>
    <col min="1" max="1" width="5" style="101" customWidth="1"/>
    <col min="2" max="2" width="0.44140625" style="101" customWidth="1"/>
    <col min="3" max="3" width="6.77734375" style="101" customWidth="1"/>
    <col min="4" max="4" width="38.6640625" style="101" customWidth="1"/>
    <col min="5" max="5" width="0.441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2.55468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23.88671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7.33203125" style="101" customWidth="1"/>
    <col min="23" max="23" width="37.44140625" style="101" customWidth="1"/>
    <col min="24" max="24" width="0.55468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2.2187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755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430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59" t="s">
        <v>51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80"/>
      <c r="B20" s="80"/>
      <c r="C20" s="80"/>
      <c r="D20" s="80"/>
      <c r="E20" s="80"/>
      <c r="F20" s="80"/>
      <c r="G20" s="80"/>
      <c r="H20" s="83"/>
      <c r="I20" s="83"/>
      <c r="J20" s="196"/>
      <c r="K20" s="83"/>
      <c r="L20" s="83"/>
      <c r="M20" s="83"/>
      <c r="N20" s="83"/>
      <c r="O20" s="83"/>
      <c r="P20" s="83"/>
      <c r="Q20" s="83"/>
      <c r="R20" s="83"/>
      <c r="Y20" s="103"/>
      <c r="Z20" s="103"/>
      <c r="AA20" s="103"/>
      <c r="AB20" s="103"/>
      <c r="AC20" s="103"/>
      <c r="AD20" s="103"/>
      <c r="AE20" s="103"/>
      <c r="AF20" s="103"/>
      <c r="AG20" s="185"/>
      <c r="AH20" s="103"/>
      <c r="AI20" s="103"/>
      <c r="AJ20" s="103"/>
      <c r="AK20" s="185"/>
      <c r="AL20" s="103"/>
      <c r="AM20" s="103"/>
      <c r="AN20" s="103"/>
    </row>
    <row r="21" spans="1:40" x14ac:dyDescent="0.25">
      <c r="A21" s="159">
        <v>1</v>
      </c>
      <c r="B21" s="80"/>
      <c r="C21" s="253" t="s">
        <v>117</v>
      </c>
      <c r="D21" s="253" t="s">
        <v>501</v>
      </c>
      <c r="E21" s="82"/>
      <c r="F21" s="70"/>
      <c r="G21" s="70"/>
      <c r="H21" s="79"/>
      <c r="I21" s="79"/>
      <c r="J21" s="263"/>
      <c r="K21" s="263"/>
      <c r="L21" s="79"/>
      <c r="M21" s="79"/>
      <c r="N21" s="156"/>
      <c r="O21" s="156"/>
      <c r="P21" s="79"/>
      <c r="Q21" s="79"/>
      <c r="R21" s="79"/>
      <c r="S21" s="200"/>
      <c r="T21" s="154"/>
      <c r="V21" s="200"/>
      <c r="Y21" s="200"/>
      <c r="Z21" s="305"/>
      <c r="AA21" s="200"/>
      <c r="AB21" s="200"/>
      <c r="AC21" s="210"/>
      <c r="AD21" s="210"/>
      <c r="AE21" s="200"/>
      <c r="AF21" s="200"/>
      <c r="AG21" s="209"/>
      <c r="AH21" s="210"/>
      <c r="AI21" s="200"/>
      <c r="AJ21" s="200"/>
      <c r="AK21" s="209"/>
      <c r="AL21" s="200"/>
      <c r="AM21" s="210"/>
      <c r="AN21" s="210"/>
    </row>
    <row r="22" spans="1:40" x14ac:dyDescent="0.25">
      <c r="A22" s="80"/>
      <c r="B22" s="80"/>
      <c r="C22" s="80"/>
      <c r="D22" s="80"/>
      <c r="E22" s="80"/>
      <c r="F22" s="70"/>
      <c r="G22" s="70"/>
      <c r="H22" s="79"/>
      <c r="I22" s="79"/>
      <c r="J22" s="263"/>
      <c r="K22" s="263"/>
      <c r="L22" s="79"/>
      <c r="M22" s="79"/>
      <c r="N22" s="156"/>
      <c r="O22" s="156"/>
      <c r="P22" s="79"/>
      <c r="Q22" s="79"/>
      <c r="R22" s="79"/>
      <c r="S22" s="200"/>
      <c r="V22" s="211"/>
      <c r="Y22" s="211"/>
      <c r="Z22" s="305"/>
      <c r="AA22" s="211"/>
      <c r="AB22" s="211"/>
      <c r="AC22" s="211"/>
      <c r="AD22" s="211"/>
      <c r="AE22" s="211"/>
      <c r="AF22" s="211"/>
      <c r="AI22" s="211"/>
      <c r="AJ22" s="211"/>
      <c r="AK22" s="212"/>
      <c r="AL22" s="211"/>
      <c r="AM22" s="210"/>
      <c r="AN22" s="210"/>
    </row>
    <row r="23" spans="1:40" ht="15.95" customHeight="1" x14ac:dyDescent="0.25">
      <c r="A23" s="159">
        <v>2</v>
      </c>
      <c r="B23" s="80"/>
      <c r="C23" s="81" t="s">
        <v>536</v>
      </c>
      <c r="D23" s="80"/>
      <c r="E23" s="80"/>
      <c r="F23" s="225">
        <v>0</v>
      </c>
      <c r="G23" s="70"/>
      <c r="H23" s="78"/>
      <c r="I23" s="78"/>
      <c r="J23" s="365"/>
      <c r="K23" s="365"/>
      <c r="L23" s="78">
        <v>0</v>
      </c>
      <c r="M23" s="78"/>
      <c r="N23" s="156">
        <f>ROUND((L23/L$40)*100,1)</f>
        <v>0</v>
      </c>
      <c r="O23" s="156"/>
      <c r="P23" s="79"/>
      <c r="Q23" s="79"/>
      <c r="R23" s="79">
        <f>L23+P23</f>
        <v>0</v>
      </c>
      <c r="S23" s="200"/>
      <c r="T23" s="154"/>
      <c r="Z23" s="305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80"/>
      <c r="B24" s="80"/>
      <c r="C24" s="80"/>
      <c r="D24" s="80"/>
      <c r="E24" s="80"/>
      <c r="F24" s="225"/>
      <c r="G24" s="70"/>
      <c r="H24" s="285"/>
      <c r="I24" s="285"/>
      <c r="J24" s="285"/>
      <c r="K24" s="285"/>
      <c r="L24" s="70"/>
      <c r="M24" s="70"/>
      <c r="N24" s="70"/>
      <c r="O24" s="70"/>
      <c r="P24" s="70"/>
      <c r="Q24" s="70"/>
      <c r="R24" s="79"/>
      <c r="S24" s="200"/>
      <c r="T24" s="154"/>
      <c r="AA24" s="200"/>
      <c r="AB24" s="200"/>
      <c r="AC24" s="200"/>
      <c r="AD24" s="200"/>
      <c r="AI24" s="200"/>
      <c r="AJ24" s="200"/>
      <c r="AK24" s="209"/>
      <c r="AL24" s="200"/>
    </row>
    <row r="25" spans="1:40" ht="15.75" customHeight="1" x14ac:dyDescent="0.25">
      <c r="A25" s="159">
        <v>3</v>
      </c>
      <c r="B25" s="80"/>
      <c r="C25" s="81" t="s">
        <v>64</v>
      </c>
      <c r="D25" s="80"/>
      <c r="E25" s="80"/>
      <c r="F25" s="225">
        <v>184</v>
      </c>
      <c r="G25" s="70"/>
      <c r="H25" s="78"/>
      <c r="I25" s="78"/>
      <c r="J25" s="283">
        <f>INPUT!D95</f>
        <v>17.14</v>
      </c>
      <c r="K25" s="284"/>
      <c r="L25" s="79">
        <f>ROUND(F25*J25,0)</f>
        <v>3154</v>
      </c>
      <c r="M25" s="79"/>
      <c r="N25" s="156">
        <f>ROUND((L25/L$40)*100,1)</f>
        <v>9.6999999999999993</v>
      </c>
      <c r="O25" s="156"/>
      <c r="P25" s="79"/>
      <c r="Q25" s="79"/>
      <c r="R25" s="79">
        <f>L25+P25</f>
        <v>3154</v>
      </c>
      <c r="Z25" s="202"/>
    </row>
    <row r="26" spans="1:40" x14ac:dyDescent="0.25">
      <c r="A26" s="80"/>
      <c r="B26" s="80"/>
      <c r="C26" s="80"/>
      <c r="D26" s="80"/>
      <c r="E26" s="80"/>
      <c r="F26" s="78"/>
      <c r="G26" s="70"/>
      <c r="H26" s="285"/>
      <c r="I26" s="285"/>
      <c r="J26" s="366"/>
      <c r="K26" s="285"/>
      <c r="L26" s="70"/>
      <c r="M26" s="70"/>
      <c r="N26" s="70"/>
      <c r="O26" s="70"/>
      <c r="P26" s="70"/>
      <c r="Q26" s="70"/>
      <c r="R26" s="79"/>
      <c r="Y26" s="154"/>
    </row>
    <row r="27" spans="1:40" x14ac:dyDescent="0.25">
      <c r="A27" s="80">
        <v>4</v>
      </c>
      <c r="B27" s="80"/>
      <c r="C27" s="367" t="s">
        <v>481</v>
      </c>
      <c r="D27" s="80"/>
      <c r="E27" s="80"/>
      <c r="F27" s="78"/>
      <c r="G27" s="70"/>
      <c r="H27" s="285"/>
      <c r="I27" s="285"/>
      <c r="J27" s="366"/>
      <c r="K27" s="285"/>
      <c r="L27" s="70"/>
      <c r="M27" s="70"/>
      <c r="N27" s="70"/>
      <c r="O27" s="70"/>
      <c r="P27" s="70"/>
      <c r="Q27" s="70"/>
      <c r="R27" s="79"/>
      <c r="Y27" s="154"/>
    </row>
    <row r="28" spans="1:40" x14ac:dyDescent="0.25">
      <c r="A28" s="159">
        <v>5</v>
      </c>
      <c r="B28" s="80"/>
      <c r="C28" s="82" t="s">
        <v>175</v>
      </c>
      <c r="D28" s="80"/>
      <c r="E28" s="80"/>
      <c r="F28" s="286"/>
      <c r="G28" s="70"/>
      <c r="H28" s="287">
        <v>269849</v>
      </c>
      <c r="I28" s="78"/>
      <c r="J28" s="288">
        <f>INPUT!D97</f>
        <v>0.106568</v>
      </c>
      <c r="K28" s="289"/>
      <c r="L28" s="167">
        <f>ROUND((H28*(J28)),0)</f>
        <v>28757</v>
      </c>
      <c r="M28" s="79"/>
      <c r="N28" s="341">
        <f>ROUND((L28/L$40)*100,1)</f>
        <v>88.5</v>
      </c>
      <c r="O28" s="156"/>
      <c r="P28" s="286"/>
      <c r="Q28" s="79"/>
      <c r="R28" s="167">
        <f>L28+P28</f>
        <v>28757</v>
      </c>
      <c r="AA28" s="154"/>
      <c r="AB28" s="154"/>
    </row>
    <row r="29" spans="1:40" ht="20.100000000000001" customHeight="1" x14ac:dyDescent="0.25">
      <c r="A29" s="159">
        <v>6</v>
      </c>
      <c r="B29" s="80"/>
      <c r="C29" s="265" t="s">
        <v>567</v>
      </c>
      <c r="D29" s="80"/>
      <c r="E29" s="80"/>
      <c r="F29" s="126">
        <f>F25</f>
        <v>184</v>
      </c>
      <c r="G29" s="70"/>
      <c r="H29" s="126">
        <f>H28</f>
        <v>269849</v>
      </c>
      <c r="I29" s="78"/>
      <c r="J29" s="288"/>
      <c r="K29" s="289"/>
      <c r="L29" s="169">
        <f>L23+L25+L28</f>
        <v>31911</v>
      </c>
      <c r="M29" s="79"/>
      <c r="N29" s="303">
        <f>ROUND((L29/L$40)*100,1)</f>
        <v>98.2</v>
      </c>
      <c r="O29" s="156"/>
      <c r="P29" s="126"/>
      <c r="Q29" s="79"/>
      <c r="R29" s="169">
        <f>R23+R25+R28</f>
        <v>31911</v>
      </c>
      <c r="AA29" s="154"/>
      <c r="AB29" s="154"/>
    </row>
    <row r="30" spans="1:40" x14ac:dyDescent="0.25">
      <c r="A30" s="159"/>
      <c r="B30" s="80"/>
      <c r="C30" s="82"/>
      <c r="D30" s="80"/>
      <c r="E30" s="80"/>
      <c r="F30" s="230"/>
      <c r="G30" s="70"/>
      <c r="H30" s="252"/>
      <c r="I30" s="78"/>
      <c r="J30" s="288"/>
      <c r="K30" s="289"/>
      <c r="L30" s="163"/>
      <c r="M30" s="79"/>
      <c r="N30" s="198"/>
      <c r="O30" s="156"/>
      <c r="P30" s="230"/>
      <c r="Q30" s="79"/>
      <c r="R30" s="163"/>
      <c r="AA30" s="154"/>
      <c r="AB30" s="154"/>
    </row>
    <row r="31" spans="1:40" x14ac:dyDescent="0.25">
      <c r="A31" s="159">
        <v>7</v>
      </c>
      <c r="B31" s="80"/>
      <c r="C31" s="253" t="s">
        <v>553</v>
      </c>
      <c r="D31" s="80"/>
      <c r="E31" s="80"/>
      <c r="F31" s="230"/>
      <c r="G31" s="70"/>
      <c r="H31" s="252"/>
      <c r="I31" s="78"/>
      <c r="J31" s="288"/>
      <c r="K31" s="289"/>
      <c r="L31" s="163"/>
      <c r="M31" s="79"/>
      <c r="N31" s="198"/>
      <c r="O31" s="156"/>
      <c r="P31" s="230"/>
      <c r="Q31" s="79"/>
      <c r="R31" s="163"/>
      <c r="AA31" s="154"/>
      <c r="AB31" s="154"/>
    </row>
    <row r="32" spans="1:40" x14ac:dyDescent="0.25">
      <c r="A32" s="159">
        <v>8</v>
      </c>
      <c r="B32" s="80"/>
      <c r="C32" s="153" t="str">
        <f>DSMR_Name</f>
        <v>DEMAND SIDE MANAGEMENT RIDER (DSMR)</v>
      </c>
      <c r="D32" s="80"/>
      <c r="E32" s="80"/>
      <c r="F32" s="230"/>
      <c r="G32" s="70"/>
      <c r="H32" s="252"/>
      <c r="I32" s="78"/>
      <c r="J32" s="308">
        <f>PRO_DSM_DIST</f>
        <v>2.5760000000000002E-3</v>
      </c>
      <c r="K32" s="289"/>
      <c r="L32" s="163">
        <f>ROUND($H$29*J32,0)</f>
        <v>695</v>
      </c>
      <c r="M32" s="79"/>
      <c r="N32" s="155">
        <f>ROUND((L32/L$40)*100,1)+0.1</f>
        <v>2.2000000000000002</v>
      </c>
      <c r="O32" s="156"/>
      <c r="P32" s="230"/>
      <c r="Q32" s="79"/>
      <c r="R32" s="79">
        <f t="shared" ref="R32:R37" si="0">L32+P32</f>
        <v>695</v>
      </c>
      <c r="AA32" s="154"/>
      <c r="AB32" s="154"/>
    </row>
    <row r="33" spans="1:44" x14ac:dyDescent="0.25">
      <c r="A33" s="159">
        <v>9</v>
      </c>
      <c r="B33" s="80"/>
      <c r="C33" s="153" t="str">
        <f>ESM_Name</f>
        <v>ENVIRONMENTAL SURCHARGE MECHANISM RIDER (ESM)</v>
      </c>
      <c r="D33" s="80"/>
      <c r="E33" s="80"/>
      <c r="F33" s="230"/>
      <c r="G33" s="70"/>
      <c r="H33" s="252"/>
      <c r="I33" s="78"/>
      <c r="J33" s="288">
        <f>PRO_ESM</f>
        <v>0</v>
      </c>
      <c r="K33" s="289"/>
      <c r="L33" s="163">
        <f>ROUND(R29*J33,0)</f>
        <v>0</v>
      </c>
      <c r="M33" s="79"/>
      <c r="N33" s="155">
        <f t="shared" ref="N33:N34" si="1">ROUND((L33/L$40)*100,1)</f>
        <v>0</v>
      </c>
      <c r="O33" s="156"/>
      <c r="P33" s="230"/>
      <c r="Q33" s="79"/>
      <c r="R33" s="79">
        <f t="shared" ref="R33:R34" si="2">L33+P33</f>
        <v>0</v>
      </c>
      <c r="AA33" s="154"/>
      <c r="AB33" s="154"/>
    </row>
    <row r="34" spans="1:44" x14ac:dyDescent="0.25">
      <c r="A34" s="159">
        <v>10</v>
      </c>
      <c r="B34" s="80"/>
      <c r="C34" s="153" t="str">
        <f>DCI_Name</f>
        <v>DISTRIBUTION CAPITAL INVESTMENT RIDER (DCI)</v>
      </c>
      <c r="D34" s="80"/>
      <c r="E34" s="80"/>
      <c r="F34" s="230"/>
      <c r="G34" s="70"/>
      <c r="H34" s="252"/>
      <c r="I34" s="78"/>
      <c r="J34" s="288">
        <f>PRO_DCI_SP</f>
        <v>0</v>
      </c>
      <c r="K34" s="289"/>
      <c r="L34" s="163">
        <f>ROUND($H$29*J34,0)</f>
        <v>0</v>
      </c>
      <c r="M34" s="79"/>
      <c r="N34" s="155">
        <f t="shared" si="1"/>
        <v>0</v>
      </c>
      <c r="O34" s="156"/>
      <c r="P34" s="230"/>
      <c r="Q34" s="79"/>
      <c r="R34" s="79">
        <f t="shared" si="2"/>
        <v>0</v>
      </c>
      <c r="AA34" s="154"/>
      <c r="AB34" s="154"/>
    </row>
    <row r="35" spans="1:44" x14ac:dyDescent="0.25">
      <c r="A35" s="159">
        <v>11</v>
      </c>
      <c r="B35" s="80"/>
      <c r="C35" s="153" t="str">
        <f>FAC_Name</f>
        <v>FUEL ADJUSTMENT CLAUSE (FAC)</v>
      </c>
      <c r="D35" s="80"/>
      <c r="E35" s="80"/>
      <c r="F35" s="230"/>
      <c r="G35" s="70"/>
      <c r="H35" s="252"/>
      <c r="I35" s="78"/>
      <c r="J35" s="308">
        <f>PRO_FAC</f>
        <v>1.0280000000000003E-3</v>
      </c>
      <c r="K35" s="289"/>
      <c r="L35" s="163"/>
      <c r="M35" s="79"/>
      <c r="N35" s="155"/>
      <c r="O35" s="156"/>
      <c r="P35" s="230">
        <f>ROUND(H29*PRO_FAC,0)</f>
        <v>277</v>
      </c>
      <c r="Q35" s="79"/>
      <c r="R35" s="79">
        <f t="shared" si="0"/>
        <v>277</v>
      </c>
      <c r="AA35" s="154"/>
      <c r="AB35" s="154"/>
    </row>
    <row r="36" spans="1:44" x14ac:dyDescent="0.25">
      <c r="A36" s="159">
        <v>12</v>
      </c>
      <c r="B36" s="80"/>
      <c r="C36" s="153" t="str">
        <f>FTR_Name</f>
        <v>FERC TRANSMISSION COST RECOVERY RECONCILIATION (FTR)</v>
      </c>
      <c r="D36" s="80"/>
      <c r="E36" s="80"/>
      <c r="F36" s="230"/>
      <c r="G36" s="70"/>
      <c r="H36" s="252"/>
      <c r="I36" s="78"/>
      <c r="J36" s="288">
        <f>PRO_FTR_SP</f>
        <v>0</v>
      </c>
      <c r="K36" s="289"/>
      <c r="L36" s="163">
        <f>ROUND($H$29*J36,0)</f>
        <v>0</v>
      </c>
      <c r="M36" s="79"/>
      <c r="N36" s="155">
        <f>ROUND((L36/L$40)*100,1)</f>
        <v>0</v>
      </c>
      <c r="O36" s="156"/>
      <c r="P36" s="230"/>
      <c r="Q36" s="79"/>
      <c r="R36" s="79">
        <f t="shared" ref="R36" si="3">L36+P36</f>
        <v>0</v>
      </c>
      <c r="AA36" s="154"/>
      <c r="AB36" s="154"/>
    </row>
    <row r="37" spans="1:44" x14ac:dyDescent="0.25">
      <c r="A37" s="159">
        <v>13</v>
      </c>
      <c r="B37" s="80"/>
      <c r="C37" s="153" t="str">
        <f>PSM_Name</f>
        <v>PROFIT SHARING MECHANISM (PSM)</v>
      </c>
      <c r="D37" s="80"/>
      <c r="E37" s="80"/>
      <c r="F37" s="230"/>
      <c r="G37" s="70"/>
      <c r="H37" s="252"/>
      <c r="I37" s="78"/>
      <c r="J37" s="308">
        <f>PRO_PSM</f>
        <v>-4.5600000000000003E-4</v>
      </c>
      <c r="K37" s="289"/>
      <c r="L37" s="167">
        <f>ROUND(H29*PRO_PSM,0)</f>
        <v>-123</v>
      </c>
      <c r="M37" s="79"/>
      <c r="N37" s="166">
        <f>ROUND((L37/L$40)*100,1)</f>
        <v>-0.4</v>
      </c>
      <c r="O37" s="156"/>
      <c r="P37" s="286"/>
      <c r="Q37" s="79"/>
      <c r="R37" s="167">
        <f t="shared" si="0"/>
        <v>-123</v>
      </c>
      <c r="AA37" s="154"/>
      <c r="AB37" s="154"/>
    </row>
    <row r="38" spans="1:44" ht="20.100000000000001" customHeight="1" x14ac:dyDescent="0.25">
      <c r="A38" s="159">
        <v>14</v>
      </c>
      <c r="B38" s="80"/>
      <c r="C38" s="253" t="s">
        <v>557</v>
      </c>
      <c r="D38" s="80"/>
      <c r="E38" s="80"/>
      <c r="F38" s="286"/>
      <c r="G38" s="70"/>
      <c r="H38" s="287"/>
      <c r="I38" s="78"/>
      <c r="J38" s="290"/>
      <c r="K38" s="289"/>
      <c r="L38" s="169">
        <f>SUM(L32:L37)</f>
        <v>572</v>
      </c>
      <c r="M38" s="79"/>
      <c r="N38" s="170">
        <f>ROUND((L38/L$40)*100,1)</f>
        <v>1.8</v>
      </c>
      <c r="O38" s="156"/>
      <c r="P38" s="126">
        <f>SUM(P32:P37)</f>
        <v>277</v>
      </c>
      <c r="Q38" s="79"/>
      <c r="R38" s="169">
        <f>SUM(R32:R37)</f>
        <v>849</v>
      </c>
      <c r="AA38" s="154"/>
      <c r="AB38" s="154"/>
    </row>
    <row r="39" spans="1:44" x14ac:dyDescent="0.25">
      <c r="A39" s="159"/>
      <c r="B39" s="80"/>
      <c r="C39" s="253"/>
      <c r="D39" s="80"/>
      <c r="E39" s="80"/>
      <c r="F39" s="230"/>
      <c r="G39" s="70"/>
      <c r="H39" s="252"/>
      <c r="I39" s="78"/>
      <c r="J39" s="290"/>
      <c r="K39" s="289"/>
      <c r="L39" s="163"/>
      <c r="M39" s="79"/>
      <c r="N39" s="198"/>
      <c r="O39" s="156"/>
      <c r="P39" s="230"/>
      <c r="Q39" s="79"/>
      <c r="R39" s="163"/>
      <c r="AA39" s="154"/>
      <c r="AB39" s="154"/>
    </row>
    <row r="40" spans="1:44" ht="20.100000000000001" customHeight="1" thickBot="1" x14ac:dyDescent="0.3">
      <c r="A40" s="159">
        <v>15</v>
      </c>
      <c r="B40" s="80"/>
      <c r="C40" s="253" t="s">
        <v>570</v>
      </c>
      <c r="E40" s="82"/>
      <c r="F40" s="275">
        <f>F23+F25</f>
        <v>184</v>
      </c>
      <c r="G40" s="70"/>
      <c r="H40" s="275">
        <f>H28</f>
        <v>269849</v>
      </c>
      <c r="I40" s="79"/>
      <c r="J40" s="263"/>
      <c r="K40" s="263"/>
      <c r="L40" s="275">
        <f>L29+L38</f>
        <v>32483</v>
      </c>
      <c r="M40" s="79"/>
      <c r="N40" s="309">
        <v>100</v>
      </c>
      <c r="O40" s="156"/>
      <c r="P40" s="275">
        <f>P38+P29</f>
        <v>277</v>
      </c>
      <c r="Q40" s="78"/>
      <c r="R40" s="275">
        <f>R29+R38</f>
        <v>32760</v>
      </c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188"/>
      <c r="AH40" s="80"/>
      <c r="AI40" s="80"/>
      <c r="AJ40" s="80"/>
      <c r="AK40" s="188"/>
      <c r="AL40" s="80"/>
      <c r="AM40" s="80"/>
      <c r="AN40" s="80"/>
      <c r="AO40" s="80"/>
      <c r="AP40" s="80"/>
      <c r="AQ40" s="188"/>
      <c r="AR40" s="80"/>
    </row>
    <row r="41" spans="1:44" ht="16.5" thickTop="1" x14ac:dyDescent="0.25">
      <c r="A41" s="80"/>
      <c r="B41" s="80"/>
      <c r="C41" s="80"/>
      <c r="D41" s="80"/>
      <c r="E41" s="8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9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188"/>
      <c r="AH41" s="80"/>
      <c r="AI41" s="80"/>
      <c r="AJ41" s="80"/>
      <c r="AK41" s="188"/>
      <c r="AL41" s="80"/>
      <c r="AM41" s="80"/>
      <c r="AN41" s="80"/>
      <c r="AO41" s="80"/>
      <c r="AP41" s="80"/>
      <c r="AQ41" s="188"/>
      <c r="AR41" s="80"/>
    </row>
    <row r="42" spans="1:44" x14ac:dyDescent="0.25">
      <c r="A42" s="80"/>
      <c r="B42" s="80"/>
      <c r="C42" s="80"/>
      <c r="D42" s="80"/>
      <c r="E42" s="80"/>
      <c r="F42" s="361"/>
      <c r="G42" s="361"/>
      <c r="H42" s="361"/>
      <c r="I42" s="361"/>
      <c r="J42" s="361"/>
      <c r="K42" s="368"/>
      <c r="L42" s="368"/>
      <c r="M42" s="368"/>
      <c r="N42" s="368"/>
      <c r="O42" s="368"/>
      <c r="P42" s="368"/>
      <c r="Q42" s="368"/>
      <c r="R42" s="368"/>
      <c r="Y42" s="103"/>
      <c r="Z42" s="103"/>
      <c r="AA42" s="103"/>
      <c r="AB42" s="103"/>
      <c r="AC42" s="103"/>
      <c r="AD42" s="103"/>
      <c r="AE42" s="103"/>
      <c r="AF42" s="103"/>
      <c r="AG42" s="185"/>
      <c r="AH42" s="103"/>
      <c r="AI42" s="103"/>
      <c r="AJ42" s="103"/>
      <c r="AK42" s="185"/>
      <c r="AL42" s="103"/>
      <c r="AM42" s="103"/>
      <c r="AN42" s="103"/>
    </row>
    <row r="43" spans="1:44" x14ac:dyDescent="0.25">
      <c r="A43" s="159">
        <v>16</v>
      </c>
      <c r="B43" s="80"/>
      <c r="C43" s="253" t="s">
        <v>466</v>
      </c>
      <c r="D43" s="253" t="s">
        <v>174</v>
      </c>
      <c r="E43" s="82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T43" s="154"/>
      <c r="U43" s="154"/>
    </row>
    <row r="44" spans="1:44" x14ac:dyDescent="0.25">
      <c r="A44" s="80"/>
      <c r="B44" s="80"/>
      <c r="C44" s="80"/>
      <c r="D44" s="80"/>
      <c r="E44" s="8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T44" s="154"/>
    </row>
    <row r="45" spans="1:44" x14ac:dyDescent="0.25">
      <c r="A45" s="159">
        <v>17</v>
      </c>
      <c r="B45" s="80"/>
      <c r="C45" s="81" t="s">
        <v>220</v>
      </c>
      <c r="D45" s="80"/>
      <c r="E45" s="80"/>
      <c r="F45" s="225">
        <v>540</v>
      </c>
      <c r="G45" s="70"/>
      <c r="H45" s="225"/>
      <c r="I45" s="285"/>
      <c r="J45" s="283">
        <f>INPUT!D103</f>
        <v>3.14</v>
      </c>
      <c r="K45" s="284"/>
      <c r="L45" s="79">
        <f>ROUND(F45*J45,0)</f>
        <v>1696</v>
      </c>
      <c r="M45" s="79"/>
      <c r="N45" s="198">
        <f>ROUND((L45/L$61)*100,1)</f>
        <v>0.3</v>
      </c>
      <c r="O45" s="302"/>
      <c r="P45" s="230"/>
      <c r="Q45" s="302"/>
      <c r="R45" s="79">
        <f>L45+P45</f>
        <v>1696</v>
      </c>
    </row>
    <row r="46" spans="1:44" x14ac:dyDescent="0.25">
      <c r="A46" s="159"/>
      <c r="B46" s="80"/>
      <c r="C46" s="82"/>
      <c r="D46" s="80"/>
      <c r="E46" s="80"/>
      <c r="F46" s="225"/>
      <c r="G46" s="70"/>
      <c r="H46" s="366"/>
      <c r="I46" s="285"/>
      <c r="J46" s="283"/>
      <c r="K46" s="284"/>
      <c r="L46" s="79"/>
      <c r="M46" s="79"/>
      <c r="N46" s="302"/>
      <c r="O46" s="302"/>
      <c r="P46" s="302"/>
      <c r="Q46" s="302"/>
      <c r="R46" s="79"/>
    </row>
    <row r="47" spans="1:44" x14ac:dyDescent="0.25">
      <c r="A47" s="80">
        <v>18</v>
      </c>
      <c r="B47" s="80"/>
      <c r="C47" s="80" t="s">
        <v>482</v>
      </c>
      <c r="D47" s="80"/>
      <c r="E47" s="80"/>
      <c r="F47" s="225"/>
      <c r="G47" s="70"/>
      <c r="H47" s="366"/>
      <c r="I47" s="285"/>
      <c r="J47" s="366"/>
      <c r="K47" s="285"/>
      <c r="L47" s="70"/>
      <c r="M47" s="70"/>
      <c r="N47" s="70"/>
      <c r="O47" s="70"/>
      <c r="P47" s="70"/>
      <c r="Q47" s="70"/>
      <c r="R47" s="79"/>
      <c r="S47" s="200"/>
      <c r="T47" s="154"/>
      <c r="V47" s="200"/>
      <c r="Y47" s="200"/>
      <c r="Z47" s="300"/>
      <c r="AA47" s="200"/>
      <c r="AB47" s="200"/>
      <c r="AC47" s="210"/>
      <c r="AD47" s="210"/>
      <c r="AE47" s="200"/>
      <c r="AF47" s="200"/>
      <c r="AG47" s="209"/>
      <c r="AH47" s="210"/>
      <c r="AI47" s="200"/>
      <c r="AJ47" s="200"/>
      <c r="AK47" s="209"/>
      <c r="AL47" s="200"/>
      <c r="AM47" s="210"/>
      <c r="AN47" s="210"/>
    </row>
    <row r="48" spans="1:44" x14ac:dyDescent="0.25">
      <c r="A48" s="80">
        <v>19</v>
      </c>
      <c r="B48" s="80"/>
      <c r="C48" s="367" t="s">
        <v>221</v>
      </c>
      <c r="D48" s="80"/>
      <c r="E48" s="80"/>
      <c r="F48" s="225"/>
      <c r="G48" s="70"/>
      <c r="H48" s="225">
        <v>12111</v>
      </c>
      <c r="I48" s="285"/>
      <c r="J48" s="288">
        <f>INPUT!D105</f>
        <v>9.2698000000000003E-2</v>
      </c>
      <c r="K48" s="285"/>
      <c r="L48" s="163">
        <f>ROUND((H48*J48),0)</f>
        <v>1123</v>
      </c>
      <c r="M48" s="70"/>
      <c r="N48" s="198">
        <f>ROUND((L48/L$61)*100,1)</f>
        <v>0.2</v>
      </c>
      <c r="O48" s="70"/>
      <c r="P48" s="230"/>
      <c r="Q48" s="70"/>
      <c r="R48" s="163">
        <f>L48+P48</f>
        <v>1123</v>
      </c>
      <c r="S48" s="200"/>
      <c r="T48" s="154"/>
      <c r="V48" s="200"/>
      <c r="Y48" s="200"/>
      <c r="Z48" s="300"/>
      <c r="AA48" s="200"/>
      <c r="AB48" s="200"/>
      <c r="AC48" s="210"/>
      <c r="AD48" s="210"/>
      <c r="AE48" s="200"/>
      <c r="AF48" s="200"/>
      <c r="AG48" s="209"/>
      <c r="AH48" s="210"/>
      <c r="AI48" s="200"/>
      <c r="AJ48" s="200"/>
      <c r="AK48" s="209"/>
      <c r="AL48" s="200"/>
      <c r="AM48" s="210"/>
      <c r="AN48" s="210"/>
    </row>
    <row r="49" spans="1:44" x14ac:dyDescent="0.25">
      <c r="A49" s="159">
        <v>20</v>
      </c>
      <c r="B49" s="80"/>
      <c r="C49" s="367" t="s">
        <v>222</v>
      </c>
      <c r="D49" s="80"/>
      <c r="E49" s="80"/>
      <c r="F49" s="287"/>
      <c r="G49" s="70"/>
      <c r="H49" s="287">
        <v>6182832</v>
      </c>
      <c r="I49" s="78"/>
      <c r="J49" s="288">
        <f>INPUT!D106</f>
        <v>0.106767</v>
      </c>
      <c r="K49" s="289"/>
      <c r="L49" s="167">
        <f>ROUND((H49*J49),0)</f>
        <v>660122</v>
      </c>
      <c r="M49" s="79"/>
      <c r="N49" s="341">
        <f>ROUND((L49/L$61)*100,1)</f>
        <v>97.6</v>
      </c>
      <c r="O49" s="156"/>
      <c r="P49" s="286"/>
      <c r="Q49" s="78"/>
      <c r="R49" s="167">
        <f>L49+P49</f>
        <v>660122</v>
      </c>
      <c r="S49" s="200"/>
      <c r="V49" s="211"/>
      <c r="Y49" s="200"/>
      <c r="Z49" s="252"/>
      <c r="AA49" s="200"/>
      <c r="AB49" s="200"/>
      <c r="AC49" s="210"/>
      <c r="AD49" s="210"/>
      <c r="AE49" s="200"/>
      <c r="AF49" s="200"/>
      <c r="AI49" s="200"/>
      <c r="AJ49" s="200"/>
      <c r="AK49" s="209"/>
      <c r="AL49" s="200"/>
    </row>
    <row r="50" spans="1:44" ht="20.100000000000001" customHeight="1" x14ac:dyDescent="0.25">
      <c r="A50" s="159">
        <v>21</v>
      </c>
      <c r="B50" s="80"/>
      <c r="C50" s="265" t="s">
        <v>568</v>
      </c>
      <c r="D50" s="80"/>
      <c r="E50" s="80"/>
      <c r="F50" s="126">
        <f>SUM(F45:F49)</f>
        <v>540</v>
      </c>
      <c r="G50" s="70"/>
      <c r="H50" s="126">
        <f>SUM(H48:H49)</f>
        <v>6194943</v>
      </c>
      <c r="I50" s="78"/>
      <c r="J50" s="288"/>
      <c r="K50" s="289"/>
      <c r="L50" s="169">
        <f>SUM(L45:L49)</f>
        <v>662941</v>
      </c>
      <c r="M50" s="79"/>
      <c r="N50" s="303">
        <f>ROUND((L50/L$61)*100,1)</f>
        <v>98.1</v>
      </c>
      <c r="O50" s="156"/>
      <c r="P50" s="126"/>
      <c r="Q50" s="78"/>
      <c r="R50" s="169">
        <f>SUM(R45:R49)</f>
        <v>662941</v>
      </c>
      <c r="S50" s="200"/>
      <c r="V50" s="211"/>
      <c r="Y50" s="200"/>
      <c r="Z50" s="252"/>
      <c r="AA50" s="200"/>
      <c r="AB50" s="200"/>
      <c r="AC50" s="210"/>
      <c r="AD50" s="210"/>
      <c r="AE50" s="200"/>
      <c r="AF50" s="200"/>
      <c r="AI50" s="200"/>
      <c r="AJ50" s="200"/>
      <c r="AK50" s="209"/>
      <c r="AL50" s="200"/>
    </row>
    <row r="51" spans="1:44" x14ac:dyDescent="0.25">
      <c r="A51" s="159"/>
      <c r="B51" s="80"/>
      <c r="C51" s="82"/>
      <c r="D51" s="80"/>
      <c r="E51" s="80"/>
      <c r="F51" s="252"/>
      <c r="G51" s="70"/>
      <c r="H51" s="252"/>
      <c r="I51" s="78"/>
      <c r="J51" s="288"/>
      <c r="K51" s="289"/>
      <c r="L51" s="163"/>
      <c r="M51" s="79"/>
      <c r="N51" s="198"/>
      <c r="O51" s="156"/>
      <c r="P51" s="230"/>
      <c r="Q51" s="78"/>
      <c r="R51" s="163"/>
      <c r="S51" s="200"/>
      <c r="V51" s="211"/>
      <c r="Y51" s="200"/>
      <c r="Z51" s="252"/>
      <c r="AA51" s="200"/>
      <c r="AB51" s="200"/>
      <c r="AC51" s="210"/>
      <c r="AD51" s="210"/>
      <c r="AE51" s="200"/>
      <c r="AF51" s="200"/>
      <c r="AI51" s="200"/>
      <c r="AJ51" s="200"/>
      <c r="AK51" s="209"/>
      <c r="AL51" s="200"/>
    </row>
    <row r="52" spans="1:44" x14ac:dyDescent="0.25">
      <c r="A52" s="159">
        <v>22</v>
      </c>
      <c r="B52" s="80"/>
      <c r="C52" s="253" t="s">
        <v>553</v>
      </c>
      <c r="D52" s="80"/>
      <c r="E52" s="80"/>
      <c r="F52" s="252"/>
      <c r="G52" s="70"/>
      <c r="H52" s="252"/>
      <c r="I52" s="78"/>
      <c r="J52" s="288"/>
      <c r="K52" s="289"/>
      <c r="L52" s="163"/>
      <c r="M52" s="79"/>
      <c r="N52" s="198"/>
      <c r="O52" s="156"/>
      <c r="P52" s="230"/>
      <c r="Q52" s="78"/>
      <c r="R52" s="163"/>
      <c r="S52" s="200"/>
      <c r="V52" s="211"/>
      <c r="Y52" s="200"/>
      <c r="Z52" s="252"/>
      <c r="AA52" s="200"/>
      <c r="AB52" s="200"/>
      <c r="AC52" s="210"/>
      <c r="AD52" s="210"/>
      <c r="AE52" s="200"/>
      <c r="AF52" s="200"/>
      <c r="AI52" s="200"/>
      <c r="AJ52" s="200"/>
      <c r="AK52" s="209"/>
      <c r="AL52" s="200"/>
    </row>
    <row r="53" spans="1:44" x14ac:dyDescent="0.25">
      <c r="A53" s="159">
        <v>23</v>
      </c>
      <c r="B53" s="80"/>
      <c r="C53" s="153" t="str">
        <f>DSMR_Name</f>
        <v>DEMAND SIDE MANAGEMENT RIDER (DSMR)</v>
      </c>
      <c r="D53" s="80"/>
      <c r="E53" s="80"/>
      <c r="F53" s="252"/>
      <c r="G53" s="70"/>
      <c r="H53" s="252"/>
      <c r="I53" s="78"/>
      <c r="J53" s="308">
        <f>PRO_DSM_DIST</f>
        <v>2.5760000000000002E-3</v>
      </c>
      <c r="K53" s="289"/>
      <c r="L53" s="163">
        <f>ROUND($H$50*J53,0)</f>
        <v>15958</v>
      </c>
      <c r="M53" s="79"/>
      <c r="N53" s="197">
        <f>ROUND((L53/L$61)*100,1)-0.1</f>
        <v>2.2999999999999998</v>
      </c>
      <c r="O53" s="156"/>
      <c r="P53" s="230"/>
      <c r="Q53" s="78"/>
      <c r="R53" s="79">
        <f t="shared" ref="R53:R58" si="4">L53+P53</f>
        <v>15958</v>
      </c>
      <c r="S53" s="200"/>
      <c r="V53" s="211"/>
      <c r="Y53" s="200"/>
      <c r="Z53" s="252"/>
      <c r="AA53" s="200"/>
      <c r="AB53" s="200"/>
      <c r="AC53" s="210"/>
      <c r="AD53" s="210"/>
      <c r="AE53" s="200"/>
      <c r="AF53" s="200"/>
      <c r="AI53" s="200"/>
      <c r="AJ53" s="200"/>
      <c r="AK53" s="209"/>
      <c r="AL53" s="200"/>
    </row>
    <row r="54" spans="1:44" x14ac:dyDescent="0.25">
      <c r="A54" s="159">
        <v>24</v>
      </c>
      <c r="B54" s="80"/>
      <c r="C54" s="153" t="str">
        <f>ESM_Name</f>
        <v>ENVIRONMENTAL SURCHARGE MECHANISM RIDER (ESM)</v>
      </c>
      <c r="D54" s="80"/>
      <c r="E54" s="80"/>
      <c r="F54" s="252"/>
      <c r="G54" s="70"/>
      <c r="H54" s="252"/>
      <c r="I54" s="78"/>
      <c r="J54" s="288">
        <f>PRO_ESM</f>
        <v>0</v>
      </c>
      <c r="K54" s="289"/>
      <c r="L54" s="163">
        <f>ROUND(R50*J54,0)</f>
        <v>0</v>
      </c>
      <c r="M54" s="79"/>
      <c r="N54" s="197">
        <f t="shared" ref="N54:N55" si="5">ROUND((L54/L$61)*100,1)</f>
        <v>0</v>
      </c>
      <c r="O54" s="156"/>
      <c r="P54" s="230"/>
      <c r="Q54" s="78"/>
      <c r="R54" s="79">
        <f t="shared" ref="R54:R55" si="6">L54+P54</f>
        <v>0</v>
      </c>
      <c r="S54" s="200"/>
      <c r="V54" s="211"/>
      <c r="Y54" s="200"/>
      <c r="Z54" s="252"/>
      <c r="AA54" s="200"/>
      <c r="AB54" s="200"/>
      <c r="AC54" s="210"/>
      <c r="AD54" s="210"/>
      <c r="AE54" s="200"/>
      <c r="AF54" s="200"/>
      <c r="AI54" s="200"/>
      <c r="AJ54" s="200"/>
      <c r="AK54" s="209"/>
      <c r="AL54" s="200"/>
    </row>
    <row r="55" spans="1:44" x14ac:dyDescent="0.25">
      <c r="A55" s="159">
        <v>25</v>
      </c>
      <c r="B55" s="80"/>
      <c r="C55" s="153" t="str">
        <f>DCI_Name</f>
        <v>DISTRIBUTION CAPITAL INVESTMENT RIDER (DCI)</v>
      </c>
      <c r="D55" s="80"/>
      <c r="E55" s="80"/>
      <c r="F55" s="252"/>
      <c r="G55" s="70"/>
      <c r="H55" s="252"/>
      <c r="I55" s="78"/>
      <c r="J55" s="288">
        <f>PRO_DCI_GSFL</f>
        <v>0</v>
      </c>
      <c r="K55" s="289"/>
      <c r="L55" s="163">
        <f>ROUND($H$50*J55,0)</f>
        <v>0</v>
      </c>
      <c r="M55" s="79"/>
      <c r="N55" s="197">
        <f t="shared" si="5"/>
        <v>0</v>
      </c>
      <c r="O55" s="156"/>
      <c r="P55" s="230"/>
      <c r="Q55" s="78"/>
      <c r="R55" s="79">
        <f t="shared" si="6"/>
        <v>0</v>
      </c>
      <c r="S55" s="200"/>
      <c r="V55" s="211"/>
      <c r="Y55" s="200"/>
      <c r="Z55" s="252"/>
      <c r="AA55" s="200"/>
      <c r="AB55" s="200"/>
      <c r="AC55" s="210"/>
      <c r="AD55" s="210"/>
      <c r="AE55" s="200"/>
      <c r="AF55" s="200"/>
      <c r="AI55" s="200"/>
      <c r="AJ55" s="200"/>
      <c r="AK55" s="209"/>
      <c r="AL55" s="200"/>
    </row>
    <row r="56" spans="1:44" x14ac:dyDescent="0.25">
      <c r="A56" s="159">
        <v>26</v>
      </c>
      <c r="B56" s="80"/>
      <c r="C56" s="153" t="str">
        <f>FAC_Name</f>
        <v>FUEL ADJUSTMENT CLAUSE (FAC)</v>
      </c>
      <c r="D56" s="80"/>
      <c r="E56" s="80"/>
      <c r="F56" s="252"/>
      <c r="G56" s="70"/>
      <c r="H56" s="252"/>
      <c r="I56" s="78"/>
      <c r="J56" s="308">
        <f>PRO_FAC</f>
        <v>1.0280000000000003E-3</v>
      </c>
      <c r="K56" s="289"/>
      <c r="L56" s="163"/>
      <c r="M56" s="79"/>
      <c r="N56" s="197"/>
      <c r="O56" s="156"/>
      <c r="P56" s="230">
        <f>ROUND(H50*PRO_FAC,0)</f>
        <v>6368</v>
      </c>
      <c r="Q56" s="78"/>
      <c r="R56" s="79">
        <f t="shared" si="4"/>
        <v>6368</v>
      </c>
      <c r="S56" s="200"/>
      <c r="V56" s="211"/>
      <c r="Y56" s="200"/>
      <c r="Z56" s="252"/>
      <c r="AA56" s="200"/>
      <c r="AB56" s="200"/>
      <c r="AC56" s="210"/>
      <c r="AD56" s="210"/>
      <c r="AE56" s="200"/>
      <c r="AF56" s="200"/>
      <c r="AI56" s="200"/>
      <c r="AJ56" s="200"/>
      <c r="AK56" s="209"/>
      <c r="AL56" s="200"/>
    </row>
    <row r="57" spans="1:44" x14ac:dyDescent="0.25">
      <c r="A57" s="159">
        <v>27</v>
      </c>
      <c r="B57" s="80"/>
      <c r="C57" s="153" t="str">
        <f>FTR_Name</f>
        <v>FERC TRANSMISSION COST RECOVERY RECONCILIATION (FTR)</v>
      </c>
      <c r="D57" s="80"/>
      <c r="E57" s="80"/>
      <c r="F57" s="252"/>
      <c r="G57" s="70"/>
      <c r="H57" s="252"/>
      <c r="I57" s="78"/>
      <c r="J57" s="288">
        <f>PRO_FTR_GSFL</f>
        <v>0</v>
      </c>
      <c r="K57" s="289"/>
      <c r="L57" s="163">
        <f>ROUND($H$50*J57,0)</f>
        <v>0</v>
      </c>
      <c r="M57" s="79"/>
      <c r="N57" s="197">
        <f>ROUND((L57/L$61)*100,1)</f>
        <v>0</v>
      </c>
      <c r="O57" s="156"/>
      <c r="P57" s="230"/>
      <c r="Q57" s="78"/>
      <c r="R57" s="79">
        <f t="shared" ref="R57" si="7">L57+P57</f>
        <v>0</v>
      </c>
      <c r="S57" s="200"/>
      <c r="V57" s="211"/>
      <c r="Y57" s="200"/>
      <c r="Z57" s="252"/>
      <c r="AA57" s="200"/>
      <c r="AB57" s="200"/>
      <c r="AC57" s="210"/>
      <c r="AD57" s="210"/>
      <c r="AE57" s="200"/>
      <c r="AF57" s="200"/>
      <c r="AI57" s="200"/>
      <c r="AJ57" s="200"/>
      <c r="AK57" s="209"/>
      <c r="AL57" s="200"/>
    </row>
    <row r="58" spans="1:44" x14ac:dyDescent="0.25">
      <c r="A58" s="159">
        <v>28</v>
      </c>
      <c r="B58" s="80"/>
      <c r="C58" s="153" t="str">
        <f>PSM_Name</f>
        <v>PROFIT SHARING MECHANISM (PSM)</v>
      </c>
      <c r="D58" s="80"/>
      <c r="E58" s="80"/>
      <c r="F58" s="252"/>
      <c r="G58" s="70"/>
      <c r="H58" s="252"/>
      <c r="I58" s="78"/>
      <c r="J58" s="308">
        <f>PRO_PSM</f>
        <v>-4.5600000000000003E-4</v>
      </c>
      <c r="K58" s="289"/>
      <c r="L58" s="163">
        <f>ROUND($H$50*J58,0)</f>
        <v>-2825</v>
      </c>
      <c r="M58" s="79"/>
      <c r="N58" s="166">
        <f>ROUND((L58/L$61)*100,1)</f>
        <v>-0.4</v>
      </c>
      <c r="O58" s="156"/>
      <c r="P58" s="286"/>
      <c r="Q58" s="78"/>
      <c r="R58" s="167">
        <f t="shared" si="4"/>
        <v>-2825</v>
      </c>
      <c r="S58" s="200"/>
      <c r="V58" s="211"/>
      <c r="Y58" s="200"/>
      <c r="Z58" s="252"/>
      <c r="AA58" s="200"/>
      <c r="AB58" s="200"/>
      <c r="AC58" s="210"/>
      <c r="AD58" s="210"/>
      <c r="AE58" s="200"/>
      <c r="AF58" s="200"/>
      <c r="AI58" s="200"/>
      <c r="AJ58" s="200"/>
      <c r="AK58" s="209"/>
      <c r="AL58" s="200"/>
    </row>
    <row r="59" spans="1:44" ht="20.100000000000001" customHeight="1" x14ac:dyDescent="0.25">
      <c r="A59" s="159">
        <v>29</v>
      </c>
      <c r="B59" s="80"/>
      <c r="C59" s="253" t="s">
        <v>557</v>
      </c>
      <c r="D59" s="80"/>
      <c r="E59" s="80"/>
      <c r="F59" s="287"/>
      <c r="G59" s="70"/>
      <c r="H59" s="287"/>
      <c r="I59" s="78"/>
      <c r="J59" s="290"/>
      <c r="K59" s="289"/>
      <c r="L59" s="169">
        <f>SUM(L53:L58)</f>
        <v>13133</v>
      </c>
      <c r="M59" s="79"/>
      <c r="N59" s="170">
        <f>ROUND((L59/L$61)*100,1)</f>
        <v>1.9</v>
      </c>
      <c r="O59" s="156"/>
      <c r="P59" s="169">
        <f>SUM(P53:P58)</f>
        <v>6368</v>
      </c>
      <c r="Q59" s="78"/>
      <c r="R59" s="169">
        <f>SUM(R53:R58)</f>
        <v>19501</v>
      </c>
      <c r="S59" s="200"/>
      <c r="V59" s="211"/>
      <c r="Y59" s="200"/>
      <c r="Z59" s="252"/>
      <c r="AA59" s="200"/>
      <c r="AB59" s="200"/>
      <c r="AC59" s="210"/>
      <c r="AD59" s="210"/>
      <c r="AE59" s="200"/>
      <c r="AF59" s="200"/>
      <c r="AI59" s="200"/>
      <c r="AJ59" s="200"/>
      <c r="AK59" s="209"/>
      <c r="AL59" s="200"/>
    </row>
    <row r="60" spans="1:44" x14ac:dyDescent="0.25">
      <c r="A60" s="159"/>
      <c r="B60" s="80"/>
      <c r="C60" s="367"/>
      <c r="D60" s="80"/>
      <c r="E60" s="80"/>
      <c r="F60" s="252"/>
      <c r="G60" s="70"/>
      <c r="H60" s="252"/>
      <c r="I60" s="78"/>
      <c r="J60" s="290"/>
      <c r="K60" s="289"/>
      <c r="L60" s="163"/>
      <c r="M60" s="79"/>
      <c r="N60" s="198"/>
      <c r="O60" s="156"/>
      <c r="P60" s="230"/>
      <c r="Q60" s="78"/>
      <c r="R60" s="163"/>
      <c r="S60" s="200"/>
      <c r="V60" s="211"/>
      <c r="Y60" s="200"/>
      <c r="Z60" s="252"/>
      <c r="AA60" s="200"/>
      <c r="AB60" s="200"/>
      <c r="AC60" s="210"/>
      <c r="AD60" s="210"/>
      <c r="AE60" s="200"/>
      <c r="AF60" s="200"/>
      <c r="AI60" s="200"/>
      <c r="AJ60" s="200"/>
      <c r="AK60" s="209"/>
      <c r="AL60" s="200"/>
    </row>
    <row r="61" spans="1:44" ht="20.100000000000001" customHeight="1" thickBot="1" x14ac:dyDescent="0.3">
      <c r="A61" s="159">
        <v>30</v>
      </c>
      <c r="B61" s="80"/>
      <c r="C61" s="253" t="s">
        <v>569</v>
      </c>
      <c r="E61" s="82"/>
      <c r="F61" s="275">
        <f>SUM(F45:F49)</f>
        <v>540</v>
      </c>
      <c r="G61" s="70"/>
      <c r="H61" s="275">
        <f>SUM(H45:H49)</f>
        <v>6194943</v>
      </c>
      <c r="I61" s="79"/>
      <c r="J61" s="263"/>
      <c r="K61" s="263"/>
      <c r="L61" s="275">
        <f>L50+L59</f>
        <v>676074</v>
      </c>
      <c r="M61" s="79"/>
      <c r="N61" s="309">
        <v>100</v>
      </c>
      <c r="O61" s="156"/>
      <c r="P61" s="275">
        <f>P50+P59</f>
        <v>6368</v>
      </c>
      <c r="Q61" s="79"/>
      <c r="R61" s="275">
        <f>R50+R59</f>
        <v>682442</v>
      </c>
      <c r="S61" s="200"/>
      <c r="V61" s="211"/>
      <c r="Y61" s="211"/>
      <c r="Z61" s="305"/>
      <c r="AA61" s="211"/>
      <c r="AB61" s="211"/>
      <c r="AC61" s="211"/>
      <c r="AD61" s="211"/>
      <c r="AE61" s="211"/>
      <c r="AF61" s="211"/>
      <c r="AI61" s="211"/>
      <c r="AJ61" s="211"/>
      <c r="AK61" s="212"/>
      <c r="AL61" s="211"/>
      <c r="AM61" s="210"/>
      <c r="AN61" s="210"/>
    </row>
    <row r="62" spans="1:44" ht="16.5" thickTop="1" x14ac:dyDescent="0.25">
      <c r="A62" s="80"/>
      <c r="B62" s="80"/>
      <c r="C62" s="80"/>
      <c r="D62" s="80"/>
      <c r="E62" s="8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9"/>
      <c r="S62" s="200"/>
      <c r="V62" s="252"/>
      <c r="Y62" s="252"/>
      <c r="Z62" s="305"/>
      <c r="AA62" s="200"/>
      <c r="AB62" s="200"/>
      <c r="AC62" s="210"/>
      <c r="AD62" s="210"/>
      <c r="AE62" s="200"/>
      <c r="AF62" s="200"/>
      <c r="AI62" s="200"/>
      <c r="AJ62" s="200"/>
      <c r="AK62" s="209"/>
      <c r="AL62" s="200"/>
      <c r="AM62" s="210"/>
      <c r="AN62" s="210"/>
    </row>
    <row r="63" spans="1:44" x14ac:dyDescent="0.25">
      <c r="A63" s="80"/>
      <c r="B63" s="80"/>
      <c r="C63" s="173" t="s">
        <v>61</v>
      </c>
      <c r="D63" s="80"/>
      <c r="E63" s="80"/>
      <c r="F63" s="189"/>
      <c r="G63" s="80"/>
      <c r="H63" s="189"/>
      <c r="I63" s="189"/>
      <c r="J63" s="310"/>
      <c r="K63" s="310"/>
      <c r="L63" s="189"/>
      <c r="M63" s="189"/>
      <c r="N63" s="189"/>
      <c r="O63" s="189"/>
      <c r="P63" s="189"/>
      <c r="Q63" s="189"/>
      <c r="R63" s="189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188"/>
      <c r="AH63" s="80"/>
      <c r="AI63" s="80"/>
      <c r="AJ63" s="80"/>
      <c r="AK63" s="188"/>
      <c r="AL63" s="80"/>
      <c r="AM63" s="80"/>
      <c r="AN63" s="80"/>
      <c r="AO63" s="80"/>
      <c r="AP63" s="80"/>
      <c r="AQ63" s="188"/>
      <c r="AR63" s="80"/>
    </row>
    <row r="64" spans="1:44" x14ac:dyDescent="0.25">
      <c r="A64" s="80"/>
      <c r="B64" s="80"/>
      <c r="C64" s="173" t="str">
        <f>"(2) REFLECTS FUEL COMPONENT OF "&amp;TEXT(PRO_FAC,"$0.000000;($0.000000)")&amp;"  PER KWH."</f>
        <v>(2) REFLECTS FUEL COMPONENT OF $0.001028  PER KWH.</v>
      </c>
      <c r="D64" s="80"/>
      <c r="E64" s="80"/>
      <c r="F64" s="189"/>
      <c r="G64" s="80"/>
      <c r="H64" s="189"/>
      <c r="I64" s="189"/>
      <c r="J64" s="310"/>
      <c r="K64" s="310"/>
      <c r="L64" s="189"/>
      <c r="M64" s="189"/>
      <c r="N64" s="189"/>
      <c r="O64" s="189"/>
      <c r="P64" s="189"/>
      <c r="Q64" s="189"/>
      <c r="R64" s="189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188"/>
      <c r="AH64" s="80"/>
      <c r="AI64" s="80"/>
      <c r="AJ64" s="80"/>
      <c r="AK64" s="188"/>
      <c r="AL64" s="80"/>
      <c r="AM64" s="80"/>
      <c r="AN64" s="80"/>
      <c r="AO64" s="80"/>
      <c r="AP64" s="80"/>
      <c r="AQ64" s="188"/>
      <c r="AR64" s="80"/>
    </row>
    <row r="65" spans="1:47" x14ac:dyDescent="0.25">
      <c r="A65" s="80"/>
      <c r="B65" s="80"/>
      <c r="C65" s="173" t="str">
        <f>"(3) REFLECTS FUEL COST RECOVERY INCLUDED IN BASE RATES OF "&amp;TEXT(PRO_BASE_FUEL,"$0.000000;($0.000000)")&amp;"  PER KWH."</f>
        <v>(3) REFLECTS FUEL COST RECOVERY INCLUDED IN BASE RATES OF $0.023837  PER KWH.</v>
      </c>
      <c r="D65" s="80"/>
      <c r="E65" s="80"/>
      <c r="F65" s="189"/>
      <c r="G65" s="80"/>
      <c r="H65" s="189"/>
      <c r="I65" s="189"/>
      <c r="J65" s="310"/>
      <c r="K65" s="310"/>
      <c r="L65" s="189"/>
      <c r="M65" s="189"/>
      <c r="N65" s="189"/>
      <c r="O65" s="189"/>
      <c r="P65" s="189"/>
      <c r="Q65" s="189"/>
      <c r="R65" s="189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188"/>
      <c r="AH65" s="80"/>
      <c r="AI65" s="80"/>
      <c r="AJ65" s="80"/>
      <c r="AK65" s="188"/>
      <c r="AL65" s="80"/>
      <c r="AM65" s="80"/>
      <c r="AN65" s="80"/>
      <c r="AO65" s="80"/>
      <c r="AP65" s="80"/>
      <c r="AQ65" s="188"/>
      <c r="AR65" s="80"/>
    </row>
    <row r="66" spans="1:47" x14ac:dyDescent="0.25">
      <c r="A66" s="80"/>
      <c r="B66" s="80"/>
      <c r="C66" s="175" t="s">
        <v>500</v>
      </c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188"/>
      <c r="AH66" s="80"/>
      <c r="AI66" s="80"/>
      <c r="AJ66" s="80"/>
      <c r="AK66" s="188"/>
      <c r="AL66" s="80"/>
      <c r="AM66" s="80"/>
      <c r="AN66" s="80"/>
      <c r="AO66" s="80"/>
      <c r="AP66" s="80"/>
      <c r="AQ66" s="188"/>
      <c r="AR66" s="80"/>
    </row>
    <row r="67" spans="1:47" x14ac:dyDescent="0.25">
      <c r="A67" s="103"/>
      <c r="C67" s="103"/>
      <c r="D67" s="103"/>
      <c r="E67" s="103"/>
      <c r="F67" s="103"/>
      <c r="J67" s="103"/>
      <c r="K67" s="103"/>
      <c r="L67" s="103"/>
      <c r="M67" s="103"/>
      <c r="N67" s="103"/>
      <c r="O67" s="103"/>
      <c r="P67" s="103"/>
      <c r="Q67" s="103"/>
      <c r="R67" s="103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188"/>
      <c r="AH67" s="80"/>
      <c r="AI67" s="80"/>
      <c r="AJ67" s="80"/>
      <c r="AK67" s="188"/>
      <c r="AL67" s="80"/>
      <c r="AM67" s="80"/>
      <c r="AN67" s="80"/>
      <c r="AO67" s="80"/>
      <c r="AP67" s="80"/>
      <c r="AQ67" s="188"/>
      <c r="AR67" s="80"/>
    </row>
    <row r="68" spans="1:47" x14ac:dyDescent="0.25">
      <c r="A68" s="103"/>
      <c r="C68" s="103"/>
      <c r="D68" s="103"/>
      <c r="E68" s="103"/>
      <c r="F68" s="361"/>
      <c r="G68" s="361"/>
      <c r="H68" s="361"/>
      <c r="J68" s="103"/>
      <c r="K68" s="103"/>
      <c r="L68" s="103"/>
      <c r="M68" s="103"/>
      <c r="N68" s="103"/>
      <c r="O68" s="103"/>
      <c r="P68" s="103"/>
      <c r="Q68" s="103"/>
      <c r="R68" s="103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188"/>
      <c r="AH68" s="80"/>
      <c r="AI68" s="80"/>
      <c r="AJ68" s="80"/>
      <c r="AK68" s="188"/>
      <c r="AL68" s="80"/>
      <c r="AM68" s="80"/>
      <c r="AN68" s="80"/>
      <c r="AO68" s="80"/>
      <c r="AP68" s="80"/>
      <c r="AQ68" s="188"/>
      <c r="AR68" s="80"/>
    </row>
    <row r="69" spans="1:47" x14ac:dyDescent="0.25">
      <c r="A69" s="103"/>
      <c r="C69" s="103"/>
      <c r="D69" s="103"/>
      <c r="E69" s="103"/>
      <c r="F69" s="361"/>
      <c r="G69" s="361"/>
      <c r="H69" s="361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T69" s="150" t="str">
        <f>NAME</f>
        <v>DUKE ENERGY KENTUCKY, INC.</v>
      </c>
      <c r="U69" s="150"/>
      <c r="V69" s="150"/>
      <c r="W69" s="150"/>
      <c r="X69" s="150"/>
      <c r="Y69" s="150"/>
      <c r="Z69" s="150"/>
      <c r="AA69" s="150"/>
      <c r="AB69" s="150"/>
      <c r="AC69" s="187"/>
      <c r="AD69" s="187"/>
      <c r="AE69" s="150"/>
      <c r="AF69" s="100"/>
      <c r="AG69" s="190"/>
      <c r="AH69" s="100"/>
      <c r="AI69" s="150"/>
      <c r="AJ69" s="150"/>
      <c r="AK69" s="190"/>
      <c r="AL69" s="150"/>
      <c r="AM69" s="150"/>
      <c r="AN69" s="100"/>
      <c r="AO69" s="150"/>
      <c r="AP69" s="150"/>
      <c r="AQ69" s="190"/>
    </row>
    <row r="70" spans="1:47" x14ac:dyDescent="0.25">
      <c r="A70" s="103"/>
      <c r="C70" s="103"/>
      <c r="D70" s="103"/>
      <c r="E70" s="103"/>
      <c r="F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T70" s="150" t="str">
        <f>CASE_NO</f>
        <v>CASE NO.   2017-00321</v>
      </c>
      <c r="U70" s="150"/>
      <c r="V70" s="150"/>
      <c r="W70" s="150"/>
      <c r="X70" s="150"/>
      <c r="Y70" s="150"/>
      <c r="Z70" s="150"/>
      <c r="AA70" s="150"/>
      <c r="AB70" s="150"/>
      <c r="AC70" s="187"/>
      <c r="AD70" s="187"/>
      <c r="AE70" s="150"/>
      <c r="AF70" s="100"/>
      <c r="AG70" s="190"/>
      <c r="AH70" s="100"/>
      <c r="AI70" s="150"/>
      <c r="AJ70" s="150"/>
      <c r="AK70" s="190"/>
      <c r="AL70" s="150"/>
      <c r="AM70" s="150"/>
      <c r="AN70" s="100"/>
      <c r="AO70" s="150"/>
      <c r="AP70" s="150"/>
      <c r="AQ70" s="190"/>
    </row>
    <row r="71" spans="1:47" x14ac:dyDescent="0.25">
      <c r="C71" s="103"/>
      <c r="D71" s="103"/>
      <c r="E71" s="103"/>
      <c r="F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T71" s="187" t="str">
        <f>TITLE</f>
        <v>ANNUALIZED BASE YEAR REVENUES AT PROPOSED VS. MOST CURRENT RATES</v>
      </c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00"/>
      <c r="AG71" s="190"/>
      <c r="AH71" s="100"/>
      <c r="AI71" s="150"/>
      <c r="AJ71" s="150"/>
      <c r="AK71" s="190"/>
      <c r="AL71" s="150"/>
      <c r="AM71" s="150"/>
      <c r="AN71" s="100"/>
      <c r="AO71" s="150"/>
      <c r="AP71" s="150"/>
      <c r="AQ71" s="190"/>
    </row>
    <row r="72" spans="1:47" x14ac:dyDescent="0.25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T72" s="150" t="str">
        <f>DATE</f>
        <v>FOR THE TWELVE MONTHS ENDED November 30, 2017</v>
      </c>
      <c r="U72" s="150"/>
      <c r="V72" s="150"/>
      <c r="W72" s="150"/>
      <c r="X72" s="150"/>
      <c r="Y72" s="150"/>
      <c r="Z72" s="150"/>
      <c r="AA72" s="150"/>
      <c r="AB72" s="150"/>
      <c r="AC72" s="187"/>
      <c r="AD72" s="187"/>
      <c r="AE72" s="150"/>
      <c r="AF72" s="100"/>
      <c r="AG72" s="190"/>
      <c r="AH72" s="100"/>
      <c r="AI72" s="150"/>
      <c r="AJ72" s="150"/>
      <c r="AK72" s="190"/>
      <c r="AL72" s="150"/>
      <c r="AM72" s="150"/>
      <c r="AN72" s="100"/>
      <c r="AO72" s="150"/>
      <c r="AP72" s="150"/>
      <c r="AQ72" s="190"/>
    </row>
    <row r="73" spans="1:47" x14ac:dyDescent="0.25"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T73" s="150" t="str">
        <f>SERVICE</f>
        <v>(ELECTRIC SERVICE)</v>
      </c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87"/>
      <c r="AF73" s="312"/>
      <c r="AG73" s="190"/>
      <c r="AH73" s="100"/>
      <c r="AI73" s="150"/>
      <c r="AJ73" s="150"/>
      <c r="AK73" s="190"/>
      <c r="AL73" s="150"/>
      <c r="AM73" s="150"/>
      <c r="AN73" s="100"/>
      <c r="AO73" s="150"/>
      <c r="AP73" s="150"/>
      <c r="AQ73" s="190"/>
    </row>
    <row r="74" spans="1:47" x14ac:dyDescent="0.25">
      <c r="A74" s="202"/>
      <c r="C74" s="154"/>
      <c r="D74" s="154"/>
      <c r="E74" s="154"/>
      <c r="T74" s="159" t="str">
        <f>DATA_PERIOD</f>
        <v>DATA: __X__ BASE PERIOD   ____FORECASTED PERIOD</v>
      </c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G74" s="188"/>
      <c r="AI74" s="80"/>
      <c r="AJ74" s="80"/>
      <c r="AK74" s="188"/>
      <c r="AL74" s="80"/>
      <c r="AM74" s="80"/>
      <c r="AO74" s="82" t="s">
        <v>179</v>
      </c>
      <c r="AP74" s="82"/>
      <c r="AQ74" s="188"/>
    </row>
    <row r="75" spans="1:47" x14ac:dyDescent="0.25">
      <c r="A75" s="202"/>
      <c r="D75" s="154"/>
      <c r="E75" s="154"/>
      <c r="T75" s="159" t="str">
        <f>TYPE</f>
        <v>TYPE OF FILING: _X_ ORIGINAL   ___UPDATED  ___ REVISED</v>
      </c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G75" s="188"/>
      <c r="AI75" s="80"/>
      <c r="AJ75" s="80"/>
      <c r="AK75" s="188"/>
      <c r="AL75" s="80"/>
      <c r="AM75" s="80"/>
      <c r="AO75" s="81" t="str">
        <f>R7</f>
        <v>PAGE  7  OF  22</v>
      </c>
      <c r="AP75" s="82"/>
      <c r="AQ75" s="188"/>
    </row>
    <row r="76" spans="1:47" x14ac:dyDescent="0.25">
      <c r="T76" s="82" t="s">
        <v>192</v>
      </c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G76" s="188"/>
      <c r="AI76" s="80"/>
      <c r="AJ76" s="80"/>
      <c r="AK76" s="188"/>
      <c r="AL76" s="80"/>
      <c r="AM76" s="80"/>
      <c r="AO76" s="82" t="s">
        <v>3</v>
      </c>
      <c r="AP76" s="82"/>
      <c r="AQ76" s="188"/>
    </row>
    <row r="77" spans="1:47" x14ac:dyDescent="0.25">
      <c r="A77" s="202"/>
      <c r="C77" s="154"/>
      <c r="T77" s="253" t="str">
        <f>TIME</f>
        <v>6 Months Actual and 6 Months Projected</v>
      </c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G77" s="188"/>
      <c r="AI77" s="80"/>
      <c r="AJ77" s="80"/>
      <c r="AK77" s="188"/>
      <c r="AL77" s="80"/>
      <c r="AM77" s="80"/>
      <c r="AO77" s="159" t="str">
        <f>WIT</f>
        <v>B. L. SAILERS</v>
      </c>
      <c r="AP77" s="159"/>
      <c r="AQ77" s="188"/>
    </row>
    <row r="78" spans="1:47" x14ac:dyDescent="0.25">
      <c r="A78" s="202"/>
      <c r="C78" s="154"/>
      <c r="T78" s="253" t="str">
        <f>INPUT!B5</f>
        <v>6 Months Actual Ending May 31, 2017</v>
      </c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G78" s="188"/>
      <c r="AI78" s="80"/>
      <c r="AJ78" s="80"/>
      <c r="AK78" s="188"/>
      <c r="AL78" s="80"/>
      <c r="AM78" s="80"/>
      <c r="AO78" s="159"/>
      <c r="AP78" s="159"/>
      <c r="AQ78" s="188"/>
    </row>
    <row r="79" spans="1:47" x14ac:dyDescent="0.25">
      <c r="A79" s="202"/>
      <c r="C79" s="154"/>
      <c r="F79" s="252"/>
      <c r="H79" s="252"/>
      <c r="I79" s="252"/>
      <c r="J79" s="300"/>
      <c r="K79" s="300"/>
      <c r="L79" s="200"/>
      <c r="M79" s="200"/>
      <c r="N79" s="210"/>
      <c r="O79" s="210"/>
      <c r="P79" s="202"/>
      <c r="Q79" s="202"/>
      <c r="R79" s="200"/>
      <c r="T79" s="187" t="s">
        <v>152</v>
      </c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00"/>
      <c r="AG79" s="190"/>
      <c r="AH79" s="100"/>
      <c r="AI79" s="150"/>
      <c r="AJ79" s="150"/>
      <c r="AK79" s="190"/>
      <c r="AL79" s="150"/>
      <c r="AM79" s="150"/>
      <c r="AN79" s="100"/>
      <c r="AO79" s="150"/>
      <c r="AP79" s="150"/>
      <c r="AQ79" s="190"/>
    </row>
    <row r="80" spans="1:47" x14ac:dyDescent="0.25">
      <c r="A80" s="202"/>
      <c r="C80" s="154"/>
      <c r="F80" s="252"/>
      <c r="H80" s="252"/>
      <c r="I80" s="252"/>
      <c r="J80" s="300"/>
      <c r="K80" s="300"/>
      <c r="L80" s="200"/>
      <c r="M80" s="200"/>
      <c r="N80" s="210"/>
      <c r="O80" s="210"/>
      <c r="P80" s="202"/>
      <c r="Q80" s="202"/>
      <c r="R80" s="200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5"/>
      <c r="AH80" s="254"/>
      <c r="AI80" s="254"/>
      <c r="AJ80" s="254"/>
      <c r="AK80" s="255"/>
      <c r="AL80" s="254"/>
      <c r="AM80" s="254"/>
      <c r="AN80" s="254"/>
      <c r="AO80" s="254"/>
      <c r="AP80" s="254"/>
      <c r="AQ80" s="255"/>
      <c r="AS80" s="80"/>
      <c r="AT80" s="80"/>
      <c r="AU80" s="80"/>
    </row>
    <row r="81" spans="1:76" ht="18" customHeight="1" x14ac:dyDescent="0.25">
      <c r="F81" s="211"/>
      <c r="H81" s="200"/>
      <c r="I81" s="200"/>
      <c r="J81" s="305"/>
      <c r="K81" s="305"/>
      <c r="L81" s="211"/>
      <c r="M81" s="211"/>
      <c r="N81" s="211"/>
      <c r="O81" s="211"/>
      <c r="P81" s="211"/>
      <c r="Q81" s="211"/>
      <c r="R81" s="211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3" t="s">
        <v>8</v>
      </c>
      <c r="AF81" s="103"/>
      <c r="AG81" s="195" t="s">
        <v>7</v>
      </c>
      <c r="AH81" s="103"/>
      <c r="AI81" s="83" t="s">
        <v>9</v>
      </c>
      <c r="AJ81" s="83"/>
      <c r="AK81" s="195" t="s">
        <v>10</v>
      </c>
      <c r="AL81" s="83"/>
      <c r="AM81" s="80"/>
      <c r="AO81" s="83" t="s">
        <v>8</v>
      </c>
      <c r="AP81" s="83"/>
      <c r="AQ81" s="195" t="s">
        <v>11</v>
      </c>
      <c r="AS81" s="80"/>
      <c r="AT81" s="80"/>
      <c r="AU81" s="80"/>
    </row>
    <row r="82" spans="1:76" x14ac:dyDescent="0.25">
      <c r="A82" s="202"/>
      <c r="C82" s="154"/>
      <c r="F82" s="200"/>
      <c r="H82" s="200"/>
      <c r="I82" s="200"/>
      <c r="J82" s="305"/>
      <c r="K82" s="305"/>
      <c r="L82" s="200"/>
      <c r="M82" s="200"/>
      <c r="N82" s="210"/>
      <c r="O82" s="210"/>
      <c r="P82" s="200"/>
      <c r="Q82" s="200"/>
      <c r="R82" s="200"/>
      <c r="T82" s="80"/>
      <c r="U82" s="80"/>
      <c r="V82" s="80"/>
      <c r="W82" s="80"/>
      <c r="X82" s="80"/>
      <c r="Y82" s="80"/>
      <c r="Z82" s="80"/>
      <c r="AA82" s="80"/>
      <c r="AB82" s="80"/>
      <c r="AC82" s="83" t="s">
        <v>14</v>
      </c>
      <c r="AD82" s="83"/>
      <c r="AE82" s="83" t="s">
        <v>12</v>
      </c>
      <c r="AF82" s="103"/>
      <c r="AG82" s="195" t="s">
        <v>13</v>
      </c>
      <c r="AH82" s="103"/>
      <c r="AI82" s="83" t="s">
        <v>15</v>
      </c>
      <c r="AJ82" s="83"/>
      <c r="AK82" s="195" t="s">
        <v>16</v>
      </c>
      <c r="AL82" s="83"/>
      <c r="AM82" s="80"/>
      <c r="AO82" s="83" t="s">
        <v>11</v>
      </c>
      <c r="AP82" s="83"/>
      <c r="AQ82" s="195" t="s">
        <v>9</v>
      </c>
      <c r="AS82" s="80"/>
      <c r="AT82" s="80"/>
      <c r="AU82" s="80"/>
    </row>
    <row r="83" spans="1:76" x14ac:dyDescent="0.25">
      <c r="F83" s="211"/>
      <c r="H83" s="200"/>
      <c r="I83" s="200"/>
      <c r="J83" s="305"/>
      <c r="K83" s="305"/>
      <c r="L83" s="211"/>
      <c r="M83" s="211"/>
      <c r="N83" s="211"/>
      <c r="O83" s="211"/>
      <c r="P83" s="211"/>
      <c r="Q83" s="211"/>
      <c r="R83" s="211"/>
      <c r="T83" s="83" t="s">
        <v>17</v>
      </c>
      <c r="U83" s="80"/>
      <c r="V83" s="83" t="s">
        <v>18</v>
      </c>
      <c r="W83" s="83" t="s">
        <v>19</v>
      </c>
      <c r="X83" s="83"/>
      <c r="Y83" s="83" t="s">
        <v>20</v>
      </c>
      <c r="Z83" s="80"/>
      <c r="AA83" s="80"/>
      <c r="AB83" s="80"/>
      <c r="AC83" s="83" t="s">
        <v>8</v>
      </c>
      <c r="AD83" s="83"/>
      <c r="AE83" s="83" t="s">
        <v>21</v>
      </c>
      <c r="AF83" s="103"/>
      <c r="AG83" s="195" t="s">
        <v>21</v>
      </c>
      <c r="AH83" s="103"/>
      <c r="AI83" s="83" t="s">
        <v>22</v>
      </c>
      <c r="AJ83" s="83"/>
      <c r="AK83" s="195" t="s">
        <v>22</v>
      </c>
      <c r="AL83" s="83"/>
      <c r="AM83" s="83" t="s">
        <v>21</v>
      </c>
      <c r="AN83" s="103"/>
      <c r="AO83" s="83" t="s">
        <v>9</v>
      </c>
      <c r="AP83" s="83"/>
      <c r="AQ83" s="195" t="s">
        <v>23</v>
      </c>
      <c r="AS83" s="189"/>
      <c r="AT83" s="189"/>
      <c r="AU83" s="362"/>
    </row>
    <row r="84" spans="1:76" x14ac:dyDescent="0.25">
      <c r="F84" s="200"/>
      <c r="H84" s="200"/>
      <c r="I84" s="200"/>
      <c r="J84" s="305"/>
      <c r="K84" s="305"/>
      <c r="L84" s="200"/>
      <c r="M84" s="200"/>
      <c r="N84" s="210"/>
      <c r="O84" s="210"/>
      <c r="P84" s="200"/>
      <c r="Q84" s="200"/>
      <c r="R84" s="200"/>
      <c r="T84" s="83" t="s">
        <v>24</v>
      </c>
      <c r="U84" s="80"/>
      <c r="V84" s="83" t="s">
        <v>25</v>
      </c>
      <c r="W84" s="83" t="s">
        <v>26</v>
      </c>
      <c r="X84" s="83"/>
      <c r="Y84" s="83" t="s">
        <v>27</v>
      </c>
      <c r="Z84" s="80"/>
      <c r="AA84" s="83" t="s">
        <v>28</v>
      </c>
      <c r="AB84" s="83"/>
      <c r="AC84" s="83" t="s">
        <v>29</v>
      </c>
      <c r="AD84" s="83"/>
      <c r="AE84" s="83" t="s">
        <v>9</v>
      </c>
      <c r="AF84" s="103"/>
      <c r="AG84" s="195" t="s">
        <v>9</v>
      </c>
      <c r="AH84" s="103"/>
      <c r="AI84" s="256" t="s">
        <v>31</v>
      </c>
      <c r="AJ84" s="256"/>
      <c r="AK84" s="257" t="s">
        <v>32</v>
      </c>
      <c r="AL84" s="83"/>
      <c r="AM84" s="83" t="s">
        <v>430</v>
      </c>
      <c r="AN84" s="103"/>
      <c r="AO84" s="256" t="s">
        <v>33</v>
      </c>
      <c r="AP84" s="256"/>
      <c r="AQ84" s="257" t="s">
        <v>34</v>
      </c>
      <c r="AS84" s="189"/>
      <c r="AT84" s="189"/>
      <c r="AU84" s="363"/>
      <c r="BX84" s="317"/>
    </row>
    <row r="85" spans="1:76" x14ac:dyDescent="0.25">
      <c r="A85" s="202"/>
      <c r="C85" s="154"/>
      <c r="F85" s="252"/>
      <c r="H85" s="252"/>
      <c r="I85" s="252"/>
      <c r="J85" s="300"/>
      <c r="K85" s="300"/>
      <c r="L85" s="200"/>
      <c r="M85" s="200"/>
      <c r="N85" s="210"/>
      <c r="O85" s="210"/>
      <c r="P85" s="200"/>
      <c r="Q85" s="200"/>
      <c r="R85" s="200"/>
      <c r="T85" s="80"/>
      <c r="U85" s="80"/>
      <c r="V85" s="256" t="s">
        <v>35</v>
      </c>
      <c r="W85" s="256" t="s">
        <v>36</v>
      </c>
      <c r="X85" s="256"/>
      <c r="Y85" s="256" t="s">
        <v>37</v>
      </c>
      <c r="Z85" s="258"/>
      <c r="AA85" s="256" t="s">
        <v>38</v>
      </c>
      <c r="AB85" s="256"/>
      <c r="AC85" s="256" t="s">
        <v>44</v>
      </c>
      <c r="AD85" s="256"/>
      <c r="AE85" s="256" t="s">
        <v>45</v>
      </c>
      <c r="AF85" s="313"/>
      <c r="AG85" s="257" t="s">
        <v>46</v>
      </c>
      <c r="AH85" s="313"/>
      <c r="AI85" s="256" t="s">
        <v>47</v>
      </c>
      <c r="AJ85" s="256"/>
      <c r="AK85" s="257" t="s">
        <v>48</v>
      </c>
      <c r="AL85" s="256"/>
      <c r="AM85" s="256" t="s">
        <v>42</v>
      </c>
      <c r="AN85" s="313"/>
      <c r="AO85" s="256" t="s">
        <v>49</v>
      </c>
      <c r="AP85" s="256"/>
      <c r="AQ85" s="257" t="s">
        <v>50</v>
      </c>
      <c r="AS85" s="189"/>
      <c r="AT85" s="189"/>
      <c r="AU85" s="363"/>
    </row>
    <row r="86" spans="1:76" x14ac:dyDescent="0.25">
      <c r="F86" s="200"/>
      <c r="H86" s="211"/>
      <c r="I86" s="211"/>
      <c r="J86" s="305"/>
      <c r="K86" s="305"/>
      <c r="L86" s="211"/>
      <c r="M86" s="211"/>
      <c r="N86" s="211"/>
      <c r="O86" s="211"/>
      <c r="P86" s="211"/>
      <c r="Q86" s="211"/>
      <c r="R86" s="211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5"/>
      <c r="AH86" s="254"/>
      <c r="AI86" s="254"/>
      <c r="AJ86" s="254"/>
      <c r="AK86" s="255"/>
      <c r="AL86" s="254"/>
      <c r="AM86" s="254"/>
      <c r="AN86" s="254"/>
      <c r="AO86" s="254"/>
      <c r="AP86" s="254"/>
      <c r="AQ86" s="255"/>
      <c r="AS86" s="189"/>
      <c r="AT86" s="189"/>
      <c r="AU86" s="363"/>
    </row>
    <row r="87" spans="1:76" ht="17.100000000000001" customHeight="1" x14ac:dyDescent="0.25">
      <c r="A87" s="202"/>
      <c r="C87" s="154"/>
      <c r="F87" s="200"/>
      <c r="H87" s="200"/>
      <c r="I87" s="200"/>
      <c r="J87" s="213"/>
      <c r="K87" s="213"/>
      <c r="L87" s="200"/>
      <c r="M87" s="200"/>
      <c r="N87" s="210"/>
      <c r="O87" s="210"/>
      <c r="P87" s="200"/>
      <c r="Q87" s="200"/>
      <c r="R87" s="200"/>
      <c r="T87" s="80"/>
      <c r="U87" s="80"/>
      <c r="V87" s="80"/>
      <c r="W87" s="80"/>
      <c r="X87" s="80"/>
      <c r="Y87" s="80"/>
      <c r="Z87" s="80"/>
      <c r="AA87" s="259" t="s">
        <v>51</v>
      </c>
      <c r="AB87" s="259"/>
      <c r="AC87" s="260" t="s">
        <v>418</v>
      </c>
      <c r="AD87" s="259"/>
      <c r="AE87" s="259" t="s">
        <v>52</v>
      </c>
      <c r="AF87" s="314"/>
      <c r="AG87" s="261" t="s">
        <v>53</v>
      </c>
      <c r="AH87" s="314"/>
      <c r="AI87" s="259" t="s">
        <v>52</v>
      </c>
      <c r="AJ87" s="259"/>
      <c r="AK87" s="261" t="s">
        <v>53</v>
      </c>
      <c r="AL87" s="259"/>
      <c r="AM87" s="259" t="s">
        <v>52</v>
      </c>
      <c r="AN87" s="314"/>
      <c r="AO87" s="259" t="s">
        <v>52</v>
      </c>
      <c r="AP87" s="259"/>
      <c r="AQ87" s="261" t="s">
        <v>53</v>
      </c>
      <c r="AS87" s="189"/>
      <c r="AT87" s="189"/>
      <c r="AU87" s="362"/>
    </row>
    <row r="88" spans="1:76" x14ac:dyDescent="0.25">
      <c r="J88" s="202"/>
      <c r="K88" s="202"/>
      <c r="T88" s="159">
        <v>1</v>
      </c>
      <c r="U88" s="80"/>
      <c r="V88" s="253" t="s">
        <v>117</v>
      </c>
      <c r="W88" s="253" t="s">
        <v>501</v>
      </c>
      <c r="X88" s="82"/>
      <c r="Y88" s="70"/>
      <c r="Z88" s="70"/>
      <c r="AA88" s="79"/>
      <c r="AB88" s="79"/>
      <c r="AC88" s="263"/>
      <c r="AD88" s="263"/>
      <c r="AE88" s="79"/>
      <c r="AF88" s="79"/>
      <c r="AG88" s="155"/>
      <c r="AH88" s="156"/>
      <c r="AI88" s="70"/>
      <c r="AJ88" s="70"/>
      <c r="AK88" s="164"/>
      <c r="AL88" s="70"/>
      <c r="AM88" s="70"/>
      <c r="AN88" s="70"/>
      <c r="AO88" s="70"/>
      <c r="AP88" s="70"/>
      <c r="AQ88" s="164"/>
      <c r="AR88" s="252"/>
    </row>
    <row r="89" spans="1:76" x14ac:dyDescent="0.25">
      <c r="L89" s="154"/>
      <c r="M89" s="154"/>
      <c r="T89" s="80"/>
      <c r="U89" s="80"/>
      <c r="V89" s="80"/>
      <c r="W89" s="80"/>
      <c r="X89" s="80"/>
      <c r="Y89" s="70"/>
      <c r="Z89" s="70"/>
      <c r="AA89" s="79"/>
      <c r="AB89" s="79"/>
      <c r="AC89" s="263"/>
      <c r="AD89" s="263"/>
      <c r="AE89" s="79"/>
      <c r="AF89" s="79"/>
      <c r="AG89" s="155"/>
      <c r="AH89" s="156"/>
      <c r="AI89" s="70"/>
      <c r="AJ89" s="70"/>
      <c r="AK89" s="164"/>
      <c r="AL89" s="70"/>
      <c r="AM89" s="70"/>
      <c r="AN89" s="70"/>
      <c r="AO89" s="70"/>
      <c r="AP89" s="70"/>
      <c r="AQ89" s="164"/>
      <c r="AR89" s="252"/>
    </row>
    <row r="90" spans="1:76" ht="15.95" customHeight="1" x14ac:dyDescent="0.25">
      <c r="A90" s="202"/>
      <c r="R90" s="154"/>
      <c r="T90" s="159">
        <v>2</v>
      </c>
      <c r="U90" s="80"/>
      <c r="V90" s="81" t="s">
        <v>536</v>
      </c>
      <c r="W90" s="80"/>
      <c r="X90" s="80"/>
      <c r="Y90" s="79">
        <f>F23</f>
        <v>0</v>
      </c>
      <c r="Z90" s="70"/>
      <c r="AA90" s="79"/>
      <c r="AB90" s="79"/>
      <c r="AC90" s="365"/>
      <c r="AD90" s="365"/>
      <c r="AE90" s="79">
        <f>L23</f>
        <v>0</v>
      </c>
      <c r="AF90" s="79"/>
      <c r="AG90" s="155">
        <f>ROUND((AE90/AE$107)*100,1)</f>
        <v>0</v>
      </c>
      <c r="AH90" s="156"/>
      <c r="AI90" s="79">
        <f>L23-AE90</f>
        <v>0</v>
      </c>
      <c r="AJ90" s="79"/>
      <c r="AK90" s="155">
        <v>0</v>
      </c>
      <c r="AL90" s="158"/>
      <c r="AM90" s="79"/>
      <c r="AN90" s="79"/>
      <c r="AO90" s="79">
        <f>AE90+AM90</f>
        <v>0</v>
      </c>
      <c r="AP90" s="79"/>
      <c r="AQ90" s="157" t="str">
        <f>IF(AO90=0,"0.0 ",ROUND((AI90/AO90)*100,1))</f>
        <v xml:space="preserve">0.0 </v>
      </c>
      <c r="AR90" s="252"/>
    </row>
    <row r="91" spans="1:76" x14ac:dyDescent="0.25">
      <c r="A91" s="202"/>
      <c r="R91" s="154"/>
      <c r="T91" s="80"/>
      <c r="U91" s="80"/>
      <c r="V91" s="80"/>
      <c r="W91" s="80"/>
      <c r="X91" s="80"/>
      <c r="Y91" s="79"/>
      <c r="Z91" s="70"/>
      <c r="AA91" s="70"/>
      <c r="AB91" s="70"/>
      <c r="AC91" s="285"/>
      <c r="AD91" s="285"/>
      <c r="AE91" s="70"/>
      <c r="AF91" s="70"/>
      <c r="AG91" s="164"/>
      <c r="AH91" s="70"/>
      <c r="AI91" s="70"/>
      <c r="AJ91" s="70"/>
      <c r="AK91" s="164"/>
      <c r="AL91" s="70"/>
      <c r="AM91" s="70"/>
      <c r="AN91" s="70"/>
      <c r="AO91" s="70"/>
      <c r="AP91" s="70"/>
      <c r="AQ91" s="164"/>
      <c r="AR91" s="200"/>
    </row>
    <row r="92" spans="1:76" x14ac:dyDescent="0.25">
      <c r="A92" s="154"/>
      <c r="R92" s="154"/>
      <c r="T92" s="159">
        <v>3</v>
      </c>
      <c r="U92" s="80"/>
      <c r="V92" s="81" t="s">
        <v>64</v>
      </c>
      <c r="W92" s="80"/>
      <c r="X92" s="80"/>
      <c r="Y92" s="79">
        <f>F25</f>
        <v>184</v>
      </c>
      <c r="Z92" s="70"/>
      <c r="AA92" s="79"/>
      <c r="AB92" s="79"/>
      <c r="AC92" s="283">
        <f>INPUT!C95</f>
        <v>7.5</v>
      </c>
      <c r="AD92" s="284"/>
      <c r="AE92" s="79">
        <f>ROUND(Y92*AC92,0)</f>
        <v>1380</v>
      </c>
      <c r="AF92" s="79"/>
      <c r="AG92" s="155">
        <f>ROUND((AE92/AE$107)*100,1)</f>
        <v>4.7</v>
      </c>
      <c r="AH92" s="156"/>
      <c r="AI92" s="79">
        <f>L25-AE92</f>
        <v>1774</v>
      </c>
      <c r="AJ92" s="79"/>
      <c r="AK92" s="155">
        <f>ROUND((AI92/AE92)*100,1)</f>
        <v>128.6</v>
      </c>
      <c r="AL92" s="158"/>
      <c r="AM92" s="79"/>
      <c r="AN92" s="79"/>
      <c r="AO92" s="79">
        <f>AE92+AM92</f>
        <v>1380</v>
      </c>
      <c r="AP92" s="79"/>
      <c r="AQ92" s="157">
        <f>IF(AO92=0,"0.0 ",ROUND((AI92/AO92)*100,1))</f>
        <v>128.6</v>
      </c>
      <c r="AR92" s="200"/>
    </row>
    <row r="93" spans="1:76" x14ac:dyDescent="0.25">
      <c r="L93" s="154"/>
      <c r="M93" s="154"/>
      <c r="R93" s="202"/>
      <c r="T93" s="80"/>
      <c r="U93" s="80"/>
      <c r="V93" s="80"/>
      <c r="W93" s="80"/>
      <c r="X93" s="80"/>
      <c r="Y93" s="79"/>
      <c r="Z93" s="70"/>
      <c r="AA93" s="70"/>
      <c r="AB93" s="70"/>
      <c r="AC93" s="366"/>
      <c r="AD93" s="285"/>
      <c r="AE93" s="70"/>
      <c r="AF93" s="70"/>
      <c r="AG93" s="164"/>
      <c r="AH93" s="70"/>
      <c r="AI93" s="70"/>
      <c r="AJ93" s="70"/>
      <c r="AK93" s="164"/>
      <c r="AL93" s="70"/>
      <c r="AM93" s="70"/>
      <c r="AN93" s="70"/>
      <c r="AO93" s="70"/>
      <c r="AP93" s="70"/>
      <c r="AQ93" s="164"/>
      <c r="AR93" s="200"/>
    </row>
    <row r="94" spans="1:76" x14ac:dyDescent="0.25">
      <c r="L94" s="154"/>
      <c r="M94" s="154"/>
      <c r="R94" s="202"/>
      <c r="T94" s="80">
        <v>4</v>
      </c>
      <c r="U94" s="80"/>
      <c r="V94" s="80" t="s">
        <v>481</v>
      </c>
      <c r="W94" s="80"/>
      <c r="X94" s="80"/>
      <c r="Y94" s="79"/>
      <c r="Z94" s="70"/>
      <c r="AA94" s="70"/>
      <c r="AB94" s="70"/>
      <c r="AC94" s="366"/>
      <c r="AD94" s="285"/>
      <c r="AE94" s="70"/>
      <c r="AF94" s="70"/>
      <c r="AG94" s="164"/>
      <c r="AH94" s="70"/>
      <c r="AI94" s="70"/>
      <c r="AJ94" s="70"/>
      <c r="AK94" s="164"/>
      <c r="AL94" s="70"/>
      <c r="AM94" s="70"/>
      <c r="AN94" s="70"/>
      <c r="AO94" s="70"/>
      <c r="AP94" s="70"/>
      <c r="AQ94" s="164"/>
      <c r="AR94" s="200"/>
    </row>
    <row r="95" spans="1:76" x14ac:dyDescent="0.2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T95" s="159">
        <v>5</v>
      </c>
      <c r="U95" s="80"/>
      <c r="V95" s="81" t="s">
        <v>89</v>
      </c>
      <c r="W95" s="80"/>
      <c r="X95" s="80"/>
      <c r="Y95" s="167"/>
      <c r="Z95" s="70"/>
      <c r="AA95" s="167">
        <f>H28</f>
        <v>269849</v>
      </c>
      <c r="AB95" s="79"/>
      <c r="AC95" s="288">
        <f>INPUT!C97</f>
        <v>0.10059800000000001</v>
      </c>
      <c r="AD95" s="293"/>
      <c r="AE95" s="167">
        <f>ROUND((AA95*AC95),0)</f>
        <v>27146</v>
      </c>
      <c r="AF95" s="79"/>
      <c r="AG95" s="166">
        <f>ROUND((AE95/AE$107)*100,1)</f>
        <v>93.3</v>
      </c>
      <c r="AH95" s="156"/>
      <c r="AI95" s="167">
        <f>L28-AE95</f>
        <v>1611</v>
      </c>
      <c r="AJ95" s="79"/>
      <c r="AK95" s="166">
        <f>ROUND((AI95/AE95)*100,1)</f>
        <v>5.9</v>
      </c>
      <c r="AL95" s="158"/>
      <c r="AM95" s="286"/>
      <c r="AN95" s="79"/>
      <c r="AO95" s="167">
        <f>AE95+AM95</f>
        <v>27146</v>
      </c>
      <c r="AP95" s="79"/>
      <c r="AQ95" s="157">
        <f>IF(AO95=0,"0.0 ",ROUND((AI95/AO95)*100,1))</f>
        <v>5.9</v>
      </c>
    </row>
    <row r="96" spans="1:76" ht="20.100000000000001" customHeight="1" x14ac:dyDescent="0.2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T96" s="159">
        <v>6</v>
      </c>
      <c r="U96" s="80"/>
      <c r="V96" s="265" t="s">
        <v>567</v>
      </c>
      <c r="W96" s="80"/>
      <c r="X96" s="80"/>
      <c r="Y96" s="169">
        <f>Y92</f>
        <v>184</v>
      </c>
      <c r="Z96" s="70"/>
      <c r="AA96" s="169">
        <f>AA95</f>
        <v>269849</v>
      </c>
      <c r="AB96" s="79"/>
      <c r="AC96" s="288"/>
      <c r="AD96" s="293"/>
      <c r="AE96" s="169">
        <f>SUM(AE90:AE95)</f>
        <v>28526</v>
      </c>
      <c r="AF96" s="79"/>
      <c r="AG96" s="170">
        <f>ROUND((AE96/AE$107)*100,1)</f>
        <v>98</v>
      </c>
      <c r="AH96" s="156"/>
      <c r="AI96" s="169">
        <f>SUM(AI90:AI95)</f>
        <v>3385</v>
      </c>
      <c r="AJ96" s="79"/>
      <c r="AK96" s="170">
        <f>ROUND((AI96/AE96)*100,1)</f>
        <v>11.9</v>
      </c>
      <c r="AL96" s="158"/>
      <c r="AM96" s="126"/>
      <c r="AN96" s="79"/>
      <c r="AO96" s="169">
        <f>SUM(AO90:AO95)</f>
        <v>28526</v>
      </c>
      <c r="AP96" s="79"/>
      <c r="AQ96" s="157">
        <f>IF(AO96=0,"0.0 ",ROUND((AI96/AO96)*100,1))</f>
        <v>11.9</v>
      </c>
    </row>
    <row r="97" spans="1:47" x14ac:dyDescent="0.2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T97" s="159"/>
      <c r="U97" s="80"/>
      <c r="V97" s="82"/>
      <c r="W97" s="80"/>
      <c r="X97" s="80"/>
      <c r="Y97" s="163"/>
      <c r="Z97" s="70"/>
      <c r="AA97" s="163"/>
      <c r="AB97" s="79"/>
      <c r="AC97" s="288"/>
      <c r="AD97" s="293"/>
      <c r="AE97" s="163"/>
      <c r="AF97" s="79"/>
      <c r="AG97" s="197"/>
      <c r="AH97" s="156"/>
      <c r="AI97" s="163"/>
      <c r="AJ97" s="79"/>
      <c r="AK97" s="197"/>
      <c r="AL97" s="158"/>
      <c r="AM97" s="230"/>
      <c r="AN97" s="79"/>
      <c r="AO97" s="163"/>
      <c r="AP97" s="79"/>
      <c r="AQ97" s="157"/>
    </row>
    <row r="98" spans="1:47" x14ac:dyDescent="0.2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T98" s="159">
        <v>7</v>
      </c>
      <c r="U98" s="80"/>
      <c r="V98" s="253" t="s">
        <v>553</v>
      </c>
      <c r="W98" s="80"/>
      <c r="X98" s="80"/>
      <c r="Y98" s="163"/>
      <c r="Z98" s="70"/>
      <c r="AA98" s="163"/>
      <c r="AB98" s="79"/>
      <c r="AC98" s="288"/>
      <c r="AD98" s="293"/>
      <c r="AE98" s="163"/>
      <c r="AF98" s="79"/>
      <c r="AG98" s="197"/>
      <c r="AH98" s="156"/>
      <c r="AI98" s="163"/>
      <c r="AJ98" s="79"/>
      <c r="AK98" s="197"/>
      <c r="AL98" s="158"/>
      <c r="AM98" s="230"/>
      <c r="AN98" s="79"/>
      <c r="AO98" s="163"/>
      <c r="AP98" s="79"/>
      <c r="AQ98" s="157"/>
    </row>
    <row r="99" spans="1:47" x14ac:dyDescent="0.2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T99" s="159">
        <f>A32</f>
        <v>8</v>
      </c>
      <c r="U99" s="80"/>
      <c r="V99" s="153" t="str">
        <f>C32</f>
        <v>DEMAND SIDE MANAGEMENT RIDER (DSMR)</v>
      </c>
      <c r="W99" s="80"/>
      <c r="X99" s="80"/>
      <c r="Y99" s="163"/>
      <c r="Z99" s="70"/>
      <c r="AA99" s="163"/>
      <c r="AB99" s="79"/>
      <c r="AC99" s="308">
        <f>DSM_DIST</f>
        <v>2.5760000000000002E-3</v>
      </c>
      <c r="AD99" s="293"/>
      <c r="AE99" s="163">
        <f>ROUND(AA96*AC99,0)</f>
        <v>695</v>
      </c>
      <c r="AF99" s="79"/>
      <c r="AG99" s="155">
        <f>ROUND((AE99/AE$107)*100,1)</f>
        <v>2.4</v>
      </c>
      <c r="AH99" s="156"/>
      <c r="AI99" s="79">
        <f>L32-AE99</f>
        <v>0</v>
      </c>
      <c r="AJ99" s="79"/>
      <c r="AK99" s="155">
        <f t="shared" ref="AK99:AK104" si="8">ROUND((AI99/AE99)*100,1)</f>
        <v>0</v>
      </c>
      <c r="AL99" s="158"/>
      <c r="AM99" s="230"/>
      <c r="AN99" s="79"/>
      <c r="AO99" s="79">
        <f t="shared" ref="AO99:AO104" si="9">AE99+AM99</f>
        <v>695</v>
      </c>
      <c r="AP99" s="79"/>
      <c r="AQ99" s="157">
        <f t="shared" ref="AQ99:AQ105" si="10">IF(AO99=0,"0.0 ",ROUND((AI99/AO99)*100,1))</f>
        <v>0</v>
      </c>
    </row>
    <row r="100" spans="1:47" x14ac:dyDescent="0.2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T100" s="159">
        <f t="shared" ref="T100:T105" si="11">A33</f>
        <v>9</v>
      </c>
      <c r="U100" s="80"/>
      <c r="V100" s="153" t="str">
        <f t="shared" ref="V100:V104" si="12">C33</f>
        <v>ENVIRONMENTAL SURCHARGE MECHANISM RIDER (ESM)</v>
      </c>
      <c r="W100" s="80"/>
      <c r="X100" s="80"/>
      <c r="Y100" s="163"/>
      <c r="Z100" s="70"/>
      <c r="AA100" s="163"/>
      <c r="AB100" s="79"/>
      <c r="AC100" s="308">
        <f>CUR_ESM</f>
        <v>0</v>
      </c>
      <c r="AD100" s="293"/>
      <c r="AE100" s="163">
        <f>ROUND(AO96*AC100,0)</f>
        <v>0</v>
      </c>
      <c r="AF100" s="79"/>
      <c r="AG100" s="155">
        <f t="shared" ref="AG100:AG101" si="13">ROUND((AE100/AE$107)*100,1)</f>
        <v>0</v>
      </c>
      <c r="AH100" s="156"/>
      <c r="AI100" s="79">
        <f t="shared" ref="AI100:AI101" si="14">L33-AE100</f>
        <v>0</v>
      </c>
      <c r="AJ100" s="79"/>
      <c r="AK100" s="157">
        <f>IF(AE100=0,0,ROUND((AI100/AE100)*100,1))</f>
        <v>0</v>
      </c>
      <c r="AL100" s="158"/>
      <c r="AM100" s="230"/>
      <c r="AN100" s="79"/>
      <c r="AO100" s="79">
        <f t="shared" ref="AO100:AO101" si="15">AE100+AM100</f>
        <v>0</v>
      </c>
      <c r="AP100" s="79"/>
      <c r="AQ100" s="157" t="str">
        <f t="shared" ref="AQ100:AQ101" si="16">IF(AO100=0,"0.0 ",ROUND((AI100/AO100)*100,1))</f>
        <v xml:space="preserve">0.0 </v>
      </c>
    </row>
    <row r="101" spans="1:47" x14ac:dyDescent="0.2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T101" s="159">
        <f t="shared" si="11"/>
        <v>10</v>
      </c>
      <c r="U101" s="80"/>
      <c r="V101" s="153" t="str">
        <f t="shared" si="12"/>
        <v>DISTRIBUTION CAPITAL INVESTMENT RIDER (DCI)</v>
      </c>
      <c r="W101" s="80"/>
      <c r="X101" s="80"/>
      <c r="Y101" s="163"/>
      <c r="Z101" s="70"/>
      <c r="AA101" s="163"/>
      <c r="AB101" s="79"/>
      <c r="AC101" s="308">
        <f>CUR_DCI_SP</f>
        <v>0</v>
      </c>
      <c r="AD101" s="293"/>
      <c r="AE101" s="163">
        <f>ROUND(AA96*AC101,0)</f>
        <v>0</v>
      </c>
      <c r="AF101" s="79"/>
      <c r="AG101" s="155">
        <f t="shared" si="13"/>
        <v>0</v>
      </c>
      <c r="AH101" s="156"/>
      <c r="AI101" s="79">
        <f t="shared" si="14"/>
        <v>0</v>
      </c>
      <c r="AJ101" s="79"/>
      <c r="AK101" s="157">
        <f>IF(AE101=0,0,ROUND((AI101/AE101)*100,1))</f>
        <v>0</v>
      </c>
      <c r="AL101" s="158"/>
      <c r="AM101" s="230"/>
      <c r="AN101" s="79"/>
      <c r="AO101" s="79">
        <f t="shared" si="15"/>
        <v>0</v>
      </c>
      <c r="AP101" s="79"/>
      <c r="AQ101" s="157" t="str">
        <f t="shared" si="16"/>
        <v xml:space="preserve">0.0 </v>
      </c>
    </row>
    <row r="102" spans="1:47" x14ac:dyDescent="0.2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T102" s="159">
        <f t="shared" si="11"/>
        <v>11</v>
      </c>
      <c r="U102" s="80"/>
      <c r="V102" s="153" t="str">
        <f t="shared" si="12"/>
        <v>FUEL ADJUSTMENT CLAUSE (FAC)</v>
      </c>
      <c r="W102" s="80"/>
      <c r="X102" s="80"/>
      <c r="Y102" s="163"/>
      <c r="Z102" s="70"/>
      <c r="AA102" s="163"/>
      <c r="AB102" s="79"/>
      <c r="AC102" s="308">
        <f>CUR_FAC</f>
        <v>1.0280000000000001E-3</v>
      </c>
      <c r="AD102" s="293"/>
      <c r="AE102" s="163"/>
      <c r="AF102" s="79"/>
      <c r="AG102" s="155"/>
      <c r="AH102" s="156"/>
      <c r="AI102" s="79"/>
      <c r="AJ102" s="79"/>
      <c r="AK102" s="155"/>
      <c r="AL102" s="158"/>
      <c r="AM102" s="230">
        <f>ROUND(AA96*CUR_FAC,0)</f>
        <v>277</v>
      </c>
      <c r="AN102" s="79"/>
      <c r="AO102" s="79">
        <f t="shared" si="9"/>
        <v>277</v>
      </c>
      <c r="AP102" s="79"/>
      <c r="AQ102" s="157">
        <f>IF(AO102=0,0,ROUND(((R35-AO102)/AO102)*100,1))</f>
        <v>0</v>
      </c>
    </row>
    <row r="103" spans="1:47" x14ac:dyDescent="0.2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T103" s="159">
        <f t="shared" si="11"/>
        <v>12</v>
      </c>
      <c r="U103" s="80"/>
      <c r="V103" s="153" t="str">
        <f t="shared" si="12"/>
        <v>FERC TRANSMISSION COST RECOVERY RECONCILIATION (FTR)</v>
      </c>
      <c r="W103" s="80"/>
      <c r="X103" s="80"/>
      <c r="Y103" s="163"/>
      <c r="Z103" s="70"/>
      <c r="AA103" s="163"/>
      <c r="AB103" s="79"/>
      <c r="AC103" s="308">
        <f>CUR_FTR_SP</f>
        <v>0</v>
      </c>
      <c r="AD103" s="293"/>
      <c r="AE103" s="163">
        <f>ROUND(AA96*AC103,0)</f>
        <v>0</v>
      </c>
      <c r="AF103" s="79"/>
      <c r="AG103" s="155">
        <f>ROUND((AE103/AE$107)*100,1)</f>
        <v>0</v>
      </c>
      <c r="AH103" s="156"/>
      <c r="AI103" s="79">
        <f>L36-AE103</f>
        <v>0</v>
      </c>
      <c r="AJ103" s="79"/>
      <c r="AK103" s="157">
        <f>IF(AE103=0,0,ROUND((AI103/AE103)*100,1))</f>
        <v>0</v>
      </c>
      <c r="AL103" s="158"/>
      <c r="AM103" s="230"/>
      <c r="AN103" s="79"/>
      <c r="AO103" s="79">
        <f t="shared" ref="AO103" si="17">AE103+AM103</f>
        <v>0</v>
      </c>
      <c r="AP103" s="79"/>
      <c r="AQ103" s="157" t="str">
        <f t="shared" ref="AQ103" si="18">IF(AO103=0,"0.0 ",ROUND((AI103/AO103)*100,1))</f>
        <v xml:space="preserve">0.0 </v>
      </c>
    </row>
    <row r="104" spans="1:47" x14ac:dyDescent="0.2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T104" s="159">
        <f t="shared" si="11"/>
        <v>13</v>
      </c>
      <c r="U104" s="80"/>
      <c r="V104" s="153" t="str">
        <f t="shared" si="12"/>
        <v>PROFIT SHARING MECHANISM (PSM)</v>
      </c>
      <c r="W104" s="80"/>
      <c r="X104" s="80"/>
      <c r="Y104" s="163"/>
      <c r="Z104" s="70"/>
      <c r="AA104" s="163"/>
      <c r="AB104" s="79"/>
      <c r="AC104" s="308">
        <f>RS_PSM</f>
        <v>-4.5600000000000003E-4</v>
      </c>
      <c r="AD104" s="293"/>
      <c r="AE104" s="167">
        <f>ROUND(AA96*AC104,0)</f>
        <v>-123</v>
      </c>
      <c r="AF104" s="79"/>
      <c r="AG104" s="166">
        <f>ROUND((AE104/AE$107)*100,1)</f>
        <v>-0.4</v>
      </c>
      <c r="AH104" s="156"/>
      <c r="AI104" s="79">
        <f>L37-AE104</f>
        <v>0</v>
      </c>
      <c r="AJ104" s="79"/>
      <c r="AK104" s="166">
        <f t="shared" si="8"/>
        <v>0</v>
      </c>
      <c r="AL104" s="158"/>
      <c r="AM104" s="286"/>
      <c r="AN104" s="79"/>
      <c r="AO104" s="167">
        <f t="shared" si="9"/>
        <v>-123</v>
      </c>
      <c r="AP104" s="79"/>
      <c r="AQ104" s="157">
        <f t="shared" si="10"/>
        <v>0</v>
      </c>
    </row>
    <row r="105" spans="1:47" ht="20.100000000000001" customHeight="1" x14ac:dyDescent="0.2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T105" s="159">
        <f t="shared" si="11"/>
        <v>14</v>
      </c>
      <c r="U105" s="80"/>
      <c r="V105" s="253" t="s">
        <v>557</v>
      </c>
      <c r="W105" s="80"/>
      <c r="X105" s="80"/>
      <c r="Y105" s="167"/>
      <c r="Z105" s="70"/>
      <c r="AA105" s="167"/>
      <c r="AB105" s="79"/>
      <c r="AC105" s="290"/>
      <c r="AD105" s="293"/>
      <c r="AE105" s="169">
        <f>SUM(AE99:AE104)</f>
        <v>572</v>
      </c>
      <c r="AF105" s="79"/>
      <c r="AG105" s="170">
        <f>ROUND((AE105/AE$107)*100,1)</f>
        <v>2</v>
      </c>
      <c r="AH105" s="156"/>
      <c r="AI105" s="169">
        <f>SUM(AI99:AI104)</f>
        <v>0</v>
      </c>
      <c r="AJ105" s="79"/>
      <c r="AK105" s="170">
        <f>ROUND((AI105/AE105)*100,1)</f>
        <v>0</v>
      </c>
      <c r="AL105" s="158"/>
      <c r="AM105" s="169">
        <f>SUM(AM99:AM104)</f>
        <v>277</v>
      </c>
      <c r="AN105" s="79"/>
      <c r="AO105" s="169">
        <f>SUM(AO99:AO104)</f>
        <v>849</v>
      </c>
      <c r="AP105" s="79"/>
      <c r="AQ105" s="157">
        <f t="shared" si="10"/>
        <v>0</v>
      </c>
    </row>
    <row r="106" spans="1:47" x14ac:dyDescent="0.2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T106" s="159"/>
      <c r="U106" s="80"/>
      <c r="V106" s="81"/>
      <c r="W106" s="80"/>
      <c r="X106" s="80"/>
      <c r="Y106" s="163"/>
      <c r="Z106" s="70"/>
      <c r="AA106" s="163"/>
      <c r="AB106" s="79"/>
      <c r="AC106" s="290"/>
      <c r="AD106" s="293"/>
      <c r="AE106" s="163"/>
      <c r="AF106" s="79"/>
      <c r="AG106" s="197"/>
      <c r="AH106" s="156"/>
      <c r="AI106" s="163"/>
      <c r="AJ106" s="79"/>
      <c r="AK106" s="197"/>
      <c r="AL106" s="158"/>
      <c r="AM106" s="230"/>
      <c r="AN106" s="79"/>
      <c r="AO106" s="163"/>
      <c r="AP106" s="79"/>
      <c r="AQ106" s="157"/>
    </row>
    <row r="107" spans="1:47" ht="20.100000000000001" customHeight="1" thickBot="1" x14ac:dyDescent="0.3">
      <c r="L107" s="103"/>
      <c r="M107" s="103"/>
      <c r="N107" s="103"/>
      <c r="O107" s="103"/>
      <c r="R107" s="103"/>
      <c r="T107" s="159">
        <f>A40</f>
        <v>15</v>
      </c>
      <c r="U107" s="80"/>
      <c r="V107" s="253" t="s">
        <v>570</v>
      </c>
      <c r="X107" s="82"/>
      <c r="Y107" s="275">
        <f>F40</f>
        <v>184</v>
      </c>
      <c r="Z107" s="70"/>
      <c r="AA107" s="275">
        <f>H40</f>
        <v>269849</v>
      </c>
      <c r="AB107" s="79"/>
      <c r="AC107" s="263"/>
      <c r="AD107" s="263"/>
      <c r="AE107" s="275">
        <f>AE96+AE105</f>
        <v>29098</v>
      </c>
      <c r="AF107" s="79"/>
      <c r="AG107" s="291">
        <v>100</v>
      </c>
      <c r="AH107" s="156"/>
      <c r="AI107" s="275">
        <f>AI96+AI105</f>
        <v>3385</v>
      </c>
      <c r="AJ107" s="79"/>
      <c r="AK107" s="291">
        <f>ROUND((AI107/AE107)*100,1)</f>
        <v>11.6</v>
      </c>
      <c r="AL107" s="158"/>
      <c r="AM107" s="369">
        <f>AM105+AM96</f>
        <v>277</v>
      </c>
      <c r="AN107" s="78"/>
      <c r="AO107" s="275">
        <f>AO105+AO96</f>
        <v>29375</v>
      </c>
      <c r="AP107" s="79"/>
      <c r="AQ107" s="157">
        <f>IF(AO107=0,"0.0 ",ROUND((AI107/AO107)*100,1))</f>
        <v>11.5</v>
      </c>
    </row>
    <row r="108" spans="1:47" ht="16.5" thickTop="1" x14ac:dyDescent="0.25">
      <c r="A108" s="202"/>
      <c r="C108" s="154"/>
      <c r="F108" s="200"/>
      <c r="H108" s="200"/>
      <c r="I108" s="200"/>
      <c r="J108" s="213"/>
      <c r="K108" s="213"/>
      <c r="L108" s="200"/>
      <c r="M108" s="200"/>
      <c r="N108" s="210"/>
      <c r="O108" s="210"/>
      <c r="P108" s="200"/>
      <c r="Q108" s="200"/>
      <c r="R108" s="200"/>
      <c r="T108" s="80"/>
      <c r="U108" s="80"/>
      <c r="V108" s="80"/>
      <c r="W108" s="80"/>
      <c r="X108" s="80"/>
      <c r="Y108" s="70"/>
      <c r="Z108" s="70"/>
      <c r="AA108" s="368"/>
      <c r="AB108" s="368"/>
      <c r="AC108" s="370"/>
      <c r="AD108" s="368"/>
      <c r="AE108" s="368"/>
      <c r="AF108" s="345"/>
      <c r="AG108" s="371"/>
      <c r="AH108" s="345"/>
      <c r="AI108" s="368"/>
      <c r="AJ108" s="368"/>
      <c r="AK108" s="371"/>
      <c r="AL108" s="368"/>
      <c r="AM108" s="368"/>
      <c r="AN108" s="345"/>
      <c r="AO108" s="368"/>
      <c r="AP108" s="368"/>
      <c r="AQ108" s="371"/>
      <c r="AS108" s="189"/>
      <c r="AT108" s="189"/>
      <c r="AU108" s="362"/>
    </row>
    <row r="109" spans="1:47" x14ac:dyDescent="0.25">
      <c r="A109" s="202"/>
      <c r="C109" s="154"/>
      <c r="F109" s="200"/>
      <c r="H109" s="200"/>
      <c r="I109" s="200"/>
      <c r="J109" s="213"/>
      <c r="K109" s="213"/>
      <c r="L109" s="200"/>
      <c r="M109" s="200"/>
      <c r="N109" s="210"/>
      <c r="O109" s="210"/>
      <c r="P109" s="200"/>
      <c r="Q109" s="200"/>
      <c r="R109" s="200"/>
      <c r="T109" s="80"/>
      <c r="U109" s="80"/>
      <c r="V109" s="80"/>
      <c r="W109" s="80"/>
      <c r="X109" s="80"/>
      <c r="Y109" s="372"/>
      <c r="Z109" s="372"/>
      <c r="AA109" s="373"/>
      <c r="AB109" s="368"/>
      <c r="AC109" s="368"/>
      <c r="AD109" s="368"/>
      <c r="AE109" s="368"/>
      <c r="AF109" s="345"/>
      <c r="AG109" s="371"/>
      <c r="AH109" s="345"/>
      <c r="AI109" s="368"/>
      <c r="AJ109" s="368"/>
      <c r="AK109" s="371"/>
      <c r="AL109" s="368"/>
      <c r="AM109" s="368"/>
      <c r="AN109" s="345"/>
      <c r="AO109" s="368"/>
      <c r="AP109" s="368"/>
      <c r="AQ109" s="371"/>
      <c r="AS109" s="189"/>
      <c r="AT109" s="189"/>
      <c r="AU109" s="362"/>
    </row>
    <row r="110" spans="1:47" x14ac:dyDescent="0.25">
      <c r="A110" s="202"/>
      <c r="C110" s="154"/>
      <c r="F110" s="252"/>
      <c r="H110" s="252"/>
      <c r="I110" s="252"/>
      <c r="J110" s="320"/>
      <c r="K110" s="320"/>
      <c r="L110" s="200"/>
      <c r="M110" s="200"/>
      <c r="N110" s="210"/>
      <c r="O110" s="210"/>
      <c r="P110" s="252"/>
      <c r="Q110" s="252"/>
      <c r="R110" s="200"/>
      <c r="T110" s="159">
        <f>A43</f>
        <v>16</v>
      </c>
      <c r="U110" s="80"/>
      <c r="V110" s="253" t="s">
        <v>466</v>
      </c>
      <c r="W110" s="253" t="s">
        <v>174</v>
      </c>
      <c r="X110" s="82"/>
      <c r="Y110" s="70"/>
      <c r="Z110" s="70"/>
      <c r="AA110" s="70"/>
      <c r="AB110" s="70"/>
      <c r="AC110" s="70"/>
      <c r="AD110" s="70"/>
      <c r="AE110" s="70"/>
      <c r="AF110" s="70"/>
      <c r="AG110" s="164"/>
      <c r="AH110" s="70"/>
      <c r="AI110" s="70"/>
      <c r="AJ110" s="70"/>
      <c r="AK110" s="164"/>
      <c r="AL110" s="70"/>
      <c r="AM110" s="70"/>
      <c r="AN110" s="70"/>
      <c r="AO110" s="70"/>
      <c r="AP110" s="70"/>
      <c r="AQ110" s="164"/>
      <c r="AS110" s="189"/>
      <c r="AT110" s="189"/>
      <c r="AU110" s="363"/>
    </row>
    <row r="111" spans="1:47" x14ac:dyDescent="0.25">
      <c r="A111" s="202"/>
      <c r="C111" s="154"/>
      <c r="H111" s="252"/>
      <c r="I111" s="252"/>
      <c r="J111" s="320"/>
      <c r="K111" s="320"/>
      <c r="L111" s="200"/>
      <c r="M111" s="200"/>
      <c r="N111" s="210"/>
      <c r="O111" s="210"/>
      <c r="P111" s="252"/>
      <c r="Q111" s="252"/>
      <c r="R111" s="200"/>
      <c r="T111" s="80"/>
      <c r="U111" s="80"/>
      <c r="V111" s="80"/>
      <c r="W111" s="80"/>
      <c r="X111" s="80"/>
      <c r="Y111" s="70"/>
      <c r="Z111" s="70"/>
      <c r="AA111" s="70"/>
      <c r="AB111" s="70"/>
      <c r="AC111" s="70"/>
      <c r="AD111" s="70"/>
      <c r="AE111" s="70"/>
      <c r="AF111" s="70"/>
      <c r="AG111" s="164"/>
      <c r="AH111" s="70"/>
      <c r="AI111" s="70"/>
      <c r="AJ111" s="70"/>
      <c r="AK111" s="164"/>
      <c r="AL111" s="70"/>
      <c r="AM111" s="70"/>
      <c r="AN111" s="70"/>
      <c r="AO111" s="70"/>
      <c r="AP111" s="70"/>
      <c r="AQ111" s="164"/>
      <c r="AS111" s="189"/>
      <c r="AT111" s="189"/>
      <c r="AU111" s="363"/>
    </row>
    <row r="112" spans="1:47" x14ac:dyDescent="0.25">
      <c r="A112" s="202"/>
      <c r="C112" s="154"/>
      <c r="F112" s="200"/>
      <c r="H112" s="200"/>
      <c r="I112" s="200"/>
      <c r="J112" s="213"/>
      <c r="K112" s="213"/>
      <c r="L112" s="200"/>
      <c r="M112" s="200"/>
      <c r="N112" s="210"/>
      <c r="O112" s="210"/>
      <c r="P112" s="200"/>
      <c r="Q112" s="200"/>
      <c r="R112" s="200"/>
      <c r="T112" s="159">
        <f>A45</f>
        <v>17</v>
      </c>
      <c r="U112" s="80"/>
      <c r="V112" s="81" t="s">
        <v>220</v>
      </c>
      <c r="W112" s="80"/>
      <c r="X112" s="80"/>
      <c r="Y112" s="79">
        <f>F45</f>
        <v>540</v>
      </c>
      <c r="Z112" s="70"/>
      <c r="AA112" s="79"/>
      <c r="AB112" s="302"/>
      <c r="AC112" s="283">
        <f>INPUT!C103</f>
        <v>3</v>
      </c>
      <c r="AD112" s="284"/>
      <c r="AE112" s="79">
        <f>ROUND(Y112*AC112,0)</f>
        <v>1620</v>
      </c>
      <c r="AF112" s="79"/>
      <c r="AG112" s="197">
        <f>ROUND((AE112/AE$128)*100,1)</f>
        <v>0.3</v>
      </c>
      <c r="AH112" s="302"/>
      <c r="AI112" s="79">
        <f>L45-AE112</f>
        <v>76</v>
      </c>
      <c r="AJ112" s="79"/>
      <c r="AK112" s="172">
        <f>IF(AE112=0,"0.0 ",ROUND((AI112/AE112)*100,1))</f>
        <v>4.7</v>
      </c>
      <c r="AL112" s="319"/>
      <c r="AM112" s="230"/>
      <c r="AN112" s="79"/>
      <c r="AO112" s="79">
        <f>AE112+AM112</f>
        <v>1620</v>
      </c>
      <c r="AP112" s="79"/>
      <c r="AQ112" s="157">
        <f>IF(AO112=0,"0.0 ",ROUND((AI112/AO112)*100,1))</f>
        <v>4.7</v>
      </c>
      <c r="AS112" s="189"/>
      <c r="AT112" s="189"/>
      <c r="AU112" s="363"/>
    </row>
    <row r="113" spans="1:47" x14ac:dyDescent="0.25">
      <c r="F113" s="211"/>
      <c r="H113" s="211"/>
      <c r="I113" s="211"/>
      <c r="J113" s="305"/>
      <c r="K113" s="305"/>
      <c r="L113" s="211"/>
      <c r="M113" s="211"/>
      <c r="N113" s="211"/>
      <c r="O113" s="211"/>
      <c r="P113" s="211"/>
      <c r="Q113" s="211"/>
      <c r="R113" s="211"/>
      <c r="T113" s="80"/>
      <c r="U113" s="80"/>
      <c r="V113" s="80"/>
      <c r="W113" s="80"/>
      <c r="X113" s="80"/>
      <c r="Y113" s="79"/>
      <c r="Z113" s="70"/>
      <c r="AA113" s="70"/>
      <c r="AB113" s="70"/>
      <c r="AC113" s="366"/>
      <c r="AD113" s="285"/>
      <c r="AE113" s="70"/>
      <c r="AF113" s="70"/>
      <c r="AG113" s="164"/>
      <c r="AH113" s="70"/>
      <c r="AI113" s="70"/>
      <c r="AJ113" s="70"/>
      <c r="AK113" s="164"/>
      <c r="AL113" s="70"/>
      <c r="AM113" s="70"/>
      <c r="AN113" s="70"/>
      <c r="AO113" s="70"/>
      <c r="AP113" s="70"/>
      <c r="AQ113" s="164"/>
      <c r="AS113" s="189"/>
      <c r="AT113" s="189"/>
      <c r="AU113" s="363"/>
    </row>
    <row r="114" spans="1:47" x14ac:dyDescent="0.25">
      <c r="F114" s="211"/>
      <c r="H114" s="211"/>
      <c r="I114" s="211"/>
      <c r="J114" s="305"/>
      <c r="K114" s="305"/>
      <c r="L114" s="211"/>
      <c r="M114" s="211"/>
      <c r="N114" s="211"/>
      <c r="O114" s="211"/>
      <c r="P114" s="211"/>
      <c r="Q114" s="211"/>
      <c r="R114" s="211"/>
      <c r="T114" s="159">
        <f t="shared" ref="T114:T117" si="19">A47</f>
        <v>18</v>
      </c>
      <c r="U114" s="80"/>
      <c r="V114" s="80" t="s">
        <v>482</v>
      </c>
      <c r="W114" s="80"/>
      <c r="X114" s="80"/>
      <c r="Y114" s="79"/>
      <c r="Z114" s="70"/>
      <c r="AA114" s="70"/>
      <c r="AB114" s="70"/>
      <c r="AC114" s="366"/>
      <c r="AD114" s="285"/>
      <c r="AE114" s="70"/>
      <c r="AF114" s="70"/>
      <c r="AG114" s="164"/>
      <c r="AH114" s="70"/>
      <c r="AI114" s="70"/>
      <c r="AJ114" s="70"/>
      <c r="AK114" s="164"/>
      <c r="AL114" s="70"/>
      <c r="AM114" s="70"/>
      <c r="AN114" s="70"/>
      <c r="AO114" s="70"/>
      <c r="AP114" s="70"/>
      <c r="AQ114" s="164"/>
      <c r="AS114" s="189"/>
      <c r="AT114" s="189"/>
      <c r="AU114" s="363"/>
    </row>
    <row r="115" spans="1:47" x14ac:dyDescent="0.25">
      <c r="F115" s="211"/>
      <c r="H115" s="211"/>
      <c r="I115" s="211"/>
      <c r="J115" s="305"/>
      <c r="K115" s="305"/>
      <c r="L115" s="211"/>
      <c r="M115" s="211"/>
      <c r="N115" s="211"/>
      <c r="O115" s="211"/>
      <c r="P115" s="211"/>
      <c r="Q115" s="211"/>
      <c r="R115" s="211"/>
      <c r="T115" s="159">
        <f t="shared" si="19"/>
        <v>19</v>
      </c>
      <c r="U115" s="80"/>
      <c r="V115" s="367" t="s">
        <v>221</v>
      </c>
      <c r="W115" s="80"/>
      <c r="X115" s="80"/>
      <c r="Y115" s="79">
        <f>F48</f>
        <v>0</v>
      </c>
      <c r="Z115" s="70"/>
      <c r="AA115" s="161">
        <f>H48</f>
        <v>12111</v>
      </c>
      <c r="AB115" s="70"/>
      <c r="AC115" s="288">
        <f>INPUT!C105</f>
        <v>8.0723000000000003E-2</v>
      </c>
      <c r="AD115" s="285"/>
      <c r="AE115" s="163">
        <f>ROUND((AA115*AC115),0)</f>
        <v>978</v>
      </c>
      <c r="AF115" s="70"/>
      <c r="AG115" s="197">
        <f>ROUND((AE115/AE$128)*100,1)</f>
        <v>0.2</v>
      </c>
      <c r="AH115" s="70"/>
      <c r="AI115" s="79">
        <f>L48-AE115</f>
        <v>145</v>
      </c>
      <c r="AJ115" s="70"/>
      <c r="AK115" s="172">
        <f>IF(AE115=0,"0.0 ",ROUND((AI115/AE115)*100,1))</f>
        <v>14.8</v>
      </c>
      <c r="AL115" s="70"/>
      <c r="AM115" s="230"/>
      <c r="AN115" s="70"/>
      <c r="AO115" s="163">
        <f>AE115+AM115</f>
        <v>978</v>
      </c>
      <c r="AP115" s="70"/>
      <c r="AQ115" s="157">
        <f>IF(AO115=0,"0.0 ",ROUND((AI115/AO115)*100,1))</f>
        <v>14.8</v>
      </c>
      <c r="AS115" s="189"/>
      <c r="AT115" s="189"/>
      <c r="AU115" s="363"/>
    </row>
    <row r="116" spans="1:47" x14ac:dyDescent="0.25">
      <c r="A116" s="202"/>
      <c r="C116" s="154"/>
      <c r="F116" s="200"/>
      <c r="H116" s="200"/>
      <c r="I116" s="200"/>
      <c r="J116" s="213"/>
      <c r="K116" s="213"/>
      <c r="L116" s="200"/>
      <c r="M116" s="200"/>
      <c r="N116" s="210"/>
      <c r="O116" s="210"/>
      <c r="P116" s="200"/>
      <c r="Q116" s="200"/>
      <c r="R116" s="200"/>
      <c r="T116" s="159">
        <f t="shared" si="19"/>
        <v>20</v>
      </c>
      <c r="U116" s="80"/>
      <c r="V116" s="367" t="s">
        <v>222</v>
      </c>
      <c r="W116" s="80"/>
      <c r="X116" s="80"/>
      <c r="Y116" s="167">
        <f>F49</f>
        <v>0</v>
      </c>
      <c r="Z116" s="70"/>
      <c r="AA116" s="167">
        <f>H49</f>
        <v>6182832</v>
      </c>
      <c r="AB116" s="79"/>
      <c r="AC116" s="288">
        <f>INPUT!C106</f>
        <v>9.2947000000000002E-2</v>
      </c>
      <c r="AD116" s="293"/>
      <c r="AE116" s="167">
        <f>ROUND((AA116*AC116),0)</f>
        <v>574676</v>
      </c>
      <c r="AF116" s="79"/>
      <c r="AG116" s="166">
        <f>ROUND((AE116/AE$128)*100,1)-0.1</f>
        <v>97.2</v>
      </c>
      <c r="AH116" s="156"/>
      <c r="AI116" s="167">
        <f>L49-AE116</f>
        <v>85446</v>
      </c>
      <c r="AJ116" s="79"/>
      <c r="AK116" s="168">
        <f>IF(AE116=0,"0.0 ",ROUND((AI116/AE116)*100,1))</f>
        <v>14.9</v>
      </c>
      <c r="AL116" s="158"/>
      <c r="AM116" s="286"/>
      <c r="AN116" s="78"/>
      <c r="AO116" s="167">
        <f>AE116+AM116</f>
        <v>574676</v>
      </c>
      <c r="AP116" s="79"/>
      <c r="AQ116" s="157">
        <f>IF(AO116=0,"0.0 ",ROUND((AI116/AO116)*100,1))</f>
        <v>14.9</v>
      </c>
      <c r="AR116" s="202"/>
      <c r="AS116" s="189"/>
      <c r="AT116" s="189"/>
      <c r="AU116" s="363"/>
    </row>
    <row r="117" spans="1:47" ht="20.100000000000001" customHeight="1" x14ac:dyDescent="0.25">
      <c r="A117" s="202"/>
      <c r="C117" s="154"/>
      <c r="F117" s="200"/>
      <c r="H117" s="200"/>
      <c r="I117" s="200"/>
      <c r="J117" s="213"/>
      <c r="K117" s="213"/>
      <c r="L117" s="200"/>
      <c r="M117" s="200"/>
      <c r="N117" s="210"/>
      <c r="O117" s="210"/>
      <c r="P117" s="200"/>
      <c r="Q117" s="200"/>
      <c r="R117" s="200"/>
      <c r="T117" s="159">
        <f t="shared" si="19"/>
        <v>21</v>
      </c>
      <c r="U117" s="80"/>
      <c r="V117" s="265" t="s">
        <v>568</v>
      </c>
      <c r="W117" s="80"/>
      <c r="X117" s="80"/>
      <c r="Y117" s="169">
        <f>SUM(Y112:Y116)</f>
        <v>540</v>
      </c>
      <c r="Z117" s="70"/>
      <c r="AA117" s="169">
        <f>SUM(AA112:AA116)</f>
        <v>6194943</v>
      </c>
      <c r="AB117" s="79"/>
      <c r="AC117" s="288"/>
      <c r="AD117" s="293"/>
      <c r="AE117" s="169">
        <f>SUM(AE112:AE116)</f>
        <v>577274</v>
      </c>
      <c r="AF117" s="79"/>
      <c r="AG117" s="170">
        <f>ROUND((AE117/AE$128)*100,1)</f>
        <v>97.8</v>
      </c>
      <c r="AH117" s="156"/>
      <c r="AI117" s="169">
        <f>SUM(AI112:AI116)</f>
        <v>85667</v>
      </c>
      <c r="AJ117" s="79"/>
      <c r="AK117" s="171">
        <f>IF(AE117=0,"0.0 ",ROUND((AI117/AE117)*100,1))</f>
        <v>14.8</v>
      </c>
      <c r="AL117" s="158"/>
      <c r="AM117" s="126"/>
      <c r="AN117" s="78"/>
      <c r="AO117" s="169">
        <f>SUM(AO112:AO116)</f>
        <v>577274</v>
      </c>
      <c r="AP117" s="79"/>
      <c r="AQ117" s="157">
        <f>IF(AO117=0,"0.0 ",ROUND((AI117/AO117)*100,1))</f>
        <v>14.8</v>
      </c>
      <c r="AR117" s="202"/>
      <c r="AS117" s="189"/>
      <c r="AT117" s="189"/>
      <c r="AU117" s="363"/>
    </row>
    <row r="118" spans="1:47" x14ac:dyDescent="0.25">
      <c r="A118" s="202"/>
      <c r="C118" s="154"/>
      <c r="F118" s="200"/>
      <c r="H118" s="200"/>
      <c r="I118" s="200"/>
      <c r="J118" s="213"/>
      <c r="K118" s="213"/>
      <c r="L118" s="200"/>
      <c r="M118" s="200"/>
      <c r="N118" s="210"/>
      <c r="O118" s="210"/>
      <c r="P118" s="200"/>
      <c r="Q118" s="200"/>
      <c r="R118" s="200"/>
      <c r="T118" s="159"/>
      <c r="U118" s="80"/>
      <c r="V118" s="82"/>
      <c r="W118" s="80"/>
      <c r="X118" s="80"/>
      <c r="Y118" s="163"/>
      <c r="Z118" s="70"/>
      <c r="AA118" s="163"/>
      <c r="AB118" s="79"/>
      <c r="AC118" s="288"/>
      <c r="AD118" s="293"/>
      <c r="AE118" s="163"/>
      <c r="AF118" s="79"/>
      <c r="AG118" s="197"/>
      <c r="AH118" s="156"/>
      <c r="AI118" s="163"/>
      <c r="AJ118" s="79"/>
      <c r="AK118" s="172"/>
      <c r="AL118" s="158"/>
      <c r="AM118" s="230"/>
      <c r="AN118" s="78"/>
      <c r="AO118" s="163"/>
      <c r="AP118" s="79"/>
      <c r="AQ118" s="157"/>
      <c r="AR118" s="202"/>
      <c r="AS118" s="189"/>
      <c r="AT118" s="189"/>
      <c r="AU118" s="363"/>
    </row>
    <row r="119" spans="1:47" x14ac:dyDescent="0.25">
      <c r="A119" s="202"/>
      <c r="C119" s="154"/>
      <c r="F119" s="200"/>
      <c r="H119" s="200"/>
      <c r="I119" s="200"/>
      <c r="J119" s="213"/>
      <c r="K119" s="213"/>
      <c r="L119" s="200"/>
      <c r="M119" s="200"/>
      <c r="N119" s="210"/>
      <c r="O119" s="210"/>
      <c r="P119" s="200"/>
      <c r="Q119" s="200"/>
      <c r="R119" s="200"/>
      <c r="T119" s="159">
        <f t="shared" ref="T119:T126" si="20">A52</f>
        <v>22</v>
      </c>
      <c r="U119" s="80"/>
      <c r="V119" s="253" t="s">
        <v>553</v>
      </c>
      <c r="W119" s="80"/>
      <c r="X119" s="80"/>
      <c r="Y119" s="163"/>
      <c r="Z119" s="70"/>
      <c r="AA119" s="163"/>
      <c r="AB119" s="79"/>
      <c r="AC119" s="288"/>
      <c r="AD119" s="293"/>
      <c r="AE119" s="163"/>
      <c r="AF119" s="79"/>
      <c r="AG119" s="197"/>
      <c r="AH119" s="156"/>
      <c r="AI119" s="163"/>
      <c r="AJ119" s="79"/>
      <c r="AK119" s="172"/>
      <c r="AL119" s="158"/>
      <c r="AM119" s="230"/>
      <c r="AN119" s="78"/>
      <c r="AO119" s="163"/>
      <c r="AP119" s="79"/>
      <c r="AQ119" s="157"/>
      <c r="AR119" s="202"/>
      <c r="AS119" s="189"/>
      <c r="AT119" s="189"/>
      <c r="AU119" s="363"/>
    </row>
    <row r="120" spans="1:47" x14ac:dyDescent="0.25">
      <c r="A120" s="202"/>
      <c r="C120" s="154"/>
      <c r="F120" s="200"/>
      <c r="H120" s="200"/>
      <c r="I120" s="200"/>
      <c r="J120" s="213"/>
      <c r="K120" s="213"/>
      <c r="L120" s="200"/>
      <c r="M120" s="200"/>
      <c r="N120" s="210"/>
      <c r="O120" s="210"/>
      <c r="P120" s="200"/>
      <c r="Q120" s="200"/>
      <c r="R120" s="200"/>
      <c r="T120" s="159">
        <f t="shared" si="20"/>
        <v>23</v>
      </c>
      <c r="U120" s="80"/>
      <c r="V120" s="153" t="str">
        <f>C53</f>
        <v>DEMAND SIDE MANAGEMENT RIDER (DSMR)</v>
      </c>
      <c r="W120" s="80"/>
      <c r="X120" s="80"/>
      <c r="Y120" s="163"/>
      <c r="Z120" s="70"/>
      <c r="AA120" s="163"/>
      <c r="AB120" s="79"/>
      <c r="AC120" s="308">
        <f>DSM_DIST</f>
        <v>2.5760000000000002E-3</v>
      </c>
      <c r="AD120" s="293"/>
      <c r="AE120" s="163">
        <f>ROUND($AA$117*AC120,0)</f>
        <v>15958</v>
      </c>
      <c r="AF120" s="79"/>
      <c r="AG120" s="197">
        <f>ROUND((AE120/AE$128)*100,1)</f>
        <v>2.7</v>
      </c>
      <c r="AH120" s="156"/>
      <c r="AI120" s="79">
        <f>L53-AE120</f>
        <v>0</v>
      </c>
      <c r="AJ120" s="79"/>
      <c r="AK120" s="172">
        <f t="shared" ref="AK120:AK125" si="21">IF(AE120=0,"0.0 ",ROUND((AI120/AE120)*100,1))</f>
        <v>0</v>
      </c>
      <c r="AL120" s="158"/>
      <c r="AM120" s="230"/>
      <c r="AN120" s="78"/>
      <c r="AO120" s="79">
        <f t="shared" ref="AO120:AO125" si="22">AE120+AM120</f>
        <v>15958</v>
      </c>
      <c r="AP120" s="79"/>
      <c r="AQ120" s="157">
        <f t="shared" ref="AQ120:AQ126" si="23">IF(AO120=0,"0.0 ",ROUND((AI120/AO120)*100,1))</f>
        <v>0</v>
      </c>
      <c r="AR120" s="202"/>
      <c r="AS120" s="189"/>
      <c r="AT120" s="189"/>
      <c r="AU120" s="363"/>
    </row>
    <row r="121" spans="1:47" x14ac:dyDescent="0.25">
      <c r="A121" s="202"/>
      <c r="C121" s="154"/>
      <c r="F121" s="200"/>
      <c r="H121" s="200"/>
      <c r="I121" s="200"/>
      <c r="J121" s="213"/>
      <c r="K121" s="213"/>
      <c r="L121" s="200"/>
      <c r="M121" s="200"/>
      <c r="N121" s="210"/>
      <c r="O121" s="210"/>
      <c r="P121" s="200"/>
      <c r="Q121" s="200"/>
      <c r="R121" s="200"/>
      <c r="T121" s="159">
        <f t="shared" si="20"/>
        <v>24</v>
      </c>
      <c r="U121" s="80"/>
      <c r="V121" s="153" t="str">
        <f t="shared" ref="V121:V125" si="24">C54</f>
        <v>ENVIRONMENTAL SURCHARGE MECHANISM RIDER (ESM)</v>
      </c>
      <c r="W121" s="80"/>
      <c r="X121" s="80"/>
      <c r="Y121" s="163"/>
      <c r="Z121" s="70"/>
      <c r="AA121" s="163"/>
      <c r="AB121" s="79"/>
      <c r="AC121" s="308">
        <f>CUR_ESM</f>
        <v>0</v>
      </c>
      <c r="AD121" s="293"/>
      <c r="AE121" s="163">
        <f>ROUND(AO117*AC121,0)</f>
        <v>0</v>
      </c>
      <c r="AF121" s="79"/>
      <c r="AG121" s="197">
        <f t="shared" ref="AG121:AG122" si="25">ROUND((AE121/AE$128)*100,1)</f>
        <v>0</v>
      </c>
      <c r="AH121" s="156"/>
      <c r="AI121" s="79">
        <f t="shared" ref="AI121:AI122" si="26">L54-AE121</f>
        <v>0</v>
      </c>
      <c r="AJ121" s="79"/>
      <c r="AK121" s="172" t="str">
        <f t="shared" ref="AK121:AK122" si="27">IF(AE121=0,"0.0 ",ROUND((AI121/AE121)*100,1))</f>
        <v xml:space="preserve">0.0 </v>
      </c>
      <c r="AL121" s="158"/>
      <c r="AM121" s="230"/>
      <c r="AN121" s="78"/>
      <c r="AO121" s="79">
        <f t="shared" ref="AO121:AO122" si="28">AE121+AM121</f>
        <v>0</v>
      </c>
      <c r="AP121" s="79"/>
      <c r="AQ121" s="157" t="str">
        <f t="shared" ref="AQ121:AQ122" si="29">IF(AO121=0,"0.0 ",ROUND((AI121/AO121)*100,1))</f>
        <v xml:space="preserve">0.0 </v>
      </c>
      <c r="AR121" s="202"/>
      <c r="AS121" s="189"/>
      <c r="AT121" s="189"/>
      <c r="AU121" s="363"/>
    </row>
    <row r="122" spans="1:47" x14ac:dyDescent="0.25">
      <c r="A122" s="202"/>
      <c r="C122" s="154"/>
      <c r="F122" s="200"/>
      <c r="H122" s="200"/>
      <c r="I122" s="200"/>
      <c r="J122" s="213"/>
      <c r="K122" s="213"/>
      <c r="L122" s="200"/>
      <c r="M122" s="200"/>
      <c r="N122" s="210"/>
      <c r="O122" s="210"/>
      <c r="P122" s="200"/>
      <c r="Q122" s="200"/>
      <c r="R122" s="200"/>
      <c r="T122" s="159">
        <f t="shared" si="20"/>
        <v>25</v>
      </c>
      <c r="U122" s="80"/>
      <c r="V122" s="153" t="str">
        <f t="shared" si="24"/>
        <v>DISTRIBUTION CAPITAL INVESTMENT RIDER (DCI)</v>
      </c>
      <c r="W122" s="80"/>
      <c r="X122" s="80"/>
      <c r="Y122" s="163"/>
      <c r="Z122" s="70"/>
      <c r="AA122" s="163"/>
      <c r="AB122" s="79"/>
      <c r="AC122" s="308">
        <f>CUR_DCI_GSFL</f>
        <v>0</v>
      </c>
      <c r="AD122" s="293"/>
      <c r="AE122" s="163">
        <f>ROUND($AA$117*AC122,0)</f>
        <v>0</v>
      </c>
      <c r="AF122" s="79"/>
      <c r="AG122" s="197">
        <f t="shared" si="25"/>
        <v>0</v>
      </c>
      <c r="AH122" s="156"/>
      <c r="AI122" s="79">
        <f t="shared" si="26"/>
        <v>0</v>
      </c>
      <c r="AJ122" s="79"/>
      <c r="AK122" s="172" t="str">
        <f t="shared" si="27"/>
        <v xml:space="preserve">0.0 </v>
      </c>
      <c r="AL122" s="158"/>
      <c r="AM122" s="230"/>
      <c r="AN122" s="78"/>
      <c r="AO122" s="79">
        <f t="shared" si="28"/>
        <v>0</v>
      </c>
      <c r="AP122" s="79"/>
      <c r="AQ122" s="157" t="str">
        <f t="shared" si="29"/>
        <v xml:space="preserve">0.0 </v>
      </c>
      <c r="AR122" s="202"/>
      <c r="AS122" s="189"/>
      <c r="AT122" s="189"/>
      <c r="AU122" s="363"/>
    </row>
    <row r="123" spans="1:47" x14ac:dyDescent="0.25">
      <c r="A123" s="202"/>
      <c r="C123" s="154"/>
      <c r="F123" s="200"/>
      <c r="H123" s="200"/>
      <c r="I123" s="200"/>
      <c r="J123" s="213"/>
      <c r="K123" s="213"/>
      <c r="L123" s="200"/>
      <c r="M123" s="200"/>
      <c r="N123" s="210"/>
      <c r="O123" s="210"/>
      <c r="P123" s="200"/>
      <c r="Q123" s="200"/>
      <c r="R123" s="200"/>
      <c r="T123" s="159">
        <f t="shared" si="20"/>
        <v>26</v>
      </c>
      <c r="U123" s="80"/>
      <c r="V123" s="153" t="str">
        <f t="shared" si="24"/>
        <v>FUEL ADJUSTMENT CLAUSE (FAC)</v>
      </c>
      <c r="W123" s="80"/>
      <c r="X123" s="80"/>
      <c r="Y123" s="163"/>
      <c r="Z123" s="70"/>
      <c r="AA123" s="163"/>
      <c r="AB123" s="79"/>
      <c r="AC123" s="308">
        <f>CUR_FAC</f>
        <v>1.0280000000000001E-3</v>
      </c>
      <c r="AD123" s="293"/>
      <c r="AE123" s="163"/>
      <c r="AF123" s="79"/>
      <c r="AG123" s="197"/>
      <c r="AH123" s="156"/>
      <c r="AI123" s="79"/>
      <c r="AJ123" s="79"/>
      <c r="AK123" s="172"/>
      <c r="AL123" s="158"/>
      <c r="AM123" s="230">
        <f>ROUND(AA117*CUR_FAC,0)</f>
        <v>6368</v>
      </c>
      <c r="AN123" s="78"/>
      <c r="AO123" s="79">
        <f t="shared" si="22"/>
        <v>6368</v>
      </c>
      <c r="AP123" s="79"/>
      <c r="AQ123" s="157">
        <f>IF(AO123=0,0,ROUND(((R56-AO123)/AO123)*100,1))</f>
        <v>0</v>
      </c>
      <c r="AR123" s="202"/>
      <c r="AS123" s="189"/>
      <c r="AT123" s="189"/>
      <c r="AU123" s="363"/>
    </row>
    <row r="124" spans="1:47" x14ac:dyDescent="0.25">
      <c r="A124" s="202"/>
      <c r="C124" s="154"/>
      <c r="F124" s="200"/>
      <c r="H124" s="200"/>
      <c r="I124" s="200"/>
      <c r="J124" s="213"/>
      <c r="K124" s="213"/>
      <c r="L124" s="200"/>
      <c r="M124" s="200"/>
      <c r="N124" s="210"/>
      <c r="O124" s="210"/>
      <c r="P124" s="200"/>
      <c r="Q124" s="200"/>
      <c r="R124" s="200"/>
      <c r="T124" s="159">
        <f t="shared" si="20"/>
        <v>27</v>
      </c>
      <c r="U124" s="80"/>
      <c r="V124" s="153" t="str">
        <f t="shared" si="24"/>
        <v>FERC TRANSMISSION COST RECOVERY RECONCILIATION (FTR)</v>
      </c>
      <c r="W124" s="80"/>
      <c r="X124" s="80"/>
      <c r="Y124" s="163"/>
      <c r="Z124" s="70"/>
      <c r="AA124" s="163"/>
      <c r="AB124" s="79"/>
      <c r="AC124" s="308">
        <f>CUR_FTR_GSFL</f>
        <v>0</v>
      </c>
      <c r="AD124" s="293"/>
      <c r="AE124" s="163">
        <f>ROUND($AA$117*AC124,0)</f>
        <v>0</v>
      </c>
      <c r="AF124" s="79"/>
      <c r="AG124" s="197">
        <f>ROUND((AE124/AE$128)*100,1)</f>
        <v>0</v>
      </c>
      <c r="AH124" s="156"/>
      <c r="AI124" s="79">
        <f>L57-AE124</f>
        <v>0</v>
      </c>
      <c r="AJ124" s="79"/>
      <c r="AK124" s="172" t="str">
        <f t="shared" ref="AK124" si="30">IF(AE124=0,"0.0 ",ROUND((AI124/AE124)*100,1))</f>
        <v xml:space="preserve">0.0 </v>
      </c>
      <c r="AL124" s="158"/>
      <c r="AM124" s="230"/>
      <c r="AN124" s="78"/>
      <c r="AO124" s="79">
        <f t="shared" ref="AO124" si="31">AE124+AM124</f>
        <v>0</v>
      </c>
      <c r="AP124" s="79"/>
      <c r="AQ124" s="157" t="str">
        <f t="shared" ref="AQ124" si="32">IF(AO124=0,"0.0 ",ROUND((AI124/AO124)*100,1))</f>
        <v xml:space="preserve">0.0 </v>
      </c>
      <c r="AR124" s="202"/>
      <c r="AS124" s="189"/>
      <c r="AT124" s="189"/>
      <c r="AU124" s="363"/>
    </row>
    <row r="125" spans="1:47" x14ac:dyDescent="0.25">
      <c r="A125" s="202"/>
      <c r="C125" s="154"/>
      <c r="F125" s="200"/>
      <c r="H125" s="200"/>
      <c r="I125" s="200"/>
      <c r="J125" s="213"/>
      <c r="K125" s="213"/>
      <c r="L125" s="200"/>
      <c r="M125" s="200"/>
      <c r="N125" s="210"/>
      <c r="O125" s="210"/>
      <c r="P125" s="200"/>
      <c r="Q125" s="200"/>
      <c r="R125" s="200"/>
      <c r="T125" s="159">
        <f t="shared" si="20"/>
        <v>28</v>
      </c>
      <c r="U125" s="80"/>
      <c r="V125" s="153" t="str">
        <f t="shared" si="24"/>
        <v>PROFIT SHARING MECHANISM (PSM)</v>
      </c>
      <c r="W125" s="80"/>
      <c r="X125" s="80"/>
      <c r="Y125" s="163"/>
      <c r="Z125" s="70"/>
      <c r="AA125" s="163"/>
      <c r="AB125" s="79"/>
      <c r="AC125" s="308">
        <f>RS_PSM</f>
        <v>-4.5600000000000003E-4</v>
      </c>
      <c r="AD125" s="293"/>
      <c r="AE125" s="167">
        <f>ROUND(AA117*RS_PSM,0)</f>
        <v>-2825</v>
      </c>
      <c r="AF125" s="79"/>
      <c r="AG125" s="166">
        <f>ROUND((AE125/AE$128)*100,1)</f>
        <v>-0.5</v>
      </c>
      <c r="AH125" s="156"/>
      <c r="AI125" s="167">
        <f>L58-AE125</f>
        <v>0</v>
      </c>
      <c r="AJ125" s="79"/>
      <c r="AK125" s="168">
        <f t="shared" si="21"/>
        <v>0</v>
      </c>
      <c r="AL125" s="158"/>
      <c r="AM125" s="286"/>
      <c r="AN125" s="78"/>
      <c r="AO125" s="167">
        <f t="shared" si="22"/>
        <v>-2825</v>
      </c>
      <c r="AP125" s="79"/>
      <c r="AQ125" s="157">
        <f t="shared" si="23"/>
        <v>0</v>
      </c>
      <c r="AR125" s="202"/>
      <c r="AS125" s="189"/>
      <c r="AT125" s="189"/>
      <c r="AU125" s="363"/>
    </row>
    <row r="126" spans="1:47" x14ac:dyDescent="0.25">
      <c r="A126" s="202"/>
      <c r="C126" s="154"/>
      <c r="F126" s="200"/>
      <c r="H126" s="200"/>
      <c r="I126" s="200"/>
      <c r="J126" s="213"/>
      <c r="K126" s="213"/>
      <c r="L126" s="200"/>
      <c r="M126" s="200"/>
      <c r="N126" s="210"/>
      <c r="O126" s="210"/>
      <c r="P126" s="200"/>
      <c r="Q126" s="200"/>
      <c r="R126" s="200"/>
      <c r="T126" s="159">
        <f t="shared" si="20"/>
        <v>29</v>
      </c>
      <c r="U126" s="80"/>
      <c r="V126" s="253" t="s">
        <v>557</v>
      </c>
      <c r="W126" s="80"/>
      <c r="X126" s="80"/>
      <c r="Y126" s="167"/>
      <c r="Z126" s="70"/>
      <c r="AA126" s="167"/>
      <c r="AB126" s="79"/>
      <c r="AC126" s="290"/>
      <c r="AD126" s="293"/>
      <c r="AE126" s="169">
        <f>SUM(AE120:AE125)</f>
        <v>13133</v>
      </c>
      <c r="AF126" s="79"/>
      <c r="AG126" s="170">
        <f>ROUND((AE126/AE$128)*100,1)</f>
        <v>2.2000000000000002</v>
      </c>
      <c r="AH126" s="156"/>
      <c r="AI126" s="169">
        <f>SUM(AI120:AI125)</f>
        <v>0</v>
      </c>
      <c r="AJ126" s="79"/>
      <c r="AK126" s="171">
        <f>IF(AE126=0,"0.0 ",ROUND((AI126/AE126)*100,1))</f>
        <v>0</v>
      </c>
      <c r="AL126" s="158"/>
      <c r="AM126" s="126">
        <f>SUM(AM120:AM125)</f>
        <v>6368</v>
      </c>
      <c r="AN126" s="78"/>
      <c r="AO126" s="169">
        <f>SUM(AO120:AO125)</f>
        <v>19501</v>
      </c>
      <c r="AP126" s="79"/>
      <c r="AQ126" s="157">
        <f t="shared" si="23"/>
        <v>0</v>
      </c>
      <c r="AR126" s="202"/>
      <c r="AS126" s="189"/>
      <c r="AT126" s="189"/>
      <c r="AU126" s="363"/>
    </row>
    <row r="127" spans="1:47" x14ac:dyDescent="0.25">
      <c r="A127" s="202"/>
      <c r="C127" s="154"/>
      <c r="F127" s="200"/>
      <c r="H127" s="200"/>
      <c r="I127" s="200"/>
      <c r="J127" s="213"/>
      <c r="K127" s="213"/>
      <c r="L127" s="200"/>
      <c r="M127" s="200"/>
      <c r="N127" s="210"/>
      <c r="O127" s="210"/>
      <c r="P127" s="200"/>
      <c r="Q127" s="200"/>
      <c r="R127" s="200"/>
      <c r="T127" s="159"/>
      <c r="U127" s="80"/>
      <c r="V127" s="367"/>
      <c r="W127" s="80"/>
      <c r="X127" s="80"/>
      <c r="Y127" s="163"/>
      <c r="Z127" s="70"/>
      <c r="AA127" s="163"/>
      <c r="AB127" s="79"/>
      <c r="AC127" s="290"/>
      <c r="AD127" s="293"/>
      <c r="AE127" s="163"/>
      <c r="AF127" s="79"/>
      <c r="AG127" s="197"/>
      <c r="AH127" s="156"/>
      <c r="AI127" s="163"/>
      <c r="AJ127" s="79"/>
      <c r="AK127" s="172"/>
      <c r="AL127" s="158"/>
      <c r="AM127" s="230"/>
      <c r="AN127" s="78"/>
      <c r="AO127" s="163"/>
      <c r="AP127" s="79"/>
      <c r="AQ127" s="157"/>
      <c r="AR127" s="202"/>
      <c r="AS127" s="189"/>
      <c r="AT127" s="189"/>
      <c r="AU127" s="363"/>
    </row>
    <row r="128" spans="1:47" ht="24.75" customHeight="1" thickBot="1" x14ac:dyDescent="0.3">
      <c r="A128" s="154"/>
      <c r="F128" s="200"/>
      <c r="H128" s="200"/>
      <c r="I128" s="200"/>
      <c r="J128" s="213"/>
      <c r="K128" s="213"/>
      <c r="L128" s="200"/>
      <c r="M128" s="200"/>
      <c r="N128" s="200"/>
      <c r="O128" s="200"/>
      <c r="P128" s="200"/>
      <c r="Q128" s="200"/>
      <c r="R128" s="200"/>
      <c r="T128" s="159">
        <f>A61</f>
        <v>30</v>
      </c>
      <c r="U128" s="80"/>
      <c r="V128" s="253" t="s">
        <v>569</v>
      </c>
      <c r="X128" s="82"/>
      <c r="Y128" s="275">
        <f>F61</f>
        <v>540</v>
      </c>
      <c r="Z128" s="70"/>
      <c r="AA128" s="275">
        <f>H61</f>
        <v>6194943</v>
      </c>
      <c r="AB128" s="79"/>
      <c r="AC128" s="263"/>
      <c r="AD128" s="263"/>
      <c r="AE128" s="275">
        <f>AE117+AE126</f>
        <v>590407</v>
      </c>
      <c r="AF128" s="79"/>
      <c r="AG128" s="291">
        <v>100</v>
      </c>
      <c r="AH128" s="156"/>
      <c r="AI128" s="275">
        <f>AI117+AI126</f>
        <v>85667</v>
      </c>
      <c r="AJ128" s="79"/>
      <c r="AK128" s="364">
        <f>IF(AE128=0,"0.0 ",ROUND((AI128/AE128)*100,1))</f>
        <v>14.5</v>
      </c>
      <c r="AL128" s="158"/>
      <c r="AM128" s="275">
        <f>AM117+AM126</f>
        <v>6368</v>
      </c>
      <c r="AN128" s="79"/>
      <c r="AO128" s="275">
        <f>AO117+AO126</f>
        <v>596775</v>
      </c>
      <c r="AP128" s="79"/>
      <c r="AQ128" s="157">
        <f>IF(AO128=0,"0.0 ",ROUND((AI128/AO128)*100,1))</f>
        <v>14.4</v>
      </c>
      <c r="AR128" s="200"/>
      <c r="AS128" s="189"/>
      <c r="AT128" s="189"/>
      <c r="AU128" s="363"/>
    </row>
    <row r="129" spans="1:47" ht="16.5" thickTop="1" x14ac:dyDescent="0.25">
      <c r="L129" s="200"/>
      <c r="M129" s="200"/>
      <c r="N129" s="200"/>
      <c r="O129" s="200"/>
      <c r="P129" s="200"/>
      <c r="Q129" s="200"/>
      <c r="R129" s="200"/>
      <c r="T129" s="80"/>
      <c r="U129" s="80"/>
      <c r="V129" s="80"/>
      <c r="W129" s="80"/>
      <c r="X129" s="80"/>
      <c r="Y129" s="70"/>
      <c r="Z129" s="70"/>
      <c r="AA129" s="70"/>
      <c r="AB129" s="70"/>
      <c r="AC129" s="70"/>
      <c r="AD129" s="70"/>
      <c r="AE129" s="70"/>
      <c r="AF129" s="70"/>
      <c r="AG129" s="164"/>
      <c r="AH129" s="70"/>
      <c r="AI129" s="70"/>
      <c r="AJ129" s="70"/>
      <c r="AK129" s="164"/>
      <c r="AL129" s="70"/>
      <c r="AM129" s="70"/>
      <c r="AN129" s="70"/>
      <c r="AO129" s="70"/>
      <c r="AP129" s="70"/>
      <c r="AQ129" s="164"/>
      <c r="AR129" s="200"/>
      <c r="AS129" s="189"/>
      <c r="AT129" s="189"/>
      <c r="AU129" s="363"/>
    </row>
    <row r="130" spans="1:47" x14ac:dyDescent="0.2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T130" s="80"/>
      <c r="U130" s="80"/>
      <c r="V130" s="173" t="s">
        <v>61</v>
      </c>
      <c r="W130" s="80"/>
      <c r="X130" s="80"/>
      <c r="Y130" s="189"/>
      <c r="Z130" s="80"/>
      <c r="AA130" s="189"/>
      <c r="AB130" s="189"/>
      <c r="AC130" s="310"/>
      <c r="AD130" s="310"/>
      <c r="AE130" s="189"/>
      <c r="AF130" s="189"/>
      <c r="AG130" s="296"/>
      <c r="AH130" s="189"/>
      <c r="AI130" s="80"/>
      <c r="AJ130" s="80"/>
      <c r="AK130" s="188"/>
      <c r="AL130" s="80"/>
      <c r="AM130" s="80"/>
      <c r="AN130" s="80"/>
      <c r="AO130" s="80"/>
      <c r="AP130" s="80"/>
      <c r="AQ130" s="188"/>
    </row>
    <row r="131" spans="1:47" x14ac:dyDescent="0.2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T131" s="80"/>
      <c r="U131" s="80"/>
      <c r="V131" s="173" t="str">
        <f>"(2) REFLECTS FUEL COMPONENT OF "&amp;TEXT(CUR_FAC,"$0.000000;($0.000000)")&amp;"  PER KWH."</f>
        <v>(2) REFLECTS FUEL COMPONENT OF $0.001028  PER KWH.</v>
      </c>
      <c r="W131" s="80"/>
      <c r="X131" s="80"/>
      <c r="Y131" s="189"/>
      <c r="Z131" s="80"/>
      <c r="AA131" s="189"/>
      <c r="AB131" s="189"/>
      <c r="AC131" s="310"/>
      <c r="AD131" s="310"/>
      <c r="AE131" s="189"/>
      <c r="AF131" s="189"/>
      <c r="AG131" s="296"/>
      <c r="AH131" s="189"/>
      <c r="AI131" s="80"/>
      <c r="AJ131" s="80"/>
      <c r="AK131" s="188"/>
      <c r="AL131" s="80"/>
      <c r="AM131" s="80"/>
      <c r="AN131" s="80"/>
      <c r="AO131" s="80"/>
      <c r="AP131" s="80"/>
      <c r="AQ131" s="188"/>
    </row>
    <row r="132" spans="1:47" x14ac:dyDescent="0.2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T132" s="80"/>
      <c r="U132" s="80"/>
      <c r="V132" s="173" t="str">
        <f>"(3) REFLECTS FUEL COST RECOVERY INCLUDED IN BASE RATES OF "&amp;TEXT(CUR_BASE_FUEL,"$0.000000;($0.000000)")&amp;"  PER KWH."</f>
        <v>(3) REFLECTS FUEL COST RECOVERY INCLUDED IN BASE RATES OF $0.023837  PER KWH.</v>
      </c>
      <c r="W132" s="80"/>
      <c r="X132" s="80"/>
      <c r="Y132" s="189"/>
      <c r="Z132" s="80"/>
      <c r="AA132" s="189"/>
      <c r="AB132" s="189"/>
      <c r="AC132" s="310"/>
      <c r="AD132" s="310"/>
      <c r="AE132" s="189"/>
      <c r="AF132" s="189"/>
      <c r="AG132" s="296"/>
      <c r="AH132" s="189"/>
      <c r="AI132" s="80"/>
      <c r="AJ132" s="80"/>
      <c r="AK132" s="188"/>
      <c r="AL132" s="80"/>
      <c r="AM132" s="80"/>
      <c r="AN132" s="80"/>
      <c r="AO132" s="80"/>
      <c r="AP132" s="80"/>
      <c r="AQ132" s="188"/>
    </row>
    <row r="133" spans="1:47" x14ac:dyDescent="0.25"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T133" s="80"/>
      <c r="U133" s="80"/>
      <c r="V133" s="175" t="s">
        <v>500</v>
      </c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188"/>
      <c r="AH133" s="80"/>
      <c r="AI133" s="80"/>
      <c r="AJ133" s="80"/>
      <c r="AK133" s="188"/>
      <c r="AL133" s="80"/>
      <c r="AM133" s="80"/>
      <c r="AN133" s="80"/>
      <c r="AO133" s="80"/>
      <c r="AP133" s="80"/>
      <c r="AQ133" s="188"/>
    </row>
    <row r="134" spans="1:47" x14ac:dyDescent="0.25">
      <c r="A134" s="202"/>
      <c r="C134" s="154"/>
      <c r="D134" s="154"/>
      <c r="E134" s="154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208"/>
      <c r="AH134" s="102"/>
      <c r="AI134" s="102"/>
      <c r="AJ134" s="102"/>
      <c r="AK134" s="208"/>
      <c r="AL134" s="102"/>
      <c r="AM134" s="102"/>
      <c r="AN134" s="102"/>
    </row>
    <row r="135" spans="1:47" x14ac:dyDescent="0.25">
      <c r="A135" s="202"/>
      <c r="C135" s="154"/>
      <c r="AA135" s="103"/>
      <c r="AB135" s="103"/>
      <c r="AC135" s="103"/>
      <c r="AD135" s="103"/>
      <c r="AE135" s="103"/>
      <c r="AF135" s="103"/>
      <c r="AG135" s="185"/>
      <c r="AH135" s="103"/>
      <c r="AK135" s="185"/>
      <c r="AL135" s="103"/>
      <c r="AM135" s="103"/>
      <c r="AN135" s="103"/>
    </row>
    <row r="136" spans="1:47" x14ac:dyDescent="0.25">
      <c r="Z136" s="103"/>
      <c r="AA136" s="103"/>
      <c r="AB136" s="103"/>
      <c r="AC136" s="103"/>
      <c r="AD136" s="103"/>
      <c r="AE136" s="103"/>
      <c r="AF136" s="103"/>
      <c r="AG136" s="185"/>
      <c r="AH136" s="103"/>
      <c r="AK136" s="185"/>
      <c r="AL136" s="103"/>
      <c r="AM136" s="103"/>
      <c r="AN136" s="103"/>
    </row>
    <row r="137" spans="1:47" x14ac:dyDescent="0.25">
      <c r="A137" s="202"/>
      <c r="C137" s="154"/>
      <c r="T137" s="103"/>
      <c r="U137" s="103"/>
      <c r="V137" s="103"/>
      <c r="Z137" s="103"/>
      <c r="AA137" s="103"/>
      <c r="AB137" s="103"/>
      <c r="AC137" s="103"/>
      <c r="AD137" s="103"/>
      <c r="AE137" s="103"/>
      <c r="AF137" s="103"/>
      <c r="AG137" s="185"/>
      <c r="AH137" s="103"/>
      <c r="AI137" s="103"/>
      <c r="AJ137" s="103"/>
      <c r="AK137" s="185"/>
      <c r="AL137" s="103"/>
      <c r="AM137" s="103"/>
      <c r="AN137" s="103"/>
    </row>
    <row r="138" spans="1:47" x14ac:dyDescent="0.25">
      <c r="A138" s="202"/>
      <c r="C138" s="154"/>
      <c r="F138" s="252"/>
      <c r="H138" s="252"/>
      <c r="I138" s="252"/>
      <c r="J138" s="300"/>
      <c r="K138" s="300"/>
      <c r="L138" s="200"/>
      <c r="M138" s="200"/>
      <c r="N138" s="210"/>
      <c r="O138" s="210"/>
      <c r="P138" s="202"/>
      <c r="Q138" s="202"/>
      <c r="R138" s="200"/>
      <c r="T138" s="103"/>
      <c r="U138" s="103"/>
      <c r="V138" s="103"/>
      <c r="Y138" s="103"/>
      <c r="Z138" s="103"/>
      <c r="AA138" s="103"/>
      <c r="AB138" s="103"/>
      <c r="AC138" s="103"/>
      <c r="AD138" s="103"/>
      <c r="AE138" s="103"/>
      <c r="AF138" s="103"/>
      <c r="AG138" s="185"/>
      <c r="AH138" s="103"/>
      <c r="AI138" s="103"/>
      <c r="AJ138" s="103"/>
      <c r="AK138" s="185"/>
      <c r="AL138" s="103"/>
      <c r="AM138" s="103"/>
      <c r="AN138" s="103"/>
    </row>
    <row r="139" spans="1:47" x14ac:dyDescent="0.25">
      <c r="A139" s="202"/>
      <c r="C139" s="154"/>
      <c r="F139" s="252"/>
      <c r="H139" s="252"/>
      <c r="I139" s="252"/>
      <c r="J139" s="300"/>
      <c r="K139" s="300"/>
      <c r="L139" s="200"/>
      <c r="M139" s="200"/>
      <c r="N139" s="210"/>
      <c r="O139" s="210"/>
      <c r="P139" s="202"/>
      <c r="Q139" s="202"/>
      <c r="R139" s="200"/>
      <c r="T139" s="103"/>
      <c r="U139" s="103"/>
      <c r="V139" s="103"/>
      <c r="Y139" s="103"/>
      <c r="Z139" s="103"/>
      <c r="AA139" s="103"/>
      <c r="AB139" s="103"/>
      <c r="AC139" s="103"/>
      <c r="AD139" s="103"/>
      <c r="AE139" s="103"/>
      <c r="AF139" s="103"/>
      <c r="AG139" s="185"/>
      <c r="AH139" s="103"/>
      <c r="AI139" s="103"/>
      <c r="AJ139" s="103"/>
      <c r="AK139" s="185"/>
      <c r="AL139" s="103"/>
      <c r="AM139" s="103"/>
      <c r="AN139" s="103"/>
    </row>
    <row r="140" spans="1:47" x14ac:dyDescent="0.25">
      <c r="A140" s="202"/>
      <c r="C140" s="154"/>
      <c r="F140" s="252"/>
      <c r="H140" s="252"/>
      <c r="I140" s="252"/>
      <c r="J140" s="300"/>
      <c r="K140" s="300"/>
      <c r="L140" s="200"/>
      <c r="M140" s="200"/>
      <c r="N140" s="210"/>
      <c r="O140" s="210"/>
      <c r="P140" s="202"/>
      <c r="Q140" s="202"/>
      <c r="R140" s="200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208"/>
      <c r="AH140" s="102"/>
      <c r="AI140" s="102"/>
      <c r="AJ140" s="102"/>
      <c r="AK140" s="208"/>
      <c r="AL140" s="102"/>
      <c r="AM140" s="102"/>
      <c r="AN140" s="102"/>
    </row>
    <row r="141" spans="1:47" x14ac:dyDescent="0.25">
      <c r="F141" s="211"/>
      <c r="H141" s="200"/>
      <c r="I141" s="200"/>
      <c r="J141" s="305"/>
      <c r="K141" s="305"/>
      <c r="L141" s="211"/>
      <c r="M141" s="211"/>
      <c r="N141" s="211"/>
      <c r="O141" s="211"/>
      <c r="P141" s="211"/>
      <c r="Q141" s="211"/>
      <c r="R141" s="211"/>
      <c r="Y141" s="103"/>
      <c r="Z141" s="103"/>
      <c r="AA141" s="103"/>
      <c r="AB141" s="103"/>
      <c r="AC141" s="103"/>
      <c r="AD141" s="103"/>
      <c r="AE141" s="103"/>
      <c r="AF141" s="103"/>
      <c r="AG141" s="185"/>
      <c r="AH141" s="103"/>
      <c r="AI141" s="103"/>
      <c r="AJ141" s="103"/>
      <c r="AK141" s="185"/>
      <c r="AL141" s="103"/>
      <c r="AM141" s="103"/>
      <c r="AN141" s="103"/>
    </row>
    <row r="142" spans="1:47" x14ac:dyDescent="0.25">
      <c r="A142" s="202"/>
      <c r="C142" s="154"/>
      <c r="F142" s="200"/>
      <c r="H142" s="200"/>
      <c r="I142" s="200"/>
      <c r="J142" s="305"/>
      <c r="K142" s="305"/>
      <c r="L142" s="200"/>
      <c r="M142" s="200"/>
      <c r="N142" s="210"/>
      <c r="O142" s="210"/>
      <c r="P142" s="200"/>
      <c r="Q142" s="200"/>
      <c r="R142" s="200"/>
      <c r="T142" s="154"/>
      <c r="U142" s="154"/>
    </row>
    <row r="143" spans="1:47" x14ac:dyDescent="0.25">
      <c r="F143" s="211"/>
      <c r="H143" s="200"/>
      <c r="I143" s="200"/>
      <c r="J143" s="305"/>
      <c r="K143" s="305"/>
      <c r="L143" s="211"/>
      <c r="M143" s="211"/>
      <c r="N143" s="211"/>
      <c r="O143" s="211"/>
      <c r="P143" s="211"/>
      <c r="Q143" s="211"/>
      <c r="R143" s="211"/>
      <c r="T143" s="154"/>
    </row>
    <row r="144" spans="1:47" x14ac:dyDescent="0.25">
      <c r="A144" s="202"/>
      <c r="C144" s="154"/>
      <c r="F144" s="252"/>
      <c r="H144" s="252"/>
      <c r="I144" s="252"/>
      <c r="J144" s="328"/>
      <c r="K144" s="328"/>
      <c r="L144" s="200"/>
      <c r="M144" s="200"/>
      <c r="N144" s="210"/>
      <c r="O144" s="210"/>
      <c r="P144" s="200"/>
      <c r="Q144" s="200"/>
      <c r="R144" s="200"/>
      <c r="S144" s="200"/>
    </row>
    <row r="145" spans="1:40" x14ac:dyDescent="0.25">
      <c r="A145" s="202"/>
      <c r="C145" s="154"/>
      <c r="F145" s="252"/>
      <c r="H145" s="252"/>
      <c r="I145" s="252"/>
      <c r="J145" s="300"/>
      <c r="K145" s="300"/>
      <c r="L145" s="200"/>
      <c r="M145" s="200"/>
      <c r="N145" s="210"/>
      <c r="O145" s="210"/>
      <c r="P145" s="200"/>
      <c r="Q145" s="200"/>
      <c r="R145" s="200"/>
      <c r="T145" s="154"/>
    </row>
    <row r="146" spans="1:40" x14ac:dyDescent="0.25">
      <c r="A146" s="202"/>
      <c r="C146" s="154"/>
      <c r="F146" s="252"/>
      <c r="H146" s="252"/>
      <c r="I146" s="252"/>
      <c r="J146" s="300"/>
      <c r="K146" s="300"/>
      <c r="L146" s="200"/>
      <c r="M146" s="200"/>
      <c r="N146" s="210"/>
      <c r="O146" s="210"/>
      <c r="P146" s="200"/>
      <c r="Q146" s="200"/>
      <c r="R146" s="200"/>
      <c r="T146" s="154"/>
      <c r="V146" s="200"/>
      <c r="Y146" s="252"/>
      <c r="Z146" s="300"/>
      <c r="AA146" s="200"/>
      <c r="AB146" s="200"/>
      <c r="AC146" s="210"/>
      <c r="AD146" s="210"/>
      <c r="AE146" s="200"/>
      <c r="AF146" s="200"/>
      <c r="AG146" s="325"/>
      <c r="AH146" s="326"/>
      <c r="AI146" s="202"/>
      <c r="AJ146" s="202"/>
      <c r="AK146" s="209"/>
      <c r="AL146" s="200"/>
      <c r="AM146" s="327"/>
      <c r="AN146" s="327"/>
    </row>
    <row r="147" spans="1:40" x14ac:dyDescent="0.25">
      <c r="F147" s="200"/>
      <c r="H147" s="211"/>
      <c r="I147" s="211"/>
      <c r="J147" s="305"/>
      <c r="K147" s="305"/>
      <c r="L147" s="211"/>
      <c r="M147" s="211"/>
      <c r="N147" s="211"/>
      <c r="O147" s="211"/>
      <c r="P147" s="211"/>
      <c r="Q147" s="211"/>
      <c r="R147" s="211"/>
      <c r="T147" s="154"/>
      <c r="V147" s="200"/>
      <c r="Y147" s="252"/>
      <c r="Z147" s="300"/>
      <c r="AA147" s="200"/>
      <c r="AB147" s="200"/>
      <c r="AC147" s="210"/>
      <c r="AD147" s="210"/>
      <c r="AE147" s="200"/>
      <c r="AF147" s="200"/>
      <c r="AG147" s="209"/>
      <c r="AH147" s="201"/>
      <c r="AI147" s="202"/>
      <c r="AJ147" s="202"/>
      <c r="AK147" s="209"/>
      <c r="AL147" s="200"/>
      <c r="AM147" s="210"/>
      <c r="AN147" s="210"/>
    </row>
    <row r="148" spans="1:40" x14ac:dyDescent="0.25">
      <c r="A148" s="202"/>
      <c r="C148" s="154"/>
      <c r="F148" s="200"/>
      <c r="H148" s="200"/>
      <c r="I148" s="200"/>
      <c r="J148" s="305"/>
      <c r="K148" s="305"/>
      <c r="L148" s="200"/>
      <c r="M148" s="200"/>
      <c r="N148" s="210"/>
      <c r="O148" s="210"/>
      <c r="P148" s="200"/>
      <c r="Q148" s="200"/>
      <c r="R148" s="200"/>
      <c r="T148" s="154"/>
      <c r="V148" s="200"/>
      <c r="Y148" s="252"/>
      <c r="Z148" s="300"/>
      <c r="AA148" s="200"/>
      <c r="AB148" s="200"/>
      <c r="AC148" s="210"/>
      <c r="AD148" s="210"/>
      <c r="AE148" s="200"/>
      <c r="AF148" s="200"/>
      <c r="AG148" s="209"/>
      <c r="AH148" s="201"/>
      <c r="AI148" s="202"/>
      <c r="AJ148" s="202"/>
      <c r="AK148" s="209"/>
      <c r="AL148" s="200"/>
      <c r="AM148" s="210"/>
      <c r="AN148" s="210"/>
    </row>
    <row r="149" spans="1:40" x14ac:dyDescent="0.25">
      <c r="F149" s="200"/>
      <c r="H149" s="211"/>
      <c r="I149" s="211"/>
      <c r="J149" s="305"/>
      <c r="K149" s="305"/>
      <c r="L149" s="211"/>
      <c r="M149" s="211"/>
      <c r="N149" s="211"/>
      <c r="O149" s="211"/>
      <c r="P149" s="211"/>
      <c r="Q149" s="211"/>
      <c r="R149" s="211"/>
      <c r="V149" s="211"/>
      <c r="Y149" s="200"/>
      <c r="Z149" s="305"/>
      <c r="AA149" s="211"/>
      <c r="AB149" s="211"/>
      <c r="AC149" s="211"/>
      <c r="AD149" s="211"/>
      <c r="AE149" s="211"/>
      <c r="AF149" s="211"/>
      <c r="AI149" s="211"/>
      <c r="AJ149" s="211"/>
      <c r="AK149" s="212"/>
      <c r="AL149" s="211"/>
      <c r="AM149" s="210"/>
      <c r="AN149" s="210"/>
    </row>
    <row r="150" spans="1:40" x14ac:dyDescent="0.25">
      <c r="A150" s="202"/>
      <c r="C150" s="154"/>
      <c r="F150" s="200"/>
      <c r="H150" s="200"/>
      <c r="I150" s="200"/>
      <c r="J150" s="305"/>
      <c r="K150" s="305"/>
      <c r="L150" s="200"/>
      <c r="M150" s="200"/>
      <c r="N150" s="200"/>
      <c r="O150" s="200"/>
      <c r="P150" s="200"/>
      <c r="Q150" s="200"/>
      <c r="R150" s="200"/>
      <c r="T150" s="154"/>
      <c r="V150" s="200"/>
      <c r="Y150" s="200"/>
      <c r="Z150" s="213"/>
      <c r="AA150" s="200"/>
      <c r="AB150" s="200"/>
      <c r="AC150" s="210"/>
      <c r="AD150" s="210"/>
      <c r="AE150" s="200"/>
      <c r="AF150" s="200"/>
      <c r="AG150" s="209"/>
      <c r="AH150" s="201"/>
      <c r="AI150" s="200"/>
      <c r="AJ150" s="200"/>
      <c r="AK150" s="209"/>
      <c r="AL150" s="200"/>
      <c r="AM150" s="210"/>
      <c r="AN150" s="210"/>
    </row>
    <row r="151" spans="1:40" x14ac:dyDescent="0.25">
      <c r="A151" s="202"/>
      <c r="C151" s="154"/>
      <c r="F151" s="200"/>
      <c r="H151" s="252"/>
      <c r="I151" s="252"/>
      <c r="J151" s="329"/>
      <c r="K151" s="329"/>
      <c r="L151" s="200"/>
      <c r="M151" s="200"/>
      <c r="N151" s="210"/>
      <c r="O151" s="210"/>
      <c r="P151" s="200"/>
      <c r="Q151" s="200"/>
      <c r="R151" s="200"/>
      <c r="V151" s="211"/>
      <c r="Y151" s="200"/>
      <c r="Z151" s="305"/>
      <c r="AA151" s="211"/>
      <c r="AB151" s="211"/>
      <c r="AC151" s="211"/>
      <c r="AD151" s="211"/>
      <c r="AE151" s="211"/>
      <c r="AF151" s="211"/>
      <c r="AI151" s="211"/>
      <c r="AJ151" s="211"/>
      <c r="AK151" s="212"/>
      <c r="AL151" s="211"/>
      <c r="AM151" s="210"/>
      <c r="AN151" s="210"/>
    </row>
    <row r="152" spans="1:40" x14ac:dyDescent="0.25">
      <c r="A152" s="202"/>
      <c r="C152" s="154"/>
      <c r="H152" s="252"/>
      <c r="I152" s="252"/>
      <c r="J152" s="329"/>
      <c r="K152" s="329"/>
      <c r="L152" s="200"/>
      <c r="M152" s="200"/>
      <c r="N152" s="210"/>
      <c r="O152" s="210"/>
      <c r="P152" s="200"/>
      <c r="Q152" s="200"/>
      <c r="R152" s="200"/>
      <c r="T152" s="154"/>
      <c r="V152" s="252"/>
      <c r="Y152" s="252"/>
      <c r="Z152" s="328"/>
      <c r="AA152" s="200"/>
      <c r="AB152" s="200"/>
      <c r="AC152" s="210"/>
      <c r="AD152" s="210"/>
      <c r="AE152" s="200"/>
      <c r="AF152" s="200"/>
      <c r="AG152" s="209"/>
      <c r="AH152" s="210"/>
      <c r="AI152" s="200"/>
      <c r="AJ152" s="200"/>
      <c r="AK152" s="209"/>
      <c r="AL152" s="200"/>
      <c r="AM152" s="210"/>
      <c r="AN152" s="210"/>
    </row>
    <row r="153" spans="1:40" x14ac:dyDescent="0.25">
      <c r="F153" s="200"/>
      <c r="H153" s="200"/>
      <c r="I153" s="200"/>
      <c r="J153" s="305"/>
      <c r="K153" s="305"/>
      <c r="L153" s="211"/>
      <c r="M153" s="211"/>
      <c r="N153" s="211"/>
      <c r="O153" s="211"/>
      <c r="P153" s="211"/>
      <c r="Q153" s="211"/>
      <c r="R153" s="211"/>
      <c r="T153" s="154"/>
      <c r="V153" s="252"/>
      <c r="Y153" s="200"/>
      <c r="Z153" s="300"/>
      <c r="AA153" s="200"/>
      <c r="AB153" s="200"/>
      <c r="AC153" s="210"/>
      <c r="AD153" s="210"/>
      <c r="AE153" s="200"/>
      <c r="AF153" s="200"/>
      <c r="AG153" s="209"/>
      <c r="AH153" s="201"/>
      <c r="AI153" s="200"/>
      <c r="AJ153" s="200"/>
      <c r="AK153" s="209"/>
      <c r="AL153" s="200"/>
      <c r="AM153" s="210"/>
      <c r="AN153" s="210"/>
    </row>
    <row r="154" spans="1:40" x14ac:dyDescent="0.25">
      <c r="A154" s="202"/>
      <c r="C154" s="154"/>
      <c r="F154" s="200"/>
      <c r="H154" s="200"/>
      <c r="I154" s="200"/>
      <c r="J154" s="213"/>
      <c r="K154" s="213"/>
      <c r="L154" s="200"/>
      <c r="M154" s="200"/>
      <c r="N154" s="210"/>
      <c r="O154" s="210"/>
      <c r="P154" s="200"/>
      <c r="Q154" s="200"/>
      <c r="R154" s="200"/>
      <c r="T154" s="154"/>
      <c r="V154" s="252"/>
      <c r="Y154" s="200"/>
      <c r="Z154" s="300"/>
      <c r="AA154" s="200"/>
      <c r="AB154" s="200"/>
      <c r="AC154" s="210"/>
      <c r="AD154" s="210"/>
      <c r="AE154" s="200"/>
      <c r="AF154" s="200"/>
      <c r="AG154" s="209"/>
      <c r="AH154" s="201"/>
      <c r="AI154" s="200"/>
      <c r="AJ154" s="200"/>
      <c r="AK154" s="209"/>
      <c r="AL154" s="200"/>
      <c r="AM154" s="210"/>
      <c r="AN154" s="210"/>
    </row>
    <row r="155" spans="1:40" x14ac:dyDescent="0.25">
      <c r="F155" s="200"/>
      <c r="H155" s="200"/>
      <c r="I155" s="200"/>
      <c r="J155" s="305"/>
      <c r="K155" s="305"/>
      <c r="L155" s="211"/>
      <c r="M155" s="211"/>
      <c r="N155" s="211"/>
      <c r="O155" s="211"/>
      <c r="P155" s="211"/>
      <c r="Q155" s="211"/>
      <c r="R155" s="211"/>
      <c r="V155" s="200"/>
      <c r="Y155" s="211"/>
      <c r="Z155" s="305"/>
      <c r="AA155" s="211"/>
      <c r="AB155" s="211"/>
      <c r="AC155" s="211"/>
      <c r="AD155" s="211"/>
      <c r="AE155" s="211"/>
      <c r="AF155" s="211"/>
      <c r="AI155" s="211"/>
      <c r="AJ155" s="211"/>
      <c r="AK155" s="212"/>
      <c r="AL155" s="211"/>
      <c r="AM155" s="210"/>
      <c r="AN155" s="210"/>
    </row>
    <row r="156" spans="1:40" x14ac:dyDescent="0.25">
      <c r="A156" s="202"/>
      <c r="C156" s="154"/>
      <c r="F156" s="200"/>
      <c r="H156" s="200"/>
      <c r="I156" s="200"/>
      <c r="J156" s="213"/>
      <c r="K156" s="213"/>
      <c r="L156" s="200"/>
      <c r="M156" s="200"/>
      <c r="N156" s="210"/>
      <c r="O156" s="210"/>
      <c r="P156" s="200"/>
      <c r="Q156" s="200"/>
      <c r="R156" s="200"/>
      <c r="T156" s="154"/>
      <c r="V156" s="200"/>
      <c r="Y156" s="200"/>
      <c r="Z156" s="305"/>
      <c r="AA156" s="200"/>
      <c r="AB156" s="200"/>
      <c r="AC156" s="210"/>
      <c r="AD156" s="210"/>
      <c r="AE156" s="200"/>
      <c r="AF156" s="200"/>
      <c r="AG156" s="209"/>
      <c r="AH156" s="201"/>
      <c r="AI156" s="200"/>
      <c r="AJ156" s="200"/>
      <c r="AK156" s="209"/>
      <c r="AL156" s="200"/>
      <c r="AM156" s="210"/>
      <c r="AN156" s="210"/>
    </row>
    <row r="157" spans="1:40" x14ac:dyDescent="0.25">
      <c r="A157" s="202"/>
      <c r="C157" s="154"/>
      <c r="F157" s="200"/>
      <c r="H157" s="252"/>
      <c r="I157" s="252"/>
      <c r="J157" s="320"/>
      <c r="K157" s="320"/>
      <c r="L157" s="200"/>
      <c r="M157" s="200"/>
      <c r="N157" s="210"/>
      <c r="O157" s="210"/>
      <c r="P157" s="200"/>
      <c r="Q157" s="200"/>
      <c r="R157" s="200"/>
      <c r="V157" s="200"/>
      <c r="Y157" s="211"/>
      <c r="Z157" s="305"/>
      <c r="AA157" s="211"/>
      <c r="AB157" s="211"/>
      <c r="AC157" s="211"/>
      <c r="AD157" s="211"/>
      <c r="AE157" s="211"/>
      <c r="AF157" s="211"/>
      <c r="AI157" s="211"/>
      <c r="AJ157" s="211"/>
      <c r="AK157" s="212"/>
      <c r="AL157" s="211"/>
      <c r="AM157" s="210"/>
      <c r="AN157" s="210"/>
    </row>
    <row r="158" spans="1:40" x14ac:dyDescent="0.25">
      <c r="F158" s="211"/>
      <c r="H158" s="211"/>
      <c r="I158" s="211"/>
      <c r="J158" s="305"/>
      <c r="K158" s="305"/>
      <c r="L158" s="211"/>
      <c r="M158" s="211"/>
      <c r="N158" s="211"/>
      <c r="O158" s="211"/>
      <c r="P158" s="211"/>
      <c r="Q158" s="211"/>
      <c r="R158" s="211"/>
      <c r="T158" s="154"/>
      <c r="V158" s="200"/>
      <c r="Y158" s="200"/>
      <c r="Z158" s="305"/>
      <c r="AA158" s="200"/>
      <c r="AB158" s="200"/>
      <c r="AC158" s="200"/>
      <c r="AD158" s="200"/>
      <c r="AE158" s="200"/>
      <c r="AF158" s="200"/>
      <c r="AG158" s="209"/>
      <c r="AH158" s="201"/>
      <c r="AI158" s="200"/>
      <c r="AJ158" s="200"/>
      <c r="AK158" s="209"/>
      <c r="AL158" s="200"/>
      <c r="AM158" s="210"/>
      <c r="AN158" s="210"/>
    </row>
    <row r="159" spans="1:40" x14ac:dyDescent="0.25">
      <c r="A159" s="202"/>
      <c r="C159" s="154"/>
      <c r="F159" s="200"/>
      <c r="H159" s="200"/>
      <c r="I159" s="200"/>
      <c r="J159" s="305"/>
      <c r="K159" s="305"/>
      <c r="L159" s="200"/>
      <c r="M159" s="200"/>
      <c r="N159" s="210"/>
      <c r="O159" s="210"/>
      <c r="P159" s="200"/>
      <c r="Q159" s="200"/>
      <c r="R159" s="200"/>
      <c r="S159" s="200"/>
      <c r="T159" s="154"/>
      <c r="V159" s="200"/>
      <c r="Y159" s="200"/>
      <c r="Z159" s="329"/>
      <c r="AA159" s="200"/>
      <c r="AB159" s="200"/>
      <c r="AC159" s="210"/>
      <c r="AD159" s="210"/>
      <c r="AE159" s="200"/>
      <c r="AF159" s="200"/>
      <c r="AG159" s="209"/>
      <c r="AH159" s="201"/>
      <c r="AI159" s="200"/>
      <c r="AJ159" s="200"/>
      <c r="AK159" s="209"/>
      <c r="AL159" s="200"/>
      <c r="AM159" s="210"/>
      <c r="AN159" s="210"/>
    </row>
    <row r="160" spans="1:40" x14ac:dyDescent="0.25">
      <c r="F160" s="211"/>
      <c r="H160" s="211"/>
      <c r="I160" s="211"/>
      <c r="J160" s="305"/>
      <c r="K160" s="305"/>
      <c r="L160" s="211"/>
      <c r="M160" s="211"/>
      <c r="N160" s="211"/>
      <c r="O160" s="211"/>
      <c r="P160" s="211"/>
      <c r="Q160" s="211"/>
      <c r="R160" s="211"/>
      <c r="S160" s="200"/>
      <c r="T160" s="154"/>
      <c r="Y160" s="200"/>
      <c r="Z160" s="329"/>
      <c r="AA160" s="200"/>
      <c r="AB160" s="200"/>
      <c r="AC160" s="210"/>
      <c r="AD160" s="210"/>
      <c r="AE160" s="200"/>
      <c r="AF160" s="200"/>
      <c r="AG160" s="209"/>
      <c r="AH160" s="201"/>
      <c r="AI160" s="200"/>
      <c r="AJ160" s="200"/>
      <c r="AK160" s="209"/>
      <c r="AL160" s="200"/>
      <c r="AM160" s="210"/>
      <c r="AN160" s="210"/>
    </row>
    <row r="161" spans="1:40" x14ac:dyDescent="0.25">
      <c r="A161" s="202"/>
      <c r="C161" s="154"/>
      <c r="F161" s="252"/>
      <c r="H161" s="330"/>
      <c r="I161" s="330"/>
      <c r="J161" s="305"/>
      <c r="K161" s="305"/>
      <c r="L161" s="200"/>
      <c r="M161" s="200"/>
      <c r="N161" s="210"/>
      <c r="O161" s="210"/>
      <c r="P161" s="200"/>
      <c r="Q161" s="200"/>
      <c r="R161" s="200"/>
      <c r="S161" s="200"/>
      <c r="V161" s="200"/>
      <c r="Y161" s="200"/>
      <c r="Z161" s="305"/>
      <c r="AA161" s="211"/>
      <c r="AB161" s="211"/>
      <c r="AC161" s="211"/>
      <c r="AD161" s="211"/>
      <c r="AE161" s="211"/>
      <c r="AF161" s="211"/>
      <c r="AI161" s="211"/>
      <c r="AJ161" s="211"/>
      <c r="AK161" s="212"/>
      <c r="AL161" s="211"/>
      <c r="AM161" s="210"/>
      <c r="AN161" s="210"/>
    </row>
    <row r="162" spans="1:40" x14ac:dyDescent="0.25">
      <c r="T162" s="154"/>
      <c r="V162" s="200"/>
      <c r="Y162" s="200"/>
      <c r="Z162" s="213"/>
      <c r="AA162" s="200"/>
      <c r="AB162" s="200"/>
      <c r="AC162" s="210"/>
      <c r="AD162" s="210"/>
      <c r="AE162" s="200"/>
      <c r="AF162" s="200"/>
      <c r="AG162" s="209"/>
      <c r="AH162" s="201"/>
      <c r="AI162" s="200"/>
      <c r="AJ162" s="200"/>
      <c r="AK162" s="209"/>
      <c r="AL162" s="200"/>
      <c r="AM162" s="210"/>
      <c r="AN162" s="210"/>
    </row>
    <row r="163" spans="1:40" x14ac:dyDescent="0.25">
      <c r="A163" s="202"/>
      <c r="C163" s="154"/>
      <c r="V163" s="200"/>
      <c r="Y163" s="200"/>
      <c r="Z163" s="305"/>
      <c r="AA163" s="211"/>
      <c r="AB163" s="211"/>
      <c r="AC163" s="211"/>
      <c r="AD163" s="211"/>
      <c r="AE163" s="211"/>
      <c r="AF163" s="211"/>
      <c r="AI163" s="211"/>
      <c r="AJ163" s="211"/>
      <c r="AK163" s="212"/>
      <c r="AL163" s="211"/>
      <c r="AM163" s="210"/>
      <c r="AN163" s="210"/>
    </row>
    <row r="164" spans="1:40" x14ac:dyDescent="0.25">
      <c r="A164" s="202"/>
      <c r="C164" s="154"/>
      <c r="F164" s="252"/>
      <c r="H164" s="252"/>
      <c r="I164" s="252"/>
      <c r="J164" s="300"/>
      <c r="K164" s="300"/>
      <c r="L164" s="200"/>
      <c r="M164" s="200"/>
      <c r="N164" s="210"/>
      <c r="O164" s="210"/>
      <c r="P164" s="202"/>
      <c r="Q164" s="202"/>
      <c r="R164" s="200"/>
      <c r="T164" s="154"/>
      <c r="V164" s="200"/>
      <c r="Y164" s="200"/>
      <c r="Z164" s="213"/>
      <c r="AA164" s="200"/>
      <c r="AB164" s="200"/>
      <c r="AC164" s="210"/>
      <c r="AD164" s="210"/>
      <c r="AE164" s="200"/>
      <c r="AF164" s="200"/>
      <c r="AG164" s="209"/>
      <c r="AH164" s="201"/>
      <c r="AI164" s="200"/>
      <c r="AJ164" s="200"/>
      <c r="AK164" s="209"/>
      <c r="AL164" s="200"/>
      <c r="AM164" s="210"/>
      <c r="AN164" s="210"/>
    </row>
    <row r="165" spans="1:40" x14ac:dyDescent="0.25">
      <c r="A165" s="202"/>
      <c r="C165" s="154"/>
      <c r="F165" s="252"/>
      <c r="H165" s="252"/>
      <c r="I165" s="252"/>
      <c r="J165" s="300"/>
      <c r="K165" s="300"/>
      <c r="L165" s="200"/>
      <c r="M165" s="200"/>
      <c r="N165" s="210"/>
      <c r="O165" s="210"/>
      <c r="P165" s="202"/>
      <c r="Q165" s="202"/>
      <c r="R165" s="200"/>
      <c r="T165" s="154"/>
      <c r="V165" s="252"/>
      <c r="Y165" s="200"/>
      <c r="Z165" s="320"/>
      <c r="AA165" s="200"/>
      <c r="AB165" s="200"/>
      <c r="AC165" s="210"/>
      <c r="AD165" s="210"/>
      <c r="AE165" s="200"/>
      <c r="AF165" s="200"/>
      <c r="AG165" s="209"/>
      <c r="AH165" s="201"/>
      <c r="AI165" s="200"/>
      <c r="AJ165" s="200"/>
      <c r="AK165" s="209"/>
      <c r="AL165" s="200"/>
      <c r="AM165" s="210"/>
      <c r="AN165" s="210"/>
    </row>
    <row r="166" spans="1:40" x14ac:dyDescent="0.25">
      <c r="A166" s="202"/>
      <c r="C166" s="154"/>
      <c r="F166" s="252"/>
      <c r="H166" s="252"/>
      <c r="I166" s="252"/>
      <c r="J166" s="300"/>
      <c r="K166" s="300"/>
      <c r="L166" s="200"/>
      <c r="M166" s="200"/>
      <c r="N166" s="210"/>
      <c r="O166" s="210"/>
      <c r="P166" s="202"/>
      <c r="Q166" s="202"/>
      <c r="R166" s="200"/>
      <c r="V166" s="211"/>
      <c r="Y166" s="211"/>
      <c r="Z166" s="305"/>
      <c r="AA166" s="211"/>
      <c r="AB166" s="211"/>
      <c r="AC166" s="211"/>
      <c r="AD166" s="211"/>
      <c r="AE166" s="211"/>
      <c r="AF166" s="211"/>
      <c r="AI166" s="211"/>
      <c r="AJ166" s="211"/>
      <c r="AK166" s="212"/>
      <c r="AL166" s="211"/>
      <c r="AM166" s="210"/>
      <c r="AN166" s="210"/>
    </row>
    <row r="167" spans="1:40" x14ac:dyDescent="0.25">
      <c r="F167" s="211"/>
      <c r="H167" s="200"/>
      <c r="I167" s="200"/>
      <c r="J167" s="305"/>
      <c r="K167" s="305"/>
      <c r="L167" s="211"/>
      <c r="M167" s="211"/>
      <c r="N167" s="211"/>
      <c r="O167" s="211"/>
      <c r="P167" s="211"/>
      <c r="Q167" s="211"/>
      <c r="R167" s="211"/>
      <c r="T167" s="154"/>
      <c r="V167" s="200"/>
      <c r="Y167" s="200"/>
      <c r="Z167" s="305"/>
      <c r="AA167" s="200"/>
      <c r="AB167" s="200"/>
      <c r="AC167" s="210"/>
      <c r="AD167" s="210"/>
      <c r="AE167" s="200"/>
      <c r="AF167" s="200"/>
      <c r="AG167" s="209"/>
      <c r="AH167" s="210"/>
      <c r="AI167" s="200"/>
      <c r="AJ167" s="200"/>
      <c r="AK167" s="209"/>
      <c r="AL167" s="200"/>
      <c r="AM167" s="210"/>
      <c r="AN167" s="210"/>
    </row>
    <row r="168" spans="1:40" x14ac:dyDescent="0.25">
      <c r="A168" s="202"/>
      <c r="C168" s="154"/>
      <c r="F168" s="200"/>
      <c r="H168" s="200"/>
      <c r="I168" s="200"/>
      <c r="J168" s="305"/>
      <c r="K168" s="305"/>
      <c r="L168" s="200"/>
      <c r="M168" s="200"/>
      <c r="N168" s="210"/>
      <c r="O168" s="210"/>
      <c r="P168" s="200"/>
      <c r="Q168" s="200"/>
      <c r="R168" s="200"/>
      <c r="V168" s="211"/>
      <c r="Y168" s="211"/>
      <c r="Z168" s="305"/>
      <c r="AA168" s="211"/>
      <c r="AB168" s="211"/>
      <c r="AC168" s="211"/>
      <c r="AD168" s="211"/>
      <c r="AE168" s="211"/>
      <c r="AF168" s="211"/>
      <c r="AI168" s="211"/>
      <c r="AJ168" s="211"/>
      <c r="AK168" s="212"/>
      <c r="AL168" s="211"/>
      <c r="AM168" s="210"/>
      <c r="AN168" s="210"/>
    </row>
    <row r="169" spans="1:40" x14ac:dyDescent="0.25">
      <c r="F169" s="211"/>
      <c r="H169" s="200"/>
      <c r="I169" s="200"/>
      <c r="J169" s="305"/>
      <c r="K169" s="305"/>
      <c r="L169" s="211"/>
      <c r="M169" s="211"/>
      <c r="N169" s="211"/>
      <c r="O169" s="211"/>
      <c r="P169" s="211"/>
      <c r="Q169" s="211"/>
      <c r="R169" s="211"/>
      <c r="T169" s="154"/>
      <c r="V169" s="252"/>
      <c r="Y169" s="252"/>
      <c r="Z169" s="305"/>
      <c r="AA169" s="200"/>
      <c r="AB169" s="200"/>
      <c r="AC169" s="210"/>
      <c r="AD169" s="210"/>
      <c r="AE169" s="200"/>
      <c r="AF169" s="200"/>
      <c r="AI169" s="200"/>
      <c r="AJ169" s="200"/>
      <c r="AK169" s="209"/>
      <c r="AL169" s="200"/>
      <c r="AM169" s="210"/>
      <c r="AN169" s="210"/>
    </row>
    <row r="170" spans="1:40" x14ac:dyDescent="0.25">
      <c r="A170" s="202"/>
      <c r="C170" s="154"/>
      <c r="F170" s="252"/>
      <c r="H170" s="252"/>
      <c r="I170" s="252"/>
      <c r="J170" s="328"/>
      <c r="K170" s="328"/>
      <c r="L170" s="200"/>
      <c r="M170" s="200"/>
      <c r="N170" s="210"/>
      <c r="O170" s="210"/>
      <c r="P170" s="200"/>
      <c r="Q170" s="200"/>
      <c r="R170" s="200"/>
      <c r="S170" s="200"/>
    </row>
    <row r="171" spans="1:40" x14ac:dyDescent="0.25">
      <c r="A171" s="202"/>
      <c r="C171" s="154"/>
      <c r="F171" s="252"/>
      <c r="H171" s="252"/>
      <c r="I171" s="252"/>
      <c r="J171" s="300"/>
      <c r="K171" s="300"/>
      <c r="L171" s="200"/>
      <c r="M171" s="200"/>
      <c r="N171" s="210"/>
      <c r="O171" s="210"/>
      <c r="P171" s="200"/>
      <c r="Q171" s="200"/>
      <c r="R171" s="200"/>
      <c r="T171" s="154"/>
    </row>
    <row r="172" spans="1:40" x14ac:dyDescent="0.25">
      <c r="A172" s="202"/>
      <c r="C172" s="154"/>
      <c r="F172" s="252"/>
      <c r="H172" s="252"/>
      <c r="I172" s="252"/>
      <c r="J172" s="300"/>
      <c r="K172" s="300"/>
      <c r="L172" s="200"/>
      <c r="M172" s="200"/>
      <c r="N172" s="210"/>
      <c r="O172" s="210"/>
      <c r="P172" s="200"/>
      <c r="Q172" s="200"/>
      <c r="R172" s="200"/>
      <c r="T172" s="154"/>
      <c r="V172" s="200"/>
      <c r="Y172" s="252"/>
      <c r="Z172" s="300"/>
      <c r="AA172" s="200"/>
      <c r="AB172" s="200"/>
      <c r="AC172" s="210"/>
      <c r="AD172" s="210"/>
      <c r="AE172" s="200"/>
      <c r="AF172" s="200"/>
      <c r="AG172" s="325"/>
      <c r="AH172" s="326"/>
      <c r="AI172" s="202"/>
      <c r="AJ172" s="202"/>
      <c r="AK172" s="209"/>
      <c r="AL172" s="200"/>
      <c r="AM172" s="327"/>
      <c r="AN172" s="327"/>
    </row>
    <row r="173" spans="1:40" x14ac:dyDescent="0.25">
      <c r="F173" s="200"/>
      <c r="H173" s="211"/>
      <c r="I173" s="211"/>
      <c r="J173" s="305"/>
      <c r="K173" s="305"/>
      <c r="L173" s="211"/>
      <c r="M173" s="211"/>
      <c r="N173" s="211"/>
      <c r="O173" s="211"/>
      <c r="P173" s="211"/>
      <c r="Q173" s="211"/>
      <c r="R173" s="211"/>
      <c r="T173" s="154"/>
      <c r="V173" s="200"/>
      <c r="Y173" s="252"/>
      <c r="Z173" s="300"/>
      <c r="AA173" s="200"/>
      <c r="AB173" s="200"/>
      <c r="AC173" s="210"/>
      <c r="AD173" s="210"/>
      <c r="AE173" s="200"/>
      <c r="AF173" s="200"/>
      <c r="AG173" s="209"/>
      <c r="AH173" s="201"/>
      <c r="AI173" s="202"/>
      <c r="AJ173" s="202"/>
      <c r="AK173" s="209"/>
      <c r="AL173" s="200"/>
      <c r="AM173" s="210"/>
      <c r="AN173" s="210"/>
    </row>
    <row r="174" spans="1:40" x14ac:dyDescent="0.25">
      <c r="A174" s="202"/>
      <c r="C174" s="154"/>
      <c r="F174" s="200"/>
      <c r="H174" s="200"/>
      <c r="I174" s="200"/>
      <c r="J174" s="305"/>
      <c r="K174" s="305"/>
      <c r="L174" s="200"/>
      <c r="M174" s="200"/>
      <c r="N174" s="210"/>
      <c r="O174" s="210"/>
      <c r="P174" s="200"/>
      <c r="Q174" s="200"/>
      <c r="R174" s="200"/>
      <c r="T174" s="154"/>
      <c r="V174" s="200"/>
      <c r="Y174" s="252"/>
      <c r="Z174" s="300"/>
      <c r="AA174" s="200"/>
      <c r="AB174" s="200"/>
      <c r="AC174" s="210"/>
      <c r="AD174" s="210"/>
      <c r="AE174" s="200"/>
      <c r="AF174" s="200"/>
      <c r="AG174" s="209"/>
      <c r="AH174" s="201"/>
      <c r="AI174" s="202"/>
      <c r="AJ174" s="202"/>
      <c r="AK174" s="209"/>
      <c r="AL174" s="200"/>
      <c r="AM174" s="210"/>
      <c r="AN174" s="210"/>
    </row>
    <row r="175" spans="1:40" x14ac:dyDescent="0.25">
      <c r="F175" s="200"/>
      <c r="H175" s="211"/>
      <c r="I175" s="211"/>
      <c r="J175" s="305"/>
      <c r="K175" s="305"/>
      <c r="L175" s="211"/>
      <c r="M175" s="211"/>
      <c r="N175" s="211"/>
      <c r="O175" s="211"/>
      <c r="P175" s="211"/>
      <c r="Q175" s="211"/>
      <c r="R175" s="211"/>
      <c r="V175" s="211"/>
      <c r="Y175" s="200"/>
      <c r="Z175" s="305"/>
      <c r="AA175" s="211"/>
      <c r="AB175" s="211"/>
      <c r="AC175" s="211"/>
      <c r="AD175" s="211"/>
      <c r="AE175" s="211"/>
      <c r="AF175" s="211"/>
      <c r="AI175" s="211"/>
      <c r="AJ175" s="211"/>
      <c r="AK175" s="212"/>
      <c r="AL175" s="211"/>
      <c r="AM175" s="210"/>
      <c r="AN175" s="210"/>
    </row>
    <row r="176" spans="1:40" x14ac:dyDescent="0.25">
      <c r="A176" s="202"/>
      <c r="C176" s="154"/>
      <c r="F176" s="200"/>
      <c r="H176" s="200"/>
      <c r="I176" s="200"/>
      <c r="J176" s="305"/>
      <c r="K176" s="305"/>
      <c r="L176" s="200"/>
      <c r="M176" s="200"/>
      <c r="N176" s="200"/>
      <c r="O176" s="200"/>
      <c r="P176" s="200"/>
      <c r="Q176" s="200"/>
      <c r="R176" s="200"/>
      <c r="T176" s="154"/>
      <c r="V176" s="200"/>
      <c r="Y176" s="200"/>
      <c r="Z176" s="305"/>
      <c r="AA176" s="200"/>
      <c r="AB176" s="200"/>
      <c r="AC176" s="210"/>
      <c r="AD176" s="210"/>
      <c r="AE176" s="200"/>
      <c r="AF176" s="200"/>
      <c r="AG176" s="209"/>
      <c r="AH176" s="201"/>
      <c r="AI176" s="200"/>
      <c r="AJ176" s="200"/>
      <c r="AK176" s="209"/>
      <c r="AL176" s="200"/>
      <c r="AM176" s="210"/>
      <c r="AN176" s="210"/>
    </row>
    <row r="177" spans="1:40" x14ac:dyDescent="0.25">
      <c r="A177" s="202"/>
      <c r="C177" s="154"/>
      <c r="F177" s="200"/>
      <c r="H177" s="252"/>
      <c r="I177" s="252"/>
      <c r="J177" s="329"/>
      <c r="K177" s="329"/>
      <c r="L177" s="200"/>
      <c r="M177" s="200"/>
      <c r="N177" s="210"/>
      <c r="O177" s="210"/>
      <c r="P177" s="200"/>
      <c r="Q177" s="200"/>
      <c r="R177" s="200"/>
      <c r="V177" s="211"/>
      <c r="Y177" s="200"/>
      <c r="Z177" s="305"/>
      <c r="AA177" s="211"/>
      <c r="AB177" s="211"/>
      <c r="AC177" s="211"/>
      <c r="AD177" s="211"/>
      <c r="AE177" s="211"/>
      <c r="AF177" s="211"/>
      <c r="AI177" s="211"/>
      <c r="AJ177" s="211"/>
      <c r="AK177" s="212"/>
      <c r="AL177" s="211"/>
      <c r="AM177" s="210"/>
      <c r="AN177" s="210"/>
    </row>
    <row r="178" spans="1:40" x14ac:dyDescent="0.25">
      <c r="A178" s="202"/>
      <c r="C178" s="154"/>
      <c r="H178" s="252"/>
      <c r="I178" s="252"/>
      <c r="J178" s="329"/>
      <c r="K178" s="329"/>
      <c r="L178" s="200"/>
      <c r="M178" s="200"/>
      <c r="N178" s="210"/>
      <c r="O178" s="210"/>
      <c r="P178" s="200"/>
      <c r="Q178" s="200"/>
      <c r="R178" s="200"/>
      <c r="T178" s="154"/>
      <c r="V178" s="252"/>
      <c r="Y178" s="252"/>
      <c r="Z178" s="328"/>
      <c r="AA178" s="200"/>
      <c r="AB178" s="200"/>
      <c r="AC178" s="210"/>
      <c r="AD178" s="210"/>
      <c r="AE178" s="200"/>
      <c r="AF178" s="200"/>
      <c r="AG178" s="209"/>
      <c r="AH178" s="210"/>
      <c r="AI178" s="200"/>
      <c r="AJ178" s="200"/>
      <c r="AK178" s="209"/>
      <c r="AL178" s="200"/>
      <c r="AM178" s="210"/>
      <c r="AN178" s="210"/>
    </row>
    <row r="179" spans="1:40" x14ac:dyDescent="0.25">
      <c r="F179" s="200"/>
      <c r="H179" s="200"/>
      <c r="I179" s="200"/>
      <c r="J179" s="305"/>
      <c r="K179" s="305"/>
      <c r="L179" s="211"/>
      <c r="M179" s="211"/>
      <c r="N179" s="211"/>
      <c r="O179" s="211"/>
      <c r="P179" s="211"/>
      <c r="Q179" s="211"/>
      <c r="R179" s="211"/>
      <c r="T179" s="154"/>
      <c r="V179" s="252"/>
      <c r="Y179" s="200"/>
      <c r="Z179" s="300"/>
      <c r="AA179" s="200"/>
      <c r="AB179" s="200"/>
      <c r="AC179" s="210"/>
      <c r="AD179" s="210"/>
      <c r="AE179" s="200"/>
      <c r="AF179" s="200"/>
      <c r="AG179" s="209"/>
      <c r="AH179" s="201"/>
      <c r="AI179" s="200"/>
      <c r="AJ179" s="200"/>
      <c r="AK179" s="209"/>
      <c r="AL179" s="200"/>
      <c r="AM179" s="210"/>
      <c r="AN179" s="210"/>
    </row>
    <row r="180" spans="1:40" x14ac:dyDescent="0.25">
      <c r="A180" s="202"/>
      <c r="C180" s="154"/>
      <c r="F180" s="200"/>
      <c r="H180" s="200"/>
      <c r="I180" s="200"/>
      <c r="J180" s="213"/>
      <c r="K180" s="213"/>
      <c r="L180" s="200"/>
      <c r="M180" s="200"/>
      <c r="N180" s="210"/>
      <c r="O180" s="210"/>
      <c r="P180" s="200"/>
      <c r="Q180" s="200"/>
      <c r="R180" s="200"/>
      <c r="T180" s="154"/>
      <c r="V180" s="252"/>
      <c r="Y180" s="200"/>
      <c r="Z180" s="300"/>
      <c r="AA180" s="200"/>
      <c r="AB180" s="200"/>
      <c r="AC180" s="210"/>
      <c r="AD180" s="210"/>
      <c r="AE180" s="200"/>
      <c r="AF180" s="200"/>
      <c r="AG180" s="209"/>
      <c r="AH180" s="201"/>
      <c r="AI180" s="200"/>
      <c r="AJ180" s="200"/>
      <c r="AK180" s="209"/>
      <c r="AL180" s="200"/>
      <c r="AM180" s="210"/>
      <c r="AN180" s="210"/>
    </row>
    <row r="181" spans="1:40" x14ac:dyDescent="0.25">
      <c r="F181" s="200"/>
      <c r="H181" s="200"/>
      <c r="I181" s="200"/>
      <c r="J181" s="305"/>
      <c r="K181" s="305"/>
      <c r="L181" s="211"/>
      <c r="M181" s="211"/>
      <c r="N181" s="211"/>
      <c r="O181" s="211"/>
      <c r="P181" s="211"/>
      <c r="Q181" s="211"/>
      <c r="R181" s="211"/>
      <c r="V181" s="200"/>
      <c r="Y181" s="211"/>
      <c r="Z181" s="305"/>
      <c r="AA181" s="211"/>
      <c r="AB181" s="211"/>
      <c r="AC181" s="211"/>
      <c r="AD181" s="211"/>
      <c r="AE181" s="211"/>
      <c r="AF181" s="211"/>
      <c r="AI181" s="211"/>
      <c r="AJ181" s="211"/>
      <c r="AK181" s="212"/>
      <c r="AL181" s="211"/>
      <c r="AM181" s="210"/>
      <c r="AN181" s="210"/>
    </row>
    <row r="182" spans="1:40" x14ac:dyDescent="0.25">
      <c r="A182" s="202"/>
      <c r="C182" s="154"/>
      <c r="F182" s="200"/>
      <c r="H182" s="200"/>
      <c r="I182" s="200"/>
      <c r="J182" s="213"/>
      <c r="K182" s="213"/>
      <c r="L182" s="200"/>
      <c r="M182" s="200"/>
      <c r="N182" s="210"/>
      <c r="O182" s="210"/>
      <c r="P182" s="200"/>
      <c r="Q182" s="200"/>
      <c r="R182" s="200"/>
      <c r="T182" s="154"/>
      <c r="V182" s="200"/>
      <c r="Y182" s="200"/>
      <c r="Z182" s="305"/>
      <c r="AA182" s="200"/>
      <c r="AB182" s="200"/>
      <c r="AC182" s="210"/>
      <c r="AD182" s="210"/>
      <c r="AE182" s="200"/>
      <c r="AF182" s="200"/>
      <c r="AG182" s="209"/>
      <c r="AH182" s="201"/>
      <c r="AI182" s="200"/>
      <c r="AJ182" s="200"/>
      <c r="AK182" s="209"/>
      <c r="AL182" s="200"/>
      <c r="AM182" s="210"/>
      <c r="AN182" s="210"/>
    </row>
    <row r="183" spans="1:40" x14ac:dyDescent="0.25">
      <c r="A183" s="202"/>
      <c r="C183" s="154"/>
      <c r="F183" s="252"/>
      <c r="H183" s="252"/>
      <c r="I183" s="252"/>
      <c r="J183" s="320"/>
      <c r="K183" s="320"/>
      <c r="L183" s="200"/>
      <c r="M183" s="200"/>
      <c r="N183" s="210"/>
      <c r="O183" s="210"/>
      <c r="P183" s="200"/>
      <c r="Q183" s="200"/>
      <c r="R183" s="200"/>
      <c r="V183" s="200"/>
      <c r="Y183" s="211"/>
      <c r="Z183" s="305"/>
      <c r="AA183" s="211"/>
      <c r="AB183" s="211"/>
      <c r="AC183" s="211"/>
      <c r="AD183" s="211"/>
      <c r="AE183" s="211"/>
      <c r="AF183" s="211"/>
      <c r="AI183" s="211"/>
      <c r="AJ183" s="211"/>
      <c r="AK183" s="212"/>
      <c r="AL183" s="211"/>
      <c r="AM183" s="210"/>
      <c r="AN183" s="210"/>
    </row>
    <row r="184" spans="1:40" x14ac:dyDescent="0.25">
      <c r="F184" s="211"/>
      <c r="H184" s="211"/>
      <c r="I184" s="211"/>
      <c r="J184" s="305"/>
      <c r="K184" s="305"/>
      <c r="L184" s="211"/>
      <c r="M184" s="211"/>
      <c r="N184" s="211"/>
      <c r="O184" s="211"/>
      <c r="P184" s="211"/>
      <c r="Q184" s="211"/>
      <c r="R184" s="211"/>
      <c r="T184" s="154"/>
      <c r="V184" s="200"/>
      <c r="Y184" s="200"/>
      <c r="Z184" s="305"/>
      <c r="AA184" s="200"/>
      <c r="AB184" s="200"/>
      <c r="AC184" s="200"/>
      <c r="AD184" s="200"/>
      <c r="AE184" s="200"/>
      <c r="AF184" s="200"/>
      <c r="AG184" s="209"/>
      <c r="AH184" s="201"/>
      <c r="AI184" s="200"/>
      <c r="AJ184" s="200"/>
      <c r="AK184" s="209"/>
      <c r="AL184" s="200"/>
      <c r="AM184" s="210"/>
      <c r="AN184" s="210"/>
    </row>
    <row r="185" spans="1:40" x14ac:dyDescent="0.25">
      <c r="A185" s="202"/>
      <c r="C185" s="154"/>
      <c r="F185" s="200"/>
      <c r="H185" s="200"/>
      <c r="I185" s="200"/>
      <c r="J185" s="305"/>
      <c r="K185" s="305"/>
      <c r="L185" s="200"/>
      <c r="M185" s="200"/>
      <c r="N185" s="210"/>
      <c r="O185" s="210"/>
      <c r="P185" s="200"/>
      <c r="Q185" s="200"/>
      <c r="R185" s="200"/>
      <c r="S185" s="200"/>
      <c r="T185" s="154"/>
      <c r="V185" s="200"/>
      <c r="Y185" s="200"/>
      <c r="Z185" s="329"/>
      <c r="AA185" s="200"/>
      <c r="AB185" s="200"/>
      <c r="AC185" s="210"/>
      <c r="AD185" s="210"/>
      <c r="AE185" s="200"/>
      <c r="AF185" s="200"/>
      <c r="AG185" s="209"/>
      <c r="AH185" s="201"/>
      <c r="AI185" s="200"/>
      <c r="AJ185" s="200"/>
      <c r="AK185" s="209"/>
      <c r="AL185" s="200"/>
      <c r="AM185" s="210"/>
      <c r="AN185" s="210"/>
    </row>
    <row r="186" spans="1:40" x14ac:dyDescent="0.25">
      <c r="F186" s="211"/>
      <c r="H186" s="211"/>
      <c r="I186" s="211"/>
      <c r="J186" s="305"/>
      <c r="K186" s="305"/>
      <c r="L186" s="211"/>
      <c r="M186" s="211"/>
      <c r="N186" s="211"/>
      <c r="O186" s="211"/>
      <c r="P186" s="211"/>
      <c r="Q186" s="211"/>
      <c r="R186" s="211"/>
      <c r="S186" s="200"/>
      <c r="T186" s="154"/>
      <c r="Y186" s="200"/>
      <c r="Z186" s="329"/>
      <c r="AA186" s="200"/>
      <c r="AB186" s="200"/>
      <c r="AC186" s="210"/>
      <c r="AD186" s="210"/>
      <c r="AE186" s="200"/>
      <c r="AF186" s="200"/>
      <c r="AG186" s="209"/>
      <c r="AH186" s="201"/>
      <c r="AI186" s="200"/>
      <c r="AJ186" s="200"/>
      <c r="AK186" s="209"/>
      <c r="AL186" s="200"/>
      <c r="AM186" s="210"/>
      <c r="AN186" s="210"/>
    </row>
    <row r="187" spans="1:40" x14ac:dyDescent="0.25">
      <c r="A187" s="202"/>
      <c r="C187" s="154"/>
      <c r="V187" s="200"/>
      <c r="Y187" s="200"/>
      <c r="Z187" s="305"/>
      <c r="AA187" s="211"/>
      <c r="AB187" s="211"/>
      <c r="AC187" s="211"/>
      <c r="AD187" s="211"/>
      <c r="AE187" s="211"/>
      <c r="AF187" s="211"/>
      <c r="AI187" s="211"/>
      <c r="AJ187" s="211"/>
      <c r="AK187" s="212"/>
      <c r="AL187" s="211"/>
      <c r="AM187" s="210"/>
      <c r="AN187" s="210"/>
    </row>
    <row r="188" spans="1:40" x14ac:dyDescent="0.25">
      <c r="A188" s="202"/>
      <c r="C188" s="154"/>
      <c r="F188" s="200"/>
      <c r="H188" s="200"/>
      <c r="I188" s="200"/>
      <c r="L188" s="200"/>
      <c r="M188" s="200"/>
      <c r="N188" s="210"/>
      <c r="O188" s="210"/>
      <c r="P188" s="252"/>
      <c r="Q188" s="252"/>
      <c r="R188" s="200"/>
      <c r="T188" s="154"/>
      <c r="V188" s="200"/>
      <c r="Y188" s="200"/>
      <c r="Z188" s="213"/>
      <c r="AA188" s="200"/>
      <c r="AB188" s="200"/>
      <c r="AC188" s="210"/>
      <c r="AD188" s="210"/>
      <c r="AE188" s="200"/>
      <c r="AF188" s="200"/>
      <c r="AG188" s="209"/>
      <c r="AH188" s="201"/>
      <c r="AI188" s="200"/>
      <c r="AJ188" s="200"/>
      <c r="AK188" s="209"/>
      <c r="AL188" s="200"/>
      <c r="AM188" s="210"/>
      <c r="AN188" s="210"/>
    </row>
    <row r="189" spans="1:40" x14ac:dyDescent="0.25">
      <c r="F189" s="211"/>
      <c r="H189" s="211"/>
      <c r="I189" s="211"/>
      <c r="J189" s="305"/>
      <c r="K189" s="305"/>
      <c r="L189" s="211"/>
      <c r="M189" s="211"/>
      <c r="N189" s="211"/>
      <c r="O189" s="211"/>
      <c r="P189" s="211"/>
      <c r="Q189" s="211"/>
      <c r="R189" s="211"/>
      <c r="V189" s="200"/>
      <c r="Y189" s="200"/>
      <c r="Z189" s="305"/>
      <c r="AA189" s="211"/>
      <c r="AB189" s="211"/>
      <c r="AC189" s="211"/>
      <c r="AD189" s="211"/>
      <c r="AE189" s="211"/>
      <c r="AF189" s="211"/>
      <c r="AI189" s="211"/>
      <c r="AJ189" s="211"/>
      <c r="AK189" s="212"/>
      <c r="AL189" s="211"/>
      <c r="AM189" s="210"/>
      <c r="AN189" s="210"/>
    </row>
    <row r="190" spans="1:40" x14ac:dyDescent="0.25">
      <c r="T190" s="154"/>
      <c r="V190" s="200"/>
      <c r="Y190" s="200"/>
      <c r="Z190" s="213"/>
      <c r="AA190" s="200"/>
      <c r="AB190" s="200"/>
      <c r="AC190" s="210"/>
      <c r="AD190" s="210"/>
      <c r="AE190" s="200"/>
      <c r="AF190" s="200"/>
      <c r="AG190" s="209"/>
      <c r="AH190" s="201"/>
      <c r="AI190" s="200"/>
      <c r="AJ190" s="200"/>
      <c r="AK190" s="209"/>
      <c r="AL190" s="200"/>
      <c r="AM190" s="210"/>
      <c r="AN190" s="210"/>
    </row>
    <row r="191" spans="1:40" x14ac:dyDescent="0.25">
      <c r="C191" s="154"/>
      <c r="L191" s="200"/>
      <c r="M191" s="200"/>
      <c r="N191" s="200"/>
      <c r="O191" s="200"/>
      <c r="P191" s="200"/>
      <c r="Q191" s="200"/>
      <c r="R191" s="200"/>
      <c r="S191" s="200"/>
      <c r="T191" s="154"/>
      <c r="V191" s="252"/>
      <c r="Y191" s="200"/>
      <c r="Z191" s="320"/>
      <c r="AA191" s="200"/>
      <c r="AB191" s="200"/>
      <c r="AC191" s="210"/>
      <c r="AD191" s="210"/>
      <c r="AE191" s="200"/>
      <c r="AF191" s="200"/>
      <c r="AG191" s="209"/>
      <c r="AH191" s="201"/>
      <c r="AI191" s="200"/>
      <c r="AJ191" s="200"/>
      <c r="AK191" s="209"/>
      <c r="AL191" s="200"/>
      <c r="AM191" s="210"/>
      <c r="AN191" s="210"/>
    </row>
    <row r="192" spans="1:40" x14ac:dyDescent="0.25">
      <c r="A192" s="154"/>
      <c r="V192" s="211"/>
      <c r="Y192" s="211"/>
      <c r="Z192" s="305"/>
      <c r="AA192" s="211"/>
      <c r="AB192" s="211"/>
      <c r="AC192" s="211"/>
      <c r="AD192" s="211"/>
      <c r="AE192" s="211"/>
      <c r="AF192" s="211"/>
      <c r="AI192" s="211"/>
      <c r="AJ192" s="211"/>
      <c r="AK192" s="212"/>
      <c r="AL192" s="211"/>
      <c r="AM192" s="210"/>
      <c r="AN192" s="210"/>
    </row>
    <row r="193" spans="1:40" x14ac:dyDescent="0.25">
      <c r="J193" s="202"/>
      <c r="K193" s="202"/>
      <c r="T193" s="154"/>
      <c r="V193" s="200"/>
      <c r="Y193" s="200"/>
      <c r="Z193" s="305"/>
      <c r="AA193" s="200"/>
      <c r="AB193" s="200"/>
      <c r="AC193" s="210"/>
      <c r="AD193" s="210"/>
      <c r="AE193" s="200"/>
      <c r="AF193" s="200"/>
      <c r="AG193" s="209"/>
      <c r="AH193" s="210"/>
      <c r="AI193" s="200"/>
      <c r="AJ193" s="200"/>
      <c r="AK193" s="209"/>
      <c r="AL193" s="200"/>
      <c r="AM193" s="210"/>
      <c r="AN193" s="210"/>
    </row>
    <row r="194" spans="1:40" x14ac:dyDescent="0.25">
      <c r="H194" s="154"/>
      <c r="I194" s="154"/>
      <c r="V194" s="211"/>
      <c r="Y194" s="211"/>
      <c r="Z194" s="305"/>
      <c r="AA194" s="211"/>
      <c r="AB194" s="211"/>
      <c r="AC194" s="211"/>
      <c r="AD194" s="211"/>
      <c r="AE194" s="211"/>
      <c r="AF194" s="211"/>
      <c r="AI194" s="211"/>
      <c r="AJ194" s="211"/>
      <c r="AK194" s="212"/>
      <c r="AL194" s="211"/>
      <c r="AM194" s="210"/>
      <c r="AN194" s="210"/>
    </row>
    <row r="195" spans="1:40" x14ac:dyDescent="0.25">
      <c r="J195" s="202"/>
      <c r="K195" s="202"/>
      <c r="T195" s="154"/>
    </row>
    <row r="196" spans="1:40" x14ac:dyDescent="0.25">
      <c r="L196" s="154"/>
      <c r="M196" s="154"/>
      <c r="AA196" s="154"/>
      <c r="AB196" s="154"/>
    </row>
    <row r="197" spans="1:40" x14ac:dyDescent="0.25">
      <c r="A197" s="202"/>
      <c r="R197" s="154"/>
      <c r="AK197" s="297"/>
      <c r="AL197" s="154"/>
    </row>
    <row r="198" spans="1:40" x14ac:dyDescent="0.25">
      <c r="A198" s="202"/>
      <c r="R198" s="154"/>
      <c r="AK198" s="297"/>
      <c r="AL198" s="154"/>
    </row>
    <row r="199" spans="1:40" x14ac:dyDescent="0.25">
      <c r="A199" s="154"/>
      <c r="R199" s="154"/>
      <c r="AK199" s="297"/>
      <c r="AL199" s="154"/>
    </row>
    <row r="200" spans="1:40" x14ac:dyDescent="0.25">
      <c r="L200" s="154"/>
      <c r="M200" s="154"/>
      <c r="R200" s="202"/>
      <c r="AA200" s="154"/>
      <c r="AB200" s="154"/>
      <c r="AK200" s="209"/>
      <c r="AL200" s="202"/>
    </row>
    <row r="201" spans="1:40" x14ac:dyDescent="0.25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208"/>
      <c r="AH201" s="102"/>
      <c r="AI201" s="102"/>
      <c r="AJ201" s="102"/>
      <c r="AK201" s="208"/>
      <c r="AL201" s="102"/>
      <c r="AM201" s="102"/>
      <c r="AN201" s="102"/>
    </row>
    <row r="202" spans="1:40" x14ac:dyDescent="0.25">
      <c r="L202" s="103"/>
      <c r="M202" s="103"/>
      <c r="N202" s="103"/>
      <c r="O202" s="103"/>
      <c r="R202" s="103"/>
      <c r="AA202" s="103"/>
      <c r="AB202" s="103"/>
      <c r="AC202" s="103"/>
      <c r="AD202" s="103"/>
      <c r="AE202" s="103"/>
      <c r="AF202" s="103"/>
      <c r="AG202" s="185"/>
      <c r="AH202" s="103"/>
      <c r="AK202" s="185"/>
      <c r="AL202" s="103"/>
      <c r="AM202" s="103"/>
      <c r="AN202" s="103"/>
    </row>
    <row r="203" spans="1:40" x14ac:dyDescent="0.25">
      <c r="L203" s="103"/>
      <c r="M203" s="103"/>
      <c r="N203" s="103"/>
      <c r="O203" s="103"/>
      <c r="R203" s="103"/>
      <c r="Z203" s="103"/>
      <c r="AA203" s="103"/>
      <c r="AB203" s="103"/>
      <c r="AC203" s="103"/>
      <c r="AD203" s="103"/>
      <c r="AE203" s="103"/>
      <c r="AF203" s="103"/>
      <c r="AG203" s="185"/>
      <c r="AH203" s="103"/>
      <c r="AK203" s="185"/>
      <c r="AL203" s="103"/>
      <c r="AM203" s="103"/>
      <c r="AN203" s="103"/>
    </row>
    <row r="204" spans="1:40" x14ac:dyDescent="0.25">
      <c r="A204" s="103"/>
      <c r="C204" s="103"/>
      <c r="D204" s="103"/>
      <c r="E204" s="103"/>
      <c r="F204" s="103"/>
      <c r="J204" s="103"/>
      <c r="K204" s="103"/>
      <c r="L204" s="103"/>
      <c r="M204" s="103"/>
      <c r="N204" s="103"/>
      <c r="O204" s="103"/>
      <c r="P204" s="103"/>
      <c r="Q204" s="103"/>
      <c r="R204" s="103"/>
      <c r="T204" s="103"/>
      <c r="U204" s="103"/>
      <c r="V204" s="103"/>
      <c r="Z204" s="103"/>
      <c r="AA204" s="103"/>
      <c r="AB204" s="103"/>
      <c r="AC204" s="103"/>
      <c r="AD204" s="103"/>
      <c r="AE204" s="103"/>
      <c r="AF204" s="103"/>
      <c r="AG204" s="185"/>
      <c r="AH204" s="103"/>
      <c r="AI204" s="103"/>
      <c r="AJ204" s="103"/>
      <c r="AK204" s="185"/>
      <c r="AL204" s="103"/>
      <c r="AM204" s="103"/>
      <c r="AN204" s="103"/>
    </row>
    <row r="205" spans="1:40" x14ac:dyDescent="0.25">
      <c r="A205" s="103"/>
      <c r="C205" s="103"/>
      <c r="D205" s="103"/>
      <c r="E205" s="103"/>
      <c r="F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T205" s="103"/>
      <c r="U205" s="103"/>
      <c r="V205" s="103"/>
      <c r="Y205" s="103"/>
      <c r="Z205" s="103"/>
      <c r="AA205" s="103"/>
      <c r="AB205" s="103"/>
      <c r="AC205" s="103"/>
      <c r="AD205" s="103"/>
      <c r="AE205" s="103"/>
      <c r="AF205" s="103"/>
      <c r="AG205" s="185"/>
      <c r="AH205" s="103"/>
      <c r="AI205" s="103"/>
      <c r="AJ205" s="103"/>
      <c r="AK205" s="185"/>
      <c r="AL205" s="103"/>
      <c r="AM205" s="103"/>
      <c r="AN205" s="103"/>
    </row>
    <row r="206" spans="1:40" x14ac:dyDescent="0.25">
      <c r="C206" s="103"/>
      <c r="D206" s="103"/>
      <c r="E206" s="103"/>
      <c r="F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T206" s="103"/>
      <c r="U206" s="103"/>
      <c r="V206" s="103"/>
      <c r="Y206" s="103"/>
      <c r="Z206" s="103"/>
      <c r="AA206" s="103"/>
      <c r="AB206" s="103"/>
      <c r="AC206" s="103"/>
      <c r="AD206" s="103"/>
      <c r="AE206" s="103"/>
      <c r="AF206" s="103"/>
      <c r="AG206" s="185"/>
      <c r="AH206" s="103"/>
      <c r="AI206" s="103"/>
      <c r="AJ206" s="103"/>
      <c r="AK206" s="185"/>
      <c r="AL206" s="103"/>
      <c r="AM206" s="103"/>
      <c r="AN206" s="103"/>
    </row>
    <row r="207" spans="1:40" x14ac:dyDescent="0.2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208"/>
      <c r="AH207" s="102"/>
      <c r="AI207" s="102"/>
      <c r="AJ207" s="102"/>
      <c r="AK207" s="208"/>
      <c r="AL207" s="102"/>
      <c r="AM207" s="102"/>
      <c r="AN207" s="102"/>
    </row>
    <row r="208" spans="1:40" x14ac:dyDescent="0.25"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Y208" s="103"/>
      <c r="Z208" s="103"/>
      <c r="AA208" s="103"/>
      <c r="AB208" s="103"/>
      <c r="AC208" s="103"/>
      <c r="AD208" s="103"/>
      <c r="AE208" s="103"/>
      <c r="AF208" s="103"/>
      <c r="AG208" s="185"/>
      <c r="AH208" s="103"/>
      <c r="AI208" s="103"/>
      <c r="AJ208" s="103"/>
      <c r="AK208" s="185"/>
      <c r="AL208" s="103"/>
      <c r="AM208" s="103"/>
      <c r="AN208" s="103"/>
    </row>
    <row r="209" spans="1:40" x14ac:dyDescent="0.25">
      <c r="A209" s="202"/>
      <c r="C209" s="154"/>
      <c r="D209" s="154"/>
      <c r="E209" s="154"/>
      <c r="T209" s="154"/>
      <c r="U209" s="154"/>
    </row>
    <row r="210" spans="1:40" x14ac:dyDescent="0.25">
      <c r="A210" s="202"/>
      <c r="D210" s="154"/>
      <c r="E210" s="154"/>
      <c r="U210" s="154"/>
    </row>
    <row r="212" spans="1:40" x14ac:dyDescent="0.25">
      <c r="A212" s="202"/>
      <c r="C212" s="154"/>
      <c r="F212" s="252"/>
      <c r="H212" s="252"/>
      <c r="I212" s="252"/>
      <c r="J212" s="300"/>
      <c r="K212" s="300"/>
      <c r="L212" s="200"/>
      <c r="M212" s="200"/>
      <c r="N212" s="210"/>
      <c r="O212" s="210"/>
      <c r="R212" s="200"/>
      <c r="T212" s="154"/>
      <c r="V212" s="200"/>
      <c r="Y212" s="252"/>
      <c r="Z212" s="300"/>
      <c r="AA212" s="200"/>
      <c r="AB212" s="200"/>
      <c r="AC212" s="210"/>
      <c r="AD212" s="210"/>
      <c r="AE212" s="200"/>
      <c r="AF212" s="200"/>
      <c r="AG212" s="325"/>
      <c r="AH212" s="326"/>
      <c r="AK212" s="209"/>
      <c r="AL212" s="200"/>
      <c r="AM212" s="327"/>
      <c r="AN212" s="327"/>
    </row>
    <row r="213" spans="1:40" x14ac:dyDescent="0.25">
      <c r="A213" s="202"/>
      <c r="C213" s="154"/>
      <c r="F213" s="252"/>
      <c r="H213" s="252"/>
      <c r="I213" s="252"/>
      <c r="J213" s="300"/>
      <c r="K213" s="300"/>
      <c r="L213" s="200"/>
      <c r="M213" s="200"/>
      <c r="N213" s="210"/>
      <c r="O213" s="210"/>
      <c r="P213" s="202"/>
      <c r="Q213" s="202"/>
      <c r="R213" s="200"/>
      <c r="T213" s="154"/>
      <c r="V213" s="200"/>
      <c r="Y213" s="252"/>
      <c r="Z213" s="300"/>
      <c r="AA213" s="200"/>
      <c r="AB213" s="200"/>
      <c r="AC213" s="210"/>
      <c r="AD213" s="210"/>
      <c r="AE213" s="200"/>
      <c r="AF213" s="200"/>
      <c r="AG213" s="209"/>
      <c r="AH213" s="201"/>
      <c r="AI213" s="202"/>
      <c r="AJ213" s="202"/>
      <c r="AK213" s="209"/>
      <c r="AL213" s="200"/>
      <c r="AM213" s="210"/>
      <c r="AN213" s="210"/>
    </row>
    <row r="214" spans="1:40" x14ac:dyDescent="0.25">
      <c r="F214" s="211"/>
      <c r="H214" s="200"/>
      <c r="I214" s="200"/>
      <c r="J214" s="305"/>
      <c r="K214" s="305"/>
      <c r="L214" s="211"/>
      <c r="M214" s="211"/>
      <c r="N214" s="211"/>
      <c r="O214" s="211"/>
      <c r="P214" s="211"/>
      <c r="Q214" s="211"/>
      <c r="R214" s="211"/>
      <c r="V214" s="211"/>
      <c r="Y214" s="200"/>
      <c r="Z214" s="305"/>
      <c r="AA214" s="211"/>
      <c r="AB214" s="211"/>
      <c r="AC214" s="211"/>
      <c r="AD214" s="211"/>
      <c r="AE214" s="211"/>
      <c r="AF214" s="211"/>
      <c r="AI214" s="211"/>
      <c r="AJ214" s="211"/>
      <c r="AK214" s="212"/>
      <c r="AL214" s="211"/>
      <c r="AM214" s="210"/>
      <c r="AN214" s="210"/>
    </row>
    <row r="215" spans="1:40" x14ac:dyDescent="0.25">
      <c r="A215" s="202"/>
      <c r="C215" s="154"/>
      <c r="F215" s="200"/>
      <c r="H215" s="200"/>
      <c r="I215" s="200"/>
      <c r="J215" s="305"/>
      <c r="K215" s="305"/>
      <c r="L215" s="200"/>
      <c r="M215" s="200"/>
      <c r="N215" s="210"/>
      <c r="O215" s="210"/>
      <c r="P215" s="200"/>
      <c r="Q215" s="200"/>
      <c r="R215" s="200"/>
      <c r="T215" s="154"/>
      <c r="V215" s="200"/>
      <c r="Y215" s="200"/>
      <c r="Z215" s="213"/>
      <c r="AA215" s="200"/>
      <c r="AB215" s="200"/>
      <c r="AC215" s="210"/>
      <c r="AD215" s="210"/>
      <c r="AE215" s="200"/>
      <c r="AF215" s="200"/>
      <c r="AG215" s="209"/>
      <c r="AH215" s="201"/>
      <c r="AI215" s="200"/>
      <c r="AJ215" s="200"/>
      <c r="AK215" s="209"/>
      <c r="AL215" s="200"/>
      <c r="AM215" s="210"/>
      <c r="AN215" s="210"/>
    </row>
    <row r="216" spans="1:40" x14ac:dyDescent="0.25">
      <c r="F216" s="211"/>
      <c r="H216" s="200"/>
      <c r="I216" s="200"/>
      <c r="J216" s="305"/>
      <c r="K216" s="305"/>
      <c r="L216" s="211"/>
      <c r="M216" s="211"/>
      <c r="N216" s="211"/>
      <c r="O216" s="211"/>
      <c r="P216" s="211"/>
      <c r="Q216" s="211"/>
      <c r="R216" s="211"/>
      <c r="V216" s="211"/>
      <c r="Y216" s="200"/>
      <c r="Z216" s="305"/>
      <c r="AA216" s="211"/>
      <c r="AB216" s="211"/>
      <c r="AC216" s="211"/>
      <c r="AD216" s="211"/>
      <c r="AE216" s="211"/>
      <c r="AF216" s="211"/>
      <c r="AI216" s="211"/>
      <c r="AJ216" s="211"/>
      <c r="AK216" s="212"/>
      <c r="AL216" s="211"/>
      <c r="AM216" s="210"/>
      <c r="AN216" s="210"/>
    </row>
    <row r="217" spans="1:40" x14ac:dyDescent="0.25">
      <c r="F217" s="200"/>
      <c r="H217" s="200"/>
      <c r="I217" s="200"/>
      <c r="J217" s="305"/>
      <c r="K217" s="305"/>
      <c r="L217" s="200"/>
      <c r="M217" s="200"/>
      <c r="N217" s="210"/>
      <c r="O217" s="210"/>
      <c r="P217" s="200"/>
      <c r="Q217" s="200"/>
      <c r="R217" s="200"/>
      <c r="V217" s="200"/>
      <c r="Y217" s="200"/>
      <c r="Z217" s="213"/>
      <c r="AA217" s="200"/>
      <c r="AB217" s="200"/>
      <c r="AC217" s="210"/>
      <c r="AD217" s="210"/>
      <c r="AE217" s="200"/>
      <c r="AF217" s="200"/>
      <c r="AG217" s="209"/>
      <c r="AH217" s="201"/>
      <c r="AI217" s="200"/>
      <c r="AJ217" s="200"/>
      <c r="AK217" s="209"/>
      <c r="AL217" s="200"/>
      <c r="AM217" s="210"/>
      <c r="AN217" s="210"/>
    </row>
    <row r="218" spans="1:40" x14ac:dyDescent="0.25">
      <c r="A218" s="202"/>
      <c r="C218" s="154"/>
      <c r="F218" s="252"/>
      <c r="H218" s="252"/>
      <c r="I218" s="252"/>
      <c r="J218" s="300"/>
      <c r="K218" s="300"/>
      <c r="L218" s="200"/>
      <c r="M218" s="200"/>
      <c r="N218" s="210"/>
      <c r="O218" s="210"/>
      <c r="P218" s="200"/>
      <c r="Q218" s="200"/>
      <c r="R218" s="200"/>
      <c r="T218" s="154"/>
      <c r="V218" s="252"/>
      <c r="Y218" s="200"/>
      <c r="Z218" s="300"/>
      <c r="AA218" s="200"/>
      <c r="AB218" s="200"/>
      <c r="AC218" s="210"/>
      <c r="AD218" s="210"/>
      <c r="AE218" s="200"/>
      <c r="AF218" s="200"/>
      <c r="AG218" s="325"/>
      <c r="AH218" s="326"/>
      <c r="AI218" s="200"/>
      <c r="AJ218" s="200"/>
      <c r="AK218" s="209"/>
      <c r="AL218" s="200"/>
      <c r="AM218" s="327"/>
      <c r="AN218" s="327"/>
    </row>
    <row r="219" spans="1:40" x14ac:dyDescent="0.25">
      <c r="A219" s="202"/>
      <c r="C219" s="154"/>
      <c r="F219" s="252"/>
      <c r="H219" s="252"/>
      <c r="I219" s="252"/>
      <c r="J219" s="300"/>
      <c r="K219" s="300"/>
      <c r="L219" s="200"/>
      <c r="M219" s="200"/>
      <c r="N219" s="210"/>
      <c r="O219" s="210"/>
      <c r="P219" s="200"/>
      <c r="Q219" s="200"/>
      <c r="R219" s="200"/>
      <c r="T219" s="154"/>
      <c r="V219" s="252"/>
      <c r="Y219" s="200"/>
      <c r="Z219" s="300"/>
      <c r="AA219" s="200"/>
      <c r="AB219" s="200"/>
      <c r="AC219" s="210"/>
      <c r="AD219" s="210"/>
      <c r="AE219" s="200"/>
      <c r="AF219" s="200"/>
      <c r="AG219" s="209"/>
      <c r="AH219" s="201"/>
      <c r="AI219" s="200"/>
      <c r="AJ219" s="200"/>
      <c r="AK219" s="209"/>
      <c r="AL219" s="200"/>
      <c r="AM219" s="210"/>
      <c r="AN219" s="210"/>
    </row>
    <row r="220" spans="1:40" x14ac:dyDescent="0.25">
      <c r="F220" s="200"/>
      <c r="H220" s="211"/>
      <c r="I220" s="211"/>
      <c r="J220" s="305"/>
      <c r="K220" s="305"/>
      <c r="L220" s="211"/>
      <c r="M220" s="211"/>
      <c r="N220" s="211"/>
      <c r="O220" s="211"/>
      <c r="P220" s="211"/>
      <c r="Q220" s="211"/>
      <c r="R220" s="211"/>
      <c r="V220" s="200"/>
      <c r="Y220" s="211"/>
      <c r="Z220" s="305"/>
      <c r="AA220" s="211"/>
      <c r="AB220" s="211"/>
      <c r="AC220" s="211"/>
      <c r="AD220" s="211"/>
      <c r="AE220" s="211"/>
      <c r="AF220" s="211"/>
      <c r="AI220" s="211"/>
      <c r="AJ220" s="211"/>
      <c r="AK220" s="212"/>
      <c r="AL220" s="211"/>
      <c r="AM220" s="210"/>
      <c r="AN220" s="210"/>
    </row>
    <row r="221" spans="1:40" x14ac:dyDescent="0.25">
      <c r="A221" s="202"/>
      <c r="C221" s="154"/>
      <c r="F221" s="200"/>
      <c r="H221" s="200"/>
      <c r="I221" s="200"/>
      <c r="J221" s="305"/>
      <c r="K221" s="305"/>
      <c r="L221" s="200"/>
      <c r="M221" s="200"/>
      <c r="N221" s="210"/>
      <c r="O221" s="210"/>
      <c r="P221" s="200"/>
      <c r="Q221" s="200"/>
      <c r="R221" s="200"/>
      <c r="T221" s="154"/>
      <c r="V221" s="200"/>
      <c r="Y221" s="200"/>
      <c r="Z221" s="305"/>
      <c r="AA221" s="200"/>
      <c r="AB221" s="200"/>
      <c r="AC221" s="210"/>
      <c r="AD221" s="210"/>
      <c r="AE221" s="200"/>
      <c r="AF221" s="200"/>
      <c r="AG221" s="209"/>
      <c r="AH221" s="201"/>
      <c r="AI221" s="200"/>
      <c r="AJ221" s="200"/>
      <c r="AK221" s="209"/>
      <c r="AL221" s="200"/>
      <c r="AM221" s="210"/>
      <c r="AN221" s="210"/>
    </row>
    <row r="222" spans="1:40" x14ac:dyDescent="0.25">
      <c r="F222" s="200"/>
      <c r="H222" s="211"/>
      <c r="I222" s="211"/>
      <c r="J222" s="305"/>
      <c r="K222" s="305"/>
      <c r="L222" s="211"/>
      <c r="M222" s="211"/>
      <c r="N222" s="211"/>
      <c r="O222" s="211"/>
      <c r="P222" s="211"/>
      <c r="Q222" s="211"/>
      <c r="R222" s="211"/>
      <c r="V222" s="200"/>
      <c r="Y222" s="211"/>
      <c r="Z222" s="305"/>
      <c r="AA222" s="211"/>
      <c r="AB222" s="211"/>
      <c r="AC222" s="211"/>
      <c r="AD222" s="211"/>
      <c r="AE222" s="211"/>
      <c r="AF222" s="211"/>
      <c r="AI222" s="211"/>
      <c r="AJ222" s="211"/>
      <c r="AK222" s="212"/>
      <c r="AL222" s="211"/>
      <c r="AM222" s="210"/>
      <c r="AN222" s="210"/>
    </row>
    <row r="223" spans="1:40" x14ac:dyDescent="0.25">
      <c r="F223" s="200"/>
      <c r="H223" s="200"/>
      <c r="I223" s="200"/>
      <c r="J223" s="305"/>
      <c r="K223" s="305"/>
      <c r="L223" s="200"/>
      <c r="M223" s="200"/>
      <c r="N223" s="200"/>
      <c r="O223" s="200"/>
      <c r="P223" s="200"/>
      <c r="Q223" s="200"/>
      <c r="R223" s="200"/>
      <c r="V223" s="200"/>
      <c r="Y223" s="200"/>
      <c r="Z223" s="305"/>
      <c r="AA223" s="200"/>
      <c r="AB223" s="200"/>
      <c r="AC223" s="200"/>
      <c r="AD223" s="200"/>
      <c r="AE223" s="200"/>
      <c r="AF223" s="200"/>
      <c r="AG223" s="209"/>
      <c r="AH223" s="201"/>
      <c r="AI223" s="200"/>
      <c r="AJ223" s="200"/>
      <c r="AK223" s="209"/>
      <c r="AL223" s="200"/>
      <c r="AM223" s="210"/>
      <c r="AN223" s="210"/>
    </row>
    <row r="224" spans="1:40" x14ac:dyDescent="0.25">
      <c r="A224" s="202"/>
      <c r="C224" s="154"/>
      <c r="F224" s="252"/>
      <c r="H224" s="252"/>
      <c r="I224" s="252"/>
      <c r="J224" s="320"/>
      <c r="K224" s="320"/>
      <c r="L224" s="200"/>
      <c r="M224" s="200"/>
      <c r="N224" s="210"/>
      <c r="O224" s="210"/>
      <c r="P224" s="252"/>
      <c r="Q224" s="252"/>
      <c r="R224" s="200"/>
      <c r="T224" s="154"/>
      <c r="V224" s="252"/>
      <c r="Y224" s="252"/>
      <c r="Z224" s="328"/>
      <c r="AA224" s="200"/>
      <c r="AB224" s="200"/>
      <c r="AC224" s="210"/>
      <c r="AD224" s="210"/>
      <c r="AE224" s="200"/>
      <c r="AF224" s="200"/>
      <c r="AG224" s="209"/>
      <c r="AH224" s="201"/>
      <c r="AI224" s="252"/>
      <c r="AJ224" s="252"/>
      <c r="AK224" s="209"/>
      <c r="AL224" s="200"/>
      <c r="AM224" s="210"/>
      <c r="AN224" s="210"/>
    </row>
    <row r="225" spans="1:40" x14ac:dyDescent="0.25">
      <c r="A225" s="202"/>
      <c r="C225" s="154"/>
      <c r="F225" s="252"/>
      <c r="H225" s="252"/>
      <c r="I225" s="252"/>
      <c r="J225" s="320"/>
      <c r="K225" s="320"/>
      <c r="L225" s="200"/>
      <c r="M225" s="200"/>
      <c r="N225" s="210"/>
      <c r="O225" s="210"/>
      <c r="P225" s="252"/>
      <c r="Q225" s="252"/>
      <c r="R225" s="200"/>
      <c r="T225" s="154"/>
      <c r="V225" s="252"/>
      <c r="Y225" s="200"/>
      <c r="Z225" s="304"/>
      <c r="AA225" s="200"/>
      <c r="AB225" s="200"/>
      <c r="AC225" s="210"/>
      <c r="AD225" s="210"/>
      <c r="AE225" s="200"/>
      <c r="AF225" s="200"/>
      <c r="AG225" s="209"/>
      <c r="AH225" s="201"/>
      <c r="AI225" s="252"/>
      <c r="AJ225" s="252"/>
      <c r="AK225" s="209"/>
      <c r="AL225" s="200"/>
      <c r="AM225" s="210"/>
      <c r="AN225" s="210"/>
    </row>
    <row r="226" spans="1:40" x14ac:dyDescent="0.25">
      <c r="A226" s="202"/>
      <c r="C226" s="154"/>
      <c r="F226" s="252"/>
      <c r="H226" s="252"/>
      <c r="I226" s="252"/>
      <c r="J226" s="320"/>
      <c r="K226" s="320"/>
      <c r="L226" s="200"/>
      <c r="M226" s="200"/>
      <c r="N226" s="210"/>
      <c r="O226" s="210"/>
      <c r="P226" s="252"/>
      <c r="Q226" s="252"/>
      <c r="R226" s="200"/>
      <c r="T226" s="154"/>
      <c r="V226" s="252"/>
      <c r="Y226" s="200"/>
      <c r="Z226" s="304"/>
      <c r="AA226" s="200"/>
      <c r="AB226" s="200"/>
      <c r="AC226" s="210"/>
      <c r="AD226" s="210"/>
      <c r="AE226" s="200"/>
      <c r="AF226" s="200"/>
      <c r="AG226" s="209"/>
      <c r="AH226" s="201"/>
      <c r="AI226" s="252"/>
      <c r="AJ226" s="252"/>
      <c r="AK226" s="209"/>
      <c r="AL226" s="200"/>
      <c r="AM226" s="210"/>
      <c r="AN226" s="210"/>
    </row>
    <row r="227" spans="1:40" x14ac:dyDescent="0.25">
      <c r="F227" s="211"/>
      <c r="H227" s="211"/>
      <c r="I227" s="211"/>
      <c r="J227" s="305"/>
      <c r="K227" s="305"/>
      <c r="L227" s="211"/>
      <c r="M227" s="211"/>
      <c r="N227" s="211"/>
      <c r="O227" s="211"/>
      <c r="P227" s="211"/>
      <c r="Q227" s="211"/>
      <c r="R227" s="211"/>
      <c r="V227" s="211"/>
      <c r="Y227" s="211"/>
      <c r="Z227" s="305"/>
      <c r="AA227" s="211"/>
      <c r="AB227" s="211"/>
      <c r="AC227" s="211"/>
      <c r="AD227" s="211"/>
      <c r="AE227" s="211"/>
      <c r="AF227" s="211"/>
      <c r="AI227" s="211"/>
      <c r="AJ227" s="211"/>
      <c r="AK227" s="212"/>
      <c r="AL227" s="211"/>
      <c r="AM227" s="210"/>
      <c r="AN227" s="210"/>
    </row>
    <row r="228" spans="1:40" x14ac:dyDescent="0.25">
      <c r="A228" s="202"/>
      <c r="C228" s="154"/>
      <c r="F228" s="200"/>
      <c r="H228" s="200"/>
      <c r="I228" s="200"/>
      <c r="J228" s="213"/>
      <c r="K228" s="213"/>
      <c r="L228" s="200"/>
      <c r="M228" s="200"/>
      <c r="N228" s="210"/>
      <c r="O228" s="210"/>
      <c r="P228" s="200"/>
      <c r="Q228" s="200"/>
      <c r="R228" s="200"/>
      <c r="T228" s="154"/>
      <c r="V228" s="200"/>
      <c r="Y228" s="200"/>
      <c r="Z228" s="213"/>
      <c r="AA228" s="200"/>
      <c r="AB228" s="200"/>
      <c r="AC228" s="210"/>
      <c r="AD228" s="210"/>
      <c r="AE228" s="200"/>
      <c r="AF228" s="200"/>
      <c r="AG228" s="209"/>
      <c r="AH228" s="201"/>
      <c r="AI228" s="200"/>
      <c r="AJ228" s="200"/>
      <c r="AK228" s="209"/>
      <c r="AL228" s="200"/>
      <c r="AM228" s="210"/>
      <c r="AN228" s="210"/>
    </row>
    <row r="229" spans="1:40" x14ac:dyDescent="0.25">
      <c r="F229" s="211"/>
      <c r="H229" s="211"/>
      <c r="I229" s="211"/>
      <c r="J229" s="305"/>
      <c r="K229" s="305"/>
      <c r="L229" s="211"/>
      <c r="M229" s="211"/>
      <c r="N229" s="211"/>
      <c r="O229" s="211"/>
      <c r="P229" s="211"/>
      <c r="Q229" s="211"/>
      <c r="R229" s="211"/>
      <c r="V229" s="211"/>
      <c r="Y229" s="211"/>
      <c r="Z229" s="305"/>
      <c r="AA229" s="211"/>
      <c r="AB229" s="211"/>
      <c r="AC229" s="211"/>
      <c r="AD229" s="211"/>
      <c r="AE229" s="211"/>
      <c r="AF229" s="211"/>
      <c r="AI229" s="211"/>
      <c r="AJ229" s="211"/>
      <c r="AK229" s="212"/>
      <c r="AL229" s="211"/>
      <c r="AM229" s="210"/>
      <c r="AN229" s="210"/>
    </row>
    <row r="230" spans="1:40" x14ac:dyDescent="0.25">
      <c r="A230" s="202"/>
      <c r="C230" s="154"/>
      <c r="F230" s="200"/>
      <c r="H230" s="200"/>
      <c r="I230" s="200"/>
      <c r="J230" s="213"/>
      <c r="K230" s="213"/>
      <c r="L230" s="200"/>
      <c r="M230" s="200"/>
      <c r="N230" s="210"/>
      <c r="O230" s="210"/>
      <c r="P230" s="200"/>
      <c r="Q230" s="200"/>
      <c r="R230" s="200"/>
      <c r="T230" s="154"/>
      <c r="V230" s="200"/>
      <c r="Y230" s="200"/>
      <c r="Z230" s="213"/>
      <c r="AA230" s="200"/>
      <c r="AB230" s="200"/>
      <c r="AC230" s="210"/>
      <c r="AD230" s="210"/>
      <c r="AE230" s="200"/>
      <c r="AF230" s="200"/>
      <c r="AG230" s="209"/>
      <c r="AH230" s="201"/>
      <c r="AI230" s="200"/>
      <c r="AJ230" s="200"/>
      <c r="AK230" s="209"/>
      <c r="AL230" s="200"/>
      <c r="AM230" s="210"/>
      <c r="AN230" s="210"/>
    </row>
    <row r="231" spans="1:40" x14ac:dyDescent="0.25">
      <c r="A231" s="202"/>
      <c r="C231" s="154"/>
      <c r="F231" s="200"/>
      <c r="H231" s="200"/>
      <c r="I231" s="200"/>
      <c r="J231" s="213"/>
      <c r="K231" s="213"/>
      <c r="L231" s="200"/>
      <c r="M231" s="200"/>
      <c r="N231" s="210"/>
      <c r="O231" s="210"/>
      <c r="P231" s="200"/>
      <c r="Q231" s="200"/>
      <c r="R231" s="200"/>
      <c r="T231" s="154"/>
      <c r="V231" s="200"/>
      <c r="Y231" s="200"/>
      <c r="Z231" s="213"/>
      <c r="AA231" s="200"/>
      <c r="AB231" s="200"/>
      <c r="AC231" s="210"/>
      <c r="AD231" s="210"/>
      <c r="AE231" s="200"/>
      <c r="AF231" s="200"/>
      <c r="AG231" s="209"/>
      <c r="AH231" s="201"/>
      <c r="AI231" s="200"/>
      <c r="AJ231" s="200"/>
      <c r="AK231" s="209"/>
      <c r="AL231" s="200"/>
      <c r="AM231" s="210"/>
      <c r="AN231" s="210"/>
    </row>
    <row r="232" spans="1:40" x14ac:dyDescent="0.25">
      <c r="F232" s="211"/>
      <c r="H232" s="211"/>
      <c r="I232" s="211"/>
      <c r="J232" s="305"/>
      <c r="K232" s="305"/>
      <c r="L232" s="211"/>
      <c r="M232" s="211"/>
      <c r="N232" s="211"/>
      <c r="O232" s="211"/>
      <c r="P232" s="211"/>
      <c r="Q232" s="211"/>
      <c r="R232" s="211"/>
      <c r="V232" s="211"/>
      <c r="Y232" s="211"/>
      <c r="Z232" s="305"/>
      <c r="AA232" s="211"/>
      <c r="AB232" s="211"/>
      <c r="AC232" s="211"/>
      <c r="AD232" s="211"/>
      <c r="AE232" s="211"/>
      <c r="AF232" s="211"/>
      <c r="AI232" s="211"/>
      <c r="AJ232" s="211"/>
      <c r="AK232" s="212"/>
      <c r="AL232" s="211"/>
      <c r="AM232" s="200"/>
      <c r="AN232" s="200"/>
    </row>
    <row r="233" spans="1:40" x14ac:dyDescent="0.25">
      <c r="F233" s="200"/>
      <c r="H233" s="200"/>
      <c r="I233" s="200"/>
      <c r="J233" s="213"/>
      <c r="K233" s="213"/>
      <c r="L233" s="200"/>
      <c r="M233" s="200"/>
      <c r="N233" s="200"/>
      <c r="O233" s="200"/>
      <c r="P233" s="200"/>
      <c r="Q233" s="200"/>
      <c r="R233" s="200"/>
      <c r="V233" s="200"/>
      <c r="Y233" s="200"/>
      <c r="Z233" s="213"/>
      <c r="AA233" s="200"/>
      <c r="AB233" s="200"/>
      <c r="AC233" s="200"/>
      <c r="AD233" s="200"/>
    </row>
    <row r="234" spans="1:40" x14ac:dyDescent="0.25">
      <c r="C234" s="154"/>
      <c r="F234" s="200"/>
      <c r="H234" s="200"/>
      <c r="I234" s="200"/>
      <c r="J234" s="213"/>
      <c r="K234" s="213"/>
      <c r="L234" s="200"/>
      <c r="M234" s="200"/>
      <c r="N234" s="200"/>
      <c r="O234" s="200"/>
      <c r="P234" s="200"/>
      <c r="Q234" s="200"/>
      <c r="R234" s="200"/>
      <c r="T234" s="154"/>
      <c r="V234" s="200"/>
      <c r="Y234" s="200"/>
      <c r="Z234" s="213"/>
      <c r="AA234" s="200"/>
      <c r="AB234" s="200"/>
      <c r="AC234" s="200"/>
      <c r="AD234" s="200"/>
    </row>
    <row r="235" spans="1:40" x14ac:dyDescent="0.25">
      <c r="A235" s="154"/>
    </row>
    <row r="236" spans="1:40" x14ac:dyDescent="0.25">
      <c r="J236" s="202"/>
      <c r="K236" s="202"/>
      <c r="Z236" s="202"/>
    </row>
    <row r="237" spans="1:40" x14ac:dyDescent="0.25">
      <c r="H237" s="154"/>
      <c r="I237" s="154"/>
      <c r="Y237" s="154"/>
    </row>
    <row r="238" spans="1:40" x14ac:dyDescent="0.25">
      <c r="J238" s="202"/>
      <c r="K238" s="202"/>
      <c r="Z238" s="202"/>
    </row>
    <row r="239" spans="1:40" x14ac:dyDescent="0.25">
      <c r="L239" s="154"/>
      <c r="M239" s="154"/>
      <c r="AA239" s="154"/>
      <c r="AB239" s="154"/>
    </row>
    <row r="240" spans="1:40" x14ac:dyDescent="0.25">
      <c r="A240" s="202"/>
      <c r="R240" s="154"/>
      <c r="AK240" s="297"/>
      <c r="AL240" s="154"/>
    </row>
    <row r="241" spans="1:40" x14ac:dyDescent="0.25">
      <c r="A241" s="202"/>
      <c r="R241" s="154"/>
      <c r="AK241" s="297"/>
      <c r="AL241" s="154"/>
    </row>
    <row r="242" spans="1:40" x14ac:dyDescent="0.25">
      <c r="A242" s="154"/>
      <c r="R242" s="154"/>
      <c r="AK242" s="297"/>
      <c r="AL242" s="154"/>
    </row>
    <row r="243" spans="1:40" x14ac:dyDescent="0.25">
      <c r="L243" s="154"/>
      <c r="M243" s="154"/>
      <c r="R243" s="202"/>
      <c r="AA243" s="154"/>
      <c r="AB243" s="154"/>
      <c r="AK243" s="209"/>
      <c r="AL243" s="202"/>
    </row>
    <row r="244" spans="1:40" x14ac:dyDescent="0.25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208"/>
      <c r="AH244" s="102"/>
      <c r="AI244" s="102"/>
      <c r="AJ244" s="102"/>
      <c r="AK244" s="208"/>
      <c r="AL244" s="102"/>
      <c r="AM244" s="102"/>
      <c r="AN244" s="102"/>
    </row>
    <row r="245" spans="1:40" x14ac:dyDescent="0.25">
      <c r="L245" s="103"/>
      <c r="M245" s="103"/>
      <c r="N245" s="103"/>
      <c r="O245" s="103"/>
      <c r="R245" s="103"/>
      <c r="AA245" s="103"/>
      <c r="AB245" s="103"/>
      <c r="AC245" s="103"/>
      <c r="AD245" s="103"/>
      <c r="AE245" s="103"/>
      <c r="AF245" s="103"/>
      <c r="AG245" s="185"/>
      <c r="AH245" s="103"/>
      <c r="AK245" s="185"/>
      <c r="AL245" s="103"/>
      <c r="AM245" s="103"/>
      <c r="AN245" s="103"/>
    </row>
    <row r="246" spans="1:40" x14ac:dyDescent="0.25">
      <c r="L246" s="103"/>
      <c r="M246" s="103"/>
      <c r="N246" s="103"/>
      <c r="O246" s="103"/>
      <c r="R246" s="103"/>
      <c r="Z246" s="103"/>
      <c r="AA246" s="103"/>
      <c r="AB246" s="103"/>
      <c r="AC246" s="103"/>
      <c r="AD246" s="103"/>
      <c r="AE246" s="103"/>
      <c r="AF246" s="103"/>
      <c r="AG246" s="185"/>
      <c r="AH246" s="103"/>
      <c r="AK246" s="185"/>
      <c r="AL246" s="103"/>
      <c r="AM246" s="103"/>
      <c r="AN246" s="103"/>
    </row>
    <row r="247" spans="1:40" x14ac:dyDescent="0.25">
      <c r="A247" s="103"/>
      <c r="C247" s="103"/>
      <c r="D247" s="103"/>
      <c r="E247" s="103"/>
      <c r="F247" s="103"/>
      <c r="J247" s="103"/>
      <c r="K247" s="103"/>
      <c r="L247" s="103"/>
      <c r="M247" s="103"/>
      <c r="N247" s="103"/>
      <c r="O247" s="103"/>
      <c r="P247" s="103"/>
      <c r="Q247" s="103"/>
      <c r="R247" s="103"/>
      <c r="T247" s="103"/>
      <c r="U247" s="103"/>
      <c r="V247" s="103"/>
      <c r="Z247" s="103"/>
      <c r="AA247" s="103"/>
      <c r="AB247" s="103"/>
      <c r="AC247" s="103"/>
      <c r="AD247" s="103"/>
      <c r="AE247" s="103"/>
      <c r="AF247" s="103"/>
      <c r="AG247" s="185"/>
      <c r="AH247" s="103"/>
      <c r="AI247" s="103"/>
      <c r="AJ247" s="103"/>
      <c r="AK247" s="185"/>
      <c r="AL247" s="103"/>
      <c r="AM247" s="103"/>
      <c r="AN247" s="103"/>
    </row>
    <row r="248" spans="1:40" x14ac:dyDescent="0.25">
      <c r="A248" s="103"/>
      <c r="C248" s="103"/>
      <c r="D248" s="103"/>
      <c r="E248" s="103"/>
      <c r="F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T248" s="103"/>
      <c r="U248" s="103"/>
      <c r="V248" s="103"/>
      <c r="Y248" s="103"/>
      <c r="Z248" s="103"/>
      <c r="AA248" s="103"/>
      <c r="AB248" s="103"/>
      <c r="AC248" s="103"/>
      <c r="AD248" s="103"/>
      <c r="AE248" s="103"/>
      <c r="AF248" s="103"/>
      <c r="AG248" s="185"/>
      <c r="AH248" s="103"/>
      <c r="AI248" s="103"/>
      <c r="AJ248" s="103"/>
      <c r="AK248" s="185"/>
      <c r="AL248" s="103"/>
      <c r="AM248" s="103"/>
      <c r="AN248" s="103"/>
    </row>
    <row r="249" spans="1:40" x14ac:dyDescent="0.25">
      <c r="C249" s="103"/>
      <c r="D249" s="103"/>
      <c r="E249" s="103"/>
      <c r="F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T249" s="103"/>
      <c r="U249" s="103"/>
      <c r="V249" s="103"/>
      <c r="Y249" s="103"/>
      <c r="Z249" s="103"/>
      <c r="AA249" s="103"/>
      <c r="AB249" s="103"/>
      <c r="AC249" s="103"/>
      <c r="AD249" s="103"/>
      <c r="AE249" s="103"/>
      <c r="AF249" s="103"/>
      <c r="AG249" s="185"/>
      <c r="AH249" s="103"/>
      <c r="AI249" s="103"/>
      <c r="AJ249" s="103"/>
      <c r="AK249" s="185"/>
      <c r="AL249" s="103"/>
      <c r="AM249" s="103"/>
      <c r="AN249" s="103"/>
    </row>
    <row r="250" spans="1:40" x14ac:dyDescent="0.2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208"/>
      <c r="AH250" s="102"/>
      <c r="AI250" s="102"/>
      <c r="AJ250" s="102"/>
      <c r="AK250" s="208"/>
      <c r="AL250" s="102"/>
      <c r="AM250" s="102"/>
      <c r="AN250" s="102"/>
    </row>
    <row r="251" spans="1:40" x14ac:dyDescent="0.25"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Y251" s="103"/>
      <c r="Z251" s="103"/>
      <c r="AA251" s="103"/>
      <c r="AB251" s="103"/>
      <c r="AC251" s="103"/>
      <c r="AD251" s="103"/>
      <c r="AE251" s="103"/>
      <c r="AF251" s="103"/>
      <c r="AG251" s="185"/>
      <c r="AH251" s="103"/>
      <c r="AI251" s="103"/>
      <c r="AJ251" s="103"/>
      <c r="AK251" s="185"/>
      <c r="AL251" s="103"/>
      <c r="AM251" s="103"/>
      <c r="AN251" s="103"/>
    </row>
    <row r="252" spans="1:40" x14ac:dyDescent="0.25">
      <c r="A252" s="202"/>
      <c r="C252" s="154"/>
      <c r="D252" s="154"/>
      <c r="E252" s="154"/>
      <c r="T252" s="154"/>
      <c r="U252" s="154"/>
    </row>
    <row r="254" spans="1:40" x14ac:dyDescent="0.25">
      <c r="A254" s="202"/>
      <c r="C254" s="154"/>
      <c r="F254" s="252"/>
      <c r="H254" s="317"/>
      <c r="I254" s="317"/>
      <c r="J254" s="300"/>
      <c r="K254" s="300"/>
      <c r="L254" s="200"/>
      <c r="M254" s="200"/>
      <c r="N254" s="202"/>
      <c r="O254" s="202"/>
      <c r="P254" s="202"/>
      <c r="Q254" s="202"/>
      <c r="R254" s="200"/>
      <c r="T254" s="154"/>
      <c r="V254" s="200"/>
      <c r="Y254" s="202"/>
      <c r="Z254" s="300"/>
      <c r="AA254" s="200"/>
      <c r="AB254" s="200"/>
      <c r="AC254" s="202"/>
      <c r="AD254" s="202"/>
      <c r="AE254" s="200"/>
      <c r="AF254" s="200"/>
      <c r="AG254" s="325"/>
      <c r="AH254" s="326"/>
      <c r="AI254" s="200"/>
      <c r="AJ254" s="200"/>
      <c r="AK254" s="209"/>
      <c r="AL254" s="200"/>
      <c r="AM254" s="327"/>
      <c r="AN254" s="327"/>
    </row>
    <row r="255" spans="1:40" x14ac:dyDescent="0.25">
      <c r="F255" s="252"/>
      <c r="H255" s="317"/>
      <c r="I255" s="317"/>
      <c r="J255" s="317"/>
      <c r="K255" s="317"/>
      <c r="R255" s="200"/>
      <c r="V255" s="200"/>
      <c r="Z255" s="317"/>
    </row>
    <row r="256" spans="1:40" x14ac:dyDescent="0.25">
      <c r="A256" s="202"/>
      <c r="C256" s="154"/>
      <c r="F256" s="252"/>
      <c r="H256" s="252"/>
      <c r="I256" s="252"/>
      <c r="J256" s="320"/>
      <c r="K256" s="320"/>
      <c r="L256" s="200"/>
      <c r="M256" s="200"/>
      <c r="N256" s="210"/>
      <c r="O256" s="210"/>
      <c r="P256" s="252"/>
      <c r="Q256" s="252"/>
      <c r="R256" s="200"/>
      <c r="T256" s="154"/>
      <c r="V256" s="200"/>
      <c r="Y256" s="200"/>
      <c r="Z256" s="304"/>
      <c r="AA256" s="200"/>
      <c r="AB256" s="200"/>
      <c r="AC256" s="210"/>
      <c r="AD256" s="210"/>
      <c r="AE256" s="200"/>
      <c r="AF256" s="200"/>
      <c r="AG256" s="209"/>
      <c r="AH256" s="201"/>
      <c r="AI256" s="252"/>
      <c r="AJ256" s="252"/>
      <c r="AK256" s="209"/>
      <c r="AL256" s="200"/>
      <c r="AM256" s="210"/>
      <c r="AN256" s="210"/>
    </row>
    <row r="257" spans="1:40" x14ac:dyDescent="0.25">
      <c r="F257" s="211"/>
      <c r="H257" s="211"/>
      <c r="I257" s="211"/>
      <c r="J257" s="305"/>
      <c r="K257" s="305"/>
      <c r="L257" s="211"/>
      <c r="M257" s="211"/>
      <c r="N257" s="211"/>
      <c r="O257" s="211"/>
      <c r="P257" s="211"/>
      <c r="Q257" s="211"/>
      <c r="R257" s="211"/>
      <c r="V257" s="211"/>
      <c r="Y257" s="211"/>
      <c r="Z257" s="305"/>
      <c r="AA257" s="211"/>
      <c r="AB257" s="211"/>
      <c r="AC257" s="211"/>
      <c r="AD257" s="211"/>
      <c r="AE257" s="211"/>
      <c r="AF257" s="211"/>
      <c r="AI257" s="211"/>
      <c r="AJ257" s="211"/>
      <c r="AK257" s="212"/>
      <c r="AL257" s="211"/>
    </row>
    <row r="258" spans="1:40" x14ac:dyDescent="0.25">
      <c r="A258" s="202"/>
      <c r="D258" s="154"/>
      <c r="E258" s="154"/>
      <c r="F258" s="200"/>
      <c r="H258" s="200"/>
      <c r="I258" s="200"/>
      <c r="J258" s="213"/>
      <c r="K258" s="213"/>
      <c r="L258" s="200"/>
      <c r="M258" s="200"/>
      <c r="N258" s="210"/>
      <c r="O258" s="210"/>
      <c r="P258" s="200"/>
      <c r="Q258" s="200"/>
      <c r="R258" s="200"/>
      <c r="U258" s="154"/>
      <c r="V258" s="200"/>
      <c r="Y258" s="200"/>
      <c r="Z258" s="213"/>
      <c r="AA258" s="200"/>
      <c r="AB258" s="200"/>
      <c r="AC258" s="210"/>
      <c r="AD258" s="210"/>
      <c r="AE258" s="200"/>
      <c r="AF258" s="200"/>
      <c r="AG258" s="209"/>
      <c r="AH258" s="201"/>
      <c r="AI258" s="200"/>
      <c r="AJ258" s="200"/>
      <c r="AK258" s="209"/>
      <c r="AL258" s="200"/>
      <c r="AM258" s="210"/>
      <c r="AN258" s="210"/>
    </row>
    <row r="259" spans="1:40" x14ac:dyDescent="0.25">
      <c r="F259" s="211"/>
      <c r="H259" s="211"/>
      <c r="I259" s="211"/>
      <c r="J259" s="305"/>
      <c r="K259" s="305"/>
      <c r="L259" s="211"/>
      <c r="M259" s="211"/>
      <c r="N259" s="211"/>
      <c r="O259" s="211"/>
      <c r="P259" s="211"/>
      <c r="Q259" s="211"/>
      <c r="R259" s="211"/>
      <c r="V259" s="211"/>
      <c r="Y259" s="211"/>
      <c r="Z259" s="305"/>
      <c r="AA259" s="211"/>
      <c r="AB259" s="211"/>
      <c r="AC259" s="211"/>
      <c r="AD259" s="211"/>
      <c r="AE259" s="211"/>
      <c r="AF259" s="211"/>
      <c r="AI259" s="211"/>
      <c r="AJ259" s="211"/>
      <c r="AK259" s="212"/>
      <c r="AL259" s="211"/>
    </row>
    <row r="260" spans="1:40" x14ac:dyDescent="0.25">
      <c r="R260" s="200"/>
    </row>
    <row r="261" spans="1:40" x14ac:dyDescent="0.25">
      <c r="R261" s="200"/>
    </row>
    <row r="262" spans="1:40" x14ac:dyDescent="0.25">
      <c r="R262" s="200"/>
    </row>
    <row r="263" spans="1:40" x14ac:dyDescent="0.25">
      <c r="A263" s="202"/>
      <c r="C263" s="154"/>
      <c r="D263" s="154"/>
      <c r="E263" s="154"/>
      <c r="H263" s="200"/>
      <c r="I263" s="200"/>
      <c r="J263" s="213"/>
      <c r="K263" s="213"/>
      <c r="L263" s="200"/>
      <c r="M263" s="200"/>
      <c r="N263" s="210"/>
      <c r="O263" s="210"/>
      <c r="P263" s="200"/>
      <c r="Q263" s="200"/>
      <c r="R263" s="200"/>
      <c r="T263" s="154"/>
      <c r="U263" s="154"/>
      <c r="Y263" s="200"/>
      <c r="Z263" s="213"/>
      <c r="AA263" s="200"/>
      <c r="AB263" s="200"/>
      <c r="AC263" s="210"/>
      <c r="AD263" s="210"/>
    </row>
    <row r="264" spans="1:40" x14ac:dyDescent="0.25">
      <c r="H264" s="200"/>
      <c r="I264" s="200"/>
      <c r="J264" s="213"/>
      <c r="K264" s="213"/>
      <c r="L264" s="200"/>
      <c r="M264" s="200"/>
      <c r="N264" s="210"/>
      <c r="O264" s="210"/>
      <c r="P264" s="200"/>
      <c r="Q264" s="200"/>
      <c r="R264" s="200"/>
      <c r="Y264" s="200"/>
      <c r="Z264" s="213"/>
      <c r="AA264" s="200"/>
      <c r="AB264" s="200"/>
      <c r="AC264" s="210"/>
      <c r="AD264" s="210"/>
    </row>
    <row r="265" spans="1:40" x14ac:dyDescent="0.25">
      <c r="A265" s="202"/>
      <c r="C265" s="154"/>
      <c r="F265" s="252"/>
      <c r="H265" s="252"/>
      <c r="I265" s="252"/>
      <c r="J265" s="214"/>
      <c r="K265" s="214"/>
      <c r="L265" s="252"/>
      <c r="M265" s="252"/>
      <c r="N265" s="210"/>
      <c r="O265" s="210"/>
      <c r="P265" s="200"/>
      <c r="Q265" s="200"/>
      <c r="R265" s="200"/>
      <c r="T265" s="154"/>
      <c r="V265" s="200"/>
      <c r="Y265" s="200"/>
      <c r="Z265" s="214"/>
      <c r="AA265" s="200"/>
      <c r="AB265" s="200"/>
      <c r="AC265" s="210"/>
      <c r="AD265" s="210"/>
      <c r="AE265" s="200"/>
      <c r="AF265" s="200"/>
      <c r="AG265" s="209"/>
      <c r="AH265" s="201"/>
      <c r="AI265" s="200"/>
      <c r="AJ265" s="200"/>
      <c r="AK265" s="209"/>
      <c r="AL265" s="200"/>
      <c r="AM265" s="210"/>
      <c r="AN265" s="210"/>
    </row>
    <row r="266" spans="1:40" x14ac:dyDescent="0.25">
      <c r="F266" s="252"/>
      <c r="H266" s="317"/>
      <c r="I266" s="317"/>
      <c r="J266" s="317"/>
      <c r="K266" s="317"/>
      <c r="R266" s="200"/>
      <c r="V266" s="200"/>
      <c r="Z266" s="317"/>
    </row>
    <row r="267" spans="1:40" x14ac:dyDescent="0.25">
      <c r="A267" s="202"/>
      <c r="C267" s="154"/>
      <c r="F267" s="252"/>
      <c r="H267" s="252"/>
      <c r="I267" s="252"/>
      <c r="J267" s="300"/>
      <c r="K267" s="300"/>
      <c r="L267" s="200"/>
      <c r="M267" s="200"/>
      <c r="N267" s="210"/>
      <c r="O267" s="210"/>
      <c r="P267" s="200"/>
      <c r="Q267" s="200"/>
      <c r="R267" s="200"/>
      <c r="T267" s="154"/>
      <c r="V267" s="200"/>
      <c r="Y267" s="200"/>
      <c r="Z267" s="300"/>
      <c r="AA267" s="200"/>
      <c r="AB267" s="200"/>
      <c r="AC267" s="210"/>
      <c r="AD267" s="210"/>
      <c r="AE267" s="200"/>
      <c r="AF267" s="200"/>
      <c r="AG267" s="209"/>
      <c r="AH267" s="201"/>
      <c r="AI267" s="200"/>
      <c r="AJ267" s="200"/>
      <c r="AK267" s="209"/>
      <c r="AL267" s="200"/>
      <c r="AM267" s="210"/>
      <c r="AN267" s="210"/>
    </row>
    <row r="268" spans="1:40" x14ac:dyDescent="0.25">
      <c r="F268" s="252"/>
      <c r="H268" s="317"/>
      <c r="I268" s="317"/>
      <c r="J268" s="317"/>
      <c r="K268" s="317"/>
      <c r="R268" s="200"/>
      <c r="V268" s="200"/>
      <c r="Z268" s="317"/>
    </row>
    <row r="269" spans="1:40" x14ac:dyDescent="0.25">
      <c r="A269" s="202"/>
      <c r="C269" s="154"/>
      <c r="F269" s="252"/>
      <c r="H269" s="252"/>
      <c r="I269" s="252"/>
      <c r="J269" s="320"/>
      <c r="K269" s="320"/>
      <c r="L269" s="200"/>
      <c r="M269" s="200"/>
      <c r="N269" s="210"/>
      <c r="O269" s="210"/>
      <c r="P269" s="200"/>
      <c r="Q269" s="200"/>
      <c r="R269" s="200"/>
      <c r="T269" s="154"/>
      <c r="V269" s="200"/>
      <c r="Y269" s="200"/>
      <c r="Z269" s="304"/>
      <c r="AA269" s="200"/>
      <c r="AB269" s="200"/>
      <c r="AC269" s="210"/>
      <c r="AD269" s="210"/>
      <c r="AE269" s="200"/>
      <c r="AF269" s="200"/>
      <c r="AG269" s="209"/>
      <c r="AH269" s="201"/>
      <c r="AI269" s="200"/>
      <c r="AJ269" s="200"/>
      <c r="AK269" s="209"/>
      <c r="AL269" s="200"/>
      <c r="AM269" s="210"/>
      <c r="AN269" s="210"/>
    </row>
    <row r="270" spans="1:40" x14ac:dyDescent="0.25">
      <c r="F270" s="211"/>
      <c r="H270" s="211"/>
      <c r="I270" s="211"/>
      <c r="J270" s="305"/>
      <c r="K270" s="305"/>
      <c r="L270" s="211"/>
      <c r="M270" s="211"/>
      <c r="N270" s="211"/>
      <c r="O270" s="211"/>
      <c r="P270" s="211"/>
      <c r="Q270" s="211"/>
      <c r="R270" s="211"/>
      <c r="S270" s="200"/>
      <c r="V270" s="211"/>
      <c r="Y270" s="211"/>
      <c r="Z270" s="305"/>
      <c r="AA270" s="211"/>
      <c r="AB270" s="211"/>
      <c r="AC270" s="211"/>
      <c r="AD270" s="211"/>
      <c r="AE270" s="211"/>
      <c r="AF270" s="211"/>
      <c r="AI270" s="211"/>
      <c r="AJ270" s="211"/>
      <c r="AK270" s="212"/>
      <c r="AL270" s="211"/>
    </row>
    <row r="271" spans="1:40" x14ac:dyDescent="0.25">
      <c r="A271" s="202"/>
      <c r="D271" s="154"/>
      <c r="E271" s="154"/>
      <c r="F271" s="200"/>
      <c r="H271" s="200"/>
      <c r="I271" s="200"/>
      <c r="J271" s="213"/>
      <c r="K271" s="213"/>
      <c r="L271" s="200"/>
      <c r="M271" s="200"/>
      <c r="N271" s="210"/>
      <c r="O271" s="210"/>
      <c r="P271" s="252"/>
      <c r="Q271" s="252"/>
      <c r="R271" s="200"/>
      <c r="S271" s="200"/>
      <c r="U271" s="154"/>
      <c r="V271" s="200"/>
      <c r="Y271" s="200"/>
      <c r="Z271" s="213"/>
      <c r="AA271" s="200"/>
      <c r="AB271" s="200"/>
      <c r="AC271" s="210"/>
      <c r="AD271" s="210"/>
      <c r="AE271" s="200"/>
      <c r="AF271" s="200"/>
      <c r="AG271" s="209"/>
      <c r="AH271" s="201"/>
      <c r="AI271" s="252"/>
      <c r="AJ271" s="252"/>
      <c r="AK271" s="209"/>
      <c r="AL271" s="200"/>
      <c r="AM271" s="210"/>
      <c r="AN271" s="210"/>
    </row>
    <row r="272" spans="1:40" x14ac:dyDescent="0.25">
      <c r="F272" s="211"/>
      <c r="H272" s="211"/>
      <c r="I272" s="211"/>
      <c r="J272" s="305"/>
      <c r="K272" s="305"/>
      <c r="L272" s="211"/>
      <c r="M272" s="211"/>
      <c r="N272" s="211"/>
      <c r="O272" s="211"/>
      <c r="P272" s="211"/>
      <c r="Q272" s="211"/>
      <c r="R272" s="211"/>
      <c r="S272" s="200"/>
      <c r="V272" s="211"/>
      <c r="Y272" s="211"/>
      <c r="Z272" s="305"/>
      <c r="AA272" s="211"/>
      <c r="AB272" s="211"/>
      <c r="AC272" s="211"/>
      <c r="AD272" s="211"/>
      <c r="AE272" s="211"/>
      <c r="AF272" s="211"/>
      <c r="AI272" s="211"/>
      <c r="AJ272" s="211"/>
      <c r="AK272" s="212"/>
      <c r="AL272" s="211"/>
    </row>
    <row r="273" spans="1:40" x14ac:dyDescent="0.25">
      <c r="R273" s="200"/>
    </row>
    <row r="274" spans="1:40" x14ac:dyDescent="0.25">
      <c r="F274" s="200"/>
      <c r="H274" s="200"/>
      <c r="I274" s="200"/>
      <c r="J274" s="213"/>
      <c r="K274" s="213"/>
      <c r="L274" s="200"/>
      <c r="M274" s="200"/>
      <c r="N274" s="200"/>
      <c r="O274" s="200"/>
      <c r="P274" s="200"/>
      <c r="Q274" s="200"/>
      <c r="R274" s="200"/>
      <c r="V274" s="200"/>
      <c r="Y274" s="200"/>
      <c r="Z274" s="213"/>
      <c r="AA274" s="200"/>
      <c r="AB274" s="200"/>
      <c r="AC274" s="200"/>
      <c r="AD274" s="200"/>
    </row>
    <row r="275" spans="1:40" x14ac:dyDescent="0.25">
      <c r="C275" s="154"/>
      <c r="F275" s="200"/>
      <c r="H275" s="200"/>
      <c r="I275" s="200"/>
      <c r="J275" s="213"/>
      <c r="K275" s="213"/>
      <c r="L275" s="200"/>
      <c r="M275" s="200"/>
      <c r="N275" s="200"/>
      <c r="O275" s="200"/>
      <c r="P275" s="200"/>
      <c r="Q275" s="200"/>
      <c r="R275" s="200"/>
      <c r="T275" s="154"/>
      <c r="V275" s="200"/>
      <c r="Y275" s="200"/>
      <c r="Z275" s="213"/>
      <c r="AA275" s="200"/>
      <c r="AB275" s="200"/>
      <c r="AC275" s="200"/>
      <c r="AD275" s="200"/>
    </row>
    <row r="276" spans="1:40" x14ac:dyDescent="0.25">
      <c r="C276" s="154"/>
      <c r="T276" s="154"/>
    </row>
    <row r="277" spans="1:40" x14ac:dyDescent="0.25">
      <c r="A277" s="154"/>
    </row>
    <row r="279" spans="1:40" x14ac:dyDescent="0.25">
      <c r="J279" s="202"/>
      <c r="K279" s="202"/>
      <c r="Z279" s="202"/>
    </row>
    <row r="280" spans="1:40" x14ac:dyDescent="0.25">
      <c r="H280" s="154"/>
      <c r="I280" s="154"/>
      <c r="Y280" s="154"/>
    </row>
    <row r="281" spans="1:40" x14ac:dyDescent="0.25">
      <c r="J281" s="202"/>
      <c r="K281" s="202"/>
      <c r="Z281" s="202"/>
    </row>
    <row r="282" spans="1:40" x14ac:dyDescent="0.25">
      <c r="L282" s="154"/>
      <c r="M282" s="154"/>
      <c r="AA282" s="154"/>
      <c r="AB282" s="154"/>
    </row>
    <row r="283" spans="1:40" x14ac:dyDescent="0.25">
      <c r="A283" s="202"/>
      <c r="R283" s="154"/>
      <c r="AK283" s="297"/>
      <c r="AL283" s="154"/>
    </row>
    <row r="284" spans="1:40" x14ac:dyDescent="0.25">
      <c r="A284" s="202"/>
      <c r="R284" s="154"/>
      <c r="AK284" s="297"/>
      <c r="AL284" s="154"/>
    </row>
    <row r="285" spans="1:40" x14ac:dyDescent="0.25">
      <c r="A285" s="154"/>
      <c r="R285" s="154"/>
      <c r="AK285" s="297"/>
      <c r="AL285" s="154"/>
    </row>
    <row r="286" spans="1:40" x14ac:dyDescent="0.25">
      <c r="L286" s="154"/>
      <c r="M286" s="154"/>
      <c r="R286" s="202"/>
      <c r="AA286" s="154"/>
      <c r="AB286" s="154"/>
      <c r="AK286" s="209"/>
      <c r="AL286" s="202"/>
    </row>
    <row r="287" spans="1:40" x14ac:dyDescent="0.25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208"/>
      <c r="AH287" s="102"/>
      <c r="AI287" s="102"/>
      <c r="AJ287" s="102"/>
      <c r="AK287" s="208"/>
      <c r="AL287" s="102"/>
      <c r="AM287" s="102"/>
      <c r="AN287" s="102"/>
    </row>
    <row r="288" spans="1:40" x14ac:dyDescent="0.25">
      <c r="L288" s="103"/>
      <c r="M288" s="103"/>
      <c r="N288" s="103"/>
      <c r="O288" s="103"/>
      <c r="R288" s="103"/>
      <c r="AA288" s="103"/>
      <c r="AB288" s="103"/>
      <c r="AC288" s="103"/>
      <c r="AD288" s="103"/>
      <c r="AE288" s="103"/>
      <c r="AF288" s="103"/>
      <c r="AG288" s="185"/>
      <c r="AH288" s="103"/>
      <c r="AK288" s="185"/>
      <c r="AL288" s="103"/>
      <c r="AM288" s="103"/>
      <c r="AN288" s="103"/>
    </row>
    <row r="289" spans="1:40" x14ac:dyDescent="0.25">
      <c r="L289" s="103"/>
      <c r="M289" s="103"/>
      <c r="N289" s="103"/>
      <c r="O289" s="103"/>
      <c r="R289" s="103"/>
      <c r="Z289" s="103"/>
      <c r="AA289" s="103"/>
      <c r="AB289" s="103"/>
      <c r="AC289" s="103"/>
      <c r="AD289" s="103"/>
      <c r="AE289" s="103"/>
      <c r="AF289" s="103"/>
      <c r="AG289" s="185"/>
      <c r="AH289" s="103"/>
      <c r="AK289" s="185"/>
      <c r="AL289" s="103"/>
      <c r="AM289" s="103"/>
      <c r="AN289" s="103"/>
    </row>
    <row r="290" spans="1:40" x14ac:dyDescent="0.25">
      <c r="A290" s="103"/>
      <c r="C290" s="103"/>
      <c r="D290" s="103"/>
      <c r="E290" s="103"/>
      <c r="F290" s="103"/>
      <c r="J290" s="103"/>
      <c r="K290" s="103"/>
      <c r="L290" s="103"/>
      <c r="M290" s="103"/>
      <c r="N290" s="103"/>
      <c r="O290" s="103"/>
      <c r="P290" s="103"/>
      <c r="Q290" s="103"/>
      <c r="R290" s="103"/>
      <c r="T290" s="103"/>
      <c r="U290" s="103"/>
      <c r="V290" s="103"/>
      <c r="Z290" s="103"/>
      <c r="AA290" s="103"/>
      <c r="AB290" s="103"/>
      <c r="AC290" s="103"/>
      <c r="AD290" s="103"/>
      <c r="AE290" s="103"/>
      <c r="AF290" s="103"/>
      <c r="AG290" s="185"/>
      <c r="AH290" s="103"/>
      <c r="AI290" s="103"/>
      <c r="AJ290" s="103"/>
      <c r="AK290" s="185"/>
      <c r="AL290" s="103"/>
      <c r="AM290" s="103"/>
      <c r="AN290" s="103"/>
    </row>
    <row r="291" spans="1:40" x14ac:dyDescent="0.25">
      <c r="A291" s="103"/>
      <c r="C291" s="103"/>
      <c r="D291" s="103"/>
      <c r="E291" s="103"/>
      <c r="F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T291" s="103"/>
      <c r="U291" s="103"/>
      <c r="V291" s="103"/>
      <c r="Y291" s="103"/>
      <c r="Z291" s="103"/>
      <c r="AA291" s="103"/>
      <c r="AB291" s="103"/>
      <c r="AC291" s="103"/>
      <c r="AD291" s="103"/>
      <c r="AE291" s="103"/>
      <c r="AF291" s="103"/>
      <c r="AG291" s="185"/>
      <c r="AH291" s="103"/>
      <c r="AI291" s="103"/>
      <c r="AJ291" s="103"/>
      <c r="AK291" s="185"/>
      <c r="AL291" s="103"/>
      <c r="AM291" s="103"/>
      <c r="AN291" s="103"/>
    </row>
    <row r="292" spans="1:40" x14ac:dyDescent="0.25">
      <c r="C292" s="103"/>
      <c r="D292" s="103"/>
      <c r="E292" s="103"/>
      <c r="F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T292" s="103"/>
      <c r="U292" s="103"/>
      <c r="V292" s="103"/>
      <c r="Y292" s="103"/>
      <c r="Z292" s="103"/>
      <c r="AA292" s="103"/>
      <c r="AB292" s="103"/>
      <c r="AC292" s="103"/>
      <c r="AD292" s="103"/>
      <c r="AE292" s="103"/>
      <c r="AF292" s="103"/>
      <c r="AG292" s="185"/>
      <c r="AH292" s="103"/>
      <c r="AI292" s="103"/>
      <c r="AJ292" s="103"/>
      <c r="AK292" s="185"/>
      <c r="AL292" s="103"/>
      <c r="AM292" s="103"/>
      <c r="AN292" s="103"/>
    </row>
    <row r="293" spans="1:40" x14ac:dyDescent="0.25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208"/>
      <c r="AH293" s="102"/>
      <c r="AI293" s="102"/>
      <c r="AJ293" s="102"/>
      <c r="AK293" s="208"/>
      <c r="AL293" s="102"/>
      <c r="AM293" s="102"/>
      <c r="AN293" s="102"/>
    </row>
    <row r="294" spans="1:40" x14ac:dyDescent="0.25"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Y294" s="103"/>
      <c r="Z294" s="103"/>
      <c r="AA294" s="103"/>
      <c r="AB294" s="103"/>
      <c r="AC294" s="103"/>
      <c r="AD294" s="103"/>
      <c r="AE294" s="103"/>
      <c r="AF294" s="103"/>
      <c r="AG294" s="185"/>
      <c r="AH294" s="103"/>
      <c r="AI294" s="103"/>
      <c r="AJ294" s="103"/>
      <c r="AK294" s="185"/>
      <c r="AL294" s="103"/>
      <c r="AM294" s="103"/>
      <c r="AN294" s="103"/>
    </row>
    <row r="295" spans="1:40" x14ac:dyDescent="0.25">
      <c r="A295" s="202"/>
      <c r="C295" s="154"/>
      <c r="D295" s="154"/>
      <c r="E295" s="154"/>
      <c r="T295" s="154"/>
      <c r="U295" s="154"/>
    </row>
    <row r="296" spans="1:40" x14ac:dyDescent="0.25">
      <c r="A296" s="202"/>
      <c r="D296" s="154"/>
      <c r="E296" s="154"/>
      <c r="U296" s="154"/>
    </row>
    <row r="298" spans="1:40" x14ac:dyDescent="0.25">
      <c r="A298" s="202"/>
      <c r="C298" s="154"/>
      <c r="F298" s="200"/>
      <c r="J298" s="215"/>
      <c r="K298" s="215"/>
      <c r="L298" s="200"/>
      <c r="M298" s="200"/>
      <c r="R298" s="200"/>
      <c r="T298" s="154"/>
      <c r="V298" s="200"/>
      <c r="Z298" s="215"/>
      <c r="AA298" s="200"/>
      <c r="AB298" s="200"/>
      <c r="AK298" s="209"/>
      <c r="AL298" s="200"/>
    </row>
    <row r="299" spans="1:40" x14ac:dyDescent="0.25">
      <c r="F299" s="200"/>
      <c r="R299" s="200"/>
      <c r="V299" s="200"/>
      <c r="AK299" s="209"/>
      <c r="AL299" s="200"/>
    </row>
    <row r="300" spans="1:40" x14ac:dyDescent="0.25">
      <c r="A300" s="202"/>
      <c r="C300" s="154"/>
      <c r="F300" s="252"/>
      <c r="H300" s="252"/>
      <c r="I300" s="252"/>
      <c r="J300" s="300"/>
      <c r="K300" s="300"/>
      <c r="L300" s="200"/>
      <c r="M300" s="200"/>
      <c r="N300" s="210"/>
      <c r="O300" s="210"/>
      <c r="P300" s="200"/>
      <c r="Q300" s="200"/>
      <c r="R300" s="200"/>
      <c r="T300" s="154"/>
      <c r="V300" s="200"/>
      <c r="Y300" s="200"/>
      <c r="Z300" s="300"/>
      <c r="AA300" s="200"/>
      <c r="AB300" s="200"/>
      <c r="AC300" s="210"/>
      <c r="AD300" s="210"/>
      <c r="AE300" s="200"/>
      <c r="AF300" s="200"/>
      <c r="AG300" s="209"/>
      <c r="AH300" s="201"/>
      <c r="AI300" s="200"/>
      <c r="AJ300" s="200"/>
      <c r="AK300" s="209"/>
      <c r="AL300" s="200"/>
      <c r="AM300" s="210"/>
      <c r="AN300" s="210"/>
    </row>
    <row r="301" spans="1:40" x14ac:dyDescent="0.25">
      <c r="A301" s="202"/>
      <c r="C301" s="154"/>
      <c r="F301" s="252"/>
      <c r="H301" s="317"/>
      <c r="I301" s="317"/>
      <c r="J301" s="300"/>
      <c r="K301" s="300"/>
      <c r="L301" s="200"/>
      <c r="M301" s="200"/>
      <c r="N301" s="210"/>
      <c r="O301" s="210"/>
      <c r="P301" s="200"/>
      <c r="Q301" s="200"/>
      <c r="R301" s="200"/>
      <c r="T301" s="154"/>
      <c r="V301" s="200"/>
      <c r="Y301" s="200"/>
      <c r="Z301" s="300"/>
      <c r="AA301" s="200"/>
      <c r="AB301" s="200"/>
      <c r="AC301" s="210"/>
      <c r="AD301" s="210"/>
      <c r="AE301" s="200"/>
      <c r="AF301" s="200"/>
      <c r="AG301" s="209"/>
      <c r="AH301" s="201"/>
      <c r="AI301" s="200"/>
      <c r="AJ301" s="200"/>
      <c r="AK301" s="209"/>
      <c r="AL301" s="200"/>
      <c r="AM301" s="210"/>
      <c r="AN301" s="210"/>
    </row>
    <row r="302" spans="1:40" x14ac:dyDescent="0.25">
      <c r="F302" s="211"/>
      <c r="H302" s="200"/>
      <c r="I302" s="200"/>
      <c r="J302" s="305"/>
      <c r="K302" s="305"/>
      <c r="L302" s="211"/>
      <c r="M302" s="211"/>
      <c r="N302" s="211"/>
      <c r="O302" s="211"/>
      <c r="P302" s="211"/>
      <c r="Q302" s="211"/>
      <c r="R302" s="211"/>
      <c r="V302" s="211"/>
      <c r="Y302" s="200"/>
      <c r="Z302" s="305"/>
      <c r="AA302" s="211"/>
      <c r="AB302" s="211"/>
      <c r="AC302" s="211"/>
      <c r="AD302" s="211"/>
      <c r="AE302" s="211"/>
      <c r="AF302" s="211"/>
      <c r="AI302" s="211"/>
      <c r="AJ302" s="211"/>
      <c r="AK302" s="212"/>
      <c r="AL302" s="211"/>
    </row>
    <row r="303" spans="1:40" x14ac:dyDescent="0.25">
      <c r="A303" s="202"/>
      <c r="C303" s="154"/>
      <c r="F303" s="200"/>
      <c r="H303" s="200"/>
      <c r="I303" s="200"/>
      <c r="J303" s="213"/>
      <c r="K303" s="213"/>
      <c r="L303" s="200"/>
      <c r="M303" s="200"/>
      <c r="N303" s="210"/>
      <c r="O303" s="210"/>
      <c r="P303" s="200"/>
      <c r="Q303" s="200"/>
      <c r="R303" s="200"/>
      <c r="T303" s="154"/>
      <c r="V303" s="200"/>
      <c r="Y303" s="200"/>
      <c r="Z303" s="213"/>
      <c r="AA303" s="200"/>
      <c r="AB303" s="200"/>
      <c r="AC303" s="210"/>
      <c r="AD303" s="210"/>
      <c r="AE303" s="200"/>
      <c r="AF303" s="200"/>
      <c r="AG303" s="209"/>
      <c r="AH303" s="201"/>
      <c r="AI303" s="200"/>
      <c r="AJ303" s="200"/>
      <c r="AK303" s="209"/>
      <c r="AL303" s="200"/>
      <c r="AM303" s="210"/>
      <c r="AN303" s="210"/>
    </row>
    <row r="304" spans="1:40" x14ac:dyDescent="0.25">
      <c r="F304" s="211"/>
      <c r="H304" s="200"/>
      <c r="I304" s="200"/>
      <c r="J304" s="305"/>
      <c r="K304" s="305"/>
      <c r="L304" s="211"/>
      <c r="M304" s="211"/>
      <c r="N304" s="211"/>
      <c r="O304" s="211"/>
      <c r="P304" s="211"/>
      <c r="Q304" s="211"/>
      <c r="R304" s="211"/>
      <c r="V304" s="211"/>
      <c r="Y304" s="200"/>
      <c r="Z304" s="305"/>
      <c r="AA304" s="211"/>
      <c r="AB304" s="211"/>
      <c r="AC304" s="211"/>
      <c r="AD304" s="211"/>
      <c r="AE304" s="211"/>
      <c r="AF304" s="211"/>
      <c r="AI304" s="211"/>
      <c r="AJ304" s="211"/>
      <c r="AK304" s="212"/>
      <c r="AL304" s="211"/>
    </row>
    <row r="305" spans="1:40" x14ac:dyDescent="0.25">
      <c r="F305" s="200"/>
      <c r="R305" s="200"/>
      <c r="V305" s="200"/>
      <c r="AK305" s="209"/>
      <c r="AL305" s="200"/>
    </row>
    <row r="306" spans="1:40" x14ac:dyDescent="0.25">
      <c r="A306" s="202"/>
      <c r="C306" s="154"/>
      <c r="F306" s="200"/>
      <c r="R306" s="200"/>
      <c r="T306" s="154"/>
      <c r="V306" s="200"/>
      <c r="AK306" s="209"/>
      <c r="AL306" s="200"/>
    </row>
    <row r="307" spans="1:40" x14ac:dyDescent="0.25">
      <c r="F307" s="200"/>
      <c r="R307" s="200"/>
      <c r="V307" s="200"/>
      <c r="AK307" s="209"/>
      <c r="AL307" s="200"/>
    </row>
    <row r="308" spans="1:40" x14ac:dyDescent="0.25">
      <c r="A308" s="202"/>
      <c r="C308" s="154"/>
      <c r="F308" s="200"/>
      <c r="H308" s="252"/>
      <c r="I308" s="252"/>
      <c r="J308" s="320"/>
      <c r="K308" s="320"/>
      <c r="L308" s="200"/>
      <c r="M308" s="200"/>
      <c r="N308" s="210"/>
      <c r="O308" s="210"/>
      <c r="P308" s="252"/>
      <c r="Q308" s="252"/>
      <c r="R308" s="200"/>
      <c r="T308" s="154"/>
      <c r="V308" s="200"/>
      <c r="Y308" s="200"/>
      <c r="Z308" s="304"/>
      <c r="AA308" s="200"/>
      <c r="AB308" s="200"/>
      <c r="AC308" s="210"/>
      <c r="AD308" s="210"/>
      <c r="AE308" s="200"/>
      <c r="AF308" s="200"/>
      <c r="AG308" s="209"/>
      <c r="AH308" s="201"/>
      <c r="AI308" s="252"/>
      <c r="AJ308" s="252"/>
      <c r="AK308" s="209"/>
      <c r="AL308" s="200"/>
      <c r="AM308" s="210"/>
      <c r="AN308" s="210"/>
    </row>
    <row r="309" spans="1:40" x14ac:dyDescent="0.25">
      <c r="F309" s="211"/>
      <c r="H309" s="211"/>
      <c r="I309" s="211"/>
      <c r="J309" s="305"/>
      <c r="K309" s="305"/>
      <c r="L309" s="211"/>
      <c r="M309" s="211"/>
      <c r="N309" s="211"/>
      <c r="O309" s="211"/>
      <c r="P309" s="211"/>
      <c r="Q309" s="211"/>
      <c r="R309" s="211"/>
      <c r="V309" s="211"/>
      <c r="Y309" s="211"/>
      <c r="Z309" s="305"/>
      <c r="AA309" s="211"/>
      <c r="AB309" s="211"/>
      <c r="AC309" s="211"/>
      <c r="AD309" s="211"/>
      <c r="AE309" s="211"/>
      <c r="AF309" s="211"/>
      <c r="AI309" s="211"/>
      <c r="AJ309" s="211"/>
      <c r="AK309" s="212"/>
      <c r="AL309" s="211"/>
    </row>
    <row r="311" spans="1:40" x14ac:dyDescent="0.25">
      <c r="A311" s="202"/>
      <c r="C311" s="154"/>
      <c r="F311" s="200"/>
      <c r="H311" s="200"/>
      <c r="I311" s="200"/>
      <c r="J311" s="215"/>
      <c r="K311" s="215"/>
      <c r="L311" s="200"/>
      <c r="M311" s="200"/>
      <c r="N311" s="210"/>
      <c r="O311" s="210"/>
      <c r="P311" s="200"/>
      <c r="Q311" s="200"/>
      <c r="R311" s="200"/>
      <c r="T311" s="154"/>
      <c r="V311" s="200"/>
      <c r="Y311" s="200"/>
      <c r="Z311" s="215"/>
      <c r="AA311" s="200"/>
      <c r="AB311" s="200"/>
      <c r="AC311" s="210"/>
      <c r="AD311" s="210"/>
      <c r="AE311" s="200"/>
      <c r="AF311" s="200"/>
      <c r="AG311" s="209"/>
      <c r="AH311" s="201"/>
      <c r="AI311" s="200"/>
      <c r="AJ311" s="200"/>
      <c r="AK311" s="209"/>
      <c r="AL311" s="200"/>
      <c r="AM311" s="210"/>
      <c r="AN311" s="210"/>
    </row>
    <row r="312" spans="1:40" x14ac:dyDescent="0.25">
      <c r="F312" s="211"/>
      <c r="H312" s="211"/>
      <c r="I312" s="211"/>
      <c r="J312" s="305"/>
      <c r="K312" s="305"/>
      <c r="L312" s="211"/>
      <c r="M312" s="211"/>
      <c r="N312" s="211"/>
      <c r="O312" s="211"/>
      <c r="P312" s="211"/>
      <c r="Q312" s="211"/>
      <c r="R312" s="211"/>
      <c r="V312" s="211"/>
      <c r="Y312" s="211"/>
      <c r="Z312" s="305"/>
      <c r="AA312" s="211"/>
      <c r="AB312" s="211"/>
      <c r="AC312" s="211"/>
      <c r="AD312" s="211"/>
      <c r="AE312" s="211"/>
      <c r="AF312" s="211"/>
      <c r="AI312" s="211"/>
      <c r="AJ312" s="211"/>
      <c r="AK312" s="212"/>
      <c r="AL312" s="211"/>
    </row>
    <row r="313" spans="1:40" x14ac:dyDescent="0.25">
      <c r="R313" s="200"/>
      <c r="AG313" s="209"/>
      <c r="AH313" s="200"/>
    </row>
    <row r="314" spans="1:40" x14ac:dyDescent="0.25">
      <c r="F314" s="200"/>
      <c r="H314" s="200"/>
      <c r="I314" s="200"/>
      <c r="J314" s="213"/>
      <c r="K314" s="213"/>
      <c r="L314" s="200"/>
      <c r="M314" s="200"/>
      <c r="N314" s="200"/>
      <c r="O314" s="200"/>
      <c r="P314" s="200"/>
      <c r="Q314" s="200"/>
      <c r="R314" s="200"/>
      <c r="V314" s="200"/>
      <c r="Y314" s="200"/>
      <c r="Z314" s="213"/>
      <c r="AA314" s="200"/>
      <c r="AB314" s="200"/>
      <c r="AC314" s="200"/>
      <c r="AD314" s="200"/>
      <c r="AE314" s="200"/>
      <c r="AF314" s="200"/>
      <c r="AG314" s="209"/>
      <c r="AH314" s="200"/>
    </row>
    <row r="315" spans="1:40" x14ac:dyDescent="0.25">
      <c r="C315" s="154"/>
      <c r="F315" s="200"/>
      <c r="H315" s="200"/>
      <c r="I315" s="200"/>
      <c r="J315" s="213"/>
      <c r="K315" s="213"/>
      <c r="L315" s="200"/>
      <c r="M315" s="200"/>
      <c r="N315" s="200"/>
      <c r="O315" s="200"/>
      <c r="P315" s="200"/>
      <c r="Q315" s="200"/>
      <c r="R315" s="200"/>
      <c r="T315" s="154"/>
      <c r="V315" s="200"/>
      <c r="Y315" s="200"/>
      <c r="Z315" s="213"/>
      <c r="AA315" s="200"/>
      <c r="AB315" s="200"/>
      <c r="AC315" s="200"/>
      <c r="AD315" s="200"/>
      <c r="AE315" s="200"/>
      <c r="AF315" s="200"/>
      <c r="AG315" s="209"/>
      <c r="AH315" s="200"/>
    </row>
    <row r="316" spans="1:40" x14ac:dyDescent="0.25">
      <c r="A316" s="154"/>
    </row>
    <row r="318" spans="1:40" x14ac:dyDescent="0.25">
      <c r="J318" s="202"/>
      <c r="K318" s="202"/>
      <c r="Z318" s="202"/>
    </row>
    <row r="319" spans="1:40" x14ac:dyDescent="0.25">
      <c r="H319" s="154"/>
      <c r="I319" s="154"/>
      <c r="Y319" s="154"/>
    </row>
    <row r="320" spans="1:40" x14ac:dyDescent="0.25">
      <c r="J320" s="202"/>
      <c r="K320" s="202"/>
      <c r="Z320" s="202"/>
    </row>
    <row r="321" spans="1:40" x14ac:dyDescent="0.25">
      <c r="L321" s="154"/>
      <c r="M321" s="154"/>
      <c r="AA321" s="154"/>
      <c r="AB321" s="154"/>
    </row>
    <row r="322" spans="1:40" x14ac:dyDescent="0.25">
      <c r="A322" s="202"/>
      <c r="R322" s="154"/>
      <c r="AK322" s="297"/>
      <c r="AL322" s="154"/>
    </row>
    <row r="323" spans="1:40" x14ac:dyDescent="0.25">
      <c r="A323" s="202"/>
      <c r="R323" s="154"/>
      <c r="AK323" s="297"/>
      <c r="AL323" s="154"/>
    </row>
    <row r="324" spans="1:40" x14ac:dyDescent="0.25">
      <c r="A324" s="154"/>
      <c r="R324" s="154"/>
      <c r="AK324" s="297"/>
      <c r="AL324" s="154"/>
    </row>
    <row r="325" spans="1:40" x14ac:dyDescent="0.25">
      <c r="L325" s="154"/>
      <c r="M325" s="154"/>
      <c r="R325" s="202"/>
      <c r="AA325" s="154"/>
      <c r="AB325" s="154"/>
      <c r="AK325" s="209"/>
      <c r="AL325" s="202"/>
    </row>
    <row r="326" spans="1:40" x14ac:dyDescent="0.25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208"/>
      <c r="AH326" s="102"/>
      <c r="AI326" s="102"/>
      <c r="AJ326" s="102"/>
      <c r="AK326" s="208"/>
      <c r="AL326" s="102"/>
      <c r="AM326" s="102"/>
      <c r="AN326" s="102"/>
    </row>
    <row r="327" spans="1:40" x14ac:dyDescent="0.25">
      <c r="L327" s="103"/>
      <c r="M327" s="103"/>
      <c r="N327" s="103"/>
      <c r="O327" s="103"/>
      <c r="R327" s="103"/>
      <c r="AA327" s="103"/>
      <c r="AB327" s="103"/>
      <c r="AC327" s="103"/>
      <c r="AD327" s="103"/>
      <c r="AE327" s="103"/>
      <c r="AF327" s="103"/>
      <c r="AG327" s="185"/>
      <c r="AH327" s="103"/>
      <c r="AK327" s="185"/>
      <c r="AL327" s="103"/>
      <c r="AM327" s="103"/>
      <c r="AN327" s="103"/>
    </row>
    <row r="328" spans="1:40" x14ac:dyDescent="0.25">
      <c r="L328" s="103"/>
      <c r="M328" s="103"/>
      <c r="N328" s="103"/>
      <c r="O328" s="103"/>
      <c r="R328" s="103"/>
      <c r="Z328" s="103"/>
      <c r="AA328" s="103"/>
      <c r="AB328" s="103"/>
      <c r="AC328" s="103"/>
      <c r="AD328" s="103"/>
      <c r="AE328" s="103"/>
      <c r="AF328" s="103"/>
      <c r="AG328" s="185"/>
      <c r="AH328" s="103"/>
      <c r="AK328" s="185"/>
      <c r="AL328" s="103"/>
      <c r="AM328" s="103"/>
      <c r="AN328" s="103"/>
    </row>
    <row r="329" spans="1:40" x14ac:dyDescent="0.25">
      <c r="A329" s="103"/>
      <c r="C329" s="103"/>
      <c r="D329" s="103"/>
      <c r="E329" s="103"/>
      <c r="F329" s="103"/>
      <c r="J329" s="103"/>
      <c r="K329" s="103"/>
      <c r="L329" s="103"/>
      <c r="M329" s="103"/>
      <c r="N329" s="103"/>
      <c r="O329" s="103"/>
      <c r="P329" s="103"/>
      <c r="Q329" s="103"/>
      <c r="R329" s="103"/>
      <c r="T329" s="103"/>
      <c r="U329" s="103"/>
      <c r="V329" s="103"/>
      <c r="Z329" s="103"/>
      <c r="AA329" s="103"/>
      <c r="AB329" s="103"/>
      <c r="AC329" s="103"/>
      <c r="AD329" s="103"/>
      <c r="AE329" s="103"/>
      <c r="AF329" s="103"/>
      <c r="AG329" s="185"/>
      <c r="AH329" s="103"/>
      <c r="AI329" s="103"/>
      <c r="AJ329" s="103"/>
      <c r="AK329" s="185"/>
      <c r="AL329" s="103"/>
      <c r="AM329" s="103"/>
      <c r="AN329" s="103"/>
    </row>
    <row r="330" spans="1:40" x14ac:dyDescent="0.25">
      <c r="A330" s="103"/>
      <c r="C330" s="103"/>
      <c r="D330" s="103"/>
      <c r="E330" s="103"/>
      <c r="F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T330" s="103"/>
      <c r="U330" s="103"/>
      <c r="V330" s="103"/>
      <c r="Y330" s="103"/>
      <c r="Z330" s="103"/>
      <c r="AA330" s="103"/>
      <c r="AB330" s="103"/>
      <c r="AC330" s="103"/>
      <c r="AD330" s="103"/>
      <c r="AE330" s="103"/>
      <c r="AF330" s="103"/>
      <c r="AG330" s="185"/>
      <c r="AH330" s="103"/>
      <c r="AI330" s="103"/>
      <c r="AJ330" s="103"/>
      <c r="AK330" s="185"/>
      <c r="AL330" s="103"/>
      <c r="AM330" s="103"/>
      <c r="AN330" s="103"/>
    </row>
    <row r="331" spans="1:40" x14ac:dyDescent="0.25">
      <c r="C331" s="103"/>
      <c r="D331" s="103"/>
      <c r="E331" s="103"/>
      <c r="F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T331" s="103"/>
      <c r="U331" s="103"/>
      <c r="V331" s="103"/>
      <c r="Y331" s="103"/>
      <c r="Z331" s="103"/>
      <c r="AA331" s="103"/>
      <c r="AB331" s="103"/>
      <c r="AC331" s="103"/>
      <c r="AD331" s="103"/>
      <c r="AE331" s="103"/>
      <c r="AF331" s="103"/>
      <c r="AG331" s="185"/>
      <c r="AH331" s="103"/>
      <c r="AI331" s="103"/>
      <c r="AJ331" s="103"/>
      <c r="AK331" s="185"/>
      <c r="AL331" s="103"/>
      <c r="AM331" s="103"/>
      <c r="AN331" s="103"/>
    </row>
    <row r="332" spans="1:40" x14ac:dyDescent="0.2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208"/>
      <c r="AH332" s="102"/>
      <c r="AI332" s="102"/>
      <c r="AJ332" s="102"/>
      <c r="AK332" s="208"/>
      <c r="AL332" s="102"/>
      <c r="AM332" s="102"/>
      <c r="AN332" s="102"/>
    </row>
    <row r="333" spans="1:40" x14ac:dyDescent="0.25"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Y333" s="103"/>
      <c r="Z333" s="103"/>
      <c r="AA333" s="103"/>
      <c r="AB333" s="103"/>
      <c r="AC333" s="103"/>
      <c r="AD333" s="103"/>
      <c r="AE333" s="103"/>
      <c r="AF333" s="103"/>
      <c r="AG333" s="185"/>
      <c r="AH333" s="103"/>
      <c r="AI333" s="103"/>
      <c r="AJ333" s="103"/>
      <c r="AK333" s="185"/>
      <c r="AL333" s="103"/>
      <c r="AM333" s="103"/>
      <c r="AN333" s="103"/>
    </row>
    <row r="334" spans="1:40" x14ac:dyDescent="0.25">
      <c r="A334" s="202"/>
      <c r="C334" s="154"/>
      <c r="D334" s="154"/>
      <c r="E334" s="154"/>
      <c r="T334" s="154"/>
      <c r="U334" s="154"/>
    </row>
    <row r="335" spans="1:40" x14ac:dyDescent="0.25">
      <c r="A335" s="202"/>
      <c r="C335" s="154"/>
      <c r="T335" s="154"/>
    </row>
    <row r="337" spans="1:40" x14ac:dyDescent="0.25">
      <c r="A337" s="202"/>
      <c r="C337" s="154"/>
      <c r="F337" s="252"/>
      <c r="H337" s="252"/>
      <c r="I337" s="252"/>
      <c r="J337" s="300"/>
      <c r="K337" s="300"/>
      <c r="L337" s="200"/>
      <c r="M337" s="200"/>
      <c r="N337" s="210"/>
      <c r="O337" s="210"/>
      <c r="P337" s="202"/>
      <c r="Q337" s="202"/>
      <c r="R337" s="200"/>
      <c r="T337" s="154"/>
      <c r="V337" s="200"/>
      <c r="Y337" s="252"/>
      <c r="Z337" s="300"/>
      <c r="AA337" s="200"/>
      <c r="AB337" s="200"/>
      <c r="AC337" s="210"/>
      <c r="AD337" s="210"/>
      <c r="AE337" s="200"/>
      <c r="AF337" s="200"/>
      <c r="AG337" s="209"/>
      <c r="AH337" s="201"/>
      <c r="AI337" s="202"/>
      <c r="AJ337" s="202"/>
      <c r="AK337" s="209"/>
      <c r="AL337" s="200"/>
      <c r="AM337" s="210"/>
      <c r="AN337" s="210"/>
    </row>
    <row r="338" spans="1:40" x14ac:dyDescent="0.25">
      <c r="F338" s="211"/>
      <c r="H338" s="200"/>
      <c r="I338" s="200"/>
      <c r="J338" s="305"/>
      <c r="K338" s="305"/>
      <c r="L338" s="211"/>
      <c r="M338" s="211"/>
      <c r="N338" s="211"/>
      <c r="O338" s="211"/>
      <c r="P338" s="211"/>
      <c r="Q338" s="211"/>
      <c r="R338" s="211"/>
      <c r="V338" s="211"/>
      <c r="Y338" s="200"/>
      <c r="Z338" s="305"/>
      <c r="AA338" s="211"/>
      <c r="AB338" s="211"/>
      <c r="AC338" s="211"/>
      <c r="AD338" s="211"/>
      <c r="AE338" s="211"/>
      <c r="AF338" s="211"/>
      <c r="AI338" s="211"/>
      <c r="AJ338" s="211"/>
      <c r="AK338" s="212"/>
      <c r="AL338" s="211"/>
      <c r="AM338" s="210"/>
      <c r="AN338" s="210"/>
    </row>
    <row r="339" spans="1:40" x14ac:dyDescent="0.25">
      <c r="A339" s="202"/>
      <c r="C339" s="154"/>
      <c r="F339" s="252"/>
      <c r="H339" s="252"/>
      <c r="I339" s="252"/>
      <c r="J339" s="328"/>
      <c r="K339" s="328"/>
      <c r="L339" s="200"/>
      <c r="M339" s="200"/>
      <c r="N339" s="210"/>
      <c r="O339" s="210"/>
      <c r="P339" s="200"/>
      <c r="Q339" s="200"/>
      <c r="R339" s="200"/>
      <c r="S339" s="200"/>
      <c r="T339" s="154"/>
      <c r="V339" s="252"/>
      <c r="Y339" s="252"/>
      <c r="Z339" s="328"/>
      <c r="AA339" s="200"/>
      <c r="AB339" s="200"/>
      <c r="AC339" s="210"/>
      <c r="AD339" s="210"/>
      <c r="AE339" s="200"/>
      <c r="AF339" s="200"/>
      <c r="AG339" s="209"/>
      <c r="AH339" s="210"/>
      <c r="AI339" s="200"/>
      <c r="AJ339" s="200"/>
      <c r="AK339" s="209"/>
      <c r="AL339" s="200"/>
      <c r="AM339" s="210"/>
      <c r="AN339" s="210"/>
    </row>
    <row r="340" spans="1:40" x14ac:dyDescent="0.25">
      <c r="A340" s="202"/>
      <c r="C340" s="154"/>
      <c r="F340" s="252"/>
      <c r="H340" s="252"/>
      <c r="I340" s="252"/>
      <c r="J340" s="300"/>
      <c r="K340" s="300"/>
      <c r="L340" s="200"/>
      <c r="M340" s="200"/>
      <c r="N340" s="210"/>
      <c r="O340" s="210"/>
      <c r="P340" s="200"/>
      <c r="Q340" s="200"/>
      <c r="R340" s="200"/>
      <c r="T340" s="154"/>
      <c r="V340" s="252"/>
      <c r="Y340" s="200"/>
      <c r="Z340" s="300"/>
      <c r="AA340" s="200"/>
      <c r="AB340" s="200"/>
      <c r="AC340" s="210"/>
      <c r="AD340" s="210"/>
      <c r="AE340" s="200"/>
      <c r="AF340" s="200"/>
      <c r="AG340" s="209"/>
      <c r="AH340" s="201"/>
      <c r="AI340" s="200"/>
      <c r="AJ340" s="200"/>
      <c r="AK340" s="209"/>
      <c r="AL340" s="200"/>
      <c r="AM340" s="210"/>
      <c r="AN340" s="210"/>
    </row>
    <row r="341" spans="1:40" x14ac:dyDescent="0.25">
      <c r="A341" s="202"/>
      <c r="C341" s="154"/>
      <c r="F341" s="252"/>
      <c r="H341" s="252"/>
      <c r="I341" s="252"/>
      <c r="J341" s="300"/>
      <c r="K341" s="300"/>
      <c r="L341" s="200"/>
      <c r="M341" s="200"/>
      <c r="N341" s="210"/>
      <c r="O341" s="210"/>
      <c r="P341" s="200"/>
      <c r="Q341" s="200"/>
      <c r="R341" s="200"/>
      <c r="T341" s="154"/>
      <c r="V341" s="252"/>
      <c r="Y341" s="200"/>
      <c r="Z341" s="300"/>
      <c r="AA341" s="200"/>
      <c r="AB341" s="200"/>
      <c r="AC341" s="210"/>
      <c r="AD341" s="210"/>
      <c r="AE341" s="200"/>
      <c r="AF341" s="200"/>
      <c r="AG341" s="209"/>
      <c r="AH341" s="201"/>
      <c r="AI341" s="200"/>
      <c r="AJ341" s="200"/>
      <c r="AK341" s="209"/>
      <c r="AL341" s="200"/>
      <c r="AM341" s="210"/>
      <c r="AN341" s="210"/>
    </row>
    <row r="342" spans="1:40" x14ac:dyDescent="0.25">
      <c r="F342" s="211"/>
      <c r="H342" s="211"/>
      <c r="I342" s="211"/>
      <c r="J342" s="305"/>
      <c r="K342" s="305"/>
      <c r="L342" s="211"/>
      <c r="M342" s="211"/>
      <c r="N342" s="211"/>
      <c r="O342" s="211"/>
      <c r="P342" s="211"/>
      <c r="Q342" s="211"/>
      <c r="R342" s="211"/>
      <c r="V342" s="211"/>
      <c r="Y342" s="211"/>
      <c r="Z342" s="305"/>
      <c r="AA342" s="211"/>
      <c r="AB342" s="211"/>
      <c r="AC342" s="211"/>
      <c r="AD342" s="211"/>
      <c r="AE342" s="211"/>
      <c r="AF342" s="211"/>
      <c r="AI342" s="211"/>
      <c r="AJ342" s="211"/>
      <c r="AK342" s="212"/>
      <c r="AL342" s="211"/>
      <c r="AM342" s="210"/>
      <c r="AN342" s="210"/>
    </row>
    <row r="343" spans="1:40" x14ac:dyDescent="0.25">
      <c r="A343" s="202"/>
      <c r="C343" s="154"/>
      <c r="F343" s="200"/>
      <c r="H343" s="200"/>
      <c r="I343" s="200"/>
      <c r="J343" s="213"/>
      <c r="K343" s="213"/>
      <c r="L343" s="200"/>
      <c r="M343" s="200"/>
      <c r="N343" s="210"/>
      <c r="O343" s="210"/>
      <c r="P343" s="200"/>
      <c r="Q343" s="200"/>
      <c r="R343" s="200"/>
      <c r="T343" s="154"/>
      <c r="V343" s="200"/>
      <c r="Y343" s="200"/>
      <c r="Z343" s="213"/>
      <c r="AA343" s="200"/>
      <c r="AB343" s="200"/>
      <c r="AC343" s="210"/>
      <c r="AD343" s="210"/>
      <c r="AE343" s="200"/>
      <c r="AF343" s="200"/>
      <c r="AG343" s="209"/>
      <c r="AH343" s="201"/>
      <c r="AI343" s="200"/>
      <c r="AJ343" s="200"/>
      <c r="AK343" s="209"/>
      <c r="AL343" s="200"/>
      <c r="AM343" s="210"/>
      <c r="AN343" s="210"/>
    </row>
    <row r="344" spans="1:40" x14ac:dyDescent="0.25">
      <c r="F344" s="211"/>
      <c r="H344" s="211"/>
      <c r="I344" s="211"/>
      <c r="J344" s="305"/>
      <c r="K344" s="305"/>
      <c r="L344" s="211"/>
      <c r="M344" s="211"/>
      <c r="N344" s="211"/>
      <c r="O344" s="211"/>
      <c r="P344" s="211"/>
      <c r="Q344" s="211"/>
      <c r="R344" s="211"/>
      <c r="V344" s="211"/>
      <c r="Y344" s="211"/>
      <c r="Z344" s="305"/>
      <c r="AA344" s="211"/>
      <c r="AB344" s="211"/>
      <c r="AC344" s="211"/>
      <c r="AD344" s="211"/>
      <c r="AE344" s="211"/>
      <c r="AF344" s="211"/>
      <c r="AI344" s="211"/>
      <c r="AJ344" s="211"/>
      <c r="AK344" s="212"/>
      <c r="AL344" s="211"/>
      <c r="AM344" s="210"/>
      <c r="AN344" s="210"/>
    </row>
    <row r="345" spans="1:40" x14ac:dyDescent="0.25">
      <c r="A345" s="202"/>
      <c r="C345" s="154"/>
      <c r="F345" s="200"/>
      <c r="H345" s="200"/>
      <c r="I345" s="200"/>
      <c r="J345" s="213"/>
      <c r="K345" s="213"/>
      <c r="L345" s="200"/>
      <c r="M345" s="200"/>
      <c r="N345" s="210"/>
      <c r="O345" s="210"/>
      <c r="P345" s="200"/>
      <c r="Q345" s="200"/>
      <c r="R345" s="200"/>
      <c r="T345" s="154"/>
      <c r="V345" s="200"/>
      <c r="Y345" s="200"/>
      <c r="Z345" s="213"/>
      <c r="AA345" s="200"/>
      <c r="AB345" s="200"/>
      <c r="AC345" s="210"/>
      <c r="AD345" s="210"/>
      <c r="AE345" s="200"/>
      <c r="AF345" s="200"/>
      <c r="AG345" s="209"/>
      <c r="AH345" s="201"/>
      <c r="AI345" s="200"/>
      <c r="AJ345" s="200"/>
      <c r="AK345" s="209"/>
      <c r="AL345" s="200"/>
      <c r="AM345" s="210"/>
      <c r="AN345" s="210"/>
    </row>
    <row r="346" spans="1:40" x14ac:dyDescent="0.25">
      <c r="A346" s="202"/>
      <c r="C346" s="154"/>
      <c r="F346" s="200"/>
      <c r="H346" s="252"/>
      <c r="I346" s="252"/>
      <c r="J346" s="320"/>
      <c r="K346" s="320"/>
      <c r="L346" s="200"/>
      <c r="M346" s="200"/>
      <c r="N346" s="210"/>
      <c r="O346" s="210"/>
      <c r="P346" s="200"/>
      <c r="Q346" s="200"/>
      <c r="R346" s="200"/>
      <c r="T346" s="154"/>
      <c r="V346" s="200"/>
      <c r="Y346" s="200"/>
      <c r="Z346" s="304"/>
      <c r="AA346" s="200"/>
      <c r="AB346" s="200"/>
      <c r="AC346" s="210"/>
      <c r="AD346" s="210"/>
      <c r="AE346" s="200"/>
      <c r="AF346" s="200"/>
      <c r="AG346" s="209"/>
      <c r="AH346" s="201"/>
      <c r="AI346" s="200"/>
      <c r="AJ346" s="200"/>
      <c r="AK346" s="209"/>
      <c r="AL346" s="200"/>
      <c r="AM346" s="210"/>
      <c r="AN346" s="210"/>
    </row>
    <row r="347" spans="1:40" x14ac:dyDescent="0.25">
      <c r="F347" s="211"/>
      <c r="H347" s="211"/>
      <c r="I347" s="211"/>
      <c r="J347" s="305"/>
      <c r="K347" s="305"/>
      <c r="L347" s="211"/>
      <c r="M347" s="211"/>
      <c r="N347" s="211"/>
      <c r="O347" s="211"/>
      <c r="P347" s="211"/>
      <c r="Q347" s="211"/>
      <c r="R347" s="211"/>
      <c r="V347" s="211"/>
      <c r="Y347" s="211"/>
      <c r="Z347" s="305"/>
      <c r="AA347" s="211"/>
      <c r="AB347" s="211"/>
      <c r="AC347" s="211"/>
      <c r="AD347" s="211"/>
      <c r="AE347" s="211"/>
      <c r="AF347" s="211"/>
      <c r="AI347" s="211"/>
      <c r="AJ347" s="211"/>
      <c r="AK347" s="212"/>
      <c r="AL347" s="211"/>
      <c r="AM347" s="210"/>
      <c r="AN347" s="210"/>
    </row>
    <row r="349" spans="1:40" x14ac:dyDescent="0.25">
      <c r="A349" s="202"/>
      <c r="C349" s="154"/>
      <c r="F349" s="200"/>
      <c r="H349" s="200"/>
      <c r="I349" s="200"/>
      <c r="J349" s="305"/>
      <c r="K349" s="305"/>
      <c r="L349" s="200"/>
      <c r="M349" s="200"/>
      <c r="N349" s="210"/>
      <c r="O349" s="210"/>
      <c r="P349" s="200"/>
      <c r="Q349" s="200"/>
      <c r="R349" s="200"/>
      <c r="S349" s="200"/>
      <c r="T349" s="154"/>
      <c r="V349" s="200"/>
      <c r="Y349" s="200"/>
      <c r="Z349" s="305"/>
      <c r="AA349" s="200"/>
      <c r="AB349" s="200"/>
      <c r="AC349" s="210"/>
      <c r="AD349" s="210"/>
      <c r="AE349" s="200"/>
      <c r="AF349" s="200"/>
      <c r="AG349" s="209"/>
      <c r="AH349" s="210"/>
      <c r="AI349" s="200"/>
      <c r="AJ349" s="200"/>
      <c r="AK349" s="209"/>
      <c r="AL349" s="200"/>
      <c r="AM349" s="210"/>
      <c r="AN349" s="210"/>
    </row>
    <row r="350" spans="1:40" x14ac:dyDescent="0.25">
      <c r="F350" s="211"/>
      <c r="H350" s="211"/>
      <c r="I350" s="211"/>
      <c r="J350" s="305"/>
      <c r="K350" s="305"/>
      <c r="L350" s="211"/>
      <c r="M350" s="211"/>
      <c r="N350" s="211"/>
      <c r="O350" s="211"/>
      <c r="P350" s="211"/>
      <c r="Q350" s="211"/>
      <c r="R350" s="211"/>
      <c r="S350" s="200"/>
      <c r="V350" s="211"/>
      <c r="Y350" s="211"/>
      <c r="Z350" s="305"/>
      <c r="AA350" s="211"/>
      <c r="AB350" s="211"/>
      <c r="AC350" s="211"/>
      <c r="AD350" s="211"/>
      <c r="AE350" s="211"/>
      <c r="AF350" s="211"/>
      <c r="AI350" s="211"/>
      <c r="AJ350" s="211"/>
      <c r="AK350" s="212"/>
      <c r="AL350" s="211"/>
      <c r="AM350" s="210"/>
      <c r="AN350" s="210"/>
    </row>
    <row r="351" spans="1:40" x14ac:dyDescent="0.25">
      <c r="A351" s="202"/>
      <c r="C351" s="154"/>
      <c r="F351" s="252"/>
      <c r="H351" s="252"/>
      <c r="I351" s="252"/>
      <c r="J351" s="305"/>
      <c r="K351" s="305"/>
      <c r="L351" s="200"/>
      <c r="M351" s="200"/>
      <c r="N351" s="210"/>
      <c r="O351" s="210"/>
      <c r="P351" s="200"/>
      <c r="Q351" s="200"/>
      <c r="R351" s="200"/>
      <c r="S351" s="200"/>
      <c r="T351" s="154"/>
      <c r="V351" s="252"/>
      <c r="Y351" s="252"/>
      <c r="Z351" s="305"/>
      <c r="AA351" s="200"/>
      <c r="AB351" s="200"/>
      <c r="AC351" s="210"/>
      <c r="AD351" s="210"/>
      <c r="AE351" s="200"/>
      <c r="AF351" s="200"/>
      <c r="AI351" s="200"/>
      <c r="AJ351" s="200"/>
      <c r="AK351" s="209"/>
      <c r="AL351" s="200"/>
      <c r="AM351" s="210"/>
      <c r="AN351" s="210"/>
    </row>
    <row r="353" spans="1:40" x14ac:dyDescent="0.25">
      <c r="A353" s="202"/>
      <c r="C353" s="154"/>
      <c r="F353" s="252"/>
      <c r="H353" s="252"/>
      <c r="I353" s="252"/>
      <c r="J353" s="300"/>
      <c r="K353" s="300"/>
      <c r="L353" s="200"/>
      <c r="M353" s="200"/>
      <c r="N353" s="210"/>
      <c r="O353" s="210"/>
      <c r="P353" s="202"/>
      <c r="Q353" s="202"/>
      <c r="R353" s="200"/>
      <c r="T353" s="154"/>
      <c r="V353" s="200"/>
      <c r="Y353" s="252"/>
      <c r="Z353" s="300"/>
      <c r="AA353" s="200"/>
      <c r="AB353" s="200"/>
      <c r="AC353" s="210"/>
      <c r="AD353" s="210"/>
      <c r="AE353" s="200"/>
      <c r="AF353" s="200"/>
      <c r="AG353" s="209"/>
      <c r="AH353" s="201"/>
      <c r="AI353" s="202"/>
      <c r="AJ353" s="202"/>
      <c r="AK353" s="209"/>
      <c r="AL353" s="200"/>
      <c r="AM353" s="210"/>
      <c r="AN353" s="210"/>
    </row>
    <row r="354" spans="1:40" x14ac:dyDescent="0.25">
      <c r="F354" s="211"/>
      <c r="H354" s="200"/>
      <c r="I354" s="200"/>
      <c r="J354" s="305"/>
      <c r="K354" s="305"/>
      <c r="L354" s="211"/>
      <c r="M354" s="211"/>
      <c r="N354" s="211"/>
      <c r="O354" s="211"/>
      <c r="P354" s="211"/>
      <c r="Q354" s="211"/>
      <c r="R354" s="211"/>
      <c r="V354" s="211"/>
      <c r="Y354" s="200"/>
      <c r="Z354" s="305"/>
      <c r="AA354" s="211"/>
      <c r="AB354" s="211"/>
      <c r="AC354" s="211"/>
      <c r="AD354" s="211"/>
      <c r="AE354" s="211"/>
      <c r="AF354" s="211"/>
      <c r="AI354" s="211"/>
      <c r="AJ354" s="211"/>
      <c r="AK354" s="212"/>
      <c r="AL354" s="211"/>
      <c r="AM354" s="210"/>
      <c r="AN354" s="210"/>
    </row>
    <row r="355" spans="1:40" x14ac:dyDescent="0.25">
      <c r="A355" s="202"/>
      <c r="C355" s="154"/>
      <c r="F355" s="252"/>
      <c r="H355" s="252"/>
      <c r="I355" s="252"/>
      <c r="J355" s="328"/>
      <c r="K355" s="328"/>
      <c r="L355" s="200"/>
      <c r="M355" s="200"/>
      <c r="N355" s="210"/>
      <c r="O355" s="210"/>
      <c r="P355" s="200"/>
      <c r="Q355" s="200"/>
      <c r="R355" s="200"/>
      <c r="S355" s="200"/>
      <c r="T355" s="154"/>
      <c r="V355" s="252"/>
      <c r="Y355" s="252"/>
      <c r="Z355" s="328"/>
      <c r="AA355" s="200"/>
      <c r="AB355" s="200"/>
      <c r="AC355" s="210"/>
      <c r="AD355" s="210"/>
      <c r="AE355" s="200"/>
      <c r="AF355" s="200"/>
      <c r="AG355" s="209"/>
      <c r="AH355" s="210"/>
      <c r="AI355" s="200"/>
      <c r="AJ355" s="200"/>
      <c r="AK355" s="209"/>
      <c r="AL355" s="200"/>
      <c r="AM355" s="210"/>
      <c r="AN355" s="210"/>
    </row>
    <row r="356" spans="1:40" x14ac:dyDescent="0.25">
      <c r="A356" s="202"/>
      <c r="C356" s="154"/>
      <c r="F356" s="252"/>
      <c r="H356" s="252"/>
      <c r="I356" s="252"/>
      <c r="J356" s="300"/>
      <c r="K356" s="300"/>
      <c r="L356" s="200"/>
      <c r="M356" s="200"/>
      <c r="N356" s="210"/>
      <c r="O356" s="210"/>
      <c r="P356" s="200"/>
      <c r="Q356" s="200"/>
      <c r="R356" s="200"/>
      <c r="T356" s="154"/>
      <c r="V356" s="252"/>
      <c r="Y356" s="200"/>
      <c r="Z356" s="300"/>
      <c r="AA356" s="200"/>
      <c r="AB356" s="200"/>
      <c r="AC356" s="210"/>
      <c r="AD356" s="21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A357" s="202"/>
      <c r="C357" s="154"/>
      <c r="F357" s="252"/>
      <c r="H357" s="252"/>
      <c r="I357" s="252"/>
      <c r="J357" s="300"/>
      <c r="K357" s="300"/>
      <c r="L357" s="200"/>
      <c r="M357" s="200"/>
      <c r="N357" s="210"/>
      <c r="O357" s="210"/>
      <c r="P357" s="200"/>
      <c r="Q357" s="200"/>
      <c r="R357" s="200"/>
      <c r="T357" s="154"/>
      <c r="V357" s="252"/>
      <c r="Y357" s="200"/>
      <c r="Z357" s="300"/>
      <c r="AA357" s="200"/>
      <c r="AB357" s="200"/>
      <c r="AC357" s="210"/>
      <c r="AD357" s="210"/>
      <c r="AE357" s="200"/>
      <c r="AF357" s="200"/>
      <c r="AG357" s="209"/>
      <c r="AH357" s="201"/>
      <c r="AI357" s="200"/>
      <c r="AJ357" s="200"/>
      <c r="AK357" s="209"/>
      <c r="AL357" s="200"/>
      <c r="AM357" s="210"/>
      <c r="AN357" s="210"/>
    </row>
    <row r="358" spans="1:40" x14ac:dyDescent="0.25">
      <c r="F358" s="211"/>
      <c r="H358" s="211"/>
      <c r="I358" s="211"/>
      <c r="J358" s="305"/>
      <c r="K358" s="305"/>
      <c r="L358" s="211"/>
      <c r="M358" s="211"/>
      <c r="N358" s="211"/>
      <c r="O358" s="211"/>
      <c r="P358" s="211"/>
      <c r="Q358" s="211"/>
      <c r="R358" s="211"/>
      <c r="V358" s="211"/>
      <c r="Y358" s="211"/>
      <c r="Z358" s="305"/>
      <c r="AA358" s="211"/>
      <c r="AB358" s="211"/>
      <c r="AC358" s="211"/>
      <c r="AD358" s="211"/>
      <c r="AE358" s="211"/>
      <c r="AF358" s="211"/>
      <c r="AI358" s="211"/>
      <c r="AJ358" s="211"/>
      <c r="AK358" s="212"/>
      <c r="AL358" s="211"/>
      <c r="AM358" s="210"/>
      <c r="AN358" s="210"/>
    </row>
    <row r="359" spans="1:40" x14ac:dyDescent="0.25">
      <c r="A359" s="202"/>
      <c r="C359" s="154"/>
      <c r="F359" s="200"/>
      <c r="H359" s="200"/>
      <c r="I359" s="200"/>
      <c r="J359" s="213"/>
      <c r="K359" s="213"/>
      <c r="L359" s="200"/>
      <c r="M359" s="200"/>
      <c r="N359" s="210"/>
      <c r="O359" s="210"/>
      <c r="P359" s="200"/>
      <c r="Q359" s="200"/>
      <c r="R359" s="200"/>
      <c r="T359" s="154"/>
      <c r="V359" s="200"/>
      <c r="Y359" s="200"/>
      <c r="Z359" s="213"/>
      <c r="AA359" s="200"/>
      <c r="AB359" s="200"/>
      <c r="AC359" s="210"/>
      <c r="AD359" s="210"/>
      <c r="AE359" s="200"/>
      <c r="AF359" s="200"/>
      <c r="AG359" s="209"/>
      <c r="AH359" s="201"/>
      <c r="AI359" s="200"/>
      <c r="AJ359" s="200"/>
      <c r="AK359" s="209"/>
      <c r="AL359" s="200"/>
      <c r="AM359" s="210"/>
      <c r="AN359" s="210"/>
    </row>
    <row r="360" spans="1:40" x14ac:dyDescent="0.25">
      <c r="F360" s="211"/>
      <c r="H360" s="211"/>
      <c r="I360" s="211"/>
      <c r="J360" s="305"/>
      <c r="K360" s="305"/>
      <c r="L360" s="211"/>
      <c r="M360" s="211"/>
      <c r="N360" s="211"/>
      <c r="O360" s="211"/>
      <c r="P360" s="211"/>
      <c r="Q360" s="211"/>
      <c r="R360" s="211"/>
      <c r="V360" s="211"/>
      <c r="Y360" s="211"/>
      <c r="Z360" s="305"/>
      <c r="AA360" s="211"/>
      <c r="AB360" s="211"/>
      <c r="AC360" s="211"/>
      <c r="AD360" s="211"/>
      <c r="AE360" s="211"/>
      <c r="AF360" s="211"/>
      <c r="AI360" s="211"/>
      <c r="AJ360" s="211"/>
      <c r="AK360" s="212"/>
      <c r="AL360" s="211"/>
      <c r="AM360" s="210"/>
      <c r="AN360" s="210"/>
    </row>
    <row r="361" spans="1:40" x14ac:dyDescent="0.25">
      <c r="A361" s="202"/>
      <c r="C361" s="154"/>
      <c r="F361" s="200"/>
      <c r="H361" s="200"/>
      <c r="I361" s="200"/>
      <c r="J361" s="213"/>
      <c r="K361" s="213"/>
      <c r="L361" s="200"/>
      <c r="M361" s="200"/>
      <c r="N361" s="210"/>
      <c r="O361" s="210"/>
      <c r="P361" s="200"/>
      <c r="Q361" s="200"/>
      <c r="R361" s="200"/>
      <c r="T361" s="154"/>
      <c r="V361" s="200"/>
      <c r="Y361" s="200"/>
      <c r="Z361" s="213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00"/>
      <c r="H362" s="252"/>
      <c r="I362" s="252"/>
      <c r="J362" s="320"/>
      <c r="K362" s="320"/>
      <c r="L362" s="200"/>
      <c r="M362" s="200"/>
      <c r="N362" s="210"/>
      <c r="O362" s="210"/>
      <c r="P362" s="200"/>
      <c r="Q362" s="200"/>
      <c r="R362" s="200"/>
      <c r="T362" s="154"/>
      <c r="V362" s="200"/>
      <c r="Y362" s="200"/>
      <c r="Z362" s="304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F363" s="211"/>
      <c r="H363" s="211"/>
      <c r="I363" s="211"/>
      <c r="J363" s="305"/>
      <c r="K363" s="305"/>
      <c r="L363" s="211"/>
      <c r="M363" s="211"/>
      <c r="N363" s="211"/>
      <c r="O363" s="211"/>
      <c r="P363" s="211"/>
      <c r="Q363" s="211"/>
      <c r="R363" s="211"/>
      <c r="V363" s="211"/>
      <c r="Y363" s="211"/>
      <c r="Z363" s="305"/>
      <c r="AA363" s="211"/>
      <c r="AB363" s="211"/>
      <c r="AC363" s="211"/>
      <c r="AD363" s="211"/>
      <c r="AE363" s="211"/>
      <c r="AF363" s="211"/>
      <c r="AI363" s="211"/>
      <c r="AJ363" s="211"/>
      <c r="AK363" s="212"/>
      <c r="AL363" s="211"/>
      <c r="AM363" s="210"/>
      <c r="AN363" s="210"/>
    </row>
    <row r="365" spans="1:40" x14ac:dyDescent="0.25">
      <c r="A365" s="202"/>
      <c r="C365" s="154"/>
      <c r="F365" s="200"/>
      <c r="H365" s="200"/>
      <c r="I365" s="200"/>
      <c r="J365" s="305"/>
      <c r="K365" s="305"/>
      <c r="L365" s="200"/>
      <c r="M365" s="200"/>
      <c r="N365" s="210"/>
      <c r="O365" s="210"/>
      <c r="P365" s="200"/>
      <c r="Q365" s="200"/>
      <c r="R365" s="200"/>
      <c r="S365" s="200"/>
      <c r="T365" s="154"/>
      <c r="V365" s="200"/>
      <c r="Y365" s="200"/>
      <c r="Z365" s="305"/>
      <c r="AA365" s="200"/>
      <c r="AB365" s="200"/>
      <c r="AC365" s="210"/>
      <c r="AD365" s="210"/>
      <c r="AE365" s="200"/>
      <c r="AF365" s="200"/>
      <c r="AG365" s="209"/>
      <c r="AH365" s="210"/>
      <c r="AI365" s="200"/>
      <c r="AJ365" s="200"/>
      <c r="AK365" s="209"/>
      <c r="AL365" s="200"/>
      <c r="AM365" s="210"/>
      <c r="AN365" s="210"/>
    </row>
    <row r="366" spans="1:40" x14ac:dyDescent="0.25">
      <c r="F366" s="211"/>
      <c r="H366" s="211"/>
      <c r="I366" s="211"/>
      <c r="J366" s="305"/>
      <c r="K366" s="305"/>
      <c r="L366" s="211"/>
      <c r="M366" s="211"/>
      <c r="N366" s="211"/>
      <c r="O366" s="211"/>
      <c r="P366" s="211"/>
      <c r="Q366" s="211"/>
      <c r="R366" s="211"/>
      <c r="S366" s="200"/>
      <c r="V366" s="211"/>
      <c r="Y366" s="211"/>
      <c r="Z366" s="305"/>
      <c r="AA366" s="211"/>
      <c r="AB366" s="211"/>
      <c r="AC366" s="211"/>
      <c r="AD366" s="211"/>
      <c r="AE366" s="211"/>
      <c r="AF366" s="211"/>
      <c r="AI366" s="211"/>
      <c r="AJ366" s="211"/>
      <c r="AK366" s="212"/>
      <c r="AL366" s="211"/>
      <c r="AM366" s="210"/>
      <c r="AN366" s="210"/>
    </row>
    <row r="367" spans="1:40" x14ac:dyDescent="0.25">
      <c r="A367" s="202"/>
      <c r="C367" s="154"/>
      <c r="T367" s="154"/>
    </row>
    <row r="368" spans="1:40" x14ac:dyDescent="0.25">
      <c r="A368" s="202"/>
      <c r="C368" s="154"/>
      <c r="F368" s="200"/>
      <c r="H368" s="200"/>
      <c r="I368" s="200"/>
      <c r="L368" s="200"/>
      <c r="M368" s="200"/>
      <c r="N368" s="210"/>
      <c r="O368" s="210"/>
      <c r="P368" s="252"/>
      <c r="Q368" s="252"/>
      <c r="R368" s="200"/>
      <c r="T368" s="154"/>
      <c r="V368" s="200"/>
      <c r="Y368" s="200"/>
      <c r="AA368" s="200"/>
      <c r="AB368" s="200"/>
      <c r="AC368" s="210"/>
      <c r="AD368" s="210"/>
      <c r="AE368" s="200"/>
      <c r="AF368" s="200"/>
      <c r="AG368" s="209"/>
      <c r="AH368" s="210"/>
      <c r="AI368" s="252"/>
      <c r="AJ368" s="252"/>
      <c r="AK368" s="209"/>
      <c r="AL368" s="200"/>
      <c r="AM368" s="210"/>
      <c r="AN368" s="210"/>
    </row>
    <row r="369" spans="1:40" x14ac:dyDescent="0.25">
      <c r="F369" s="211"/>
      <c r="H369" s="211"/>
      <c r="I369" s="211"/>
      <c r="J369" s="305"/>
      <c r="K369" s="305"/>
      <c r="L369" s="211"/>
      <c r="M369" s="211"/>
      <c r="N369" s="211"/>
      <c r="O369" s="211"/>
      <c r="P369" s="211"/>
      <c r="Q369" s="211"/>
      <c r="R369" s="211"/>
      <c r="V369" s="211"/>
      <c r="Y369" s="211"/>
      <c r="Z369" s="305"/>
      <c r="AA369" s="211"/>
      <c r="AB369" s="211"/>
      <c r="AC369" s="211"/>
      <c r="AD369" s="211"/>
      <c r="AE369" s="211"/>
      <c r="AF369" s="211"/>
      <c r="AI369" s="211"/>
      <c r="AJ369" s="211"/>
      <c r="AK369" s="212"/>
      <c r="AL369" s="211"/>
    </row>
    <row r="371" spans="1:40" x14ac:dyDescent="0.25">
      <c r="C371" s="154"/>
      <c r="L371" s="200"/>
      <c r="M371" s="200"/>
      <c r="N371" s="200"/>
      <c r="O371" s="200"/>
      <c r="P371" s="200"/>
      <c r="Q371" s="200"/>
      <c r="R371" s="200"/>
      <c r="S371" s="200"/>
      <c r="T371" s="154"/>
      <c r="AA371" s="200"/>
      <c r="AB371" s="200"/>
      <c r="AC371" s="200"/>
      <c r="AD371" s="200"/>
      <c r="AI371" s="200"/>
      <c r="AJ371" s="200"/>
      <c r="AK371" s="209"/>
      <c r="AL371" s="200"/>
    </row>
    <row r="372" spans="1:40" x14ac:dyDescent="0.25">
      <c r="A372" s="154"/>
    </row>
    <row r="373" spans="1:40" x14ac:dyDescent="0.25">
      <c r="J373" s="202"/>
      <c r="K373" s="202"/>
      <c r="Z373" s="202"/>
    </row>
    <row r="374" spans="1:40" x14ac:dyDescent="0.25">
      <c r="H374" s="154"/>
      <c r="I374" s="154"/>
      <c r="Y374" s="154"/>
    </row>
    <row r="375" spans="1:40" x14ac:dyDescent="0.25">
      <c r="J375" s="202"/>
      <c r="K375" s="202"/>
      <c r="Z375" s="202"/>
    </row>
    <row r="376" spans="1:40" x14ac:dyDescent="0.25">
      <c r="L376" s="154"/>
      <c r="M376" s="154"/>
      <c r="AA376" s="154"/>
      <c r="AB376" s="154"/>
    </row>
    <row r="377" spans="1:40" x14ac:dyDescent="0.25">
      <c r="A377" s="202"/>
      <c r="R377" s="154"/>
      <c r="AK377" s="297"/>
      <c r="AL377" s="154"/>
    </row>
    <row r="378" spans="1:40" x14ac:dyDescent="0.25">
      <c r="A378" s="202"/>
      <c r="R378" s="154"/>
      <c r="AK378" s="297"/>
      <c r="AL378" s="154"/>
    </row>
    <row r="379" spans="1:40" x14ac:dyDescent="0.25">
      <c r="A379" s="154"/>
      <c r="R379" s="154"/>
      <c r="AK379" s="297"/>
      <c r="AL379" s="154"/>
    </row>
    <row r="380" spans="1:40" x14ac:dyDescent="0.25">
      <c r="L380" s="154"/>
      <c r="M380" s="154"/>
      <c r="R380" s="202"/>
      <c r="AA380" s="154"/>
      <c r="AB380" s="154"/>
      <c r="AK380" s="209"/>
      <c r="AL380" s="202"/>
    </row>
    <row r="381" spans="1:40" x14ac:dyDescent="0.25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208"/>
      <c r="AH381" s="102"/>
      <c r="AI381" s="102"/>
      <c r="AJ381" s="102"/>
      <c r="AK381" s="208"/>
      <c r="AL381" s="102"/>
      <c r="AM381" s="102"/>
      <c r="AN381" s="102"/>
    </row>
    <row r="382" spans="1:40" x14ac:dyDescent="0.25">
      <c r="L382" s="103"/>
      <c r="M382" s="103"/>
      <c r="N382" s="103"/>
      <c r="O382" s="103"/>
      <c r="R382" s="103"/>
      <c r="AA382" s="103"/>
      <c r="AB382" s="103"/>
      <c r="AC382" s="103"/>
      <c r="AD382" s="103"/>
      <c r="AE382" s="103"/>
      <c r="AF382" s="103"/>
      <c r="AG382" s="185"/>
      <c r="AH382" s="103"/>
      <c r="AK382" s="185"/>
      <c r="AL382" s="103"/>
      <c r="AM382" s="103"/>
      <c r="AN382" s="103"/>
    </row>
    <row r="383" spans="1:40" x14ac:dyDescent="0.25">
      <c r="L383" s="103"/>
      <c r="M383" s="103"/>
      <c r="N383" s="103"/>
      <c r="O383" s="103"/>
      <c r="R383" s="103"/>
      <c r="Z383" s="103"/>
      <c r="AA383" s="103"/>
      <c r="AB383" s="103"/>
      <c r="AC383" s="103"/>
      <c r="AD383" s="103"/>
      <c r="AE383" s="103"/>
      <c r="AF383" s="103"/>
      <c r="AG383" s="185"/>
      <c r="AH383" s="103"/>
      <c r="AK383" s="185"/>
      <c r="AL383" s="103"/>
      <c r="AM383" s="103"/>
      <c r="AN383" s="103"/>
    </row>
    <row r="384" spans="1:40" x14ac:dyDescent="0.25">
      <c r="A384" s="103"/>
      <c r="C384" s="103"/>
      <c r="D384" s="103"/>
      <c r="E384" s="103"/>
      <c r="F384" s="103"/>
      <c r="J384" s="103"/>
      <c r="K384" s="103"/>
      <c r="L384" s="103"/>
      <c r="M384" s="103"/>
      <c r="N384" s="103"/>
      <c r="O384" s="103"/>
      <c r="P384" s="103"/>
      <c r="Q384" s="103"/>
      <c r="R384" s="103"/>
      <c r="T384" s="103"/>
      <c r="U384" s="103"/>
      <c r="V384" s="103"/>
      <c r="Z384" s="103"/>
      <c r="AA384" s="103"/>
      <c r="AB384" s="103"/>
      <c r="AC384" s="103"/>
      <c r="AD384" s="103"/>
      <c r="AE384" s="103"/>
      <c r="AF384" s="103"/>
      <c r="AG384" s="185"/>
      <c r="AH384" s="103"/>
      <c r="AI384" s="103"/>
      <c r="AJ384" s="103"/>
      <c r="AK384" s="185"/>
      <c r="AL384" s="103"/>
      <c r="AM384" s="103"/>
      <c r="AN384" s="103"/>
    </row>
    <row r="385" spans="1:40" x14ac:dyDescent="0.25">
      <c r="A385" s="103"/>
      <c r="C385" s="103"/>
      <c r="D385" s="103"/>
      <c r="E385" s="103"/>
      <c r="F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T385" s="103"/>
      <c r="U385" s="103"/>
      <c r="V385" s="103"/>
      <c r="Y385" s="103"/>
      <c r="Z385" s="103"/>
      <c r="AA385" s="103"/>
      <c r="AB385" s="103"/>
      <c r="AC385" s="103"/>
      <c r="AD385" s="103"/>
      <c r="AE385" s="103"/>
      <c r="AF385" s="103"/>
      <c r="AG385" s="185"/>
      <c r="AH385" s="103"/>
      <c r="AI385" s="103"/>
      <c r="AJ385" s="103"/>
      <c r="AK385" s="185"/>
      <c r="AL385" s="103"/>
      <c r="AM385" s="103"/>
      <c r="AN385" s="103"/>
    </row>
    <row r="386" spans="1:40" x14ac:dyDescent="0.25">
      <c r="C386" s="103"/>
      <c r="D386" s="103"/>
      <c r="E386" s="103"/>
      <c r="F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T386" s="103"/>
      <c r="U386" s="103"/>
      <c r="V386" s="103"/>
      <c r="Y386" s="103"/>
      <c r="Z386" s="103"/>
      <c r="AA386" s="103"/>
      <c r="AB386" s="103"/>
      <c r="AC386" s="103"/>
      <c r="AD386" s="103"/>
      <c r="AE386" s="103"/>
      <c r="AF386" s="103"/>
      <c r="AG386" s="185"/>
      <c r="AH386" s="103"/>
      <c r="AI386" s="103"/>
      <c r="AJ386" s="103"/>
      <c r="AK386" s="185"/>
      <c r="AL386" s="103"/>
      <c r="AM386" s="103"/>
      <c r="AN386" s="103"/>
    </row>
    <row r="387" spans="1:40" x14ac:dyDescent="0.2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208"/>
      <c r="AH387" s="102"/>
      <c r="AI387" s="102"/>
      <c r="AJ387" s="102"/>
      <c r="AK387" s="208"/>
      <c r="AL387" s="102"/>
      <c r="AM387" s="102"/>
      <c r="AN387" s="102"/>
    </row>
    <row r="388" spans="1:40" x14ac:dyDescent="0.25"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Y388" s="103"/>
      <c r="Z388" s="103"/>
      <c r="AA388" s="103"/>
      <c r="AB388" s="103"/>
      <c r="AC388" s="103"/>
      <c r="AD388" s="103"/>
      <c r="AE388" s="103"/>
      <c r="AF388" s="103"/>
      <c r="AG388" s="185"/>
      <c r="AH388" s="103"/>
      <c r="AI388" s="103"/>
      <c r="AJ388" s="103"/>
      <c r="AK388" s="185"/>
      <c r="AL388" s="103"/>
      <c r="AM388" s="103"/>
      <c r="AN388" s="103"/>
    </row>
    <row r="389" spans="1:40" x14ac:dyDescent="0.25">
      <c r="A389" s="202"/>
      <c r="C389" s="154"/>
      <c r="D389" s="154"/>
      <c r="E389" s="154"/>
      <c r="T389" s="154"/>
      <c r="U389" s="154"/>
    </row>
    <row r="390" spans="1:40" x14ac:dyDescent="0.25">
      <c r="D390" s="154"/>
      <c r="E390" s="154"/>
      <c r="U390" s="154"/>
    </row>
    <row r="392" spans="1:40" x14ac:dyDescent="0.25">
      <c r="A392" s="202"/>
      <c r="C392" s="154"/>
      <c r="T392" s="154"/>
    </row>
    <row r="393" spans="1:40" x14ac:dyDescent="0.25">
      <c r="A393" s="202"/>
      <c r="C393" s="154"/>
      <c r="F393" s="252"/>
      <c r="H393" s="252"/>
      <c r="I393" s="252"/>
      <c r="J393" s="329"/>
      <c r="K393" s="329"/>
      <c r="L393" s="200"/>
      <c r="M393" s="200"/>
      <c r="N393" s="210"/>
      <c r="O393" s="210"/>
      <c r="P393" s="200"/>
      <c r="Q393" s="200"/>
      <c r="R393" s="200"/>
      <c r="T393" s="154"/>
      <c r="V393" s="252"/>
      <c r="W393" s="200"/>
      <c r="X393" s="200"/>
      <c r="Y393" s="252"/>
      <c r="Z393" s="329"/>
      <c r="AA393" s="200"/>
      <c r="AB393" s="200"/>
      <c r="AC393" s="210"/>
      <c r="AD393" s="210"/>
      <c r="AE393" s="200"/>
      <c r="AF393" s="200"/>
      <c r="AG393" s="209"/>
      <c r="AH393" s="201"/>
      <c r="AI393" s="200"/>
      <c r="AJ393" s="200"/>
      <c r="AK393" s="209"/>
      <c r="AL393" s="200"/>
      <c r="AM393" s="210"/>
      <c r="AN393" s="210"/>
    </row>
    <row r="394" spans="1:40" x14ac:dyDescent="0.25">
      <c r="A394" s="202"/>
      <c r="C394" s="154"/>
      <c r="F394" s="200"/>
      <c r="H394" s="200"/>
      <c r="I394" s="200"/>
      <c r="J394" s="305"/>
      <c r="K394" s="305"/>
      <c r="L394" s="200"/>
      <c r="M394" s="200"/>
      <c r="N394" s="210"/>
      <c r="O394" s="210"/>
      <c r="P394" s="200"/>
      <c r="Q394" s="200"/>
      <c r="R394" s="200"/>
      <c r="T394" s="154"/>
      <c r="V394" s="252"/>
      <c r="W394" s="200"/>
      <c r="X394" s="200"/>
      <c r="Y394" s="252"/>
      <c r="Z394" s="305"/>
      <c r="AA394" s="200"/>
      <c r="AB394" s="200"/>
      <c r="AC394" s="210"/>
      <c r="AD394" s="210"/>
      <c r="AE394" s="200"/>
      <c r="AF394" s="200"/>
      <c r="AG394" s="209"/>
      <c r="AH394" s="201"/>
      <c r="AI394" s="200"/>
      <c r="AJ394" s="200"/>
      <c r="AK394" s="209"/>
      <c r="AL394" s="200"/>
      <c r="AM394" s="210"/>
      <c r="AN394" s="210"/>
    </row>
    <row r="395" spans="1:40" x14ac:dyDescent="0.25">
      <c r="A395" s="202"/>
      <c r="C395" s="154"/>
      <c r="F395" s="252"/>
      <c r="H395" s="252"/>
      <c r="I395" s="252"/>
      <c r="J395" s="329"/>
      <c r="K395" s="329"/>
      <c r="L395" s="200"/>
      <c r="M395" s="200"/>
      <c r="N395" s="210"/>
      <c r="O395" s="210"/>
      <c r="P395" s="200"/>
      <c r="Q395" s="200"/>
      <c r="R395" s="200"/>
      <c r="T395" s="154"/>
      <c r="V395" s="252"/>
      <c r="W395" s="200"/>
      <c r="X395" s="200"/>
      <c r="Y395" s="252"/>
      <c r="Z395" s="329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A396" s="202"/>
      <c r="C396" s="154"/>
      <c r="F396" s="252"/>
      <c r="H396" s="252"/>
      <c r="I396" s="252"/>
      <c r="J396" s="329"/>
      <c r="K396" s="329"/>
      <c r="L396" s="200"/>
      <c r="M396" s="200"/>
      <c r="N396" s="210"/>
      <c r="O396" s="210"/>
      <c r="P396" s="200"/>
      <c r="Q396" s="200"/>
      <c r="R396" s="200"/>
      <c r="T396" s="154"/>
      <c r="V396" s="252"/>
      <c r="W396" s="200"/>
      <c r="X396" s="200"/>
      <c r="Y396" s="252"/>
      <c r="Z396" s="329"/>
      <c r="AA396" s="200"/>
      <c r="AB396" s="200"/>
      <c r="AC396" s="210"/>
      <c r="AD396" s="210"/>
      <c r="AE396" s="200"/>
      <c r="AF396" s="200"/>
      <c r="AG396" s="209"/>
      <c r="AH396" s="201"/>
      <c r="AI396" s="200"/>
      <c r="AJ396" s="200"/>
      <c r="AK396" s="209"/>
      <c r="AL396" s="200"/>
      <c r="AM396" s="210"/>
      <c r="AN396" s="210"/>
    </row>
    <row r="397" spans="1:40" x14ac:dyDescent="0.25">
      <c r="A397" s="202"/>
      <c r="C397" s="154"/>
      <c r="F397" s="252"/>
      <c r="H397" s="252"/>
      <c r="I397" s="252"/>
      <c r="J397" s="329"/>
      <c r="K397" s="329"/>
      <c r="L397" s="200"/>
      <c r="M397" s="200"/>
      <c r="N397" s="210"/>
      <c r="O397" s="210"/>
      <c r="P397" s="200"/>
      <c r="Q397" s="200"/>
      <c r="R397" s="200"/>
      <c r="T397" s="154"/>
      <c r="V397" s="252"/>
      <c r="W397" s="200"/>
      <c r="X397" s="200"/>
      <c r="Y397" s="252"/>
      <c r="Z397" s="329"/>
      <c r="AA397" s="200"/>
      <c r="AB397" s="200"/>
      <c r="AC397" s="210"/>
      <c r="AD397" s="210"/>
      <c r="AE397" s="200"/>
      <c r="AF397" s="200"/>
      <c r="AG397" s="209"/>
      <c r="AH397" s="201"/>
      <c r="AI397" s="200"/>
      <c r="AJ397" s="200"/>
      <c r="AK397" s="209"/>
      <c r="AL397" s="200"/>
      <c r="AM397" s="210"/>
      <c r="AN397" s="210"/>
    </row>
    <row r="398" spans="1:40" x14ac:dyDescent="0.25">
      <c r="A398" s="202"/>
      <c r="C398" s="154"/>
      <c r="F398" s="200"/>
      <c r="H398" s="200"/>
      <c r="I398" s="200"/>
      <c r="J398" s="329"/>
      <c r="K398" s="329"/>
      <c r="L398" s="200"/>
      <c r="M398" s="200"/>
      <c r="N398" s="210"/>
      <c r="O398" s="210"/>
      <c r="P398" s="200"/>
      <c r="Q398" s="200"/>
      <c r="R398" s="200"/>
      <c r="T398" s="154"/>
      <c r="V398" s="252"/>
      <c r="W398" s="200"/>
      <c r="X398" s="200"/>
      <c r="Y398" s="252"/>
      <c r="Z398" s="329"/>
      <c r="AA398" s="200"/>
      <c r="AB398" s="200"/>
      <c r="AC398" s="210"/>
      <c r="AD398" s="210"/>
      <c r="AE398" s="200"/>
      <c r="AF398" s="200"/>
      <c r="AG398" s="209"/>
      <c r="AH398" s="201"/>
      <c r="AI398" s="200"/>
      <c r="AJ398" s="200"/>
      <c r="AK398" s="209"/>
      <c r="AL398" s="200"/>
      <c r="AM398" s="210"/>
      <c r="AN398" s="210"/>
    </row>
    <row r="399" spans="1:40" x14ac:dyDescent="0.25">
      <c r="A399" s="202"/>
      <c r="C399" s="154"/>
      <c r="F399" s="200"/>
      <c r="H399" s="200"/>
      <c r="I399" s="200"/>
      <c r="J399" s="329"/>
      <c r="K399" s="329"/>
      <c r="L399" s="200"/>
      <c r="M399" s="200"/>
      <c r="N399" s="210"/>
      <c r="O399" s="210"/>
      <c r="P399" s="200"/>
      <c r="Q399" s="200"/>
      <c r="R399" s="200"/>
      <c r="T399" s="154"/>
      <c r="V399" s="252"/>
      <c r="W399" s="200"/>
      <c r="X399" s="200"/>
      <c r="Y399" s="252"/>
      <c r="Z399" s="329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F400" s="331"/>
      <c r="H400" s="332"/>
      <c r="I400" s="332"/>
      <c r="J400" s="329"/>
      <c r="K400" s="329"/>
      <c r="L400" s="331"/>
      <c r="M400" s="331"/>
      <c r="N400" s="211"/>
      <c r="O400" s="211"/>
      <c r="P400" s="331"/>
      <c r="Q400" s="331"/>
      <c r="R400" s="331"/>
      <c r="V400" s="331"/>
      <c r="W400" s="200"/>
      <c r="X400" s="200"/>
      <c r="Y400" s="331"/>
      <c r="Z400" s="329"/>
      <c r="AA400" s="331"/>
      <c r="AB400" s="331"/>
      <c r="AC400" s="333"/>
      <c r="AD400" s="333"/>
      <c r="AE400" s="331"/>
      <c r="AF400" s="331"/>
      <c r="AG400" s="209"/>
      <c r="AH400" s="201"/>
      <c r="AI400" s="331"/>
      <c r="AJ400" s="331"/>
      <c r="AK400" s="208"/>
      <c r="AL400" s="331"/>
      <c r="AM400" s="210"/>
      <c r="AN400" s="210"/>
    </row>
    <row r="401" spans="1:40" x14ac:dyDescent="0.25">
      <c r="A401" s="202"/>
      <c r="C401" s="154"/>
      <c r="F401" s="200"/>
      <c r="H401" s="200"/>
      <c r="I401" s="200"/>
      <c r="J401" s="329"/>
      <c r="K401" s="329"/>
      <c r="L401" s="200"/>
      <c r="M401" s="200"/>
      <c r="N401" s="201"/>
      <c r="O401" s="201"/>
      <c r="P401" s="200"/>
      <c r="Q401" s="200"/>
      <c r="R401" s="200"/>
      <c r="T401" s="103"/>
      <c r="V401" s="200"/>
      <c r="W401" s="200"/>
      <c r="X401" s="200"/>
      <c r="Y401" s="200"/>
      <c r="Z401" s="329"/>
      <c r="AA401" s="200"/>
      <c r="AB401" s="200"/>
      <c r="AC401" s="201"/>
      <c r="AD401" s="201"/>
      <c r="AE401" s="200"/>
      <c r="AF401" s="200"/>
      <c r="AG401" s="209"/>
      <c r="AH401" s="201"/>
      <c r="AI401" s="200"/>
      <c r="AJ401" s="200"/>
      <c r="AK401" s="209"/>
      <c r="AL401" s="200"/>
      <c r="AM401" s="210"/>
      <c r="AN401" s="210"/>
    </row>
    <row r="402" spans="1:40" x14ac:dyDescent="0.25">
      <c r="F402" s="102"/>
      <c r="H402" s="102"/>
      <c r="I402" s="102"/>
      <c r="L402" s="102"/>
      <c r="M402" s="102"/>
      <c r="N402" s="333"/>
      <c r="O402" s="333"/>
      <c r="P402" s="331"/>
      <c r="Q402" s="331"/>
      <c r="R402" s="331"/>
      <c r="V402" s="331"/>
      <c r="Y402" s="331"/>
      <c r="Z402" s="305"/>
      <c r="AA402" s="331"/>
      <c r="AB402" s="331"/>
      <c r="AC402" s="331"/>
      <c r="AD402" s="331"/>
      <c r="AE402" s="331"/>
      <c r="AF402" s="331"/>
      <c r="AI402" s="331"/>
      <c r="AJ402" s="331"/>
      <c r="AK402" s="208"/>
      <c r="AL402" s="331"/>
      <c r="AM402" s="333"/>
      <c r="AN402" s="333"/>
    </row>
    <row r="403" spans="1:40" x14ac:dyDescent="0.25">
      <c r="AI403" s="202"/>
      <c r="AJ403" s="202"/>
    </row>
    <row r="407" spans="1:40" x14ac:dyDescent="0.25">
      <c r="N407" s="200"/>
      <c r="O407" s="200"/>
      <c r="P407" s="200"/>
      <c r="Q407" s="200"/>
      <c r="R407" s="200"/>
      <c r="V407" s="200"/>
      <c r="Y407" s="200"/>
      <c r="Z407" s="213"/>
      <c r="AA407" s="200"/>
      <c r="AB407" s="200"/>
      <c r="AC407" s="210"/>
      <c r="AD407" s="210"/>
      <c r="AE407" s="200"/>
      <c r="AF407" s="200"/>
      <c r="AG407" s="209"/>
      <c r="AH407" s="201"/>
      <c r="AI407" s="200"/>
      <c r="AJ407" s="200"/>
      <c r="AK407" s="209"/>
      <c r="AL407" s="200"/>
      <c r="AM407" s="210"/>
      <c r="AN407" s="210"/>
    </row>
    <row r="408" spans="1:40" x14ac:dyDescent="0.25">
      <c r="A408" s="202"/>
      <c r="C408" s="154"/>
      <c r="D408" s="154"/>
      <c r="E408" s="154"/>
      <c r="J408" s="334"/>
      <c r="K408" s="334"/>
      <c r="T408" s="154"/>
      <c r="U408" s="154"/>
      <c r="Z408" s="334"/>
      <c r="AE408" s="200"/>
      <c r="AF408" s="200"/>
      <c r="AI408" s="200"/>
      <c r="AJ408" s="200"/>
      <c r="AK408" s="209"/>
      <c r="AL408" s="200"/>
      <c r="AM408" s="210"/>
      <c r="AN408" s="210"/>
    </row>
    <row r="409" spans="1:40" x14ac:dyDescent="0.25">
      <c r="D409" s="154"/>
      <c r="E409" s="154"/>
      <c r="F409" s="200"/>
      <c r="H409" s="200"/>
      <c r="I409" s="200"/>
      <c r="J409" s="329"/>
      <c r="K409" s="329"/>
      <c r="L409" s="200"/>
      <c r="M409" s="200"/>
      <c r="N409" s="210"/>
      <c r="O409" s="210"/>
      <c r="P409" s="200"/>
      <c r="Q409" s="200"/>
      <c r="R409" s="200"/>
      <c r="U409" s="154"/>
      <c r="V409" s="200"/>
      <c r="Y409" s="200"/>
      <c r="Z409" s="329"/>
      <c r="AA409" s="200"/>
      <c r="AB409" s="200"/>
      <c r="AC409" s="210"/>
      <c r="AD409" s="210"/>
      <c r="AE409" s="200"/>
      <c r="AF409" s="200"/>
      <c r="AG409" s="209"/>
      <c r="AH409" s="201"/>
      <c r="AI409" s="200"/>
      <c r="AJ409" s="200"/>
      <c r="AK409" s="209"/>
      <c r="AL409" s="200"/>
      <c r="AM409" s="210"/>
      <c r="AN409" s="210"/>
    </row>
    <row r="410" spans="1:40" x14ac:dyDescent="0.25">
      <c r="F410" s="200"/>
      <c r="H410" s="200"/>
      <c r="I410" s="200"/>
      <c r="J410" s="305"/>
      <c r="K410" s="305"/>
      <c r="L410" s="200"/>
      <c r="M410" s="200"/>
      <c r="N410" s="200"/>
      <c r="O410" s="200"/>
      <c r="P410" s="200"/>
      <c r="Q410" s="200"/>
      <c r="R410" s="200"/>
      <c r="V410" s="200"/>
      <c r="Y410" s="200"/>
      <c r="Z410" s="305"/>
      <c r="AA410" s="200"/>
      <c r="AB410" s="200"/>
      <c r="AC410" s="200"/>
      <c r="AD410" s="200"/>
      <c r="AE410" s="200"/>
      <c r="AF410" s="200"/>
      <c r="AG410" s="209"/>
      <c r="AH410" s="201"/>
      <c r="AI410" s="252"/>
      <c r="AJ410" s="252"/>
      <c r="AK410" s="209"/>
      <c r="AL410" s="200"/>
      <c r="AM410" s="210"/>
      <c r="AN410" s="210"/>
    </row>
    <row r="411" spans="1:40" x14ac:dyDescent="0.25">
      <c r="A411" s="202"/>
      <c r="C411" s="154"/>
      <c r="F411" s="252"/>
      <c r="H411" s="252"/>
      <c r="I411" s="252"/>
      <c r="J411" s="304"/>
      <c r="K411" s="304"/>
      <c r="L411" s="200"/>
      <c r="M411" s="200"/>
      <c r="N411" s="210"/>
      <c r="O411" s="210"/>
      <c r="P411" s="200"/>
      <c r="Q411" s="200"/>
      <c r="R411" s="200"/>
      <c r="T411" s="154"/>
      <c r="V411" s="252"/>
      <c r="Y411" s="252"/>
      <c r="Z411" s="304"/>
      <c r="AA411" s="200"/>
      <c r="AB411" s="200"/>
      <c r="AC411" s="210"/>
      <c r="AD411" s="210"/>
      <c r="AE411" s="200"/>
      <c r="AF411" s="200"/>
      <c r="AG411" s="209"/>
      <c r="AH411" s="201"/>
      <c r="AI411" s="200"/>
      <c r="AJ411" s="200"/>
      <c r="AK411" s="209"/>
      <c r="AL411" s="200"/>
      <c r="AM411" s="210"/>
      <c r="AN411" s="210"/>
    </row>
    <row r="412" spans="1:40" x14ac:dyDescent="0.25">
      <c r="F412" s="102"/>
      <c r="H412" s="102"/>
      <c r="I412" s="102"/>
      <c r="L412" s="102"/>
      <c r="M412" s="102"/>
      <c r="N412" s="102"/>
      <c r="O412" s="102"/>
      <c r="P412" s="102"/>
      <c r="Q412" s="102"/>
      <c r="R412" s="102"/>
      <c r="V412" s="102"/>
      <c r="Y412" s="102"/>
      <c r="AA412" s="102"/>
      <c r="AB412" s="102"/>
      <c r="AC412" s="102"/>
      <c r="AD412" s="102"/>
      <c r="AE412" s="102"/>
      <c r="AF412" s="102"/>
      <c r="AG412" s="208"/>
      <c r="AH412" s="102"/>
      <c r="AI412" s="102"/>
      <c r="AJ412" s="102"/>
      <c r="AK412" s="208"/>
      <c r="AL412" s="102"/>
      <c r="AM412" s="102"/>
      <c r="AN412" s="102"/>
    </row>
    <row r="413" spans="1:40" x14ac:dyDescent="0.25">
      <c r="A413" s="202"/>
      <c r="C413" s="103"/>
      <c r="F413" s="252"/>
      <c r="H413" s="252"/>
      <c r="I413" s="252"/>
      <c r="J413" s="300"/>
      <c r="K413" s="300"/>
      <c r="L413" s="252"/>
      <c r="M413" s="252"/>
      <c r="N413" s="210"/>
      <c r="O413" s="210"/>
      <c r="P413" s="252"/>
      <c r="Q413" s="252"/>
      <c r="R413" s="252"/>
      <c r="T413" s="103"/>
      <c r="V413" s="200"/>
      <c r="Y413" s="200"/>
      <c r="Z413" s="213"/>
      <c r="AA413" s="200"/>
      <c r="AB413" s="200"/>
      <c r="AC413" s="210"/>
      <c r="AD413" s="210"/>
      <c r="AE413" s="202"/>
      <c r="AF413" s="202"/>
      <c r="AG413" s="209"/>
      <c r="AH413" s="201"/>
      <c r="AI413" s="200"/>
      <c r="AJ413" s="200"/>
      <c r="AK413" s="209"/>
      <c r="AL413" s="200"/>
      <c r="AM413" s="210"/>
      <c r="AN413" s="210"/>
    </row>
    <row r="414" spans="1:40" x14ac:dyDescent="0.25">
      <c r="F414" s="331"/>
      <c r="H414" s="331"/>
      <c r="I414" s="331"/>
      <c r="J414" s="305"/>
      <c r="K414" s="305"/>
      <c r="L414" s="331"/>
      <c r="M414" s="331"/>
      <c r="N414" s="331"/>
      <c r="O414" s="331"/>
      <c r="P414" s="331"/>
      <c r="Q414" s="331"/>
      <c r="R414" s="331"/>
      <c r="V414" s="102"/>
      <c r="Y414" s="102"/>
      <c r="AA414" s="102"/>
      <c r="AB414" s="102"/>
      <c r="AC414" s="102"/>
      <c r="AD414" s="102"/>
      <c r="AE414" s="102"/>
      <c r="AF414" s="102"/>
      <c r="AG414" s="208"/>
      <c r="AH414" s="102"/>
      <c r="AI414" s="102"/>
      <c r="AJ414" s="102"/>
      <c r="AK414" s="208"/>
      <c r="AL414" s="102"/>
      <c r="AM414" s="102"/>
      <c r="AN414" s="102"/>
    </row>
    <row r="415" spans="1:40" x14ac:dyDescent="0.25">
      <c r="F415" s="252"/>
      <c r="H415" s="252"/>
      <c r="I415" s="252"/>
      <c r="J415" s="328"/>
      <c r="K415" s="328"/>
      <c r="L415" s="200"/>
      <c r="M415" s="200"/>
      <c r="N415" s="210"/>
      <c r="O415" s="210"/>
      <c r="P415" s="200"/>
      <c r="Q415" s="200"/>
      <c r="R415" s="200"/>
    </row>
    <row r="416" spans="1:40" x14ac:dyDescent="0.25">
      <c r="A416" s="154"/>
      <c r="F416" s="252"/>
      <c r="H416" s="252"/>
      <c r="I416" s="252"/>
      <c r="J416" s="300"/>
      <c r="K416" s="300"/>
      <c r="L416" s="200"/>
      <c r="M416" s="200"/>
      <c r="N416" s="210"/>
      <c r="O416" s="210"/>
      <c r="P416" s="200"/>
      <c r="Q416" s="200"/>
      <c r="R416" s="200"/>
    </row>
    <row r="417" spans="1:40" x14ac:dyDescent="0.25">
      <c r="F417" s="252"/>
      <c r="H417" s="252"/>
      <c r="I417" s="252"/>
      <c r="J417" s="300"/>
      <c r="K417" s="300"/>
      <c r="L417" s="200"/>
      <c r="M417" s="200"/>
      <c r="N417" s="210"/>
      <c r="O417" s="210"/>
      <c r="P417" s="200"/>
      <c r="Q417" s="200"/>
      <c r="R417" s="200"/>
    </row>
    <row r="418" spans="1:40" x14ac:dyDescent="0.25">
      <c r="A418" s="154"/>
    </row>
    <row r="420" spans="1:40" x14ac:dyDescent="0.25">
      <c r="J420" s="202"/>
      <c r="K420" s="202"/>
      <c r="Z420" s="202"/>
    </row>
    <row r="421" spans="1:40" x14ac:dyDescent="0.25">
      <c r="H421" s="154"/>
      <c r="I421" s="154"/>
      <c r="Y421" s="154"/>
    </row>
    <row r="422" spans="1:40" x14ac:dyDescent="0.25">
      <c r="J422" s="202"/>
      <c r="K422" s="202"/>
      <c r="Z422" s="202"/>
    </row>
    <row r="423" spans="1:40" x14ac:dyDescent="0.25">
      <c r="L423" s="154"/>
      <c r="M423" s="154"/>
      <c r="AA423" s="154"/>
      <c r="AB423" s="154"/>
    </row>
    <row r="424" spans="1:40" x14ac:dyDescent="0.25">
      <c r="A424" s="202"/>
      <c r="R424" s="154"/>
      <c r="AK424" s="297"/>
      <c r="AL424" s="154"/>
    </row>
    <row r="425" spans="1:40" x14ac:dyDescent="0.25">
      <c r="A425" s="202"/>
      <c r="R425" s="154"/>
      <c r="AK425" s="297"/>
      <c r="AL425" s="154"/>
    </row>
    <row r="426" spans="1:40" x14ac:dyDescent="0.25">
      <c r="A426" s="154"/>
      <c r="R426" s="154"/>
      <c r="AK426" s="297"/>
      <c r="AL426" s="154"/>
    </row>
    <row r="427" spans="1:40" x14ac:dyDescent="0.25">
      <c r="L427" s="154"/>
      <c r="M427" s="154"/>
      <c r="R427" s="202"/>
      <c r="AA427" s="154"/>
      <c r="AB427" s="154"/>
      <c r="AK427" s="209"/>
      <c r="AL427" s="202"/>
    </row>
    <row r="428" spans="1:40" x14ac:dyDescent="0.25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208"/>
      <c r="AH428" s="102"/>
      <c r="AI428" s="102"/>
      <c r="AJ428" s="102"/>
      <c r="AK428" s="208"/>
      <c r="AL428" s="102"/>
      <c r="AM428" s="102"/>
      <c r="AN428" s="102"/>
    </row>
    <row r="429" spans="1:40" x14ac:dyDescent="0.25">
      <c r="L429" s="103"/>
      <c r="M429" s="103"/>
      <c r="N429" s="103"/>
      <c r="O429" s="103"/>
      <c r="R429" s="103"/>
      <c r="AA429" s="103"/>
      <c r="AB429" s="103"/>
      <c r="AC429" s="103"/>
      <c r="AD429" s="103"/>
      <c r="AE429" s="103"/>
      <c r="AF429" s="103"/>
      <c r="AG429" s="185"/>
      <c r="AH429" s="103"/>
      <c r="AK429" s="185"/>
      <c r="AL429" s="103"/>
      <c r="AM429" s="103"/>
      <c r="AN429" s="103"/>
    </row>
    <row r="430" spans="1:40" x14ac:dyDescent="0.25">
      <c r="L430" s="103"/>
      <c r="M430" s="103"/>
      <c r="N430" s="103"/>
      <c r="O430" s="103"/>
      <c r="R430" s="103"/>
      <c r="Z430" s="103"/>
      <c r="AA430" s="103"/>
      <c r="AB430" s="103"/>
      <c r="AC430" s="103"/>
      <c r="AD430" s="103"/>
      <c r="AE430" s="103"/>
      <c r="AF430" s="103"/>
      <c r="AG430" s="185"/>
      <c r="AH430" s="103"/>
      <c r="AK430" s="185"/>
      <c r="AL430" s="103"/>
      <c r="AM430" s="103"/>
      <c r="AN430" s="103"/>
    </row>
    <row r="431" spans="1:40" x14ac:dyDescent="0.25">
      <c r="A431" s="103"/>
      <c r="C431" s="103"/>
      <c r="D431" s="103"/>
      <c r="E431" s="103"/>
      <c r="F431" s="103"/>
      <c r="J431" s="103"/>
      <c r="K431" s="103"/>
      <c r="L431" s="103"/>
      <c r="M431" s="103"/>
      <c r="N431" s="103"/>
      <c r="O431" s="103"/>
      <c r="P431" s="103"/>
      <c r="Q431" s="103"/>
      <c r="R431" s="103"/>
      <c r="T431" s="103"/>
      <c r="U431" s="103"/>
      <c r="V431" s="103"/>
      <c r="Z431" s="103"/>
      <c r="AA431" s="103"/>
      <c r="AB431" s="103"/>
      <c r="AC431" s="103"/>
      <c r="AD431" s="103"/>
      <c r="AE431" s="103"/>
      <c r="AF431" s="103"/>
      <c r="AG431" s="185"/>
      <c r="AH431" s="103"/>
      <c r="AI431" s="103"/>
      <c r="AJ431" s="103"/>
      <c r="AK431" s="185"/>
      <c r="AL431" s="103"/>
      <c r="AM431" s="103"/>
      <c r="AN431" s="103"/>
    </row>
    <row r="432" spans="1:40" x14ac:dyDescent="0.25">
      <c r="A432" s="103"/>
      <c r="C432" s="103"/>
      <c r="D432" s="103"/>
      <c r="E432" s="103"/>
      <c r="F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T432" s="103"/>
      <c r="U432" s="103"/>
      <c r="V432" s="103"/>
      <c r="Y432" s="103"/>
      <c r="Z432" s="103"/>
      <c r="AA432" s="103"/>
      <c r="AB432" s="103"/>
      <c r="AC432" s="103"/>
      <c r="AD432" s="103"/>
      <c r="AE432" s="103"/>
      <c r="AF432" s="103"/>
      <c r="AG432" s="185"/>
      <c r="AH432" s="103"/>
      <c r="AI432" s="103"/>
      <c r="AJ432" s="103"/>
      <c r="AK432" s="185"/>
      <c r="AL432" s="103"/>
      <c r="AM432" s="103"/>
      <c r="AN432" s="103"/>
    </row>
    <row r="433" spans="1:40" x14ac:dyDescent="0.25">
      <c r="C433" s="103"/>
      <c r="D433" s="103"/>
      <c r="E433" s="103"/>
      <c r="F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T433" s="103"/>
      <c r="U433" s="103"/>
      <c r="V433" s="103"/>
      <c r="Y433" s="103"/>
      <c r="Z433" s="103"/>
      <c r="AA433" s="103"/>
      <c r="AB433" s="103"/>
      <c r="AC433" s="103"/>
      <c r="AD433" s="103"/>
      <c r="AE433" s="103"/>
      <c r="AF433" s="103"/>
      <c r="AG433" s="185"/>
      <c r="AH433" s="103"/>
      <c r="AI433" s="103"/>
      <c r="AJ433" s="103"/>
      <c r="AK433" s="185"/>
      <c r="AL433" s="103"/>
      <c r="AM433" s="103"/>
      <c r="AN433" s="103"/>
    </row>
    <row r="434" spans="1:40" x14ac:dyDescent="0.2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208"/>
      <c r="AH434" s="102"/>
      <c r="AI434" s="102"/>
      <c r="AJ434" s="102"/>
      <c r="AK434" s="208"/>
      <c r="AL434" s="102"/>
      <c r="AM434" s="102"/>
      <c r="AN434" s="102"/>
    </row>
    <row r="435" spans="1:40" x14ac:dyDescent="0.25"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Y435" s="103"/>
      <c r="Z435" s="103"/>
      <c r="AA435" s="103"/>
      <c r="AB435" s="103"/>
      <c r="AC435" s="103"/>
      <c r="AD435" s="103"/>
      <c r="AE435" s="103"/>
      <c r="AF435" s="103"/>
      <c r="AG435" s="185"/>
      <c r="AH435" s="103"/>
      <c r="AI435" s="103"/>
      <c r="AJ435" s="103"/>
      <c r="AK435" s="185"/>
      <c r="AL435" s="103"/>
      <c r="AM435" s="103"/>
      <c r="AN435" s="103"/>
    </row>
    <row r="436" spans="1:40" x14ac:dyDescent="0.25">
      <c r="A436" s="202"/>
      <c r="C436" s="154"/>
      <c r="D436" s="154"/>
      <c r="E436" s="154"/>
      <c r="T436" s="154"/>
      <c r="U436" s="154"/>
    </row>
    <row r="438" spans="1:40" x14ac:dyDescent="0.25">
      <c r="A438" s="202"/>
      <c r="C438" s="154"/>
      <c r="T438" s="154"/>
    </row>
    <row r="439" spans="1:40" x14ac:dyDescent="0.25">
      <c r="A439" s="202"/>
      <c r="C439" s="154"/>
      <c r="F439" s="252"/>
      <c r="H439" s="252"/>
      <c r="I439" s="252"/>
      <c r="J439" s="305"/>
      <c r="K439" s="305"/>
      <c r="L439" s="200"/>
      <c r="M439" s="200"/>
      <c r="N439" s="210"/>
      <c r="O439" s="210"/>
      <c r="P439" s="200"/>
      <c r="Q439" s="200"/>
      <c r="R439" s="200"/>
      <c r="T439" s="154"/>
      <c r="V439" s="252"/>
      <c r="Y439" s="252"/>
      <c r="Z439" s="305"/>
      <c r="AA439" s="200"/>
      <c r="AB439" s="200"/>
      <c r="AC439" s="210"/>
      <c r="AD439" s="210"/>
      <c r="AE439" s="200"/>
      <c r="AF439" s="200"/>
      <c r="AG439" s="209"/>
      <c r="AH439" s="201"/>
      <c r="AI439" s="200"/>
      <c r="AJ439" s="200"/>
      <c r="AK439" s="209"/>
      <c r="AL439" s="200"/>
      <c r="AM439" s="210"/>
      <c r="AN439" s="210"/>
    </row>
    <row r="440" spans="1:40" x14ac:dyDescent="0.25">
      <c r="A440" s="202"/>
      <c r="C440" s="154"/>
      <c r="T440" s="154"/>
    </row>
    <row r="441" spans="1:40" x14ac:dyDescent="0.25">
      <c r="A441" s="202"/>
      <c r="C441" s="154"/>
      <c r="F441" s="252"/>
      <c r="H441" s="252"/>
      <c r="I441" s="252"/>
      <c r="J441" s="329"/>
      <c r="K441" s="329"/>
      <c r="L441" s="200"/>
      <c r="M441" s="200"/>
      <c r="N441" s="210"/>
      <c r="O441" s="210"/>
      <c r="P441" s="200"/>
      <c r="Q441" s="200"/>
      <c r="R441" s="200"/>
      <c r="T441" s="154"/>
      <c r="V441" s="200"/>
      <c r="Y441" s="200"/>
      <c r="Z441" s="329"/>
      <c r="AA441" s="200"/>
      <c r="AB441" s="200"/>
      <c r="AC441" s="210"/>
      <c r="AD441" s="210"/>
      <c r="AE441" s="200"/>
      <c r="AF441" s="200"/>
      <c r="AG441" s="209"/>
      <c r="AH441" s="201"/>
      <c r="AI441" s="200"/>
      <c r="AJ441" s="200"/>
      <c r="AK441" s="209"/>
      <c r="AL441" s="200"/>
      <c r="AM441" s="210"/>
      <c r="AN441" s="210"/>
    </row>
    <row r="442" spans="1:40" x14ac:dyDescent="0.25">
      <c r="A442" s="202"/>
      <c r="C442" s="154"/>
      <c r="F442" s="252"/>
      <c r="H442" s="252"/>
      <c r="I442" s="252"/>
      <c r="J442" s="329"/>
      <c r="K442" s="329"/>
      <c r="L442" s="200"/>
      <c r="M442" s="200"/>
      <c r="N442" s="210"/>
      <c r="O442" s="210"/>
      <c r="P442" s="200"/>
      <c r="Q442" s="200"/>
      <c r="R442" s="200"/>
      <c r="T442" s="154"/>
      <c r="V442" s="200"/>
      <c r="Y442" s="200"/>
      <c r="Z442" s="329"/>
      <c r="AA442" s="200"/>
      <c r="AB442" s="200"/>
      <c r="AC442" s="210"/>
      <c r="AD442" s="210"/>
      <c r="AE442" s="200"/>
      <c r="AF442" s="200"/>
      <c r="AG442" s="209"/>
      <c r="AH442" s="201"/>
      <c r="AI442" s="200"/>
      <c r="AJ442" s="200"/>
      <c r="AK442" s="209"/>
      <c r="AL442" s="200"/>
      <c r="AM442" s="210"/>
      <c r="AN442" s="210"/>
    </row>
    <row r="443" spans="1:40" x14ac:dyDescent="0.25">
      <c r="A443" s="202"/>
      <c r="C443" s="154"/>
      <c r="F443" s="252"/>
      <c r="H443" s="252"/>
      <c r="I443" s="252"/>
      <c r="J443" s="329"/>
      <c r="K443" s="329"/>
      <c r="L443" s="200"/>
      <c r="M443" s="200"/>
      <c r="N443" s="210"/>
      <c r="O443" s="210"/>
      <c r="P443" s="200"/>
      <c r="Q443" s="200"/>
      <c r="R443" s="200"/>
      <c r="T443" s="154"/>
      <c r="V443" s="200"/>
      <c r="Y443" s="200"/>
      <c r="Z443" s="329"/>
      <c r="AA443" s="200"/>
      <c r="AB443" s="200"/>
      <c r="AC443" s="210"/>
      <c r="AD443" s="210"/>
      <c r="AE443" s="200"/>
      <c r="AF443" s="200"/>
      <c r="AG443" s="209"/>
      <c r="AH443" s="201"/>
      <c r="AI443" s="200"/>
      <c r="AJ443" s="200"/>
      <c r="AK443" s="209"/>
      <c r="AL443" s="200"/>
      <c r="AM443" s="210"/>
      <c r="AN443" s="210"/>
    </row>
    <row r="444" spans="1:40" x14ac:dyDescent="0.25">
      <c r="A444" s="202"/>
      <c r="C444" s="154"/>
      <c r="F444" s="252"/>
      <c r="H444" s="252"/>
      <c r="I444" s="252"/>
      <c r="J444" s="329"/>
      <c r="K444" s="329"/>
      <c r="L444" s="200"/>
      <c r="M444" s="200"/>
      <c r="N444" s="210"/>
      <c r="O444" s="210"/>
      <c r="P444" s="200"/>
      <c r="Q444" s="200"/>
      <c r="R444" s="200"/>
      <c r="T444" s="154"/>
      <c r="V444" s="200"/>
      <c r="Y444" s="200"/>
      <c r="Z444" s="329"/>
      <c r="AA444" s="200"/>
      <c r="AB444" s="200"/>
      <c r="AC444" s="210"/>
      <c r="AD444" s="210"/>
      <c r="AE444" s="200"/>
      <c r="AF444" s="200"/>
      <c r="AG444" s="209"/>
      <c r="AH444" s="201"/>
      <c r="AI444" s="200"/>
      <c r="AJ444" s="200"/>
      <c r="AK444" s="209"/>
      <c r="AL444" s="200"/>
      <c r="AM444" s="210"/>
      <c r="AN444" s="210"/>
    </row>
    <row r="445" spans="1:40" x14ac:dyDescent="0.25">
      <c r="A445" s="202"/>
      <c r="C445" s="154"/>
      <c r="J445" s="334"/>
      <c r="K445" s="334"/>
      <c r="T445" s="154"/>
      <c r="Z445" s="334"/>
    </row>
    <row r="446" spans="1:40" x14ac:dyDescent="0.25">
      <c r="A446" s="202"/>
      <c r="C446" s="154"/>
      <c r="F446" s="252"/>
      <c r="H446" s="252"/>
      <c r="I446" s="252"/>
      <c r="J446" s="329"/>
      <c r="K446" s="329"/>
      <c r="L446" s="200"/>
      <c r="M446" s="200"/>
      <c r="N446" s="210"/>
      <c r="O446" s="210"/>
      <c r="P446" s="200"/>
      <c r="Q446" s="200"/>
      <c r="R446" s="200"/>
      <c r="T446" s="154"/>
      <c r="V446" s="200"/>
      <c r="Y446" s="200"/>
      <c r="Z446" s="329"/>
      <c r="AA446" s="200"/>
      <c r="AB446" s="200"/>
      <c r="AC446" s="210"/>
      <c r="AD446" s="210"/>
      <c r="AE446" s="200"/>
      <c r="AF446" s="200"/>
      <c r="AG446" s="209"/>
      <c r="AH446" s="201"/>
      <c r="AI446" s="200"/>
      <c r="AJ446" s="200"/>
      <c r="AK446" s="209"/>
      <c r="AL446" s="200"/>
      <c r="AM446" s="210"/>
      <c r="AN446" s="210"/>
    </row>
    <row r="447" spans="1:40" x14ac:dyDescent="0.25">
      <c r="A447" s="202"/>
      <c r="C447" s="154"/>
      <c r="F447" s="252"/>
      <c r="H447" s="252"/>
      <c r="I447" s="252"/>
      <c r="J447" s="329"/>
      <c r="K447" s="329"/>
      <c r="L447" s="200"/>
      <c r="M447" s="200"/>
      <c r="N447" s="210"/>
      <c r="O447" s="210"/>
      <c r="P447" s="200"/>
      <c r="Q447" s="200"/>
      <c r="R447" s="200"/>
      <c r="T447" s="154"/>
      <c r="V447" s="200"/>
      <c r="Y447" s="200"/>
      <c r="Z447" s="329"/>
      <c r="AA447" s="200"/>
      <c r="AB447" s="200"/>
      <c r="AC447" s="210"/>
      <c r="AD447" s="210"/>
      <c r="AE447" s="200"/>
      <c r="AF447" s="200"/>
      <c r="AG447" s="209"/>
      <c r="AH447" s="201"/>
      <c r="AI447" s="200"/>
      <c r="AJ447" s="200"/>
      <c r="AK447" s="209"/>
      <c r="AL447" s="200"/>
      <c r="AM447" s="210"/>
      <c r="AN447" s="210"/>
    </row>
    <row r="448" spans="1:40" x14ac:dyDescent="0.25">
      <c r="A448" s="202"/>
      <c r="C448" s="154"/>
      <c r="F448" s="252"/>
      <c r="H448" s="252"/>
      <c r="I448" s="252"/>
      <c r="J448" s="329"/>
      <c r="K448" s="329"/>
      <c r="L448" s="200"/>
      <c r="M448" s="200"/>
      <c r="N448" s="210"/>
      <c r="O448" s="210"/>
      <c r="P448" s="200"/>
      <c r="Q448" s="200"/>
      <c r="R448" s="200"/>
      <c r="T448" s="154"/>
      <c r="V448" s="200"/>
      <c r="Y448" s="200"/>
      <c r="Z448" s="329"/>
      <c r="AA448" s="200"/>
      <c r="AB448" s="200"/>
      <c r="AC448" s="210"/>
      <c r="AD448" s="210"/>
      <c r="AE448" s="200"/>
      <c r="AF448" s="200"/>
      <c r="AG448" s="209"/>
      <c r="AH448" s="201"/>
      <c r="AI448" s="200"/>
      <c r="AJ448" s="200"/>
      <c r="AK448" s="209"/>
      <c r="AL448" s="200"/>
      <c r="AM448" s="210"/>
      <c r="AN448" s="210"/>
    </row>
    <row r="449" spans="1:40" x14ac:dyDescent="0.25">
      <c r="A449" s="202"/>
      <c r="C449" s="154"/>
      <c r="J449" s="334"/>
      <c r="K449" s="334"/>
      <c r="T449" s="154"/>
      <c r="Z449" s="334"/>
    </row>
    <row r="450" spans="1:40" x14ac:dyDescent="0.25">
      <c r="A450" s="202"/>
      <c r="C450" s="154"/>
      <c r="F450" s="252"/>
      <c r="H450" s="252"/>
      <c r="I450" s="252"/>
      <c r="J450" s="329"/>
      <c r="K450" s="329"/>
      <c r="L450" s="200"/>
      <c r="M450" s="200"/>
      <c r="N450" s="210"/>
      <c r="O450" s="210"/>
      <c r="P450" s="200"/>
      <c r="Q450" s="200"/>
      <c r="R450" s="200"/>
      <c r="T450" s="154"/>
      <c r="V450" s="200"/>
      <c r="Y450" s="200"/>
      <c r="Z450" s="329"/>
      <c r="AA450" s="200"/>
      <c r="AB450" s="200"/>
      <c r="AC450" s="210"/>
      <c r="AD450" s="210"/>
      <c r="AE450" s="200"/>
      <c r="AF450" s="200"/>
      <c r="AG450" s="209"/>
      <c r="AH450" s="201"/>
      <c r="AI450" s="200"/>
      <c r="AJ450" s="200"/>
      <c r="AK450" s="209"/>
      <c r="AL450" s="200"/>
      <c r="AM450" s="210"/>
      <c r="AN450" s="210"/>
    </row>
    <row r="451" spans="1:40" x14ac:dyDescent="0.25">
      <c r="A451" s="202"/>
      <c r="C451" s="154"/>
      <c r="F451" s="252"/>
      <c r="H451" s="252"/>
      <c r="I451" s="252"/>
      <c r="J451" s="329"/>
      <c r="K451" s="329"/>
      <c r="L451" s="200"/>
      <c r="M451" s="200"/>
      <c r="N451" s="210"/>
      <c r="O451" s="210"/>
      <c r="P451" s="200"/>
      <c r="Q451" s="200"/>
      <c r="R451" s="200"/>
      <c r="T451" s="154"/>
      <c r="V451" s="200"/>
      <c r="Y451" s="200"/>
      <c r="Z451" s="329"/>
      <c r="AA451" s="200"/>
      <c r="AB451" s="200"/>
      <c r="AC451" s="210"/>
      <c r="AD451" s="210"/>
      <c r="AE451" s="200"/>
      <c r="AF451" s="200"/>
      <c r="AG451" s="209"/>
      <c r="AH451" s="201"/>
      <c r="AI451" s="200"/>
      <c r="AJ451" s="200"/>
      <c r="AK451" s="209"/>
      <c r="AL451" s="200"/>
      <c r="AM451" s="210"/>
      <c r="AN451" s="210"/>
    </row>
    <row r="452" spans="1:40" x14ac:dyDescent="0.25">
      <c r="A452" s="202"/>
      <c r="C452" s="154"/>
      <c r="J452" s="334"/>
      <c r="K452" s="334"/>
      <c r="T452" s="154"/>
      <c r="Z452" s="334"/>
    </row>
    <row r="453" spans="1:40" x14ac:dyDescent="0.25">
      <c r="A453" s="202"/>
      <c r="C453" s="154"/>
      <c r="F453" s="252"/>
      <c r="H453" s="252"/>
      <c r="I453" s="252"/>
      <c r="J453" s="329"/>
      <c r="K453" s="329"/>
      <c r="L453" s="200"/>
      <c r="M453" s="200"/>
      <c r="N453" s="210"/>
      <c r="O453" s="210"/>
      <c r="P453" s="200"/>
      <c r="Q453" s="200"/>
      <c r="R453" s="200"/>
      <c r="T453" s="154"/>
      <c r="V453" s="200"/>
      <c r="Y453" s="200"/>
      <c r="Z453" s="329"/>
      <c r="AA453" s="200"/>
      <c r="AB453" s="200"/>
      <c r="AC453" s="210"/>
      <c r="AD453" s="210"/>
      <c r="AE453" s="200"/>
      <c r="AF453" s="200"/>
      <c r="AG453" s="209"/>
      <c r="AH453" s="201"/>
      <c r="AI453" s="200"/>
      <c r="AJ453" s="200"/>
      <c r="AK453" s="209"/>
      <c r="AL453" s="200"/>
      <c r="AM453" s="210"/>
      <c r="AN453" s="210"/>
    </row>
    <row r="454" spans="1:40" x14ac:dyDescent="0.25">
      <c r="A454" s="202"/>
      <c r="C454" s="154"/>
      <c r="F454" s="252"/>
      <c r="H454" s="252"/>
      <c r="I454" s="252"/>
      <c r="J454" s="329"/>
      <c r="K454" s="329"/>
      <c r="L454" s="200"/>
      <c r="M454" s="200"/>
      <c r="N454" s="210"/>
      <c r="O454" s="210"/>
      <c r="P454" s="200"/>
      <c r="Q454" s="200"/>
      <c r="R454" s="200"/>
      <c r="T454" s="154"/>
      <c r="V454" s="200"/>
      <c r="Y454" s="200"/>
      <c r="Z454" s="329"/>
      <c r="AA454" s="200"/>
      <c r="AB454" s="200"/>
      <c r="AC454" s="210"/>
      <c r="AD454" s="210"/>
      <c r="AE454" s="200"/>
      <c r="AF454" s="200"/>
      <c r="AG454" s="209"/>
      <c r="AH454" s="201"/>
      <c r="AI454" s="200"/>
      <c r="AJ454" s="200"/>
      <c r="AK454" s="209"/>
      <c r="AL454" s="200"/>
      <c r="AM454" s="210"/>
      <c r="AN454" s="210"/>
    </row>
    <row r="455" spans="1:40" x14ac:dyDescent="0.25">
      <c r="A455" s="202"/>
      <c r="C455" s="154"/>
      <c r="F455" s="252"/>
      <c r="H455" s="252"/>
      <c r="I455" s="252"/>
      <c r="J455" s="329"/>
      <c r="K455" s="329"/>
      <c r="L455" s="200"/>
      <c r="M455" s="200"/>
      <c r="N455" s="210"/>
      <c r="O455" s="210"/>
      <c r="P455" s="200"/>
      <c r="Q455" s="200"/>
      <c r="R455" s="200"/>
      <c r="T455" s="154"/>
      <c r="V455" s="200"/>
      <c r="Y455" s="200"/>
      <c r="Z455" s="329"/>
      <c r="AA455" s="200"/>
      <c r="AB455" s="200"/>
      <c r="AC455" s="210"/>
      <c r="AD455" s="210"/>
      <c r="AE455" s="200"/>
      <c r="AF455" s="200"/>
      <c r="AG455" s="209"/>
      <c r="AH455" s="201"/>
      <c r="AI455" s="200"/>
      <c r="AJ455" s="200"/>
      <c r="AK455" s="209"/>
      <c r="AL455" s="200"/>
      <c r="AM455" s="210"/>
      <c r="AN455" s="210"/>
    </row>
    <row r="456" spans="1:40" x14ac:dyDescent="0.25">
      <c r="F456" s="211"/>
      <c r="H456" s="211"/>
      <c r="I456" s="211"/>
      <c r="J456" s="329"/>
      <c r="K456" s="329"/>
      <c r="L456" s="211"/>
      <c r="M456" s="211"/>
      <c r="N456" s="211"/>
      <c r="O456" s="211"/>
      <c r="P456" s="211"/>
      <c r="Q456" s="211"/>
      <c r="R456" s="211"/>
      <c r="V456" s="211"/>
      <c r="Y456" s="211"/>
      <c r="Z456" s="329"/>
      <c r="AA456" s="211"/>
      <c r="AB456" s="211"/>
      <c r="AC456" s="211"/>
      <c r="AD456" s="211"/>
      <c r="AE456" s="211"/>
      <c r="AF456" s="211"/>
      <c r="AI456" s="211"/>
      <c r="AJ456" s="211"/>
      <c r="AK456" s="212"/>
      <c r="AL456" s="211"/>
    </row>
    <row r="457" spans="1:40" x14ac:dyDescent="0.25">
      <c r="A457" s="202"/>
      <c r="C457" s="103"/>
      <c r="F457" s="200"/>
      <c r="H457" s="200"/>
      <c r="I457" s="200"/>
      <c r="J457" s="334"/>
      <c r="K457" s="334"/>
      <c r="L457" s="200"/>
      <c r="M457" s="200"/>
      <c r="N457" s="201"/>
      <c r="O457" s="201"/>
      <c r="P457" s="200"/>
      <c r="Q457" s="200"/>
      <c r="R457" s="200"/>
      <c r="T457" s="103"/>
      <c r="V457" s="200"/>
      <c r="Y457" s="200"/>
      <c r="Z457" s="334"/>
      <c r="AA457" s="200"/>
      <c r="AB457" s="200"/>
      <c r="AC457" s="200"/>
      <c r="AD457" s="200"/>
      <c r="AE457" s="200"/>
      <c r="AF457" s="200"/>
      <c r="AG457" s="209"/>
      <c r="AH457" s="201"/>
      <c r="AI457" s="200"/>
      <c r="AJ457" s="200"/>
      <c r="AK457" s="209"/>
      <c r="AL457" s="200"/>
      <c r="AM457" s="210"/>
      <c r="AN457" s="210"/>
    </row>
    <row r="458" spans="1:40" x14ac:dyDescent="0.25">
      <c r="F458" s="211"/>
      <c r="H458" s="211"/>
      <c r="I458" s="211"/>
      <c r="J458" s="329"/>
      <c r="K458" s="329"/>
      <c r="L458" s="211"/>
      <c r="M458" s="211"/>
      <c r="N458" s="211"/>
      <c r="O458" s="211"/>
      <c r="P458" s="211"/>
      <c r="Q458" s="211"/>
      <c r="R458" s="211"/>
      <c r="V458" s="211"/>
      <c r="Y458" s="211"/>
      <c r="Z458" s="329"/>
      <c r="AA458" s="211"/>
      <c r="AB458" s="211"/>
      <c r="AC458" s="211"/>
      <c r="AD458" s="211"/>
      <c r="AE458" s="211"/>
      <c r="AF458" s="211"/>
      <c r="AI458" s="211"/>
      <c r="AJ458" s="211"/>
      <c r="AK458" s="212"/>
      <c r="AL458" s="211"/>
    </row>
    <row r="459" spans="1:40" x14ac:dyDescent="0.25">
      <c r="A459" s="202"/>
      <c r="C459" s="154"/>
      <c r="J459" s="334"/>
      <c r="K459" s="334"/>
      <c r="T459" s="154"/>
      <c r="Z459" s="334"/>
    </row>
    <row r="460" spans="1:40" x14ac:dyDescent="0.25">
      <c r="A460" s="202"/>
      <c r="C460" s="154"/>
      <c r="J460" s="334"/>
      <c r="K460" s="334"/>
      <c r="T460" s="154"/>
      <c r="Z460" s="334"/>
    </row>
    <row r="461" spans="1:40" x14ac:dyDescent="0.25">
      <c r="A461" s="202"/>
      <c r="C461" s="154"/>
      <c r="F461" s="252"/>
      <c r="H461" s="252"/>
      <c r="I461" s="252"/>
      <c r="J461" s="329"/>
      <c r="K461" s="329"/>
      <c r="L461" s="200"/>
      <c r="M461" s="200"/>
      <c r="N461" s="210"/>
      <c r="O461" s="210"/>
      <c r="P461" s="200"/>
      <c r="Q461" s="200"/>
      <c r="R461" s="200"/>
      <c r="T461" s="154"/>
      <c r="V461" s="200"/>
      <c r="Y461" s="200"/>
      <c r="Z461" s="329"/>
      <c r="AA461" s="200"/>
      <c r="AB461" s="200"/>
      <c r="AC461" s="210"/>
      <c r="AD461" s="210"/>
      <c r="AE461" s="200"/>
      <c r="AF461" s="200"/>
      <c r="AG461" s="209"/>
      <c r="AH461" s="201"/>
      <c r="AI461" s="200"/>
      <c r="AJ461" s="200"/>
      <c r="AK461" s="209"/>
      <c r="AL461" s="200"/>
      <c r="AM461" s="210"/>
      <c r="AN461" s="210"/>
    </row>
    <row r="462" spans="1:40" x14ac:dyDescent="0.25">
      <c r="A462" s="202"/>
      <c r="C462" s="154"/>
      <c r="F462" s="252"/>
      <c r="H462" s="252"/>
      <c r="I462" s="252"/>
      <c r="J462" s="329"/>
      <c r="K462" s="329"/>
      <c r="L462" s="200"/>
      <c r="M462" s="200"/>
      <c r="N462" s="210"/>
      <c r="O462" s="210"/>
      <c r="P462" s="200"/>
      <c r="Q462" s="200"/>
      <c r="R462" s="200"/>
      <c r="T462" s="154"/>
      <c r="V462" s="200"/>
      <c r="Y462" s="200"/>
      <c r="Z462" s="329"/>
      <c r="AA462" s="200"/>
      <c r="AB462" s="200"/>
      <c r="AC462" s="210"/>
      <c r="AD462" s="210"/>
      <c r="AE462" s="200"/>
      <c r="AF462" s="200"/>
      <c r="AG462" s="209"/>
      <c r="AH462" s="201"/>
      <c r="AI462" s="200"/>
      <c r="AJ462" s="200"/>
      <c r="AK462" s="209"/>
      <c r="AL462" s="200"/>
      <c r="AM462" s="210"/>
      <c r="AN462" s="210"/>
    </row>
    <row r="463" spans="1:40" x14ac:dyDescent="0.25">
      <c r="A463" s="202"/>
      <c r="C463" s="154"/>
      <c r="F463" s="252"/>
      <c r="H463" s="252"/>
      <c r="I463" s="252"/>
      <c r="J463" s="329"/>
      <c r="K463" s="329"/>
      <c r="L463" s="200"/>
      <c r="M463" s="200"/>
      <c r="N463" s="210"/>
      <c r="O463" s="210"/>
      <c r="P463" s="200"/>
      <c r="Q463" s="200"/>
      <c r="R463" s="200"/>
      <c r="T463" s="154"/>
      <c r="V463" s="200"/>
      <c r="Y463" s="200"/>
      <c r="Z463" s="329"/>
      <c r="AA463" s="200"/>
      <c r="AB463" s="200"/>
      <c r="AC463" s="210"/>
      <c r="AD463" s="210"/>
      <c r="AE463" s="200"/>
      <c r="AF463" s="200"/>
      <c r="AG463" s="209"/>
      <c r="AH463" s="201"/>
      <c r="AI463" s="200"/>
      <c r="AJ463" s="200"/>
      <c r="AK463" s="209"/>
      <c r="AL463" s="200"/>
      <c r="AM463" s="210"/>
      <c r="AN463" s="210"/>
    </row>
    <row r="464" spans="1:40" x14ac:dyDescent="0.25">
      <c r="A464" s="202"/>
      <c r="C464" s="154"/>
      <c r="F464" s="252"/>
      <c r="H464" s="252"/>
      <c r="I464" s="252"/>
      <c r="J464" s="329"/>
      <c r="K464" s="329"/>
      <c r="L464" s="200"/>
      <c r="M464" s="200"/>
      <c r="N464" s="210"/>
      <c r="O464" s="210"/>
      <c r="P464" s="200"/>
      <c r="Q464" s="200"/>
      <c r="R464" s="200"/>
      <c r="T464" s="154"/>
      <c r="V464" s="200"/>
      <c r="Y464" s="200"/>
      <c r="Z464" s="329"/>
      <c r="AA464" s="200"/>
      <c r="AB464" s="200"/>
      <c r="AC464" s="210"/>
      <c r="AD464" s="210"/>
      <c r="AE464" s="200"/>
      <c r="AF464" s="200"/>
      <c r="AG464" s="209"/>
      <c r="AH464" s="201"/>
      <c r="AI464" s="200"/>
      <c r="AJ464" s="200"/>
      <c r="AK464" s="209"/>
      <c r="AL464" s="200"/>
      <c r="AM464" s="210"/>
      <c r="AN464" s="210"/>
    </row>
    <row r="465" spans="1:40" x14ac:dyDescent="0.25">
      <c r="A465" s="202"/>
      <c r="C465" s="154"/>
      <c r="F465" s="252"/>
      <c r="H465" s="252"/>
      <c r="I465" s="252"/>
      <c r="J465" s="329"/>
      <c r="K465" s="329"/>
      <c r="L465" s="200"/>
      <c r="M465" s="200"/>
      <c r="N465" s="210"/>
      <c r="O465" s="210"/>
      <c r="P465" s="200"/>
      <c r="Q465" s="200"/>
      <c r="R465" s="200"/>
      <c r="T465" s="154"/>
      <c r="V465" s="200"/>
      <c r="Y465" s="200"/>
      <c r="Z465" s="329"/>
      <c r="AA465" s="200"/>
      <c r="AB465" s="200"/>
      <c r="AC465" s="210"/>
      <c r="AD465" s="210"/>
      <c r="AE465" s="200"/>
      <c r="AF465" s="200"/>
      <c r="AG465" s="209"/>
      <c r="AH465" s="201"/>
      <c r="AI465" s="200"/>
      <c r="AJ465" s="200"/>
      <c r="AK465" s="209"/>
      <c r="AL465" s="200"/>
      <c r="AM465" s="210"/>
      <c r="AN465" s="210"/>
    </row>
    <row r="466" spans="1:40" x14ac:dyDescent="0.25">
      <c r="A466" s="202"/>
      <c r="C466" s="154"/>
      <c r="F466" s="252"/>
      <c r="H466" s="252"/>
      <c r="I466" s="252"/>
      <c r="J466" s="329"/>
      <c r="K466" s="329"/>
      <c r="L466" s="200"/>
      <c r="M466" s="200"/>
      <c r="N466" s="210"/>
      <c r="O466" s="210"/>
      <c r="P466" s="200"/>
      <c r="Q466" s="200"/>
      <c r="R466" s="200"/>
      <c r="T466" s="154"/>
      <c r="V466" s="200"/>
      <c r="Y466" s="200"/>
      <c r="Z466" s="329"/>
      <c r="AA466" s="200"/>
      <c r="AB466" s="200"/>
      <c r="AC466" s="210"/>
      <c r="AD466" s="210"/>
      <c r="AE466" s="200"/>
      <c r="AF466" s="200"/>
      <c r="AG466" s="209"/>
      <c r="AH466" s="201"/>
      <c r="AI466" s="200"/>
      <c r="AJ466" s="200"/>
      <c r="AK466" s="209"/>
      <c r="AL466" s="200"/>
      <c r="AM466" s="210"/>
      <c r="AN466" s="210"/>
    </row>
    <row r="467" spans="1:40" x14ac:dyDescent="0.25">
      <c r="A467" s="202"/>
      <c r="C467" s="154"/>
      <c r="F467" s="252"/>
      <c r="H467" s="252"/>
      <c r="I467" s="252"/>
      <c r="J467" s="329"/>
      <c r="K467" s="329"/>
      <c r="L467" s="200"/>
      <c r="M467" s="200"/>
      <c r="N467" s="210"/>
      <c r="O467" s="210"/>
      <c r="P467" s="200"/>
      <c r="Q467" s="200"/>
      <c r="R467" s="200"/>
      <c r="T467" s="154"/>
      <c r="V467" s="200"/>
      <c r="Y467" s="200"/>
      <c r="Z467" s="329"/>
      <c r="AA467" s="200"/>
      <c r="AB467" s="200"/>
      <c r="AC467" s="210"/>
      <c r="AD467" s="210"/>
      <c r="AE467" s="200"/>
      <c r="AF467" s="200"/>
      <c r="AG467" s="209"/>
      <c r="AH467" s="201"/>
      <c r="AI467" s="200"/>
      <c r="AJ467" s="200"/>
      <c r="AK467" s="209"/>
      <c r="AL467" s="200"/>
      <c r="AM467" s="210"/>
      <c r="AN467" s="210"/>
    </row>
    <row r="468" spans="1:40" x14ac:dyDescent="0.25">
      <c r="A468" s="202"/>
      <c r="C468" s="154"/>
      <c r="J468" s="334"/>
      <c r="K468" s="334"/>
      <c r="T468" s="154"/>
      <c r="Z468" s="334"/>
    </row>
    <row r="469" spans="1:40" x14ac:dyDescent="0.25">
      <c r="A469" s="202"/>
      <c r="C469" s="154"/>
      <c r="F469" s="252"/>
      <c r="H469" s="252"/>
      <c r="I469" s="252"/>
      <c r="J469" s="329"/>
      <c r="K469" s="329"/>
      <c r="L469" s="200"/>
      <c r="M469" s="200"/>
      <c r="N469" s="210"/>
      <c r="O469" s="210"/>
      <c r="P469" s="200"/>
      <c r="Q469" s="200"/>
      <c r="R469" s="200"/>
      <c r="T469" s="154"/>
      <c r="V469" s="200"/>
      <c r="Y469" s="200"/>
      <c r="Z469" s="329"/>
      <c r="AA469" s="200"/>
      <c r="AB469" s="200"/>
      <c r="AC469" s="210"/>
      <c r="AD469" s="210"/>
      <c r="AE469" s="200"/>
      <c r="AF469" s="200"/>
      <c r="AG469" s="209"/>
      <c r="AH469" s="201"/>
      <c r="AI469" s="200"/>
      <c r="AJ469" s="200"/>
      <c r="AK469" s="209"/>
      <c r="AL469" s="200"/>
      <c r="AM469" s="210"/>
      <c r="AN469" s="210"/>
    </row>
    <row r="470" spans="1:40" x14ac:dyDescent="0.25">
      <c r="A470" s="202"/>
      <c r="C470" s="154"/>
      <c r="F470" s="252"/>
      <c r="H470" s="252"/>
      <c r="I470" s="252"/>
      <c r="J470" s="329"/>
      <c r="K470" s="329"/>
      <c r="L470" s="200"/>
      <c r="M470" s="200"/>
      <c r="N470" s="210"/>
      <c r="O470" s="210"/>
      <c r="P470" s="200"/>
      <c r="Q470" s="200"/>
      <c r="R470" s="200"/>
      <c r="T470" s="154"/>
      <c r="V470" s="200"/>
      <c r="Y470" s="200"/>
      <c r="Z470" s="329"/>
      <c r="AA470" s="200"/>
      <c r="AB470" s="200"/>
      <c r="AC470" s="210"/>
      <c r="AD470" s="210"/>
      <c r="AE470" s="200"/>
      <c r="AF470" s="200"/>
      <c r="AG470" s="209"/>
      <c r="AH470" s="201"/>
      <c r="AI470" s="200"/>
      <c r="AJ470" s="200"/>
      <c r="AK470" s="209"/>
      <c r="AL470" s="200"/>
      <c r="AM470" s="210"/>
      <c r="AN470" s="210"/>
    </row>
    <row r="471" spans="1:40" x14ac:dyDescent="0.25">
      <c r="A471" s="202"/>
      <c r="C471" s="154"/>
      <c r="F471" s="252"/>
      <c r="H471" s="252"/>
      <c r="I471" s="252"/>
      <c r="J471" s="329"/>
      <c r="K471" s="329"/>
      <c r="L471" s="200"/>
      <c r="M471" s="200"/>
      <c r="N471" s="210"/>
      <c r="O471" s="210"/>
      <c r="P471" s="200"/>
      <c r="Q471" s="200"/>
      <c r="R471" s="200"/>
      <c r="T471" s="154"/>
      <c r="V471" s="200"/>
      <c r="Y471" s="200"/>
      <c r="Z471" s="329"/>
      <c r="AA471" s="200"/>
      <c r="AB471" s="200"/>
      <c r="AC471" s="210"/>
      <c r="AD471" s="210"/>
      <c r="AE471" s="200"/>
      <c r="AF471" s="200"/>
      <c r="AG471" s="209"/>
      <c r="AH471" s="201"/>
      <c r="AI471" s="200"/>
      <c r="AJ471" s="200"/>
      <c r="AK471" s="209"/>
      <c r="AL471" s="200"/>
      <c r="AM471" s="210"/>
      <c r="AN471" s="210"/>
    </row>
    <row r="472" spans="1:40" x14ac:dyDescent="0.25">
      <c r="A472" s="202"/>
      <c r="C472" s="154"/>
      <c r="F472" s="252"/>
      <c r="H472" s="252"/>
      <c r="I472" s="252"/>
      <c r="J472" s="329"/>
      <c r="K472" s="329"/>
      <c r="L472" s="200"/>
      <c r="M472" s="200"/>
      <c r="N472" s="210"/>
      <c r="O472" s="210"/>
      <c r="P472" s="200"/>
      <c r="Q472" s="200"/>
      <c r="R472" s="200"/>
      <c r="T472" s="154"/>
      <c r="V472" s="200"/>
      <c r="Y472" s="200"/>
      <c r="Z472" s="329"/>
      <c r="AA472" s="200"/>
      <c r="AB472" s="200"/>
      <c r="AC472" s="210"/>
      <c r="AD472" s="210"/>
      <c r="AE472" s="200"/>
      <c r="AF472" s="200"/>
      <c r="AG472" s="209"/>
      <c r="AH472" s="201"/>
      <c r="AI472" s="200"/>
      <c r="AJ472" s="200"/>
      <c r="AK472" s="209"/>
      <c r="AL472" s="200"/>
      <c r="AM472" s="210"/>
      <c r="AN472" s="210"/>
    </row>
    <row r="473" spans="1:40" x14ac:dyDescent="0.25">
      <c r="A473" s="202"/>
      <c r="C473" s="154"/>
      <c r="J473" s="334"/>
      <c r="K473" s="334"/>
      <c r="T473" s="154"/>
      <c r="Z473" s="334"/>
    </row>
    <row r="474" spans="1:40" x14ac:dyDescent="0.25">
      <c r="A474" s="202"/>
      <c r="C474" s="154"/>
      <c r="F474" s="252"/>
      <c r="H474" s="252"/>
      <c r="I474" s="252"/>
      <c r="J474" s="329"/>
      <c r="K474" s="329"/>
      <c r="L474" s="200"/>
      <c r="M474" s="200"/>
      <c r="N474" s="210"/>
      <c r="O474" s="210"/>
      <c r="P474" s="200"/>
      <c r="Q474" s="200"/>
      <c r="R474" s="200"/>
      <c r="T474" s="154"/>
      <c r="V474" s="200"/>
      <c r="Y474" s="200"/>
      <c r="Z474" s="329"/>
      <c r="AA474" s="200"/>
      <c r="AB474" s="200"/>
      <c r="AC474" s="210"/>
      <c r="AD474" s="210"/>
      <c r="AE474" s="200"/>
      <c r="AF474" s="200"/>
      <c r="AG474" s="209"/>
      <c r="AH474" s="201"/>
      <c r="AI474" s="200"/>
      <c r="AJ474" s="200"/>
      <c r="AK474" s="209"/>
      <c r="AL474" s="200"/>
      <c r="AM474" s="210"/>
      <c r="AN474" s="210"/>
    </row>
    <row r="475" spans="1:40" x14ac:dyDescent="0.25">
      <c r="A475" s="202"/>
      <c r="C475" s="154"/>
      <c r="F475" s="252"/>
      <c r="H475" s="252"/>
      <c r="I475" s="252"/>
      <c r="J475" s="329"/>
      <c r="K475" s="329"/>
      <c r="L475" s="200"/>
      <c r="M475" s="200"/>
      <c r="N475" s="210"/>
      <c r="O475" s="210"/>
      <c r="P475" s="200"/>
      <c r="Q475" s="200"/>
      <c r="R475" s="200"/>
      <c r="T475" s="154"/>
      <c r="V475" s="200"/>
      <c r="Y475" s="200"/>
      <c r="Z475" s="329"/>
      <c r="AA475" s="200"/>
      <c r="AB475" s="200"/>
      <c r="AC475" s="210"/>
      <c r="AD475" s="210"/>
      <c r="AE475" s="200"/>
      <c r="AF475" s="200"/>
      <c r="AG475" s="209"/>
      <c r="AH475" s="201"/>
      <c r="AI475" s="200"/>
      <c r="AJ475" s="200"/>
      <c r="AK475" s="209"/>
      <c r="AL475" s="200"/>
      <c r="AM475" s="210"/>
      <c r="AN475" s="210"/>
    </row>
    <row r="476" spans="1:40" x14ac:dyDescent="0.25">
      <c r="A476" s="202"/>
      <c r="C476" s="154"/>
      <c r="F476" s="252"/>
      <c r="H476" s="252"/>
      <c r="I476" s="252"/>
      <c r="J476" s="329"/>
      <c r="K476" s="329"/>
      <c r="L476" s="200"/>
      <c r="M476" s="200"/>
      <c r="N476" s="210"/>
      <c r="O476" s="210"/>
      <c r="P476" s="200"/>
      <c r="Q476" s="200"/>
      <c r="R476" s="200"/>
      <c r="T476" s="154"/>
      <c r="V476" s="200"/>
      <c r="Y476" s="200"/>
      <c r="Z476" s="329"/>
      <c r="AA476" s="200"/>
      <c r="AB476" s="200"/>
      <c r="AC476" s="210"/>
      <c r="AD476" s="210"/>
      <c r="AE476" s="200"/>
      <c r="AF476" s="200"/>
      <c r="AG476" s="209"/>
      <c r="AH476" s="201"/>
      <c r="AI476" s="200"/>
      <c r="AJ476" s="200"/>
      <c r="AK476" s="209"/>
      <c r="AL476" s="200"/>
      <c r="AM476" s="210"/>
      <c r="AN476" s="210"/>
    </row>
    <row r="477" spans="1:40" x14ac:dyDescent="0.25">
      <c r="A477" s="202"/>
      <c r="C477" s="154"/>
      <c r="F477" s="252"/>
      <c r="H477" s="252"/>
      <c r="I477" s="252"/>
      <c r="J477" s="329"/>
      <c r="K477" s="329"/>
      <c r="L477" s="200"/>
      <c r="M477" s="200"/>
      <c r="N477" s="210"/>
      <c r="O477" s="210"/>
      <c r="P477" s="200"/>
      <c r="Q477" s="200"/>
      <c r="R477" s="200"/>
      <c r="T477" s="154"/>
      <c r="V477" s="200"/>
      <c r="Y477" s="200"/>
      <c r="Z477" s="329"/>
      <c r="AA477" s="200"/>
      <c r="AB477" s="200"/>
      <c r="AC477" s="210"/>
      <c r="AD477" s="210"/>
      <c r="AE477" s="200"/>
      <c r="AF477" s="200"/>
      <c r="AG477" s="209"/>
      <c r="AH477" s="201"/>
      <c r="AI477" s="200"/>
      <c r="AJ477" s="200"/>
      <c r="AK477" s="209"/>
      <c r="AL477" s="200"/>
      <c r="AM477" s="210"/>
      <c r="AN477" s="210"/>
    </row>
    <row r="478" spans="1:40" x14ac:dyDescent="0.25">
      <c r="A478" s="202"/>
      <c r="C478" s="154"/>
      <c r="F478" s="252"/>
      <c r="H478" s="252"/>
      <c r="I478" s="252"/>
      <c r="J478" s="329"/>
      <c r="K478" s="329"/>
      <c r="L478" s="200"/>
      <c r="M478" s="200"/>
      <c r="N478" s="210"/>
      <c r="O478" s="210"/>
      <c r="P478" s="200"/>
      <c r="Q478" s="200"/>
      <c r="R478" s="200"/>
      <c r="T478" s="154"/>
      <c r="V478" s="200"/>
      <c r="Y478" s="200"/>
      <c r="Z478" s="329"/>
      <c r="AA478" s="200"/>
      <c r="AB478" s="200"/>
      <c r="AC478" s="210"/>
      <c r="AD478" s="210"/>
      <c r="AE478" s="200"/>
      <c r="AF478" s="200"/>
      <c r="AG478" s="209"/>
      <c r="AH478" s="201"/>
      <c r="AI478" s="200"/>
      <c r="AJ478" s="200"/>
      <c r="AK478" s="209"/>
      <c r="AL478" s="200"/>
      <c r="AM478" s="210"/>
      <c r="AN478" s="210"/>
    </row>
    <row r="479" spans="1:40" x14ac:dyDescent="0.25">
      <c r="F479" s="211"/>
      <c r="H479" s="211"/>
      <c r="I479" s="211"/>
      <c r="J479" s="305"/>
      <c r="K479" s="305"/>
      <c r="L479" s="211"/>
      <c r="M479" s="211"/>
      <c r="N479" s="211"/>
      <c r="O479" s="211"/>
      <c r="P479" s="211"/>
      <c r="Q479" s="211"/>
      <c r="R479" s="211"/>
      <c r="V479" s="211"/>
      <c r="Y479" s="211"/>
      <c r="Z479" s="329"/>
      <c r="AA479" s="211"/>
      <c r="AB479" s="211"/>
      <c r="AC479" s="211"/>
      <c r="AD479" s="211"/>
      <c r="AE479" s="211"/>
      <c r="AF479" s="211"/>
      <c r="AI479" s="211"/>
      <c r="AJ479" s="211"/>
      <c r="AK479" s="212"/>
      <c r="AL479" s="211"/>
    </row>
    <row r="480" spans="1:40" x14ac:dyDescent="0.25">
      <c r="A480" s="202"/>
      <c r="C480" s="154"/>
      <c r="F480" s="200"/>
      <c r="H480" s="200"/>
      <c r="I480" s="200"/>
      <c r="L480" s="200"/>
      <c r="M480" s="200"/>
      <c r="N480" s="201"/>
      <c r="O480" s="201"/>
      <c r="P480" s="200"/>
      <c r="Q480" s="200"/>
      <c r="R480" s="200"/>
      <c r="T480" s="154"/>
      <c r="V480" s="200"/>
      <c r="Y480" s="200"/>
      <c r="AA480" s="200"/>
      <c r="AB480" s="200"/>
      <c r="AC480" s="210"/>
      <c r="AD480" s="210"/>
      <c r="AE480" s="200"/>
      <c r="AF480" s="200"/>
      <c r="AG480" s="209"/>
      <c r="AH480" s="201"/>
      <c r="AI480" s="200"/>
      <c r="AJ480" s="200"/>
      <c r="AK480" s="209"/>
      <c r="AL480" s="200"/>
      <c r="AM480" s="210"/>
      <c r="AN480" s="210"/>
    </row>
    <row r="481" spans="1:40" x14ac:dyDescent="0.25">
      <c r="F481" s="211"/>
      <c r="H481" s="211"/>
      <c r="I481" s="211"/>
      <c r="J481" s="305"/>
      <c r="K481" s="305"/>
      <c r="L481" s="211"/>
      <c r="M481" s="211"/>
      <c r="N481" s="211"/>
      <c r="O481" s="211"/>
      <c r="P481" s="211"/>
      <c r="Q481" s="211"/>
      <c r="R481" s="211"/>
      <c r="V481" s="211"/>
      <c r="Y481" s="211"/>
      <c r="Z481" s="305"/>
      <c r="AA481" s="211"/>
      <c r="AB481" s="211"/>
      <c r="AC481" s="211"/>
      <c r="AD481" s="211"/>
      <c r="AE481" s="211"/>
      <c r="AF481" s="211"/>
      <c r="AI481" s="211"/>
      <c r="AJ481" s="211"/>
      <c r="AK481" s="212"/>
      <c r="AL481" s="211"/>
    </row>
    <row r="482" spans="1:40" x14ac:dyDescent="0.25">
      <c r="A482" s="202"/>
      <c r="C482" s="154"/>
      <c r="T482" s="154"/>
    </row>
    <row r="483" spans="1:40" x14ac:dyDescent="0.25">
      <c r="A483" s="202"/>
      <c r="C483" s="154"/>
      <c r="F483" s="252"/>
      <c r="H483" s="252"/>
      <c r="I483" s="252"/>
      <c r="J483" s="300"/>
      <c r="K483" s="300"/>
      <c r="L483" s="200"/>
      <c r="M483" s="200"/>
      <c r="N483" s="210"/>
      <c r="O483" s="210"/>
      <c r="P483" s="200"/>
      <c r="Q483" s="200"/>
      <c r="R483" s="200"/>
      <c r="T483" s="154"/>
      <c r="V483" s="200"/>
      <c r="Y483" s="200"/>
      <c r="Z483" s="300"/>
      <c r="AA483" s="200"/>
      <c r="AB483" s="200"/>
      <c r="AC483" s="210"/>
      <c r="AD483" s="210"/>
      <c r="AE483" s="200"/>
      <c r="AF483" s="200"/>
      <c r="AG483" s="209"/>
      <c r="AH483" s="201"/>
      <c r="AI483" s="200"/>
      <c r="AJ483" s="200"/>
      <c r="AK483" s="209"/>
      <c r="AL483" s="200"/>
      <c r="AM483" s="210"/>
      <c r="AN483" s="210"/>
    </row>
    <row r="484" spans="1:40" x14ac:dyDescent="0.25">
      <c r="A484" s="202"/>
      <c r="C484" s="154"/>
      <c r="F484" s="252"/>
      <c r="H484" s="252"/>
      <c r="I484" s="252"/>
      <c r="J484" s="300"/>
      <c r="K484" s="300"/>
      <c r="L484" s="200"/>
      <c r="M484" s="200"/>
      <c r="N484" s="210"/>
      <c r="O484" s="210"/>
      <c r="P484" s="200"/>
      <c r="Q484" s="200"/>
      <c r="R484" s="200"/>
      <c r="T484" s="154"/>
      <c r="V484" s="200"/>
      <c r="Y484" s="200"/>
      <c r="Z484" s="300"/>
      <c r="AA484" s="200"/>
      <c r="AB484" s="200"/>
      <c r="AC484" s="210"/>
      <c r="AD484" s="210"/>
      <c r="AE484" s="200"/>
      <c r="AF484" s="200"/>
      <c r="AG484" s="209"/>
      <c r="AH484" s="201"/>
      <c r="AI484" s="200"/>
      <c r="AJ484" s="200"/>
      <c r="AK484" s="209"/>
      <c r="AL484" s="200"/>
      <c r="AM484" s="210"/>
      <c r="AN484" s="210"/>
    </row>
    <row r="485" spans="1:40" x14ac:dyDescent="0.25">
      <c r="F485" s="211"/>
      <c r="H485" s="200"/>
      <c r="I485" s="200"/>
      <c r="J485" s="305"/>
      <c r="K485" s="305"/>
      <c r="L485" s="211"/>
      <c r="M485" s="211"/>
      <c r="N485" s="211"/>
      <c r="O485" s="211"/>
      <c r="P485" s="211"/>
      <c r="Q485" s="211"/>
      <c r="R485" s="211"/>
      <c r="V485" s="211"/>
      <c r="Y485" s="200"/>
      <c r="Z485" s="305"/>
      <c r="AA485" s="211"/>
      <c r="AB485" s="211"/>
      <c r="AC485" s="211"/>
      <c r="AD485" s="211"/>
      <c r="AE485" s="211"/>
      <c r="AF485" s="211"/>
      <c r="AI485" s="211"/>
      <c r="AJ485" s="211"/>
      <c r="AK485" s="212"/>
      <c r="AL485" s="211"/>
    </row>
    <row r="486" spans="1:40" x14ac:dyDescent="0.25">
      <c r="F486" s="200"/>
      <c r="H486" s="200"/>
      <c r="I486" s="200"/>
      <c r="J486" s="305"/>
      <c r="K486" s="305"/>
      <c r="L486" s="200"/>
      <c r="M486" s="200"/>
      <c r="N486" s="200"/>
      <c r="O486" s="200"/>
      <c r="P486" s="200"/>
      <c r="Q486" s="200"/>
      <c r="R486" s="200"/>
      <c r="V486" s="200"/>
      <c r="Y486" s="200"/>
      <c r="Z486" s="305"/>
      <c r="AA486" s="200"/>
      <c r="AB486" s="200"/>
      <c r="AC486" s="200"/>
      <c r="AD486" s="200"/>
      <c r="AE486" s="200"/>
      <c r="AF486" s="200"/>
      <c r="AI486" s="200"/>
      <c r="AJ486" s="200"/>
      <c r="AK486" s="209"/>
      <c r="AL486" s="200"/>
    </row>
    <row r="487" spans="1:40" x14ac:dyDescent="0.25">
      <c r="A487" s="202"/>
      <c r="C487" s="154"/>
      <c r="F487" s="200"/>
      <c r="H487" s="200"/>
      <c r="I487" s="200"/>
      <c r="L487" s="200"/>
      <c r="M487" s="200"/>
      <c r="N487" s="210"/>
      <c r="O487" s="210"/>
      <c r="P487" s="200"/>
      <c r="Q487" s="200"/>
      <c r="R487" s="200"/>
      <c r="T487" s="154"/>
      <c r="V487" s="200"/>
      <c r="Y487" s="200"/>
      <c r="AA487" s="200"/>
      <c r="AB487" s="200"/>
      <c r="AC487" s="210"/>
      <c r="AD487" s="210"/>
      <c r="AE487" s="200"/>
      <c r="AF487" s="200"/>
      <c r="AG487" s="209"/>
      <c r="AH487" s="201"/>
      <c r="AI487" s="252"/>
      <c r="AJ487" s="252"/>
      <c r="AK487" s="209"/>
      <c r="AL487" s="200"/>
      <c r="AM487" s="210"/>
      <c r="AN487" s="210"/>
    </row>
    <row r="488" spans="1:40" x14ac:dyDescent="0.25">
      <c r="F488" s="211"/>
      <c r="H488" s="211"/>
      <c r="I488" s="211"/>
      <c r="J488" s="305"/>
      <c r="K488" s="305"/>
      <c r="L488" s="211"/>
      <c r="M488" s="211"/>
      <c r="N488" s="211"/>
      <c r="O488" s="211"/>
      <c r="P488" s="211"/>
      <c r="Q488" s="211"/>
      <c r="R488" s="211"/>
      <c r="V488" s="211"/>
      <c r="Y488" s="211"/>
      <c r="Z488" s="305"/>
      <c r="AA488" s="211"/>
      <c r="AB488" s="211"/>
      <c r="AC488" s="211"/>
      <c r="AD488" s="211"/>
      <c r="AE488" s="211"/>
      <c r="AF488" s="211"/>
      <c r="AI488" s="211"/>
      <c r="AJ488" s="211"/>
      <c r="AK488" s="212"/>
      <c r="AL488" s="211"/>
    </row>
    <row r="490" spans="1:40" x14ac:dyDescent="0.25">
      <c r="A490" s="154"/>
      <c r="T490" s="154"/>
    </row>
    <row r="491" spans="1:40" x14ac:dyDescent="0.25">
      <c r="A491" s="154"/>
      <c r="T491" s="154"/>
    </row>
    <row r="492" spans="1:40" x14ac:dyDescent="0.25">
      <c r="A492" s="154"/>
      <c r="T492" s="154"/>
    </row>
    <row r="493" spans="1:40" x14ac:dyDescent="0.25">
      <c r="A493" s="154"/>
      <c r="T493" s="154"/>
    </row>
    <row r="494" spans="1:40" x14ac:dyDescent="0.25">
      <c r="A494" s="154"/>
      <c r="T494" s="154"/>
    </row>
    <row r="495" spans="1:40" x14ac:dyDescent="0.25">
      <c r="A495" s="154"/>
      <c r="T495" s="154"/>
    </row>
    <row r="496" spans="1:40" x14ac:dyDescent="0.25">
      <c r="A496" s="154"/>
      <c r="T496" s="154"/>
    </row>
    <row r="497" spans="1:40" x14ac:dyDescent="0.25">
      <c r="A497" s="154"/>
      <c r="T497" s="154"/>
    </row>
    <row r="498" spans="1:40" x14ac:dyDescent="0.25">
      <c r="A498" s="154"/>
      <c r="T498" s="154"/>
    </row>
    <row r="500" spans="1:40" x14ac:dyDescent="0.25">
      <c r="A500" s="154"/>
    </row>
    <row r="501" spans="1:40" x14ac:dyDescent="0.25">
      <c r="J501" s="202"/>
      <c r="K501" s="202"/>
      <c r="Z501" s="202"/>
    </row>
    <row r="502" spans="1:40" x14ac:dyDescent="0.25">
      <c r="H502" s="154"/>
      <c r="I502" s="154"/>
      <c r="Y502" s="154"/>
    </row>
    <row r="503" spans="1:40" x14ac:dyDescent="0.25">
      <c r="J503" s="202"/>
      <c r="K503" s="202"/>
      <c r="Z503" s="202"/>
    </row>
    <row r="504" spans="1:40" x14ac:dyDescent="0.25">
      <c r="L504" s="154"/>
      <c r="M504" s="154"/>
      <c r="AA504" s="154"/>
      <c r="AB504" s="154"/>
    </row>
    <row r="505" spans="1:40" x14ac:dyDescent="0.25">
      <c r="A505" s="202"/>
      <c r="R505" s="154"/>
      <c r="AK505" s="297"/>
      <c r="AL505" s="154"/>
    </row>
    <row r="506" spans="1:40" x14ac:dyDescent="0.25">
      <c r="A506" s="202"/>
      <c r="R506" s="154"/>
      <c r="AK506" s="297"/>
      <c r="AL506" s="154"/>
    </row>
    <row r="507" spans="1:40" x14ac:dyDescent="0.25">
      <c r="A507" s="154"/>
      <c r="R507" s="154"/>
      <c r="AK507" s="297"/>
      <c r="AL507" s="154"/>
    </row>
    <row r="508" spans="1:40" x14ac:dyDescent="0.25">
      <c r="L508" s="154"/>
      <c r="M508" s="154"/>
      <c r="R508" s="202"/>
      <c r="AA508" s="154"/>
      <c r="AB508" s="154"/>
      <c r="AK508" s="209"/>
      <c r="AL508" s="202"/>
    </row>
    <row r="509" spans="1:40" x14ac:dyDescent="0.25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208"/>
      <c r="AH509" s="102"/>
      <c r="AI509" s="102"/>
      <c r="AJ509" s="102"/>
      <c r="AK509" s="208"/>
      <c r="AL509" s="102"/>
      <c r="AM509" s="102"/>
      <c r="AN509" s="102"/>
    </row>
    <row r="510" spans="1:40" x14ac:dyDescent="0.25">
      <c r="L510" s="103"/>
      <c r="M510" s="103"/>
      <c r="N510" s="103"/>
      <c r="O510" s="103"/>
      <c r="R510" s="103"/>
      <c r="AA510" s="103"/>
      <c r="AB510" s="103"/>
      <c r="AC510" s="103"/>
      <c r="AD510" s="103"/>
      <c r="AE510" s="103"/>
      <c r="AF510" s="103"/>
      <c r="AG510" s="185"/>
      <c r="AH510" s="103"/>
      <c r="AK510" s="185"/>
      <c r="AL510" s="103"/>
      <c r="AM510" s="103"/>
      <c r="AN510" s="103"/>
    </row>
    <row r="511" spans="1:40" x14ac:dyDescent="0.25">
      <c r="L511" s="103"/>
      <c r="M511" s="103"/>
      <c r="N511" s="103"/>
      <c r="O511" s="103"/>
      <c r="R511" s="103"/>
      <c r="Z511" s="103"/>
      <c r="AA511" s="103"/>
      <c r="AB511" s="103"/>
      <c r="AC511" s="103"/>
      <c r="AD511" s="103"/>
      <c r="AE511" s="103"/>
      <c r="AF511" s="103"/>
      <c r="AG511" s="185"/>
      <c r="AH511" s="103"/>
      <c r="AK511" s="185"/>
      <c r="AL511" s="103"/>
      <c r="AM511" s="103"/>
      <c r="AN511" s="103"/>
    </row>
    <row r="512" spans="1:40" x14ac:dyDescent="0.25">
      <c r="A512" s="103"/>
      <c r="C512" s="103"/>
      <c r="D512" s="103"/>
      <c r="E512" s="103"/>
      <c r="F512" s="103"/>
      <c r="J512" s="103"/>
      <c r="K512" s="103"/>
      <c r="L512" s="103"/>
      <c r="M512" s="103"/>
      <c r="N512" s="103"/>
      <c r="O512" s="103"/>
      <c r="P512" s="103"/>
      <c r="Q512" s="103"/>
      <c r="R512" s="103"/>
      <c r="T512" s="103"/>
      <c r="U512" s="103"/>
      <c r="V512" s="103"/>
      <c r="Z512" s="103"/>
      <c r="AA512" s="103"/>
      <c r="AB512" s="103"/>
      <c r="AC512" s="103"/>
      <c r="AD512" s="103"/>
      <c r="AE512" s="103"/>
      <c r="AF512" s="103"/>
      <c r="AG512" s="185"/>
      <c r="AH512" s="103"/>
      <c r="AI512" s="103"/>
      <c r="AJ512" s="103"/>
      <c r="AK512" s="185"/>
      <c r="AL512" s="103"/>
      <c r="AM512" s="103"/>
      <c r="AN512" s="103"/>
    </row>
    <row r="513" spans="1:40" x14ac:dyDescent="0.25">
      <c r="A513" s="103"/>
      <c r="C513" s="103"/>
      <c r="D513" s="103"/>
      <c r="E513" s="103"/>
      <c r="F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T513" s="103"/>
      <c r="U513" s="103"/>
      <c r="V513" s="103"/>
      <c r="Y513" s="103"/>
      <c r="Z513" s="103"/>
      <c r="AA513" s="103"/>
      <c r="AB513" s="103"/>
      <c r="AC513" s="103"/>
      <c r="AD513" s="103"/>
      <c r="AE513" s="103"/>
      <c r="AF513" s="103"/>
      <c r="AG513" s="185"/>
      <c r="AH513" s="103"/>
      <c r="AI513" s="103"/>
      <c r="AJ513" s="103"/>
      <c r="AK513" s="185"/>
      <c r="AL513" s="103"/>
      <c r="AM513" s="103"/>
      <c r="AN513" s="103"/>
    </row>
    <row r="514" spans="1:40" x14ac:dyDescent="0.25">
      <c r="C514" s="103"/>
      <c r="D514" s="103"/>
      <c r="E514" s="103"/>
      <c r="F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T514" s="103"/>
      <c r="U514" s="103"/>
      <c r="V514" s="103"/>
      <c r="Y514" s="103"/>
      <c r="Z514" s="103"/>
      <c r="AA514" s="103"/>
      <c r="AB514" s="103"/>
      <c r="AC514" s="103"/>
      <c r="AD514" s="103"/>
      <c r="AE514" s="103"/>
      <c r="AF514" s="103"/>
      <c r="AG514" s="185"/>
      <c r="AH514" s="103"/>
      <c r="AI514" s="103"/>
      <c r="AJ514" s="103"/>
      <c r="AK514" s="185"/>
      <c r="AL514" s="103"/>
      <c r="AM514" s="103"/>
      <c r="AN514" s="103"/>
    </row>
    <row r="515" spans="1:40" x14ac:dyDescent="0.25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208"/>
      <c r="AH515" s="102"/>
      <c r="AI515" s="102"/>
      <c r="AJ515" s="102"/>
      <c r="AK515" s="208"/>
      <c r="AL515" s="102"/>
      <c r="AM515" s="102"/>
      <c r="AN515" s="102"/>
    </row>
    <row r="516" spans="1:40" x14ac:dyDescent="0.25"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Y516" s="103"/>
      <c r="Z516" s="103"/>
      <c r="AA516" s="103"/>
      <c r="AB516" s="103"/>
      <c r="AC516" s="103"/>
      <c r="AD516" s="103"/>
      <c r="AE516" s="103"/>
      <c r="AF516" s="103"/>
      <c r="AG516" s="185"/>
      <c r="AH516" s="103"/>
      <c r="AI516" s="103"/>
      <c r="AJ516" s="103"/>
      <c r="AK516" s="185"/>
      <c r="AL516" s="103"/>
      <c r="AM516" s="103"/>
      <c r="AN516" s="103"/>
    </row>
    <row r="517" spans="1:40" x14ac:dyDescent="0.25">
      <c r="A517" s="202"/>
      <c r="C517" s="154"/>
      <c r="D517" s="154"/>
      <c r="E517" s="154"/>
      <c r="T517" s="154"/>
      <c r="U517" s="154"/>
    </row>
    <row r="518" spans="1:40" x14ac:dyDescent="0.25">
      <c r="A518" s="202"/>
      <c r="D518" s="154"/>
      <c r="E518" s="154"/>
      <c r="U518" s="154"/>
    </row>
    <row r="520" spans="1:40" x14ac:dyDescent="0.25">
      <c r="A520" s="202"/>
      <c r="C520" s="154"/>
      <c r="F520" s="200"/>
      <c r="J520" s="215"/>
      <c r="K520" s="215"/>
      <c r="L520" s="200"/>
      <c r="M520" s="200"/>
      <c r="R520" s="200"/>
      <c r="T520" s="154"/>
      <c r="V520" s="200"/>
      <c r="Z520" s="215"/>
      <c r="AA520" s="200"/>
      <c r="AB520" s="200"/>
      <c r="AG520" s="209"/>
      <c r="AH520" s="200"/>
      <c r="AK520" s="209"/>
      <c r="AL520" s="200"/>
    </row>
    <row r="521" spans="1:40" x14ac:dyDescent="0.25">
      <c r="A521" s="202"/>
      <c r="C521" s="154"/>
      <c r="F521" s="200"/>
      <c r="R521" s="200"/>
      <c r="T521" s="154"/>
      <c r="V521" s="200"/>
      <c r="AG521" s="209"/>
      <c r="AH521" s="200"/>
      <c r="AK521" s="209"/>
      <c r="AL521" s="200"/>
    </row>
    <row r="522" spans="1:40" x14ac:dyDescent="0.25">
      <c r="AI522" s="200"/>
      <c r="AJ522" s="200"/>
      <c r="AK522" s="209"/>
      <c r="AL522" s="200"/>
      <c r="AM522" s="210"/>
      <c r="AN522" s="210"/>
    </row>
    <row r="523" spans="1:40" x14ac:dyDescent="0.25">
      <c r="A523" s="202"/>
      <c r="C523" s="154"/>
      <c r="F523" s="252"/>
      <c r="H523" s="252"/>
      <c r="I523" s="252"/>
      <c r="J523" s="328"/>
      <c r="K523" s="328"/>
      <c r="L523" s="200"/>
      <c r="M523" s="200"/>
      <c r="N523" s="210"/>
      <c r="O523" s="210"/>
      <c r="P523" s="200"/>
      <c r="Q523" s="200"/>
      <c r="R523" s="200"/>
      <c r="T523" s="154"/>
      <c r="V523" s="200"/>
      <c r="Y523" s="200"/>
      <c r="Z523" s="328"/>
      <c r="AA523" s="200"/>
      <c r="AB523" s="200"/>
      <c r="AC523" s="210"/>
      <c r="AD523" s="210"/>
      <c r="AE523" s="200"/>
      <c r="AF523" s="200"/>
      <c r="AG523" s="209"/>
      <c r="AH523" s="201"/>
      <c r="AI523" s="200"/>
      <c r="AJ523" s="200"/>
      <c r="AK523" s="209"/>
      <c r="AL523" s="200"/>
      <c r="AM523" s="210"/>
      <c r="AN523" s="210"/>
    </row>
    <row r="524" spans="1:40" x14ac:dyDescent="0.25">
      <c r="F524" s="200"/>
      <c r="H524" s="200"/>
      <c r="I524" s="200"/>
      <c r="J524" s="213"/>
      <c r="K524" s="213"/>
      <c r="L524" s="200"/>
      <c r="M524" s="200"/>
      <c r="P524" s="200"/>
      <c r="Q524" s="200"/>
      <c r="R524" s="200"/>
      <c r="V524" s="200"/>
      <c r="Y524" s="200"/>
      <c r="Z524" s="213"/>
      <c r="AA524" s="200"/>
      <c r="AB524" s="200"/>
      <c r="AI524" s="200"/>
      <c r="AJ524" s="200"/>
      <c r="AK524" s="209"/>
      <c r="AL524" s="200"/>
      <c r="AM524" s="210"/>
      <c r="AN524" s="210"/>
    </row>
    <row r="525" spans="1:40" x14ac:dyDescent="0.25">
      <c r="F525" s="200"/>
      <c r="R525" s="200"/>
      <c r="V525" s="200"/>
      <c r="AK525" s="209"/>
      <c r="AL525" s="200"/>
      <c r="AM525" s="210"/>
      <c r="AN525" s="210"/>
    </row>
    <row r="526" spans="1:40" x14ac:dyDescent="0.25">
      <c r="A526" s="202"/>
      <c r="C526" s="154"/>
      <c r="F526" s="200"/>
      <c r="J526" s="215"/>
      <c r="K526" s="215"/>
      <c r="L526" s="200"/>
      <c r="M526" s="200"/>
      <c r="N526" s="210"/>
      <c r="O526" s="210"/>
      <c r="R526" s="200"/>
      <c r="T526" s="154"/>
      <c r="V526" s="200"/>
      <c r="Z526" s="215"/>
      <c r="AA526" s="200"/>
      <c r="AB526" s="200"/>
      <c r="AC526" s="210"/>
      <c r="AD526" s="210"/>
      <c r="AK526" s="209"/>
      <c r="AL526" s="200"/>
      <c r="AM526" s="210"/>
      <c r="AN526" s="210"/>
    </row>
    <row r="527" spans="1:40" x14ac:dyDescent="0.25">
      <c r="A527" s="202"/>
      <c r="C527" s="154"/>
      <c r="F527" s="200"/>
      <c r="H527" s="200"/>
      <c r="I527" s="200"/>
      <c r="J527" s="215"/>
      <c r="K527" s="215"/>
      <c r="L527" s="200"/>
      <c r="M527" s="200"/>
      <c r="N527" s="210"/>
      <c r="O527" s="210"/>
      <c r="P527" s="200"/>
      <c r="Q527" s="200"/>
      <c r="R527" s="200"/>
      <c r="T527" s="154"/>
      <c r="V527" s="200"/>
      <c r="Y527" s="200"/>
      <c r="Z527" s="215"/>
      <c r="AA527" s="200"/>
      <c r="AB527" s="200"/>
      <c r="AC527" s="210"/>
      <c r="AD527" s="210"/>
      <c r="AI527" s="200"/>
      <c r="AJ527" s="200"/>
      <c r="AK527" s="209"/>
      <c r="AL527" s="200"/>
      <c r="AM527" s="210"/>
      <c r="AN527" s="210"/>
    </row>
    <row r="528" spans="1:40" x14ac:dyDescent="0.25">
      <c r="A528" s="202"/>
      <c r="C528" s="154"/>
      <c r="T528" s="154"/>
      <c r="AM528" s="210"/>
      <c r="AN528" s="210"/>
    </row>
    <row r="529" spans="1:40" x14ac:dyDescent="0.25">
      <c r="A529" s="202"/>
      <c r="C529" s="154"/>
      <c r="T529" s="154"/>
      <c r="AM529" s="210"/>
      <c r="AN529" s="210"/>
    </row>
    <row r="530" spans="1:40" x14ac:dyDescent="0.25">
      <c r="AM530" s="210"/>
      <c r="AN530" s="210"/>
    </row>
    <row r="531" spans="1:40" x14ac:dyDescent="0.25">
      <c r="A531" s="202"/>
      <c r="C531" s="154"/>
      <c r="F531" s="252"/>
      <c r="H531" s="252"/>
      <c r="I531" s="252"/>
      <c r="J531" s="328"/>
      <c r="K531" s="328"/>
      <c r="L531" s="200"/>
      <c r="M531" s="200"/>
      <c r="N531" s="210"/>
      <c r="O531" s="210"/>
      <c r="P531" s="200"/>
      <c r="Q531" s="200"/>
      <c r="R531" s="200"/>
      <c r="T531" s="154"/>
      <c r="V531" s="200"/>
      <c r="Y531" s="200"/>
      <c r="Z531" s="328"/>
      <c r="AA531" s="200"/>
      <c r="AB531" s="200"/>
      <c r="AC531" s="210"/>
      <c r="AD531" s="210"/>
      <c r="AE531" s="200"/>
      <c r="AF531" s="200"/>
      <c r="AG531" s="209"/>
      <c r="AH531" s="201"/>
      <c r="AI531" s="200"/>
      <c r="AJ531" s="200"/>
      <c r="AK531" s="209"/>
      <c r="AL531" s="200"/>
      <c r="AM531" s="210"/>
      <c r="AN531" s="210"/>
    </row>
    <row r="532" spans="1:40" x14ac:dyDescent="0.25">
      <c r="F532" s="211"/>
      <c r="H532" s="211"/>
      <c r="I532" s="211"/>
      <c r="J532" s="305"/>
      <c r="K532" s="305"/>
      <c r="L532" s="211"/>
      <c r="M532" s="211"/>
      <c r="N532" s="211"/>
      <c r="O532" s="211"/>
      <c r="P532" s="211"/>
      <c r="Q532" s="211"/>
      <c r="R532" s="211"/>
      <c r="V532" s="211"/>
      <c r="Y532" s="211"/>
      <c r="Z532" s="305"/>
      <c r="AA532" s="211"/>
      <c r="AB532" s="211"/>
      <c r="AC532" s="211"/>
      <c r="AD532" s="211"/>
      <c r="AE532" s="211"/>
      <c r="AF532" s="211"/>
      <c r="AI532" s="211"/>
      <c r="AJ532" s="211"/>
      <c r="AK532" s="212"/>
      <c r="AL532" s="211"/>
      <c r="AM532" s="210"/>
      <c r="AN532" s="210"/>
    </row>
    <row r="533" spans="1:40" x14ac:dyDescent="0.25">
      <c r="H533" s="200"/>
      <c r="I533" s="200"/>
      <c r="Y533" s="200"/>
      <c r="AM533" s="210"/>
      <c r="AN533" s="210"/>
    </row>
    <row r="534" spans="1:40" x14ac:dyDescent="0.25">
      <c r="A534" s="202"/>
      <c r="C534" s="154"/>
      <c r="F534" s="200"/>
      <c r="H534" s="200"/>
      <c r="I534" s="200"/>
      <c r="L534" s="200"/>
      <c r="M534" s="200"/>
      <c r="N534" s="210"/>
      <c r="O534" s="210"/>
      <c r="P534" s="252"/>
      <c r="Q534" s="252"/>
      <c r="R534" s="200"/>
      <c r="T534" s="154"/>
      <c r="V534" s="200"/>
      <c r="Y534" s="200"/>
      <c r="AA534" s="200"/>
      <c r="AB534" s="200"/>
      <c r="AC534" s="210"/>
      <c r="AD534" s="210"/>
      <c r="AE534" s="200"/>
      <c r="AF534" s="200"/>
      <c r="AG534" s="209"/>
      <c r="AH534" s="201"/>
      <c r="AI534" s="252"/>
      <c r="AJ534" s="252"/>
      <c r="AK534" s="209"/>
      <c r="AL534" s="200"/>
      <c r="AM534" s="210"/>
      <c r="AN534" s="210"/>
    </row>
    <row r="535" spans="1:40" x14ac:dyDescent="0.25">
      <c r="F535" s="211"/>
      <c r="H535" s="211"/>
      <c r="I535" s="211"/>
      <c r="J535" s="305"/>
      <c r="K535" s="305"/>
      <c r="L535" s="211"/>
      <c r="M535" s="211"/>
      <c r="N535" s="211"/>
      <c r="O535" s="211"/>
      <c r="P535" s="211"/>
      <c r="Q535" s="211"/>
      <c r="R535" s="211"/>
      <c r="V535" s="211"/>
      <c r="Y535" s="211"/>
      <c r="Z535" s="305"/>
      <c r="AA535" s="211"/>
      <c r="AB535" s="211"/>
      <c r="AC535" s="211"/>
      <c r="AD535" s="211"/>
      <c r="AE535" s="211"/>
      <c r="AF535" s="211"/>
      <c r="AI535" s="211"/>
      <c r="AJ535" s="211"/>
      <c r="AK535" s="212"/>
      <c r="AL535" s="211"/>
      <c r="AM535" s="210"/>
      <c r="AN535" s="210"/>
    </row>
    <row r="537" spans="1:40" x14ac:dyDescent="0.25">
      <c r="F537" s="200"/>
      <c r="H537" s="200"/>
      <c r="I537" s="200"/>
      <c r="J537" s="213"/>
      <c r="K537" s="213"/>
      <c r="L537" s="200"/>
      <c r="M537" s="200"/>
      <c r="N537" s="200"/>
      <c r="O537" s="200"/>
      <c r="P537" s="200"/>
      <c r="Q537" s="200"/>
      <c r="R537" s="200"/>
      <c r="V537" s="200"/>
      <c r="Y537" s="200"/>
      <c r="Z537" s="213"/>
      <c r="AA537" s="200"/>
      <c r="AB537" s="200"/>
      <c r="AC537" s="200"/>
      <c r="AD537" s="200"/>
      <c r="AE537" s="200"/>
      <c r="AF537" s="200"/>
      <c r="AG537" s="209"/>
      <c r="AH537" s="200"/>
      <c r="AI537" s="200"/>
      <c r="AJ537" s="200"/>
      <c r="AK537" s="209"/>
      <c r="AL537" s="200"/>
    </row>
    <row r="538" spans="1:40" x14ac:dyDescent="0.25">
      <c r="A538" s="154"/>
    </row>
    <row r="539" spans="1:40" x14ac:dyDescent="0.25">
      <c r="J539" s="202"/>
      <c r="K539" s="202"/>
      <c r="Z539" s="202"/>
    </row>
    <row r="540" spans="1:40" x14ac:dyDescent="0.25">
      <c r="H540" s="154"/>
      <c r="I540" s="154"/>
      <c r="Y540" s="154"/>
    </row>
    <row r="541" spans="1:40" x14ac:dyDescent="0.25">
      <c r="J541" s="202"/>
      <c r="K541" s="202"/>
      <c r="Z541" s="202"/>
    </row>
    <row r="542" spans="1:40" x14ac:dyDescent="0.25">
      <c r="L542" s="154"/>
      <c r="M542" s="154"/>
      <c r="AA542" s="154"/>
      <c r="AB542" s="154"/>
    </row>
    <row r="543" spans="1:40" x14ac:dyDescent="0.25">
      <c r="A543" s="202"/>
      <c r="R543" s="154"/>
      <c r="AK543" s="297"/>
      <c r="AL543" s="154"/>
    </row>
    <row r="544" spans="1:40" x14ac:dyDescent="0.25">
      <c r="A544" s="202"/>
      <c r="R544" s="154"/>
      <c r="AK544" s="297"/>
      <c r="AL544" s="154"/>
    </row>
    <row r="545" spans="1:40" x14ac:dyDescent="0.25">
      <c r="A545" s="154"/>
      <c r="R545" s="154"/>
      <c r="AK545" s="297"/>
      <c r="AL545" s="154"/>
    </row>
    <row r="546" spans="1:40" x14ac:dyDescent="0.25">
      <c r="L546" s="154"/>
      <c r="M546" s="154"/>
      <c r="R546" s="202"/>
      <c r="AA546" s="154"/>
      <c r="AB546" s="154"/>
      <c r="AK546" s="209"/>
      <c r="AL546" s="202"/>
    </row>
    <row r="547" spans="1:40" x14ac:dyDescent="0.2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208"/>
      <c r="AH547" s="102"/>
      <c r="AI547" s="102"/>
      <c r="AJ547" s="102"/>
      <c r="AK547" s="208"/>
      <c r="AL547" s="102"/>
      <c r="AM547" s="102"/>
      <c r="AN547" s="102"/>
    </row>
    <row r="548" spans="1:40" x14ac:dyDescent="0.25">
      <c r="L548" s="103"/>
      <c r="M548" s="103"/>
      <c r="N548" s="103"/>
      <c r="O548" s="103"/>
      <c r="R548" s="103"/>
      <c r="AA548" s="103"/>
      <c r="AB548" s="103"/>
      <c r="AC548" s="103"/>
      <c r="AD548" s="103"/>
      <c r="AE548" s="103"/>
      <c r="AF548" s="103"/>
      <c r="AG548" s="185"/>
      <c r="AH548" s="103"/>
      <c r="AK548" s="185"/>
      <c r="AL548" s="103"/>
      <c r="AM548" s="103"/>
      <c r="AN548" s="103"/>
    </row>
    <row r="549" spans="1:40" x14ac:dyDescent="0.25">
      <c r="L549" s="103"/>
      <c r="M549" s="103"/>
      <c r="N549" s="103"/>
      <c r="O549" s="103"/>
      <c r="R549" s="103"/>
      <c r="Z549" s="103"/>
      <c r="AA549" s="103"/>
      <c r="AB549" s="103"/>
      <c r="AC549" s="103"/>
      <c r="AD549" s="103"/>
      <c r="AE549" s="103"/>
      <c r="AF549" s="103"/>
      <c r="AG549" s="185"/>
      <c r="AH549" s="103"/>
      <c r="AK549" s="185"/>
      <c r="AL549" s="103"/>
      <c r="AM549" s="103"/>
      <c r="AN549" s="103"/>
    </row>
    <row r="550" spans="1:40" x14ac:dyDescent="0.25">
      <c r="A550" s="103"/>
      <c r="C550" s="103"/>
      <c r="D550" s="103"/>
      <c r="E550" s="103"/>
      <c r="F550" s="103"/>
      <c r="J550" s="103"/>
      <c r="K550" s="103"/>
      <c r="L550" s="103"/>
      <c r="M550" s="103"/>
      <c r="N550" s="103"/>
      <c r="O550" s="103"/>
      <c r="P550" s="103"/>
      <c r="Q550" s="103"/>
      <c r="R550" s="103"/>
      <c r="T550" s="103"/>
      <c r="U550" s="103"/>
      <c r="V550" s="103"/>
      <c r="Z550" s="103"/>
      <c r="AA550" s="103"/>
      <c r="AB550" s="103"/>
      <c r="AC550" s="103"/>
      <c r="AD550" s="103"/>
      <c r="AE550" s="103"/>
      <c r="AF550" s="103"/>
      <c r="AG550" s="185"/>
      <c r="AH550" s="103"/>
      <c r="AI550" s="103"/>
      <c r="AJ550" s="103"/>
      <c r="AK550" s="185"/>
      <c r="AL550" s="103"/>
      <c r="AM550" s="103"/>
      <c r="AN550" s="103"/>
    </row>
    <row r="551" spans="1:40" x14ac:dyDescent="0.25">
      <c r="A551" s="103"/>
      <c r="C551" s="103"/>
      <c r="D551" s="103"/>
      <c r="E551" s="103"/>
      <c r="F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T551" s="103"/>
      <c r="U551" s="103"/>
      <c r="V551" s="103"/>
      <c r="Y551" s="103"/>
      <c r="Z551" s="103"/>
      <c r="AA551" s="103"/>
      <c r="AB551" s="103"/>
      <c r="AC551" s="103"/>
      <c r="AD551" s="103"/>
      <c r="AE551" s="103"/>
      <c r="AF551" s="103"/>
      <c r="AG551" s="185"/>
      <c r="AH551" s="103"/>
      <c r="AI551" s="103"/>
      <c r="AJ551" s="103"/>
      <c r="AK551" s="185"/>
      <c r="AL551" s="103"/>
      <c r="AM551" s="103"/>
      <c r="AN551" s="103"/>
    </row>
    <row r="552" spans="1:40" x14ac:dyDescent="0.25">
      <c r="C552" s="103"/>
      <c r="D552" s="103"/>
      <c r="E552" s="103"/>
      <c r="F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T552" s="103"/>
      <c r="U552" s="103"/>
      <c r="V552" s="103"/>
      <c r="Y552" s="103"/>
      <c r="Z552" s="103"/>
      <c r="AA552" s="103"/>
      <c r="AB552" s="103"/>
      <c r="AC552" s="103"/>
      <c r="AD552" s="103"/>
      <c r="AE552" s="103"/>
      <c r="AF552" s="103"/>
      <c r="AG552" s="185"/>
      <c r="AH552" s="103"/>
      <c r="AI552" s="103"/>
      <c r="AJ552" s="103"/>
      <c r="AK552" s="185"/>
      <c r="AL552" s="103"/>
      <c r="AM552" s="103"/>
      <c r="AN552" s="103"/>
    </row>
    <row r="553" spans="1:40" x14ac:dyDescent="0.2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208"/>
      <c r="AH553" s="102"/>
      <c r="AI553" s="102"/>
      <c r="AJ553" s="102"/>
      <c r="AK553" s="208"/>
      <c r="AL553" s="102"/>
      <c r="AM553" s="102"/>
      <c r="AN553" s="102"/>
    </row>
    <row r="554" spans="1:40" x14ac:dyDescent="0.25"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Y554" s="103"/>
      <c r="Z554" s="103"/>
      <c r="AA554" s="103"/>
      <c r="AB554" s="103"/>
      <c r="AC554" s="103"/>
      <c r="AD554" s="103"/>
      <c r="AE554" s="103"/>
      <c r="AF554" s="103"/>
      <c r="AG554" s="185"/>
      <c r="AH554" s="103"/>
      <c r="AI554" s="103"/>
      <c r="AJ554" s="103"/>
      <c r="AK554" s="185"/>
      <c r="AL554" s="103"/>
      <c r="AM554" s="103"/>
      <c r="AN554" s="103"/>
    </row>
    <row r="555" spans="1:40" x14ac:dyDescent="0.25">
      <c r="A555" s="202"/>
      <c r="C555" s="154"/>
      <c r="D555" s="154"/>
      <c r="E555" s="154"/>
      <c r="T555" s="154"/>
      <c r="U555" s="154"/>
      <c r="V555" s="200"/>
      <c r="W555" s="200"/>
      <c r="X555" s="200"/>
      <c r="Y555" s="200"/>
      <c r="Z555" s="328"/>
    </row>
    <row r="557" spans="1:40" x14ac:dyDescent="0.25">
      <c r="A557" s="202"/>
      <c r="C557" s="154"/>
      <c r="T557" s="154"/>
      <c r="V557" s="200"/>
      <c r="W557" s="200"/>
      <c r="X557" s="200"/>
      <c r="Y557" s="200"/>
      <c r="Z557" s="328"/>
    </row>
    <row r="558" spans="1:40" x14ac:dyDescent="0.25">
      <c r="A558" s="202"/>
      <c r="C558" s="154"/>
      <c r="F558" s="252"/>
      <c r="H558" s="252"/>
      <c r="I558" s="252"/>
      <c r="J558" s="329"/>
      <c r="K558" s="329"/>
      <c r="L558" s="200"/>
      <c r="M558" s="200"/>
      <c r="N558" s="210"/>
      <c r="O558" s="210"/>
      <c r="P558" s="200"/>
      <c r="Q558" s="200"/>
      <c r="R558" s="200"/>
      <c r="T558" s="154"/>
      <c r="V558" s="200"/>
      <c r="W558" s="200"/>
      <c r="X558" s="200"/>
      <c r="Y558" s="200"/>
      <c r="Z558" s="329"/>
      <c r="AA558" s="200"/>
      <c r="AB558" s="200"/>
      <c r="AC558" s="210"/>
      <c r="AD558" s="210"/>
      <c r="AE558" s="200"/>
      <c r="AF558" s="200"/>
      <c r="AG558" s="209"/>
      <c r="AH558" s="201"/>
      <c r="AI558" s="200"/>
      <c r="AJ558" s="200"/>
      <c r="AK558" s="209"/>
      <c r="AL558" s="200"/>
      <c r="AM558" s="210"/>
      <c r="AN558" s="210"/>
    </row>
    <row r="559" spans="1:40" x14ac:dyDescent="0.25">
      <c r="A559" s="202"/>
      <c r="C559" s="154"/>
      <c r="F559" s="252"/>
      <c r="H559" s="252"/>
      <c r="I559" s="252"/>
      <c r="J559" s="329"/>
      <c r="K559" s="329"/>
      <c r="L559" s="200"/>
      <c r="M559" s="200"/>
      <c r="N559" s="210"/>
      <c r="O559" s="210"/>
      <c r="P559" s="200"/>
      <c r="Q559" s="200"/>
      <c r="R559" s="200"/>
      <c r="T559" s="154"/>
      <c r="V559" s="200"/>
      <c r="W559" s="200"/>
      <c r="X559" s="200"/>
      <c r="Y559" s="200"/>
      <c r="Z559" s="329"/>
      <c r="AA559" s="200"/>
      <c r="AB559" s="200"/>
      <c r="AC559" s="210"/>
      <c r="AD559" s="210"/>
      <c r="AE559" s="200"/>
      <c r="AF559" s="200"/>
      <c r="AG559" s="209"/>
      <c r="AH559" s="201"/>
      <c r="AI559" s="200"/>
      <c r="AJ559" s="200"/>
      <c r="AK559" s="209"/>
      <c r="AL559" s="200"/>
      <c r="AM559" s="210"/>
      <c r="AN559" s="210"/>
    </row>
    <row r="560" spans="1:40" x14ac:dyDescent="0.25">
      <c r="A560" s="202"/>
      <c r="C560" s="154"/>
      <c r="F560" s="252"/>
      <c r="H560" s="252"/>
      <c r="I560" s="252"/>
      <c r="J560" s="329"/>
      <c r="K560" s="329"/>
      <c r="L560" s="200"/>
      <c r="M560" s="200"/>
      <c r="N560" s="210"/>
      <c r="O560" s="210"/>
      <c r="P560" s="200"/>
      <c r="Q560" s="200"/>
      <c r="R560" s="200"/>
      <c r="T560" s="154"/>
      <c r="V560" s="200"/>
      <c r="W560" s="200"/>
      <c r="X560" s="200"/>
      <c r="Y560" s="200"/>
      <c r="Z560" s="329"/>
      <c r="AA560" s="200"/>
      <c r="AB560" s="200"/>
      <c r="AC560" s="210"/>
      <c r="AD560" s="210"/>
      <c r="AE560" s="200"/>
      <c r="AF560" s="200"/>
      <c r="AG560" s="209"/>
      <c r="AH560" s="201"/>
      <c r="AI560" s="200"/>
      <c r="AJ560" s="200"/>
      <c r="AK560" s="209"/>
      <c r="AL560" s="200"/>
      <c r="AM560" s="210"/>
      <c r="AN560" s="210"/>
    </row>
    <row r="561" spans="1:40" x14ac:dyDescent="0.25">
      <c r="A561" s="202"/>
      <c r="C561" s="154"/>
      <c r="F561" s="252"/>
      <c r="H561" s="252"/>
      <c r="I561" s="252"/>
      <c r="J561" s="329"/>
      <c r="K561" s="329"/>
      <c r="L561" s="200"/>
      <c r="M561" s="200"/>
      <c r="N561" s="210"/>
      <c r="O561" s="210"/>
      <c r="P561" s="200"/>
      <c r="Q561" s="200"/>
      <c r="R561" s="200"/>
      <c r="T561" s="154"/>
      <c r="V561" s="200"/>
      <c r="W561" s="200"/>
      <c r="X561" s="200"/>
      <c r="Y561" s="200"/>
      <c r="Z561" s="329"/>
      <c r="AA561" s="200"/>
      <c r="AB561" s="200"/>
      <c r="AC561" s="210"/>
      <c r="AD561" s="210"/>
      <c r="AE561" s="200"/>
      <c r="AF561" s="200"/>
      <c r="AG561" s="209"/>
      <c r="AH561" s="201"/>
      <c r="AI561" s="200"/>
      <c r="AJ561" s="200"/>
      <c r="AK561" s="209"/>
      <c r="AL561" s="200"/>
      <c r="AM561" s="210"/>
      <c r="AN561" s="210"/>
    </row>
    <row r="562" spans="1:40" x14ac:dyDescent="0.25">
      <c r="J562" s="334"/>
      <c r="K562" s="334"/>
      <c r="V562" s="200"/>
      <c r="W562" s="200"/>
      <c r="X562" s="200"/>
      <c r="Y562" s="200"/>
      <c r="Z562" s="329"/>
    </row>
    <row r="563" spans="1:40" x14ac:dyDescent="0.25">
      <c r="A563" s="202"/>
      <c r="C563" s="154"/>
      <c r="F563" s="252"/>
      <c r="H563" s="252"/>
      <c r="I563" s="252"/>
      <c r="J563" s="329"/>
      <c r="K563" s="329"/>
      <c r="L563" s="200"/>
      <c r="M563" s="200"/>
      <c r="N563" s="210"/>
      <c r="O563" s="210"/>
      <c r="P563" s="200"/>
      <c r="Q563" s="200"/>
      <c r="R563" s="200"/>
      <c r="T563" s="154"/>
      <c r="V563" s="200"/>
      <c r="W563" s="200"/>
      <c r="X563" s="200"/>
      <c r="Y563" s="200"/>
      <c r="Z563" s="329"/>
      <c r="AA563" s="200"/>
      <c r="AB563" s="200"/>
      <c r="AC563" s="210"/>
      <c r="AD563" s="210"/>
      <c r="AE563" s="200"/>
      <c r="AF563" s="200"/>
      <c r="AG563" s="209"/>
      <c r="AH563" s="201"/>
      <c r="AI563" s="200"/>
      <c r="AJ563" s="200"/>
      <c r="AK563" s="209"/>
      <c r="AL563" s="200"/>
      <c r="AM563" s="201"/>
      <c r="AN563" s="201"/>
    </row>
    <row r="564" spans="1:40" x14ac:dyDescent="0.25">
      <c r="A564" s="202"/>
      <c r="C564" s="154"/>
      <c r="J564" s="334"/>
      <c r="K564" s="334"/>
      <c r="T564" s="154"/>
      <c r="V564" s="200"/>
      <c r="W564" s="200"/>
      <c r="X564" s="200"/>
      <c r="Y564" s="200"/>
      <c r="Z564" s="329"/>
    </row>
    <row r="565" spans="1:40" x14ac:dyDescent="0.25">
      <c r="A565" s="202"/>
      <c r="C565" s="154"/>
      <c r="F565" s="252"/>
      <c r="H565" s="252"/>
      <c r="I565" s="252"/>
      <c r="J565" s="329"/>
      <c r="K565" s="329"/>
      <c r="L565" s="200"/>
      <c r="M565" s="200"/>
      <c r="N565" s="210"/>
      <c r="O565" s="210"/>
      <c r="P565" s="200"/>
      <c r="Q565" s="200"/>
      <c r="R565" s="200"/>
      <c r="T565" s="154"/>
      <c r="V565" s="200"/>
      <c r="W565" s="200"/>
      <c r="X565" s="200"/>
      <c r="Y565" s="200"/>
      <c r="Z565" s="329"/>
      <c r="AA565" s="200"/>
      <c r="AB565" s="200"/>
      <c r="AC565" s="210"/>
      <c r="AD565" s="210"/>
      <c r="AE565" s="200"/>
      <c r="AF565" s="200"/>
      <c r="AG565" s="209"/>
      <c r="AH565" s="201"/>
      <c r="AI565" s="200"/>
      <c r="AJ565" s="200"/>
      <c r="AK565" s="209"/>
      <c r="AL565" s="200"/>
      <c r="AM565" s="201"/>
      <c r="AN565" s="201"/>
    </row>
    <row r="566" spans="1:40" x14ac:dyDescent="0.25">
      <c r="J566" s="334"/>
      <c r="K566" s="334"/>
      <c r="Z566" s="334"/>
    </row>
    <row r="567" spans="1:40" x14ac:dyDescent="0.25">
      <c r="A567" s="202"/>
      <c r="C567" s="154"/>
      <c r="J567" s="334"/>
      <c r="K567" s="334"/>
      <c r="T567" s="154"/>
      <c r="V567" s="200"/>
      <c r="W567" s="200"/>
      <c r="X567" s="200"/>
      <c r="Y567" s="200"/>
      <c r="Z567" s="329"/>
    </row>
    <row r="568" spans="1:40" x14ac:dyDescent="0.25">
      <c r="A568" s="202"/>
      <c r="C568" s="154"/>
      <c r="F568" s="252"/>
      <c r="H568" s="252"/>
      <c r="I568" s="252"/>
      <c r="J568" s="329"/>
      <c r="K568" s="329"/>
      <c r="L568" s="200"/>
      <c r="M568" s="200"/>
      <c r="N568" s="210"/>
      <c r="O568" s="210"/>
      <c r="P568" s="200"/>
      <c r="Q568" s="200"/>
      <c r="R568" s="200"/>
      <c r="T568" s="154"/>
      <c r="V568" s="200"/>
      <c r="W568" s="200"/>
      <c r="X568" s="200"/>
      <c r="Y568" s="200"/>
      <c r="Z568" s="329"/>
      <c r="AA568" s="200"/>
      <c r="AB568" s="200"/>
      <c r="AC568" s="210"/>
      <c r="AD568" s="210"/>
      <c r="AE568" s="200"/>
      <c r="AF568" s="200"/>
      <c r="AG568" s="209"/>
      <c r="AH568" s="201"/>
      <c r="AI568" s="200"/>
      <c r="AJ568" s="200"/>
      <c r="AK568" s="209"/>
      <c r="AL568" s="200"/>
      <c r="AM568" s="201"/>
      <c r="AN568" s="201"/>
    </row>
    <row r="569" spans="1:40" x14ac:dyDescent="0.25">
      <c r="A569" s="202"/>
      <c r="C569" s="154"/>
      <c r="F569" s="252"/>
      <c r="H569" s="252"/>
      <c r="I569" s="252"/>
      <c r="J569" s="329"/>
      <c r="K569" s="329"/>
      <c r="L569" s="200"/>
      <c r="M569" s="200"/>
      <c r="N569" s="210"/>
      <c r="O569" s="210"/>
      <c r="P569" s="200"/>
      <c r="Q569" s="200"/>
      <c r="R569" s="200"/>
      <c r="T569" s="154"/>
      <c r="V569" s="200"/>
      <c r="W569" s="200"/>
      <c r="X569" s="200"/>
      <c r="Y569" s="200"/>
      <c r="Z569" s="329"/>
      <c r="AA569" s="200"/>
      <c r="AB569" s="200"/>
      <c r="AC569" s="210"/>
      <c r="AD569" s="210"/>
      <c r="AE569" s="200"/>
      <c r="AF569" s="200"/>
      <c r="AG569" s="209"/>
      <c r="AH569" s="201"/>
      <c r="AI569" s="200"/>
      <c r="AJ569" s="200"/>
      <c r="AK569" s="209"/>
      <c r="AL569" s="200"/>
      <c r="AM569" s="201"/>
      <c r="AN569" s="201"/>
    </row>
    <row r="570" spans="1:40" x14ac:dyDescent="0.25">
      <c r="F570" s="211"/>
      <c r="H570" s="211"/>
      <c r="I570" s="211"/>
      <c r="J570" s="329"/>
      <c r="K570" s="329"/>
      <c r="L570" s="211"/>
      <c r="M570" s="211"/>
      <c r="N570" s="211"/>
      <c r="O570" s="211"/>
      <c r="P570" s="211"/>
      <c r="Q570" s="211"/>
      <c r="R570" s="211"/>
      <c r="V570" s="211"/>
      <c r="Y570" s="211"/>
      <c r="Z570" s="305"/>
      <c r="AA570" s="211"/>
      <c r="AB570" s="211"/>
      <c r="AC570" s="211"/>
      <c r="AD570" s="211"/>
      <c r="AE570" s="211"/>
      <c r="AF570" s="211"/>
      <c r="AI570" s="211"/>
      <c r="AJ570" s="211"/>
      <c r="AK570" s="212"/>
      <c r="AL570" s="211"/>
    </row>
    <row r="571" spans="1:40" x14ac:dyDescent="0.25">
      <c r="A571" s="202"/>
      <c r="C571" s="154"/>
      <c r="F571" s="200"/>
      <c r="H571" s="200"/>
      <c r="I571" s="200"/>
      <c r="L571" s="200"/>
      <c r="M571" s="200"/>
      <c r="N571" s="210"/>
      <c r="O571" s="210"/>
      <c r="P571" s="252"/>
      <c r="Q571" s="252"/>
      <c r="R571" s="200"/>
      <c r="T571" s="154"/>
      <c r="V571" s="200"/>
      <c r="W571" s="200"/>
      <c r="X571" s="200"/>
      <c r="Y571" s="200"/>
      <c r="Z571" s="328"/>
      <c r="AA571" s="200"/>
      <c r="AB571" s="200"/>
      <c r="AC571" s="210"/>
      <c r="AD571" s="210"/>
      <c r="AE571" s="200"/>
      <c r="AF571" s="200"/>
      <c r="AG571" s="209"/>
      <c r="AH571" s="201"/>
      <c r="AI571" s="252"/>
      <c r="AJ571" s="252"/>
      <c r="AK571" s="209"/>
      <c r="AL571" s="200"/>
      <c r="AM571" s="201"/>
      <c r="AN571" s="201"/>
    </row>
    <row r="572" spans="1:40" x14ac:dyDescent="0.25">
      <c r="F572" s="211"/>
      <c r="H572" s="211"/>
      <c r="I572" s="211"/>
      <c r="J572" s="305"/>
      <c r="K572" s="305"/>
      <c r="L572" s="211"/>
      <c r="M572" s="211"/>
      <c r="N572" s="211"/>
      <c r="O572" s="211"/>
      <c r="P572" s="211"/>
      <c r="Q572" s="211"/>
      <c r="R572" s="211"/>
      <c r="V572" s="211"/>
      <c r="Y572" s="211"/>
      <c r="Z572" s="305"/>
      <c r="AA572" s="211"/>
      <c r="AB572" s="211"/>
      <c r="AC572" s="211"/>
      <c r="AD572" s="211"/>
      <c r="AE572" s="211"/>
      <c r="AF572" s="211"/>
      <c r="AI572" s="211"/>
      <c r="AJ572" s="211"/>
      <c r="AK572" s="212"/>
      <c r="AL572" s="211"/>
    </row>
    <row r="574" spans="1:40" x14ac:dyDescent="0.25">
      <c r="C574" s="202"/>
      <c r="T574" s="202"/>
    </row>
    <row r="575" spans="1:40" x14ac:dyDescent="0.25">
      <c r="A575" s="154"/>
    </row>
    <row r="576" spans="1:40" x14ac:dyDescent="0.25">
      <c r="J576" s="202"/>
      <c r="K576" s="202"/>
      <c r="Z576" s="202"/>
    </row>
    <row r="577" spans="1:40" x14ac:dyDescent="0.25">
      <c r="H577" s="154"/>
      <c r="I577" s="154"/>
      <c r="Y577" s="154"/>
    </row>
    <row r="578" spans="1:40" x14ac:dyDescent="0.25">
      <c r="J578" s="202"/>
      <c r="K578" s="202"/>
      <c r="Z578" s="202"/>
    </row>
    <row r="579" spans="1:40" x14ac:dyDescent="0.25">
      <c r="L579" s="154"/>
      <c r="M579" s="154"/>
      <c r="AA579" s="154"/>
      <c r="AB579" s="154"/>
    </row>
    <row r="580" spans="1:40" x14ac:dyDescent="0.25">
      <c r="A580" s="202"/>
      <c r="R580" s="154"/>
      <c r="AK580" s="297"/>
      <c r="AL580" s="154"/>
    </row>
    <row r="581" spans="1:40" x14ac:dyDescent="0.25">
      <c r="A581" s="202"/>
      <c r="R581" s="154"/>
      <c r="AK581" s="297"/>
      <c r="AL581" s="154"/>
    </row>
    <row r="582" spans="1:40" x14ac:dyDescent="0.25">
      <c r="A582" s="154"/>
      <c r="R582" s="154"/>
      <c r="AK582" s="297"/>
      <c r="AL582" s="154"/>
    </row>
    <row r="583" spans="1:40" x14ac:dyDescent="0.25">
      <c r="L583" s="154"/>
      <c r="M583" s="154"/>
      <c r="R583" s="202"/>
      <c r="AA583" s="154"/>
      <c r="AB583" s="154"/>
      <c r="AK583" s="209"/>
      <c r="AL583" s="202"/>
    </row>
    <row r="584" spans="1:40" x14ac:dyDescent="0.25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208"/>
      <c r="AH584" s="102"/>
      <c r="AI584" s="102"/>
      <c r="AJ584" s="102"/>
      <c r="AK584" s="208"/>
      <c r="AL584" s="102"/>
      <c r="AM584" s="102"/>
      <c r="AN584" s="102"/>
    </row>
    <row r="585" spans="1:40" x14ac:dyDescent="0.25">
      <c r="L585" s="103"/>
      <c r="M585" s="103"/>
      <c r="N585" s="103"/>
      <c r="O585" s="103"/>
      <c r="R585" s="103"/>
      <c r="AA585" s="103"/>
      <c r="AB585" s="103"/>
      <c r="AC585" s="103"/>
      <c r="AD585" s="103"/>
      <c r="AE585" s="103"/>
      <c r="AF585" s="103"/>
      <c r="AG585" s="185"/>
      <c r="AH585" s="103"/>
      <c r="AK585" s="185"/>
      <c r="AL585" s="103"/>
      <c r="AM585" s="103"/>
      <c r="AN585" s="103"/>
    </row>
    <row r="586" spans="1:40" x14ac:dyDescent="0.25">
      <c r="L586" s="103"/>
      <c r="M586" s="103"/>
      <c r="N586" s="103"/>
      <c r="O586" s="103"/>
      <c r="R586" s="103"/>
      <c r="Z586" s="103"/>
      <c r="AA586" s="103"/>
      <c r="AB586" s="103"/>
      <c r="AC586" s="103"/>
      <c r="AD586" s="103"/>
      <c r="AE586" s="103"/>
      <c r="AF586" s="103"/>
      <c r="AG586" s="185"/>
      <c r="AH586" s="103"/>
      <c r="AK586" s="185"/>
      <c r="AL586" s="103"/>
      <c r="AM586" s="103"/>
      <c r="AN586" s="103"/>
    </row>
    <row r="587" spans="1:40" x14ac:dyDescent="0.25">
      <c r="A587" s="103"/>
      <c r="C587" s="103"/>
      <c r="D587" s="103"/>
      <c r="E587" s="103"/>
      <c r="F587" s="103"/>
      <c r="J587" s="103"/>
      <c r="K587" s="103"/>
      <c r="L587" s="103"/>
      <c r="M587" s="103"/>
      <c r="N587" s="103"/>
      <c r="O587" s="103"/>
      <c r="P587" s="103"/>
      <c r="Q587" s="103"/>
      <c r="R587" s="103"/>
      <c r="T587" s="103"/>
      <c r="U587" s="103"/>
      <c r="V587" s="103"/>
      <c r="Z587" s="103"/>
      <c r="AA587" s="103"/>
      <c r="AB587" s="103"/>
      <c r="AC587" s="103"/>
      <c r="AD587" s="103"/>
      <c r="AE587" s="103"/>
      <c r="AF587" s="103"/>
      <c r="AG587" s="185"/>
      <c r="AH587" s="103"/>
      <c r="AI587" s="103"/>
      <c r="AJ587" s="103"/>
      <c r="AK587" s="185"/>
      <c r="AL587" s="103"/>
      <c r="AM587" s="103"/>
      <c r="AN587" s="103"/>
    </row>
    <row r="588" spans="1:40" x14ac:dyDescent="0.25">
      <c r="A588" s="103"/>
      <c r="C588" s="103"/>
      <c r="D588" s="103"/>
      <c r="E588" s="103"/>
      <c r="F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T588" s="103"/>
      <c r="U588" s="103"/>
      <c r="V588" s="103"/>
      <c r="Y588" s="103"/>
      <c r="Z588" s="103"/>
      <c r="AA588" s="103"/>
      <c r="AB588" s="103"/>
      <c r="AC588" s="103"/>
      <c r="AD588" s="103"/>
      <c r="AE588" s="103"/>
      <c r="AF588" s="103"/>
      <c r="AG588" s="185"/>
      <c r="AH588" s="103"/>
      <c r="AI588" s="103"/>
      <c r="AJ588" s="103"/>
      <c r="AK588" s="185"/>
      <c r="AL588" s="103"/>
      <c r="AM588" s="103"/>
      <c r="AN588" s="103"/>
    </row>
    <row r="589" spans="1:40" x14ac:dyDescent="0.25">
      <c r="C589" s="103"/>
      <c r="D589" s="103"/>
      <c r="E589" s="103"/>
      <c r="F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T589" s="103"/>
      <c r="U589" s="103"/>
      <c r="V589" s="103"/>
      <c r="Y589" s="103"/>
      <c r="Z589" s="103"/>
      <c r="AA589" s="103"/>
      <c r="AB589" s="103"/>
      <c r="AC589" s="103"/>
      <c r="AD589" s="103"/>
      <c r="AE589" s="103"/>
      <c r="AF589" s="103"/>
      <c r="AG589" s="185"/>
      <c r="AH589" s="103"/>
      <c r="AI589" s="103"/>
      <c r="AJ589" s="103"/>
      <c r="AK589" s="185"/>
      <c r="AL589" s="103"/>
      <c r="AM589" s="103"/>
      <c r="AN589" s="103"/>
    </row>
    <row r="590" spans="1:40" x14ac:dyDescent="0.25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208"/>
      <c r="AH590" s="102"/>
      <c r="AI590" s="102"/>
      <c r="AJ590" s="102"/>
      <c r="AK590" s="208"/>
      <c r="AL590" s="102"/>
      <c r="AM590" s="102"/>
      <c r="AN590" s="102"/>
    </row>
    <row r="591" spans="1:40" x14ac:dyDescent="0.25"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Y591" s="103"/>
      <c r="Z591" s="103"/>
      <c r="AA591" s="103"/>
      <c r="AB591" s="103"/>
      <c r="AC591" s="103"/>
      <c r="AD591" s="103"/>
      <c r="AE591" s="103"/>
      <c r="AF591" s="103"/>
      <c r="AG591" s="185"/>
      <c r="AH591" s="103"/>
      <c r="AI591" s="103"/>
      <c r="AJ591" s="103"/>
      <c r="AK591" s="185"/>
      <c r="AL591" s="103"/>
      <c r="AM591" s="103"/>
      <c r="AN591" s="103"/>
    </row>
    <row r="592" spans="1:40" x14ac:dyDescent="0.25">
      <c r="A592" s="202"/>
      <c r="C592" s="154"/>
      <c r="D592" s="154"/>
      <c r="E592" s="154"/>
      <c r="T592" s="154"/>
      <c r="U592" s="154"/>
    </row>
    <row r="594" spans="1:40" x14ac:dyDescent="0.25">
      <c r="A594" s="202"/>
      <c r="C594" s="154"/>
      <c r="T594" s="154"/>
    </row>
    <row r="595" spans="1:40" x14ac:dyDescent="0.25">
      <c r="A595" s="202"/>
      <c r="C595" s="154"/>
      <c r="T595" s="154"/>
    </row>
    <row r="596" spans="1:40" x14ac:dyDescent="0.25">
      <c r="A596" s="202"/>
      <c r="C596" s="154"/>
      <c r="F596" s="252"/>
      <c r="H596" s="252"/>
      <c r="I596" s="252"/>
      <c r="J596" s="329"/>
      <c r="K596" s="329"/>
      <c r="L596" s="200"/>
      <c r="M596" s="200"/>
      <c r="N596" s="210"/>
      <c r="O596" s="210"/>
      <c r="P596" s="200"/>
      <c r="Q596" s="200"/>
      <c r="R596" s="200"/>
      <c r="T596" s="154"/>
      <c r="V596" s="200"/>
      <c r="W596" s="200"/>
      <c r="X596" s="200"/>
      <c r="Y596" s="200"/>
      <c r="Z596" s="329"/>
      <c r="AA596" s="200"/>
      <c r="AB596" s="200"/>
      <c r="AC596" s="210"/>
      <c r="AD596" s="210"/>
      <c r="AE596" s="200"/>
      <c r="AF596" s="200"/>
      <c r="AG596" s="209"/>
      <c r="AH596" s="201"/>
      <c r="AI596" s="200"/>
      <c r="AJ596" s="200"/>
      <c r="AK596" s="209"/>
      <c r="AL596" s="200"/>
      <c r="AM596" s="201"/>
      <c r="AN596" s="201"/>
    </row>
    <row r="597" spans="1:40" x14ac:dyDescent="0.25">
      <c r="A597" s="202"/>
      <c r="C597" s="154"/>
      <c r="F597" s="200"/>
      <c r="H597" s="200"/>
      <c r="I597" s="200"/>
      <c r="J597" s="334"/>
      <c r="K597" s="334"/>
      <c r="L597" s="200"/>
      <c r="M597" s="200"/>
      <c r="N597" s="210"/>
      <c r="O597" s="210"/>
      <c r="P597" s="200"/>
      <c r="Q597" s="200"/>
      <c r="R597" s="200"/>
      <c r="T597" s="154"/>
      <c r="V597" s="200"/>
      <c r="W597" s="200"/>
      <c r="X597" s="200"/>
      <c r="Y597" s="200"/>
      <c r="Z597" s="334"/>
      <c r="AA597" s="200"/>
      <c r="AB597" s="200"/>
      <c r="AC597" s="210"/>
      <c r="AD597" s="210"/>
      <c r="AE597" s="200"/>
      <c r="AF597" s="200"/>
      <c r="AG597" s="209"/>
      <c r="AH597" s="201"/>
      <c r="AI597" s="200"/>
      <c r="AJ597" s="200"/>
      <c r="AK597" s="209"/>
      <c r="AL597" s="200"/>
      <c r="AM597" s="201"/>
      <c r="AN597" s="201"/>
    </row>
    <row r="598" spans="1:40" x14ac:dyDescent="0.25">
      <c r="A598" s="202"/>
      <c r="C598" s="154"/>
      <c r="F598" s="200"/>
      <c r="H598" s="200"/>
      <c r="I598" s="200"/>
      <c r="J598" s="334"/>
      <c r="K598" s="334"/>
      <c r="L598" s="200"/>
      <c r="M598" s="200"/>
      <c r="N598" s="210"/>
      <c r="O598" s="210"/>
      <c r="P598" s="200"/>
      <c r="Q598" s="200"/>
      <c r="R598" s="200"/>
      <c r="T598" s="154"/>
      <c r="V598" s="200"/>
      <c r="W598" s="200"/>
      <c r="X598" s="200"/>
      <c r="Y598" s="200"/>
      <c r="Z598" s="334"/>
      <c r="AA598" s="200"/>
      <c r="AB598" s="200"/>
      <c r="AC598" s="210"/>
      <c r="AD598" s="210"/>
      <c r="AE598" s="200"/>
      <c r="AF598" s="200"/>
      <c r="AG598" s="209"/>
      <c r="AH598" s="201"/>
      <c r="AI598" s="200"/>
      <c r="AJ598" s="200"/>
      <c r="AK598" s="209"/>
      <c r="AL598" s="200"/>
      <c r="AM598" s="201"/>
      <c r="AN598" s="201"/>
    </row>
    <row r="599" spans="1:40" x14ac:dyDescent="0.25">
      <c r="A599" s="202"/>
      <c r="C599" s="154"/>
      <c r="F599" s="200"/>
      <c r="H599" s="200"/>
      <c r="I599" s="200"/>
      <c r="J599" s="334"/>
      <c r="K599" s="334"/>
      <c r="T599" s="154"/>
      <c r="V599" s="200"/>
      <c r="Z599" s="334"/>
    </row>
    <row r="600" spans="1:40" x14ac:dyDescent="0.25">
      <c r="A600" s="202"/>
      <c r="C600" s="154"/>
      <c r="F600" s="252"/>
      <c r="H600" s="252"/>
      <c r="I600" s="252"/>
      <c r="J600" s="329"/>
      <c r="K600" s="329"/>
      <c r="L600" s="200"/>
      <c r="M600" s="200"/>
      <c r="N600" s="210"/>
      <c r="O600" s="210"/>
      <c r="P600" s="200"/>
      <c r="Q600" s="200"/>
      <c r="R600" s="200"/>
      <c r="T600" s="154"/>
      <c r="V600" s="200"/>
      <c r="W600" s="200"/>
      <c r="X600" s="200"/>
      <c r="Y600" s="200"/>
      <c r="Z600" s="329"/>
      <c r="AA600" s="200"/>
      <c r="AB600" s="200"/>
      <c r="AC600" s="210"/>
      <c r="AD600" s="210"/>
      <c r="AE600" s="200"/>
      <c r="AF600" s="200"/>
      <c r="AG600" s="209"/>
      <c r="AH600" s="201"/>
      <c r="AI600" s="200"/>
      <c r="AJ600" s="200"/>
      <c r="AK600" s="209"/>
      <c r="AL600" s="200"/>
      <c r="AM600" s="201"/>
      <c r="AN600" s="201"/>
    </row>
    <row r="601" spans="1:40" x14ac:dyDescent="0.25">
      <c r="A601" s="202"/>
      <c r="C601" s="154"/>
      <c r="F601" s="200"/>
      <c r="H601" s="200"/>
      <c r="I601" s="200"/>
      <c r="J601" s="334"/>
      <c r="K601" s="334"/>
      <c r="T601" s="154"/>
      <c r="V601" s="200"/>
      <c r="W601" s="200"/>
      <c r="X601" s="200"/>
      <c r="Y601" s="200"/>
      <c r="Z601" s="334"/>
      <c r="AC601" s="210"/>
      <c r="AD601" s="210"/>
      <c r="AE601" s="200"/>
      <c r="AF601" s="200"/>
      <c r="AG601" s="209"/>
      <c r="AH601" s="201"/>
      <c r="AI601" s="200"/>
      <c r="AJ601" s="200"/>
      <c r="AK601" s="209"/>
      <c r="AL601" s="200"/>
      <c r="AM601" s="201"/>
      <c r="AN601" s="201"/>
    </row>
    <row r="602" spans="1:40" x14ac:dyDescent="0.25">
      <c r="A602" s="202"/>
      <c r="C602" s="154"/>
      <c r="F602" s="252"/>
      <c r="H602" s="252"/>
      <c r="I602" s="252"/>
      <c r="J602" s="329"/>
      <c r="K602" s="329"/>
      <c r="L602" s="200"/>
      <c r="M602" s="200"/>
      <c r="N602" s="210"/>
      <c r="O602" s="210"/>
      <c r="P602" s="200"/>
      <c r="Q602" s="200"/>
      <c r="R602" s="200"/>
      <c r="T602" s="154"/>
      <c r="V602" s="200"/>
      <c r="W602" s="200"/>
      <c r="X602" s="200"/>
      <c r="Y602" s="200"/>
      <c r="Z602" s="329"/>
      <c r="AA602" s="200"/>
      <c r="AB602" s="200"/>
      <c r="AC602" s="210"/>
      <c r="AD602" s="210"/>
      <c r="AE602" s="200"/>
      <c r="AF602" s="200"/>
      <c r="AG602" s="209"/>
      <c r="AH602" s="201"/>
      <c r="AI602" s="200"/>
      <c r="AJ602" s="200"/>
      <c r="AK602" s="209"/>
      <c r="AL602" s="200"/>
      <c r="AM602" s="201"/>
      <c r="AN602" s="201"/>
    </row>
    <row r="603" spans="1:40" x14ac:dyDescent="0.25">
      <c r="A603" s="202"/>
      <c r="C603" s="154"/>
      <c r="F603" s="200"/>
      <c r="H603" s="200"/>
      <c r="I603" s="200"/>
      <c r="J603" s="334"/>
      <c r="K603" s="334"/>
      <c r="L603" s="200"/>
      <c r="M603" s="200"/>
      <c r="N603" s="210"/>
      <c r="O603" s="210"/>
      <c r="P603" s="200"/>
      <c r="Q603" s="200"/>
      <c r="R603" s="200"/>
      <c r="T603" s="154"/>
      <c r="V603" s="200"/>
      <c r="W603" s="200"/>
      <c r="X603" s="200"/>
      <c r="Y603" s="200"/>
      <c r="Z603" s="334"/>
      <c r="AA603" s="200"/>
      <c r="AB603" s="200"/>
      <c r="AC603" s="210"/>
      <c r="AD603" s="210"/>
      <c r="AE603" s="200"/>
      <c r="AF603" s="200"/>
      <c r="AG603" s="209"/>
      <c r="AH603" s="201"/>
      <c r="AI603" s="200"/>
      <c r="AJ603" s="200"/>
      <c r="AK603" s="209"/>
      <c r="AL603" s="200"/>
      <c r="AM603" s="201"/>
      <c r="AN603" s="201"/>
    </row>
    <row r="604" spans="1:40" x14ac:dyDescent="0.25">
      <c r="F604" s="200"/>
      <c r="H604" s="200"/>
      <c r="I604" s="200"/>
      <c r="J604" s="334"/>
      <c r="K604" s="334"/>
      <c r="Z604" s="334"/>
    </row>
    <row r="605" spans="1:40" x14ac:dyDescent="0.25">
      <c r="A605" s="202"/>
      <c r="C605" s="154"/>
      <c r="F605" s="200"/>
      <c r="H605" s="252"/>
      <c r="I605" s="252"/>
      <c r="J605" s="329"/>
      <c r="K605" s="329"/>
      <c r="L605" s="200"/>
      <c r="M605" s="200"/>
      <c r="N605" s="210"/>
      <c r="O605" s="210"/>
      <c r="P605" s="200"/>
      <c r="Q605" s="200"/>
      <c r="R605" s="200"/>
      <c r="T605" s="154"/>
      <c r="V605" s="200"/>
      <c r="W605" s="200"/>
      <c r="X605" s="200"/>
      <c r="Y605" s="200"/>
      <c r="Z605" s="329"/>
      <c r="AA605" s="200"/>
      <c r="AB605" s="200"/>
      <c r="AC605" s="210"/>
      <c r="AD605" s="210"/>
      <c r="AE605" s="200"/>
      <c r="AF605" s="200"/>
      <c r="AG605" s="209"/>
      <c r="AH605" s="201"/>
      <c r="AI605" s="200"/>
      <c r="AJ605" s="200"/>
      <c r="AK605" s="209"/>
      <c r="AL605" s="200"/>
      <c r="AM605" s="201"/>
      <c r="AN605" s="201"/>
    </row>
    <row r="606" spans="1:40" x14ac:dyDescent="0.25">
      <c r="F606" s="211"/>
      <c r="H606" s="211"/>
      <c r="I606" s="211"/>
      <c r="J606" s="329"/>
      <c r="K606" s="329"/>
      <c r="L606" s="211"/>
      <c r="M606" s="211"/>
      <c r="N606" s="211"/>
      <c r="O606" s="211"/>
      <c r="P606" s="211"/>
      <c r="Q606" s="211"/>
      <c r="R606" s="211"/>
      <c r="V606" s="211"/>
      <c r="Y606" s="211"/>
      <c r="Z606" s="329"/>
      <c r="AA606" s="211"/>
      <c r="AB606" s="211"/>
      <c r="AC606" s="211"/>
      <c r="AD606" s="211"/>
      <c r="AE606" s="211"/>
      <c r="AF606" s="211"/>
      <c r="AI606" s="211"/>
      <c r="AJ606" s="211"/>
      <c r="AK606" s="212"/>
      <c r="AL606" s="211"/>
    </row>
    <row r="607" spans="1:40" x14ac:dyDescent="0.25">
      <c r="A607" s="202"/>
      <c r="C607" s="154"/>
      <c r="F607" s="200"/>
      <c r="H607" s="200"/>
      <c r="I607" s="200"/>
      <c r="J607" s="334"/>
      <c r="K607" s="334"/>
      <c r="L607" s="200"/>
      <c r="M607" s="200"/>
      <c r="N607" s="202"/>
      <c r="O607" s="202"/>
      <c r="P607" s="200"/>
      <c r="Q607" s="200"/>
      <c r="R607" s="200"/>
      <c r="T607" s="154"/>
      <c r="V607" s="200"/>
      <c r="Y607" s="200"/>
      <c r="Z607" s="334"/>
      <c r="AA607" s="200"/>
      <c r="AB607" s="200"/>
      <c r="AC607" s="201"/>
      <c r="AD607" s="201"/>
      <c r="AE607" s="200"/>
      <c r="AF607" s="200"/>
      <c r="AG607" s="209"/>
      <c r="AH607" s="201"/>
      <c r="AI607" s="200"/>
      <c r="AJ607" s="200"/>
      <c r="AK607" s="209"/>
      <c r="AL607" s="200"/>
      <c r="AM607" s="201"/>
      <c r="AN607" s="201"/>
    </row>
    <row r="608" spans="1:40" x14ac:dyDescent="0.25">
      <c r="F608" s="211"/>
      <c r="H608" s="211"/>
      <c r="I608" s="211"/>
      <c r="J608" s="329"/>
      <c r="K608" s="329"/>
      <c r="L608" s="211"/>
      <c r="M608" s="211"/>
      <c r="N608" s="211"/>
      <c r="O608" s="211"/>
      <c r="P608" s="211"/>
      <c r="Q608" s="211"/>
      <c r="R608" s="211"/>
      <c r="V608" s="211"/>
      <c r="Y608" s="211"/>
      <c r="Z608" s="329"/>
      <c r="AA608" s="211"/>
      <c r="AB608" s="211"/>
      <c r="AC608" s="211"/>
      <c r="AD608" s="211"/>
      <c r="AE608" s="211"/>
      <c r="AF608" s="211"/>
      <c r="AI608" s="211"/>
      <c r="AJ608" s="211"/>
      <c r="AK608" s="212"/>
      <c r="AL608" s="211"/>
    </row>
    <row r="609" spans="1:40" x14ac:dyDescent="0.25">
      <c r="J609" s="334"/>
      <c r="K609" s="334"/>
      <c r="Z609" s="334"/>
    </row>
    <row r="610" spans="1:40" x14ac:dyDescent="0.25">
      <c r="A610" s="202"/>
      <c r="C610" s="154"/>
      <c r="J610" s="334"/>
      <c r="K610" s="334"/>
      <c r="T610" s="154"/>
      <c r="Z610" s="334"/>
    </row>
    <row r="611" spans="1:40" x14ac:dyDescent="0.25">
      <c r="A611" s="202"/>
      <c r="C611" s="154"/>
      <c r="J611" s="334"/>
      <c r="K611" s="334"/>
      <c r="T611" s="154"/>
      <c r="Z611" s="334"/>
    </row>
    <row r="612" spans="1:40" x14ac:dyDescent="0.25">
      <c r="A612" s="202"/>
      <c r="C612" s="154"/>
      <c r="F612" s="252"/>
      <c r="H612" s="252"/>
      <c r="I612" s="252"/>
      <c r="J612" s="329"/>
      <c r="K612" s="329"/>
      <c r="L612" s="200"/>
      <c r="M612" s="200"/>
      <c r="N612" s="210"/>
      <c r="O612" s="210"/>
      <c r="P612" s="200"/>
      <c r="Q612" s="200"/>
      <c r="R612" s="200"/>
      <c r="T612" s="154"/>
      <c r="V612" s="200"/>
      <c r="W612" s="200"/>
      <c r="X612" s="200"/>
      <c r="Y612" s="200"/>
      <c r="Z612" s="329"/>
      <c r="AA612" s="200"/>
      <c r="AB612" s="200"/>
      <c r="AC612" s="210"/>
      <c r="AD612" s="210"/>
      <c r="AE612" s="200"/>
      <c r="AF612" s="200"/>
      <c r="AG612" s="209"/>
      <c r="AH612" s="201"/>
      <c r="AI612" s="200"/>
      <c r="AJ612" s="200"/>
      <c r="AK612" s="209"/>
      <c r="AL612" s="200"/>
      <c r="AM612" s="201"/>
      <c r="AN612" s="201"/>
    </row>
    <row r="613" spans="1:40" x14ac:dyDescent="0.25">
      <c r="A613" s="202"/>
      <c r="C613" s="154"/>
      <c r="J613" s="334"/>
      <c r="K613" s="334"/>
      <c r="T613" s="154"/>
      <c r="Z613" s="334"/>
    </row>
    <row r="614" spans="1:40" x14ac:dyDescent="0.25">
      <c r="A614" s="202"/>
      <c r="C614" s="154"/>
      <c r="F614" s="252"/>
      <c r="H614" s="252"/>
      <c r="I614" s="252"/>
      <c r="J614" s="329"/>
      <c r="K614" s="329"/>
      <c r="L614" s="200"/>
      <c r="M614" s="200"/>
      <c r="N614" s="210"/>
      <c r="O614" s="210"/>
      <c r="P614" s="200"/>
      <c r="Q614" s="200"/>
      <c r="R614" s="200"/>
      <c r="T614" s="154"/>
      <c r="V614" s="200"/>
      <c r="W614" s="200"/>
      <c r="X614" s="200"/>
      <c r="Y614" s="200"/>
      <c r="Z614" s="329"/>
      <c r="AA614" s="200"/>
      <c r="AB614" s="200"/>
      <c r="AC614" s="210"/>
      <c r="AD614" s="210"/>
      <c r="AE614" s="200"/>
      <c r="AF614" s="200"/>
      <c r="AG614" s="209"/>
      <c r="AH614" s="201"/>
      <c r="AI614" s="200"/>
      <c r="AJ614" s="200"/>
      <c r="AK614" s="209"/>
      <c r="AL614" s="200"/>
      <c r="AM614" s="201"/>
      <c r="AN614" s="201"/>
    </row>
    <row r="615" spans="1:40" x14ac:dyDescent="0.25">
      <c r="F615" s="211"/>
      <c r="H615" s="211"/>
      <c r="I615" s="211"/>
      <c r="J615" s="329"/>
      <c r="K615" s="329"/>
      <c r="L615" s="211"/>
      <c r="M615" s="211"/>
      <c r="N615" s="211"/>
      <c r="O615" s="211"/>
      <c r="P615" s="211"/>
      <c r="Q615" s="211"/>
      <c r="R615" s="211"/>
      <c r="V615" s="211"/>
      <c r="Y615" s="211"/>
      <c r="Z615" s="329"/>
      <c r="AA615" s="211"/>
      <c r="AB615" s="211"/>
      <c r="AC615" s="211"/>
      <c r="AD615" s="211"/>
      <c r="AE615" s="211"/>
      <c r="AF615" s="211"/>
      <c r="AI615" s="211"/>
      <c r="AJ615" s="211"/>
      <c r="AK615" s="212"/>
      <c r="AL615" s="211"/>
    </row>
    <row r="616" spans="1:40" x14ac:dyDescent="0.25">
      <c r="A616" s="202"/>
      <c r="C616" s="154"/>
      <c r="F616" s="200"/>
      <c r="H616" s="200"/>
      <c r="I616" s="200"/>
      <c r="J616" s="334"/>
      <c r="K616" s="334"/>
      <c r="L616" s="200"/>
      <c r="M616" s="200"/>
      <c r="N616" s="201"/>
      <c r="O616" s="201"/>
      <c r="P616" s="200"/>
      <c r="Q616" s="200"/>
      <c r="R616" s="200"/>
      <c r="T616" s="154"/>
      <c r="V616" s="200"/>
      <c r="Y616" s="200"/>
      <c r="Z616" s="334"/>
      <c r="AA616" s="200"/>
      <c r="AB616" s="200"/>
      <c r="AC616" s="201"/>
      <c r="AD616" s="201"/>
      <c r="AE616" s="200"/>
      <c r="AF616" s="200"/>
      <c r="AG616" s="209"/>
      <c r="AH616" s="201"/>
      <c r="AI616" s="200"/>
      <c r="AJ616" s="200"/>
      <c r="AK616" s="209"/>
      <c r="AL616" s="200"/>
      <c r="AM616" s="201"/>
      <c r="AN616" s="201"/>
    </row>
    <row r="617" spans="1:40" x14ac:dyDescent="0.25">
      <c r="F617" s="211"/>
      <c r="H617" s="211"/>
      <c r="I617" s="211"/>
      <c r="J617" s="329"/>
      <c r="K617" s="329"/>
      <c r="L617" s="211"/>
      <c r="M617" s="211"/>
      <c r="N617" s="211"/>
      <c r="O617" s="211"/>
      <c r="P617" s="211"/>
      <c r="Q617" s="211"/>
      <c r="R617" s="211"/>
      <c r="V617" s="211"/>
      <c r="Y617" s="211"/>
      <c r="Z617" s="305"/>
      <c r="AA617" s="211"/>
      <c r="AB617" s="211"/>
      <c r="AC617" s="211"/>
      <c r="AD617" s="211"/>
      <c r="AE617" s="211"/>
      <c r="AF617" s="211"/>
      <c r="AI617" s="211"/>
      <c r="AJ617" s="211"/>
      <c r="AK617" s="212"/>
      <c r="AL617" s="211"/>
    </row>
    <row r="618" spans="1:40" x14ac:dyDescent="0.25">
      <c r="J618" s="334"/>
      <c r="K618" s="334"/>
    </row>
    <row r="619" spans="1:40" x14ac:dyDescent="0.25">
      <c r="A619" s="202"/>
      <c r="C619" s="154"/>
      <c r="F619" s="200"/>
      <c r="H619" s="200"/>
      <c r="I619" s="200"/>
      <c r="J619" s="334"/>
      <c r="K619" s="334"/>
      <c r="L619" s="200"/>
      <c r="M619" s="200"/>
      <c r="N619" s="210"/>
      <c r="O619" s="210"/>
      <c r="P619" s="252"/>
      <c r="Q619" s="252"/>
      <c r="R619" s="200"/>
      <c r="T619" s="154"/>
      <c r="V619" s="200"/>
      <c r="Y619" s="200"/>
      <c r="AA619" s="200"/>
      <c r="AB619" s="200"/>
      <c r="AC619" s="201"/>
      <c r="AD619" s="201"/>
      <c r="AE619" s="200"/>
      <c r="AF619" s="200"/>
      <c r="AG619" s="209"/>
      <c r="AH619" s="201"/>
      <c r="AI619" s="252"/>
      <c r="AJ619" s="252"/>
      <c r="AK619" s="209"/>
      <c r="AL619" s="200"/>
      <c r="AM619" s="201"/>
      <c r="AN619" s="201"/>
    </row>
    <row r="620" spans="1:40" x14ac:dyDescent="0.25">
      <c r="F620" s="211"/>
      <c r="H620" s="211"/>
      <c r="I620" s="211"/>
      <c r="J620" s="329"/>
      <c r="K620" s="329"/>
      <c r="L620" s="211"/>
      <c r="M620" s="211"/>
      <c r="N620" s="211"/>
      <c r="O620" s="211"/>
      <c r="P620" s="211"/>
      <c r="Q620" s="211"/>
      <c r="R620" s="211"/>
      <c r="V620" s="211"/>
      <c r="Y620" s="211"/>
      <c r="Z620" s="305"/>
      <c r="AA620" s="211"/>
      <c r="AB620" s="211"/>
      <c r="AC620" s="211"/>
      <c r="AD620" s="211"/>
      <c r="AE620" s="211"/>
      <c r="AF620" s="211"/>
      <c r="AI620" s="211"/>
      <c r="AJ620" s="211"/>
      <c r="AK620" s="212"/>
      <c r="AL620" s="211"/>
    </row>
    <row r="622" spans="1:40" x14ac:dyDescent="0.25">
      <c r="C622" s="202"/>
      <c r="T622" s="202"/>
    </row>
    <row r="623" spans="1:40" x14ac:dyDescent="0.25">
      <c r="A623" s="154"/>
    </row>
    <row r="624" spans="1:40" x14ac:dyDescent="0.25">
      <c r="J624" s="202"/>
      <c r="K624" s="202"/>
      <c r="Z624" s="202"/>
    </row>
    <row r="625" spans="1:40" x14ac:dyDescent="0.25">
      <c r="H625" s="154"/>
      <c r="I625" s="154"/>
      <c r="Y625" s="154"/>
    </row>
    <row r="626" spans="1:40" x14ac:dyDescent="0.25">
      <c r="J626" s="202"/>
      <c r="K626" s="202"/>
      <c r="Z626" s="202"/>
    </row>
    <row r="627" spans="1:40" x14ac:dyDescent="0.25">
      <c r="L627" s="154"/>
      <c r="M627" s="154"/>
      <c r="AA627" s="154"/>
      <c r="AB627" s="154"/>
    </row>
    <row r="628" spans="1:40" x14ac:dyDescent="0.25">
      <c r="A628" s="202"/>
      <c r="R628" s="154"/>
      <c r="AK628" s="297"/>
      <c r="AL628" s="154"/>
    </row>
    <row r="629" spans="1:40" x14ac:dyDescent="0.25">
      <c r="A629" s="202"/>
      <c r="R629" s="154"/>
      <c r="AK629" s="297"/>
      <c r="AL629" s="154"/>
    </row>
    <row r="630" spans="1:40" x14ac:dyDescent="0.25">
      <c r="A630" s="154"/>
      <c r="R630" s="154"/>
      <c r="AK630" s="297"/>
      <c r="AL630" s="154"/>
    </row>
    <row r="631" spans="1:40" x14ac:dyDescent="0.25">
      <c r="L631" s="154"/>
      <c r="M631" s="154"/>
      <c r="R631" s="202"/>
      <c r="AA631" s="154"/>
      <c r="AB631" s="154"/>
      <c r="AK631" s="209"/>
      <c r="AL631" s="202"/>
    </row>
    <row r="632" spans="1:40" x14ac:dyDescent="0.25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208"/>
      <c r="AH632" s="102"/>
      <c r="AI632" s="102"/>
      <c r="AJ632" s="102"/>
      <c r="AK632" s="208"/>
      <c r="AL632" s="102"/>
      <c r="AM632" s="102"/>
      <c r="AN632" s="102"/>
    </row>
    <row r="633" spans="1:40" x14ac:dyDescent="0.25">
      <c r="L633" s="103"/>
      <c r="M633" s="103"/>
      <c r="N633" s="103"/>
      <c r="O633" s="103"/>
      <c r="R633" s="103"/>
      <c r="AA633" s="103"/>
      <c r="AB633" s="103"/>
      <c r="AC633" s="103"/>
      <c r="AD633" s="103"/>
      <c r="AE633" s="103"/>
      <c r="AF633" s="103"/>
      <c r="AG633" s="185"/>
      <c r="AH633" s="103"/>
      <c r="AK633" s="185"/>
      <c r="AL633" s="103"/>
      <c r="AM633" s="103"/>
      <c r="AN633" s="103"/>
    </row>
    <row r="634" spans="1:40" x14ac:dyDescent="0.25">
      <c r="L634" s="103"/>
      <c r="M634" s="103"/>
      <c r="N634" s="103"/>
      <c r="O634" s="103"/>
      <c r="R634" s="103"/>
      <c r="Z634" s="103"/>
      <c r="AA634" s="103"/>
      <c r="AB634" s="103"/>
      <c r="AC634" s="103"/>
      <c r="AD634" s="103"/>
      <c r="AE634" s="103"/>
      <c r="AF634" s="103"/>
      <c r="AG634" s="185"/>
      <c r="AH634" s="103"/>
      <c r="AK634" s="185"/>
      <c r="AL634" s="103"/>
      <c r="AM634" s="103"/>
      <c r="AN634" s="103"/>
    </row>
    <row r="635" spans="1:40" x14ac:dyDescent="0.25">
      <c r="A635" s="103"/>
      <c r="C635" s="103"/>
      <c r="D635" s="103"/>
      <c r="E635" s="103"/>
      <c r="F635" s="103"/>
      <c r="J635" s="103"/>
      <c r="K635" s="103"/>
      <c r="L635" s="103"/>
      <c r="M635" s="103"/>
      <c r="N635" s="103"/>
      <c r="O635" s="103"/>
      <c r="P635" s="103"/>
      <c r="Q635" s="103"/>
      <c r="R635" s="103"/>
      <c r="T635" s="103"/>
      <c r="U635" s="103"/>
      <c r="V635" s="103"/>
      <c r="Z635" s="103"/>
      <c r="AA635" s="103"/>
      <c r="AB635" s="103"/>
      <c r="AC635" s="103"/>
      <c r="AD635" s="103"/>
      <c r="AE635" s="103"/>
      <c r="AF635" s="103"/>
      <c r="AG635" s="185"/>
      <c r="AH635" s="103"/>
      <c r="AI635" s="103"/>
      <c r="AJ635" s="103"/>
      <c r="AK635" s="185"/>
      <c r="AL635" s="103"/>
      <c r="AM635" s="103"/>
      <c r="AN635" s="103"/>
    </row>
    <row r="636" spans="1:40" x14ac:dyDescent="0.25">
      <c r="A636" s="103"/>
      <c r="C636" s="103"/>
      <c r="D636" s="103"/>
      <c r="E636" s="103"/>
      <c r="F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T636" s="103"/>
      <c r="U636" s="103"/>
      <c r="V636" s="103"/>
      <c r="Y636" s="103"/>
      <c r="Z636" s="103"/>
      <c r="AA636" s="103"/>
      <c r="AB636" s="103"/>
      <c r="AC636" s="103"/>
      <c r="AD636" s="103"/>
      <c r="AE636" s="103"/>
      <c r="AF636" s="103"/>
      <c r="AG636" s="185"/>
      <c r="AH636" s="103"/>
      <c r="AI636" s="103"/>
      <c r="AJ636" s="103"/>
      <c r="AK636" s="185"/>
      <c r="AL636" s="103"/>
      <c r="AM636" s="103"/>
      <c r="AN636" s="103"/>
    </row>
    <row r="637" spans="1:40" x14ac:dyDescent="0.25">
      <c r="C637" s="103"/>
      <c r="D637" s="103"/>
      <c r="E637" s="103"/>
      <c r="F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T637" s="103"/>
      <c r="U637" s="103"/>
      <c r="V637" s="103"/>
      <c r="Y637" s="103"/>
      <c r="Z637" s="103"/>
      <c r="AA637" s="103"/>
      <c r="AB637" s="103"/>
      <c r="AC637" s="103"/>
      <c r="AD637" s="103"/>
      <c r="AE637" s="103"/>
      <c r="AF637" s="103"/>
      <c r="AG637" s="185"/>
      <c r="AH637" s="103"/>
      <c r="AI637" s="103"/>
      <c r="AJ637" s="103"/>
      <c r="AK637" s="185"/>
      <c r="AL637" s="103"/>
      <c r="AM637" s="103"/>
      <c r="AN637" s="103"/>
    </row>
    <row r="638" spans="1:40" x14ac:dyDescent="0.25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208"/>
      <c r="AH638" s="102"/>
      <c r="AI638" s="102"/>
      <c r="AJ638" s="102"/>
      <c r="AK638" s="208"/>
      <c r="AL638" s="102"/>
      <c r="AM638" s="102"/>
      <c r="AN638" s="102"/>
    </row>
    <row r="639" spans="1:40" x14ac:dyDescent="0.25"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Y639" s="103"/>
      <c r="Z639" s="103"/>
      <c r="AA639" s="103"/>
      <c r="AB639" s="103"/>
      <c r="AC639" s="103"/>
      <c r="AD639" s="103"/>
      <c r="AE639" s="103"/>
      <c r="AF639" s="103"/>
      <c r="AG639" s="185"/>
      <c r="AH639" s="103"/>
      <c r="AI639" s="103"/>
      <c r="AJ639" s="103"/>
      <c r="AK639" s="185"/>
      <c r="AL639" s="103"/>
      <c r="AM639" s="103"/>
      <c r="AN639" s="103"/>
    </row>
    <row r="640" spans="1:40" x14ac:dyDescent="0.25">
      <c r="A640" s="202"/>
      <c r="C640" s="154"/>
      <c r="D640" s="154"/>
      <c r="E640" s="154"/>
      <c r="T640" s="154"/>
      <c r="U640" s="154"/>
    </row>
    <row r="642" spans="1:40" x14ac:dyDescent="0.25">
      <c r="A642" s="202"/>
      <c r="C642" s="154"/>
      <c r="D642" s="154"/>
      <c r="E642" s="154"/>
      <c r="T642" s="154"/>
      <c r="U642" s="154"/>
    </row>
    <row r="643" spans="1:40" x14ac:dyDescent="0.25">
      <c r="A643" s="202"/>
      <c r="C643" s="154"/>
      <c r="T643" s="154"/>
    </row>
    <row r="644" spans="1:40" x14ac:dyDescent="0.25">
      <c r="A644" s="202"/>
      <c r="C644" s="154"/>
      <c r="T644" s="154"/>
    </row>
    <row r="645" spans="1:40" x14ac:dyDescent="0.25">
      <c r="A645" s="202"/>
      <c r="C645" s="154"/>
      <c r="F645" s="252"/>
      <c r="H645" s="252"/>
      <c r="I645" s="252"/>
      <c r="J645" s="329"/>
      <c r="K645" s="329"/>
      <c r="L645" s="200"/>
      <c r="M645" s="200"/>
      <c r="N645" s="210"/>
      <c r="O645" s="210"/>
      <c r="P645" s="200"/>
      <c r="Q645" s="200"/>
      <c r="R645" s="200"/>
      <c r="T645" s="154"/>
      <c r="V645" s="200"/>
      <c r="W645" s="200"/>
      <c r="X645" s="200"/>
      <c r="Y645" s="200"/>
      <c r="Z645" s="329"/>
      <c r="AA645" s="200"/>
      <c r="AB645" s="200"/>
      <c r="AC645" s="210"/>
      <c r="AD645" s="210"/>
      <c r="AE645" s="200"/>
      <c r="AF645" s="200"/>
      <c r="AG645" s="209"/>
      <c r="AH645" s="201"/>
      <c r="AI645" s="200"/>
      <c r="AJ645" s="200"/>
      <c r="AK645" s="209"/>
      <c r="AL645" s="200"/>
      <c r="AM645" s="210"/>
      <c r="AN645" s="210"/>
    </row>
    <row r="646" spans="1:40" x14ac:dyDescent="0.25">
      <c r="A646" s="202"/>
      <c r="C646" s="154"/>
      <c r="J646" s="334"/>
      <c r="K646" s="334"/>
      <c r="T646" s="154"/>
      <c r="V646" s="200"/>
      <c r="W646" s="200"/>
      <c r="X646" s="200"/>
      <c r="Y646" s="200"/>
      <c r="Z646" s="329"/>
    </row>
    <row r="647" spans="1:40" x14ac:dyDescent="0.25">
      <c r="A647" s="202"/>
      <c r="C647" s="154"/>
      <c r="F647" s="252"/>
      <c r="H647" s="252"/>
      <c r="I647" s="252"/>
      <c r="J647" s="329"/>
      <c r="K647" s="329"/>
      <c r="L647" s="200"/>
      <c r="M647" s="200"/>
      <c r="N647" s="210"/>
      <c r="O647" s="210"/>
      <c r="P647" s="200"/>
      <c r="Q647" s="200"/>
      <c r="R647" s="200"/>
      <c r="T647" s="154"/>
      <c r="V647" s="200"/>
      <c r="W647" s="200"/>
      <c r="X647" s="200"/>
      <c r="Y647" s="200"/>
      <c r="Z647" s="329"/>
      <c r="AA647" s="200"/>
      <c r="AB647" s="200"/>
      <c r="AC647" s="210"/>
      <c r="AD647" s="210"/>
      <c r="AE647" s="200"/>
      <c r="AF647" s="200"/>
      <c r="AG647" s="209"/>
      <c r="AH647" s="201"/>
      <c r="AI647" s="200"/>
      <c r="AJ647" s="200"/>
      <c r="AK647" s="209"/>
      <c r="AL647" s="200"/>
      <c r="AM647" s="210"/>
      <c r="AN647" s="210"/>
    </row>
    <row r="648" spans="1:40" x14ac:dyDescent="0.25">
      <c r="A648" s="202"/>
      <c r="C648" s="154"/>
      <c r="J648" s="334"/>
      <c r="K648" s="334"/>
      <c r="T648" s="154"/>
      <c r="V648" s="200"/>
      <c r="W648" s="200"/>
      <c r="X648" s="200"/>
      <c r="Y648" s="200"/>
      <c r="Z648" s="329"/>
    </row>
    <row r="649" spans="1:40" x14ac:dyDescent="0.25">
      <c r="A649" s="202"/>
      <c r="C649" s="154"/>
      <c r="F649" s="252"/>
      <c r="H649" s="252"/>
      <c r="I649" s="252"/>
      <c r="J649" s="329"/>
      <c r="K649" s="329"/>
      <c r="L649" s="200"/>
      <c r="M649" s="200"/>
      <c r="N649" s="210"/>
      <c r="O649" s="210"/>
      <c r="P649" s="200"/>
      <c r="Q649" s="200"/>
      <c r="R649" s="200"/>
      <c r="T649" s="154"/>
      <c r="V649" s="200"/>
      <c r="W649" s="200"/>
      <c r="X649" s="200"/>
      <c r="Y649" s="200"/>
      <c r="Z649" s="329"/>
      <c r="AA649" s="200"/>
      <c r="AB649" s="200"/>
      <c r="AC649" s="210"/>
      <c r="AD649" s="210"/>
      <c r="AE649" s="200"/>
      <c r="AF649" s="200"/>
      <c r="AG649" s="209"/>
      <c r="AH649" s="201"/>
      <c r="AI649" s="200"/>
      <c r="AJ649" s="200"/>
      <c r="AK649" s="209"/>
      <c r="AL649" s="200"/>
      <c r="AM649" s="210"/>
      <c r="AN649" s="210"/>
    </row>
    <row r="650" spans="1:40" x14ac:dyDescent="0.25">
      <c r="A650" s="202"/>
      <c r="C650" s="154"/>
      <c r="J650" s="334"/>
      <c r="K650" s="334"/>
      <c r="T650" s="154"/>
      <c r="V650" s="200"/>
      <c r="W650" s="200"/>
      <c r="X650" s="200"/>
      <c r="Y650" s="200"/>
      <c r="Z650" s="329"/>
    </row>
    <row r="651" spans="1:40" x14ac:dyDescent="0.25">
      <c r="A651" s="202"/>
      <c r="C651" s="154"/>
      <c r="F651" s="252"/>
      <c r="H651" s="252"/>
      <c r="I651" s="252"/>
      <c r="J651" s="329"/>
      <c r="K651" s="329"/>
      <c r="L651" s="200"/>
      <c r="M651" s="200"/>
      <c r="N651" s="210"/>
      <c r="O651" s="210"/>
      <c r="P651" s="200"/>
      <c r="Q651" s="200"/>
      <c r="R651" s="200"/>
      <c r="T651" s="154"/>
      <c r="V651" s="200"/>
      <c r="W651" s="200"/>
      <c r="X651" s="200"/>
      <c r="Y651" s="200"/>
      <c r="Z651" s="329"/>
      <c r="AA651" s="200"/>
      <c r="AB651" s="200"/>
      <c r="AC651" s="210"/>
      <c r="AD651" s="210"/>
      <c r="AE651" s="200"/>
      <c r="AF651" s="200"/>
      <c r="AG651" s="209"/>
      <c r="AH651" s="201"/>
      <c r="AI651" s="200"/>
      <c r="AJ651" s="200"/>
      <c r="AK651" s="209"/>
      <c r="AL651" s="200"/>
      <c r="AM651" s="210"/>
      <c r="AN651" s="210"/>
    </row>
    <row r="652" spans="1:40" x14ac:dyDescent="0.25">
      <c r="A652" s="202"/>
      <c r="C652" s="154"/>
      <c r="J652" s="334"/>
      <c r="K652" s="334"/>
      <c r="T652" s="154"/>
      <c r="V652" s="200"/>
      <c r="W652" s="200"/>
      <c r="X652" s="200"/>
      <c r="Y652" s="200"/>
      <c r="Z652" s="329"/>
    </row>
    <row r="653" spans="1:40" x14ac:dyDescent="0.25">
      <c r="A653" s="202"/>
      <c r="C653" s="154"/>
      <c r="F653" s="252"/>
      <c r="H653" s="252"/>
      <c r="I653" s="252"/>
      <c r="J653" s="329"/>
      <c r="K653" s="329"/>
      <c r="L653" s="200"/>
      <c r="M653" s="200"/>
      <c r="N653" s="210"/>
      <c r="O653" s="210"/>
      <c r="P653" s="200"/>
      <c r="Q653" s="200"/>
      <c r="R653" s="200"/>
      <c r="T653" s="154"/>
      <c r="V653" s="200"/>
      <c r="W653" s="200"/>
      <c r="X653" s="200"/>
      <c r="Y653" s="200"/>
      <c r="Z653" s="329"/>
      <c r="AA653" s="200"/>
      <c r="AB653" s="200"/>
      <c r="AC653" s="210"/>
      <c r="AD653" s="210"/>
      <c r="AE653" s="200"/>
      <c r="AF653" s="200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C654" s="154"/>
      <c r="J654" s="334"/>
      <c r="K654" s="334"/>
      <c r="T654" s="154"/>
      <c r="V654" s="200"/>
      <c r="W654" s="200"/>
      <c r="X654" s="200"/>
      <c r="Y654" s="200"/>
      <c r="Z654" s="329"/>
    </row>
    <row r="655" spans="1:40" x14ac:dyDescent="0.25">
      <c r="A655" s="202"/>
      <c r="C655" s="154"/>
      <c r="F655" s="252"/>
      <c r="H655" s="252"/>
      <c r="I655" s="252"/>
      <c r="J655" s="329"/>
      <c r="K655" s="329"/>
      <c r="L655" s="200"/>
      <c r="M655" s="200"/>
      <c r="N655" s="210"/>
      <c r="O655" s="210"/>
      <c r="P655" s="200"/>
      <c r="Q655" s="200"/>
      <c r="R655" s="200"/>
      <c r="T655" s="154"/>
      <c r="V655" s="200"/>
      <c r="W655" s="200"/>
      <c r="X655" s="200"/>
      <c r="Y655" s="200"/>
      <c r="Z655" s="329"/>
      <c r="AA655" s="200"/>
      <c r="AB655" s="200"/>
      <c r="AC655" s="210"/>
      <c r="AD655" s="210"/>
      <c r="AE655" s="200"/>
      <c r="AF655" s="200"/>
      <c r="AG655" s="209"/>
      <c r="AH655" s="201"/>
      <c r="AI655" s="200"/>
      <c r="AJ655" s="200"/>
      <c r="AK655" s="209"/>
      <c r="AL655" s="200"/>
      <c r="AM655" s="210"/>
      <c r="AN655" s="210"/>
    </row>
    <row r="656" spans="1:40" x14ac:dyDescent="0.25">
      <c r="F656" s="211"/>
      <c r="H656" s="211"/>
      <c r="I656" s="211"/>
      <c r="J656" s="329"/>
      <c r="K656" s="329"/>
      <c r="L656" s="211"/>
      <c r="M656" s="211"/>
      <c r="N656" s="211"/>
      <c r="O656" s="211"/>
      <c r="P656" s="211"/>
      <c r="Q656" s="211"/>
      <c r="R656" s="211"/>
      <c r="V656" s="211"/>
      <c r="Y656" s="211"/>
      <c r="Z656" s="329"/>
      <c r="AA656" s="211"/>
      <c r="AB656" s="211"/>
      <c r="AC656" s="211"/>
      <c r="AD656" s="211"/>
      <c r="AE656" s="211"/>
      <c r="AF656" s="211"/>
      <c r="AI656" s="211"/>
      <c r="AJ656" s="211"/>
      <c r="AK656" s="212"/>
      <c r="AL656" s="211"/>
      <c r="AM656" s="210"/>
      <c r="AN656" s="210"/>
    </row>
    <row r="657" spans="1:40" x14ac:dyDescent="0.25">
      <c r="A657" s="202"/>
      <c r="C657" s="154"/>
      <c r="F657" s="200"/>
      <c r="H657" s="200"/>
      <c r="I657" s="200"/>
      <c r="J657" s="334"/>
      <c r="K657" s="334"/>
      <c r="L657" s="200"/>
      <c r="M657" s="200"/>
      <c r="N657" s="210"/>
      <c r="O657" s="210"/>
      <c r="P657" s="252"/>
      <c r="Q657" s="252"/>
      <c r="R657" s="200"/>
      <c r="T657" s="154"/>
      <c r="V657" s="200"/>
      <c r="W657" s="200"/>
      <c r="X657" s="200"/>
      <c r="Y657" s="200"/>
      <c r="Z657" s="329"/>
      <c r="AA657" s="200"/>
      <c r="AB657" s="200"/>
      <c r="AC657" s="210"/>
      <c r="AD657" s="210"/>
      <c r="AE657" s="200"/>
      <c r="AF657" s="200"/>
      <c r="AG657" s="209"/>
      <c r="AH657" s="201"/>
      <c r="AI657" s="252"/>
      <c r="AJ657" s="252"/>
      <c r="AK657" s="209"/>
      <c r="AL657" s="200"/>
      <c r="AM657" s="210"/>
      <c r="AN657" s="210"/>
    </row>
    <row r="658" spans="1:40" x14ac:dyDescent="0.25">
      <c r="F658" s="211"/>
      <c r="H658" s="211"/>
      <c r="I658" s="211"/>
      <c r="J658" s="329"/>
      <c r="K658" s="329"/>
      <c r="L658" s="211"/>
      <c r="M658" s="211"/>
      <c r="N658" s="211"/>
      <c r="O658" s="211"/>
      <c r="P658" s="211"/>
      <c r="Q658" s="211"/>
      <c r="R658" s="211"/>
      <c r="V658" s="211"/>
      <c r="Y658" s="211"/>
      <c r="Z658" s="329"/>
      <c r="AA658" s="211"/>
      <c r="AB658" s="211"/>
      <c r="AC658" s="211"/>
      <c r="AD658" s="211"/>
      <c r="AE658" s="211"/>
      <c r="AF658" s="211"/>
      <c r="AI658" s="211"/>
      <c r="AJ658" s="211"/>
      <c r="AK658" s="212"/>
      <c r="AL658" s="211"/>
    </row>
    <row r="659" spans="1:40" x14ac:dyDescent="0.25">
      <c r="A659" s="202"/>
      <c r="C659" s="154"/>
      <c r="D659" s="154"/>
      <c r="E659" s="154"/>
      <c r="J659" s="334"/>
      <c r="K659" s="334"/>
      <c r="T659" s="154"/>
      <c r="U659" s="154"/>
      <c r="V659" s="200"/>
      <c r="W659" s="200"/>
      <c r="X659" s="200"/>
      <c r="Y659" s="200"/>
      <c r="Z659" s="329"/>
    </row>
    <row r="660" spans="1:40" x14ac:dyDescent="0.25">
      <c r="A660" s="202"/>
      <c r="C660" s="154"/>
      <c r="J660" s="334"/>
      <c r="K660" s="334"/>
      <c r="T660" s="154"/>
      <c r="V660" s="200"/>
      <c r="W660" s="200"/>
      <c r="X660" s="200"/>
      <c r="Y660" s="200"/>
      <c r="Z660" s="329"/>
    </row>
    <row r="661" spans="1:40" x14ac:dyDescent="0.25">
      <c r="A661" s="202"/>
      <c r="C661" s="154"/>
      <c r="J661" s="334"/>
      <c r="K661" s="334"/>
      <c r="T661" s="154"/>
      <c r="V661" s="200"/>
      <c r="W661" s="200"/>
      <c r="X661" s="200"/>
      <c r="Y661" s="200"/>
      <c r="Z661" s="329"/>
    </row>
    <row r="662" spans="1:40" x14ac:dyDescent="0.25">
      <c r="A662" s="202"/>
      <c r="C662" s="154"/>
      <c r="F662" s="252"/>
      <c r="H662" s="252"/>
      <c r="I662" s="252"/>
      <c r="J662" s="329"/>
      <c r="K662" s="329"/>
      <c r="L662" s="200"/>
      <c r="M662" s="200"/>
      <c r="N662" s="210"/>
      <c r="O662" s="210"/>
      <c r="P662" s="200"/>
      <c r="Q662" s="200"/>
      <c r="R662" s="200"/>
      <c r="T662" s="154"/>
      <c r="V662" s="200"/>
      <c r="W662" s="200"/>
      <c r="X662" s="200"/>
      <c r="Y662" s="200"/>
      <c r="Z662" s="329"/>
      <c r="AA662" s="200"/>
      <c r="AB662" s="200"/>
      <c r="AC662" s="210"/>
      <c r="AD662" s="210"/>
      <c r="AE662" s="200"/>
      <c r="AF662" s="200"/>
      <c r="AG662" s="209"/>
      <c r="AH662" s="201"/>
      <c r="AI662" s="200"/>
      <c r="AJ662" s="200"/>
      <c r="AK662" s="209"/>
      <c r="AL662" s="200"/>
      <c r="AM662" s="210"/>
      <c r="AN662" s="210"/>
    </row>
    <row r="663" spans="1:40" x14ac:dyDescent="0.25">
      <c r="A663" s="202"/>
      <c r="C663" s="154"/>
      <c r="J663" s="334"/>
      <c r="K663" s="334"/>
      <c r="T663" s="154"/>
      <c r="V663" s="200"/>
      <c r="W663" s="200"/>
      <c r="X663" s="200"/>
      <c r="Y663" s="200"/>
      <c r="Z663" s="329"/>
    </row>
    <row r="664" spans="1:40" x14ac:dyDescent="0.25">
      <c r="A664" s="202"/>
      <c r="C664" s="154"/>
      <c r="F664" s="252"/>
      <c r="H664" s="252"/>
      <c r="I664" s="252"/>
      <c r="J664" s="329"/>
      <c r="K664" s="329"/>
      <c r="L664" s="200"/>
      <c r="M664" s="200"/>
      <c r="N664" s="210"/>
      <c r="O664" s="210"/>
      <c r="P664" s="200"/>
      <c r="Q664" s="200"/>
      <c r="R664" s="200"/>
      <c r="T664" s="154"/>
      <c r="V664" s="200"/>
      <c r="W664" s="200"/>
      <c r="X664" s="200"/>
      <c r="Y664" s="200"/>
      <c r="Z664" s="329"/>
      <c r="AA664" s="200"/>
      <c r="AB664" s="200"/>
      <c r="AC664" s="210"/>
      <c r="AD664" s="210"/>
      <c r="AE664" s="200"/>
      <c r="AF664" s="200"/>
      <c r="AG664" s="209"/>
      <c r="AH664" s="201"/>
      <c r="AI664" s="200"/>
      <c r="AJ664" s="200"/>
      <c r="AK664" s="209"/>
      <c r="AL664" s="200"/>
      <c r="AM664" s="210"/>
      <c r="AN664" s="210"/>
    </row>
    <row r="665" spans="1:40" x14ac:dyDescent="0.25">
      <c r="F665" s="211"/>
      <c r="H665" s="211"/>
      <c r="I665" s="211"/>
      <c r="J665" s="329"/>
      <c r="K665" s="329"/>
      <c r="L665" s="211"/>
      <c r="M665" s="211"/>
      <c r="N665" s="211"/>
      <c r="O665" s="211"/>
      <c r="P665" s="211"/>
      <c r="Q665" s="211"/>
      <c r="R665" s="211"/>
      <c r="V665" s="211"/>
      <c r="Y665" s="211"/>
      <c r="Z665" s="305"/>
      <c r="AA665" s="211"/>
      <c r="AB665" s="211"/>
      <c r="AC665" s="211"/>
      <c r="AD665" s="211"/>
      <c r="AE665" s="211"/>
      <c r="AF665" s="211"/>
      <c r="AI665" s="211"/>
      <c r="AJ665" s="211"/>
      <c r="AK665" s="212"/>
      <c r="AL665" s="211"/>
    </row>
    <row r="666" spans="1:40" x14ac:dyDescent="0.25">
      <c r="A666" s="202"/>
      <c r="C666" s="154"/>
      <c r="F666" s="200"/>
      <c r="H666" s="200"/>
      <c r="I666" s="200"/>
      <c r="L666" s="200"/>
      <c r="M666" s="200"/>
      <c r="N666" s="210"/>
      <c r="O666" s="210"/>
      <c r="P666" s="252"/>
      <c r="Q666" s="252"/>
      <c r="R666" s="200"/>
      <c r="T666" s="154"/>
      <c r="V666" s="200"/>
      <c r="W666" s="200"/>
      <c r="X666" s="200"/>
      <c r="Y666" s="200"/>
      <c r="Z666" s="328"/>
      <c r="AA666" s="200"/>
      <c r="AB666" s="200"/>
      <c r="AC666" s="210"/>
      <c r="AD666" s="210"/>
      <c r="AE666" s="200"/>
      <c r="AF666" s="200"/>
      <c r="AG666" s="209"/>
      <c r="AH666" s="201"/>
      <c r="AI666" s="252"/>
      <c r="AJ666" s="252"/>
      <c r="AK666" s="209"/>
      <c r="AL666" s="200"/>
      <c r="AM666" s="210"/>
      <c r="AN666" s="210"/>
    </row>
    <row r="667" spans="1:40" x14ac:dyDescent="0.25">
      <c r="F667" s="211"/>
      <c r="H667" s="211"/>
      <c r="I667" s="211"/>
      <c r="J667" s="305"/>
      <c r="K667" s="305"/>
      <c r="L667" s="211"/>
      <c r="M667" s="211"/>
      <c r="N667" s="211"/>
      <c r="O667" s="211"/>
      <c r="P667" s="211"/>
      <c r="Q667" s="211"/>
      <c r="R667" s="211"/>
      <c r="V667" s="211"/>
      <c r="Y667" s="211"/>
      <c r="Z667" s="305"/>
      <c r="AA667" s="211"/>
      <c r="AB667" s="211"/>
      <c r="AC667" s="211"/>
      <c r="AD667" s="211"/>
      <c r="AE667" s="211"/>
      <c r="AF667" s="211"/>
      <c r="AI667" s="211"/>
      <c r="AJ667" s="211"/>
      <c r="AK667" s="212"/>
      <c r="AL667" s="211"/>
    </row>
    <row r="668" spans="1:40" x14ac:dyDescent="0.25">
      <c r="A668" s="202"/>
      <c r="C668" s="154"/>
      <c r="D668" s="154"/>
      <c r="E668" s="154"/>
      <c r="T668" s="154"/>
      <c r="U668" s="154"/>
      <c r="V668" s="200"/>
      <c r="W668" s="200"/>
      <c r="X668" s="200"/>
      <c r="Y668" s="200"/>
      <c r="Z668" s="328"/>
    </row>
    <row r="669" spans="1:40" x14ac:dyDescent="0.25">
      <c r="A669" s="202"/>
      <c r="C669" s="154"/>
      <c r="T669" s="154"/>
      <c r="V669" s="200"/>
      <c r="W669" s="200"/>
      <c r="X669" s="200"/>
      <c r="Y669" s="200"/>
      <c r="Z669" s="328"/>
    </row>
    <row r="670" spans="1:40" x14ac:dyDescent="0.25">
      <c r="A670" s="202"/>
      <c r="C670" s="154"/>
      <c r="F670" s="252"/>
      <c r="H670" s="252"/>
      <c r="I670" s="252"/>
      <c r="J670" s="328"/>
      <c r="K670" s="328"/>
      <c r="L670" s="200"/>
      <c r="M670" s="200"/>
      <c r="N670" s="210"/>
      <c r="O670" s="210"/>
      <c r="P670" s="200"/>
      <c r="Q670" s="200"/>
      <c r="R670" s="200"/>
      <c r="T670" s="154"/>
      <c r="V670" s="200"/>
      <c r="W670" s="200"/>
      <c r="X670" s="200"/>
      <c r="Y670" s="200"/>
      <c r="Z670" s="328"/>
      <c r="AA670" s="200"/>
      <c r="AB670" s="200"/>
      <c r="AC670" s="210"/>
      <c r="AD670" s="210"/>
      <c r="AE670" s="200"/>
      <c r="AF670" s="200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A671" s="202"/>
      <c r="C671" s="154"/>
      <c r="T671" s="154"/>
      <c r="V671" s="200"/>
      <c r="W671" s="200"/>
      <c r="X671" s="200"/>
      <c r="Y671" s="200"/>
      <c r="Z671" s="328"/>
    </row>
    <row r="672" spans="1:40" x14ac:dyDescent="0.25">
      <c r="A672" s="202"/>
      <c r="C672" s="154"/>
      <c r="F672" s="252"/>
      <c r="H672" s="252"/>
      <c r="I672" s="252"/>
      <c r="J672" s="328"/>
      <c r="K672" s="328"/>
      <c r="L672" s="200"/>
      <c r="M672" s="200"/>
      <c r="N672" s="210"/>
      <c r="O672" s="210"/>
      <c r="P672" s="200"/>
      <c r="Q672" s="200"/>
      <c r="R672" s="200"/>
      <c r="T672" s="154"/>
      <c r="V672" s="200"/>
      <c r="W672" s="200"/>
      <c r="X672" s="200"/>
      <c r="Y672" s="200"/>
      <c r="Z672" s="328"/>
      <c r="AA672" s="200"/>
      <c r="AB672" s="200"/>
      <c r="AC672" s="210"/>
      <c r="AD672" s="210"/>
      <c r="AE672" s="200"/>
      <c r="AF672" s="200"/>
      <c r="AG672" s="209"/>
      <c r="AH672" s="201"/>
      <c r="AI672" s="200"/>
      <c r="AJ672" s="200"/>
      <c r="AK672" s="209"/>
      <c r="AL672" s="200"/>
      <c r="AM672" s="210"/>
      <c r="AN672" s="210"/>
    </row>
    <row r="673" spans="1:40" x14ac:dyDescent="0.25">
      <c r="A673" s="202"/>
      <c r="C673" s="154"/>
      <c r="T673" s="154"/>
      <c r="V673" s="200"/>
      <c r="W673" s="200"/>
      <c r="X673" s="200"/>
      <c r="Y673" s="200"/>
      <c r="Z673" s="328"/>
    </row>
    <row r="674" spans="1:40" x14ac:dyDescent="0.25">
      <c r="A674" s="202"/>
      <c r="C674" s="154"/>
      <c r="F674" s="252"/>
      <c r="H674" s="252"/>
      <c r="I674" s="252"/>
      <c r="J674" s="328"/>
      <c r="K674" s="328"/>
      <c r="L674" s="200"/>
      <c r="M674" s="200"/>
      <c r="N674" s="210"/>
      <c r="O674" s="210"/>
      <c r="P674" s="200"/>
      <c r="Q674" s="200"/>
      <c r="R674" s="200"/>
      <c r="T674" s="154"/>
      <c r="V674" s="200"/>
      <c r="W674" s="200"/>
      <c r="X674" s="200"/>
      <c r="Y674" s="200"/>
      <c r="Z674" s="328"/>
      <c r="AA674" s="200"/>
      <c r="AB674" s="200"/>
      <c r="AC674" s="210"/>
      <c r="AD674" s="210"/>
      <c r="AE674" s="200"/>
      <c r="AF674" s="200"/>
      <c r="AG674" s="209"/>
      <c r="AH674" s="201"/>
      <c r="AI674" s="200"/>
      <c r="AJ674" s="200"/>
      <c r="AK674" s="209"/>
      <c r="AL674" s="200"/>
      <c r="AM674" s="210"/>
      <c r="AN674" s="210"/>
    </row>
    <row r="675" spans="1:40" x14ac:dyDescent="0.25">
      <c r="A675" s="202"/>
      <c r="C675" s="154"/>
      <c r="T675" s="154"/>
      <c r="V675" s="200"/>
      <c r="W675" s="200"/>
      <c r="X675" s="200"/>
      <c r="Y675" s="200"/>
      <c r="Z675" s="328"/>
    </row>
    <row r="676" spans="1:40" x14ac:dyDescent="0.25">
      <c r="A676" s="202"/>
      <c r="C676" s="154"/>
      <c r="F676" s="252"/>
      <c r="H676" s="252"/>
      <c r="I676" s="252"/>
      <c r="J676" s="328"/>
      <c r="K676" s="328"/>
      <c r="L676" s="200"/>
      <c r="M676" s="200"/>
      <c r="N676" s="210"/>
      <c r="O676" s="210"/>
      <c r="P676" s="200"/>
      <c r="Q676" s="200"/>
      <c r="R676" s="200"/>
      <c r="T676" s="154"/>
      <c r="V676" s="200"/>
      <c r="W676" s="200"/>
      <c r="X676" s="200"/>
      <c r="Y676" s="200"/>
      <c r="Z676" s="328"/>
      <c r="AA676" s="200"/>
      <c r="AB676" s="200"/>
      <c r="AC676" s="210"/>
      <c r="AD676" s="210"/>
      <c r="AE676" s="200"/>
      <c r="AF676" s="200"/>
      <c r="AG676" s="209"/>
      <c r="AH676" s="201"/>
      <c r="AI676" s="200"/>
      <c r="AJ676" s="200"/>
      <c r="AK676" s="209"/>
      <c r="AL676" s="200"/>
      <c r="AM676" s="210"/>
      <c r="AN676" s="210"/>
    </row>
    <row r="677" spans="1:40" x14ac:dyDescent="0.25">
      <c r="F677" s="211"/>
      <c r="H677" s="211"/>
      <c r="I677" s="211"/>
      <c r="J677" s="305"/>
      <c r="K677" s="305"/>
      <c r="L677" s="211"/>
      <c r="M677" s="211"/>
      <c r="N677" s="211"/>
      <c r="O677" s="211"/>
      <c r="P677" s="211"/>
      <c r="Q677" s="211"/>
      <c r="R677" s="211"/>
      <c r="V677" s="211"/>
      <c r="Y677" s="211"/>
      <c r="Z677" s="305"/>
      <c r="AA677" s="211"/>
      <c r="AB677" s="211"/>
      <c r="AC677" s="211"/>
      <c r="AD677" s="211"/>
      <c r="AE677" s="211"/>
      <c r="AF677" s="211"/>
      <c r="AI677" s="211"/>
      <c r="AJ677" s="211"/>
      <c r="AK677" s="212"/>
      <c r="AL677" s="211"/>
    </row>
    <row r="678" spans="1:40" x14ac:dyDescent="0.25">
      <c r="A678" s="202"/>
      <c r="C678" s="154"/>
      <c r="F678" s="200"/>
      <c r="H678" s="200"/>
      <c r="I678" s="200"/>
      <c r="L678" s="200"/>
      <c r="M678" s="200"/>
      <c r="N678" s="210"/>
      <c r="O678" s="210"/>
      <c r="P678" s="252"/>
      <c r="Q678" s="252"/>
      <c r="R678" s="200"/>
      <c r="T678" s="154"/>
      <c r="V678" s="200"/>
      <c r="W678" s="200"/>
      <c r="X678" s="200"/>
      <c r="Y678" s="200"/>
      <c r="Z678" s="328"/>
      <c r="AA678" s="200"/>
      <c r="AB678" s="200"/>
      <c r="AC678" s="210"/>
      <c r="AD678" s="210"/>
      <c r="AE678" s="200"/>
      <c r="AF678" s="200"/>
      <c r="AG678" s="209"/>
      <c r="AH678" s="201"/>
      <c r="AI678" s="252"/>
      <c r="AJ678" s="252"/>
      <c r="AK678" s="209"/>
      <c r="AL678" s="200"/>
      <c r="AM678" s="210"/>
      <c r="AN678" s="210"/>
    </row>
    <row r="679" spans="1:40" x14ac:dyDescent="0.25">
      <c r="F679" s="211"/>
      <c r="H679" s="211"/>
      <c r="I679" s="211"/>
      <c r="J679" s="305"/>
      <c r="K679" s="305"/>
      <c r="L679" s="211"/>
      <c r="M679" s="211"/>
      <c r="N679" s="211"/>
      <c r="O679" s="211"/>
      <c r="P679" s="211"/>
      <c r="Q679" s="211"/>
      <c r="R679" s="211"/>
      <c r="V679" s="211"/>
      <c r="Y679" s="211"/>
      <c r="Z679" s="305"/>
      <c r="AA679" s="211"/>
      <c r="AB679" s="211"/>
      <c r="AC679" s="211"/>
      <c r="AD679" s="211"/>
      <c r="AE679" s="211"/>
      <c r="AF679" s="211"/>
      <c r="AI679" s="211"/>
      <c r="AJ679" s="211"/>
      <c r="AK679" s="212"/>
      <c r="AL679" s="211"/>
    </row>
    <row r="680" spans="1:40" x14ac:dyDescent="0.25">
      <c r="A680" s="202"/>
      <c r="C680" s="154"/>
      <c r="F680" s="200"/>
      <c r="H680" s="200"/>
      <c r="I680" s="200"/>
      <c r="L680" s="200"/>
      <c r="M680" s="200"/>
      <c r="N680" s="210"/>
      <c r="O680" s="210"/>
      <c r="P680" s="200"/>
      <c r="Q680" s="200"/>
      <c r="R680" s="200"/>
      <c r="T680" s="154"/>
      <c r="V680" s="200"/>
      <c r="W680" s="200"/>
      <c r="X680" s="200"/>
      <c r="Y680" s="200"/>
      <c r="AA680" s="200"/>
      <c r="AB680" s="200"/>
      <c r="AC680" s="210"/>
      <c r="AD680" s="210"/>
      <c r="AE680" s="200"/>
      <c r="AF680" s="200"/>
      <c r="AG680" s="209"/>
      <c r="AH680" s="201"/>
      <c r="AI680" s="200"/>
      <c r="AJ680" s="200"/>
      <c r="AK680" s="209"/>
      <c r="AL680" s="200"/>
      <c r="AM680" s="201"/>
      <c r="AN680" s="201"/>
    </row>
    <row r="681" spans="1:40" x14ac:dyDescent="0.25">
      <c r="F681" s="211"/>
      <c r="H681" s="211"/>
      <c r="I681" s="211"/>
      <c r="J681" s="305"/>
      <c r="K681" s="305"/>
      <c r="L681" s="211"/>
      <c r="M681" s="211"/>
      <c r="N681" s="211"/>
      <c r="O681" s="211"/>
      <c r="P681" s="211"/>
      <c r="Q681" s="211"/>
      <c r="R681" s="211"/>
      <c r="V681" s="211"/>
      <c r="Y681" s="211"/>
      <c r="Z681" s="305"/>
      <c r="AA681" s="211"/>
      <c r="AB681" s="211"/>
      <c r="AC681" s="211"/>
      <c r="AD681" s="211"/>
      <c r="AE681" s="211"/>
      <c r="AF681" s="211"/>
      <c r="AI681" s="211"/>
      <c r="AJ681" s="211"/>
      <c r="AK681" s="212"/>
      <c r="AL681" s="211"/>
    </row>
    <row r="683" spans="1:40" x14ac:dyDescent="0.25">
      <c r="C683" s="202"/>
      <c r="T683" s="202"/>
    </row>
    <row r="684" spans="1:40" x14ac:dyDescent="0.25">
      <c r="A684" s="154"/>
    </row>
    <row r="685" spans="1:40" x14ac:dyDescent="0.25">
      <c r="J685" s="202"/>
      <c r="K685" s="202"/>
      <c r="Z685" s="202"/>
    </row>
    <row r="686" spans="1:40" x14ac:dyDescent="0.25">
      <c r="H686" s="154"/>
      <c r="I686" s="154"/>
      <c r="Y686" s="154"/>
    </row>
    <row r="687" spans="1:40" x14ac:dyDescent="0.25">
      <c r="J687" s="202"/>
      <c r="K687" s="202"/>
      <c r="Z687" s="202"/>
    </row>
    <row r="688" spans="1:40" x14ac:dyDescent="0.25">
      <c r="L688" s="154"/>
      <c r="M688" s="154"/>
      <c r="AA688" s="154"/>
      <c r="AB688" s="154"/>
    </row>
    <row r="689" spans="1:40" x14ac:dyDescent="0.25">
      <c r="A689" s="202"/>
      <c r="R689" s="154"/>
      <c r="AK689" s="297"/>
      <c r="AL689" s="154"/>
    </row>
    <row r="690" spans="1:40" x14ac:dyDescent="0.25">
      <c r="A690" s="202"/>
      <c r="R690" s="154"/>
      <c r="AK690" s="297"/>
      <c r="AL690" s="154"/>
    </row>
    <row r="691" spans="1:40" x14ac:dyDescent="0.25">
      <c r="A691" s="154"/>
      <c r="R691" s="154"/>
      <c r="AK691" s="297"/>
      <c r="AL691" s="154"/>
    </row>
    <row r="692" spans="1:40" x14ac:dyDescent="0.25">
      <c r="L692" s="154"/>
      <c r="M692" s="154"/>
      <c r="R692" s="202"/>
      <c r="AA692" s="154"/>
      <c r="AB692" s="154"/>
      <c r="AK692" s="209"/>
      <c r="AL692" s="202"/>
    </row>
    <row r="693" spans="1:40" x14ac:dyDescent="0.25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208"/>
      <c r="AH693" s="102"/>
      <c r="AI693" s="102"/>
      <c r="AJ693" s="102"/>
      <c r="AK693" s="208"/>
      <c r="AL693" s="102"/>
      <c r="AM693" s="102"/>
      <c r="AN693" s="102"/>
    </row>
    <row r="694" spans="1:40" x14ac:dyDescent="0.25">
      <c r="L694" s="103"/>
      <c r="M694" s="103"/>
      <c r="N694" s="103"/>
      <c r="O694" s="103"/>
      <c r="R694" s="103"/>
      <c r="AA694" s="103"/>
      <c r="AB694" s="103"/>
      <c r="AC694" s="103"/>
      <c r="AD694" s="103"/>
      <c r="AE694" s="103"/>
      <c r="AF694" s="103"/>
      <c r="AG694" s="185"/>
      <c r="AH694" s="103"/>
      <c r="AK694" s="185"/>
      <c r="AL694" s="103"/>
      <c r="AM694" s="103"/>
      <c r="AN694" s="103"/>
    </row>
    <row r="695" spans="1:40" x14ac:dyDescent="0.25">
      <c r="L695" s="103"/>
      <c r="M695" s="103"/>
      <c r="N695" s="103"/>
      <c r="O695" s="103"/>
      <c r="R695" s="103"/>
      <c r="Z695" s="103"/>
      <c r="AA695" s="103"/>
      <c r="AB695" s="103"/>
      <c r="AC695" s="103"/>
      <c r="AD695" s="103"/>
      <c r="AE695" s="103"/>
      <c r="AF695" s="103"/>
      <c r="AG695" s="185"/>
      <c r="AH695" s="103"/>
      <c r="AK695" s="185"/>
      <c r="AL695" s="103"/>
      <c r="AM695" s="103"/>
      <c r="AN695" s="103"/>
    </row>
    <row r="696" spans="1:40" x14ac:dyDescent="0.25">
      <c r="A696" s="103"/>
      <c r="C696" s="103"/>
      <c r="D696" s="103"/>
      <c r="E696" s="103"/>
      <c r="F696" s="103"/>
      <c r="J696" s="103"/>
      <c r="K696" s="103"/>
      <c r="L696" s="103"/>
      <c r="M696" s="103"/>
      <c r="N696" s="103"/>
      <c r="O696" s="103"/>
      <c r="P696" s="103"/>
      <c r="Q696" s="103"/>
      <c r="R696" s="103"/>
      <c r="T696" s="103"/>
      <c r="U696" s="103"/>
      <c r="V696" s="103"/>
      <c r="Z696" s="103"/>
      <c r="AA696" s="103"/>
      <c r="AB696" s="103"/>
      <c r="AC696" s="103"/>
      <c r="AD696" s="103"/>
      <c r="AE696" s="103"/>
      <c r="AF696" s="103"/>
      <c r="AG696" s="185"/>
      <c r="AH696" s="103"/>
      <c r="AI696" s="103"/>
      <c r="AJ696" s="103"/>
      <c r="AK696" s="185"/>
      <c r="AL696" s="103"/>
      <c r="AM696" s="103"/>
      <c r="AN696" s="103"/>
    </row>
    <row r="697" spans="1:40" x14ac:dyDescent="0.25">
      <c r="A697" s="103"/>
      <c r="C697" s="103"/>
      <c r="D697" s="103"/>
      <c r="E697" s="103"/>
      <c r="F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T697" s="103"/>
      <c r="U697" s="103"/>
      <c r="V697" s="103"/>
      <c r="Y697" s="103"/>
      <c r="Z697" s="103"/>
      <c r="AA697" s="103"/>
      <c r="AB697" s="103"/>
      <c r="AC697" s="103"/>
      <c r="AD697" s="103"/>
      <c r="AE697" s="103"/>
      <c r="AF697" s="103"/>
      <c r="AG697" s="185"/>
      <c r="AH697" s="103"/>
      <c r="AI697" s="103"/>
      <c r="AJ697" s="103"/>
      <c r="AK697" s="185"/>
      <c r="AL697" s="103"/>
      <c r="AM697" s="103"/>
      <c r="AN697" s="103"/>
    </row>
    <row r="698" spans="1:40" x14ac:dyDescent="0.25">
      <c r="C698" s="103"/>
      <c r="D698" s="103"/>
      <c r="E698" s="103"/>
      <c r="F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T698" s="103"/>
      <c r="U698" s="103"/>
      <c r="V698" s="103"/>
      <c r="Y698" s="103"/>
      <c r="Z698" s="103"/>
      <c r="AA698" s="103"/>
      <c r="AB698" s="103"/>
      <c r="AC698" s="103"/>
      <c r="AD698" s="103"/>
      <c r="AE698" s="103"/>
      <c r="AF698" s="103"/>
      <c r="AG698" s="185"/>
      <c r="AH698" s="103"/>
      <c r="AI698" s="103"/>
      <c r="AJ698" s="103"/>
      <c r="AK698" s="185"/>
      <c r="AL698" s="103"/>
      <c r="AM698" s="103"/>
      <c r="AN698" s="103"/>
    </row>
    <row r="699" spans="1:40" x14ac:dyDescent="0.25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208"/>
      <c r="AH699" s="102"/>
      <c r="AI699" s="102"/>
      <c r="AJ699" s="102"/>
      <c r="AK699" s="208"/>
      <c r="AL699" s="102"/>
      <c r="AM699" s="102"/>
      <c r="AN699" s="102"/>
    </row>
    <row r="700" spans="1:40" x14ac:dyDescent="0.25"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Y700" s="103"/>
      <c r="Z700" s="103"/>
      <c r="AA700" s="103"/>
      <c r="AB700" s="103"/>
      <c r="AC700" s="103"/>
      <c r="AD700" s="103"/>
      <c r="AE700" s="103"/>
      <c r="AF700" s="103"/>
      <c r="AG700" s="185"/>
      <c r="AH700" s="103"/>
      <c r="AI700" s="103"/>
      <c r="AJ700" s="103"/>
      <c r="AK700" s="185"/>
      <c r="AL700" s="103"/>
      <c r="AM700" s="103"/>
      <c r="AN700" s="103"/>
    </row>
    <row r="701" spans="1:40" x14ac:dyDescent="0.25">
      <c r="A701" s="202"/>
      <c r="C701" s="154"/>
      <c r="D701" s="154"/>
      <c r="E701" s="154"/>
      <c r="F701" s="200"/>
      <c r="H701" s="200"/>
      <c r="I701" s="200"/>
      <c r="J701" s="213"/>
      <c r="K701" s="213"/>
      <c r="L701" s="200"/>
      <c r="M701" s="200"/>
      <c r="N701" s="213"/>
      <c r="O701" s="213"/>
      <c r="P701" s="200"/>
      <c r="Q701" s="200"/>
      <c r="R701" s="200"/>
      <c r="T701" s="154"/>
      <c r="U701" s="154"/>
      <c r="V701" s="200"/>
      <c r="Y701" s="200"/>
      <c r="Z701" s="213"/>
      <c r="AA701" s="200"/>
      <c r="AB701" s="200"/>
      <c r="AC701" s="213"/>
      <c r="AD701" s="213"/>
      <c r="AE701" s="200"/>
      <c r="AF701" s="200"/>
      <c r="AG701" s="209"/>
      <c r="AH701" s="201"/>
      <c r="AI701" s="200"/>
      <c r="AJ701" s="200"/>
      <c r="AK701" s="209"/>
      <c r="AL701" s="200"/>
      <c r="AM701" s="210"/>
      <c r="AN701" s="210"/>
    </row>
    <row r="702" spans="1:40" x14ac:dyDescent="0.25">
      <c r="F702" s="211"/>
      <c r="H702" s="211"/>
      <c r="I702" s="211"/>
      <c r="J702" s="305"/>
      <c r="K702" s="305"/>
      <c r="L702" s="211"/>
      <c r="M702" s="211"/>
      <c r="N702" s="211"/>
      <c r="O702" s="211"/>
      <c r="P702" s="211"/>
      <c r="Q702" s="211"/>
      <c r="R702" s="211"/>
      <c r="V702" s="211"/>
      <c r="Y702" s="211"/>
      <c r="Z702" s="305"/>
      <c r="AA702" s="211"/>
      <c r="AB702" s="211"/>
      <c r="AC702" s="211"/>
      <c r="AD702" s="211"/>
      <c r="AE702" s="211"/>
      <c r="AF702" s="211"/>
      <c r="AI702" s="211"/>
      <c r="AJ702" s="211"/>
      <c r="AK702" s="212"/>
      <c r="AL702" s="211"/>
      <c r="AM702" s="210"/>
      <c r="AN702" s="210"/>
    </row>
    <row r="703" spans="1:40" x14ac:dyDescent="0.25">
      <c r="A703" s="202"/>
      <c r="C703" s="154"/>
      <c r="F703" s="200"/>
      <c r="H703" s="200"/>
      <c r="I703" s="200"/>
      <c r="J703" s="213"/>
      <c r="K703" s="213"/>
      <c r="L703" s="200"/>
      <c r="M703" s="200"/>
      <c r="N703" s="213"/>
      <c r="O703" s="213"/>
      <c r="P703" s="200"/>
      <c r="Q703" s="200"/>
      <c r="R703" s="200"/>
      <c r="T703" s="154"/>
      <c r="V703" s="200"/>
      <c r="Y703" s="200"/>
      <c r="Z703" s="213"/>
      <c r="AA703" s="200"/>
      <c r="AB703" s="200"/>
      <c r="AC703" s="213"/>
      <c r="AD703" s="213"/>
      <c r="AE703" s="200"/>
      <c r="AF703" s="200"/>
      <c r="AG703" s="209"/>
      <c r="AH703" s="201"/>
      <c r="AI703" s="200"/>
      <c r="AJ703" s="200"/>
      <c r="AK703" s="209"/>
      <c r="AL703" s="200"/>
      <c r="AM703" s="210"/>
      <c r="AN703" s="210"/>
    </row>
    <row r="704" spans="1:40" x14ac:dyDescent="0.25">
      <c r="F704" s="200"/>
      <c r="H704" s="200"/>
      <c r="I704" s="200"/>
      <c r="J704" s="213"/>
      <c r="K704" s="213"/>
      <c r="L704" s="200"/>
      <c r="M704" s="200"/>
      <c r="N704" s="213"/>
      <c r="O704" s="213"/>
      <c r="P704" s="200"/>
      <c r="Q704" s="200"/>
      <c r="R704" s="200"/>
      <c r="V704" s="200"/>
      <c r="Y704" s="200"/>
      <c r="Z704" s="213"/>
      <c r="AA704" s="200"/>
      <c r="AB704" s="200"/>
      <c r="AC704" s="213"/>
      <c r="AD704" s="213"/>
      <c r="AG704" s="209"/>
      <c r="AH704" s="201"/>
      <c r="AI704" s="200"/>
      <c r="AJ704" s="200"/>
      <c r="AK704" s="209"/>
      <c r="AL704" s="200"/>
      <c r="AM704" s="210"/>
      <c r="AN704" s="210"/>
    </row>
    <row r="705" spans="1:40" x14ac:dyDescent="0.25">
      <c r="A705" s="202"/>
      <c r="C705" s="154"/>
      <c r="D705" s="154"/>
      <c r="E705" s="154"/>
      <c r="F705" s="200"/>
      <c r="H705" s="200"/>
      <c r="I705" s="200"/>
      <c r="J705" s="213"/>
      <c r="K705" s="213"/>
      <c r="L705" s="200"/>
      <c r="M705" s="200"/>
      <c r="N705" s="213"/>
      <c r="O705" s="213"/>
      <c r="P705" s="200"/>
      <c r="Q705" s="200"/>
      <c r="R705" s="200"/>
      <c r="T705" s="154"/>
      <c r="U705" s="154"/>
      <c r="V705" s="200"/>
      <c r="Y705" s="200"/>
      <c r="Z705" s="213"/>
      <c r="AA705" s="200"/>
      <c r="AB705" s="200"/>
      <c r="AC705" s="213"/>
      <c r="AD705" s="213"/>
      <c r="AE705" s="200"/>
      <c r="AF705" s="200"/>
      <c r="AG705" s="209"/>
      <c r="AH705" s="201"/>
      <c r="AI705" s="200"/>
      <c r="AJ705" s="200"/>
      <c r="AK705" s="209"/>
      <c r="AL705" s="200"/>
      <c r="AM705" s="210"/>
      <c r="AN705" s="210"/>
    </row>
    <row r="706" spans="1:40" x14ac:dyDescent="0.25">
      <c r="A706" s="202"/>
      <c r="C706" s="154"/>
      <c r="D706" s="154"/>
      <c r="E706" s="154"/>
      <c r="F706" s="200"/>
      <c r="H706" s="200"/>
      <c r="I706" s="200"/>
      <c r="J706" s="213"/>
      <c r="K706" s="213"/>
      <c r="L706" s="200"/>
      <c r="M706" s="200"/>
      <c r="N706" s="213"/>
      <c r="O706" s="213"/>
      <c r="P706" s="200"/>
      <c r="Q706" s="200"/>
      <c r="R706" s="200"/>
      <c r="T706" s="154"/>
      <c r="U706" s="154"/>
      <c r="V706" s="200"/>
      <c r="Y706" s="200"/>
      <c r="Z706" s="213"/>
      <c r="AA706" s="200"/>
      <c r="AB706" s="200"/>
      <c r="AC706" s="213"/>
      <c r="AD706" s="213"/>
      <c r="AE706" s="200"/>
      <c r="AF706" s="200"/>
      <c r="AG706" s="209"/>
      <c r="AH706" s="201"/>
      <c r="AI706" s="200"/>
      <c r="AJ706" s="200"/>
      <c r="AK706" s="209"/>
      <c r="AL706" s="200"/>
      <c r="AM706" s="210"/>
      <c r="AN706" s="210"/>
    </row>
    <row r="707" spans="1:40" x14ac:dyDescent="0.25">
      <c r="A707" s="202"/>
      <c r="C707" s="154"/>
      <c r="D707" s="154"/>
      <c r="E707" s="154"/>
      <c r="F707" s="200"/>
      <c r="H707" s="200"/>
      <c r="I707" s="200"/>
      <c r="J707" s="213"/>
      <c r="K707" s="213"/>
      <c r="L707" s="200"/>
      <c r="M707" s="200"/>
      <c r="N707" s="213"/>
      <c r="O707" s="213"/>
      <c r="P707" s="200"/>
      <c r="Q707" s="200"/>
      <c r="R707" s="200"/>
      <c r="T707" s="154"/>
      <c r="U707" s="154"/>
      <c r="V707" s="200"/>
      <c r="Y707" s="200"/>
      <c r="Z707" s="213"/>
      <c r="AA707" s="200"/>
      <c r="AB707" s="200"/>
      <c r="AC707" s="213"/>
      <c r="AD707" s="213"/>
      <c r="AE707" s="200"/>
      <c r="AF707" s="200"/>
      <c r="AG707" s="209"/>
      <c r="AH707" s="201"/>
      <c r="AI707" s="200"/>
      <c r="AJ707" s="200"/>
      <c r="AK707" s="209"/>
      <c r="AL707" s="200"/>
      <c r="AM707" s="210"/>
      <c r="AN707" s="210"/>
    </row>
    <row r="708" spans="1:40" x14ac:dyDescent="0.25">
      <c r="A708" s="202"/>
      <c r="C708" s="154"/>
      <c r="D708" s="154"/>
      <c r="E708" s="154"/>
      <c r="F708" s="200"/>
      <c r="H708" s="200"/>
      <c r="I708" s="200"/>
      <c r="J708" s="213"/>
      <c r="K708" s="213"/>
      <c r="L708" s="200"/>
      <c r="M708" s="200"/>
      <c r="N708" s="213"/>
      <c r="O708" s="213"/>
      <c r="P708" s="200"/>
      <c r="Q708" s="200"/>
      <c r="R708" s="200"/>
      <c r="T708" s="154"/>
      <c r="U708" s="154"/>
      <c r="V708" s="200"/>
      <c r="Y708" s="200"/>
      <c r="Z708" s="213"/>
      <c r="AA708" s="200"/>
      <c r="AB708" s="200"/>
      <c r="AC708" s="213"/>
      <c r="AD708" s="213"/>
      <c r="AE708" s="200"/>
      <c r="AF708" s="200"/>
      <c r="AG708" s="209"/>
      <c r="AH708" s="201"/>
      <c r="AI708" s="200"/>
      <c r="AJ708" s="200"/>
      <c r="AK708" s="209"/>
      <c r="AL708" s="200"/>
      <c r="AM708" s="210"/>
      <c r="AN708" s="210"/>
    </row>
    <row r="709" spans="1:40" x14ac:dyDescent="0.25">
      <c r="A709" s="202"/>
      <c r="C709" s="154"/>
      <c r="D709" s="154"/>
      <c r="E709" s="154"/>
      <c r="F709" s="200"/>
      <c r="H709" s="200"/>
      <c r="I709" s="200"/>
      <c r="J709" s="213"/>
      <c r="K709" s="213"/>
      <c r="L709" s="200"/>
      <c r="M709" s="200"/>
      <c r="N709" s="213"/>
      <c r="O709" s="213"/>
      <c r="P709" s="200"/>
      <c r="Q709" s="200"/>
      <c r="R709" s="200"/>
      <c r="T709" s="154"/>
      <c r="U709" s="154"/>
      <c r="V709" s="200"/>
      <c r="Y709" s="200"/>
      <c r="Z709" s="213"/>
      <c r="AA709" s="200"/>
      <c r="AB709" s="200"/>
      <c r="AC709" s="213"/>
      <c r="AD709" s="213"/>
      <c r="AE709" s="200"/>
      <c r="AF709" s="200"/>
      <c r="AG709" s="209"/>
      <c r="AH709" s="201"/>
      <c r="AI709" s="200"/>
      <c r="AJ709" s="200"/>
      <c r="AK709" s="209"/>
      <c r="AL709" s="200"/>
      <c r="AM709" s="210"/>
      <c r="AN709" s="210"/>
    </row>
    <row r="710" spans="1:40" x14ac:dyDescent="0.25">
      <c r="A710" s="202"/>
      <c r="C710" s="154"/>
      <c r="D710" s="154"/>
      <c r="E710" s="154"/>
      <c r="F710" s="200"/>
      <c r="H710" s="200"/>
      <c r="I710" s="200"/>
      <c r="J710" s="213"/>
      <c r="K710" s="213"/>
      <c r="L710" s="200"/>
      <c r="M710" s="200"/>
      <c r="N710" s="213"/>
      <c r="O710" s="213"/>
      <c r="P710" s="200"/>
      <c r="Q710" s="200"/>
      <c r="R710" s="200"/>
      <c r="T710" s="154"/>
      <c r="U710" s="154"/>
      <c r="V710" s="200"/>
      <c r="Y710" s="200"/>
      <c r="Z710" s="213"/>
      <c r="AA710" s="200"/>
      <c r="AB710" s="200"/>
      <c r="AC710" s="213"/>
      <c r="AD710" s="213"/>
      <c r="AE710" s="200"/>
      <c r="AF710" s="200"/>
      <c r="AG710" s="209"/>
      <c r="AH710" s="201"/>
      <c r="AI710" s="200"/>
      <c r="AJ710" s="200"/>
      <c r="AK710" s="209"/>
      <c r="AL710" s="200"/>
      <c r="AM710" s="210"/>
      <c r="AN710" s="210"/>
    </row>
    <row r="711" spans="1:40" x14ac:dyDescent="0.25">
      <c r="F711" s="211"/>
      <c r="H711" s="211"/>
      <c r="I711" s="211"/>
      <c r="J711" s="305"/>
      <c r="K711" s="305"/>
      <c r="L711" s="211"/>
      <c r="M711" s="211"/>
      <c r="N711" s="211"/>
      <c r="O711" s="211"/>
      <c r="P711" s="211"/>
      <c r="Q711" s="211"/>
      <c r="R711" s="211"/>
      <c r="V711" s="211"/>
      <c r="Y711" s="211"/>
      <c r="Z711" s="305"/>
      <c r="AA711" s="211"/>
      <c r="AB711" s="211"/>
      <c r="AC711" s="211"/>
      <c r="AD711" s="211"/>
      <c r="AE711" s="211"/>
      <c r="AF711" s="211"/>
      <c r="AI711" s="211"/>
      <c r="AJ711" s="211"/>
      <c r="AK711" s="212"/>
      <c r="AL711" s="211"/>
      <c r="AM711" s="210"/>
      <c r="AN711" s="210"/>
    </row>
    <row r="712" spans="1:40" x14ac:dyDescent="0.25">
      <c r="A712" s="202"/>
      <c r="C712" s="154"/>
      <c r="F712" s="200"/>
      <c r="H712" s="200"/>
      <c r="I712" s="200"/>
      <c r="J712" s="213"/>
      <c r="K712" s="213"/>
      <c r="L712" s="200"/>
      <c r="M712" s="200"/>
      <c r="N712" s="213"/>
      <c r="O712" s="213"/>
      <c r="P712" s="200"/>
      <c r="Q712" s="200"/>
      <c r="R712" s="200"/>
      <c r="T712" s="154"/>
      <c r="V712" s="200"/>
      <c r="Y712" s="200"/>
      <c r="Z712" s="213"/>
      <c r="AA712" s="200"/>
      <c r="AB712" s="200"/>
      <c r="AC712" s="213"/>
      <c r="AD712" s="213"/>
      <c r="AE712" s="200"/>
      <c r="AF712" s="200"/>
      <c r="AG712" s="209"/>
      <c r="AH712" s="201"/>
      <c r="AI712" s="200"/>
      <c r="AJ712" s="200"/>
      <c r="AK712" s="209"/>
      <c r="AL712" s="200"/>
      <c r="AM712" s="210"/>
      <c r="AN712" s="210"/>
    </row>
    <row r="713" spans="1:40" x14ac:dyDescent="0.25">
      <c r="F713" s="200"/>
      <c r="H713" s="200"/>
      <c r="I713" s="200"/>
      <c r="J713" s="213"/>
      <c r="K713" s="213"/>
      <c r="L713" s="200"/>
      <c r="M713" s="200"/>
      <c r="N713" s="213"/>
      <c r="O713" s="213"/>
      <c r="P713" s="200"/>
      <c r="Q713" s="200"/>
      <c r="R713" s="200"/>
      <c r="V713" s="200"/>
      <c r="Y713" s="200"/>
      <c r="Z713" s="213"/>
      <c r="AA713" s="200"/>
      <c r="AB713" s="200"/>
      <c r="AC713" s="213"/>
      <c r="AD713" s="213"/>
      <c r="AG713" s="209"/>
      <c r="AH713" s="201"/>
      <c r="AI713" s="200"/>
      <c r="AJ713" s="200"/>
      <c r="AK713" s="209"/>
      <c r="AL713" s="200"/>
      <c r="AM713" s="210"/>
      <c r="AN713" s="210"/>
    </row>
    <row r="714" spans="1:40" x14ac:dyDescent="0.25">
      <c r="A714" s="202"/>
      <c r="C714" s="154"/>
      <c r="D714" s="154"/>
      <c r="E714" s="154"/>
      <c r="F714" s="200"/>
      <c r="H714" s="200"/>
      <c r="I714" s="200"/>
      <c r="J714" s="213"/>
      <c r="K714" s="213"/>
      <c r="L714" s="200"/>
      <c r="M714" s="200"/>
      <c r="N714" s="213"/>
      <c r="O714" s="213"/>
      <c r="P714" s="200"/>
      <c r="Q714" s="200"/>
      <c r="R714" s="200"/>
      <c r="T714" s="154"/>
      <c r="U714" s="154"/>
      <c r="V714" s="200"/>
      <c r="Y714" s="200"/>
      <c r="Z714" s="213"/>
      <c r="AA714" s="200"/>
      <c r="AB714" s="200"/>
      <c r="AC714" s="213"/>
      <c r="AD714" s="213"/>
      <c r="AE714" s="200"/>
      <c r="AF714" s="200"/>
      <c r="AG714" s="209"/>
      <c r="AH714" s="201"/>
      <c r="AI714" s="200"/>
      <c r="AJ714" s="200"/>
      <c r="AK714" s="209"/>
      <c r="AL714" s="200"/>
      <c r="AM714" s="210"/>
      <c r="AN714" s="210"/>
    </row>
    <row r="715" spans="1:40" x14ac:dyDescent="0.25">
      <c r="F715" s="211"/>
      <c r="H715" s="211"/>
      <c r="I715" s="211"/>
      <c r="J715" s="305"/>
      <c r="K715" s="305"/>
      <c r="L715" s="211"/>
      <c r="M715" s="211"/>
      <c r="N715" s="211"/>
      <c r="O715" s="211"/>
      <c r="P715" s="211"/>
      <c r="Q715" s="211"/>
      <c r="R715" s="211"/>
      <c r="V715" s="211"/>
      <c r="Y715" s="211"/>
      <c r="Z715" s="305"/>
      <c r="AA715" s="211"/>
      <c r="AB715" s="211"/>
      <c r="AC715" s="211"/>
      <c r="AD715" s="211"/>
      <c r="AE715" s="211"/>
      <c r="AF715" s="211"/>
      <c r="AI715" s="211"/>
      <c r="AJ715" s="211"/>
      <c r="AK715" s="212"/>
      <c r="AL715" s="211"/>
      <c r="AM715" s="210"/>
      <c r="AN715" s="210"/>
    </row>
    <row r="716" spans="1:40" x14ac:dyDescent="0.25">
      <c r="A716" s="202"/>
      <c r="C716" s="154"/>
      <c r="F716" s="200"/>
      <c r="H716" s="200"/>
      <c r="I716" s="200"/>
      <c r="J716" s="213"/>
      <c r="K716" s="213"/>
      <c r="L716" s="200"/>
      <c r="M716" s="200"/>
      <c r="N716" s="213"/>
      <c r="O716" s="213"/>
      <c r="P716" s="200"/>
      <c r="Q716" s="200"/>
      <c r="R716" s="200"/>
      <c r="T716" s="154"/>
      <c r="V716" s="200"/>
      <c r="Y716" s="200"/>
      <c r="Z716" s="213"/>
      <c r="AA716" s="200"/>
      <c r="AB716" s="200"/>
      <c r="AC716" s="213"/>
      <c r="AD716" s="213"/>
      <c r="AE716" s="200"/>
      <c r="AF716" s="200"/>
      <c r="AG716" s="209"/>
      <c r="AH716" s="201"/>
      <c r="AI716" s="200"/>
      <c r="AJ716" s="200"/>
      <c r="AK716" s="209"/>
      <c r="AL716" s="200"/>
      <c r="AM716" s="210"/>
      <c r="AN716" s="210"/>
    </row>
    <row r="717" spans="1:40" x14ac:dyDescent="0.25">
      <c r="F717" s="200"/>
      <c r="H717" s="200"/>
      <c r="I717" s="200"/>
      <c r="J717" s="213"/>
      <c r="K717" s="213"/>
      <c r="L717" s="200"/>
      <c r="M717" s="200"/>
      <c r="N717" s="213"/>
      <c r="O717" s="213"/>
      <c r="P717" s="200"/>
      <c r="Q717" s="200"/>
      <c r="R717" s="200"/>
      <c r="V717" s="200"/>
      <c r="Y717" s="200"/>
      <c r="Z717" s="213"/>
      <c r="AA717" s="200"/>
      <c r="AB717" s="200"/>
      <c r="AC717" s="213"/>
      <c r="AD717" s="213"/>
      <c r="AG717" s="209"/>
      <c r="AH717" s="201"/>
      <c r="AI717" s="200"/>
      <c r="AJ717" s="200"/>
      <c r="AK717" s="209"/>
      <c r="AL717" s="200"/>
      <c r="AM717" s="210"/>
      <c r="AN717" s="210"/>
    </row>
    <row r="718" spans="1:40" x14ac:dyDescent="0.25">
      <c r="A718" s="202"/>
      <c r="C718" s="154"/>
      <c r="D718" s="154"/>
      <c r="E718" s="154"/>
      <c r="F718" s="200"/>
      <c r="H718" s="200"/>
      <c r="I718" s="200"/>
      <c r="J718" s="213"/>
      <c r="K718" s="213"/>
      <c r="L718" s="200"/>
      <c r="M718" s="200"/>
      <c r="N718" s="213"/>
      <c r="O718" s="213"/>
      <c r="P718" s="200"/>
      <c r="Q718" s="200"/>
      <c r="R718" s="200"/>
      <c r="T718" s="154"/>
      <c r="U718" s="154"/>
      <c r="V718" s="200"/>
      <c r="Y718" s="200"/>
      <c r="Z718" s="213"/>
      <c r="AA718" s="200"/>
      <c r="AB718" s="200"/>
      <c r="AC718" s="213"/>
      <c r="AD718" s="213"/>
      <c r="AE718" s="200"/>
      <c r="AF718" s="200"/>
      <c r="AG718" s="209"/>
      <c r="AH718" s="201"/>
      <c r="AI718" s="200"/>
      <c r="AJ718" s="200"/>
      <c r="AK718" s="209"/>
      <c r="AL718" s="200"/>
      <c r="AM718" s="210"/>
      <c r="AN718" s="210"/>
    </row>
    <row r="719" spans="1:40" x14ac:dyDescent="0.25">
      <c r="A719" s="202"/>
      <c r="C719" s="154"/>
      <c r="D719" s="154"/>
      <c r="E719" s="154"/>
      <c r="F719" s="200"/>
      <c r="G719" s="200"/>
      <c r="H719" s="200"/>
      <c r="I719" s="200"/>
      <c r="J719" s="213"/>
      <c r="K719" s="213"/>
      <c r="L719" s="200"/>
      <c r="M719" s="200"/>
      <c r="N719" s="213"/>
      <c r="O719" s="213"/>
      <c r="P719" s="200"/>
      <c r="Q719" s="200"/>
      <c r="R719" s="200"/>
      <c r="T719" s="154"/>
      <c r="U719" s="154"/>
      <c r="V719" s="200"/>
      <c r="W719" s="200"/>
      <c r="X719" s="200"/>
      <c r="Y719" s="200"/>
      <c r="Z719" s="213"/>
      <c r="AA719" s="200"/>
      <c r="AB719" s="200"/>
      <c r="AC719" s="213"/>
      <c r="AD719" s="213"/>
      <c r="AE719" s="200"/>
      <c r="AF719" s="200"/>
      <c r="AG719" s="209"/>
      <c r="AH719" s="201"/>
      <c r="AI719" s="200"/>
      <c r="AJ719" s="200"/>
      <c r="AK719" s="209"/>
      <c r="AL719" s="200"/>
      <c r="AM719" s="210"/>
      <c r="AN719" s="210"/>
    </row>
    <row r="720" spans="1:40" x14ac:dyDescent="0.25">
      <c r="A720" s="202"/>
      <c r="C720" s="154"/>
      <c r="D720" s="154"/>
      <c r="E720" s="154"/>
      <c r="F720" s="200"/>
      <c r="G720" s="200"/>
      <c r="H720" s="200"/>
      <c r="I720" s="200"/>
      <c r="J720" s="213"/>
      <c r="K720" s="213"/>
      <c r="L720" s="200"/>
      <c r="M720" s="200"/>
      <c r="N720" s="213"/>
      <c r="O720" s="213"/>
      <c r="P720" s="200"/>
      <c r="Q720" s="200"/>
      <c r="R720" s="200"/>
      <c r="T720" s="154"/>
      <c r="U720" s="154"/>
      <c r="V720" s="200"/>
      <c r="W720" s="200"/>
      <c r="X720" s="200"/>
      <c r="Y720" s="200"/>
      <c r="Z720" s="213"/>
      <c r="AA720" s="200"/>
      <c r="AB720" s="200"/>
      <c r="AC720" s="213"/>
      <c r="AD720" s="213"/>
      <c r="AE720" s="200"/>
      <c r="AF720" s="200"/>
      <c r="AG720" s="209"/>
      <c r="AH720" s="201"/>
      <c r="AI720" s="200"/>
      <c r="AJ720" s="200"/>
      <c r="AK720" s="209"/>
      <c r="AL720" s="200"/>
      <c r="AM720" s="210"/>
      <c r="AN720" s="210"/>
    </row>
    <row r="721" spans="1:40" x14ac:dyDescent="0.25">
      <c r="A721" s="202"/>
      <c r="C721" s="154"/>
      <c r="D721" s="154"/>
      <c r="E721" s="154"/>
      <c r="F721" s="200"/>
      <c r="H721" s="200"/>
      <c r="I721" s="200"/>
      <c r="J721" s="213"/>
      <c r="K721" s="213"/>
      <c r="L721" s="200"/>
      <c r="M721" s="200"/>
      <c r="N721" s="213"/>
      <c r="O721" s="213"/>
      <c r="P721" s="200"/>
      <c r="Q721" s="200"/>
      <c r="R721" s="200"/>
      <c r="T721" s="154"/>
      <c r="U721" s="154"/>
      <c r="V721" s="200"/>
      <c r="Y721" s="200"/>
      <c r="Z721" s="213"/>
      <c r="AA721" s="200"/>
      <c r="AB721" s="200"/>
      <c r="AC721" s="213"/>
      <c r="AD721" s="213"/>
      <c r="AE721" s="200"/>
      <c r="AF721" s="200"/>
      <c r="AG721" s="209"/>
      <c r="AH721" s="201"/>
      <c r="AI721" s="200"/>
      <c r="AJ721" s="200"/>
      <c r="AK721" s="209"/>
      <c r="AL721" s="200"/>
      <c r="AM721" s="210"/>
      <c r="AN721" s="210"/>
    </row>
    <row r="722" spans="1:40" x14ac:dyDescent="0.25">
      <c r="A722" s="202"/>
      <c r="C722" s="154"/>
      <c r="D722" s="154"/>
      <c r="E722" s="154"/>
      <c r="F722" s="200"/>
      <c r="H722" s="200"/>
      <c r="I722" s="200"/>
      <c r="J722" s="213"/>
      <c r="K722" s="213"/>
      <c r="L722" s="200"/>
      <c r="M722" s="200"/>
      <c r="N722" s="213"/>
      <c r="O722" s="213"/>
      <c r="P722" s="200"/>
      <c r="Q722" s="200"/>
      <c r="R722" s="200"/>
      <c r="T722" s="154"/>
      <c r="U722" s="154"/>
      <c r="V722" s="200"/>
      <c r="Y722" s="200"/>
      <c r="Z722" s="213"/>
      <c r="AA722" s="200"/>
      <c r="AB722" s="200"/>
      <c r="AC722" s="213"/>
      <c r="AD722" s="213"/>
      <c r="AE722" s="200"/>
      <c r="AF722" s="200"/>
      <c r="AG722" s="209"/>
      <c r="AH722" s="201"/>
      <c r="AI722" s="200"/>
      <c r="AJ722" s="200"/>
      <c r="AK722" s="209"/>
      <c r="AL722" s="200"/>
      <c r="AM722" s="210"/>
      <c r="AN722" s="210"/>
    </row>
    <row r="723" spans="1:40" x14ac:dyDescent="0.25">
      <c r="A723" s="202"/>
      <c r="C723" s="154"/>
      <c r="D723" s="154"/>
      <c r="E723" s="154"/>
      <c r="F723" s="200"/>
      <c r="H723" s="200"/>
      <c r="I723" s="200"/>
      <c r="J723" s="213"/>
      <c r="K723" s="213"/>
      <c r="L723" s="200"/>
      <c r="M723" s="200"/>
      <c r="N723" s="213"/>
      <c r="O723" s="213"/>
      <c r="P723" s="200"/>
      <c r="Q723" s="200"/>
      <c r="R723" s="200"/>
      <c r="T723" s="154"/>
      <c r="U723" s="154"/>
      <c r="V723" s="200"/>
      <c r="Y723" s="200"/>
      <c r="Z723" s="213"/>
      <c r="AA723" s="200"/>
      <c r="AB723" s="200"/>
      <c r="AC723" s="213"/>
      <c r="AD723" s="213"/>
      <c r="AE723" s="200"/>
      <c r="AF723" s="200"/>
      <c r="AG723" s="209"/>
      <c r="AH723" s="201"/>
      <c r="AI723" s="200"/>
      <c r="AJ723" s="200"/>
      <c r="AK723" s="209"/>
      <c r="AL723" s="200"/>
      <c r="AM723" s="210"/>
      <c r="AN723" s="210"/>
    </row>
    <row r="724" spans="1:40" x14ac:dyDescent="0.25">
      <c r="A724" s="202"/>
      <c r="C724" s="154"/>
      <c r="D724" s="154"/>
      <c r="E724" s="154"/>
      <c r="F724" s="200"/>
      <c r="H724" s="200"/>
      <c r="I724" s="200"/>
      <c r="J724" s="213"/>
      <c r="K724" s="213"/>
      <c r="L724" s="200"/>
      <c r="M724" s="200"/>
      <c r="N724" s="213"/>
      <c r="O724" s="213"/>
      <c r="P724" s="200"/>
      <c r="Q724" s="200"/>
      <c r="R724" s="200"/>
      <c r="T724" s="154"/>
      <c r="U724" s="154"/>
      <c r="V724" s="200"/>
      <c r="Y724" s="200"/>
      <c r="Z724" s="213"/>
      <c r="AA724" s="200"/>
      <c r="AB724" s="200"/>
      <c r="AC724" s="213"/>
      <c r="AD724" s="213"/>
      <c r="AE724" s="200"/>
      <c r="AF724" s="200"/>
      <c r="AG724" s="209"/>
      <c r="AH724" s="201"/>
      <c r="AI724" s="200"/>
      <c r="AJ724" s="200"/>
      <c r="AK724" s="209"/>
      <c r="AL724" s="200"/>
      <c r="AM724" s="210"/>
      <c r="AN724" s="210"/>
    </row>
    <row r="725" spans="1:40" x14ac:dyDescent="0.25">
      <c r="F725" s="211"/>
      <c r="H725" s="211"/>
      <c r="I725" s="211"/>
      <c r="J725" s="305"/>
      <c r="K725" s="305"/>
      <c r="L725" s="211"/>
      <c r="M725" s="211"/>
      <c r="N725" s="211"/>
      <c r="O725" s="211"/>
      <c r="P725" s="211"/>
      <c r="Q725" s="211"/>
      <c r="R725" s="211"/>
      <c r="V725" s="211"/>
      <c r="Y725" s="211"/>
      <c r="Z725" s="305"/>
      <c r="AA725" s="211"/>
      <c r="AB725" s="211"/>
      <c r="AC725" s="211"/>
      <c r="AD725" s="211"/>
      <c r="AE725" s="211"/>
      <c r="AF725" s="211"/>
      <c r="AI725" s="211"/>
      <c r="AJ725" s="211"/>
      <c r="AK725" s="212"/>
      <c r="AL725" s="211"/>
      <c r="AM725" s="210"/>
      <c r="AN725" s="210"/>
    </row>
    <row r="726" spans="1:40" x14ac:dyDescent="0.25">
      <c r="A726" s="202"/>
      <c r="C726" s="154"/>
      <c r="F726" s="200"/>
      <c r="H726" s="200"/>
      <c r="I726" s="200"/>
      <c r="J726" s="213"/>
      <c r="K726" s="213"/>
      <c r="L726" s="200"/>
      <c r="M726" s="200"/>
      <c r="N726" s="213"/>
      <c r="O726" s="213"/>
      <c r="P726" s="200"/>
      <c r="Q726" s="200"/>
      <c r="R726" s="200"/>
      <c r="T726" s="154"/>
      <c r="V726" s="200"/>
      <c r="Y726" s="200"/>
      <c r="Z726" s="213"/>
      <c r="AA726" s="200"/>
      <c r="AB726" s="200"/>
      <c r="AC726" s="213"/>
      <c r="AD726" s="213"/>
      <c r="AE726" s="200"/>
      <c r="AF726" s="200"/>
      <c r="AG726" s="209"/>
      <c r="AH726" s="201"/>
      <c r="AI726" s="200"/>
      <c r="AJ726" s="200"/>
      <c r="AK726" s="209"/>
      <c r="AL726" s="200"/>
      <c r="AM726" s="210"/>
      <c r="AN726" s="210"/>
    </row>
    <row r="727" spans="1:40" x14ac:dyDescent="0.25">
      <c r="V727" s="200"/>
      <c r="Y727" s="200"/>
      <c r="Z727" s="305"/>
      <c r="AA727" s="200"/>
      <c r="AB727" s="200"/>
      <c r="AC727" s="200"/>
      <c r="AD727" s="200"/>
      <c r="AE727" s="200"/>
      <c r="AF727" s="200"/>
      <c r="AI727" s="200"/>
      <c r="AJ727" s="200"/>
      <c r="AK727" s="209"/>
      <c r="AL727" s="200"/>
      <c r="AM727" s="210"/>
      <c r="AN727" s="210"/>
    </row>
    <row r="728" spans="1:40" x14ac:dyDescent="0.25">
      <c r="A728" s="202"/>
      <c r="C728" s="154"/>
      <c r="D728" s="154"/>
      <c r="E728" s="154"/>
      <c r="L728" s="200"/>
      <c r="M728" s="200"/>
      <c r="N728" s="213"/>
      <c r="O728" s="213"/>
      <c r="P728" s="202"/>
      <c r="Q728" s="202"/>
      <c r="R728" s="200"/>
      <c r="T728" s="154"/>
      <c r="U728" s="154"/>
      <c r="AA728" s="200"/>
      <c r="AB728" s="200"/>
      <c r="AC728" s="213"/>
      <c r="AD728" s="213"/>
      <c r="AE728" s="200"/>
      <c r="AF728" s="200"/>
      <c r="AG728" s="209"/>
      <c r="AH728" s="201"/>
      <c r="AI728" s="202"/>
      <c r="AJ728" s="202"/>
      <c r="AK728" s="209"/>
      <c r="AL728" s="200"/>
      <c r="AM728" s="210"/>
      <c r="AN728" s="210"/>
    </row>
    <row r="729" spans="1:40" x14ac:dyDescent="0.25">
      <c r="A729" s="202"/>
      <c r="D729" s="154"/>
      <c r="E729" s="154"/>
      <c r="F729" s="252"/>
      <c r="H729" s="252"/>
      <c r="I729" s="252"/>
      <c r="J729" s="213"/>
      <c r="K729" s="213"/>
      <c r="L729" s="200"/>
      <c r="M729" s="200"/>
      <c r="N729" s="213"/>
      <c r="O729" s="213"/>
      <c r="P729" s="252"/>
      <c r="Q729" s="252"/>
      <c r="R729" s="200"/>
      <c r="U729" s="154"/>
      <c r="V729" s="200"/>
      <c r="Y729" s="200"/>
      <c r="Z729" s="213"/>
      <c r="AA729" s="200"/>
      <c r="AB729" s="200"/>
      <c r="AC729" s="213"/>
      <c r="AD729" s="213"/>
      <c r="AE729" s="200"/>
      <c r="AF729" s="200"/>
      <c r="AG729" s="209"/>
      <c r="AH729" s="201"/>
      <c r="AI729" s="200"/>
      <c r="AJ729" s="200"/>
      <c r="AK729" s="209"/>
      <c r="AL729" s="200"/>
      <c r="AM729" s="210"/>
      <c r="AN729" s="210"/>
    </row>
    <row r="730" spans="1:40" x14ac:dyDescent="0.25">
      <c r="F730" s="211"/>
      <c r="H730" s="211"/>
      <c r="I730" s="211"/>
      <c r="J730" s="305"/>
      <c r="K730" s="305"/>
      <c r="L730" s="211"/>
      <c r="M730" s="211"/>
      <c r="N730" s="211"/>
      <c r="O730" s="211"/>
      <c r="P730" s="211"/>
      <c r="Q730" s="211"/>
      <c r="R730" s="211"/>
      <c r="V730" s="211"/>
      <c r="Y730" s="211"/>
      <c r="Z730" s="305"/>
      <c r="AA730" s="211"/>
      <c r="AB730" s="211"/>
      <c r="AC730" s="211"/>
      <c r="AD730" s="211"/>
      <c r="AE730" s="211"/>
      <c r="AF730" s="211"/>
      <c r="AI730" s="211"/>
      <c r="AJ730" s="211"/>
      <c r="AK730" s="212"/>
      <c r="AL730" s="211"/>
      <c r="AM730" s="210"/>
      <c r="AN730" s="210"/>
    </row>
    <row r="731" spans="1:40" x14ac:dyDescent="0.25">
      <c r="A731" s="202"/>
      <c r="C731" s="154"/>
      <c r="F731" s="200"/>
      <c r="H731" s="200"/>
      <c r="I731" s="200"/>
      <c r="J731" s="213"/>
      <c r="K731" s="213"/>
      <c r="L731" s="200"/>
      <c r="M731" s="200"/>
      <c r="N731" s="213"/>
      <c r="O731" s="213"/>
      <c r="P731" s="200"/>
      <c r="Q731" s="200"/>
      <c r="R731" s="200"/>
      <c r="T731" s="154"/>
      <c r="V731" s="200"/>
      <c r="Y731" s="200"/>
      <c r="Z731" s="213"/>
      <c r="AA731" s="200"/>
      <c r="AB731" s="200"/>
      <c r="AC731" s="213"/>
      <c r="AD731" s="213"/>
      <c r="AE731" s="200"/>
      <c r="AF731" s="200"/>
      <c r="AG731" s="209"/>
      <c r="AH731" s="201"/>
      <c r="AI731" s="200"/>
      <c r="AJ731" s="200"/>
      <c r="AK731" s="209"/>
      <c r="AL731" s="200"/>
      <c r="AM731" s="210"/>
      <c r="AN731" s="210"/>
    </row>
    <row r="732" spans="1:40" x14ac:dyDescent="0.25">
      <c r="F732" s="200"/>
      <c r="H732" s="200"/>
      <c r="I732" s="200"/>
      <c r="J732" s="213"/>
      <c r="K732" s="213"/>
      <c r="L732" s="200"/>
      <c r="M732" s="200"/>
      <c r="N732" s="213"/>
      <c r="O732" s="213"/>
      <c r="P732" s="200"/>
      <c r="Q732" s="200"/>
      <c r="R732" s="200"/>
      <c r="V732" s="200"/>
      <c r="Y732" s="200"/>
      <c r="Z732" s="213"/>
      <c r="AA732" s="200"/>
      <c r="AB732" s="200"/>
      <c r="AC732" s="213"/>
      <c r="AD732" s="213"/>
      <c r="AG732" s="209"/>
      <c r="AH732" s="201"/>
      <c r="AI732" s="200"/>
      <c r="AJ732" s="200"/>
      <c r="AK732" s="209"/>
      <c r="AL732" s="200"/>
      <c r="AM732" s="210"/>
      <c r="AN732" s="210"/>
    </row>
    <row r="733" spans="1:40" x14ac:dyDescent="0.25">
      <c r="A733" s="202"/>
      <c r="D733" s="154"/>
      <c r="E733" s="154"/>
      <c r="F733" s="200"/>
      <c r="H733" s="200"/>
      <c r="I733" s="200"/>
      <c r="J733" s="213"/>
      <c r="K733" s="213"/>
      <c r="L733" s="252"/>
      <c r="M733" s="252"/>
      <c r="N733" s="213"/>
      <c r="O733" s="213"/>
      <c r="P733" s="200"/>
      <c r="Q733" s="200"/>
      <c r="R733" s="200"/>
      <c r="U733" s="154"/>
      <c r="V733" s="200"/>
      <c r="Y733" s="200"/>
      <c r="Z733" s="213"/>
      <c r="AA733" s="252"/>
      <c r="AB733" s="252"/>
      <c r="AC733" s="213"/>
      <c r="AD733" s="213"/>
      <c r="AE733" s="200"/>
      <c r="AF733" s="200"/>
      <c r="AG733" s="209"/>
      <c r="AH733" s="201"/>
      <c r="AI733" s="200"/>
      <c r="AJ733" s="200"/>
      <c r="AK733" s="209"/>
      <c r="AL733" s="200"/>
      <c r="AM733" s="210"/>
      <c r="AN733" s="210"/>
    </row>
    <row r="734" spans="1:40" x14ac:dyDescent="0.25">
      <c r="A734" s="202"/>
      <c r="D734" s="154"/>
      <c r="E734" s="154"/>
      <c r="F734" s="200"/>
      <c r="H734" s="200"/>
      <c r="I734" s="200"/>
      <c r="J734" s="213"/>
      <c r="K734" s="213"/>
      <c r="L734" s="252"/>
      <c r="M734" s="252"/>
      <c r="N734" s="213"/>
      <c r="O734" s="213"/>
      <c r="P734" s="200"/>
      <c r="Q734" s="200"/>
      <c r="R734" s="200"/>
      <c r="U734" s="154"/>
      <c r="V734" s="200"/>
      <c r="Y734" s="200"/>
      <c r="Z734" s="213"/>
      <c r="AA734" s="252"/>
      <c r="AB734" s="252"/>
      <c r="AC734" s="213"/>
      <c r="AD734" s="213"/>
      <c r="AE734" s="200"/>
      <c r="AF734" s="200"/>
      <c r="AG734" s="209"/>
      <c r="AH734" s="201"/>
      <c r="AI734" s="200"/>
      <c r="AJ734" s="200"/>
      <c r="AK734" s="209"/>
      <c r="AL734" s="200"/>
      <c r="AM734" s="210"/>
      <c r="AN734" s="210"/>
    </row>
    <row r="735" spans="1:40" x14ac:dyDescent="0.25">
      <c r="A735" s="202"/>
      <c r="D735" s="154"/>
      <c r="E735" s="154"/>
      <c r="F735" s="200"/>
      <c r="H735" s="200"/>
      <c r="I735" s="200"/>
      <c r="J735" s="213"/>
      <c r="K735" s="213"/>
      <c r="L735" s="252"/>
      <c r="M735" s="252"/>
      <c r="N735" s="213"/>
      <c r="O735" s="213"/>
      <c r="P735" s="200"/>
      <c r="Q735" s="200"/>
      <c r="R735" s="200"/>
      <c r="U735" s="154"/>
      <c r="V735" s="200"/>
      <c r="Y735" s="200"/>
      <c r="Z735" s="213"/>
      <c r="AA735" s="252"/>
      <c r="AB735" s="252"/>
      <c r="AC735" s="213"/>
      <c r="AD735" s="213"/>
      <c r="AE735" s="200"/>
      <c r="AF735" s="200"/>
      <c r="AG735" s="209"/>
      <c r="AH735" s="201"/>
      <c r="AI735" s="200"/>
      <c r="AJ735" s="200"/>
      <c r="AK735" s="209"/>
      <c r="AL735" s="200"/>
      <c r="AM735" s="210"/>
      <c r="AN735" s="210"/>
    </row>
    <row r="736" spans="1:40" x14ac:dyDescent="0.25">
      <c r="F736" s="211"/>
      <c r="H736" s="211"/>
      <c r="I736" s="211"/>
      <c r="J736" s="305"/>
      <c r="K736" s="305"/>
      <c r="L736" s="211"/>
      <c r="M736" s="211"/>
      <c r="N736" s="211"/>
      <c r="O736" s="211"/>
      <c r="P736" s="211"/>
      <c r="Q736" s="211"/>
      <c r="R736" s="211"/>
      <c r="V736" s="211"/>
      <c r="Y736" s="211"/>
      <c r="Z736" s="305"/>
      <c r="AA736" s="211"/>
      <c r="AB736" s="211"/>
      <c r="AC736" s="211"/>
      <c r="AD736" s="211"/>
      <c r="AE736" s="211"/>
      <c r="AF736" s="211"/>
      <c r="AI736" s="211"/>
      <c r="AJ736" s="211"/>
      <c r="AK736" s="212"/>
      <c r="AL736" s="211"/>
      <c r="AM736" s="210"/>
      <c r="AN736" s="210"/>
    </row>
    <row r="737" spans="1:40" x14ac:dyDescent="0.25">
      <c r="A737" s="202"/>
      <c r="C737" s="154"/>
      <c r="F737" s="200"/>
      <c r="H737" s="200"/>
      <c r="I737" s="200"/>
      <c r="J737" s="213"/>
      <c r="K737" s="213"/>
      <c r="L737" s="200"/>
      <c r="M737" s="200"/>
      <c r="N737" s="213"/>
      <c r="O737" s="213"/>
      <c r="P737" s="200"/>
      <c r="Q737" s="200"/>
      <c r="R737" s="200"/>
      <c r="T737" s="154"/>
      <c r="V737" s="200"/>
      <c r="Y737" s="200"/>
      <c r="Z737" s="213"/>
      <c r="AA737" s="200"/>
      <c r="AB737" s="200"/>
      <c r="AC737" s="213"/>
      <c r="AD737" s="213"/>
      <c r="AE737" s="200"/>
      <c r="AF737" s="200"/>
      <c r="AG737" s="209"/>
      <c r="AH737" s="201"/>
      <c r="AI737" s="200"/>
      <c r="AJ737" s="200"/>
      <c r="AK737" s="209"/>
      <c r="AL737" s="200"/>
      <c r="AM737" s="210"/>
      <c r="AN737" s="210"/>
    </row>
    <row r="738" spans="1:40" x14ac:dyDescent="0.25">
      <c r="F738" s="200"/>
      <c r="H738" s="200"/>
      <c r="I738" s="200"/>
      <c r="J738" s="213"/>
      <c r="K738" s="213"/>
      <c r="L738" s="200"/>
      <c r="M738" s="200"/>
      <c r="N738" s="213"/>
      <c r="O738" s="213"/>
      <c r="P738" s="200"/>
      <c r="Q738" s="200"/>
      <c r="R738" s="200"/>
      <c r="V738" s="200"/>
      <c r="Y738" s="200"/>
      <c r="Z738" s="213"/>
      <c r="AA738" s="200"/>
      <c r="AB738" s="200"/>
      <c r="AC738" s="213"/>
      <c r="AD738" s="213"/>
      <c r="AG738" s="209"/>
      <c r="AH738" s="201"/>
      <c r="AI738" s="200"/>
      <c r="AJ738" s="200"/>
      <c r="AK738" s="209"/>
      <c r="AL738" s="200"/>
      <c r="AM738" s="210"/>
      <c r="AN738" s="210"/>
    </row>
    <row r="739" spans="1:40" x14ac:dyDescent="0.25">
      <c r="A739" s="202"/>
      <c r="C739" s="154"/>
      <c r="F739" s="200"/>
      <c r="H739" s="200"/>
      <c r="I739" s="200"/>
      <c r="J739" s="213"/>
      <c r="K739" s="213"/>
      <c r="L739" s="200"/>
      <c r="M739" s="200"/>
      <c r="N739" s="213"/>
      <c r="O739" s="213"/>
      <c r="P739" s="200"/>
      <c r="Q739" s="200"/>
      <c r="R739" s="200"/>
      <c r="T739" s="154"/>
      <c r="V739" s="200"/>
      <c r="Y739" s="200"/>
      <c r="Z739" s="213"/>
      <c r="AA739" s="200"/>
      <c r="AB739" s="200"/>
      <c r="AC739" s="213"/>
      <c r="AD739" s="213"/>
      <c r="AE739" s="200"/>
      <c r="AF739" s="200"/>
      <c r="AG739" s="209"/>
      <c r="AH739" s="201"/>
      <c r="AI739" s="200"/>
      <c r="AJ739" s="200"/>
      <c r="AK739" s="209"/>
      <c r="AL739" s="200"/>
      <c r="AM739" s="210"/>
      <c r="AN739" s="210"/>
    </row>
    <row r="740" spans="1:40" x14ac:dyDescent="0.25">
      <c r="F740" s="211"/>
      <c r="H740" s="211"/>
      <c r="I740" s="211"/>
      <c r="J740" s="305"/>
      <c r="K740" s="305"/>
      <c r="L740" s="211"/>
      <c r="M740" s="211"/>
      <c r="N740" s="211"/>
      <c r="O740" s="211"/>
      <c r="P740" s="211"/>
      <c r="Q740" s="211"/>
      <c r="R740" s="211"/>
      <c r="V740" s="211"/>
      <c r="Y740" s="211"/>
      <c r="Z740" s="305"/>
      <c r="AA740" s="211"/>
      <c r="AB740" s="211"/>
      <c r="AC740" s="211"/>
      <c r="AD740" s="211"/>
      <c r="AE740" s="211"/>
      <c r="AF740" s="211"/>
      <c r="AI740" s="211"/>
      <c r="AJ740" s="211"/>
      <c r="AK740" s="212"/>
      <c r="AL740" s="211"/>
    </row>
    <row r="742" spans="1:40" x14ac:dyDescent="0.25">
      <c r="C742" s="154"/>
      <c r="L742" s="200"/>
      <c r="M742" s="200"/>
      <c r="P742" s="200"/>
      <c r="Q742" s="200"/>
      <c r="R742" s="200"/>
      <c r="T742" s="154"/>
    </row>
    <row r="743" spans="1:40" x14ac:dyDescent="0.25">
      <c r="A743" s="154"/>
      <c r="L743" s="200"/>
      <c r="M743" s="200"/>
      <c r="P743" s="200"/>
      <c r="Q743" s="200"/>
      <c r="R743" s="200"/>
    </row>
    <row r="744" spans="1:40" x14ac:dyDescent="0.25">
      <c r="L744" s="200"/>
      <c r="M744" s="200"/>
      <c r="P744" s="200"/>
      <c r="Q744" s="200"/>
      <c r="R744" s="200"/>
    </row>
    <row r="745" spans="1:40" x14ac:dyDescent="0.25">
      <c r="L745" s="200"/>
      <c r="M745" s="200"/>
      <c r="P745" s="200"/>
      <c r="Q745" s="200"/>
      <c r="R745" s="200"/>
    </row>
    <row r="746" spans="1:40" x14ac:dyDescent="0.25">
      <c r="L746" s="200"/>
      <c r="M746" s="200"/>
      <c r="P746" s="200"/>
      <c r="Q746" s="200"/>
      <c r="R746" s="200"/>
    </row>
    <row r="747" spans="1:40" x14ac:dyDescent="0.25">
      <c r="L747" s="200"/>
      <c r="M747" s="200"/>
      <c r="P747" s="200"/>
      <c r="Q747" s="200"/>
      <c r="R747" s="200"/>
    </row>
    <row r="748" spans="1:40" x14ac:dyDescent="0.25">
      <c r="L748" s="200"/>
      <c r="M748" s="200"/>
      <c r="P748" s="200"/>
      <c r="Q748" s="200"/>
      <c r="R748" s="200"/>
    </row>
    <row r="781" spans="49:49" x14ac:dyDescent="0.25">
      <c r="AW781" s="200"/>
    </row>
    <row r="782" spans="49:49" x14ac:dyDescent="0.25">
      <c r="AW782" s="200"/>
    </row>
    <row r="783" spans="49:49" x14ac:dyDescent="0.25">
      <c r="AW783" s="200"/>
    </row>
    <row r="784" spans="49:49" x14ac:dyDescent="0.25">
      <c r="AW784" s="200"/>
    </row>
    <row r="785" spans="49:49" x14ac:dyDescent="0.25">
      <c r="AW785" s="200"/>
    </row>
    <row r="786" spans="49:49" x14ac:dyDescent="0.25">
      <c r="AW786" s="200"/>
    </row>
    <row r="789" spans="49:49" x14ac:dyDescent="0.25">
      <c r="AW789" s="200"/>
    </row>
    <row r="790" spans="49:49" x14ac:dyDescent="0.25">
      <c r="AW790" s="200"/>
    </row>
    <row r="791" spans="49:49" x14ac:dyDescent="0.25">
      <c r="AW791" s="200"/>
    </row>
    <row r="792" spans="49:49" x14ac:dyDescent="0.25">
      <c r="AW792" s="200"/>
    </row>
    <row r="793" spans="49:49" x14ac:dyDescent="0.25">
      <c r="AW793" s="200"/>
    </row>
    <row r="794" spans="49:49" x14ac:dyDescent="0.25">
      <c r="AW794" s="200"/>
    </row>
    <row r="795" spans="49:49" x14ac:dyDescent="0.25">
      <c r="AW795" s="200"/>
    </row>
    <row r="796" spans="49:49" x14ac:dyDescent="0.25">
      <c r="AW796" s="200"/>
    </row>
    <row r="799" spans="49:49" x14ac:dyDescent="0.25">
      <c r="AW799" s="200"/>
    </row>
    <row r="800" spans="49:49" x14ac:dyDescent="0.25">
      <c r="AW800" s="200"/>
    </row>
    <row r="803" spans="45:56" x14ac:dyDescent="0.25">
      <c r="AW803" s="200"/>
    </row>
    <row r="804" spans="45:56" x14ac:dyDescent="0.25">
      <c r="AW804" s="200"/>
    </row>
    <row r="805" spans="45:56" x14ac:dyDescent="0.25">
      <c r="AW805" s="200"/>
    </row>
    <row r="806" spans="45:56" x14ac:dyDescent="0.25">
      <c r="AW806" s="200"/>
    </row>
    <row r="812" spans="45:56" x14ac:dyDescent="0.25">
      <c r="AY812" s="202"/>
    </row>
    <row r="813" spans="45:56" x14ac:dyDescent="0.25">
      <c r="AY813" s="202"/>
    </row>
    <row r="814" spans="45:56" x14ac:dyDescent="0.25">
      <c r="AY814" s="154"/>
    </row>
    <row r="815" spans="45:56" x14ac:dyDescent="0.25">
      <c r="AY815" s="154"/>
    </row>
    <row r="816" spans="45:56" x14ac:dyDescent="0.25">
      <c r="AS816" s="202"/>
      <c r="BD816" s="154"/>
    </row>
    <row r="817" spans="45:69" x14ac:dyDescent="0.25">
      <c r="AS817" s="202"/>
      <c r="BD817" s="154"/>
    </row>
    <row r="818" spans="45:69" x14ac:dyDescent="0.25">
      <c r="AS818" s="154"/>
      <c r="BD818" s="154"/>
    </row>
    <row r="819" spans="45:69" x14ac:dyDescent="0.25">
      <c r="BD819" s="202"/>
    </row>
    <row r="820" spans="45:69" x14ac:dyDescent="0.25"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</row>
    <row r="821" spans="45:69" x14ac:dyDescent="0.25">
      <c r="AX821" s="154"/>
    </row>
    <row r="822" spans="45:69" x14ac:dyDescent="0.25">
      <c r="AX822" s="102"/>
      <c r="AY822" s="102"/>
      <c r="AZ822" s="102"/>
      <c r="BA822" s="102"/>
      <c r="BC822" s="103"/>
      <c r="BD822" s="103"/>
    </row>
    <row r="823" spans="45:69" x14ac:dyDescent="0.25">
      <c r="AV823" s="103"/>
      <c r="AW823" s="103"/>
      <c r="AZ823" s="103"/>
      <c r="BA823" s="103"/>
      <c r="BC823" s="103"/>
      <c r="BD823" s="103"/>
      <c r="BE823" s="103"/>
      <c r="BG823" s="102"/>
      <c r="BH823" s="154"/>
      <c r="BK823" s="102"/>
      <c r="BM823" s="102"/>
      <c r="BN823" s="154"/>
      <c r="BQ823" s="102"/>
    </row>
    <row r="824" spans="45:69" x14ac:dyDescent="0.25"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H824" s="103"/>
      <c r="BI824" s="103"/>
      <c r="BJ824" s="103"/>
      <c r="BN824" s="103"/>
      <c r="BO824" s="103"/>
      <c r="BP824" s="103"/>
    </row>
    <row r="825" spans="45:69" x14ac:dyDescent="0.25">
      <c r="AS825" s="103"/>
      <c r="AU825" s="154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G825" s="103"/>
      <c r="BH825" s="103"/>
      <c r="BI825" s="103"/>
      <c r="BJ825" s="103"/>
      <c r="BK825" s="103"/>
      <c r="BM825" s="103"/>
      <c r="BN825" s="103"/>
      <c r="BO825" s="103"/>
      <c r="BP825" s="103"/>
      <c r="BQ825" s="103"/>
    </row>
    <row r="826" spans="45:69" x14ac:dyDescent="0.25">
      <c r="AS826" s="103"/>
      <c r="AU826" s="154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G826" s="103"/>
      <c r="BH826" s="103"/>
      <c r="BI826" s="103"/>
      <c r="BJ826" s="103"/>
      <c r="BK826" s="103"/>
      <c r="BM826" s="103"/>
      <c r="BN826" s="103"/>
      <c r="BO826" s="103"/>
      <c r="BP826" s="103"/>
      <c r="BQ826" s="103"/>
    </row>
    <row r="827" spans="45:69" x14ac:dyDescent="0.25"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  <c r="BE827" s="102"/>
      <c r="BG827" s="102"/>
      <c r="BH827" s="102"/>
      <c r="BI827" s="102"/>
      <c r="BJ827" s="102"/>
      <c r="BK827" s="102"/>
      <c r="BM827" s="102"/>
      <c r="BN827" s="102"/>
      <c r="BO827" s="102"/>
      <c r="BP827" s="102"/>
      <c r="BQ827" s="102"/>
    </row>
    <row r="828" spans="45:69" x14ac:dyDescent="0.25"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</row>
    <row r="829" spans="45:69" x14ac:dyDescent="0.25">
      <c r="AS829" s="202"/>
      <c r="AU829" s="154"/>
      <c r="AV829" s="103"/>
      <c r="AY829" s="213"/>
    </row>
    <row r="830" spans="45:69" x14ac:dyDescent="0.25">
      <c r="AS830" s="202"/>
      <c r="AV830" s="103"/>
      <c r="AW830" s="200"/>
      <c r="AX830" s="334"/>
      <c r="AY830" s="334"/>
      <c r="AZ830" s="334"/>
      <c r="BA830" s="210"/>
      <c r="BB830" s="334"/>
      <c r="BC830" s="213"/>
      <c r="BD830" s="213"/>
      <c r="BE830" s="210"/>
      <c r="BG830" s="334"/>
      <c r="BH830" s="334"/>
      <c r="BI830" s="334"/>
      <c r="BJ830" s="334"/>
      <c r="BK830" s="334"/>
      <c r="BM830" s="334"/>
      <c r="BN830" s="334"/>
      <c r="BO830" s="334"/>
      <c r="BP830" s="334"/>
      <c r="BQ830" s="334"/>
    </row>
    <row r="831" spans="45:69" x14ac:dyDescent="0.25">
      <c r="AS831" s="202"/>
      <c r="AV831" s="103"/>
      <c r="AW831" s="200"/>
      <c r="AX831" s="334"/>
      <c r="AY831" s="334"/>
      <c r="AZ831" s="334"/>
      <c r="BA831" s="210"/>
      <c r="BB831" s="334"/>
      <c r="BC831" s="213"/>
      <c r="BD831" s="213"/>
      <c r="BE831" s="210"/>
      <c r="BG831" s="334"/>
      <c r="BH831" s="334"/>
      <c r="BI831" s="334"/>
      <c r="BJ831" s="334"/>
      <c r="BK831" s="334"/>
      <c r="BM831" s="334"/>
      <c r="BN831" s="334"/>
      <c r="BO831" s="334"/>
      <c r="BP831" s="334"/>
      <c r="BQ831" s="334"/>
    </row>
    <row r="832" spans="45:69" x14ac:dyDescent="0.25">
      <c r="AS832" s="202"/>
      <c r="AV832" s="103"/>
      <c r="AW832" s="200"/>
      <c r="AX832" s="334"/>
      <c r="AY832" s="334"/>
      <c r="AZ832" s="334"/>
      <c r="BA832" s="210"/>
      <c r="BB832" s="334"/>
      <c r="BC832" s="213"/>
      <c r="BD832" s="213"/>
      <c r="BE832" s="210"/>
      <c r="BG832" s="334"/>
      <c r="BH832" s="334"/>
      <c r="BI832" s="334"/>
      <c r="BJ832" s="334"/>
      <c r="BK832" s="334"/>
      <c r="BM832" s="334"/>
      <c r="BN832" s="334"/>
      <c r="BO832" s="334"/>
      <c r="BP832" s="334"/>
      <c r="BQ832" s="334"/>
    </row>
    <row r="833" spans="45:69" x14ac:dyDescent="0.25">
      <c r="AS833" s="202"/>
      <c r="AV833" s="103"/>
      <c r="AW833" s="200"/>
      <c r="AX833" s="334"/>
      <c r="AY833" s="334"/>
      <c r="AZ833" s="334"/>
      <c r="BA833" s="210"/>
      <c r="BB833" s="334"/>
      <c r="BC833" s="213"/>
      <c r="BD833" s="213"/>
      <c r="BE833" s="210"/>
      <c r="BG833" s="334"/>
      <c r="BH833" s="334"/>
      <c r="BI833" s="334"/>
      <c r="BJ833" s="334"/>
      <c r="BK833" s="334"/>
      <c r="BM833" s="334"/>
      <c r="BN833" s="334"/>
      <c r="BO833" s="334"/>
      <c r="BP833" s="334"/>
      <c r="BQ833" s="334"/>
    </row>
    <row r="834" spans="45:69" x14ac:dyDescent="0.25">
      <c r="AS834" s="202"/>
      <c r="AV834" s="103"/>
      <c r="AW834" s="200"/>
      <c r="AX834" s="334"/>
      <c r="AY834" s="334"/>
      <c r="AZ834" s="334"/>
      <c r="BA834" s="210"/>
      <c r="BB834" s="334"/>
      <c r="BC834" s="213"/>
      <c r="BD834" s="213"/>
      <c r="BE834" s="210"/>
      <c r="BG834" s="334"/>
      <c r="BH834" s="334"/>
      <c r="BI834" s="334"/>
      <c r="BJ834" s="334"/>
      <c r="BK834" s="334"/>
      <c r="BM834" s="334"/>
      <c r="BN834" s="334"/>
      <c r="BO834" s="334"/>
      <c r="BP834" s="334"/>
      <c r="BQ834" s="334"/>
    </row>
    <row r="835" spans="45:69" x14ac:dyDescent="0.25">
      <c r="AS835" s="202"/>
      <c r="AV835" s="103"/>
      <c r="AW835" s="200"/>
      <c r="AX835" s="334"/>
      <c r="AY835" s="334"/>
      <c r="AZ835" s="334"/>
      <c r="BA835" s="210"/>
      <c r="BB835" s="334"/>
      <c r="BC835" s="213"/>
      <c r="BD835" s="213"/>
      <c r="BE835" s="210"/>
      <c r="BG835" s="334"/>
      <c r="BH835" s="334"/>
      <c r="BI835" s="334"/>
      <c r="BJ835" s="334"/>
      <c r="BK835" s="334"/>
      <c r="BM835" s="334"/>
      <c r="BN835" s="334"/>
      <c r="BO835" s="334"/>
      <c r="BP835" s="334"/>
      <c r="BQ835" s="334"/>
    </row>
    <row r="836" spans="45:69" x14ac:dyDescent="0.25">
      <c r="AS836" s="202"/>
      <c r="AV836" s="103"/>
      <c r="AW836" s="200"/>
      <c r="AX836" s="334"/>
      <c r="AY836" s="334"/>
      <c r="AZ836" s="334"/>
      <c r="BA836" s="210"/>
      <c r="BB836" s="334"/>
      <c r="BC836" s="213"/>
      <c r="BD836" s="213"/>
      <c r="BE836" s="210"/>
      <c r="BG836" s="334"/>
      <c r="BH836" s="334"/>
      <c r="BI836" s="334"/>
      <c r="BJ836" s="334"/>
      <c r="BK836" s="334"/>
      <c r="BM836" s="334"/>
      <c r="BN836" s="334"/>
      <c r="BO836" s="334"/>
      <c r="BP836" s="334"/>
      <c r="BQ836" s="334"/>
    </row>
    <row r="837" spans="45:69" x14ac:dyDescent="0.25">
      <c r="AY837" s="213"/>
      <c r="AZ837" s="334"/>
      <c r="BA837" s="210"/>
      <c r="BB837" s="334"/>
      <c r="BC837" s="213"/>
      <c r="BD837" s="213"/>
      <c r="BE837" s="210"/>
      <c r="BK837" s="334"/>
      <c r="BQ837" s="334"/>
    </row>
    <row r="838" spans="45:69" x14ac:dyDescent="0.25">
      <c r="AS838" s="202"/>
      <c r="AV838" s="103"/>
      <c r="AY838" s="213"/>
      <c r="AZ838" s="334"/>
      <c r="BA838" s="210"/>
      <c r="BB838" s="334"/>
      <c r="BC838" s="213"/>
      <c r="BD838" s="213"/>
      <c r="BE838" s="210"/>
      <c r="BK838" s="334"/>
      <c r="BQ838" s="334"/>
    </row>
    <row r="839" spans="45:69" x14ac:dyDescent="0.25">
      <c r="AS839" s="202"/>
      <c r="AV839" s="103"/>
      <c r="AW839" s="200"/>
      <c r="AX839" s="334"/>
      <c r="AY839" s="334"/>
      <c r="AZ839" s="334"/>
      <c r="BA839" s="210"/>
      <c r="BB839" s="334"/>
      <c r="BC839" s="213"/>
      <c r="BD839" s="213"/>
      <c r="BE839" s="210"/>
      <c r="BG839" s="334"/>
      <c r="BH839" s="334"/>
      <c r="BI839" s="334"/>
      <c r="BJ839" s="334"/>
      <c r="BK839" s="334"/>
      <c r="BM839" s="334"/>
      <c r="BN839" s="334"/>
      <c r="BO839" s="334"/>
      <c r="BP839" s="334"/>
      <c r="BQ839" s="334"/>
    </row>
    <row r="840" spans="45:69" x14ac:dyDescent="0.25">
      <c r="AS840" s="202"/>
      <c r="AV840" s="103"/>
      <c r="AW840" s="200"/>
      <c r="AX840" s="334"/>
      <c r="AY840" s="334"/>
      <c r="AZ840" s="334"/>
      <c r="BA840" s="210"/>
      <c r="BB840" s="334"/>
      <c r="BC840" s="213"/>
      <c r="BD840" s="213"/>
      <c r="BE840" s="210"/>
      <c r="BG840" s="334"/>
      <c r="BH840" s="334"/>
      <c r="BI840" s="334"/>
      <c r="BJ840" s="334"/>
      <c r="BK840" s="334"/>
      <c r="BM840" s="334"/>
      <c r="BN840" s="334"/>
      <c r="BO840" s="334"/>
      <c r="BP840" s="334"/>
      <c r="BQ840" s="334"/>
    </row>
    <row r="841" spans="45:69" x14ac:dyDescent="0.25">
      <c r="AS841" s="202"/>
      <c r="AV841" s="103"/>
      <c r="AW841" s="200"/>
      <c r="AX841" s="334"/>
      <c r="AY841" s="334"/>
      <c r="AZ841" s="334"/>
      <c r="BA841" s="210"/>
      <c r="BB841" s="334"/>
      <c r="BC841" s="213"/>
      <c r="BD841" s="213"/>
      <c r="BE841" s="210"/>
      <c r="BG841" s="334"/>
      <c r="BH841" s="334"/>
      <c r="BI841" s="334"/>
      <c r="BJ841" s="334"/>
      <c r="BK841" s="334"/>
      <c r="BM841" s="334"/>
      <c r="BN841" s="334"/>
      <c r="BO841" s="334"/>
      <c r="BP841" s="334"/>
      <c r="BQ841" s="334"/>
    </row>
    <row r="842" spans="45:69" x14ac:dyDescent="0.25">
      <c r="AS842" s="202"/>
      <c r="AV842" s="103"/>
      <c r="AW842" s="200"/>
      <c r="AX842" s="334"/>
      <c r="AY842" s="334"/>
      <c r="AZ842" s="334"/>
      <c r="BA842" s="210"/>
      <c r="BB842" s="334"/>
      <c r="BC842" s="213"/>
      <c r="BD842" s="213"/>
      <c r="BE842" s="210"/>
      <c r="BG842" s="334"/>
      <c r="BH842" s="334"/>
      <c r="BI842" s="334"/>
      <c r="BJ842" s="334"/>
      <c r="BK842" s="334"/>
      <c r="BM842" s="334"/>
      <c r="BN842" s="334"/>
      <c r="BO842" s="334"/>
      <c r="BP842" s="334"/>
      <c r="BQ842" s="334"/>
    </row>
    <row r="843" spans="45:69" x14ac:dyDescent="0.25">
      <c r="AS843" s="202"/>
      <c r="AV843" s="103"/>
      <c r="AW843" s="200"/>
      <c r="AX843" s="334"/>
      <c r="AY843" s="334"/>
      <c r="AZ843" s="334"/>
      <c r="BA843" s="210"/>
      <c r="BB843" s="334"/>
      <c r="BC843" s="213"/>
      <c r="BD843" s="213"/>
      <c r="BE843" s="210"/>
      <c r="BG843" s="334"/>
      <c r="BH843" s="334"/>
      <c r="BI843" s="334"/>
      <c r="BJ843" s="334"/>
      <c r="BK843" s="334"/>
      <c r="BM843" s="334"/>
      <c r="BN843" s="334"/>
      <c r="BO843" s="334"/>
      <c r="BP843" s="334"/>
      <c r="BQ843" s="334"/>
    </row>
    <row r="844" spans="45:69" x14ac:dyDescent="0.25">
      <c r="AS844" s="202"/>
      <c r="AV844" s="103"/>
      <c r="AW844" s="200"/>
      <c r="AX844" s="334"/>
      <c r="AY844" s="334"/>
      <c r="AZ844" s="334"/>
      <c r="BA844" s="210"/>
      <c r="BB844" s="334"/>
      <c r="BC844" s="213"/>
      <c r="BD844" s="213"/>
      <c r="BE844" s="210"/>
      <c r="BG844" s="334"/>
      <c r="BH844" s="334"/>
      <c r="BI844" s="334"/>
      <c r="BJ844" s="334"/>
      <c r="BK844" s="334"/>
      <c r="BM844" s="334"/>
      <c r="BN844" s="334"/>
      <c r="BO844" s="334"/>
      <c r="BP844" s="334"/>
      <c r="BQ844" s="334"/>
    </row>
    <row r="845" spans="45:69" x14ac:dyDescent="0.25">
      <c r="AS845" s="202"/>
      <c r="AV845" s="103"/>
      <c r="AW845" s="200"/>
      <c r="AX845" s="334"/>
      <c r="AY845" s="334"/>
      <c r="AZ845" s="334"/>
      <c r="BA845" s="210"/>
      <c r="BB845" s="334"/>
      <c r="BC845" s="213"/>
      <c r="BD845" s="213"/>
      <c r="BE845" s="210"/>
      <c r="BG845" s="334"/>
      <c r="BH845" s="334"/>
      <c r="BI845" s="334"/>
      <c r="BJ845" s="334"/>
      <c r="BK845" s="334"/>
      <c r="BM845" s="334"/>
      <c r="BN845" s="334"/>
      <c r="BO845" s="334"/>
      <c r="BP845" s="334"/>
      <c r="BQ845" s="334"/>
    </row>
    <row r="846" spans="45:69" x14ac:dyDescent="0.25">
      <c r="AS846" s="202"/>
      <c r="AV846" s="103"/>
      <c r="AW846" s="200"/>
      <c r="AX846" s="334"/>
      <c r="AY846" s="334"/>
      <c r="AZ846" s="334"/>
      <c r="BA846" s="210"/>
      <c r="BB846" s="334"/>
      <c r="BC846" s="213"/>
      <c r="BD846" s="213"/>
      <c r="BE846" s="210"/>
      <c r="BG846" s="334"/>
      <c r="BH846" s="334"/>
      <c r="BI846" s="334"/>
      <c r="BJ846" s="334"/>
      <c r="BK846" s="334"/>
      <c r="BM846" s="334"/>
      <c r="BN846" s="334"/>
      <c r="BO846" s="334"/>
      <c r="BP846" s="334"/>
      <c r="BQ846" s="334"/>
    </row>
    <row r="847" spans="45:69" x14ac:dyDescent="0.25">
      <c r="AY847" s="213"/>
      <c r="AZ847" s="334"/>
      <c r="BA847" s="210"/>
      <c r="BB847" s="334"/>
      <c r="BC847" s="213"/>
      <c r="BD847" s="213"/>
      <c r="BE847" s="210"/>
      <c r="BK847" s="334"/>
      <c r="BQ847" s="334"/>
    </row>
    <row r="848" spans="45:69" x14ac:dyDescent="0.25">
      <c r="AU848" s="154"/>
      <c r="AZ848" s="334"/>
      <c r="BB848" s="334"/>
      <c r="BG848" s="334"/>
      <c r="BH848" s="334"/>
      <c r="BJ848" s="334"/>
      <c r="BK848" s="334"/>
    </row>
    <row r="849" spans="45:75" x14ac:dyDescent="0.25">
      <c r="AZ849" s="334"/>
      <c r="BB849" s="334"/>
    </row>
    <row r="850" spans="45:75" x14ac:dyDescent="0.25">
      <c r="AS850" s="154"/>
      <c r="AZ850" s="334"/>
      <c r="BB850" s="334"/>
      <c r="BI850" s="334"/>
    </row>
    <row r="851" spans="45:75" x14ac:dyDescent="0.25">
      <c r="AY851" s="202"/>
      <c r="AZ851" s="334"/>
      <c r="BB851" s="334"/>
    </row>
    <row r="852" spans="45:75" x14ac:dyDescent="0.25">
      <c r="AY852" s="334"/>
      <c r="BB852" s="334"/>
    </row>
    <row r="853" spans="45:75" x14ac:dyDescent="0.25">
      <c r="AY853" s="154"/>
      <c r="AZ853" s="334"/>
      <c r="BB853" s="334"/>
    </row>
    <row r="854" spans="45:75" x14ac:dyDescent="0.25">
      <c r="AY854" s="154"/>
      <c r="AZ854" s="334"/>
      <c r="BB854" s="334"/>
    </row>
    <row r="855" spans="45:75" x14ac:dyDescent="0.25">
      <c r="AS855" s="202"/>
      <c r="AZ855" s="334"/>
      <c r="BB855" s="334"/>
      <c r="BD855" s="154"/>
    </row>
    <row r="856" spans="45:75" x14ac:dyDescent="0.25">
      <c r="AS856" s="202"/>
      <c r="AZ856" s="334"/>
      <c r="BB856" s="334"/>
      <c r="BD856" s="154"/>
    </row>
    <row r="857" spans="45:75" x14ac:dyDescent="0.25">
      <c r="AS857" s="154"/>
      <c r="AZ857" s="334"/>
      <c r="BB857" s="334"/>
      <c r="BD857" s="154"/>
    </row>
    <row r="858" spans="45:75" x14ac:dyDescent="0.25">
      <c r="AZ858" s="334"/>
      <c r="BB858" s="334"/>
      <c r="BD858" s="202"/>
    </row>
    <row r="859" spans="45:75" x14ac:dyDescent="0.25">
      <c r="AS859" s="102"/>
      <c r="AT859" s="102"/>
      <c r="AU859" s="102"/>
      <c r="AV859" s="102"/>
      <c r="AW859" s="102"/>
      <c r="AX859" s="102"/>
      <c r="AY859" s="102"/>
      <c r="AZ859" s="335"/>
      <c r="BA859" s="102"/>
      <c r="BB859" s="335"/>
      <c r="BC859" s="102"/>
      <c r="BD859" s="102"/>
      <c r="BE859" s="102"/>
    </row>
    <row r="860" spans="45:75" x14ac:dyDescent="0.25">
      <c r="AX860" s="154"/>
      <c r="AZ860" s="334"/>
      <c r="BB860" s="334"/>
    </row>
    <row r="861" spans="45:75" x14ac:dyDescent="0.25">
      <c r="AX861" s="102"/>
      <c r="AY861" s="102"/>
      <c r="AZ861" s="335"/>
      <c r="BA861" s="102"/>
      <c r="BB861" s="334"/>
      <c r="BC861" s="103"/>
      <c r="BD861" s="103"/>
    </row>
    <row r="862" spans="45:75" x14ac:dyDescent="0.25">
      <c r="AV862" s="103"/>
      <c r="AW862" s="103"/>
      <c r="AZ862" s="336"/>
      <c r="BA862" s="103"/>
      <c r="BB862" s="334"/>
      <c r="BC862" s="103"/>
      <c r="BD862" s="103"/>
      <c r="BE862" s="103"/>
      <c r="BG862" s="102"/>
      <c r="BH862" s="102"/>
      <c r="BI862" s="154"/>
      <c r="BM862" s="102"/>
      <c r="BN862" s="102"/>
      <c r="BP862" s="102"/>
      <c r="BQ862" s="102"/>
      <c r="BR862" s="154"/>
      <c r="BV862" s="102"/>
      <c r="BW862" s="102"/>
    </row>
    <row r="863" spans="45:75" x14ac:dyDescent="0.25">
      <c r="AV863" s="103"/>
      <c r="AW863" s="103"/>
      <c r="AX863" s="103"/>
      <c r="AY863" s="103"/>
      <c r="AZ863" s="336"/>
      <c r="BA863" s="103"/>
      <c r="BB863" s="336"/>
      <c r="BC863" s="103"/>
      <c r="BD863" s="103"/>
      <c r="BE863" s="103"/>
      <c r="BH863" s="103"/>
      <c r="BI863" s="103"/>
      <c r="BJ863" s="103"/>
      <c r="BK863" s="103"/>
      <c r="BL863" s="103"/>
      <c r="BM863" s="103"/>
      <c r="BQ863" s="103"/>
      <c r="BR863" s="103"/>
      <c r="BS863" s="103"/>
      <c r="BT863" s="103"/>
      <c r="BU863" s="103"/>
      <c r="BV863" s="103"/>
    </row>
    <row r="864" spans="45:75" x14ac:dyDescent="0.25">
      <c r="AS864" s="103"/>
      <c r="AU864" s="154"/>
      <c r="AV864" s="103"/>
      <c r="AW864" s="103"/>
      <c r="AX864" s="103"/>
      <c r="AY864" s="103"/>
      <c r="AZ864" s="336"/>
      <c r="BA864" s="103"/>
      <c r="BB864" s="336"/>
      <c r="BC864" s="103"/>
      <c r="BD864" s="103"/>
      <c r="BE864" s="103"/>
      <c r="BG864" s="103"/>
      <c r="BH864" s="103"/>
      <c r="BI864" s="103"/>
      <c r="BJ864" s="103"/>
      <c r="BK864" s="103"/>
      <c r="BL864" s="103"/>
      <c r="BM864" s="103"/>
      <c r="BN864" s="103"/>
      <c r="BP864" s="103"/>
      <c r="BQ864" s="103"/>
      <c r="BR864" s="103"/>
      <c r="BS864" s="103"/>
      <c r="BT864" s="103"/>
      <c r="BU864" s="103"/>
      <c r="BV864" s="103"/>
      <c r="BW864" s="103"/>
    </row>
    <row r="865" spans="45:75" x14ac:dyDescent="0.25">
      <c r="AS865" s="103"/>
      <c r="AU865" s="154"/>
      <c r="AV865" s="103"/>
      <c r="AW865" s="103"/>
      <c r="AX865" s="103"/>
      <c r="AY865" s="103"/>
      <c r="AZ865" s="336"/>
      <c r="BA865" s="103"/>
      <c r="BB865" s="336"/>
      <c r="BC865" s="103"/>
      <c r="BD865" s="103"/>
      <c r="BE865" s="103"/>
      <c r="BG865" s="103"/>
      <c r="BH865" s="103"/>
      <c r="BI865" s="103"/>
      <c r="BJ865" s="103"/>
      <c r="BK865" s="103"/>
      <c r="BL865" s="103"/>
      <c r="BM865" s="103"/>
      <c r="BN865" s="103"/>
      <c r="BP865" s="103"/>
      <c r="BQ865" s="103"/>
      <c r="BR865" s="103"/>
      <c r="BS865" s="103"/>
      <c r="BT865" s="103"/>
      <c r="BU865" s="103"/>
      <c r="BV865" s="103"/>
      <c r="BW865" s="103"/>
    </row>
    <row r="866" spans="45:75" x14ac:dyDescent="0.25">
      <c r="AS866" s="102"/>
      <c r="AT866" s="102"/>
      <c r="AU866" s="102"/>
      <c r="AV866" s="102"/>
      <c r="AW866" s="102"/>
      <c r="AX866" s="102"/>
      <c r="AY866" s="102"/>
      <c r="AZ866" s="335"/>
      <c r="BA866" s="102"/>
      <c r="BB866" s="335"/>
      <c r="BC866" s="102"/>
      <c r="BD866" s="102"/>
      <c r="BE866" s="102"/>
      <c r="BG866" s="102"/>
      <c r="BH866" s="102"/>
      <c r="BI866" s="102"/>
      <c r="BJ866" s="102"/>
      <c r="BK866" s="102"/>
      <c r="BL866" s="102"/>
      <c r="BM866" s="102"/>
      <c r="BN866" s="102"/>
      <c r="BP866" s="102"/>
      <c r="BQ866" s="102"/>
      <c r="BR866" s="102"/>
      <c r="BS866" s="102"/>
      <c r="BT866" s="102"/>
      <c r="BU866" s="102"/>
      <c r="BV866" s="102"/>
      <c r="BW866" s="102"/>
    </row>
    <row r="867" spans="45:75" x14ac:dyDescent="0.25">
      <c r="AV867" s="103"/>
      <c r="AW867" s="103"/>
      <c r="AX867" s="103"/>
      <c r="AY867" s="103"/>
      <c r="AZ867" s="336"/>
      <c r="BA867" s="103"/>
      <c r="BB867" s="336"/>
      <c r="BC867" s="103"/>
      <c r="BD867" s="103"/>
      <c r="BE867" s="103"/>
      <c r="BG867" s="334"/>
      <c r="BH867" s="334"/>
      <c r="BI867" s="334"/>
      <c r="BJ867" s="334"/>
      <c r="BK867" s="334"/>
      <c r="BL867" s="334"/>
      <c r="BM867" s="334"/>
      <c r="BN867" s="334"/>
      <c r="BO867" s="334"/>
      <c r="BP867" s="334"/>
      <c r="BQ867" s="334"/>
      <c r="BR867" s="334"/>
      <c r="BS867" s="334"/>
      <c r="BT867" s="334"/>
      <c r="BU867" s="334"/>
      <c r="BV867" s="334"/>
      <c r="BW867" s="334"/>
    </row>
    <row r="868" spans="45:75" x14ac:dyDescent="0.25">
      <c r="AS868" s="202"/>
      <c r="AU868" s="154"/>
      <c r="AV868" s="202"/>
      <c r="AW868" s="200"/>
      <c r="AX868" s="334"/>
      <c r="AY868" s="334"/>
      <c r="AZ868" s="334"/>
      <c r="BA868" s="201"/>
      <c r="BB868" s="334"/>
      <c r="BC868" s="334"/>
      <c r="BD868" s="334"/>
      <c r="BE868" s="201"/>
      <c r="BG868" s="334"/>
      <c r="BH868" s="334"/>
      <c r="BI868" s="334"/>
      <c r="BJ868" s="334"/>
      <c r="BK868" s="334"/>
      <c r="BL868" s="334"/>
      <c r="BM868" s="334"/>
      <c r="BN868" s="334"/>
      <c r="BO868" s="334"/>
      <c r="BP868" s="334"/>
      <c r="BQ868" s="334"/>
      <c r="BR868" s="334"/>
      <c r="BS868" s="334"/>
      <c r="BT868" s="334"/>
      <c r="BU868" s="334"/>
      <c r="BV868" s="334"/>
      <c r="BW868" s="334"/>
    </row>
    <row r="869" spans="45:75" x14ac:dyDescent="0.25">
      <c r="AS869" s="202"/>
      <c r="AV869" s="202"/>
      <c r="AW869" s="200"/>
      <c r="AX869" s="334"/>
      <c r="AY869" s="334"/>
      <c r="AZ869" s="334"/>
      <c r="BA869" s="201"/>
      <c r="BB869" s="334"/>
      <c r="BC869" s="334"/>
      <c r="BD869" s="334"/>
      <c r="BE869" s="201"/>
      <c r="BG869" s="334"/>
      <c r="BH869" s="334"/>
      <c r="BI869" s="334"/>
      <c r="BJ869" s="334"/>
      <c r="BK869" s="334"/>
      <c r="BL869" s="334"/>
      <c r="BM869" s="334"/>
      <c r="BN869" s="334"/>
      <c r="BO869" s="334"/>
      <c r="BP869" s="334"/>
      <c r="BQ869" s="334"/>
      <c r="BR869" s="334"/>
      <c r="BS869" s="334"/>
      <c r="BT869" s="334"/>
      <c r="BU869" s="334"/>
      <c r="BV869" s="334"/>
      <c r="BW869" s="334"/>
    </row>
    <row r="870" spans="45:75" x14ac:dyDescent="0.25">
      <c r="AS870" s="202"/>
      <c r="AV870" s="202"/>
      <c r="AW870" s="200"/>
      <c r="AX870" s="334"/>
      <c r="AY870" s="334"/>
      <c r="AZ870" s="334"/>
      <c r="BA870" s="201"/>
      <c r="BB870" s="334"/>
      <c r="BC870" s="334"/>
      <c r="BD870" s="334"/>
      <c r="BE870" s="201"/>
      <c r="BG870" s="334"/>
      <c r="BH870" s="334"/>
      <c r="BI870" s="334"/>
      <c r="BJ870" s="334"/>
      <c r="BK870" s="334"/>
      <c r="BL870" s="334"/>
      <c r="BM870" s="334"/>
      <c r="BN870" s="334"/>
      <c r="BO870" s="334"/>
      <c r="BP870" s="334"/>
      <c r="BQ870" s="334"/>
      <c r="BR870" s="334"/>
      <c r="BS870" s="334"/>
      <c r="BT870" s="334"/>
      <c r="BU870" s="334"/>
      <c r="BV870" s="334"/>
      <c r="BW870" s="334"/>
    </row>
    <row r="871" spans="45:75" x14ac:dyDescent="0.25">
      <c r="AS871" s="202"/>
      <c r="AV871" s="202"/>
      <c r="AW871" s="200"/>
      <c r="AX871" s="334"/>
      <c r="AY871" s="334"/>
      <c r="AZ871" s="334"/>
      <c r="BA871" s="201"/>
      <c r="BB871" s="334"/>
      <c r="BC871" s="334"/>
      <c r="BD871" s="334"/>
      <c r="BE871" s="201"/>
      <c r="BG871" s="334"/>
      <c r="BH871" s="334"/>
      <c r="BI871" s="334"/>
      <c r="BJ871" s="334"/>
      <c r="BK871" s="334"/>
      <c r="BL871" s="334"/>
      <c r="BM871" s="334"/>
      <c r="BN871" s="334"/>
      <c r="BO871" s="334"/>
      <c r="BP871" s="334"/>
      <c r="BQ871" s="334"/>
      <c r="BR871" s="334"/>
      <c r="BS871" s="334"/>
      <c r="BT871" s="334"/>
      <c r="BU871" s="334"/>
      <c r="BV871" s="334"/>
      <c r="BW871" s="334"/>
    </row>
    <row r="872" spans="45:75" x14ac:dyDescent="0.25">
      <c r="AS872" s="202"/>
      <c r="AV872" s="202"/>
      <c r="AW872" s="200"/>
      <c r="AX872" s="334"/>
      <c r="AY872" s="334"/>
      <c r="AZ872" s="334"/>
      <c r="BA872" s="201"/>
      <c r="BB872" s="334"/>
      <c r="BC872" s="334"/>
      <c r="BD872" s="334"/>
      <c r="BE872" s="201"/>
      <c r="BG872" s="334"/>
      <c r="BH872" s="334"/>
      <c r="BI872" s="334"/>
      <c r="BJ872" s="334"/>
      <c r="BK872" s="334"/>
      <c r="BL872" s="334"/>
      <c r="BM872" s="334"/>
      <c r="BN872" s="334"/>
      <c r="BO872" s="334"/>
      <c r="BP872" s="334"/>
      <c r="BQ872" s="334"/>
      <c r="BR872" s="334"/>
      <c r="BS872" s="334"/>
      <c r="BT872" s="334"/>
      <c r="BU872" s="334"/>
      <c r="BV872" s="334"/>
      <c r="BW872" s="334"/>
    </row>
    <row r="873" spans="45:75" x14ac:dyDescent="0.25">
      <c r="AS873" s="202"/>
      <c r="AV873" s="202"/>
      <c r="AW873" s="200"/>
      <c r="AX873" s="334"/>
      <c r="AY873" s="334"/>
      <c r="AZ873" s="334"/>
      <c r="BA873" s="201"/>
      <c r="BB873" s="334"/>
      <c r="BC873" s="334"/>
      <c r="BD873" s="334"/>
      <c r="BE873" s="201"/>
      <c r="BG873" s="334"/>
      <c r="BH873" s="334"/>
      <c r="BI873" s="334"/>
      <c r="BJ873" s="334"/>
      <c r="BK873" s="334"/>
      <c r="BL873" s="334"/>
      <c r="BM873" s="334"/>
      <c r="BN873" s="334"/>
      <c r="BO873" s="334"/>
      <c r="BP873" s="334"/>
      <c r="BQ873" s="334"/>
      <c r="BR873" s="334"/>
      <c r="BS873" s="334"/>
      <c r="BT873" s="334"/>
      <c r="BU873" s="334"/>
      <c r="BV873" s="334"/>
      <c r="BW873" s="334"/>
    </row>
    <row r="874" spans="45:75" x14ac:dyDescent="0.25">
      <c r="AS874" s="202"/>
      <c r="AV874" s="202"/>
      <c r="AW874" s="200"/>
      <c r="AX874" s="334"/>
      <c r="AY874" s="334"/>
      <c r="AZ874" s="334"/>
      <c r="BA874" s="201"/>
      <c r="BB874" s="334"/>
      <c r="BC874" s="334"/>
      <c r="BD874" s="334"/>
      <c r="BE874" s="201"/>
      <c r="BG874" s="334"/>
      <c r="BH874" s="334"/>
      <c r="BI874" s="334"/>
      <c r="BJ874" s="334"/>
      <c r="BK874" s="334"/>
      <c r="BL874" s="334"/>
      <c r="BM874" s="334"/>
      <c r="BN874" s="334"/>
      <c r="BO874" s="334"/>
      <c r="BP874" s="334"/>
      <c r="BQ874" s="334"/>
      <c r="BR874" s="334"/>
      <c r="BS874" s="334"/>
      <c r="BT874" s="334"/>
      <c r="BU874" s="334"/>
      <c r="BV874" s="334"/>
      <c r="BW874" s="334"/>
    </row>
    <row r="875" spans="45:75" x14ac:dyDescent="0.25">
      <c r="AS875" s="202"/>
      <c r="AV875" s="202"/>
      <c r="AW875" s="200"/>
      <c r="AX875" s="334"/>
      <c r="AY875" s="334"/>
      <c r="AZ875" s="334"/>
      <c r="BA875" s="201"/>
      <c r="BB875" s="334"/>
      <c r="BC875" s="334"/>
      <c r="BD875" s="334"/>
      <c r="BE875" s="201"/>
      <c r="BG875" s="334"/>
      <c r="BH875" s="334"/>
      <c r="BI875" s="334"/>
      <c r="BJ875" s="334"/>
      <c r="BK875" s="334"/>
      <c r="BL875" s="334"/>
      <c r="BM875" s="334"/>
      <c r="BN875" s="334"/>
      <c r="BO875" s="334"/>
      <c r="BP875" s="334"/>
      <c r="BQ875" s="334"/>
      <c r="BR875" s="334"/>
      <c r="BS875" s="334"/>
      <c r="BT875" s="334"/>
      <c r="BU875" s="334"/>
      <c r="BV875" s="334"/>
      <c r="BW875" s="334"/>
    </row>
    <row r="876" spans="45:75" x14ac:dyDescent="0.25">
      <c r="AS876" s="202"/>
      <c r="AV876" s="202"/>
      <c r="AW876" s="200"/>
      <c r="AX876" s="334"/>
      <c r="AY876" s="334"/>
      <c r="AZ876" s="334"/>
      <c r="BA876" s="201"/>
      <c r="BB876" s="334"/>
      <c r="BC876" s="334"/>
      <c r="BD876" s="334"/>
      <c r="BE876" s="201"/>
      <c r="BG876" s="334"/>
      <c r="BH876" s="334"/>
      <c r="BI876" s="334"/>
      <c r="BJ876" s="334"/>
      <c r="BK876" s="334"/>
      <c r="BL876" s="334"/>
      <c r="BM876" s="334"/>
      <c r="BN876" s="334"/>
      <c r="BO876" s="334"/>
      <c r="BP876" s="334"/>
      <c r="BQ876" s="334"/>
      <c r="BR876" s="334"/>
      <c r="BS876" s="334"/>
      <c r="BT876" s="334"/>
      <c r="BU876" s="334"/>
      <c r="BV876" s="334"/>
      <c r="BW876" s="334"/>
    </row>
    <row r="877" spans="45:75" x14ac:dyDescent="0.25">
      <c r="AS877" s="202"/>
      <c r="AV877" s="202"/>
      <c r="AW877" s="200"/>
      <c r="AX877" s="334"/>
      <c r="AY877" s="334"/>
      <c r="AZ877" s="334"/>
      <c r="BA877" s="201"/>
      <c r="BB877" s="334"/>
      <c r="BC877" s="334"/>
      <c r="BD877" s="334"/>
      <c r="BE877" s="201"/>
      <c r="BG877" s="334"/>
      <c r="BH877" s="334"/>
      <c r="BI877" s="334"/>
      <c r="BJ877" s="334"/>
      <c r="BK877" s="334"/>
      <c r="BL877" s="334"/>
      <c r="BM877" s="334"/>
      <c r="BN877" s="334"/>
      <c r="BO877" s="334"/>
      <c r="BP877" s="334"/>
      <c r="BQ877" s="334"/>
      <c r="BR877" s="334"/>
      <c r="BS877" s="334"/>
      <c r="BT877" s="334"/>
      <c r="BU877" s="334"/>
      <c r="BV877" s="334"/>
      <c r="BW877" s="334"/>
    </row>
    <row r="878" spans="45:75" x14ac:dyDescent="0.25">
      <c r="AS878" s="202"/>
      <c r="AV878" s="202"/>
      <c r="AW878" s="200"/>
      <c r="AX878" s="334"/>
      <c r="AY878" s="334"/>
      <c r="AZ878" s="334"/>
      <c r="BA878" s="201"/>
      <c r="BB878" s="334"/>
      <c r="BC878" s="334"/>
      <c r="BD878" s="334"/>
      <c r="BE878" s="201"/>
      <c r="BG878" s="334"/>
      <c r="BH878" s="334"/>
      <c r="BI878" s="334"/>
      <c r="BJ878" s="334"/>
      <c r="BK878" s="334"/>
      <c r="BL878" s="334"/>
      <c r="BM878" s="334"/>
      <c r="BN878" s="334"/>
      <c r="BO878" s="334"/>
      <c r="BP878" s="334"/>
      <c r="BQ878" s="334"/>
      <c r="BR878" s="334"/>
      <c r="BS878" s="334"/>
      <c r="BT878" s="334"/>
      <c r="BU878" s="334"/>
      <c r="BV878" s="334"/>
      <c r="BW878" s="334"/>
    </row>
    <row r="879" spans="45:75" x14ac:dyDescent="0.25">
      <c r="AS879" s="202"/>
      <c r="AV879" s="202"/>
      <c r="AW879" s="200"/>
      <c r="AX879" s="334"/>
      <c r="AY879" s="334"/>
      <c r="AZ879" s="334"/>
      <c r="BA879" s="201"/>
      <c r="BB879" s="334"/>
      <c r="BC879" s="334"/>
      <c r="BD879" s="334"/>
      <c r="BE879" s="201"/>
      <c r="BG879" s="334"/>
      <c r="BH879" s="334"/>
      <c r="BI879" s="334"/>
      <c r="BJ879" s="334"/>
      <c r="BK879" s="334"/>
      <c r="BL879" s="334"/>
      <c r="BM879" s="334"/>
      <c r="BN879" s="334"/>
      <c r="BO879" s="334"/>
      <c r="BP879" s="334"/>
      <c r="BQ879" s="334"/>
      <c r="BR879" s="334"/>
      <c r="BS879" s="334"/>
      <c r="BT879" s="334"/>
      <c r="BU879" s="334"/>
      <c r="BV879" s="334"/>
      <c r="BW879" s="334"/>
    </row>
    <row r="880" spans="45:75" x14ac:dyDescent="0.25">
      <c r="AS880" s="202"/>
      <c r="AV880" s="202"/>
      <c r="AW880" s="200"/>
      <c r="AX880" s="334"/>
      <c r="AY880" s="334"/>
      <c r="AZ880" s="334"/>
      <c r="BA880" s="201"/>
      <c r="BB880" s="334"/>
      <c r="BC880" s="334"/>
      <c r="BD880" s="334"/>
      <c r="BE880" s="201"/>
      <c r="BG880" s="334"/>
      <c r="BH880" s="334"/>
      <c r="BI880" s="334"/>
      <c r="BJ880" s="334"/>
      <c r="BK880" s="334"/>
      <c r="BL880" s="334"/>
      <c r="BM880" s="334"/>
      <c r="BN880" s="334"/>
      <c r="BO880" s="334"/>
      <c r="BP880" s="334"/>
      <c r="BQ880" s="334"/>
      <c r="BR880" s="334"/>
      <c r="BS880" s="334"/>
      <c r="BT880" s="334"/>
      <c r="BU880" s="334"/>
      <c r="BV880" s="334"/>
      <c r="BW880" s="334"/>
    </row>
    <row r="881" spans="45:75" x14ac:dyDescent="0.25">
      <c r="AS881" s="202"/>
      <c r="AV881" s="202"/>
      <c r="AW881" s="200"/>
      <c r="AX881" s="334"/>
      <c r="AY881" s="334"/>
      <c r="AZ881" s="334"/>
      <c r="BA881" s="201"/>
      <c r="BB881" s="334"/>
      <c r="BC881" s="334"/>
      <c r="BD881" s="334"/>
      <c r="BE881" s="201"/>
      <c r="BG881" s="334"/>
      <c r="BH881" s="334"/>
      <c r="BI881" s="334"/>
      <c r="BJ881" s="334"/>
      <c r="BK881" s="334"/>
      <c r="BL881" s="334"/>
      <c r="BM881" s="334"/>
      <c r="BN881" s="334"/>
      <c r="BO881" s="334"/>
      <c r="BP881" s="334"/>
      <c r="BQ881" s="334"/>
      <c r="BR881" s="334"/>
      <c r="BS881" s="334"/>
      <c r="BT881" s="334"/>
      <c r="BU881" s="334"/>
      <c r="BV881" s="334"/>
      <c r="BW881" s="334"/>
    </row>
    <row r="882" spans="45:75" x14ac:dyDescent="0.25">
      <c r="AS882" s="202"/>
      <c r="AV882" s="202"/>
      <c r="AW882" s="200"/>
      <c r="AX882" s="334"/>
      <c r="AY882" s="334"/>
      <c r="AZ882" s="334"/>
      <c r="BA882" s="201"/>
      <c r="BB882" s="334"/>
      <c r="BC882" s="334"/>
      <c r="BD882" s="334"/>
      <c r="BE882" s="201"/>
      <c r="BG882" s="334"/>
      <c r="BH882" s="334"/>
      <c r="BI882" s="334"/>
      <c r="BJ882" s="334"/>
      <c r="BK882" s="334"/>
      <c r="BL882" s="334"/>
      <c r="BM882" s="334"/>
      <c r="BN882" s="334"/>
      <c r="BO882" s="334"/>
      <c r="BP882" s="334"/>
      <c r="BQ882" s="334"/>
      <c r="BR882" s="334"/>
      <c r="BS882" s="334"/>
      <c r="BT882" s="334"/>
      <c r="BU882" s="334"/>
      <c r="BV882" s="334"/>
      <c r="BW882" s="334"/>
    </row>
    <row r="883" spans="45:75" x14ac:dyDescent="0.25">
      <c r="AS883" s="202"/>
      <c r="AV883" s="202"/>
      <c r="AW883" s="200"/>
      <c r="AX883" s="334"/>
      <c r="AY883" s="334"/>
      <c r="AZ883" s="334"/>
      <c r="BA883" s="201"/>
      <c r="BB883" s="334"/>
      <c r="BC883" s="334"/>
      <c r="BD883" s="334"/>
      <c r="BE883" s="201"/>
      <c r="BG883" s="334"/>
      <c r="BH883" s="334"/>
      <c r="BI883" s="334"/>
      <c r="BJ883" s="334"/>
      <c r="BK883" s="334"/>
      <c r="BL883" s="334"/>
      <c r="BM883" s="334"/>
      <c r="BN883" s="334"/>
      <c r="BO883" s="334"/>
      <c r="BP883" s="334"/>
      <c r="BQ883" s="334"/>
      <c r="BR883" s="334"/>
      <c r="BS883" s="334"/>
      <c r="BT883" s="334"/>
      <c r="BU883" s="334"/>
      <c r="BV883" s="334"/>
      <c r="BW883" s="334"/>
    </row>
    <row r="884" spans="45:75" x14ac:dyDescent="0.25">
      <c r="AS884" s="202"/>
      <c r="AV884" s="202"/>
      <c r="AW884" s="200"/>
      <c r="AX884" s="334"/>
      <c r="AY884" s="334"/>
      <c r="AZ884" s="334"/>
      <c r="BA884" s="201"/>
      <c r="BB884" s="334"/>
      <c r="BC884" s="334"/>
      <c r="BD884" s="334"/>
      <c r="BE884" s="201"/>
      <c r="BG884" s="334"/>
      <c r="BH884" s="334"/>
      <c r="BI884" s="334"/>
      <c r="BJ884" s="334"/>
      <c r="BK884" s="334"/>
      <c r="BL884" s="334"/>
      <c r="BM884" s="334"/>
      <c r="BN884" s="334"/>
      <c r="BO884" s="334"/>
      <c r="BP884" s="334"/>
      <c r="BQ884" s="334"/>
      <c r="BR884" s="334"/>
      <c r="BS884" s="334"/>
      <c r="BT884" s="334"/>
      <c r="BU884" s="334"/>
      <c r="BV884" s="334"/>
      <c r="BW884" s="334"/>
    </row>
    <row r="885" spans="45:75" x14ac:dyDescent="0.25">
      <c r="AS885" s="202"/>
      <c r="AV885" s="202"/>
      <c r="AW885" s="200"/>
      <c r="AX885" s="334"/>
      <c r="AY885" s="334"/>
      <c r="AZ885" s="334"/>
      <c r="BA885" s="201"/>
      <c r="BB885" s="334"/>
      <c r="BC885" s="334"/>
      <c r="BD885" s="334"/>
      <c r="BE885" s="201"/>
      <c r="BG885" s="334"/>
      <c r="BH885" s="334"/>
      <c r="BI885" s="334"/>
      <c r="BJ885" s="334"/>
      <c r="BK885" s="334"/>
      <c r="BL885" s="334"/>
      <c r="BM885" s="334"/>
      <c r="BN885" s="334"/>
      <c r="BO885" s="334"/>
      <c r="BP885" s="334"/>
      <c r="BQ885" s="334"/>
      <c r="BR885" s="334"/>
      <c r="BS885" s="334"/>
      <c r="BT885" s="334"/>
      <c r="BU885" s="334"/>
      <c r="BV885" s="334"/>
      <c r="BW885" s="334"/>
    </row>
    <row r="886" spans="45:75" x14ac:dyDescent="0.25">
      <c r="AS886" s="202"/>
      <c r="AV886" s="202"/>
      <c r="AW886" s="200"/>
      <c r="AX886" s="334"/>
      <c r="AY886" s="334"/>
      <c r="AZ886" s="334"/>
      <c r="BA886" s="201"/>
      <c r="BB886" s="334"/>
      <c r="BC886" s="334"/>
      <c r="BD886" s="334"/>
      <c r="BE886" s="201"/>
      <c r="BG886" s="334"/>
      <c r="BH886" s="334"/>
      <c r="BI886" s="334"/>
      <c r="BJ886" s="334"/>
      <c r="BK886" s="334"/>
      <c r="BL886" s="334"/>
      <c r="BM886" s="334"/>
      <c r="BN886" s="334"/>
      <c r="BO886" s="334"/>
      <c r="BP886" s="334"/>
      <c r="BQ886" s="334"/>
      <c r="BR886" s="334"/>
      <c r="BS886" s="334"/>
      <c r="BT886" s="334"/>
      <c r="BU886" s="334"/>
      <c r="BV886" s="334"/>
      <c r="BW886" s="334"/>
    </row>
    <row r="887" spans="45:75" x14ac:dyDescent="0.25">
      <c r="AS887" s="202"/>
      <c r="AV887" s="202"/>
      <c r="AW887" s="200"/>
      <c r="AX887" s="334"/>
      <c r="AY887" s="334"/>
      <c r="AZ887" s="334"/>
      <c r="BA887" s="201"/>
      <c r="BB887" s="334"/>
      <c r="BC887" s="334"/>
      <c r="BD887" s="334"/>
      <c r="BE887" s="201"/>
      <c r="BG887" s="334"/>
      <c r="BH887" s="334"/>
      <c r="BI887" s="334"/>
      <c r="BJ887" s="334"/>
      <c r="BK887" s="334"/>
      <c r="BL887" s="334"/>
      <c r="BM887" s="334"/>
      <c r="BN887" s="334"/>
      <c r="BO887" s="334"/>
      <c r="BP887" s="334"/>
      <c r="BQ887" s="334"/>
      <c r="BR887" s="334"/>
      <c r="BS887" s="334"/>
      <c r="BT887" s="334"/>
      <c r="BU887" s="334"/>
      <c r="BV887" s="334"/>
      <c r="BW887" s="334"/>
    </row>
    <row r="888" spans="45:75" x14ac:dyDescent="0.25">
      <c r="AS888" s="202"/>
      <c r="AV888" s="202"/>
      <c r="AW888" s="200"/>
      <c r="AX888" s="334"/>
      <c r="AY888" s="334"/>
      <c r="AZ888" s="334"/>
      <c r="BA888" s="201"/>
      <c r="BB888" s="334"/>
      <c r="BC888" s="334"/>
      <c r="BD888" s="334"/>
      <c r="BE888" s="201"/>
      <c r="BG888" s="334"/>
      <c r="BH888" s="334"/>
      <c r="BI888" s="334"/>
      <c r="BJ888" s="334"/>
      <c r="BK888" s="334"/>
      <c r="BL888" s="334"/>
      <c r="BM888" s="334"/>
      <c r="BN888" s="334"/>
      <c r="BO888" s="334"/>
      <c r="BP888" s="334"/>
      <c r="BQ888" s="334"/>
      <c r="BR888" s="334"/>
      <c r="BS888" s="334"/>
      <c r="BT888" s="334"/>
      <c r="BU888" s="334"/>
      <c r="BV888" s="334"/>
      <c r="BW888" s="334"/>
    </row>
    <row r="889" spans="45:75" x14ac:dyDescent="0.25">
      <c r="AW889" s="200"/>
      <c r="AX889" s="334"/>
      <c r="AY889" s="334"/>
      <c r="AZ889" s="334"/>
      <c r="BA889" s="201"/>
      <c r="BB889" s="334"/>
      <c r="BC889" s="334"/>
      <c r="BD889" s="334"/>
      <c r="BE889" s="201"/>
      <c r="BG889" s="102"/>
      <c r="BH889" s="102"/>
      <c r="BI889" s="154"/>
      <c r="BM889" s="102"/>
      <c r="BN889" s="102"/>
      <c r="BO889" s="334"/>
      <c r="BP889" s="102"/>
      <c r="BQ889" s="102"/>
      <c r="BR889" s="154"/>
      <c r="BV889" s="102"/>
      <c r="BW889" s="102"/>
    </row>
    <row r="890" spans="45:75" x14ac:dyDescent="0.25">
      <c r="AS890" s="202"/>
      <c r="AU890" s="154"/>
      <c r="AV890" s="103"/>
      <c r="AW890" s="200"/>
      <c r="AX890" s="334"/>
      <c r="AY890" s="334"/>
      <c r="AZ890" s="334"/>
      <c r="BA890" s="201"/>
      <c r="BB890" s="334"/>
      <c r="BC890" s="334"/>
      <c r="BD890" s="334"/>
      <c r="BE890" s="201"/>
      <c r="BG890" s="336"/>
      <c r="BH890" s="334"/>
      <c r="BI890" s="334"/>
      <c r="BJ890" s="334"/>
      <c r="BK890" s="336"/>
      <c r="BL890" s="337"/>
      <c r="BM890" s="334"/>
      <c r="BN890" s="336"/>
      <c r="BO890" s="334"/>
      <c r="BP890" s="336"/>
      <c r="BQ890" s="334"/>
      <c r="BR890" s="334"/>
      <c r="BS890" s="334"/>
      <c r="BT890" s="336"/>
      <c r="BU890" s="337"/>
      <c r="BV890" s="334"/>
      <c r="BW890" s="336"/>
    </row>
    <row r="891" spans="45:75" x14ac:dyDescent="0.25">
      <c r="AS891" s="202"/>
      <c r="AV891" s="103"/>
      <c r="AW891" s="200"/>
      <c r="AX891" s="334"/>
      <c r="AY891" s="334"/>
      <c r="AZ891" s="334"/>
      <c r="BA891" s="201"/>
      <c r="BB891" s="334"/>
      <c r="BC891" s="334"/>
      <c r="BD891" s="334"/>
      <c r="BE891" s="201"/>
      <c r="BG891" s="334"/>
      <c r="BH891" s="334"/>
      <c r="BI891" s="334"/>
      <c r="BJ891" s="334"/>
      <c r="BK891" s="334"/>
      <c r="BL891" s="337"/>
      <c r="BM891" s="334"/>
      <c r="BN891" s="334"/>
      <c r="BO891" s="334"/>
      <c r="BP891" s="334"/>
      <c r="BQ891" s="334"/>
      <c r="BR891" s="334"/>
      <c r="BS891" s="334"/>
      <c r="BT891" s="334"/>
      <c r="BU891" s="337"/>
      <c r="BV891" s="334"/>
      <c r="BW891" s="334"/>
    </row>
    <row r="892" spans="45:75" x14ac:dyDescent="0.25">
      <c r="AS892" s="202"/>
      <c r="AV892" s="103"/>
      <c r="AW892" s="200"/>
      <c r="AX892" s="334"/>
      <c r="AY892" s="334"/>
      <c r="AZ892" s="334"/>
      <c r="BA892" s="201"/>
      <c r="BB892" s="334"/>
      <c r="BC892" s="334"/>
      <c r="BD892" s="334"/>
      <c r="BE892" s="201"/>
      <c r="BG892" s="334"/>
      <c r="BH892" s="334"/>
      <c r="BI892" s="334"/>
      <c r="BJ892" s="334"/>
      <c r="BK892" s="334"/>
      <c r="BL892" s="337"/>
      <c r="BM892" s="334"/>
      <c r="BN892" s="334"/>
      <c r="BO892" s="334"/>
      <c r="BP892" s="334"/>
      <c r="BQ892" s="334"/>
      <c r="BR892" s="334"/>
      <c r="BS892" s="334"/>
      <c r="BT892" s="334"/>
      <c r="BU892" s="337"/>
      <c r="BV892" s="334"/>
      <c r="BW892" s="334"/>
    </row>
    <row r="893" spans="45:75" x14ac:dyDescent="0.25">
      <c r="AS893" s="202"/>
      <c r="AV893" s="103"/>
      <c r="AW893" s="200"/>
      <c r="AX893" s="334"/>
      <c r="AY893" s="334"/>
      <c r="AZ893" s="334"/>
      <c r="BA893" s="201"/>
      <c r="BB893" s="334"/>
      <c r="BC893" s="334"/>
      <c r="BD893" s="334"/>
      <c r="BE893" s="201"/>
      <c r="BG893" s="334"/>
      <c r="BH893" s="334"/>
      <c r="BI893" s="334"/>
      <c r="BJ893" s="334"/>
      <c r="BK893" s="334"/>
      <c r="BL893" s="337"/>
      <c r="BM893" s="334"/>
      <c r="BN893" s="334"/>
      <c r="BO893" s="334"/>
      <c r="BP893" s="334"/>
      <c r="BQ893" s="334"/>
      <c r="BR893" s="334"/>
      <c r="BS893" s="334"/>
      <c r="BT893" s="334"/>
      <c r="BU893" s="337"/>
      <c r="BV893" s="334"/>
      <c r="BW893" s="334"/>
    </row>
    <row r="894" spans="45:75" x14ac:dyDescent="0.25">
      <c r="AX894" s="334"/>
      <c r="AY894" s="334"/>
      <c r="AZ894" s="334"/>
      <c r="BA894" s="201"/>
      <c r="BB894" s="334"/>
      <c r="BC894" s="334"/>
      <c r="BD894" s="334"/>
      <c r="BE894" s="201"/>
      <c r="BG894" s="334"/>
      <c r="BH894" s="334"/>
      <c r="BI894" s="334"/>
      <c r="BJ894" s="334"/>
      <c r="BK894" s="334"/>
      <c r="BL894" s="334"/>
      <c r="BM894" s="334"/>
      <c r="BN894" s="334"/>
      <c r="BO894" s="334"/>
      <c r="BP894" s="334"/>
      <c r="BQ894" s="334"/>
      <c r="BR894" s="334"/>
      <c r="BS894" s="334"/>
      <c r="BT894" s="334"/>
      <c r="BU894" s="334"/>
      <c r="BV894" s="334"/>
    </row>
    <row r="895" spans="45:75" x14ac:dyDescent="0.25">
      <c r="AU895" s="154"/>
    </row>
    <row r="896" spans="45:75" x14ac:dyDescent="0.25">
      <c r="AU896" s="154"/>
      <c r="AZ896" s="334"/>
      <c r="BA896" s="201"/>
      <c r="BB896" s="334"/>
      <c r="BC896" s="334"/>
      <c r="BD896" s="334"/>
      <c r="BE896" s="201"/>
      <c r="BG896" s="334"/>
      <c r="BH896" s="334"/>
      <c r="BI896" s="334"/>
      <c r="BJ896" s="334"/>
      <c r="BK896" s="334"/>
      <c r="BL896" s="334"/>
      <c r="BM896" s="334"/>
      <c r="BN896" s="334"/>
      <c r="BO896" s="334"/>
      <c r="BP896" s="334"/>
      <c r="BQ896" s="334"/>
      <c r="BR896" s="334"/>
      <c r="BS896" s="334"/>
      <c r="BT896" s="334"/>
      <c r="BU896" s="334"/>
      <c r="BV896" s="334"/>
    </row>
    <row r="897" spans="45:74" x14ac:dyDescent="0.25">
      <c r="AS897" s="154"/>
      <c r="AZ897" s="334"/>
      <c r="BB897" s="334"/>
    </row>
    <row r="898" spans="45:74" x14ac:dyDescent="0.25">
      <c r="AY898" s="202"/>
      <c r="AZ898" s="334"/>
      <c r="BB898" s="334"/>
      <c r="BO898" s="334"/>
      <c r="BP898" s="334"/>
      <c r="BQ898" s="334"/>
      <c r="BR898" s="334"/>
      <c r="BS898" s="334"/>
      <c r="BT898" s="334"/>
      <c r="BU898" s="334"/>
      <c r="BV898" s="334"/>
    </row>
    <row r="899" spans="45:74" x14ac:dyDescent="0.25">
      <c r="AY899" s="334"/>
      <c r="AZ899" s="334"/>
      <c r="BB899" s="334"/>
      <c r="BO899" s="334"/>
      <c r="BP899" s="334"/>
      <c r="BQ899" s="334"/>
      <c r="BR899" s="334"/>
      <c r="BS899" s="334"/>
      <c r="BT899" s="334"/>
      <c r="BU899" s="334"/>
      <c r="BV899" s="334"/>
    </row>
    <row r="900" spans="45:74" x14ac:dyDescent="0.25">
      <c r="AY900" s="154"/>
      <c r="AZ900" s="334"/>
      <c r="BB900" s="334"/>
      <c r="BO900" s="334"/>
      <c r="BP900" s="334"/>
      <c r="BQ900" s="334"/>
      <c r="BR900" s="334"/>
      <c r="BS900" s="334"/>
      <c r="BT900" s="334"/>
      <c r="BU900" s="334"/>
      <c r="BV900" s="334"/>
    </row>
    <row r="901" spans="45:74" x14ac:dyDescent="0.25">
      <c r="AY901" s="154"/>
      <c r="AZ901" s="334"/>
      <c r="BB901" s="334"/>
      <c r="BO901" s="334"/>
      <c r="BP901" s="334"/>
      <c r="BQ901" s="334"/>
      <c r="BR901" s="334"/>
      <c r="BS901" s="334"/>
      <c r="BT901" s="334"/>
      <c r="BU901" s="334"/>
      <c r="BV901" s="334"/>
    </row>
    <row r="902" spans="45:74" x14ac:dyDescent="0.25">
      <c r="AS902" s="202"/>
      <c r="AZ902" s="334"/>
      <c r="BB902" s="334"/>
      <c r="BD902" s="154"/>
      <c r="BO902" s="334"/>
      <c r="BP902" s="334"/>
      <c r="BQ902" s="334"/>
      <c r="BR902" s="334"/>
      <c r="BS902" s="334"/>
      <c r="BT902" s="334"/>
      <c r="BU902" s="334"/>
      <c r="BV902" s="334"/>
    </row>
    <row r="903" spans="45:74" x14ac:dyDescent="0.25">
      <c r="AS903" s="202"/>
      <c r="AZ903" s="334"/>
      <c r="BB903" s="334"/>
      <c r="BD903" s="154"/>
      <c r="BO903" s="334"/>
      <c r="BP903" s="334"/>
      <c r="BQ903" s="334"/>
      <c r="BR903" s="334"/>
      <c r="BS903" s="334"/>
      <c r="BT903" s="334"/>
      <c r="BU903" s="334"/>
      <c r="BV903" s="334"/>
    </row>
    <row r="904" spans="45:74" x14ac:dyDescent="0.25">
      <c r="AS904" s="154"/>
      <c r="AZ904" s="334"/>
      <c r="BB904" s="334"/>
      <c r="BD904" s="154"/>
      <c r="BO904" s="334"/>
      <c r="BP904" s="334"/>
      <c r="BQ904" s="334"/>
      <c r="BR904" s="334"/>
      <c r="BS904" s="334"/>
      <c r="BT904" s="334"/>
      <c r="BU904" s="334"/>
      <c r="BV904" s="334"/>
    </row>
    <row r="905" spans="45:74" x14ac:dyDescent="0.25">
      <c r="AZ905" s="334"/>
      <c r="BB905" s="334"/>
      <c r="BD905" s="202"/>
      <c r="BO905" s="334"/>
      <c r="BP905" s="334"/>
      <c r="BQ905" s="334"/>
      <c r="BR905" s="334"/>
      <c r="BS905" s="334"/>
      <c r="BT905" s="334"/>
      <c r="BU905" s="334"/>
      <c r="BV905" s="334"/>
    </row>
    <row r="906" spans="45:74" x14ac:dyDescent="0.25">
      <c r="AS906" s="102"/>
      <c r="AT906" s="102"/>
      <c r="AU906" s="102"/>
      <c r="AV906" s="102"/>
      <c r="AW906" s="102"/>
      <c r="AX906" s="102"/>
      <c r="AY906" s="102"/>
      <c r="AZ906" s="335"/>
      <c r="BA906" s="102"/>
      <c r="BB906" s="335"/>
      <c r="BC906" s="102"/>
      <c r="BD906" s="102"/>
      <c r="BE906" s="102"/>
      <c r="BO906" s="334"/>
      <c r="BP906" s="334"/>
      <c r="BQ906" s="334"/>
      <c r="BR906" s="334"/>
      <c r="BS906" s="334"/>
      <c r="BT906" s="334"/>
      <c r="BU906" s="334"/>
      <c r="BV906" s="334"/>
    </row>
    <row r="907" spans="45:74" x14ac:dyDescent="0.25">
      <c r="AX907" s="154"/>
      <c r="AZ907" s="334"/>
      <c r="BB907" s="334"/>
      <c r="BO907" s="334"/>
      <c r="BP907" s="334"/>
      <c r="BQ907" s="334"/>
      <c r="BR907" s="334"/>
      <c r="BS907" s="334"/>
      <c r="BT907" s="334"/>
      <c r="BU907" s="334"/>
      <c r="BV907" s="334"/>
    </row>
    <row r="908" spans="45:74" x14ac:dyDescent="0.25">
      <c r="AX908" s="102"/>
      <c r="AY908" s="102"/>
      <c r="AZ908" s="335"/>
      <c r="BA908" s="102"/>
      <c r="BB908" s="334"/>
      <c r="BC908" s="103"/>
      <c r="BD908" s="103"/>
      <c r="BO908" s="334"/>
      <c r="BP908" s="334"/>
      <c r="BQ908" s="334"/>
      <c r="BR908" s="334"/>
      <c r="BS908" s="334"/>
      <c r="BT908" s="334"/>
      <c r="BU908" s="334"/>
      <c r="BV908" s="334"/>
    </row>
    <row r="909" spans="45:74" x14ac:dyDescent="0.25">
      <c r="AV909" s="103"/>
      <c r="AW909" s="103"/>
      <c r="AZ909" s="336"/>
      <c r="BA909" s="103"/>
      <c r="BB909" s="334"/>
      <c r="BC909" s="103"/>
      <c r="BD909" s="103"/>
      <c r="BE909" s="103"/>
      <c r="BG909" s="102"/>
      <c r="BH909" s="154"/>
      <c r="BK909" s="102"/>
      <c r="BM909" s="102"/>
      <c r="BN909" s="154"/>
      <c r="BQ909" s="102"/>
    </row>
    <row r="910" spans="45:74" x14ac:dyDescent="0.25">
      <c r="AV910" s="103"/>
      <c r="AW910" s="103"/>
      <c r="AX910" s="103"/>
      <c r="AY910" s="103"/>
      <c r="AZ910" s="336"/>
      <c r="BA910" s="103"/>
      <c r="BB910" s="336"/>
      <c r="BC910" s="103"/>
      <c r="BD910" s="103"/>
      <c r="BE910" s="103"/>
      <c r="BH910" s="103"/>
      <c r="BI910" s="103"/>
      <c r="BN910" s="103"/>
      <c r="BO910" s="103"/>
    </row>
    <row r="911" spans="45:74" x14ac:dyDescent="0.25">
      <c r="AS911" s="103"/>
      <c r="AU911" s="154"/>
      <c r="AV911" s="103"/>
      <c r="AW911" s="103"/>
      <c r="AX911" s="103"/>
      <c r="AY911" s="103"/>
      <c r="AZ911" s="336"/>
      <c r="BA911" s="103"/>
      <c r="BB911" s="336"/>
      <c r="BC911" s="103"/>
      <c r="BD911" s="103"/>
      <c r="BE911" s="103"/>
      <c r="BG911" s="103"/>
      <c r="BH911" s="103"/>
      <c r="BI911" s="103"/>
      <c r="BJ911" s="103"/>
      <c r="BK911" s="103"/>
      <c r="BM911" s="103"/>
      <c r="BN911" s="103"/>
      <c r="BO911" s="103"/>
      <c r="BP911" s="103"/>
      <c r="BQ911" s="103"/>
    </row>
    <row r="912" spans="45:74" x14ac:dyDescent="0.25">
      <c r="AS912" s="103"/>
      <c r="AU912" s="154"/>
      <c r="AV912" s="103"/>
      <c r="AW912" s="103"/>
      <c r="AX912" s="103"/>
      <c r="AY912" s="103"/>
      <c r="AZ912" s="336"/>
      <c r="BA912" s="103"/>
      <c r="BB912" s="336"/>
      <c r="BC912" s="103"/>
      <c r="BD912" s="103"/>
      <c r="BE912" s="103"/>
      <c r="BG912" s="103"/>
      <c r="BH912" s="103"/>
      <c r="BI912" s="103"/>
      <c r="BJ912" s="103"/>
      <c r="BK912" s="103"/>
      <c r="BM912" s="103"/>
      <c r="BN912" s="103"/>
      <c r="BO912" s="103"/>
      <c r="BP912" s="103"/>
      <c r="BQ912" s="103"/>
    </row>
    <row r="913" spans="45:71" x14ac:dyDescent="0.25">
      <c r="AS913" s="102"/>
      <c r="AT913" s="102"/>
      <c r="AU913" s="102"/>
      <c r="AV913" s="102"/>
      <c r="AW913" s="102"/>
      <c r="AX913" s="102"/>
      <c r="AY913" s="102"/>
      <c r="AZ913" s="335"/>
      <c r="BA913" s="102"/>
      <c r="BB913" s="335"/>
      <c r="BC913" s="102"/>
      <c r="BD913" s="102"/>
      <c r="BE913" s="102"/>
      <c r="BG913" s="102"/>
      <c r="BH913" s="102"/>
      <c r="BI913" s="102"/>
      <c r="BJ913" s="102"/>
      <c r="BK913" s="102"/>
      <c r="BM913" s="102"/>
      <c r="BN913" s="102"/>
      <c r="BO913" s="102"/>
      <c r="BP913" s="102"/>
      <c r="BQ913" s="102"/>
    </row>
    <row r="914" spans="45:71" x14ac:dyDescent="0.25">
      <c r="AV914" s="103"/>
      <c r="AW914" s="103"/>
      <c r="AX914" s="103"/>
      <c r="AY914" s="103"/>
      <c r="AZ914" s="336"/>
      <c r="BA914" s="103"/>
      <c r="BB914" s="336"/>
      <c r="BC914" s="103"/>
      <c r="BD914" s="103"/>
      <c r="BE914" s="103"/>
      <c r="BG914" s="334"/>
      <c r="BH914" s="334"/>
      <c r="BI914" s="334"/>
      <c r="BJ914" s="334"/>
      <c r="BK914" s="334"/>
      <c r="BL914" s="334"/>
      <c r="BM914" s="334"/>
      <c r="BN914" s="334"/>
      <c r="BO914" s="334"/>
      <c r="BP914" s="334"/>
      <c r="BQ914" s="334"/>
    </row>
    <row r="915" spans="45:71" x14ac:dyDescent="0.25">
      <c r="AS915" s="202"/>
      <c r="AT915" s="154"/>
      <c r="AV915" s="200"/>
      <c r="AW915" s="200"/>
      <c r="AX915" s="334"/>
      <c r="AY915" s="334"/>
      <c r="AZ915" s="334"/>
      <c r="BA915" s="201"/>
      <c r="BB915" s="334"/>
      <c r="BC915" s="334"/>
      <c r="BD915" s="334"/>
      <c r="BE915" s="201"/>
      <c r="BG915" s="334"/>
      <c r="BH915" s="334"/>
      <c r="BI915" s="334"/>
      <c r="BJ915" s="334"/>
      <c r="BK915" s="334"/>
      <c r="BL915" s="334"/>
      <c r="BM915" s="334"/>
      <c r="BN915" s="334"/>
      <c r="BO915" s="334"/>
      <c r="BP915" s="334"/>
      <c r="BQ915" s="334"/>
      <c r="BR915" s="334"/>
      <c r="BS915" s="334"/>
    </row>
    <row r="916" spans="45:71" x14ac:dyDescent="0.25">
      <c r="AS916" s="202"/>
      <c r="AV916" s="200"/>
      <c r="AW916" s="200"/>
      <c r="AX916" s="334"/>
      <c r="AY916" s="334"/>
      <c r="AZ916" s="334"/>
      <c r="BA916" s="201"/>
      <c r="BB916" s="334"/>
      <c r="BC916" s="334"/>
      <c r="BD916" s="334"/>
      <c r="BE916" s="201"/>
      <c r="BG916" s="334"/>
      <c r="BH916" s="334"/>
      <c r="BI916" s="334"/>
      <c r="BJ916" s="334"/>
      <c r="BK916" s="334"/>
      <c r="BL916" s="334"/>
      <c r="BM916" s="334"/>
      <c r="BN916" s="334"/>
      <c r="BO916" s="334"/>
      <c r="BP916" s="334"/>
      <c r="BQ916" s="334"/>
      <c r="BR916" s="334"/>
      <c r="BS916" s="334"/>
    </row>
    <row r="917" spans="45:71" x14ac:dyDescent="0.25">
      <c r="AS917" s="202"/>
      <c r="AV917" s="200"/>
      <c r="AW917" s="200"/>
      <c r="AX917" s="334"/>
      <c r="AY917" s="334"/>
      <c r="AZ917" s="334"/>
      <c r="BA917" s="201"/>
      <c r="BB917" s="334"/>
      <c r="BC917" s="334"/>
      <c r="BD917" s="334"/>
      <c r="BE917" s="201"/>
      <c r="BG917" s="334"/>
      <c r="BH917" s="334"/>
      <c r="BI917" s="334"/>
      <c r="BJ917" s="334"/>
      <c r="BK917" s="334"/>
      <c r="BL917" s="334"/>
      <c r="BM917" s="334"/>
      <c r="BN917" s="334"/>
      <c r="BO917" s="334"/>
      <c r="BP917" s="334"/>
      <c r="BQ917" s="334"/>
      <c r="BR917" s="334"/>
      <c r="BS917" s="334"/>
    </row>
    <row r="918" spans="45:71" x14ac:dyDescent="0.25">
      <c r="AS918" s="202"/>
      <c r="AV918" s="200"/>
      <c r="AW918" s="200"/>
      <c r="AX918" s="334"/>
      <c r="AY918" s="334"/>
      <c r="AZ918" s="334"/>
      <c r="BA918" s="201"/>
      <c r="BB918" s="334"/>
      <c r="BC918" s="334"/>
      <c r="BD918" s="334"/>
      <c r="BE918" s="201"/>
      <c r="BG918" s="334"/>
      <c r="BH918" s="334"/>
      <c r="BI918" s="334"/>
      <c r="BJ918" s="334"/>
      <c r="BK918" s="334"/>
      <c r="BL918" s="334"/>
      <c r="BM918" s="334"/>
      <c r="BN918" s="334"/>
      <c r="BO918" s="334"/>
      <c r="BP918" s="334"/>
      <c r="BQ918" s="334"/>
      <c r="BR918" s="334"/>
      <c r="BS918" s="334"/>
    </row>
    <row r="919" spans="45:71" x14ac:dyDescent="0.25">
      <c r="AS919" s="202"/>
      <c r="AV919" s="200"/>
      <c r="AW919" s="200"/>
      <c r="AX919" s="334"/>
      <c r="AY919" s="334"/>
      <c r="AZ919" s="334"/>
      <c r="BA919" s="201"/>
      <c r="BB919" s="334"/>
      <c r="BC919" s="334"/>
      <c r="BD919" s="334"/>
      <c r="BE919" s="201"/>
      <c r="BG919" s="334"/>
      <c r="BH919" s="334"/>
      <c r="BI919" s="334"/>
      <c r="BJ919" s="334"/>
      <c r="BK919" s="334"/>
      <c r="BL919" s="334"/>
      <c r="BM919" s="334"/>
      <c r="BN919" s="334"/>
      <c r="BO919" s="334"/>
      <c r="BP919" s="334"/>
      <c r="BQ919" s="334"/>
      <c r="BR919" s="334"/>
      <c r="BS919" s="334"/>
    </row>
    <row r="920" spans="45:71" x14ac:dyDescent="0.25">
      <c r="AS920" s="202"/>
      <c r="AV920" s="200"/>
      <c r="AW920" s="200"/>
      <c r="AX920" s="334"/>
      <c r="AY920" s="334"/>
      <c r="AZ920" s="334"/>
      <c r="BA920" s="201"/>
      <c r="BB920" s="334"/>
      <c r="BC920" s="334"/>
      <c r="BD920" s="334"/>
      <c r="BE920" s="201"/>
      <c r="BG920" s="334"/>
      <c r="BH920" s="334"/>
      <c r="BI920" s="334"/>
      <c r="BJ920" s="334"/>
      <c r="BK920" s="334"/>
      <c r="BL920" s="334"/>
      <c r="BM920" s="334"/>
      <c r="BN920" s="334"/>
      <c r="BO920" s="334"/>
      <c r="BP920" s="334"/>
      <c r="BQ920" s="334"/>
      <c r="BR920" s="334"/>
      <c r="BS920" s="334"/>
    </row>
    <row r="921" spans="45:71" x14ac:dyDescent="0.25">
      <c r="AS921" s="202"/>
      <c r="AV921" s="200"/>
      <c r="AW921" s="200"/>
      <c r="AX921" s="334"/>
      <c r="AY921" s="334"/>
      <c r="AZ921" s="334"/>
      <c r="BA921" s="201"/>
      <c r="BB921" s="334"/>
      <c r="BC921" s="334"/>
      <c r="BD921" s="334"/>
      <c r="BE921" s="201"/>
      <c r="BG921" s="334"/>
      <c r="BH921" s="334"/>
      <c r="BI921" s="334"/>
      <c r="BJ921" s="334"/>
      <c r="BK921" s="334"/>
      <c r="BL921" s="334"/>
      <c r="BM921" s="334"/>
      <c r="BN921" s="334"/>
      <c r="BO921" s="334"/>
      <c r="BP921" s="334"/>
      <c r="BQ921" s="334"/>
      <c r="BR921" s="334"/>
      <c r="BS921" s="334"/>
    </row>
    <row r="922" spans="45:71" x14ac:dyDescent="0.25">
      <c r="AS922" s="202"/>
      <c r="AV922" s="200"/>
      <c r="AW922" s="200"/>
      <c r="AX922" s="334"/>
      <c r="AY922" s="334"/>
      <c r="AZ922" s="334"/>
      <c r="BA922" s="201"/>
      <c r="BB922" s="334"/>
      <c r="BC922" s="334"/>
      <c r="BD922" s="334"/>
      <c r="BE922" s="201"/>
      <c r="BG922" s="334"/>
      <c r="BH922" s="334"/>
      <c r="BI922" s="334"/>
      <c r="BJ922" s="334"/>
      <c r="BK922" s="334"/>
      <c r="BL922" s="334"/>
      <c r="BM922" s="334"/>
      <c r="BN922" s="334"/>
      <c r="BO922" s="334"/>
      <c r="BP922" s="334"/>
      <c r="BQ922" s="334"/>
      <c r="BR922" s="334"/>
      <c r="BS922" s="334"/>
    </row>
    <row r="923" spans="45:71" x14ac:dyDescent="0.25">
      <c r="AS923" s="202"/>
      <c r="AV923" s="200"/>
      <c r="AW923" s="200"/>
      <c r="AX923" s="334"/>
      <c r="AY923" s="334"/>
      <c r="AZ923" s="334"/>
      <c r="BA923" s="201"/>
      <c r="BB923" s="334"/>
      <c r="BC923" s="334"/>
      <c r="BD923" s="334"/>
      <c r="BE923" s="201"/>
      <c r="BG923" s="334"/>
      <c r="BH923" s="334"/>
      <c r="BI923" s="334"/>
      <c r="BJ923" s="334"/>
      <c r="BK923" s="334"/>
      <c r="BL923" s="334"/>
      <c r="BM923" s="334"/>
      <c r="BN923" s="334"/>
      <c r="BO923" s="334"/>
      <c r="BP923" s="334"/>
      <c r="BQ923" s="334"/>
      <c r="BR923" s="334"/>
      <c r="BS923" s="334"/>
    </row>
    <row r="924" spans="45:71" x14ac:dyDescent="0.25">
      <c r="AS924" s="202"/>
      <c r="AV924" s="200"/>
      <c r="AW924" s="200"/>
      <c r="AX924" s="334"/>
      <c r="AY924" s="334"/>
      <c r="AZ924" s="334"/>
      <c r="BA924" s="201"/>
      <c r="BB924" s="334"/>
      <c r="BC924" s="334"/>
      <c r="BD924" s="334"/>
      <c r="BE924" s="201"/>
      <c r="BG924" s="334"/>
      <c r="BH924" s="334"/>
      <c r="BI924" s="334"/>
      <c r="BJ924" s="334"/>
      <c r="BK924" s="334"/>
      <c r="BL924" s="334"/>
      <c r="BM924" s="334"/>
      <c r="BN924" s="334"/>
      <c r="BO924" s="334"/>
      <c r="BP924" s="334"/>
      <c r="BQ924" s="334"/>
      <c r="BR924" s="334"/>
      <c r="BS924" s="334"/>
    </row>
    <row r="925" spans="45:71" x14ac:dyDescent="0.25">
      <c r="AS925" s="202"/>
      <c r="AV925" s="200"/>
      <c r="AW925" s="200"/>
      <c r="AX925" s="334"/>
      <c r="AY925" s="334"/>
      <c r="AZ925" s="334"/>
      <c r="BA925" s="201"/>
      <c r="BB925" s="334"/>
      <c r="BC925" s="334"/>
      <c r="BD925" s="334"/>
      <c r="BE925" s="201"/>
      <c r="BG925" s="334"/>
      <c r="BH925" s="334"/>
      <c r="BI925" s="334"/>
      <c r="BJ925" s="334"/>
      <c r="BK925" s="334"/>
      <c r="BL925" s="334"/>
      <c r="BM925" s="334"/>
      <c r="BN925" s="334"/>
      <c r="BO925" s="334"/>
      <c r="BP925" s="334"/>
      <c r="BQ925" s="334"/>
      <c r="BR925" s="334"/>
      <c r="BS925" s="334"/>
    </row>
    <row r="926" spans="45:71" x14ac:dyDescent="0.25">
      <c r="AS926" s="202"/>
      <c r="AV926" s="200"/>
      <c r="AW926" s="200"/>
      <c r="AX926" s="334"/>
      <c r="AY926" s="334"/>
      <c r="AZ926" s="334"/>
      <c r="BA926" s="201"/>
      <c r="BB926" s="334"/>
      <c r="BC926" s="334"/>
      <c r="BD926" s="334"/>
      <c r="BE926" s="201"/>
      <c r="BG926" s="334"/>
      <c r="BH926" s="334"/>
      <c r="BI926" s="334"/>
      <c r="BJ926" s="334"/>
      <c r="BK926" s="334"/>
      <c r="BL926" s="334"/>
      <c r="BM926" s="334"/>
      <c r="BN926" s="334"/>
      <c r="BO926" s="334"/>
      <c r="BP926" s="334"/>
      <c r="BQ926" s="334"/>
      <c r="BR926" s="334"/>
      <c r="BS926" s="334"/>
    </row>
    <row r="927" spans="45:71" x14ac:dyDescent="0.25">
      <c r="AS927" s="202"/>
      <c r="AV927" s="200"/>
      <c r="AW927" s="200"/>
      <c r="AX927" s="334"/>
      <c r="AY927" s="334"/>
      <c r="AZ927" s="334"/>
      <c r="BA927" s="201"/>
      <c r="BB927" s="334"/>
      <c r="BC927" s="334"/>
      <c r="BD927" s="334"/>
      <c r="BE927" s="201"/>
      <c r="BG927" s="334"/>
      <c r="BH927" s="334"/>
      <c r="BI927" s="334"/>
      <c r="BJ927" s="334"/>
      <c r="BK927" s="334"/>
      <c r="BL927" s="334"/>
      <c r="BM927" s="334"/>
      <c r="BN927" s="334"/>
      <c r="BO927" s="334"/>
      <c r="BP927" s="334"/>
      <c r="BQ927" s="334"/>
      <c r="BR927" s="334"/>
      <c r="BS927" s="334"/>
    </row>
    <row r="928" spans="45:71" x14ac:dyDescent="0.25">
      <c r="AS928" s="202"/>
      <c r="AV928" s="200"/>
      <c r="AW928" s="200"/>
      <c r="AX928" s="334"/>
      <c r="AY928" s="334"/>
      <c r="AZ928" s="334"/>
      <c r="BA928" s="201"/>
      <c r="BB928" s="334"/>
      <c r="BC928" s="334"/>
      <c r="BD928" s="334"/>
      <c r="BE928" s="201"/>
      <c r="BG928" s="334"/>
      <c r="BH928" s="334"/>
      <c r="BI928" s="334"/>
      <c r="BJ928" s="334"/>
      <c r="BK928" s="334"/>
      <c r="BL928" s="334"/>
      <c r="BM928" s="334"/>
      <c r="BN928" s="334"/>
      <c r="BO928" s="334"/>
      <c r="BP928" s="334"/>
      <c r="BQ928" s="334"/>
      <c r="BR928" s="334"/>
      <c r="BS928" s="334"/>
    </row>
    <row r="929" spans="45:71" x14ac:dyDescent="0.25">
      <c r="AS929" s="202"/>
      <c r="AV929" s="200"/>
      <c r="AW929" s="200"/>
      <c r="AX929" s="334"/>
      <c r="AY929" s="334"/>
      <c r="AZ929" s="334"/>
      <c r="BA929" s="201"/>
      <c r="BB929" s="334"/>
      <c r="BC929" s="334"/>
      <c r="BD929" s="334"/>
      <c r="BE929" s="201"/>
      <c r="BG929" s="334"/>
      <c r="BH929" s="334"/>
      <c r="BI929" s="334"/>
      <c r="BJ929" s="334"/>
      <c r="BK929" s="334"/>
      <c r="BL929" s="334"/>
      <c r="BM929" s="334"/>
      <c r="BN929" s="334"/>
      <c r="BO929" s="334"/>
      <c r="BP929" s="334"/>
      <c r="BQ929" s="334"/>
      <c r="BR929" s="334"/>
      <c r="BS929" s="334"/>
    </row>
    <row r="930" spans="45:71" x14ac:dyDescent="0.25">
      <c r="AS930" s="202"/>
      <c r="AV930" s="200"/>
      <c r="AW930" s="200"/>
      <c r="AX930" s="334"/>
      <c r="AY930" s="334"/>
      <c r="AZ930" s="334"/>
      <c r="BA930" s="201"/>
      <c r="BB930" s="334"/>
      <c r="BC930" s="334"/>
      <c r="BD930" s="334"/>
      <c r="BE930" s="201"/>
      <c r="BG930" s="334"/>
      <c r="BH930" s="334"/>
      <c r="BI930" s="334"/>
      <c r="BJ930" s="334"/>
      <c r="BK930" s="334"/>
      <c r="BL930" s="334"/>
      <c r="BM930" s="334"/>
      <c r="BN930" s="334"/>
      <c r="BO930" s="334"/>
      <c r="BP930" s="334"/>
      <c r="BQ930" s="334"/>
      <c r="BR930" s="334"/>
      <c r="BS930" s="334"/>
    </row>
    <row r="931" spans="45:71" x14ac:dyDescent="0.25">
      <c r="AS931" s="202"/>
      <c r="AV931" s="200"/>
      <c r="AW931" s="200"/>
      <c r="AX931" s="334"/>
      <c r="AY931" s="334"/>
      <c r="AZ931" s="334"/>
      <c r="BA931" s="201"/>
      <c r="BB931" s="334"/>
      <c r="BC931" s="334"/>
      <c r="BD931" s="334"/>
      <c r="BE931" s="201"/>
      <c r="BG931" s="334"/>
      <c r="BH931" s="334"/>
      <c r="BI931" s="334"/>
      <c r="BJ931" s="334"/>
      <c r="BK931" s="334"/>
      <c r="BL931" s="334"/>
      <c r="BM931" s="334"/>
      <c r="BN931" s="334"/>
      <c r="BO931" s="334"/>
      <c r="BP931" s="334"/>
      <c r="BQ931" s="334"/>
      <c r="BR931" s="334"/>
      <c r="BS931" s="334"/>
    </row>
    <row r="932" spans="45:71" x14ac:dyDescent="0.25">
      <c r="AS932" s="202"/>
      <c r="AV932" s="200"/>
      <c r="AW932" s="200"/>
      <c r="AX932" s="334"/>
      <c r="AY932" s="334"/>
      <c r="AZ932" s="334"/>
      <c r="BA932" s="201"/>
      <c r="BB932" s="334"/>
      <c r="BC932" s="334"/>
      <c r="BD932" s="334"/>
      <c r="BE932" s="201"/>
      <c r="BG932" s="334"/>
      <c r="BH932" s="334"/>
      <c r="BI932" s="334"/>
      <c r="BJ932" s="334"/>
      <c r="BK932" s="334"/>
      <c r="BL932" s="334"/>
      <c r="BM932" s="334"/>
      <c r="BN932" s="334"/>
      <c r="BO932" s="334"/>
      <c r="BP932" s="334"/>
      <c r="BQ932" s="334"/>
      <c r="BR932" s="334"/>
      <c r="BS932" s="334"/>
    </row>
    <row r="933" spans="45:71" x14ac:dyDescent="0.25">
      <c r="AZ933" s="334"/>
      <c r="BB933" s="334"/>
      <c r="BC933" s="334"/>
      <c r="BD933" s="334"/>
      <c r="BG933" s="334"/>
      <c r="BH933" s="334"/>
      <c r="BI933" s="334"/>
      <c r="BJ933" s="334"/>
      <c r="BK933" s="334"/>
      <c r="BL933" s="334"/>
      <c r="BM933" s="334"/>
      <c r="BN933" s="334"/>
      <c r="BO933" s="334"/>
      <c r="BP933" s="334"/>
      <c r="BQ933" s="334"/>
      <c r="BR933" s="334"/>
      <c r="BS933" s="334"/>
    </row>
    <row r="934" spans="45:71" x14ac:dyDescent="0.25">
      <c r="AS934" s="202"/>
      <c r="AT934" s="154"/>
      <c r="AV934" s="200"/>
      <c r="AW934" s="200"/>
      <c r="AX934" s="334"/>
      <c r="AY934" s="334"/>
      <c r="AZ934" s="334"/>
      <c r="BA934" s="201"/>
      <c r="BB934" s="334"/>
      <c r="BC934" s="334"/>
      <c r="BD934" s="334"/>
      <c r="BE934" s="201"/>
    </row>
    <row r="935" spans="45:71" x14ac:dyDescent="0.25">
      <c r="AS935" s="202"/>
      <c r="AV935" s="200"/>
      <c r="AW935" s="200"/>
      <c r="AX935" s="334"/>
      <c r="AY935" s="334"/>
      <c r="AZ935" s="334"/>
      <c r="BA935" s="201"/>
      <c r="BB935" s="334"/>
      <c r="BC935" s="334"/>
      <c r="BD935" s="334"/>
      <c r="BE935" s="201"/>
    </row>
    <row r="936" spans="45:71" x14ac:dyDescent="0.25">
      <c r="AS936" s="202"/>
      <c r="AV936" s="200"/>
      <c r="AW936" s="200"/>
      <c r="AX936" s="334"/>
      <c r="AY936" s="334"/>
      <c r="AZ936" s="334"/>
      <c r="BA936" s="201"/>
      <c r="BB936" s="334"/>
      <c r="BC936" s="334"/>
      <c r="BD936" s="334"/>
      <c r="BE936" s="201"/>
    </row>
    <row r="937" spans="45:71" x14ac:dyDescent="0.25">
      <c r="AS937" s="202"/>
      <c r="AV937" s="200"/>
      <c r="AW937" s="200"/>
      <c r="AX937" s="334"/>
      <c r="AY937" s="334"/>
      <c r="AZ937" s="334"/>
      <c r="BA937" s="201"/>
      <c r="BB937" s="334"/>
      <c r="BC937" s="334"/>
      <c r="BD937" s="334"/>
      <c r="BE937" s="201"/>
    </row>
    <row r="938" spans="45:71" x14ac:dyDescent="0.25">
      <c r="AS938" s="202"/>
      <c r="AV938" s="200"/>
      <c r="AW938" s="200"/>
      <c r="AX938" s="334"/>
      <c r="AY938" s="334"/>
      <c r="AZ938" s="334"/>
      <c r="BA938" s="201"/>
      <c r="BB938" s="334"/>
      <c r="BC938" s="334"/>
      <c r="BD938" s="334"/>
      <c r="BE938" s="201"/>
    </row>
    <row r="939" spans="45:71" x14ac:dyDescent="0.25">
      <c r="AS939" s="202"/>
      <c r="AV939" s="200"/>
      <c r="AW939" s="200"/>
      <c r="AX939" s="334"/>
      <c r="AY939" s="334"/>
      <c r="AZ939" s="334"/>
      <c r="BA939" s="201"/>
      <c r="BB939" s="334"/>
      <c r="BC939" s="334"/>
      <c r="BD939" s="334"/>
      <c r="BE939" s="201"/>
    </row>
    <row r="940" spans="45:71" x14ac:dyDescent="0.25">
      <c r="AS940" s="202"/>
      <c r="AV940" s="200"/>
      <c r="AW940" s="200"/>
      <c r="AX940" s="334"/>
      <c r="AY940" s="334"/>
      <c r="AZ940" s="334"/>
      <c r="BA940" s="201"/>
      <c r="BB940" s="334"/>
      <c r="BC940" s="334"/>
      <c r="BD940" s="334"/>
      <c r="BE940" s="201"/>
    </row>
    <row r="941" spans="45:71" x14ac:dyDescent="0.25">
      <c r="AS941" s="202"/>
      <c r="AV941" s="200"/>
      <c r="AW941" s="200"/>
      <c r="AX941" s="334"/>
      <c r="AY941" s="334"/>
      <c r="AZ941" s="334"/>
      <c r="BA941" s="201"/>
      <c r="BB941" s="334"/>
      <c r="BC941" s="334"/>
      <c r="BD941" s="334"/>
      <c r="BE941" s="201"/>
    </row>
    <row r="942" spans="45:71" x14ac:dyDescent="0.25">
      <c r="AS942" s="202"/>
      <c r="AV942" s="200"/>
      <c r="AW942" s="200"/>
      <c r="AX942" s="334"/>
      <c r="AY942" s="334"/>
      <c r="AZ942" s="334"/>
      <c r="BA942" s="201"/>
      <c r="BB942" s="334"/>
      <c r="BC942" s="334"/>
      <c r="BD942" s="334"/>
      <c r="BE942" s="201"/>
    </row>
    <row r="943" spans="45:71" x14ac:dyDescent="0.25">
      <c r="AS943" s="202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4" spans="45:71" x14ac:dyDescent="0.25">
      <c r="AS944" s="202"/>
      <c r="AV944" s="200"/>
      <c r="AW944" s="200"/>
      <c r="AX944" s="334"/>
      <c r="AY944" s="334"/>
      <c r="AZ944" s="334"/>
      <c r="BA944" s="201"/>
      <c r="BB944" s="334"/>
      <c r="BC944" s="334"/>
      <c r="BD944" s="334"/>
      <c r="BE944" s="201"/>
    </row>
    <row r="945" spans="45:57" x14ac:dyDescent="0.25">
      <c r="AS945" s="202"/>
      <c r="AV945" s="200"/>
      <c r="AW945" s="200"/>
      <c r="AX945" s="334"/>
      <c r="AY945" s="334"/>
      <c r="AZ945" s="334"/>
      <c r="BA945" s="201"/>
      <c r="BB945" s="334"/>
      <c r="BC945" s="334"/>
      <c r="BD945" s="334"/>
      <c r="BE945" s="201"/>
    </row>
    <row r="946" spans="45:57" x14ac:dyDescent="0.25">
      <c r="AS946" s="202"/>
      <c r="AV946" s="200"/>
      <c r="AW946" s="200"/>
      <c r="AX946" s="334"/>
      <c r="AY946" s="334"/>
      <c r="AZ946" s="334"/>
      <c r="BA946" s="201"/>
      <c r="BB946" s="334"/>
      <c r="BC946" s="334"/>
      <c r="BD946" s="334"/>
      <c r="BE946" s="201"/>
    </row>
    <row r="947" spans="45:57" x14ac:dyDescent="0.25">
      <c r="AS947" s="202"/>
      <c r="AV947" s="200"/>
      <c r="AW947" s="200"/>
      <c r="AX947" s="334"/>
      <c r="AY947" s="334"/>
      <c r="AZ947" s="334"/>
      <c r="BA947" s="201"/>
      <c r="BB947" s="334"/>
      <c r="BC947" s="334"/>
      <c r="BD947" s="334"/>
      <c r="BE947" s="201"/>
    </row>
    <row r="948" spans="45:57" x14ac:dyDescent="0.25">
      <c r="AS948" s="202"/>
      <c r="AV948" s="200"/>
      <c r="AW948" s="200"/>
      <c r="AX948" s="334"/>
      <c r="AY948" s="334"/>
      <c r="AZ948" s="334"/>
      <c r="BA948" s="201"/>
      <c r="BB948" s="334"/>
      <c r="BC948" s="334"/>
      <c r="BD948" s="334"/>
      <c r="BE948" s="201"/>
    </row>
    <row r="949" spans="45:57" x14ac:dyDescent="0.25">
      <c r="AS949" s="202"/>
      <c r="AV949" s="200"/>
      <c r="AW949" s="200"/>
      <c r="AX949" s="334"/>
      <c r="AY949" s="334"/>
      <c r="AZ949" s="334"/>
      <c r="BA949" s="201"/>
      <c r="BB949" s="334"/>
      <c r="BC949" s="334"/>
      <c r="BD949" s="334"/>
      <c r="BE949" s="201"/>
    </row>
    <row r="950" spans="45:57" x14ac:dyDescent="0.25">
      <c r="AS950" s="202"/>
      <c r="AV950" s="200"/>
      <c r="AW950" s="200"/>
      <c r="AX950" s="334"/>
      <c r="AY950" s="334"/>
      <c r="AZ950" s="334"/>
      <c r="BA950" s="201"/>
      <c r="BB950" s="334"/>
      <c r="BC950" s="334"/>
      <c r="BD950" s="334"/>
      <c r="BE950" s="201"/>
    </row>
    <row r="951" spans="45:57" x14ac:dyDescent="0.25">
      <c r="AS951" s="202"/>
      <c r="AV951" s="200"/>
      <c r="AW951" s="200"/>
      <c r="AX951" s="334"/>
      <c r="AY951" s="334"/>
      <c r="AZ951" s="334"/>
      <c r="BA951" s="201"/>
      <c r="BB951" s="334"/>
      <c r="BC951" s="334"/>
      <c r="BD951" s="334"/>
      <c r="BE951" s="201"/>
    </row>
    <row r="952" spans="45:57" x14ac:dyDescent="0.25">
      <c r="BB952" s="334"/>
    </row>
    <row r="953" spans="45:57" x14ac:dyDescent="0.25">
      <c r="AU953" s="154"/>
      <c r="BB953" s="334"/>
    </row>
    <row r="954" spans="45:57" x14ac:dyDescent="0.25">
      <c r="AU954" s="154"/>
    </row>
    <row r="955" spans="45:57" x14ac:dyDescent="0.25">
      <c r="AU955" s="154"/>
      <c r="BB955" s="334"/>
    </row>
    <row r="956" spans="45:57" x14ac:dyDescent="0.25">
      <c r="AS956" s="154"/>
      <c r="AZ956" s="334"/>
      <c r="BB956" s="334"/>
    </row>
    <row r="957" spans="45:57" x14ac:dyDescent="0.25">
      <c r="AY957" s="202"/>
      <c r="AZ957" s="334"/>
      <c r="BB957" s="334"/>
    </row>
    <row r="958" spans="45:57" x14ac:dyDescent="0.25">
      <c r="AY958" s="334"/>
      <c r="AZ958" s="334"/>
      <c r="BB958" s="334"/>
    </row>
    <row r="959" spans="45:57" x14ac:dyDescent="0.25">
      <c r="AY959" s="154"/>
      <c r="AZ959" s="334"/>
      <c r="BB959" s="334"/>
    </row>
    <row r="960" spans="45:57" x14ac:dyDescent="0.25">
      <c r="AY960" s="154"/>
      <c r="AZ960" s="334"/>
      <c r="BB960" s="334"/>
    </row>
    <row r="961" spans="45:57" x14ac:dyDescent="0.25">
      <c r="AS961" s="202"/>
      <c r="AZ961" s="334"/>
      <c r="BB961" s="334"/>
      <c r="BD961" s="154"/>
    </row>
    <row r="962" spans="45:57" x14ac:dyDescent="0.25">
      <c r="AS962" s="202"/>
      <c r="AZ962" s="334"/>
      <c r="BB962" s="334"/>
      <c r="BD962" s="154"/>
    </row>
    <row r="963" spans="45:57" x14ac:dyDescent="0.25">
      <c r="AS963" s="154"/>
      <c r="AZ963" s="334"/>
      <c r="BB963" s="334"/>
      <c r="BD963" s="154"/>
    </row>
    <row r="964" spans="45:57" x14ac:dyDescent="0.25">
      <c r="AZ964" s="334"/>
      <c r="BB964" s="334"/>
      <c r="BD964" s="202"/>
    </row>
    <row r="965" spans="45:57" x14ac:dyDescent="0.25">
      <c r="AS965" s="102"/>
      <c r="AT965" s="102"/>
      <c r="AU965" s="102"/>
      <c r="AV965" s="102"/>
      <c r="AW965" s="102"/>
      <c r="AX965" s="102"/>
      <c r="AY965" s="102"/>
      <c r="AZ965" s="335"/>
      <c r="BA965" s="102"/>
      <c r="BB965" s="335"/>
      <c r="BC965" s="102"/>
      <c r="BD965" s="102"/>
      <c r="BE965" s="102"/>
    </row>
    <row r="966" spans="45:57" x14ac:dyDescent="0.25">
      <c r="AX966" s="154"/>
      <c r="AZ966" s="334"/>
      <c r="BB966" s="334"/>
    </row>
    <row r="967" spans="45:57" x14ac:dyDescent="0.25">
      <c r="AX967" s="102"/>
      <c r="AY967" s="102"/>
      <c r="AZ967" s="335"/>
      <c r="BA967" s="102"/>
      <c r="BB967" s="334"/>
      <c r="BC967" s="103"/>
      <c r="BD967" s="103"/>
    </row>
    <row r="968" spans="45:57" x14ac:dyDescent="0.25">
      <c r="AV968" s="103"/>
      <c r="AW968" s="103"/>
      <c r="AZ968" s="336"/>
      <c r="BA968" s="103"/>
      <c r="BB968" s="334"/>
      <c r="BC968" s="103"/>
      <c r="BD968" s="103"/>
      <c r="BE968" s="103"/>
    </row>
    <row r="969" spans="45:57" x14ac:dyDescent="0.25">
      <c r="AV969" s="103"/>
      <c r="AW969" s="103"/>
      <c r="AX969" s="103"/>
      <c r="AY969" s="103"/>
      <c r="AZ969" s="336"/>
      <c r="BA969" s="103"/>
      <c r="BB969" s="336"/>
      <c r="BC969" s="103"/>
      <c r="BD969" s="103"/>
      <c r="BE969" s="103"/>
    </row>
    <row r="970" spans="45:57" x14ac:dyDescent="0.25">
      <c r="AS970" s="103"/>
      <c r="AU970" s="154"/>
      <c r="AV970" s="103"/>
      <c r="AW970" s="103"/>
      <c r="AX970" s="103"/>
      <c r="AY970" s="103"/>
      <c r="AZ970" s="336"/>
      <c r="BA970" s="103"/>
      <c r="BB970" s="336"/>
      <c r="BC970" s="103"/>
      <c r="BD970" s="103"/>
      <c r="BE970" s="103"/>
    </row>
    <row r="971" spans="45:57" x14ac:dyDescent="0.25">
      <c r="AS971" s="103"/>
      <c r="AU971" s="154"/>
      <c r="AV971" s="103"/>
      <c r="AW971" s="103"/>
      <c r="AX971" s="103"/>
      <c r="AY971" s="103"/>
      <c r="AZ971" s="336"/>
      <c r="BA971" s="103"/>
      <c r="BB971" s="336"/>
      <c r="BC971" s="103"/>
      <c r="BD971" s="103"/>
      <c r="BE971" s="103"/>
    </row>
    <row r="972" spans="45:57" x14ac:dyDescent="0.25">
      <c r="AS972" s="102"/>
      <c r="AT972" s="102"/>
      <c r="AU972" s="102"/>
      <c r="AV972" s="102"/>
      <c r="AW972" s="102"/>
      <c r="AX972" s="102"/>
      <c r="AY972" s="102"/>
      <c r="AZ972" s="335"/>
      <c r="BA972" s="102"/>
      <c r="BB972" s="335"/>
      <c r="BC972" s="102"/>
      <c r="BD972" s="102"/>
      <c r="BE972" s="102"/>
    </row>
    <row r="973" spans="45:57" x14ac:dyDescent="0.25">
      <c r="AV973" s="103"/>
      <c r="AW973" s="103"/>
      <c r="AX973" s="103"/>
      <c r="AY973" s="103"/>
      <c r="AZ973" s="336"/>
      <c r="BA973" s="103"/>
      <c r="BB973" s="336"/>
      <c r="BC973" s="103"/>
      <c r="BD973" s="103"/>
      <c r="BE973" s="103"/>
    </row>
    <row r="974" spans="45:57" x14ac:dyDescent="0.25">
      <c r="AS974" s="202"/>
      <c r="AT974" s="154"/>
      <c r="AV974" s="200"/>
      <c r="AW974" s="200"/>
      <c r="AX974" s="334"/>
      <c r="AY974" s="334"/>
      <c r="AZ974" s="334"/>
      <c r="BA974" s="201"/>
      <c r="BB974" s="334"/>
      <c r="BC974" s="334"/>
      <c r="BD974" s="334"/>
      <c r="BE974" s="201"/>
    </row>
    <row r="975" spans="45:57" x14ac:dyDescent="0.25">
      <c r="AS975" s="202"/>
      <c r="AV975" s="200"/>
      <c r="AW975" s="200"/>
      <c r="AX975" s="334"/>
      <c r="AY975" s="334"/>
      <c r="AZ975" s="334"/>
      <c r="BA975" s="201"/>
      <c r="BB975" s="334"/>
      <c r="BC975" s="334"/>
      <c r="BD975" s="334"/>
      <c r="BE975" s="201"/>
    </row>
    <row r="976" spans="45:57" x14ac:dyDescent="0.25">
      <c r="AS976" s="202"/>
      <c r="AV976" s="200"/>
      <c r="AW976" s="200"/>
      <c r="AX976" s="334"/>
      <c r="AY976" s="334"/>
      <c r="AZ976" s="334"/>
      <c r="BA976" s="201"/>
      <c r="BB976" s="334"/>
      <c r="BC976" s="334"/>
      <c r="BD976" s="334"/>
      <c r="BE976" s="201"/>
    </row>
    <row r="977" spans="45:57" x14ac:dyDescent="0.25">
      <c r="AS977" s="202"/>
      <c r="AV977" s="200"/>
      <c r="AW977" s="200"/>
      <c r="AX977" s="334"/>
      <c r="AY977" s="334"/>
      <c r="AZ977" s="334"/>
      <c r="BA977" s="201"/>
      <c r="BB977" s="334"/>
      <c r="BC977" s="334"/>
      <c r="BD977" s="334"/>
      <c r="BE977" s="201"/>
    </row>
    <row r="978" spans="45:57" x14ac:dyDescent="0.25">
      <c r="AS978" s="202"/>
      <c r="AV978" s="200"/>
      <c r="AW978" s="200"/>
      <c r="AX978" s="334"/>
      <c r="AY978" s="334"/>
      <c r="AZ978" s="334"/>
      <c r="BA978" s="201"/>
      <c r="BB978" s="334"/>
      <c r="BC978" s="334"/>
      <c r="BD978" s="334"/>
      <c r="BE978" s="201"/>
    </row>
    <row r="979" spans="45:57" x14ac:dyDescent="0.25">
      <c r="AS979" s="202"/>
      <c r="AV979" s="200"/>
      <c r="AW979" s="200"/>
      <c r="AX979" s="334"/>
      <c r="AY979" s="334"/>
      <c r="AZ979" s="334"/>
      <c r="BA979" s="201"/>
      <c r="BB979" s="334"/>
      <c r="BC979" s="334"/>
      <c r="BD979" s="334"/>
      <c r="BE979" s="201"/>
    </row>
    <row r="980" spans="45:57" x14ac:dyDescent="0.25">
      <c r="AS980" s="202"/>
      <c r="AV980" s="200"/>
      <c r="AW980" s="200"/>
      <c r="AX980" s="334"/>
      <c r="AY980" s="334"/>
      <c r="AZ980" s="334"/>
      <c r="BA980" s="201"/>
      <c r="BB980" s="334"/>
      <c r="BC980" s="334"/>
      <c r="BD980" s="334"/>
      <c r="BE980" s="201"/>
    </row>
    <row r="981" spans="45:57" x14ac:dyDescent="0.25">
      <c r="AS981" s="202"/>
      <c r="AV981" s="200"/>
      <c r="AW981" s="200"/>
      <c r="AX981" s="334"/>
      <c r="AY981" s="334"/>
      <c r="AZ981" s="334"/>
      <c r="BA981" s="201"/>
      <c r="BB981" s="334"/>
      <c r="BC981" s="334"/>
      <c r="BD981" s="334"/>
      <c r="BE981" s="201"/>
    </row>
    <row r="982" spans="45:57" x14ac:dyDescent="0.25">
      <c r="AS982" s="202"/>
      <c r="AV982" s="200"/>
      <c r="AW982" s="200"/>
      <c r="AX982" s="334"/>
      <c r="AY982" s="334"/>
      <c r="AZ982" s="334"/>
      <c r="BA982" s="201"/>
      <c r="BB982" s="334"/>
      <c r="BC982" s="334"/>
      <c r="BD982" s="334"/>
      <c r="BE982" s="201"/>
    </row>
    <row r="983" spans="45:57" x14ac:dyDescent="0.25">
      <c r="AS983" s="202"/>
      <c r="AV983" s="200"/>
      <c r="AW983" s="200"/>
      <c r="AX983" s="334"/>
      <c r="AY983" s="334"/>
      <c r="AZ983" s="334"/>
      <c r="BA983" s="201"/>
      <c r="BB983" s="334"/>
      <c r="BC983" s="334"/>
      <c r="BD983" s="334"/>
      <c r="BE983" s="201"/>
    </row>
    <row r="984" spans="45:57" x14ac:dyDescent="0.25">
      <c r="AV984" s="200"/>
      <c r="AW984" s="200"/>
      <c r="BB984" s="334"/>
    </row>
    <row r="985" spans="45:57" x14ac:dyDescent="0.25">
      <c r="AS985" s="202"/>
      <c r="AT985" s="154"/>
      <c r="AV985" s="200"/>
      <c r="AW985" s="200"/>
      <c r="AX985" s="334"/>
      <c r="AY985" s="334"/>
      <c r="AZ985" s="334"/>
      <c r="BA985" s="201"/>
      <c r="BB985" s="334"/>
      <c r="BC985" s="334"/>
      <c r="BD985" s="334"/>
      <c r="BE985" s="201"/>
    </row>
    <row r="986" spans="45:57" x14ac:dyDescent="0.25">
      <c r="AS986" s="202"/>
      <c r="AV986" s="200"/>
      <c r="AW986" s="200"/>
      <c r="AX986" s="334"/>
      <c r="AY986" s="334"/>
      <c r="AZ986" s="334"/>
      <c r="BA986" s="201"/>
      <c r="BB986" s="334"/>
      <c r="BC986" s="334"/>
      <c r="BD986" s="334"/>
      <c r="BE986" s="201"/>
    </row>
    <row r="987" spans="45:57" x14ac:dyDescent="0.25">
      <c r="AS987" s="202"/>
      <c r="AV987" s="200"/>
      <c r="AW987" s="200"/>
      <c r="AX987" s="334"/>
      <c r="AY987" s="334"/>
      <c r="AZ987" s="334"/>
      <c r="BA987" s="201"/>
      <c r="BB987" s="334"/>
      <c r="BC987" s="334"/>
      <c r="BD987" s="334"/>
      <c r="BE987" s="201"/>
    </row>
    <row r="988" spans="45:57" x14ac:dyDescent="0.25">
      <c r="AS988" s="202"/>
      <c r="AV988" s="200"/>
      <c r="AW988" s="200"/>
      <c r="AX988" s="334"/>
      <c r="AY988" s="334"/>
      <c r="AZ988" s="334"/>
      <c r="BA988" s="201"/>
      <c r="BB988" s="334"/>
      <c r="BC988" s="334"/>
      <c r="BD988" s="334"/>
      <c r="BE988" s="201"/>
    </row>
    <row r="989" spans="45:57" x14ac:dyDescent="0.25">
      <c r="AS989" s="202"/>
      <c r="AV989" s="200"/>
      <c r="AW989" s="200"/>
      <c r="AX989" s="334"/>
      <c r="AY989" s="334"/>
      <c r="AZ989" s="334"/>
      <c r="BA989" s="201"/>
      <c r="BB989" s="334"/>
      <c r="BC989" s="334"/>
      <c r="BD989" s="334"/>
      <c r="BE989" s="201"/>
    </row>
    <row r="990" spans="45:57" x14ac:dyDescent="0.25">
      <c r="AS990" s="202"/>
      <c r="AV990" s="200"/>
      <c r="AW990" s="200"/>
      <c r="AX990" s="334"/>
      <c r="AY990" s="334"/>
      <c r="AZ990" s="334"/>
      <c r="BA990" s="201"/>
      <c r="BB990" s="334"/>
      <c r="BC990" s="334"/>
      <c r="BD990" s="334"/>
      <c r="BE990" s="201"/>
    </row>
    <row r="991" spans="45:57" x14ac:dyDescent="0.25">
      <c r="AS991" s="202"/>
      <c r="AV991" s="200"/>
      <c r="AW991" s="200"/>
      <c r="AX991" s="334"/>
      <c r="AY991" s="334"/>
      <c r="AZ991" s="334"/>
      <c r="BA991" s="201"/>
      <c r="BB991" s="334"/>
      <c r="BC991" s="334"/>
      <c r="BD991" s="334"/>
      <c r="BE991" s="201"/>
    </row>
    <row r="992" spans="45:57" x14ac:dyDescent="0.25">
      <c r="AS992" s="202"/>
      <c r="AV992" s="200"/>
      <c r="AW992" s="200"/>
      <c r="AX992" s="334"/>
      <c r="AY992" s="334"/>
      <c r="AZ992" s="334"/>
      <c r="BA992" s="201"/>
      <c r="BB992" s="334"/>
      <c r="BC992" s="334"/>
      <c r="BD992" s="334"/>
      <c r="BE992" s="201"/>
    </row>
    <row r="993" spans="45:57" x14ac:dyDescent="0.25">
      <c r="AS993" s="202"/>
      <c r="AV993" s="200"/>
      <c r="AW993" s="200"/>
      <c r="AX993" s="334"/>
      <c r="AY993" s="334"/>
      <c r="AZ993" s="334"/>
      <c r="BA993" s="201"/>
      <c r="BB993" s="334"/>
      <c r="BC993" s="334"/>
      <c r="BD993" s="334"/>
      <c r="BE993" s="201"/>
    </row>
    <row r="994" spans="45:57" x14ac:dyDescent="0.25">
      <c r="AS994" s="202"/>
      <c r="AV994" s="200"/>
      <c r="AW994" s="200"/>
      <c r="AX994" s="334"/>
      <c r="AY994" s="334"/>
      <c r="AZ994" s="334"/>
      <c r="BA994" s="201"/>
      <c r="BB994" s="334"/>
      <c r="BC994" s="334"/>
      <c r="BD994" s="334"/>
      <c r="BE994" s="201"/>
    </row>
    <row r="996" spans="45:57" x14ac:dyDescent="0.25">
      <c r="AU996" s="154"/>
    </row>
    <row r="997" spans="45:57" x14ac:dyDescent="0.25">
      <c r="AU997" s="154"/>
    </row>
    <row r="998" spans="45:57" x14ac:dyDescent="0.25">
      <c r="AU998" s="154"/>
    </row>
    <row r="999" spans="45:57" x14ac:dyDescent="0.25">
      <c r="AS999" s="154"/>
    </row>
    <row r="1020" spans="52:71" x14ac:dyDescent="0.25">
      <c r="AZ1020" s="334"/>
      <c r="BB1020" s="334"/>
      <c r="BC1020" s="334"/>
      <c r="BD1020" s="334"/>
      <c r="BG1020" s="334"/>
      <c r="BH1020" s="334"/>
      <c r="BI1020" s="334"/>
      <c r="BJ1020" s="334"/>
      <c r="BK1020" s="334"/>
      <c r="BL1020" s="334"/>
      <c r="BM1020" s="334"/>
      <c r="BN1020" s="334"/>
      <c r="BO1020" s="334"/>
      <c r="BP1020" s="334"/>
      <c r="BQ1020" s="334"/>
      <c r="BR1020" s="334"/>
      <c r="BS1020" s="334"/>
    </row>
    <row r="1021" spans="52:71" x14ac:dyDescent="0.25">
      <c r="AZ1021" s="334"/>
      <c r="BB1021" s="334"/>
      <c r="BC1021" s="334"/>
      <c r="BD1021" s="334"/>
      <c r="BG1021" s="334"/>
      <c r="BH1021" s="334"/>
      <c r="BI1021" s="334"/>
      <c r="BJ1021" s="334"/>
      <c r="BK1021" s="334"/>
      <c r="BL1021" s="334"/>
      <c r="BM1021" s="334"/>
      <c r="BN1021" s="334"/>
      <c r="BO1021" s="334"/>
      <c r="BP1021" s="334"/>
      <c r="BQ1021" s="334"/>
      <c r="BR1021" s="334"/>
      <c r="BS1021" s="334"/>
    </row>
    <row r="1022" spans="52:71" x14ac:dyDescent="0.25">
      <c r="AZ1022" s="334"/>
      <c r="BB1022" s="334"/>
      <c r="BC1022" s="334"/>
      <c r="BD1022" s="334"/>
      <c r="BG1022" s="334"/>
      <c r="BH1022" s="334"/>
      <c r="BI1022" s="334"/>
      <c r="BJ1022" s="334"/>
      <c r="BK1022" s="334"/>
      <c r="BL1022" s="334"/>
      <c r="BM1022" s="334"/>
      <c r="BN1022" s="334"/>
      <c r="BO1022" s="334"/>
      <c r="BP1022" s="334"/>
      <c r="BQ1022" s="334"/>
      <c r="BR1022" s="334"/>
      <c r="BS1022" s="334"/>
    </row>
    <row r="1023" spans="52:71" x14ac:dyDescent="0.25">
      <c r="AZ1023" s="334"/>
      <c r="BB1023" s="334"/>
      <c r="BC1023" s="334"/>
      <c r="BD1023" s="334"/>
      <c r="BG1023" s="334"/>
      <c r="BH1023" s="334"/>
      <c r="BI1023" s="334"/>
      <c r="BJ1023" s="334"/>
      <c r="BK1023" s="334"/>
      <c r="BL1023" s="334"/>
      <c r="BM1023" s="334"/>
      <c r="BN1023" s="334"/>
      <c r="BO1023" s="334"/>
      <c r="BP1023" s="334"/>
      <c r="BQ1023" s="334"/>
      <c r="BR1023" s="334"/>
      <c r="BS1023" s="334"/>
    </row>
    <row r="1024" spans="52:71" x14ac:dyDescent="0.25">
      <c r="AZ1024" s="334"/>
      <c r="BB1024" s="334"/>
      <c r="BC1024" s="334"/>
      <c r="BD1024" s="334"/>
      <c r="BG1024" s="334"/>
      <c r="BH1024" s="334"/>
      <c r="BI1024" s="334"/>
      <c r="BJ1024" s="334"/>
      <c r="BK1024" s="334"/>
      <c r="BL1024" s="334"/>
      <c r="BM1024" s="334"/>
      <c r="BN1024" s="334"/>
      <c r="BO1024" s="334"/>
      <c r="BP1024" s="334"/>
      <c r="BQ1024" s="334"/>
      <c r="BR1024" s="334"/>
      <c r="BS1024" s="334"/>
    </row>
    <row r="1025" spans="52:71" x14ac:dyDescent="0.25">
      <c r="AZ1025" s="334"/>
      <c r="BB1025" s="334"/>
      <c r="BC1025" s="334"/>
      <c r="BD1025" s="334"/>
      <c r="BG1025" s="334"/>
      <c r="BH1025" s="334"/>
      <c r="BI1025" s="334"/>
      <c r="BJ1025" s="334"/>
      <c r="BK1025" s="334"/>
      <c r="BL1025" s="334"/>
      <c r="BM1025" s="334"/>
      <c r="BN1025" s="334"/>
      <c r="BO1025" s="334"/>
      <c r="BP1025" s="334"/>
      <c r="BQ1025" s="334"/>
      <c r="BR1025" s="334"/>
      <c r="BS1025" s="334"/>
    </row>
    <row r="1026" spans="52:71" x14ac:dyDescent="0.25">
      <c r="AZ1026" s="334"/>
      <c r="BB1026" s="334"/>
      <c r="BC1026" s="334"/>
      <c r="BD1026" s="334"/>
      <c r="BG1026" s="334"/>
      <c r="BH1026" s="334"/>
      <c r="BI1026" s="334"/>
      <c r="BJ1026" s="334"/>
      <c r="BK1026" s="334"/>
      <c r="BL1026" s="334"/>
      <c r="BM1026" s="334"/>
      <c r="BN1026" s="334"/>
      <c r="BO1026" s="334"/>
      <c r="BP1026" s="334"/>
      <c r="BQ1026" s="334"/>
      <c r="BR1026" s="334"/>
      <c r="BS1026" s="334"/>
    </row>
    <row r="1027" spans="52:71" x14ac:dyDescent="0.25">
      <c r="AZ1027" s="334"/>
      <c r="BB1027" s="334"/>
      <c r="BC1027" s="334"/>
      <c r="BD1027" s="334"/>
      <c r="BG1027" s="334"/>
      <c r="BH1027" s="334"/>
      <c r="BI1027" s="334"/>
      <c r="BJ1027" s="334"/>
      <c r="BK1027" s="334"/>
      <c r="BL1027" s="334"/>
      <c r="BM1027" s="334"/>
      <c r="BN1027" s="334"/>
      <c r="BO1027" s="334"/>
      <c r="BP1027" s="334"/>
      <c r="BQ1027" s="334"/>
      <c r="BR1027" s="334"/>
      <c r="BS1027" s="334"/>
    </row>
    <row r="1028" spans="52:71" x14ac:dyDescent="0.25">
      <c r="AZ1028" s="334"/>
      <c r="BB1028" s="334"/>
      <c r="BC1028" s="334"/>
      <c r="BD1028" s="334"/>
      <c r="BG1028" s="334"/>
      <c r="BH1028" s="334"/>
      <c r="BI1028" s="334"/>
      <c r="BJ1028" s="334"/>
      <c r="BK1028" s="334"/>
      <c r="BL1028" s="334"/>
      <c r="BM1028" s="334"/>
      <c r="BN1028" s="334"/>
      <c r="BO1028" s="334"/>
      <c r="BP1028" s="334"/>
      <c r="BQ1028" s="334"/>
      <c r="BR1028" s="334"/>
      <c r="BS1028" s="334"/>
    </row>
    <row r="1029" spans="52:71" x14ac:dyDescent="0.25">
      <c r="AZ1029" s="334"/>
      <c r="BB1029" s="334"/>
      <c r="BC1029" s="334"/>
      <c r="BD1029" s="334"/>
      <c r="BG1029" s="334"/>
      <c r="BH1029" s="334"/>
      <c r="BI1029" s="334"/>
      <c r="BJ1029" s="334"/>
      <c r="BK1029" s="334"/>
      <c r="BL1029" s="334"/>
      <c r="BM1029" s="334"/>
      <c r="BN1029" s="334"/>
      <c r="BO1029" s="334"/>
      <c r="BP1029" s="334"/>
      <c r="BQ1029" s="334"/>
      <c r="BR1029" s="334"/>
      <c r="BS1029" s="334"/>
    </row>
    <row r="1030" spans="52:71" x14ac:dyDescent="0.25">
      <c r="AZ1030" s="334"/>
      <c r="BB1030" s="334"/>
      <c r="BC1030" s="334"/>
      <c r="BD1030" s="334"/>
      <c r="BG1030" s="334"/>
      <c r="BH1030" s="334"/>
      <c r="BI1030" s="334"/>
      <c r="BJ1030" s="334"/>
      <c r="BK1030" s="334"/>
      <c r="BL1030" s="334"/>
      <c r="BM1030" s="334"/>
      <c r="BN1030" s="334"/>
      <c r="BO1030" s="334"/>
      <c r="BP1030" s="334"/>
      <c r="BQ1030" s="334"/>
      <c r="BR1030" s="334"/>
      <c r="BS1030" s="334"/>
    </row>
    <row r="1031" spans="52:71" x14ac:dyDescent="0.25">
      <c r="AZ1031" s="334"/>
      <c r="BB1031" s="334"/>
      <c r="BC1031" s="334"/>
      <c r="BD1031" s="334"/>
      <c r="BG1031" s="334"/>
      <c r="BH1031" s="334"/>
      <c r="BI1031" s="334"/>
      <c r="BJ1031" s="334"/>
      <c r="BK1031" s="334"/>
      <c r="BL1031" s="334"/>
      <c r="BM1031" s="334"/>
      <c r="BN1031" s="334"/>
      <c r="BO1031" s="334"/>
      <c r="BP1031" s="334"/>
      <c r="BQ1031" s="334"/>
      <c r="BR1031" s="334"/>
      <c r="BS1031" s="334"/>
    </row>
    <row r="1032" spans="52:71" x14ac:dyDescent="0.25">
      <c r="AZ1032" s="334"/>
      <c r="BG1032" s="334"/>
      <c r="BH1032" s="334"/>
      <c r="BI1032" s="334"/>
      <c r="BJ1032" s="334"/>
      <c r="BK1032" s="334"/>
      <c r="BL1032" s="334"/>
      <c r="BM1032" s="334"/>
      <c r="BN1032" s="334"/>
      <c r="BO1032" s="334"/>
      <c r="BP1032" s="334"/>
      <c r="BQ1032" s="334"/>
      <c r="BR1032" s="334"/>
      <c r="BS1032" s="334"/>
    </row>
    <row r="1033" spans="52:71" x14ac:dyDescent="0.25">
      <c r="AZ1033" s="334"/>
      <c r="BG1033" s="334"/>
      <c r="BH1033" s="334"/>
      <c r="BI1033" s="334"/>
      <c r="BJ1033" s="334"/>
      <c r="BK1033" s="334"/>
      <c r="BL1033" s="334"/>
      <c r="BM1033" s="334"/>
      <c r="BN1033" s="334"/>
      <c r="BO1033" s="334"/>
      <c r="BP1033" s="334"/>
      <c r="BQ1033" s="334"/>
      <c r="BR1033" s="334"/>
      <c r="BS1033" s="334"/>
    </row>
    <row r="1034" spans="52:71" x14ac:dyDescent="0.25">
      <c r="AZ1034" s="334"/>
      <c r="BG1034" s="334"/>
      <c r="BH1034" s="334"/>
      <c r="BI1034" s="334"/>
      <c r="BJ1034" s="334"/>
      <c r="BK1034" s="334"/>
      <c r="BL1034" s="334"/>
      <c r="BM1034" s="334"/>
      <c r="BN1034" s="334"/>
      <c r="BO1034" s="334"/>
      <c r="BP1034" s="334"/>
      <c r="BQ1034" s="334"/>
      <c r="BR1034" s="334"/>
      <c r="BS1034" s="334"/>
    </row>
    <row r="1035" spans="52:71" x14ac:dyDescent="0.25">
      <c r="AZ1035" s="334"/>
      <c r="BG1035" s="334"/>
      <c r="BH1035" s="334"/>
      <c r="BI1035" s="334"/>
      <c r="BJ1035" s="334"/>
      <c r="BK1035" s="334"/>
      <c r="BL1035" s="334"/>
      <c r="BM1035" s="334"/>
      <c r="BN1035" s="334"/>
      <c r="BO1035" s="334"/>
      <c r="BP1035" s="334"/>
      <c r="BQ1035" s="334"/>
      <c r="BR1035" s="334"/>
      <c r="BS1035" s="334"/>
    </row>
    <row r="1036" spans="52:71" x14ac:dyDescent="0.25">
      <c r="AZ1036" s="334"/>
      <c r="BG1036" s="334"/>
      <c r="BH1036" s="334"/>
      <c r="BI1036" s="334"/>
      <c r="BJ1036" s="334"/>
      <c r="BK1036" s="334"/>
      <c r="BL1036" s="334"/>
      <c r="BM1036" s="334"/>
      <c r="BN1036" s="334"/>
      <c r="BO1036" s="334"/>
      <c r="BP1036" s="334"/>
      <c r="BQ1036" s="334"/>
      <c r="BR1036" s="334"/>
      <c r="BS1036" s="334"/>
    </row>
    <row r="1037" spans="52:71" x14ac:dyDescent="0.25">
      <c r="AZ1037" s="334"/>
      <c r="BG1037" s="334"/>
      <c r="BH1037" s="334"/>
      <c r="BI1037" s="334"/>
      <c r="BJ1037" s="334"/>
      <c r="BK1037" s="334"/>
      <c r="BL1037" s="334"/>
      <c r="BM1037" s="334"/>
      <c r="BN1037" s="334"/>
      <c r="BO1037" s="334"/>
      <c r="BP1037" s="334"/>
      <c r="BQ1037" s="334"/>
      <c r="BR1037" s="334"/>
      <c r="BS1037" s="334"/>
    </row>
    <row r="1038" spans="52:71" x14ac:dyDescent="0.25">
      <c r="AZ1038" s="334"/>
      <c r="BG1038" s="334"/>
      <c r="BH1038" s="334"/>
      <c r="BI1038" s="334"/>
      <c r="BJ1038" s="334"/>
      <c r="BK1038" s="334"/>
      <c r="BL1038" s="334"/>
      <c r="BM1038" s="334"/>
      <c r="BN1038" s="334"/>
      <c r="BO1038" s="334"/>
      <c r="BP1038" s="334"/>
      <c r="BQ1038" s="334"/>
      <c r="BR1038" s="334"/>
      <c r="BS1038" s="334"/>
    </row>
    <row r="1039" spans="52:71" x14ac:dyDescent="0.25">
      <c r="AZ1039" s="334"/>
    </row>
    <row r="1040" spans="52:71" x14ac:dyDescent="0.25">
      <c r="AZ1040" s="334"/>
    </row>
    <row r="1054" spans="1:1" x14ac:dyDescent="0.25">
      <c r="A1054" s="154"/>
    </row>
    <row r="1057" spans="1:28" x14ac:dyDescent="0.25">
      <c r="Y1057" s="154"/>
    </row>
    <row r="1058" spans="1:28" x14ac:dyDescent="0.25">
      <c r="A1058" s="154"/>
      <c r="H1058" s="154"/>
      <c r="I1058" s="154"/>
    </row>
    <row r="1059" spans="1:28" x14ac:dyDescent="0.25">
      <c r="A1059" s="154"/>
      <c r="V1059" s="103"/>
      <c r="AA1059" s="103"/>
      <c r="AB1059" s="103"/>
    </row>
    <row r="1060" spans="1:28" x14ac:dyDescent="0.25">
      <c r="A1060" s="154"/>
      <c r="V1060" s="102"/>
      <c r="AA1060" s="102"/>
      <c r="AB1060" s="102"/>
    </row>
    <row r="1061" spans="1:28" x14ac:dyDescent="0.25">
      <c r="A1061" s="154"/>
      <c r="U1061" s="154"/>
      <c r="AA1061" s="103"/>
      <c r="AB1061" s="103"/>
    </row>
    <row r="1062" spans="1:28" x14ac:dyDescent="0.25">
      <c r="A1062" s="154"/>
    </row>
    <row r="1063" spans="1:28" x14ac:dyDescent="0.25">
      <c r="A1063" s="154"/>
      <c r="U1063" s="154"/>
      <c r="AA1063" s="103"/>
      <c r="AB1063" s="103"/>
    </row>
    <row r="1064" spans="1:28" x14ac:dyDescent="0.25">
      <c r="A1064" s="154"/>
    </row>
    <row r="1065" spans="1:28" x14ac:dyDescent="0.25">
      <c r="A1065" s="154"/>
      <c r="U1065" s="154"/>
      <c r="V1065" s="338"/>
      <c r="AA1065" s="103"/>
      <c r="AB1065" s="103"/>
    </row>
    <row r="1066" spans="1:28" x14ac:dyDescent="0.25">
      <c r="A1066" s="154"/>
    </row>
    <row r="1067" spans="1:28" x14ac:dyDescent="0.25">
      <c r="A1067" s="154"/>
      <c r="U1067" s="154"/>
      <c r="AA1067" s="103"/>
      <c r="AB1067" s="103"/>
    </row>
    <row r="1068" spans="1:28" x14ac:dyDescent="0.25">
      <c r="A1068" s="154"/>
    </row>
    <row r="1069" spans="1:28" x14ac:dyDescent="0.25">
      <c r="A1069" s="154"/>
      <c r="U1069" s="154"/>
      <c r="AA1069" s="103"/>
      <c r="AB1069" s="103"/>
    </row>
    <row r="1070" spans="1:28" x14ac:dyDescent="0.25">
      <c r="A1070" s="154"/>
    </row>
    <row r="1071" spans="1:28" x14ac:dyDescent="0.25">
      <c r="A1071" s="154"/>
    </row>
    <row r="1072" spans="1:28" x14ac:dyDescent="0.25">
      <c r="A1072" s="154"/>
    </row>
    <row r="1073" spans="1:9" x14ac:dyDescent="0.25">
      <c r="A1073" s="154"/>
    </row>
    <row r="1074" spans="1:9" x14ac:dyDescent="0.25">
      <c r="A1074" s="154"/>
    </row>
    <row r="1075" spans="1:9" x14ac:dyDescent="0.25">
      <c r="A1075" s="154"/>
    </row>
    <row r="1076" spans="1:9" x14ac:dyDescent="0.25">
      <c r="A1076" s="154"/>
    </row>
    <row r="1077" spans="1:9" x14ac:dyDescent="0.25">
      <c r="A1077" s="154"/>
    </row>
    <row r="1078" spans="1:9" x14ac:dyDescent="0.25">
      <c r="A1078" s="154"/>
    </row>
    <row r="1079" spans="1:9" x14ac:dyDescent="0.25">
      <c r="A1079" s="154"/>
    </row>
    <row r="1080" spans="1:9" x14ac:dyDescent="0.25">
      <c r="A1080" s="154"/>
      <c r="H1080" s="154"/>
      <c r="I1080" s="154"/>
    </row>
    <row r="1083" spans="1:9" x14ac:dyDescent="0.25">
      <c r="A1083" s="154"/>
    </row>
    <row r="1086" spans="1:9" x14ac:dyDescent="0.25">
      <c r="A1086" s="154"/>
    </row>
    <row r="1089" spans="1:1" x14ac:dyDescent="0.25">
      <c r="A1089" s="154"/>
    </row>
    <row r="1090" spans="1:1" x14ac:dyDescent="0.25">
      <c r="A1090" s="154"/>
    </row>
    <row r="1091" spans="1:1" x14ac:dyDescent="0.25">
      <c r="A1091" s="154"/>
    </row>
    <row r="1092" spans="1:1" x14ac:dyDescent="0.25">
      <c r="A1092" s="154"/>
    </row>
    <row r="1093" spans="1:1" x14ac:dyDescent="0.25">
      <c r="A1093" s="154"/>
    </row>
    <row r="1094" spans="1:1" x14ac:dyDescent="0.25">
      <c r="A1094" s="154"/>
    </row>
    <row r="1095" spans="1:1" x14ac:dyDescent="0.25">
      <c r="A1095" s="154"/>
    </row>
    <row r="1096" spans="1:1" x14ac:dyDescent="0.25">
      <c r="A1096" s="154"/>
    </row>
    <row r="1097" spans="1:1" x14ac:dyDescent="0.25">
      <c r="A1097" s="154"/>
    </row>
    <row r="1098" spans="1:1" x14ac:dyDescent="0.25">
      <c r="A1098" s="154"/>
    </row>
    <row r="1099" spans="1:1" x14ac:dyDescent="0.25">
      <c r="A1099" s="154"/>
    </row>
    <row r="1100" spans="1:1" x14ac:dyDescent="0.25">
      <c r="A1100" s="154"/>
    </row>
    <row r="1101" spans="1:1" x14ac:dyDescent="0.25">
      <c r="A1101" s="154"/>
    </row>
    <row r="1102" spans="1:1" x14ac:dyDescent="0.25">
      <c r="A1102" s="154"/>
    </row>
    <row r="1103" spans="1:1" x14ac:dyDescent="0.25">
      <c r="A1103" s="154"/>
    </row>
    <row r="1104" spans="1:1" x14ac:dyDescent="0.25">
      <c r="A1104" s="154"/>
    </row>
    <row r="1105" spans="1:1" x14ac:dyDescent="0.25">
      <c r="A1105" s="154"/>
    </row>
    <row r="1106" spans="1:1" x14ac:dyDescent="0.25">
      <c r="A1106" s="154"/>
    </row>
    <row r="1107" spans="1:1" x14ac:dyDescent="0.25">
      <c r="A1107" s="154"/>
    </row>
    <row r="1108" spans="1:1" x14ac:dyDescent="0.25">
      <c r="A1108" s="154"/>
    </row>
    <row r="1109" spans="1:1" x14ac:dyDescent="0.25">
      <c r="A1109" s="154"/>
    </row>
    <row r="1110" spans="1:1" x14ac:dyDescent="0.25">
      <c r="A1110" s="154"/>
    </row>
    <row r="1111" spans="1:1" x14ac:dyDescent="0.25">
      <c r="A1111" s="154"/>
    </row>
    <row r="1112" spans="1:1" x14ac:dyDescent="0.25">
      <c r="A1112" s="154"/>
    </row>
    <row r="1113" spans="1:1" x14ac:dyDescent="0.25">
      <c r="A1113" s="154"/>
    </row>
    <row r="1114" spans="1:1" x14ac:dyDescent="0.25">
      <c r="A1114" s="154"/>
    </row>
    <row r="1115" spans="1:1" x14ac:dyDescent="0.25">
      <c r="A1115" s="154"/>
    </row>
    <row r="1116" spans="1:1" x14ac:dyDescent="0.25">
      <c r="A1116" s="154"/>
    </row>
    <row r="1117" spans="1:1" x14ac:dyDescent="0.25">
      <c r="A1117" s="154"/>
    </row>
    <row r="1118" spans="1:1" x14ac:dyDescent="0.25">
      <c r="A1118" s="154"/>
    </row>
    <row r="1119" spans="1:1" x14ac:dyDescent="0.25">
      <c r="A1119" s="154"/>
    </row>
    <row r="1120" spans="1:1" x14ac:dyDescent="0.25">
      <c r="A1120" s="154"/>
    </row>
    <row r="1121" spans="1:1" x14ac:dyDescent="0.25">
      <c r="A1121" s="154"/>
    </row>
    <row r="1122" spans="1:1" x14ac:dyDescent="0.25">
      <c r="A1122" s="154"/>
    </row>
    <row r="1123" spans="1:1" x14ac:dyDescent="0.25">
      <c r="A1123" s="154"/>
    </row>
    <row r="1128" spans="1:1" x14ac:dyDescent="0.25">
      <c r="A1128" s="154"/>
    </row>
    <row r="1129" spans="1:1" x14ac:dyDescent="0.25">
      <c r="A1129" s="154"/>
    </row>
    <row r="1132" spans="1:1" x14ac:dyDescent="0.25">
      <c r="A1132" s="154"/>
    </row>
    <row r="1134" spans="1:1" x14ac:dyDescent="0.25">
      <c r="A1134" s="154"/>
    </row>
    <row r="1136" spans="1:1" x14ac:dyDescent="0.25">
      <c r="A1136" s="154"/>
    </row>
    <row r="1138" spans="1:1" x14ac:dyDescent="0.25">
      <c r="A1138" s="154"/>
    </row>
    <row r="1141" spans="1:1" x14ac:dyDescent="0.25">
      <c r="A1141" s="154"/>
    </row>
    <row r="1142" spans="1:1" x14ac:dyDescent="0.25">
      <c r="A1142" s="154"/>
    </row>
    <row r="1143" spans="1:1" x14ac:dyDescent="0.25">
      <c r="A1143" s="154"/>
    </row>
    <row r="1144" spans="1:1" x14ac:dyDescent="0.25">
      <c r="A1144" s="154"/>
    </row>
    <row r="1145" spans="1:1" x14ac:dyDescent="0.25">
      <c r="A1145" s="154"/>
    </row>
    <row r="1146" spans="1:1" x14ac:dyDescent="0.25">
      <c r="A1146" s="154"/>
    </row>
    <row r="1147" spans="1:1" x14ac:dyDescent="0.25">
      <c r="A1147" s="154"/>
    </row>
    <row r="1148" spans="1:1" x14ac:dyDescent="0.25">
      <c r="A1148" s="154"/>
    </row>
  </sheetData>
  <customSheetViews>
    <customSheetView guid="{195DF303-1BBD-4236-94B5-47432850B006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C63">
      <selection activeCell="R8" sqref="R8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X53">
      <selection activeCell="AE80" sqref="AE8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>
      <selection activeCell="V33" sqref="V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>
      <selection activeCell="J24" sqref="J24: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8">
      <selection activeCell="F20" sqref="F2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W57">
      <selection activeCell="P30" sqref="P3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36" max="65535" man="1"/>
    <brk id="179" max="65535" man="1"/>
    <brk id="221" max="65535" man="1"/>
    <brk id="260" max="65535" man="1"/>
    <brk id="316" max="65535" man="1"/>
    <brk id="362" max="65535" man="1"/>
    <brk id="444" max="65535" man="1"/>
    <brk id="482" max="65535" man="1"/>
    <brk id="519" max="65535" man="1"/>
    <brk id="567" max="65535" man="1"/>
    <brk id="628" max="65535" man="1"/>
    <brk id="687" max="65535" man="1"/>
    <brk id="794" max="65535" man="1"/>
    <brk id="841" max="65535" man="1"/>
    <brk id="900" max="65535" man="1"/>
    <brk id="943" max="65535" man="1"/>
  </rowBreaks>
  <colBreaks count="1" manualBreakCount="1">
    <brk id="4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9"/>
  <dimension ref="A1:BX1131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4.88671875" style="101" customWidth="1"/>
    <col min="2" max="2" width="0.6640625" style="101" customWidth="1"/>
    <col min="3" max="3" width="6.77734375" style="101" customWidth="1"/>
    <col min="4" max="4" width="35.6640625" style="101" customWidth="1"/>
    <col min="5" max="5" width="0.66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2.4414062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23.21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4.5546875" style="101" customWidth="1"/>
    <col min="23" max="23" width="39.44140625" style="101" customWidth="1"/>
    <col min="24" max="24" width="0.55468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1.4414062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756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430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218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114</v>
      </c>
      <c r="D20" s="253" t="s">
        <v>171</v>
      </c>
      <c r="E20" s="82"/>
      <c r="F20" s="70"/>
      <c r="G20" s="70"/>
      <c r="H20" s="298"/>
      <c r="I20" s="298"/>
      <c r="J20" s="299" t="s">
        <v>435</v>
      </c>
      <c r="K20" s="298"/>
      <c r="L20" s="298"/>
      <c r="M20" s="298"/>
      <c r="N20" s="298"/>
      <c r="O20" s="298"/>
      <c r="P20" s="298"/>
      <c r="Q20" s="298"/>
      <c r="R20" s="298"/>
      <c r="T20" s="154"/>
      <c r="U20" s="154"/>
    </row>
    <row r="21" spans="1:40" x14ac:dyDescent="0.25">
      <c r="A21" s="159">
        <v>2</v>
      </c>
      <c r="B21" s="80"/>
      <c r="C21" s="258"/>
      <c r="D21" s="253" t="s">
        <v>154</v>
      </c>
      <c r="E21" s="82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154"/>
    </row>
    <row r="22" spans="1:40" x14ac:dyDescent="0.25">
      <c r="A22" s="80"/>
      <c r="B22" s="80"/>
      <c r="C22" s="80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8"/>
      <c r="G23" s="70"/>
      <c r="H23" s="78"/>
      <c r="I23" s="78"/>
      <c r="J23" s="284"/>
      <c r="K23" s="284"/>
      <c r="L23" s="79"/>
      <c r="M23" s="79"/>
      <c r="N23" s="156"/>
      <c r="O23" s="156"/>
      <c r="P23" s="70"/>
      <c r="Q23" s="70"/>
      <c r="R23" s="79"/>
      <c r="S23" s="200"/>
      <c r="T23" s="154"/>
      <c r="V23" s="200"/>
      <c r="Y23" s="200"/>
      <c r="Z23" s="300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159">
        <v>4</v>
      </c>
      <c r="B24" s="80"/>
      <c r="C24" s="82" t="s">
        <v>463</v>
      </c>
      <c r="D24" s="80"/>
      <c r="E24" s="80"/>
      <c r="F24" s="225">
        <v>24</v>
      </c>
      <c r="G24" s="70"/>
      <c r="H24" s="78"/>
      <c r="I24" s="78"/>
      <c r="J24" s="283">
        <f>INPUT!D64</f>
        <v>5</v>
      </c>
      <c r="K24" s="284"/>
      <c r="L24" s="163">
        <f>ROUND(F24*J24,0)</f>
        <v>120</v>
      </c>
      <c r="M24" s="163"/>
      <c r="N24" s="198">
        <f>ROUND((L24/$L$48)*100,1)</f>
        <v>0</v>
      </c>
      <c r="O24" s="198"/>
      <c r="P24" s="271"/>
      <c r="Q24" s="271"/>
      <c r="R24" s="163">
        <f>L24+P24</f>
        <v>120</v>
      </c>
      <c r="S24" s="200"/>
      <c r="T24" s="154"/>
      <c r="V24" s="200"/>
      <c r="Y24" s="200"/>
      <c r="Z24" s="300"/>
      <c r="AA24" s="200"/>
      <c r="AB24" s="200"/>
      <c r="AC24" s="210"/>
      <c r="AD24" s="210"/>
      <c r="AE24" s="200"/>
      <c r="AF24" s="200"/>
      <c r="AG24" s="209"/>
      <c r="AH24" s="210"/>
      <c r="AI24" s="200"/>
      <c r="AJ24" s="200"/>
      <c r="AK24" s="209"/>
      <c r="AL24" s="200"/>
      <c r="AM24" s="210"/>
      <c r="AN24" s="210"/>
    </row>
    <row r="25" spans="1:40" x14ac:dyDescent="0.25">
      <c r="A25" s="159">
        <v>5</v>
      </c>
      <c r="B25" s="80"/>
      <c r="C25" s="82" t="s">
        <v>166</v>
      </c>
      <c r="D25" s="80"/>
      <c r="E25" s="80"/>
      <c r="F25" s="225">
        <v>120</v>
      </c>
      <c r="G25" s="70"/>
      <c r="H25" s="78"/>
      <c r="I25" s="78"/>
      <c r="J25" s="283">
        <f>INPUT!D112</f>
        <v>118.78</v>
      </c>
      <c r="K25" s="284"/>
      <c r="L25" s="79">
        <f>ROUND(F25*J25,0)</f>
        <v>14254</v>
      </c>
      <c r="M25" s="79"/>
      <c r="N25" s="341">
        <f>ROUND((L25/$L$48)*100,1)</f>
        <v>1.3</v>
      </c>
      <c r="O25" s="156"/>
      <c r="P25" s="302"/>
      <c r="Q25" s="302"/>
      <c r="R25" s="79">
        <f>L25+P25</f>
        <v>14254</v>
      </c>
      <c r="S25" s="200"/>
      <c r="V25" s="211"/>
      <c r="Y25" s="200"/>
      <c r="Z25" s="252"/>
      <c r="AA25" s="200"/>
      <c r="AB25" s="200"/>
      <c r="AC25" s="210"/>
      <c r="AD25" s="210"/>
      <c r="AE25" s="200"/>
      <c r="AF25" s="200"/>
      <c r="AI25" s="200"/>
      <c r="AJ25" s="200"/>
      <c r="AK25" s="209"/>
      <c r="AL25" s="200"/>
    </row>
    <row r="26" spans="1:40" ht="20.100000000000001" customHeight="1" x14ac:dyDescent="0.25">
      <c r="A26" s="159">
        <v>6</v>
      </c>
      <c r="B26" s="80"/>
      <c r="C26" s="253" t="s">
        <v>158</v>
      </c>
      <c r="D26" s="80"/>
      <c r="E26" s="80"/>
      <c r="F26" s="169">
        <f>F25</f>
        <v>120</v>
      </c>
      <c r="G26" s="70"/>
      <c r="H26" s="79"/>
      <c r="I26" s="79"/>
      <c r="J26" s="268"/>
      <c r="K26" s="268"/>
      <c r="L26" s="169">
        <f>SUM(L24:L25)</f>
        <v>14374</v>
      </c>
      <c r="M26" s="79"/>
      <c r="N26" s="341">
        <f>ROUND((L26/$L$48)*100,1)</f>
        <v>1.3</v>
      </c>
      <c r="O26" s="156"/>
      <c r="P26" s="169"/>
      <c r="Q26" s="79"/>
      <c r="R26" s="169">
        <f>SUM(R24:R25)</f>
        <v>14374</v>
      </c>
      <c r="S26" s="200"/>
      <c r="T26" s="154"/>
      <c r="V26" s="200"/>
      <c r="Y26" s="200"/>
      <c r="Z26" s="304"/>
      <c r="AA26" s="200"/>
      <c r="AB26" s="200"/>
      <c r="AC26" s="210"/>
      <c r="AD26" s="210"/>
      <c r="AE26" s="200"/>
      <c r="AF26" s="200"/>
      <c r="AG26" s="209"/>
      <c r="AH26" s="210"/>
      <c r="AI26" s="200"/>
      <c r="AJ26" s="200"/>
      <c r="AK26" s="209"/>
      <c r="AL26" s="200"/>
      <c r="AM26" s="210"/>
      <c r="AN26" s="210"/>
    </row>
    <row r="27" spans="1:40" x14ac:dyDescent="0.25">
      <c r="A27" s="80"/>
      <c r="B27" s="80"/>
      <c r="C27" s="80"/>
      <c r="D27" s="80"/>
      <c r="E27" s="80"/>
      <c r="F27" s="79"/>
      <c r="G27" s="70"/>
      <c r="H27" s="79"/>
      <c r="I27" s="79"/>
      <c r="J27" s="268"/>
      <c r="K27" s="268"/>
      <c r="L27" s="79"/>
      <c r="M27" s="79"/>
      <c r="N27" s="156"/>
      <c r="O27" s="156"/>
      <c r="P27" s="79"/>
      <c r="Q27" s="79"/>
      <c r="R27" s="79"/>
      <c r="S27" s="200"/>
      <c r="V27" s="211"/>
      <c r="Y27" s="211"/>
      <c r="Z27" s="305"/>
      <c r="AA27" s="211"/>
      <c r="AB27" s="211"/>
      <c r="AC27" s="211"/>
      <c r="AD27" s="211"/>
      <c r="AE27" s="211"/>
      <c r="AF27" s="211"/>
      <c r="AI27" s="211"/>
      <c r="AJ27" s="211"/>
      <c r="AK27" s="212"/>
      <c r="AL27" s="211"/>
      <c r="AM27" s="210"/>
      <c r="AN27" s="210"/>
    </row>
    <row r="28" spans="1:40" x14ac:dyDescent="0.25">
      <c r="A28" s="159">
        <v>7</v>
      </c>
      <c r="B28" s="80"/>
      <c r="C28" s="253" t="s">
        <v>65</v>
      </c>
      <c r="D28" s="80"/>
      <c r="E28" s="80"/>
      <c r="F28" s="78"/>
      <c r="G28" s="70"/>
      <c r="H28" s="78"/>
      <c r="I28" s="78"/>
      <c r="J28" s="284"/>
      <c r="K28" s="284"/>
      <c r="L28" s="79"/>
      <c r="M28" s="79"/>
      <c r="N28" s="156"/>
      <c r="O28" s="156"/>
      <c r="P28" s="79"/>
      <c r="Q28" s="79"/>
      <c r="R28" s="79"/>
      <c r="S28" s="200"/>
      <c r="T28" s="154"/>
      <c r="V28" s="252"/>
      <c r="Y28" s="252"/>
      <c r="Z28" s="305"/>
      <c r="AA28" s="200"/>
      <c r="AB28" s="200"/>
      <c r="AC28" s="210"/>
      <c r="AD28" s="210"/>
      <c r="AE28" s="200"/>
      <c r="AF28" s="200"/>
      <c r="AI28" s="200"/>
      <c r="AJ28" s="200"/>
      <c r="AK28" s="209"/>
      <c r="AL28" s="200"/>
      <c r="AM28" s="210"/>
      <c r="AN28" s="210"/>
    </row>
    <row r="29" spans="1:40" x14ac:dyDescent="0.25">
      <c r="A29" s="159">
        <v>8</v>
      </c>
      <c r="B29" s="80"/>
      <c r="C29" s="82" t="s">
        <v>172</v>
      </c>
      <c r="D29" s="80"/>
      <c r="E29" s="80"/>
      <c r="F29" s="78"/>
      <c r="G29" s="70"/>
      <c r="H29" s="225">
        <v>34707.33</v>
      </c>
      <c r="I29" s="78"/>
      <c r="J29" s="283">
        <f>INPUT!D118</f>
        <v>8.4</v>
      </c>
      <c r="K29" s="284"/>
      <c r="L29" s="79">
        <f>ROUND(H29*J29,0)</f>
        <v>291542</v>
      </c>
      <c r="M29" s="79"/>
      <c r="N29" s="341">
        <f>ROUND((L29/$L$48)*100,1)</f>
        <v>26.5</v>
      </c>
      <c r="O29" s="374"/>
      <c r="P29" s="79"/>
      <c r="Q29" s="79"/>
      <c r="R29" s="79">
        <f>L29+P29</f>
        <v>291542</v>
      </c>
      <c r="S29" s="200"/>
      <c r="V29" s="252"/>
      <c r="Y29" s="252"/>
      <c r="Z29" s="305"/>
      <c r="AA29" s="200"/>
      <c r="AB29" s="200"/>
      <c r="AC29" s="210"/>
      <c r="AD29" s="210"/>
      <c r="AE29" s="200"/>
      <c r="AF29" s="200"/>
      <c r="AI29" s="200"/>
      <c r="AJ29" s="200"/>
      <c r="AK29" s="209"/>
      <c r="AL29" s="200"/>
      <c r="AM29" s="210"/>
      <c r="AN29" s="210"/>
    </row>
    <row r="30" spans="1:40" ht="20.100000000000001" customHeight="1" x14ac:dyDescent="0.25">
      <c r="A30" s="159">
        <v>9</v>
      </c>
      <c r="B30" s="80"/>
      <c r="C30" s="253" t="s">
        <v>68</v>
      </c>
      <c r="D30" s="80"/>
      <c r="E30" s="80"/>
      <c r="F30" s="79"/>
      <c r="G30" s="70"/>
      <c r="H30" s="169">
        <f>SUM(H29)</f>
        <v>34707.33</v>
      </c>
      <c r="I30" s="79"/>
      <c r="J30" s="268"/>
      <c r="K30" s="268"/>
      <c r="L30" s="169">
        <f>SUM(L29)</f>
        <v>291542</v>
      </c>
      <c r="M30" s="79"/>
      <c r="N30" s="341">
        <f>ROUND((L30/$L$48)*100,1)</f>
        <v>26.5</v>
      </c>
      <c r="O30" s="156"/>
      <c r="P30" s="169"/>
      <c r="Q30" s="79"/>
      <c r="R30" s="169">
        <f>SUM(R29)</f>
        <v>291542</v>
      </c>
      <c r="S30" s="200"/>
      <c r="T30" s="154"/>
      <c r="V30" s="252"/>
      <c r="Y30" s="200"/>
      <c r="Z30" s="304"/>
      <c r="AA30" s="200"/>
      <c r="AB30" s="200"/>
      <c r="AC30" s="210"/>
      <c r="AD30" s="210"/>
      <c r="AE30" s="200"/>
      <c r="AF30" s="200"/>
      <c r="AG30" s="209"/>
      <c r="AH30" s="210"/>
      <c r="AI30" s="200"/>
      <c r="AJ30" s="200"/>
      <c r="AK30" s="209"/>
      <c r="AL30" s="200"/>
      <c r="AM30" s="210"/>
      <c r="AN30" s="210"/>
    </row>
    <row r="31" spans="1:40" x14ac:dyDescent="0.25">
      <c r="A31" s="80"/>
      <c r="B31" s="80"/>
      <c r="C31" s="80"/>
      <c r="D31" s="80"/>
      <c r="E31" s="80"/>
      <c r="F31" s="79"/>
      <c r="G31" s="70"/>
      <c r="H31" s="79"/>
      <c r="I31" s="79"/>
      <c r="J31" s="268"/>
      <c r="K31" s="268"/>
      <c r="L31" s="79"/>
      <c r="M31" s="79"/>
      <c r="N31" s="79"/>
      <c r="O31" s="79"/>
      <c r="P31" s="79"/>
      <c r="Q31" s="79"/>
      <c r="R31" s="79"/>
      <c r="S31" s="200"/>
      <c r="V31" s="211"/>
      <c r="Y31" s="211"/>
      <c r="Z31" s="305"/>
      <c r="AA31" s="211"/>
      <c r="AB31" s="211"/>
      <c r="AC31" s="211"/>
      <c r="AD31" s="211"/>
      <c r="AE31" s="211"/>
      <c r="AF31" s="211"/>
      <c r="AI31" s="211"/>
      <c r="AJ31" s="211"/>
      <c r="AK31" s="212"/>
      <c r="AL31" s="211"/>
      <c r="AM31" s="210"/>
      <c r="AN31" s="210"/>
    </row>
    <row r="32" spans="1:40" x14ac:dyDescent="0.25">
      <c r="A32" s="159">
        <v>10</v>
      </c>
      <c r="B32" s="80"/>
      <c r="C32" s="253" t="s">
        <v>481</v>
      </c>
      <c r="D32" s="80"/>
      <c r="E32" s="80"/>
      <c r="F32" s="78"/>
      <c r="G32" s="70"/>
      <c r="H32" s="78"/>
      <c r="I32" s="78"/>
      <c r="J32" s="289"/>
      <c r="K32" s="289"/>
      <c r="L32" s="79"/>
      <c r="M32" s="79"/>
      <c r="N32" s="156"/>
      <c r="O32" s="156"/>
      <c r="P32" s="230"/>
      <c r="Q32" s="78"/>
      <c r="R32" s="79"/>
      <c r="S32" s="200"/>
      <c r="T32" s="154"/>
      <c r="V32" s="200"/>
      <c r="Y32" s="200"/>
      <c r="Z32" s="305"/>
      <c r="AA32" s="200"/>
      <c r="AB32" s="200"/>
      <c r="AC32" s="210"/>
      <c r="AD32" s="210"/>
      <c r="AE32" s="200"/>
      <c r="AF32" s="200"/>
      <c r="AG32" s="209"/>
      <c r="AH32" s="210"/>
      <c r="AI32" s="200"/>
      <c r="AJ32" s="200"/>
      <c r="AK32" s="209"/>
      <c r="AL32" s="200"/>
      <c r="AM32" s="210"/>
      <c r="AN32" s="210"/>
    </row>
    <row r="33" spans="1:40" x14ac:dyDescent="0.25">
      <c r="A33" s="159">
        <v>11</v>
      </c>
      <c r="B33" s="80"/>
      <c r="C33" s="82" t="s">
        <v>173</v>
      </c>
      <c r="D33" s="80"/>
      <c r="E33" s="80"/>
      <c r="F33" s="78"/>
      <c r="G33" s="70"/>
      <c r="H33" s="225">
        <v>10097570</v>
      </c>
      <c r="I33" s="78"/>
      <c r="J33" s="295">
        <f>INPUT!D114</f>
        <v>6.0595000000000003E-2</v>
      </c>
      <c r="K33" s="289"/>
      <c r="L33" s="79">
        <f>ROUND((H33*J33),0)</f>
        <v>611862</v>
      </c>
      <c r="M33" s="79"/>
      <c r="N33" s="198">
        <f>ROUND((L33/$L$48)*100,1)+0.1</f>
        <v>55.6</v>
      </c>
      <c r="O33" s="156"/>
      <c r="P33" s="163"/>
      <c r="Q33" s="78"/>
      <c r="R33" s="79">
        <f>L33+P33</f>
        <v>611862</v>
      </c>
      <c r="S33" s="200"/>
      <c r="V33" s="211"/>
      <c r="Y33" s="211"/>
      <c r="Z33" s="305"/>
      <c r="AA33" s="211"/>
      <c r="AB33" s="211"/>
      <c r="AC33" s="211"/>
      <c r="AD33" s="211"/>
      <c r="AE33" s="211"/>
      <c r="AF33" s="211"/>
      <c r="AI33" s="211"/>
      <c r="AJ33" s="211"/>
      <c r="AK33" s="212"/>
      <c r="AL33" s="211"/>
      <c r="AM33" s="210"/>
      <c r="AN33" s="210"/>
    </row>
    <row r="34" spans="1:40" x14ac:dyDescent="0.25">
      <c r="A34" s="159">
        <v>12</v>
      </c>
      <c r="B34" s="80"/>
      <c r="C34" s="82" t="s">
        <v>163</v>
      </c>
      <c r="D34" s="80"/>
      <c r="E34" s="80"/>
      <c r="F34" s="230"/>
      <c r="G34" s="70"/>
      <c r="H34" s="225">
        <v>2928055</v>
      </c>
      <c r="I34" s="78"/>
      <c r="J34" s="295">
        <f>INPUT!D115</f>
        <v>5.1267E-2</v>
      </c>
      <c r="K34" s="289"/>
      <c r="L34" s="163">
        <f>ROUND((H34*J34),0)</f>
        <v>150113</v>
      </c>
      <c r="M34" s="163"/>
      <c r="N34" s="198">
        <f>ROUND((L34/$L$48)*100,1)</f>
        <v>13.6</v>
      </c>
      <c r="O34" s="198"/>
      <c r="P34" s="163"/>
      <c r="Q34" s="78"/>
      <c r="R34" s="79">
        <f>L34+P34</f>
        <v>150113</v>
      </c>
      <c r="S34" s="200"/>
      <c r="T34" s="154"/>
      <c r="Z34" s="305"/>
      <c r="AA34" s="200"/>
      <c r="AB34" s="200"/>
      <c r="AC34" s="210"/>
      <c r="AD34" s="210"/>
      <c r="AE34" s="200"/>
      <c r="AF34" s="200"/>
      <c r="AG34" s="209"/>
      <c r="AH34" s="210"/>
      <c r="AI34" s="200"/>
      <c r="AJ34" s="200"/>
      <c r="AK34" s="209"/>
      <c r="AL34" s="200"/>
      <c r="AM34" s="210"/>
      <c r="AN34" s="210"/>
    </row>
    <row r="35" spans="1:40" x14ac:dyDescent="0.25">
      <c r="A35" s="159">
        <v>13</v>
      </c>
      <c r="B35" s="80"/>
      <c r="C35" s="82" t="s">
        <v>705</v>
      </c>
      <c r="D35" s="80"/>
      <c r="E35" s="80"/>
      <c r="F35" s="230"/>
      <c r="G35" s="70"/>
      <c r="H35" s="225">
        <v>20957</v>
      </c>
      <c r="I35" s="78"/>
      <c r="J35" s="295">
        <f>INPUT!D116</f>
        <v>0.28619800000000001</v>
      </c>
      <c r="K35" s="289"/>
      <c r="L35" s="79">
        <f>ROUND((H35*J35),0)</f>
        <v>5998</v>
      </c>
      <c r="M35" s="79"/>
      <c r="N35" s="341">
        <f>ROUND((L35/$L$48)*100,1)</f>
        <v>0.5</v>
      </c>
      <c r="O35" s="156"/>
      <c r="P35" s="167"/>
      <c r="Q35" s="78"/>
      <c r="R35" s="79">
        <f>L35+P35</f>
        <v>5998</v>
      </c>
      <c r="S35" s="200"/>
      <c r="T35" s="154"/>
      <c r="Z35" s="305"/>
      <c r="AA35" s="200"/>
      <c r="AB35" s="200"/>
      <c r="AC35" s="210"/>
      <c r="AD35" s="210"/>
      <c r="AE35" s="200"/>
      <c r="AF35" s="200"/>
      <c r="AG35" s="209"/>
      <c r="AH35" s="210"/>
      <c r="AI35" s="200"/>
      <c r="AJ35" s="200"/>
      <c r="AK35" s="209"/>
      <c r="AL35" s="200"/>
      <c r="AM35" s="210"/>
      <c r="AN35" s="210"/>
    </row>
    <row r="36" spans="1:40" ht="20.100000000000001" customHeight="1" x14ac:dyDescent="0.25">
      <c r="A36" s="159">
        <v>14</v>
      </c>
      <c r="B36" s="80"/>
      <c r="C36" s="253" t="s">
        <v>164</v>
      </c>
      <c r="D36" s="80"/>
      <c r="E36" s="80"/>
      <c r="F36" s="163"/>
      <c r="G36" s="70"/>
      <c r="H36" s="169">
        <f>SUM(H33:H35)</f>
        <v>13046582</v>
      </c>
      <c r="I36" s="79"/>
      <c r="J36" s="307"/>
      <c r="K36" s="263"/>
      <c r="L36" s="169">
        <f>SUM(L33:L35)</f>
        <v>767973</v>
      </c>
      <c r="M36" s="79"/>
      <c r="N36" s="341">
        <f>ROUND((L36/$L$48)*100,1)</f>
        <v>69.7</v>
      </c>
      <c r="O36" s="156"/>
      <c r="P36" s="167"/>
      <c r="Q36" s="79"/>
      <c r="R36" s="169">
        <f>L36+P36</f>
        <v>767973</v>
      </c>
      <c r="S36" s="200"/>
      <c r="T36" s="154"/>
      <c r="AA36" s="200"/>
      <c r="AB36" s="200"/>
      <c r="AC36" s="200"/>
      <c r="AD36" s="200"/>
      <c r="AI36" s="200"/>
      <c r="AJ36" s="200"/>
      <c r="AK36" s="209"/>
      <c r="AL36" s="200"/>
    </row>
    <row r="37" spans="1:40" ht="20.100000000000001" customHeight="1" x14ac:dyDescent="0.25">
      <c r="A37" s="159">
        <v>15</v>
      </c>
      <c r="B37" s="80"/>
      <c r="C37" s="265" t="s">
        <v>571</v>
      </c>
      <c r="D37" s="80"/>
      <c r="E37" s="80"/>
      <c r="F37" s="167">
        <f>F26</f>
        <v>120</v>
      </c>
      <c r="G37" s="70"/>
      <c r="H37" s="169">
        <f>H36</f>
        <v>13046582</v>
      </c>
      <c r="I37" s="79"/>
      <c r="J37" s="307"/>
      <c r="K37" s="263"/>
      <c r="L37" s="169">
        <f>L36+L30+L26</f>
        <v>1073889</v>
      </c>
      <c r="M37" s="79"/>
      <c r="N37" s="303">
        <f>ROUND((L37/$L$48)*100,1)</f>
        <v>97.5</v>
      </c>
      <c r="O37" s="156"/>
      <c r="P37" s="169"/>
      <c r="Q37" s="79"/>
      <c r="R37" s="169">
        <f>R26+R30+R36</f>
        <v>1073889</v>
      </c>
      <c r="S37" s="200"/>
      <c r="T37" s="154"/>
      <c r="AA37" s="200"/>
      <c r="AB37" s="200"/>
      <c r="AC37" s="200"/>
      <c r="AD37" s="200"/>
      <c r="AI37" s="200"/>
      <c r="AJ37" s="200"/>
      <c r="AK37" s="209"/>
      <c r="AL37" s="200"/>
    </row>
    <row r="38" spans="1:40" ht="15.75" customHeight="1" x14ac:dyDescent="0.25">
      <c r="A38" s="159"/>
      <c r="B38" s="80"/>
      <c r="C38" s="82"/>
      <c r="D38" s="80"/>
      <c r="E38" s="80"/>
      <c r="F38" s="163"/>
      <c r="G38" s="70"/>
      <c r="H38" s="163"/>
      <c r="I38" s="79"/>
      <c r="J38" s="307"/>
      <c r="K38" s="263"/>
      <c r="L38" s="163"/>
      <c r="M38" s="79"/>
      <c r="N38" s="198"/>
      <c r="O38" s="156"/>
      <c r="P38" s="163"/>
      <c r="Q38" s="79"/>
      <c r="R38" s="163"/>
      <c r="S38" s="200"/>
      <c r="T38" s="154"/>
      <c r="AA38" s="200"/>
      <c r="AB38" s="200"/>
      <c r="AC38" s="200"/>
      <c r="AD38" s="200"/>
      <c r="AI38" s="200"/>
      <c r="AJ38" s="200"/>
      <c r="AK38" s="209"/>
      <c r="AL38" s="200"/>
    </row>
    <row r="39" spans="1:40" ht="15.75" customHeight="1" x14ac:dyDescent="0.25">
      <c r="A39" s="159">
        <v>16</v>
      </c>
      <c r="B39" s="80"/>
      <c r="C39" s="253" t="s">
        <v>553</v>
      </c>
      <c r="D39" s="80"/>
      <c r="E39" s="80"/>
      <c r="F39" s="163"/>
      <c r="G39" s="70"/>
      <c r="H39" s="163"/>
      <c r="I39" s="79"/>
      <c r="J39" s="307"/>
      <c r="K39" s="263"/>
      <c r="L39" s="163"/>
      <c r="M39" s="79"/>
      <c r="N39" s="198"/>
      <c r="O39" s="156"/>
      <c r="P39" s="163"/>
      <c r="Q39" s="79"/>
      <c r="R39" s="163"/>
      <c r="S39" s="200"/>
      <c r="T39" s="154"/>
      <c r="AA39" s="200"/>
      <c r="AB39" s="200"/>
      <c r="AC39" s="200"/>
      <c r="AD39" s="200"/>
      <c r="AI39" s="200"/>
      <c r="AJ39" s="200"/>
      <c r="AK39" s="209"/>
      <c r="AL39" s="200"/>
    </row>
    <row r="40" spans="1:40" ht="15.75" customHeight="1" x14ac:dyDescent="0.25">
      <c r="A40" s="159">
        <v>17</v>
      </c>
      <c r="B40" s="80"/>
      <c r="C40" s="153" t="str">
        <f>DSMR_Name</f>
        <v>DEMAND SIDE MANAGEMENT RIDER (DSMR)</v>
      </c>
      <c r="D40" s="80"/>
      <c r="E40" s="80"/>
      <c r="F40" s="163"/>
      <c r="G40" s="70"/>
      <c r="H40" s="163"/>
      <c r="I40" s="79"/>
      <c r="J40" s="308">
        <f>PRO_DSM_DIST</f>
        <v>2.5760000000000002E-3</v>
      </c>
      <c r="K40" s="263"/>
      <c r="L40" s="163">
        <f>ROUND($H$37*J40,0)</f>
        <v>33608</v>
      </c>
      <c r="M40" s="79"/>
      <c r="N40" s="197">
        <f>ROUND((L40/$L$48)*100,1)-0.1</f>
        <v>3</v>
      </c>
      <c r="O40" s="156"/>
      <c r="P40" s="163"/>
      <c r="Q40" s="79"/>
      <c r="R40" s="79">
        <f t="shared" ref="R40:R45" si="0">L40+P40</f>
        <v>33608</v>
      </c>
      <c r="S40" s="200"/>
      <c r="T40" s="154"/>
      <c r="AA40" s="200"/>
      <c r="AB40" s="200"/>
      <c r="AC40" s="200"/>
      <c r="AD40" s="200"/>
      <c r="AI40" s="200"/>
      <c r="AJ40" s="200"/>
      <c r="AK40" s="209"/>
      <c r="AL40" s="200"/>
    </row>
    <row r="41" spans="1:40" ht="15.75" customHeight="1" x14ac:dyDescent="0.25">
      <c r="A41" s="159">
        <v>18</v>
      </c>
      <c r="B41" s="80"/>
      <c r="C41" s="153" t="str">
        <f>ESM_Name</f>
        <v>ENVIRONMENTAL SURCHARGE MECHANISM RIDER (ESM)</v>
      </c>
      <c r="D41" s="80"/>
      <c r="E41" s="80"/>
      <c r="F41" s="163"/>
      <c r="G41" s="70"/>
      <c r="H41" s="163"/>
      <c r="I41" s="79"/>
      <c r="J41" s="288">
        <f>PRO_ESM</f>
        <v>0</v>
      </c>
      <c r="K41" s="263"/>
      <c r="L41" s="163">
        <f>ROUND(R37*J41,0)</f>
        <v>0</v>
      </c>
      <c r="M41" s="79"/>
      <c r="N41" s="197">
        <f t="shared" ref="N41:N42" si="1">ROUND((L41/$L$48)*100,1)</f>
        <v>0</v>
      </c>
      <c r="O41" s="156"/>
      <c r="P41" s="163"/>
      <c r="Q41" s="79"/>
      <c r="R41" s="79">
        <f t="shared" ref="R41:R42" si="2">L41+P41</f>
        <v>0</v>
      </c>
      <c r="S41" s="200"/>
      <c r="T41" s="154"/>
      <c r="AA41" s="200"/>
      <c r="AB41" s="200"/>
      <c r="AC41" s="200"/>
      <c r="AD41" s="200"/>
      <c r="AI41" s="200"/>
      <c r="AJ41" s="200"/>
      <c r="AK41" s="209"/>
      <c r="AL41" s="200"/>
    </row>
    <row r="42" spans="1:40" ht="15.75" customHeight="1" x14ac:dyDescent="0.25">
      <c r="A42" s="159">
        <v>19</v>
      </c>
      <c r="B42" s="80"/>
      <c r="C42" s="153" t="str">
        <f>DCI_Name</f>
        <v>DISTRIBUTION CAPITAL INVESTMENT RIDER (DCI)</v>
      </c>
      <c r="D42" s="80"/>
      <c r="E42" s="80"/>
      <c r="F42" s="163"/>
      <c r="G42" s="70"/>
      <c r="H42" s="163"/>
      <c r="I42" s="79"/>
      <c r="J42" s="349">
        <f>PRO_DCI_DP</f>
        <v>0</v>
      </c>
      <c r="K42" s="263"/>
      <c r="L42" s="163">
        <f>ROUND($H$30*J42,0)</f>
        <v>0</v>
      </c>
      <c r="M42" s="79"/>
      <c r="N42" s="197">
        <f t="shared" si="1"/>
        <v>0</v>
      </c>
      <c r="O42" s="156"/>
      <c r="P42" s="163"/>
      <c r="Q42" s="79"/>
      <c r="R42" s="79">
        <f t="shared" si="2"/>
        <v>0</v>
      </c>
      <c r="S42" s="200"/>
      <c r="T42" s="154"/>
      <c r="AA42" s="200"/>
      <c r="AB42" s="200"/>
      <c r="AC42" s="200"/>
      <c r="AD42" s="200"/>
      <c r="AI42" s="200"/>
      <c r="AJ42" s="200"/>
      <c r="AK42" s="209"/>
      <c r="AL42" s="200"/>
    </row>
    <row r="43" spans="1:40" ht="15.75" customHeight="1" x14ac:dyDescent="0.25">
      <c r="A43" s="159">
        <v>20</v>
      </c>
      <c r="B43" s="80"/>
      <c r="C43" s="153" t="str">
        <f>FAC_Name</f>
        <v>FUEL ADJUSTMENT CLAUSE (FAC)</v>
      </c>
      <c r="D43" s="80"/>
      <c r="E43" s="80"/>
      <c r="F43" s="163"/>
      <c r="G43" s="70"/>
      <c r="H43" s="163"/>
      <c r="I43" s="79"/>
      <c r="J43" s="308">
        <f>PRO_FAC</f>
        <v>1.0280000000000003E-3</v>
      </c>
      <c r="K43" s="263"/>
      <c r="L43" s="163"/>
      <c r="M43" s="79"/>
      <c r="N43" s="197"/>
      <c r="O43" s="156"/>
      <c r="P43" s="163">
        <f>ROUND(H37*PRO_FAC,0)</f>
        <v>13412</v>
      </c>
      <c r="Q43" s="79"/>
      <c r="R43" s="79">
        <f t="shared" si="0"/>
        <v>13412</v>
      </c>
      <c r="S43" s="200"/>
      <c r="T43" s="154"/>
      <c r="AA43" s="200"/>
      <c r="AB43" s="200"/>
      <c r="AC43" s="200"/>
      <c r="AD43" s="200"/>
      <c r="AI43" s="200"/>
      <c r="AJ43" s="200"/>
      <c r="AK43" s="209"/>
      <c r="AL43" s="200"/>
    </row>
    <row r="44" spans="1:40" ht="15.75" customHeight="1" x14ac:dyDescent="0.25">
      <c r="A44" s="159">
        <v>21</v>
      </c>
      <c r="B44" s="80"/>
      <c r="C44" s="153" t="str">
        <f>FTR_Name</f>
        <v>FERC TRANSMISSION COST RECOVERY RECONCILIATION (FTR)</v>
      </c>
      <c r="D44" s="80"/>
      <c r="E44" s="80"/>
      <c r="F44" s="163"/>
      <c r="G44" s="70"/>
      <c r="H44" s="163"/>
      <c r="I44" s="79"/>
      <c r="J44" s="288">
        <f>PRO_FTR_DP</f>
        <v>0</v>
      </c>
      <c r="K44" s="263"/>
      <c r="L44" s="163">
        <f>ROUND($H$37*J44,0)</f>
        <v>0</v>
      </c>
      <c r="M44" s="79"/>
      <c r="N44" s="197">
        <f>ROUND((L44/$L$48)*100,1)</f>
        <v>0</v>
      </c>
      <c r="O44" s="156"/>
      <c r="P44" s="163"/>
      <c r="Q44" s="79"/>
      <c r="R44" s="79">
        <f t="shared" ref="R44" si="3">L44+P44</f>
        <v>0</v>
      </c>
      <c r="S44" s="200"/>
      <c r="T44" s="154"/>
      <c r="AA44" s="200"/>
      <c r="AB44" s="200"/>
      <c r="AC44" s="200"/>
      <c r="AD44" s="200"/>
      <c r="AI44" s="200"/>
      <c r="AJ44" s="200"/>
      <c r="AK44" s="209"/>
      <c r="AL44" s="200"/>
    </row>
    <row r="45" spans="1:40" ht="15.75" customHeight="1" x14ac:dyDescent="0.25">
      <c r="A45" s="159">
        <v>22</v>
      </c>
      <c r="B45" s="80"/>
      <c r="C45" s="153" t="str">
        <f>PSM_Name</f>
        <v>PROFIT SHARING MECHANISM (PSM)</v>
      </c>
      <c r="D45" s="80"/>
      <c r="E45" s="80"/>
      <c r="F45" s="163"/>
      <c r="G45" s="70"/>
      <c r="H45" s="163"/>
      <c r="I45" s="79"/>
      <c r="J45" s="308">
        <f>PRO_PSM</f>
        <v>-4.5600000000000003E-4</v>
      </c>
      <c r="K45" s="263"/>
      <c r="L45" s="167">
        <f>ROUND(H37*PRO_PSM,0)</f>
        <v>-5949</v>
      </c>
      <c r="M45" s="79"/>
      <c r="N45" s="166">
        <f>ROUND((L45/$L$48)*100,1)</f>
        <v>-0.5</v>
      </c>
      <c r="O45" s="156"/>
      <c r="P45" s="167"/>
      <c r="Q45" s="79"/>
      <c r="R45" s="167">
        <f t="shared" si="0"/>
        <v>-5949</v>
      </c>
      <c r="S45" s="200"/>
      <c r="T45" s="154"/>
      <c r="AA45" s="200"/>
      <c r="AB45" s="200"/>
      <c r="AC45" s="200"/>
      <c r="AD45" s="200"/>
      <c r="AI45" s="200"/>
      <c r="AJ45" s="200"/>
      <c r="AK45" s="209"/>
      <c r="AL45" s="200"/>
    </row>
    <row r="46" spans="1:40" ht="20.100000000000001" customHeight="1" x14ac:dyDescent="0.25">
      <c r="A46" s="159">
        <v>23</v>
      </c>
      <c r="B46" s="80"/>
      <c r="C46" s="253" t="s">
        <v>557</v>
      </c>
      <c r="D46" s="80"/>
      <c r="E46" s="80"/>
      <c r="F46" s="167"/>
      <c r="G46" s="70"/>
      <c r="H46" s="167"/>
      <c r="I46" s="79"/>
      <c r="J46" s="263"/>
      <c r="K46" s="263"/>
      <c r="L46" s="169">
        <f>SUM(L40:L45)</f>
        <v>27659</v>
      </c>
      <c r="M46" s="79"/>
      <c r="N46" s="170">
        <f>ROUND((L46/$L$48)*100,1)</f>
        <v>2.5</v>
      </c>
      <c r="O46" s="156"/>
      <c r="P46" s="169">
        <f>SUM(P40:P45)</f>
        <v>13412</v>
      </c>
      <c r="Q46" s="79"/>
      <c r="R46" s="169">
        <f>SUM(R40:R45)</f>
        <v>41071</v>
      </c>
      <c r="S46" s="200"/>
      <c r="T46" s="154"/>
      <c r="AA46" s="200"/>
      <c r="AB46" s="200"/>
      <c r="AC46" s="200"/>
      <c r="AD46" s="200"/>
      <c r="AI46" s="200"/>
      <c r="AJ46" s="200"/>
      <c r="AK46" s="209"/>
      <c r="AL46" s="200"/>
    </row>
    <row r="47" spans="1:40" ht="15.75" customHeight="1" x14ac:dyDescent="0.25">
      <c r="A47" s="159"/>
      <c r="B47" s="80"/>
      <c r="C47" s="253"/>
      <c r="D47" s="80"/>
      <c r="E47" s="80"/>
      <c r="F47" s="163"/>
      <c r="G47" s="70"/>
      <c r="H47" s="163"/>
      <c r="I47" s="79"/>
      <c r="J47" s="263"/>
      <c r="K47" s="263"/>
      <c r="L47" s="163"/>
      <c r="M47" s="79"/>
      <c r="N47" s="198"/>
      <c r="O47" s="156"/>
      <c r="P47" s="163"/>
      <c r="Q47" s="79"/>
      <c r="R47" s="163"/>
      <c r="S47" s="200"/>
      <c r="T47" s="154"/>
      <c r="AA47" s="200"/>
      <c r="AB47" s="200"/>
      <c r="AC47" s="200"/>
      <c r="AD47" s="200"/>
      <c r="AI47" s="200"/>
      <c r="AJ47" s="200"/>
      <c r="AK47" s="209"/>
      <c r="AL47" s="200"/>
    </row>
    <row r="48" spans="1:40" ht="20.100000000000001" customHeight="1" thickBot="1" x14ac:dyDescent="0.3">
      <c r="A48" s="159">
        <v>24</v>
      </c>
      <c r="B48" s="80"/>
      <c r="C48" s="265" t="s">
        <v>572</v>
      </c>
      <c r="D48" s="80"/>
      <c r="E48" s="80"/>
      <c r="F48" s="275">
        <f>F26</f>
        <v>120</v>
      </c>
      <c r="G48" s="70"/>
      <c r="H48" s="275">
        <f>H36</f>
        <v>13046582</v>
      </c>
      <c r="I48" s="79"/>
      <c r="J48" s="263"/>
      <c r="K48" s="263"/>
      <c r="L48" s="275">
        <f>L37+L46</f>
        <v>1101548</v>
      </c>
      <c r="M48" s="79"/>
      <c r="N48" s="309">
        <v>100</v>
      </c>
      <c r="O48" s="156"/>
      <c r="P48" s="275">
        <f>P46+P37</f>
        <v>13412</v>
      </c>
      <c r="Q48" s="79"/>
      <c r="R48" s="275">
        <f>R46+R37</f>
        <v>1114960</v>
      </c>
      <c r="Y48" s="154"/>
    </row>
    <row r="49" spans="1:46" ht="16.5" thickTop="1" x14ac:dyDescent="0.25">
      <c r="A49" s="80"/>
      <c r="B49" s="80"/>
      <c r="C49" s="80"/>
      <c r="D49" s="80"/>
      <c r="E49" s="80"/>
      <c r="F49" s="79"/>
      <c r="G49" s="70"/>
      <c r="H49" s="79"/>
      <c r="I49" s="79"/>
      <c r="J49" s="263"/>
      <c r="K49" s="263"/>
      <c r="L49" s="79"/>
      <c r="M49" s="79"/>
      <c r="N49" s="79"/>
      <c r="O49" s="79"/>
      <c r="P49" s="79"/>
      <c r="Q49" s="79"/>
      <c r="R49" s="79"/>
      <c r="AA49" s="154"/>
      <c r="AB49" s="154"/>
    </row>
    <row r="50" spans="1:46" x14ac:dyDescent="0.25">
      <c r="A50" s="80"/>
      <c r="B50" s="80"/>
      <c r="C50" s="173" t="s">
        <v>61</v>
      </c>
      <c r="D50" s="80"/>
      <c r="E50" s="80"/>
      <c r="F50" s="189"/>
      <c r="G50" s="80"/>
      <c r="H50" s="189"/>
      <c r="I50" s="189"/>
      <c r="J50" s="310"/>
      <c r="K50" s="310"/>
      <c r="L50" s="189"/>
      <c r="M50" s="189"/>
      <c r="N50" s="189"/>
      <c r="O50" s="189"/>
      <c r="P50" s="189"/>
      <c r="Q50" s="189"/>
      <c r="R50" s="189"/>
      <c r="AK50" s="297"/>
      <c r="AL50" s="154"/>
    </row>
    <row r="51" spans="1:46" x14ac:dyDescent="0.25">
      <c r="A51" s="80"/>
      <c r="B51" s="80"/>
      <c r="C51" s="173" t="str">
        <f>"(2) REFLECTS FUEL COMPONENT OF "&amp;TEXT(PRO_FAC,"$0.000000;($0.000000)")&amp;"  PER KWH."</f>
        <v>(2) REFLECTS FUEL COMPONENT OF $0.001028  PER KWH.</v>
      </c>
      <c r="D51" s="80"/>
      <c r="E51" s="80"/>
      <c r="F51" s="189"/>
      <c r="G51" s="80"/>
      <c r="H51" s="189"/>
      <c r="I51" s="189"/>
      <c r="J51" s="310"/>
      <c r="K51" s="310"/>
      <c r="L51" s="189"/>
      <c r="M51" s="189"/>
      <c r="N51" s="189"/>
      <c r="O51" s="189"/>
      <c r="P51" s="189"/>
      <c r="Q51" s="189"/>
      <c r="R51" s="189"/>
      <c r="AK51" s="297"/>
      <c r="AL51" s="154"/>
    </row>
    <row r="52" spans="1:46" x14ac:dyDescent="0.25">
      <c r="A52" s="202"/>
      <c r="C52" s="173" t="str">
        <f>"(3) REFLECTS FUEL COST RECOVERY INCLUDED IN BASE RATES OF "&amp;TEXT(PRO_BASE_FUEL,"$0.000000;($0.000000)")&amp;"  PER KWH."</f>
        <v>(3) REFLECTS FUEL COST RECOVERY INCLUDED IN BASE RATES OF $0.023837  PER KWH.</v>
      </c>
      <c r="R52" s="154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188"/>
      <c r="AH52" s="80"/>
      <c r="AI52" s="80"/>
      <c r="AJ52" s="80"/>
      <c r="AK52" s="188"/>
      <c r="AL52" s="80"/>
      <c r="AM52" s="80"/>
      <c r="AN52" s="80"/>
      <c r="AO52" s="80"/>
      <c r="AP52" s="80"/>
      <c r="AQ52" s="188"/>
      <c r="AR52" s="80"/>
      <c r="AS52" s="80"/>
      <c r="AT52" s="80"/>
    </row>
    <row r="53" spans="1:46" x14ac:dyDescent="0.25">
      <c r="A53" s="154"/>
      <c r="R53" s="154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188"/>
      <c r="AH53" s="80"/>
      <c r="AI53" s="80"/>
      <c r="AJ53" s="80"/>
      <c r="AK53" s="188"/>
      <c r="AL53" s="80"/>
      <c r="AM53" s="80"/>
      <c r="AN53" s="80"/>
      <c r="AO53" s="80"/>
      <c r="AP53" s="80"/>
      <c r="AQ53" s="188"/>
      <c r="AR53" s="80"/>
      <c r="AS53" s="80"/>
      <c r="AT53" s="80"/>
    </row>
    <row r="54" spans="1:46" x14ac:dyDescent="0.25">
      <c r="F54" s="361"/>
      <c r="G54" s="361"/>
      <c r="H54" s="361"/>
      <c r="I54" s="361"/>
      <c r="J54" s="361"/>
      <c r="L54" s="154"/>
      <c r="M54" s="154"/>
      <c r="R54" s="202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188"/>
      <c r="AH54" s="80"/>
      <c r="AI54" s="80"/>
      <c r="AJ54" s="80"/>
      <c r="AK54" s="188"/>
      <c r="AL54" s="80"/>
      <c r="AM54" s="80"/>
      <c r="AN54" s="80"/>
      <c r="AO54" s="80"/>
      <c r="AP54" s="80"/>
      <c r="AQ54" s="188"/>
      <c r="AR54" s="80"/>
      <c r="AS54" s="80"/>
      <c r="AT54" s="80"/>
    </row>
    <row r="55" spans="1:46" x14ac:dyDescent="0.25">
      <c r="A55" s="102"/>
      <c r="B55" s="102"/>
      <c r="C55" s="102"/>
      <c r="D55" s="102"/>
      <c r="E55" s="102"/>
      <c r="F55" s="361"/>
      <c r="G55" s="361"/>
      <c r="H55" s="361"/>
      <c r="I55" s="361"/>
      <c r="J55" s="361"/>
      <c r="K55" s="102"/>
      <c r="L55" s="102"/>
      <c r="M55" s="102"/>
      <c r="N55" s="102"/>
      <c r="O55" s="102"/>
      <c r="P55" s="102"/>
      <c r="Q55" s="102"/>
      <c r="R55" s="102"/>
      <c r="T55" s="150" t="str">
        <f>NAME</f>
        <v>DUKE ENERGY KENTUCKY, INC.</v>
      </c>
      <c r="U55" s="150"/>
      <c r="V55" s="150"/>
      <c r="W55" s="150"/>
      <c r="X55" s="150"/>
      <c r="Y55" s="150"/>
      <c r="Z55" s="150"/>
      <c r="AA55" s="150"/>
      <c r="AB55" s="150"/>
      <c r="AC55" s="187"/>
      <c r="AD55" s="187"/>
      <c r="AE55" s="150"/>
      <c r="AF55" s="100"/>
      <c r="AG55" s="190"/>
      <c r="AH55" s="100"/>
      <c r="AI55" s="150"/>
      <c r="AJ55" s="150"/>
      <c r="AK55" s="190"/>
      <c r="AL55" s="150"/>
      <c r="AM55" s="150"/>
      <c r="AN55" s="100"/>
      <c r="AO55" s="150"/>
      <c r="AP55" s="150"/>
      <c r="AQ55" s="190"/>
    </row>
    <row r="56" spans="1:46" x14ac:dyDescent="0.25">
      <c r="A56" s="102"/>
      <c r="B56" s="102"/>
      <c r="C56" s="102"/>
      <c r="D56" s="102"/>
      <c r="E56" s="102"/>
      <c r="F56" s="361"/>
      <c r="G56" s="361"/>
      <c r="H56" s="361"/>
      <c r="I56" s="361"/>
      <c r="J56" s="361"/>
      <c r="K56" s="102"/>
      <c r="L56" s="102"/>
      <c r="M56" s="102"/>
      <c r="N56" s="102"/>
      <c r="O56" s="102"/>
      <c r="P56" s="102"/>
      <c r="Q56" s="102"/>
      <c r="R56" s="102"/>
      <c r="T56" s="150" t="str">
        <f>CASE_NO</f>
        <v>CASE NO.   2017-00321</v>
      </c>
      <c r="U56" s="150"/>
      <c r="V56" s="150"/>
      <c r="W56" s="150"/>
      <c r="X56" s="150"/>
      <c r="Y56" s="150"/>
      <c r="Z56" s="150"/>
      <c r="AA56" s="150"/>
      <c r="AB56" s="150"/>
      <c r="AC56" s="187"/>
      <c r="AD56" s="187"/>
      <c r="AE56" s="150"/>
      <c r="AF56" s="100"/>
      <c r="AG56" s="190"/>
      <c r="AH56" s="100"/>
      <c r="AI56" s="150"/>
      <c r="AJ56" s="150"/>
      <c r="AK56" s="190"/>
      <c r="AL56" s="150"/>
      <c r="AM56" s="150"/>
      <c r="AN56" s="100"/>
      <c r="AO56" s="150"/>
      <c r="AP56" s="150"/>
      <c r="AQ56" s="190"/>
    </row>
    <row r="57" spans="1:46" x14ac:dyDescent="0.25">
      <c r="F57" s="361"/>
      <c r="G57" s="361"/>
      <c r="H57" s="361"/>
      <c r="I57" s="361"/>
      <c r="J57" s="361"/>
      <c r="L57" s="103"/>
      <c r="M57" s="103"/>
      <c r="N57" s="103"/>
      <c r="O57" s="103"/>
      <c r="R57" s="103"/>
      <c r="T57" s="187" t="str">
        <f>TITLE</f>
        <v>ANNUALIZED BASE YEAR REVENUES AT PROPOSED VS. MOST CURRENT RATES</v>
      </c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00"/>
      <c r="AG57" s="190"/>
      <c r="AH57" s="100"/>
      <c r="AI57" s="150"/>
      <c r="AJ57" s="150"/>
      <c r="AK57" s="190"/>
      <c r="AL57" s="150"/>
      <c r="AM57" s="150"/>
      <c r="AN57" s="100"/>
      <c r="AO57" s="150"/>
      <c r="AP57" s="150"/>
      <c r="AQ57" s="190"/>
    </row>
    <row r="58" spans="1:46" x14ac:dyDescent="0.25">
      <c r="L58" s="103"/>
      <c r="M58" s="103"/>
      <c r="N58" s="103"/>
      <c r="O58" s="103"/>
      <c r="R58" s="103"/>
      <c r="T58" s="150" t="str">
        <f>DATE</f>
        <v>FOR THE TWELVE MONTHS ENDED November 30, 2017</v>
      </c>
      <c r="U58" s="150"/>
      <c r="V58" s="150"/>
      <c r="W58" s="150"/>
      <c r="X58" s="150"/>
      <c r="Y58" s="150"/>
      <c r="Z58" s="150"/>
      <c r="AA58" s="150"/>
      <c r="AB58" s="150"/>
      <c r="AC58" s="187"/>
      <c r="AD58" s="187"/>
      <c r="AE58" s="150"/>
      <c r="AF58" s="100"/>
      <c r="AG58" s="190"/>
      <c r="AH58" s="100"/>
      <c r="AI58" s="150"/>
      <c r="AJ58" s="150"/>
      <c r="AK58" s="190"/>
      <c r="AL58" s="150"/>
      <c r="AM58" s="150"/>
      <c r="AN58" s="100"/>
      <c r="AO58" s="150"/>
      <c r="AP58" s="150"/>
      <c r="AQ58" s="190"/>
    </row>
    <row r="59" spans="1:46" x14ac:dyDescent="0.25">
      <c r="A59" s="103"/>
      <c r="C59" s="103"/>
      <c r="D59" s="103"/>
      <c r="E59" s="103"/>
      <c r="F59" s="103"/>
      <c r="J59" s="103"/>
      <c r="K59" s="103"/>
      <c r="L59" s="103"/>
      <c r="M59" s="103"/>
      <c r="N59" s="103"/>
      <c r="O59" s="103"/>
      <c r="P59" s="103"/>
      <c r="Q59" s="103"/>
      <c r="R59" s="103"/>
      <c r="T59" s="150" t="str">
        <f>SERVICE</f>
        <v>(ELECTRIC SERVICE)</v>
      </c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87"/>
      <c r="AF59" s="312"/>
      <c r="AG59" s="190"/>
      <c r="AH59" s="100"/>
      <c r="AI59" s="150"/>
      <c r="AJ59" s="150"/>
      <c r="AK59" s="190"/>
      <c r="AL59" s="150"/>
      <c r="AM59" s="150"/>
      <c r="AN59" s="100"/>
      <c r="AO59" s="150"/>
      <c r="AP59" s="150"/>
      <c r="AQ59" s="190"/>
    </row>
    <row r="60" spans="1:46" x14ac:dyDescent="0.25">
      <c r="A60" s="103"/>
      <c r="C60" s="103"/>
      <c r="D60" s="103"/>
      <c r="E60" s="103"/>
      <c r="F60" s="103"/>
      <c r="J60" s="103"/>
      <c r="K60" s="103"/>
      <c r="L60" s="103"/>
      <c r="M60" s="103"/>
      <c r="N60" s="103"/>
      <c r="O60" s="103"/>
      <c r="P60" s="103"/>
      <c r="Q60" s="103"/>
      <c r="R60" s="103"/>
      <c r="T60" s="159" t="str">
        <f>DATA_PERIOD</f>
        <v>DATA: __X__ BASE PERIOD   ____FORECASTED PERIOD</v>
      </c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G60" s="188"/>
      <c r="AI60" s="80"/>
      <c r="AJ60" s="80"/>
      <c r="AK60" s="188"/>
      <c r="AL60" s="80"/>
      <c r="AM60" s="80"/>
      <c r="AO60" s="82" t="s">
        <v>179</v>
      </c>
      <c r="AP60" s="82"/>
      <c r="AQ60" s="188"/>
    </row>
    <row r="61" spans="1:46" x14ac:dyDescent="0.25">
      <c r="A61" s="103"/>
      <c r="C61" s="103"/>
      <c r="D61" s="103"/>
      <c r="E61" s="103"/>
      <c r="F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T61" s="159" t="str">
        <f>TYPE</f>
        <v>TYPE OF FILING: _X_ ORIGINAL   ___UPDATED  ___ REVISED</v>
      </c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G61" s="188"/>
      <c r="AI61" s="80"/>
      <c r="AJ61" s="80"/>
      <c r="AK61" s="188"/>
      <c r="AL61" s="80"/>
      <c r="AM61" s="80"/>
      <c r="AO61" s="81" t="str">
        <f>R7</f>
        <v>PAGE  8  OF  22</v>
      </c>
      <c r="AP61" s="82"/>
      <c r="AQ61" s="188"/>
    </row>
    <row r="62" spans="1:46" x14ac:dyDescent="0.25">
      <c r="C62" s="103"/>
      <c r="D62" s="103"/>
      <c r="E62" s="103"/>
      <c r="F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T62" s="82" t="s">
        <v>192</v>
      </c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G62" s="188"/>
      <c r="AI62" s="80"/>
      <c r="AJ62" s="80"/>
      <c r="AK62" s="188"/>
      <c r="AL62" s="80"/>
      <c r="AM62" s="80"/>
      <c r="AO62" s="82" t="s">
        <v>3</v>
      </c>
      <c r="AP62" s="82"/>
      <c r="AQ62" s="188"/>
    </row>
    <row r="63" spans="1:46" x14ac:dyDescent="0.25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T63" s="253" t="str">
        <f>TIME</f>
        <v>6 Months Actual and 6 Months Projected</v>
      </c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G63" s="188"/>
      <c r="AI63" s="80"/>
      <c r="AJ63" s="80"/>
      <c r="AK63" s="188"/>
      <c r="AL63" s="80"/>
      <c r="AM63" s="80"/>
      <c r="AO63" s="159" t="str">
        <f>WIT</f>
        <v>B. L. SAILERS</v>
      </c>
      <c r="AP63" s="159"/>
      <c r="AQ63" s="188"/>
    </row>
    <row r="64" spans="1:46" x14ac:dyDescent="0.25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T64" s="253" t="str">
        <f>INPUT!B5</f>
        <v>6 Months Actual Ending May 31, 2017</v>
      </c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G64" s="188"/>
      <c r="AI64" s="80"/>
      <c r="AJ64" s="80"/>
      <c r="AK64" s="188"/>
      <c r="AL64" s="80"/>
      <c r="AM64" s="80"/>
      <c r="AO64" s="159"/>
      <c r="AP64" s="159"/>
      <c r="AQ64" s="188"/>
    </row>
    <row r="65" spans="1:76" x14ac:dyDescent="0.25"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T65" s="187" t="s">
        <v>152</v>
      </c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00"/>
      <c r="AG65" s="190"/>
      <c r="AH65" s="100"/>
      <c r="AI65" s="150"/>
      <c r="AJ65" s="150"/>
      <c r="AK65" s="190"/>
      <c r="AL65" s="150"/>
      <c r="AM65" s="150"/>
      <c r="AN65" s="100"/>
      <c r="AO65" s="150"/>
      <c r="AP65" s="150"/>
      <c r="AQ65" s="190"/>
    </row>
    <row r="66" spans="1:76" x14ac:dyDescent="0.25">
      <c r="A66" s="202"/>
      <c r="C66" s="154"/>
      <c r="D66" s="154"/>
      <c r="E66" s="1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5"/>
      <c r="AH66" s="254"/>
      <c r="AI66" s="254"/>
      <c r="AJ66" s="254"/>
      <c r="AK66" s="255"/>
      <c r="AL66" s="254"/>
      <c r="AM66" s="254"/>
      <c r="AN66" s="254"/>
      <c r="AO66" s="254"/>
      <c r="AP66" s="254"/>
      <c r="AQ66" s="255"/>
    </row>
    <row r="67" spans="1:76" ht="18" customHeight="1" x14ac:dyDescent="0.25">
      <c r="A67" s="202"/>
      <c r="D67" s="154"/>
      <c r="E67" s="154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3" t="s">
        <v>8</v>
      </c>
      <c r="AF67" s="103"/>
      <c r="AG67" s="195" t="s">
        <v>7</v>
      </c>
      <c r="AH67" s="103"/>
      <c r="AI67" s="83" t="s">
        <v>9</v>
      </c>
      <c r="AJ67" s="83"/>
      <c r="AK67" s="195" t="s">
        <v>10</v>
      </c>
      <c r="AL67" s="83"/>
      <c r="AM67" s="80"/>
      <c r="AO67" s="83" t="s">
        <v>8</v>
      </c>
      <c r="AP67" s="83"/>
      <c r="AQ67" s="195" t="s">
        <v>11</v>
      </c>
    </row>
    <row r="68" spans="1:76" x14ac:dyDescent="0.25">
      <c r="T68" s="80"/>
      <c r="U68" s="80"/>
      <c r="V68" s="80"/>
      <c r="W68" s="80"/>
      <c r="X68" s="80"/>
      <c r="Y68" s="80"/>
      <c r="Z68" s="80"/>
      <c r="AA68" s="80"/>
      <c r="AB68" s="80"/>
      <c r="AC68" s="83" t="s">
        <v>14</v>
      </c>
      <c r="AD68" s="83"/>
      <c r="AE68" s="83" t="s">
        <v>12</v>
      </c>
      <c r="AF68" s="103"/>
      <c r="AG68" s="195" t="s">
        <v>13</v>
      </c>
      <c r="AH68" s="103"/>
      <c r="AI68" s="83" t="s">
        <v>15</v>
      </c>
      <c r="AJ68" s="83"/>
      <c r="AK68" s="195" t="s">
        <v>16</v>
      </c>
      <c r="AL68" s="83"/>
      <c r="AM68" s="80"/>
      <c r="AO68" s="83" t="s">
        <v>11</v>
      </c>
      <c r="AP68" s="83"/>
      <c r="AQ68" s="195" t="s">
        <v>9</v>
      </c>
    </row>
    <row r="69" spans="1:76" x14ac:dyDescent="0.25">
      <c r="A69" s="202"/>
      <c r="C69" s="154"/>
      <c r="T69" s="83" t="s">
        <v>17</v>
      </c>
      <c r="U69" s="80"/>
      <c r="V69" s="83" t="s">
        <v>18</v>
      </c>
      <c r="W69" s="83" t="s">
        <v>19</v>
      </c>
      <c r="X69" s="83"/>
      <c r="Y69" s="83" t="s">
        <v>20</v>
      </c>
      <c r="Z69" s="80"/>
      <c r="AA69" s="80"/>
      <c r="AB69" s="80"/>
      <c r="AC69" s="83" t="s">
        <v>8</v>
      </c>
      <c r="AD69" s="83"/>
      <c r="AE69" s="83" t="s">
        <v>21</v>
      </c>
      <c r="AF69" s="103"/>
      <c r="AG69" s="195" t="s">
        <v>21</v>
      </c>
      <c r="AH69" s="103"/>
      <c r="AI69" s="83" t="s">
        <v>22</v>
      </c>
      <c r="AJ69" s="83"/>
      <c r="AK69" s="195" t="s">
        <v>22</v>
      </c>
      <c r="AL69" s="83"/>
      <c r="AM69" s="83" t="s">
        <v>21</v>
      </c>
      <c r="AN69" s="103"/>
      <c r="AO69" s="83" t="s">
        <v>9</v>
      </c>
      <c r="AP69" s="83"/>
      <c r="AQ69" s="195" t="s">
        <v>23</v>
      </c>
    </row>
    <row r="70" spans="1:76" x14ac:dyDescent="0.25">
      <c r="A70" s="202"/>
      <c r="C70" s="154"/>
      <c r="F70" s="252"/>
      <c r="H70" s="252"/>
      <c r="I70" s="252"/>
      <c r="J70" s="300"/>
      <c r="K70" s="300"/>
      <c r="L70" s="200"/>
      <c r="M70" s="200"/>
      <c r="N70" s="210"/>
      <c r="O70" s="210"/>
      <c r="P70" s="202"/>
      <c r="Q70" s="202"/>
      <c r="R70" s="200"/>
      <c r="T70" s="83" t="s">
        <v>24</v>
      </c>
      <c r="U70" s="80"/>
      <c r="V70" s="83" t="s">
        <v>25</v>
      </c>
      <c r="W70" s="83" t="s">
        <v>26</v>
      </c>
      <c r="X70" s="83"/>
      <c r="Y70" s="83" t="s">
        <v>27</v>
      </c>
      <c r="Z70" s="80"/>
      <c r="AA70" s="83" t="s">
        <v>28</v>
      </c>
      <c r="AB70" s="83"/>
      <c r="AC70" s="83" t="s">
        <v>29</v>
      </c>
      <c r="AD70" s="83"/>
      <c r="AE70" s="83" t="s">
        <v>9</v>
      </c>
      <c r="AF70" s="103"/>
      <c r="AG70" s="195" t="s">
        <v>9</v>
      </c>
      <c r="AH70" s="103"/>
      <c r="AI70" s="256" t="s">
        <v>31</v>
      </c>
      <c r="AJ70" s="256"/>
      <c r="AK70" s="257" t="s">
        <v>32</v>
      </c>
      <c r="AL70" s="83"/>
      <c r="AM70" s="83" t="s">
        <v>430</v>
      </c>
      <c r="AN70" s="103"/>
      <c r="AO70" s="256" t="s">
        <v>33</v>
      </c>
      <c r="AP70" s="256"/>
      <c r="AQ70" s="257" t="s">
        <v>34</v>
      </c>
    </row>
    <row r="71" spans="1:76" x14ac:dyDescent="0.25">
      <c r="A71" s="202"/>
      <c r="C71" s="154"/>
      <c r="F71" s="252"/>
      <c r="H71" s="252"/>
      <c r="I71" s="252"/>
      <c r="J71" s="300"/>
      <c r="K71" s="300"/>
      <c r="L71" s="200"/>
      <c r="M71" s="200"/>
      <c r="N71" s="210"/>
      <c r="O71" s="210"/>
      <c r="P71" s="202"/>
      <c r="Q71" s="202"/>
      <c r="R71" s="200"/>
      <c r="T71" s="80"/>
      <c r="U71" s="80"/>
      <c r="V71" s="256" t="s">
        <v>35</v>
      </c>
      <c r="W71" s="256" t="s">
        <v>36</v>
      </c>
      <c r="X71" s="256"/>
      <c r="Y71" s="256" t="s">
        <v>37</v>
      </c>
      <c r="Z71" s="258"/>
      <c r="AA71" s="256" t="s">
        <v>38</v>
      </c>
      <c r="AB71" s="256"/>
      <c r="AC71" s="256" t="s">
        <v>44</v>
      </c>
      <c r="AD71" s="256"/>
      <c r="AE71" s="256" t="s">
        <v>45</v>
      </c>
      <c r="AF71" s="313"/>
      <c r="AG71" s="257" t="s">
        <v>46</v>
      </c>
      <c r="AH71" s="313"/>
      <c r="AI71" s="256" t="s">
        <v>47</v>
      </c>
      <c r="AJ71" s="256"/>
      <c r="AK71" s="257" t="s">
        <v>48</v>
      </c>
      <c r="AL71" s="256"/>
      <c r="AM71" s="256" t="s">
        <v>42</v>
      </c>
      <c r="AN71" s="313"/>
      <c r="AO71" s="256" t="s">
        <v>49</v>
      </c>
      <c r="AP71" s="256"/>
      <c r="AQ71" s="257" t="s">
        <v>50</v>
      </c>
      <c r="AU71" s="80"/>
    </row>
    <row r="72" spans="1:76" x14ac:dyDescent="0.25">
      <c r="F72" s="211"/>
      <c r="H72" s="200"/>
      <c r="I72" s="200"/>
      <c r="J72" s="305"/>
      <c r="K72" s="305"/>
      <c r="L72" s="211"/>
      <c r="M72" s="211"/>
      <c r="N72" s="211"/>
      <c r="O72" s="211"/>
      <c r="P72" s="211"/>
      <c r="Q72" s="211"/>
      <c r="R72" s="211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5"/>
      <c r="AH72" s="254"/>
      <c r="AI72" s="254"/>
      <c r="AJ72" s="254"/>
      <c r="AK72" s="255"/>
      <c r="AL72" s="254"/>
      <c r="AM72" s="254"/>
      <c r="AN72" s="254"/>
      <c r="AO72" s="254"/>
      <c r="AP72" s="254"/>
      <c r="AQ72" s="255"/>
      <c r="AU72" s="80"/>
    </row>
    <row r="73" spans="1:76" ht="17.100000000000001" customHeight="1" x14ac:dyDescent="0.25">
      <c r="A73" s="202"/>
      <c r="C73" s="154"/>
      <c r="F73" s="200"/>
      <c r="H73" s="200"/>
      <c r="I73" s="200"/>
      <c r="J73" s="305"/>
      <c r="K73" s="305"/>
      <c r="L73" s="200"/>
      <c r="M73" s="200"/>
      <c r="N73" s="210"/>
      <c r="O73" s="210"/>
      <c r="P73" s="200"/>
      <c r="Q73" s="200"/>
      <c r="R73" s="200"/>
      <c r="T73" s="80"/>
      <c r="U73" s="80"/>
      <c r="V73" s="80"/>
      <c r="W73" s="80"/>
      <c r="X73" s="80"/>
      <c r="Y73" s="80"/>
      <c r="Z73" s="80"/>
      <c r="AA73" s="260" t="s">
        <v>218</v>
      </c>
      <c r="AB73" s="259"/>
      <c r="AC73" s="260" t="s">
        <v>441</v>
      </c>
      <c r="AD73" s="259"/>
      <c r="AE73" s="259" t="s">
        <v>52</v>
      </c>
      <c r="AF73" s="314"/>
      <c r="AG73" s="261" t="s">
        <v>53</v>
      </c>
      <c r="AH73" s="314"/>
      <c r="AI73" s="259" t="s">
        <v>52</v>
      </c>
      <c r="AJ73" s="259"/>
      <c r="AK73" s="261" t="s">
        <v>53</v>
      </c>
      <c r="AL73" s="259"/>
      <c r="AM73" s="259" t="s">
        <v>52</v>
      </c>
      <c r="AN73" s="314"/>
      <c r="AO73" s="259" t="s">
        <v>52</v>
      </c>
      <c r="AP73" s="259"/>
      <c r="AQ73" s="261" t="s">
        <v>53</v>
      </c>
      <c r="AU73" s="80"/>
    </row>
    <row r="74" spans="1:76" x14ac:dyDescent="0.25">
      <c r="F74" s="211"/>
      <c r="H74" s="200"/>
      <c r="I74" s="200"/>
      <c r="J74" s="305"/>
      <c r="K74" s="305"/>
      <c r="L74" s="211"/>
      <c r="M74" s="211"/>
      <c r="N74" s="211"/>
      <c r="O74" s="211"/>
      <c r="P74" s="211"/>
      <c r="Q74" s="211"/>
      <c r="R74" s="211"/>
      <c r="T74" s="159">
        <v>1</v>
      </c>
      <c r="U74" s="80"/>
      <c r="V74" s="253" t="s">
        <v>114</v>
      </c>
      <c r="W74" s="253" t="s">
        <v>171</v>
      </c>
      <c r="X74" s="82"/>
      <c r="Y74" s="70"/>
      <c r="Z74" s="70"/>
      <c r="AA74" s="298"/>
      <c r="AB74" s="298"/>
      <c r="AC74" s="299" t="s">
        <v>435</v>
      </c>
      <c r="AD74" s="298"/>
      <c r="AE74" s="298"/>
      <c r="AF74" s="298"/>
      <c r="AG74" s="316"/>
      <c r="AH74" s="298"/>
      <c r="AI74" s="298"/>
      <c r="AJ74" s="298"/>
      <c r="AK74" s="316"/>
      <c r="AL74" s="298"/>
      <c r="AM74" s="298"/>
      <c r="AN74" s="298"/>
      <c r="AO74" s="298"/>
      <c r="AP74" s="298"/>
      <c r="AQ74" s="316"/>
      <c r="AR74" s="80"/>
      <c r="AS74" s="80"/>
      <c r="AT74" s="80"/>
      <c r="AU74" s="362"/>
    </row>
    <row r="75" spans="1:76" x14ac:dyDescent="0.25">
      <c r="F75" s="200"/>
      <c r="H75" s="200"/>
      <c r="I75" s="200"/>
      <c r="J75" s="305"/>
      <c r="K75" s="305"/>
      <c r="L75" s="200"/>
      <c r="M75" s="200"/>
      <c r="N75" s="210"/>
      <c r="O75" s="210"/>
      <c r="P75" s="200"/>
      <c r="Q75" s="200"/>
      <c r="R75" s="200"/>
      <c r="T75" s="159">
        <v>2</v>
      </c>
      <c r="U75" s="80"/>
      <c r="V75" s="258"/>
      <c r="W75" s="253" t="s">
        <v>154</v>
      </c>
      <c r="X75" s="82"/>
      <c r="Y75" s="70"/>
      <c r="Z75" s="70"/>
      <c r="AA75" s="70"/>
      <c r="AB75" s="70"/>
      <c r="AC75" s="70"/>
      <c r="AD75" s="70"/>
      <c r="AE75" s="70"/>
      <c r="AF75" s="70"/>
      <c r="AG75" s="164"/>
      <c r="AH75" s="70"/>
      <c r="AI75" s="70"/>
      <c r="AJ75" s="70"/>
      <c r="AK75" s="164"/>
      <c r="AL75" s="70"/>
      <c r="AM75" s="70"/>
      <c r="AN75" s="70"/>
      <c r="AO75" s="70"/>
      <c r="AP75" s="70"/>
      <c r="AQ75" s="164"/>
      <c r="AR75" s="80"/>
      <c r="AS75" s="80"/>
      <c r="AT75" s="80"/>
      <c r="AU75" s="363"/>
      <c r="BX75" s="317"/>
    </row>
    <row r="76" spans="1:76" x14ac:dyDescent="0.25">
      <c r="A76" s="202"/>
      <c r="C76" s="154"/>
      <c r="F76" s="252"/>
      <c r="H76" s="252"/>
      <c r="I76" s="252"/>
      <c r="J76" s="300"/>
      <c r="K76" s="300"/>
      <c r="L76" s="200"/>
      <c r="M76" s="200"/>
      <c r="N76" s="210"/>
      <c r="O76" s="210"/>
      <c r="P76" s="200"/>
      <c r="Q76" s="200"/>
      <c r="R76" s="200"/>
      <c r="T76" s="80"/>
      <c r="U76" s="80"/>
      <c r="V76" s="80"/>
      <c r="W76" s="80"/>
      <c r="X76" s="80"/>
      <c r="Y76" s="70"/>
      <c r="Z76" s="70"/>
      <c r="AA76" s="70"/>
      <c r="AB76" s="70"/>
      <c r="AC76" s="70"/>
      <c r="AD76" s="70"/>
      <c r="AE76" s="70"/>
      <c r="AF76" s="70"/>
      <c r="AG76" s="164"/>
      <c r="AH76" s="70"/>
      <c r="AI76" s="70"/>
      <c r="AJ76" s="70"/>
      <c r="AK76" s="164"/>
      <c r="AL76" s="70"/>
      <c r="AM76" s="70"/>
      <c r="AN76" s="70"/>
      <c r="AO76" s="70"/>
      <c r="AP76" s="70"/>
      <c r="AQ76" s="164"/>
      <c r="AR76" s="80"/>
      <c r="AS76" s="80"/>
      <c r="AT76" s="80"/>
      <c r="AU76" s="363"/>
    </row>
    <row r="77" spans="1:76" x14ac:dyDescent="0.25">
      <c r="F77" s="200"/>
      <c r="H77" s="211"/>
      <c r="I77" s="211"/>
      <c r="J77" s="305"/>
      <c r="K77" s="305"/>
      <c r="L77" s="211"/>
      <c r="M77" s="211"/>
      <c r="N77" s="211"/>
      <c r="O77" s="211"/>
      <c r="P77" s="211"/>
      <c r="Q77" s="211"/>
      <c r="R77" s="211"/>
      <c r="T77" s="159">
        <v>3</v>
      </c>
      <c r="U77" s="80"/>
      <c r="V77" s="253" t="s">
        <v>155</v>
      </c>
      <c r="W77" s="80"/>
      <c r="X77" s="80"/>
      <c r="Y77" s="79"/>
      <c r="Z77" s="70"/>
      <c r="AA77" s="78"/>
      <c r="AB77" s="78"/>
      <c r="AC77" s="284"/>
      <c r="AD77" s="284"/>
      <c r="AE77" s="79"/>
      <c r="AF77" s="79"/>
      <c r="AG77" s="155"/>
      <c r="AH77" s="156"/>
      <c r="AI77" s="79"/>
      <c r="AJ77" s="79"/>
      <c r="AK77" s="318"/>
      <c r="AL77" s="319"/>
      <c r="AM77" s="70"/>
      <c r="AN77" s="70"/>
      <c r="AO77" s="79"/>
      <c r="AP77" s="79"/>
      <c r="AQ77" s="318"/>
      <c r="AR77" s="80"/>
      <c r="AS77" s="189"/>
      <c r="AT77" s="189"/>
      <c r="AU77" s="363"/>
    </row>
    <row r="78" spans="1:76" x14ac:dyDescent="0.25">
      <c r="F78" s="200"/>
      <c r="H78" s="211"/>
      <c r="I78" s="211"/>
      <c r="J78" s="305"/>
      <c r="K78" s="305"/>
      <c r="L78" s="211"/>
      <c r="M78" s="211"/>
      <c r="N78" s="211"/>
      <c r="O78" s="211"/>
      <c r="P78" s="211"/>
      <c r="Q78" s="211"/>
      <c r="R78" s="211"/>
      <c r="T78" s="159">
        <v>4</v>
      </c>
      <c r="U78" s="80"/>
      <c r="V78" s="82" t="s">
        <v>463</v>
      </c>
      <c r="W78" s="80"/>
      <c r="X78" s="80"/>
      <c r="Y78" s="163">
        <f>F24</f>
        <v>24</v>
      </c>
      <c r="Z78" s="70"/>
      <c r="AA78" s="78"/>
      <c r="AB78" s="78"/>
      <c r="AC78" s="283">
        <f>INPUT!C64</f>
        <v>100</v>
      </c>
      <c r="AD78" s="284"/>
      <c r="AE78" s="163">
        <f>ROUND(Y78*AC78,0)</f>
        <v>2400</v>
      </c>
      <c r="AF78" s="163"/>
      <c r="AG78" s="197">
        <f>ROUND((AE78/$AE$102)*100,1)</f>
        <v>0.3</v>
      </c>
      <c r="AH78" s="198"/>
      <c r="AI78" s="163">
        <f>L24-AE78</f>
        <v>-2280</v>
      </c>
      <c r="AJ78" s="163"/>
      <c r="AK78" s="197">
        <f>ROUND((AI78/AE78)*100,1)</f>
        <v>-95</v>
      </c>
      <c r="AL78" s="199"/>
      <c r="AM78" s="163"/>
      <c r="AN78" s="271"/>
      <c r="AO78" s="163">
        <f>AE78+AM78</f>
        <v>2400</v>
      </c>
      <c r="AP78" s="163"/>
      <c r="AQ78" s="197">
        <f>ROUND((AI78/AO78)*100,1)</f>
        <v>-95</v>
      </c>
      <c r="AR78" s="80"/>
      <c r="AS78" s="189"/>
      <c r="AT78" s="189"/>
      <c r="AU78" s="363"/>
    </row>
    <row r="79" spans="1:76" x14ac:dyDescent="0.25">
      <c r="A79" s="202"/>
      <c r="C79" s="154"/>
      <c r="F79" s="200"/>
      <c r="H79" s="200"/>
      <c r="I79" s="200"/>
      <c r="J79" s="213"/>
      <c r="K79" s="213"/>
      <c r="L79" s="200"/>
      <c r="M79" s="200"/>
      <c r="N79" s="210"/>
      <c r="O79" s="210"/>
      <c r="P79" s="200"/>
      <c r="Q79" s="200"/>
      <c r="R79" s="200"/>
      <c r="T79" s="159">
        <v>5</v>
      </c>
      <c r="U79" s="80"/>
      <c r="V79" s="82" t="s">
        <v>166</v>
      </c>
      <c r="W79" s="80"/>
      <c r="X79" s="80"/>
      <c r="Y79" s="79">
        <f>F25</f>
        <v>120</v>
      </c>
      <c r="Z79" s="70"/>
      <c r="AA79" s="78"/>
      <c r="AB79" s="78"/>
      <c r="AC79" s="283">
        <f>INPUT!C112</f>
        <v>100</v>
      </c>
      <c r="AD79" s="284"/>
      <c r="AE79" s="79">
        <f>ROUND(Y79*AC79,0)</f>
        <v>12000</v>
      </c>
      <c r="AF79" s="79"/>
      <c r="AG79" s="166">
        <f>ROUND((AE79/$AE$102)*100,1)-0.1</f>
        <v>1.2</v>
      </c>
      <c r="AH79" s="156"/>
      <c r="AI79" s="79">
        <f>L25-AE79</f>
        <v>2254</v>
      </c>
      <c r="AJ79" s="79"/>
      <c r="AK79" s="166">
        <f>ROUND((AI79/AE79)*100,1)</f>
        <v>18.8</v>
      </c>
      <c r="AL79" s="158"/>
      <c r="AM79" s="79"/>
      <c r="AN79" s="302"/>
      <c r="AO79" s="79">
        <f>AE79+AM79</f>
        <v>12000</v>
      </c>
      <c r="AP79" s="79"/>
      <c r="AQ79" s="155">
        <f>ROUND((AI79/AO79)*100,1)</f>
        <v>18.8</v>
      </c>
      <c r="AR79" s="159"/>
      <c r="AS79" s="189"/>
      <c r="AT79" s="189"/>
      <c r="AU79" s="362"/>
    </row>
    <row r="80" spans="1:76" ht="20.100000000000001" customHeight="1" x14ac:dyDescent="0.25">
      <c r="A80" s="202"/>
      <c r="C80" s="154"/>
      <c r="F80" s="252"/>
      <c r="H80" s="252"/>
      <c r="I80" s="252"/>
      <c r="J80" s="320"/>
      <c r="K80" s="320"/>
      <c r="L80" s="200"/>
      <c r="M80" s="200"/>
      <c r="N80" s="210"/>
      <c r="O80" s="210"/>
      <c r="P80" s="252"/>
      <c r="Q80" s="252"/>
      <c r="R80" s="200"/>
      <c r="T80" s="159">
        <v>6</v>
      </c>
      <c r="U80" s="80"/>
      <c r="V80" s="253" t="s">
        <v>158</v>
      </c>
      <c r="W80" s="80"/>
      <c r="X80" s="80"/>
      <c r="Y80" s="169">
        <f>F26</f>
        <v>120</v>
      </c>
      <c r="Z80" s="70"/>
      <c r="AA80" s="79"/>
      <c r="AB80" s="79"/>
      <c r="AC80" s="263"/>
      <c r="AD80" s="263"/>
      <c r="AE80" s="169">
        <f>SUM(AE78:AE79)</f>
        <v>14400</v>
      </c>
      <c r="AF80" s="79"/>
      <c r="AG80" s="166">
        <f>ROUND((AE80/$AE$102)*100,1)</f>
        <v>1.5</v>
      </c>
      <c r="AH80" s="156"/>
      <c r="AI80" s="169">
        <f>SUM(AI78:AI79)</f>
        <v>-26</v>
      </c>
      <c r="AJ80" s="79"/>
      <c r="AK80" s="170">
        <f>SUM(AK78:AK79)</f>
        <v>-76.2</v>
      </c>
      <c r="AL80" s="158"/>
      <c r="AM80" s="169"/>
      <c r="AN80" s="79"/>
      <c r="AO80" s="169">
        <f>SUM(AO78:AO79)</f>
        <v>14400</v>
      </c>
      <c r="AP80" s="79"/>
      <c r="AQ80" s="155">
        <f>ROUND((AI80/AO80)*100,1)</f>
        <v>-0.2</v>
      </c>
      <c r="AR80" s="189"/>
      <c r="AS80" s="189"/>
      <c r="AT80" s="189"/>
      <c r="AU80" s="363"/>
    </row>
    <row r="81" spans="1:47" x14ac:dyDescent="0.25">
      <c r="A81" s="202"/>
      <c r="C81" s="154"/>
      <c r="H81" s="252"/>
      <c r="I81" s="252"/>
      <c r="J81" s="320"/>
      <c r="K81" s="320"/>
      <c r="L81" s="200"/>
      <c r="M81" s="200"/>
      <c r="N81" s="210"/>
      <c r="O81" s="210"/>
      <c r="P81" s="252"/>
      <c r="Q81" s="252"/>
      <c r="R81" s="200"/>
      <c r="T81" s="80"/>
      <c r="U81" s="80"/>
      <c r="V81" s="80"/>
      <c r="W81" s="80"/>
      <c r="X81" s="80"/>
      <c r="Y81" s="79"/>
      <c r="Z81" s="70"/>
      <c r="AA81" s="79"/>
      <c r="AB81" s="79"/>
      <c r="AC81" s="263"/>
      <c r="AD81" s="263"/>
      <c r="AE81" s="79"/>
      <c r="AF81" s="79"/>
      <c r="AG81" s="155"/>
      <c r="AH81" s="156"/>
      <c r="AI81" s="79"/>
      <c r="AJ81" s="79"/>
      <c r="AK81" s="155"/>
      <c r="AL81" s="158"/>
      <c r="AM81" s="79"/>
      <c r="AN81" s="79"/>
      <c r="AO81" s="79"/>
      <c r="AP81" s="79"/>
      <c r="AQ81" s="155"/>
      <c r="AR81" s="189"/>
      <c r="AS81" s="189"/>
      <c r="AT81" s="189"/>
      <c r="AU81" s="363"/>
    </row>
    <row r="82" spans="1:47" x14ac:dyDescent="0.25">
      <c r="A82" s="202"/>
      <c r="C82" s="154"/>
      <c r="F82" s="200"/>
      <c r="H82" s="200"/>
      <c r="I82" s="200"/>
      <c r="J82" s="213"/>
      <c r="K82" s="213"/>
      <c r="L82" s="200"/>
      <c r="M82" s="200"/>
      <c r="N82" s="210"/>
      <c r="O82" s="210"/>
      <c r="P82" s="200"/>
      <c r="Q82" s="200"/>
      <c r="R82" s="200"/>
      <c r="T82" s="159">
        <v>7</v>
      </c>
      <c r="U82" s="80"/>
      <c r="V82" s="253" t="s">
        <v>65</v>
      </c>
      <c r="W82" s="80"/>
      <c r="X82" s="80"/>
      <c r="Y82" s="78"/>
      <c r="Z82" s="70"/>
      <c r="AA82" s="79"/>
      <c r="AB82" s="79"/>
      <c r="AC82" s="284"/>
      <c r="AD82" s="284"/>
      <c r="AE82" s="79"/>
      <c r="AF82" s="79"/>
      <c r="AG82" s="155"/>
      <c r="AH82" s="156"/>
      <c r="AI82" s="79"/>
      <c r="AJ82" s="79"/>
      <c r="AK82" s="318"/>
      <c r="AL82" s="319"/>
      <c r="AM82" s="79"/>
      <c r="AN82" s="79"/>
      <c r="AO82" s="79"/>
      <c r="AP82" s="79"/>
      <c r="AQ82" s="318"/>
      <c r="AR82" s="189"/>
      <c r="AS82" s="189"/>
      <c r="AT82" s="189"/>
      <c r="AU82" s="363"/>
    </row>
    <row r="83" spans="1:47" x14ac:dyDescent="0.25">
      <c r="F83" s="211"/>
      <c r="H83" s="211"/>
      <c r="I83" s="211"/>
      <c r="J83" s="305"/>
      <c r="K83" s="305"/>
      <c r="L83" s="211"/>
      <c r="M83" s="211"/>
      <c r="N83" s="211"/>
      <c r="O83" s="211"/>
      <c r="P83" s="211"/>
      <c r="Q83" s="211"/>
      <c r="R83" s="211"/>
      <c r="T83" s="159">
        <v>8</v>
      </c>
      <c r="U83" s="80"/>
      <c r="V83" s="82" t="s">
        <v>172</v>
      </c>
      <c r="W83" s="80"/>
      <c r="X83" s="80"/>
      <c r="Y83" s="78"/>
      <c r="Z83" s="70"/>
      <c r="AA83" s="79">
        <f>H29</f>
        <v>34707.33</v>
      </c>
      <c r="AB83" s="79"/>
      <c r="AC83" s="283">
        <f>INPUT!C118</f>
        <v>7.08</v>
      </c>
      <c r="AD83" s="284"/>
      <c r="AE83" s="79">
        <f>ROUND(AA83*AC83,0)</f>
        <v>245728</v>
      </c>
      <c r="AF83" s="79"/>
      <c r="AG83" s="166">
        <f>ROUND((AE83/$AE$102)*100,1)</f>
        <v>26.3</v>
      </c>
      <c r="AH83" s="156"/>
      <c r="AI83" s="79">
        <f>L29-AE83</f>
        <v>45814</v>
      </c>
      <c r="AJ83" s="79"/>
      <c r="AK83" s="166">
        <f>ROUND((AI83/AE83)*100,1)</f>
        <v>18.600000000000001</v>
      </c>
      <c r="AL83" s="158"/>
      <c r="AM83" s="79"/>
      <c r="AN83" s="79"/>
      <c r="AO83" s="79">
        <f>AE83+AM83</f>
        <v>245728</v>
      </c>
      <c r="AP83" s="79"/>
      <c r="AQ83" s="155">
        <f>ROUND((AI83/AO83)*100,1)</f>
        <v>18.600000000000001</v>
      </c>
      <c r="AR83" s="189"/>
      <c r="AS83" s="189"/>
      <c r="AT83" s="189"/>
      <c r="AU83" s="363"/>
    </row>
    <row r="84" spans="1:47" ht="20.100000000000001" customHeight="1" x14ac:dyDescent="0.25">
      <c r="A84" s="202"/>
      <c r="C84" s="154"/>
      <c r="F84" s="200"/>
      <c r="H84" s="200"/>
      <c r="I84" s="200"/>
      <c r="J84" s="213"/>
      <c r="K84" s="213"/>
      <c r="L84" s="200"/>
      <c r="M84" s="200"/>
      <c r="N84" s="210"/>
      <c r="O84" s="210"/>
      <c r="P84" s="200"/>
      <c r="Q84" s="200"/>
      <c r="R84" s="200"/>
      <c r="T84" s="159">
        <v>9</v>
      </c>
      <c r="U84" s="80"/>
      <c r="V84" s="253" t="s">
        <v>68</v>
      </c>
      <c r="W84" s="80"/>
      <c r="X84" s="80"/>
      <c r="Y84" s="79"/>
      <c r="Z84" s="70"/>
      <c r="AA84" s="169">
        <f>H30</f>
        <v>34707.33</v>
      </c>
      <c r="AB84" s="79"/>
      <c r="AC84" s="268"/>
      <c r="AD84" s="268"/>
      <c r="AE84" s="169">
        <f>SUM(AE83)</f>
        <v>245728</v>
      </c>
      <c r="AF84" s="79"/>
      <c r="AG84" s="166">
        <f>ROUND((AE84/$AE$102)*100,1)</f>
        <v>26.3</v>
      </c>
      <c r="AH84" s="156"/>
      <c r="AI84" s="169">
        <f>SUM(AI83)</f>
        <v>45814</v>
      </c>
      <c r="AJ84" s="79"/>
      <c r="AK84" s="170">
        <f>ROUND((AI84/AE84)*100,1)</f>
        <v>18.600000000000001</v>
      </c>
      <c r="AL84" s="158"/>
      <c r="AM84" s="169"/>
      <c r="AN84" s="79"/>
      <c r="AO84" s="169">
        <f>SUM(AO83)</f>
        <v>245728</v>
      </c>
      <c r="AP84" s="79"/>
      <c r="AQ84" s="155">
        <f>ROUND((AI84/AO84)*100,1)</f>
        <v>18.600000000000001</v>
      </c>
      <c r="AR84" s="189"/>
      <c r="AS84" s="189"/>
      <c r="AT84" s="189"/>
      <c r="AU84" s="363"/>
    </row>
    <row r="85" spans="1:47" x14ac:dyDescent="0.25">
      <c r="A85" s="202"/>
      <c r="C85" s="154"/>
      <c r="F85" s="200"/>
      <c r="H85" s="200"/>
      <c r="I85" s="200"/>
      <c r="J85" s="213"/>
      <c r="K85" s="213"/>
      <c r="L85" s="200"/>
      <c r="M85" s="200"/>
      <c r="N85" s="210"/>
      <c r="O85" s="210"/>
      <c r="P85" s="200"/>
      <c r="Q85" s="200"/>
      <c r="R85" s="200"/>
      <c r="T85" s="80"/>
      <c r="U85" s="80"/>
      <c r="V85" s="80"/>
      <c r="W85" s="80"/>
      <c r="X85" s="80"/>
      <c r="Y85" s="79"/>
      <c r="Z85" s="70"/>
      <c r="AA85" s="79"/>
      <c r="AB85" s="79"/>
      <c r="AC85" s="268"/>
      <c r="AD85" s="268"/>
      <c r="AE85" s="79"/>
      <c r="AF85" s="79"/>
      <c r="AG85" s="155"/>
      <c r="AH85" s="79"/>
      <c r="AI85" s="79"/>
      <c r="AJ85" s="79"/>
      <c r="AK85" s="155"/>
      <c r="AL85" s="158"/>
      <c r="AM85" s="79"/>
      <c r="AN85" s="79"/>
      <c r="AO85" s="79"/>
      <c r="AP85" s="79"/>
      <c r="AQ85" s="155"/>
      <c r="AR85" s="189"/>
      <c r="AS85" s="189"/>
      <c r="AT85" s="189"/>
      <c r="AU85" s="363"/>
    </row>
    <row r="86" spans="1:47" x14ac:dyDescent="0.25">
      <c r="A86" s="154"/>
      <c r="F86" s="200"/>
      <c r="H86" s="200"/>
      <c r="I86" s="200"/>
      <c r="J86" s="213"/>
      <c r="K86" s="213"/>
      <c r="L86" s="200"/>
      <c r="M86" s="200"/>
      <c r="N86" s="200"/>
      <c r="O86" s="200"/>
      <c r="P86" s="200"/>
      <c r="Q86" s="200"/>
      <c r="R86" s="200"/>
      <c r="T86" s="159">
        <v>10</v>
      </c>
      <c r="U86" s="80"/>
      <c r="V86" s="253" t="s">
        <v>481</v>
      </c>
      <c r="W86" s="80"/>
      <c r="X86" s="80"/>
      <c r="Y86" s="78"/>
      <c r="Z86" s="70"/>
      <c r="AA86" s="78"/>
      <c r="AB86" s="78"/>
      <c r="AC86" s="339"/>
      <c r="AD86" s="339"/>
      <c r="AE86" s="79"/>
      <c r="AF86" s="79"/>
      <c r="AG86" s="155"/>
      <c r="AH86" s="156"/>
      <c r="AI86" s="79"/>
      <c r="AJ86" s="79"/>
      <c r="AK86" s="155"/>
      <c r="AL86" s="158"/>
      <c r="AM86" s="78"/>
      <c r="AN86" s="78"/>
      <c r="AO86" s="79"/>
      <c r="AP86" s="79"/>
      <c r="AQ86" s="155"/>
      <c r="AR86" s="225"/>
      <c r="AS86" s="189"/>
      <c r="AT86" s="189"/>
      <c r="AU86" s="363"/>
    </row>
    <row r="87" spans="1:47" x14ac:dyDescent="0.25">
      <c r="T87" s="159">
        <v>11</v>
      </c>
      <c r="U87" s="80"/>
      <c r="V87" s="81" t="s">
        <v>173</v>
      </c>
      <c r="W87" s="80"/>
      <c r="X87" s="80"/>
      <c r="Y87" s="78"/>
      <c r="Z87" s="70"/>
      <c r="AA87" s="79">
        <f>H33</f>
        <v>10097570</v>
      </c>
      <c r="AB87" s="79"/>
      <c r="AC87" s="295">
        <f>INPUT!C114</f>
        <v>5.1068000000000002E-2</v>
      </c>
      <c r="AD87" s="293"/>
      <c r="AE87" s="79">
        <f>ROUND((AA87*AC87),0)</f>
        <v>515663</v>
      </c>
      <c r="AF87" s="79"/>
      <c r="AG87" s="197">
        <f>ROUND((AE87/$AE$102)*100,1)</f>
        <v>55.2</v>
      </c>
      <c r="AH87" s="156"/>
      <c r="AI87" s="79">
        <f>L33-AE87</f>
        <v>96199</v>
      </c>
      <c r="AJ87" s="79"/>
      <c r="AK87" s="155">
        <f>ROUND((AI87/AE87)*100,1)</f>
        <v>18.7</v>
      </c>
      <c r="AL87" s="158"/>
      <c r="AM87" s="163"/>
      <c r="AN87" s="78"/>
      <c r="AO87" s="79">
        <f>AE87+AM87</f>
        <v>515663</v>
      </c>
      <c r="AP87" s="79"/>
      <c r="AQ87" s="155">
        <f>ROUND((AI87/AO87)*100,1)</f>
        <v>18.7</v>
      </c>
      <c r="AR87" s="225"/>
      <c r="AS87" s="189"/>
      <c r="AT87" s="189"/>
      <c r="AU87" s="363"/>
    </row>
    <row r="88" spans="1:47" x14ac:dyDescent="0.25">
      <c r="L88" s="200"/>
      <c r="M88" s="200"/>
      <c r="N88" s="200"/>
      <c r="O88" s="200"/>
      <c r="P88" s="200"/>
      <c r="Q88" s="200"/>
      <c r="R88" s="200"/>
      <c r="T88" s="159">
        <v>12</v>
      </c>
      <c r="U88" s="80"/>
      <c r="V88" s="82" t="s">
        <v>163</v>
      </c>
      <c r="W88" s="80"/>
      <c r="X88" s="80"/>
      <c r="Y88" s="230"/>
      <c r="Z88" s="70"/>
      <c r="AA88" s="79">
        <f>H34</f>
        <v>2928055</v>
      </c>
      <c r="AB88" s="79"/>
      <c r="AC88" s="295">
        <f>INPUT!C115</f>
        <v>4.3198E-2</v>
      </c>
      <c r="AD88" s="293"/>
      <c r="AE88" s="79">
        <f>ROUND((AA88*AC88),0)</f>
        <v>126486</v>
      </c>
      <c r="AF88" s="79"/>
      <c r="AG88" s="197">
        <f>ROUND((AE88/$AE$102)*100,1)</f>
        <v>13.5</v>
      </c>
      <c r="AH88" s="198"/>
      <c r="AI88" s="163">
        <f>L34-AE88</f>
        <v>23627</v>
      </c>
      <c r="AJ88" s="163"/>
      <c r="AK88" s="197">
        <f>ROUND((AI88/AE88)*100,1)</f>
        <v>18.7</v>
      </c>
      <c r="AL88" s="199"/>
      <c r="AM88" s="163"/>
      <c r="AN88" s="230"/>
      <c r="AO88" s="163">
        <f>AE88+AM88</f>
        <v>126486</v>
      </c>
      <c r="AP88" s="163"/>
      <c r="AQ88" s="197">
        <f>ROUND((AI88/AO88)*100,1)</f>
        <v>18.7</v>
      </c>
      <c r="AR88" s="225"/>
      <c r="AS88" s="189"/>
      <c r="AT88" s="189"/>
      <c r="AU88" s="363"/>
    </row>
    <row r="89" spans="1:47" x14ac:dyDescent="0.25">
      <c r="L89" s="200"/>
      <c r="M89" s="200"/>
      <c r="N89" s="200"/>
      <c r="O89" s="200"/>
      <c r="P89" s="200"/>
      <c r="Q89" s="200"/>
      <c r="R89" s="200"/>
      <c r="T89" s="159">
        <v>13</v>
      </c>
      <c r="U89" s="80"/>
      <c r="V89" s="82" t="s">
        <v>705</v>
      </c>
      <c r="W89" s="80"/>
      <c r="X89" s="80"/>
      <c r="Y89" s="230"/>
      <c r="Z89" s="70"/>
      <c r="AA89" s="79">
        <f>H35</f>
        <v>20957</v>
      </c>
      <c r="AB89" s="79"/>
      <c r="AC89" s="295">
        <f>INPUT!C116</f>
        <v>0.24118400000000001</v>
      </c>
      <c r="AD89" s="293"/>
      <c r="AE89" s="79">
        <f>ROUND((AA89*AC89),0)</f>
        <v>5054</v>
      </c>
      <c r="AF89" s="79"/>
      <c r="AG89" s="166">
        <f>ROUND((AE89/$AE$102)*100,1)</f>
        <v>0.5</v>
      </c>
      <c r="AH89" s="156"/>
      <c r="AI89" s="79">
        <f>L35-AE89</f>
        <v>944</v>
      </c>
      <c r="AJ89" s="79"/>
      <c r="AK89" s="166">
        <f>ROUND((AI89/AE89)*100,1)</f>
        <v>18.7</v>
      </c>
      <c r="AL89" s="158"/>
      <c r="AM89" s="167"/>
      <c r="AN89" s="78"/>
      <c r="AO89" s="79">
        <f>AE89+AM89</f>
        <v>5054</v>
      </c>
      <c r="AP89" s="79"/>
      <c r="AQ89" s="155">
        <f>ROUND((AI89/AO89)*100,1)</f>
        <v>18.7</v>
      </c>
      <c r="AR89" s="225"/>
      <c r="AS89" s="189"/>
      <c r="AT89" s="189"/>
      <c r="AU89" s="363"/>
    </row>
    <row r="90" spans="1:47" ht="20.100000000000001" customHeight="1" x14ac:dyDescent="0.25">
      <c r="J90" s="202"/>
      <c r="K90" s="202"/>
      <c r="T90" s="159">
        <v>14</v>
      </c>
      <c r="U90" s="80"/>
      <c r="V90" s="253" t="s">
        <v>164</v>
      </c>
      <c r="W90" s="80"/>
      <c r="X90" s="80"/>
      <c r="Y90" s="163"/>
      <c r="Z90" s="70"/>
      <c r="AA90" s="169">
        <f>H36</f>
        <v>13046582</v>
      </c>
      <c r="AB90" s="79"/>
      <c r="AC90" s="307"/>
      <c r="AD90" s="263"/>
      <c r="AE90" s="169">
        <f>SUM(AE87:AE89)</f>
        <v>647203</v>
      </c>
      <c r="AF90" s="79"/>
      <c r="AG90" s="166">
        <f>ROUND((AE90/$AE$102)*100,1)</f>
        <v>69.2</v>
      </c>
      <c r="AH90" s="156"/>
      <c r="AI90" s="169">
        <f>SUM(AI87:AI89)</f>
        <v>120770</v>
      </c>
      <c r="AJ90" s="79"/>
      <c r="AK90" s="170">
        <f>ROUND((AI90/AE90)*100,1)</f>
        <v>18.7</v>
      </c>
      <c r="AL90" s="158"/>
      <c r="AM90" s="169"/>
      <c r="AN90" s="79"/>
      <c r="AO90" s="169">
        <f>SUM(AO87:AO89)</f>
        <v>647203</v>
      </c>
      <c r="AP90" s="79"/>
      <c r="AQ90" s="155">
        <f>ROUND((AI90/AO90)*100,1)</f>
        <v>18.7</v>
      </c>
      <c r="AR90" s="189"/>
      <c r="AS90" s="189"/>
      <c r="AT90" s="189"/>
      <c r="AU90" s="80"/>
    </row>
    <row r="91" spans="1:47" ht="20.100000000000001" customHeight="1" x14ac:dyDescent="0.25">
      <c r="J91" s="202"/>
      <c r="K91" s="202"/>
      <c r="T91" s="159">
        <v>15</v>
      </c>
      <c r="U91" s="80"/>
      <c r="V91" s="265" t="s">
        <v>571</v>
      </c>
      <c r="W91" s="80"/>
      <c r="X91" s="80"/>
      <c r="Y91" s="167">
        <f>Y80</f>
        <v>120</v>
      </c>
      <c r="Z91" s="70"/>
      <c r="AA91" s="169">
        <f>AA90</f>
        <v>13046582</v>
      </c>
      <c r="AB91" s="79"/>
      <c r="AC91" s="307"/>
      <c r="AD91" s="263"/>
      <c r="AE91" s="169">
        <f>AE80+AE84+AE90</f>
        <v>907331</v>
      </c>
      <c r="AF91" s="79"/>
      <c r="AG91" s="170">
        <f>ROUND((AE91/$AE$102)*100,1)</f>
        <v>97</v>
      </c>
      <c r="AH91" s="156"/>
      <c r="AI91" s="169">
        <f>AI80+AI84+AI90</f>
        <v>166558</v>
      </c>
      <c r="AJ91" s="79"/>
      <c r="AK91" s="170">
        <f>ROUND((AI91/AE91)*100,1)</f>
        <v>18.399999999999999</v>
      </c>
      <c r="AL91" s="158"/>
      <c r="AM91" s="169"/>
      <c r="AN91" s="79"/>
      <c r="AO91" s="169">
        <f>AO80+AO84+AO90</f>
        <v>907331</v>
      </c>
      <c r="AP91" s="79"/>
      <c r="AQ91" s="155">
        <f>ROUND((AI91/AO91)*100,1)</f>
        <v>18.399999999999999</v>
      </c>
      <c r="AR91" s="189"/>
      <c r="AS91" s="189"/>
      <c r="AT91" s="189"/>
      <c r="AU91" s="80"/>
    </row>
    <row r="92" spans="1:47" ht="15.75" customHeight="1" x14ac:dyDescent="0.25">
      <c r="J92" s="202"/>
      <c r="K92" s="202"/>
      <c r="T92" s="159"/>
      <c r="U92" s="80"/>
      <c r="V92" s="82"/>
      <c r="W92" s="80"/>
      <c r="X92" s="80"/>
      <c r="Y92" s="163"/>
      <c r="Z92" s="70"/>
      <c r="AA92" s="163"/>
      <c r="AB92" s="79"/>
      <c r="AC92" s="307"/>
      <c r="AD92" s="263"/>
      <c r="AE92" s="163"/>
      <c r="AF92" s="79"/>
      <c r="AG92" s="197"/>
      <c r="AH92" s="156"/>
      <c r="AI92" s="163"/>
      <c r="AJ92" s="79"/>
      <c r="AK92" s="197"/>
      <c r="AL92" s="158"/>
      <c r="AM92" s="163"/>
      <c r="AN92" s="79"/>
      <c r="AO92" s="163"/>
      <c r="AP92" s="79"/>
      <c r="AQ92" s="155"/>
      <c r="AR92" s="189"/>
      <c r="AS92" s="189"/>
      <c r="AT92" s="189"/>
      <c r="AU92" s="80"/>
    </row>
    <row r="93" spans="1:47" ht="15.75" customHeight="1" x14ac:dyDescent="0.25">
      <c r="J93" s="202"/>
      <c r="K93" s="202"/>
      <c r="T93" s="159">
        <f t="shared" ref="T93:T100" si="4">A39</f>
        <v>16</v>
      </c>
      <c r="U93" s="80"/>
      <c r="V93" s="253" t="s">
        <v>553</v>
      </c>
      <c r="W93" s="80"/>
      <c r="X93" s="80"/>
      <c r="Y93" s="163"/>
      <c r="Z93" s="70"/>
      <c r="AA93" s="163"/>
      <c r="AB93" s="79"/>
      <c r="AC93" s="307"/>
      <c r="AD93" s="263"/>
      <c r="AE93" s="163"/>
      <c r="AF93" s="79"/>
      <c r="AG93" s="197"/>
      <c r="AH93" s="156"/>
      <c r="AI93" s="163"/>
      <c r="AJ93" s="79"/>
      <c r="AK93" s="197"/>
      <c r="AL93" s="158"/>
      <c r="AM93" s="163"/>
      <c r="AN93" s="79"/>
      <c r="AO93" s="163"/>
      <c r="AP93" s="79"/>
      <c r="AQ93" s="155"/>
      <c r="AR93" s="189"/>
      <c r="AS93" s="189"/>
      <c r="AT93" s="189"/>
      <c r="AU93" s="80"/>
    </row>
    <row r="94" spans="1:47" ht="15.75" customHeight="1" x14ac:dyDescent="0.25">
      <c r="J94" s="202"/>
      <c r="K94" s="202"/>
      <c r="T94" s="159">
        <f t="shared" si="4"/>
        <v>17</v>
      </c>
      <c r="U94" s="80"/>
      <c r="V94" s="153" t="str">
        <f t="shared" ref="V94:V99" si="5">C40</f>
        <v>DEMAND SIDE MANAGEMENT RIDER (DSMR)</v>
      </c>
      <c r="W94" s="80"/>
      <c r="X94" s="80"/>
      <c r="Y94" s="163"/>
      <c r="Z94" s="70"/>
      <c r="AA94" s="163"/>
      <c r="AB94" s="79"/>
      <c r="AC94" s="308">
        <f>DSM_DIST</f>
        <v>2.5760000000000002E-3</v>
      </c>
      <c r="AD94" s="263"/>
      <c r="AE94" s="163">
        <f>ROUND($AA$91*AC94,0)</f>
        <v>33608</v>
      </c>
      <c r="AF94" s="79"/>
      <c r="AG94" s="197">
        <f>ROUND((AE94/$AE$102)*100,1)</f>
        <v>3.6</v>
      </c>
      <c r="AH94" s="156"/>
      <c r="AI94" s="79">
        <f t="shared" ref="AI94:AI99" si="6">L40-AE94</f>
        <v>0</v>
      </c>
      <c r="AJ94" s="79"/>
      <c r="AK94" s="155">
        <f t="shared" ref="AK94:AK99" si="7">ROUND((AI94/AE94)*100,1)</f>
        <v>0</v>
      </c>
      <c r="AL94" s="158"/>
      <c r="AM94" s="163"/>
      <c r="AN94" s="79"/>
      <c r="AO94" s="79">
        <f t="shared" ref="AO94:AO99" si="8">AE94+AM94</f>
        <v>33608</v>
      </c>
      <c r="AP94" s="79"/>
      <c r="AQ94" s="155">
        <f>IF(AO94=0,0,ROUND((AI94/AO94)*100,1))</f>
        <v>0</v>
      </c>
      <c r="AR94" s="189"/>
      <c r="AS94" s="189"/>
      <c r="AT94" s="189"/>
      <c r="AU94" s="80"/>
    </row>
    <row r="95" spans="1:47" ht="15.75" customHeight="1" x14ac:dyDescent="0.25">
      <c r="J95" s="202"/>
      <c r="K95" s="202"/>
      <c r="T95" s="159">
        <f t="shared" si="4"/>
        <v>18</v>
      </c>
      <c r="U95" s="80"/>
      <c r="V95" s="153" t="str">
        <f t="shared" si="5"/>
        <v>ENVIRONMENTAL SURCHARGE MECHANISM RIDER (ESM)</v>
      </c>
      <c r="W95" s="80"/>
      <c r="X95" s="80"/>
      <c r="Y95" s="163"/>
      <c r="Z95" s="70"/>
      <c r="AA95" s="163"/>
      <c r="AB95" s="79"/>
      <c r="AC95" s="308">
        <f>CUR_ESM</f>
        <v>0</v>
      </c>
      <c r="AD95" s="263"/>
      <c r="AE95" s="163">
        <f>ROUND(AO91*AC95,0)</f>
        <v>0</v>
      </c>
      <c r="AF95" s="79"/>
      <c r="AG95" s="197">
        <f t="shared" ref="AG95:AG96" si="9">ROUND((AE95/$AE$102)*100,1)</f>
        <v>0</v>
      </c>
      <c r="AH95" s="156"/>
      <c r="AI95" s="79">
        <f t="shared" si="6"/>
        <v>0</v>
      </c>
      <c r="AJ95" s="79"/>
      <c r="AK95" s="155">
        <f>IF(AE95=0,0,ROUND((AI95/AE95)*100,1))</f>
        <v>0</v>
      </c>
      <c r="AL95" s="158"/>
      <c r="AM95" s="163"/>
      <c r="AN95" s="79"/>
      <c r="AO95" s="79">
        <f t="shared" ref="AO95:AO96" si="10">AE95+AM95</f>
        <v>0</v>
      </c>
      <c r="AP95" s="79"/>
      <c r="AQ95" s="155">
        <f t="shared" ref="AQ95:AQ98" si="11">IF(AO95=0,0,ROUND((AI95/AO95)*100,1))</f>
        <v>0</v>
      </c>
      <c r="AR95" s="189"/>
      <c r="AS95" s="189"/>
      <c r="AT95" s="189"/>
      <c r="AU95" s="80"/>
    </row>
    <row r="96" spans="1:47" ht="15.75" customHeight="1" x14ac:dyDescent="0.25">
      <c r="J96" s="202"/>
      <c r="K96" s="202"/>
      <c r="T96" s="159">
        <f t="shared" si="4"/>
        <v>19</v>
      </c>
      <c r="U96" s="80"/>
      <c r="V96" s="153" t="str">
        <f t="shared" si="5"/>
        <v>DISTRIBUTION CAPITAL INVESTMENT RIDER (DCI)</v>
      </c>
      <c r="W96" s="80"/>
      <c r="X96" s="80"/>
      <c r="Y96" s="163"/>
      <c r="Z96" s="70"/>
      <c r="AA96" s="163"/>
      <c r="AB96" s="79"/>
      <c r="AC96" s="324">
        <f>CUR_FTR_DP</f>
        <v>0</v>
      </c>
      <c r="AD96" s="263"/>
      <c r="AE96" s="163">
        <f>ROUND(AA84*AC96,0)</f>
        <v>0</v>
      </c>
      <c r="AF96" s="79"/>
      <c r="AG96" s="197">
        <f t="shared" si="9"/>
        <v>0</v>
      </c>
      <c r="AH96" s="156"/>
      <c r="AI96" s="79">
        <f t="shared" si="6"/>
        <v>0</v>
      </c>
      <c r="AJ96" s="79"/>
      <c r="AK96" s="155">
        <f>IF(AE96=0,0,ROUND((AI96/AE96)*100,1))</f>
        <v>0</v>
      </c>
      <c r="AL96" s="158"/>
      <c r="AM96" s="163"/>
      <c r="AN96" s="79"/>
      <c r="AO96" s="79">
        <f t="shared" si="10"/>
        <v>0</v>
      </c>
      <c r="AP96" s="79"/>
      <c r="AQ96" s="155">
        <f t="shared" si="11"/>
        <v>0</v>
      </c>
      <c r="AR96" s="189"/>
      <c r="AS96" s="189"/>
      <c r="AT96" s="189"/>
      <c r="AU96" s="80"/>
    </row>
    <row r="97" spans="1:47" ht="15.75" customHeight="1" x14ac:dyDescent="0.25">
      <c r="J97" s="202"/>
      <c r="K97" s="202"/>
      <c r="T97" s="159">
        <f t="shared" si="4"/>
        <v>20</v>
      </c>
      <c r="U97" s="80"/>
      <c r="V97" s="153" t="str">
        <f t="shared" si="5"/>
        <v>FUEL ADJUSTMENT CLAUSE (FAC)</v>
      </c>
      <c r="W97" s="80"/>
      <c r="X97" s="80"/>
      <c r="Y97" s="163"/>
      <c r="Z97" s="70"/>
      <c r="AA97" s="163"/>
      <c r="AB97" s="79"/>
      <c r="AC97" s="308">
        <f>CUR_FAC</f>
        <v>1.0280000000000001E-3</v>
      </c>
      <c r="AD97" s="263"/>
      <c r="AE97" s="163"/>
      <c r="AF97" s="79"/>
      <c r="AG97" s="197"/>
      <c r="AH97" s="156"/>
      <c r="AI97" s="79"/>
      <c r="AJ97" s="79"/>
      <c r="AK97" s="155"/>
      <c r="AL97" s="158"/>
      <c r="AM97" s="163">
        <f>ROUND(AA91*CUR_FAC,0)</f>
        <v>13412</v>
      </c>
      <c r="AN97" s="79"/>
      <c r="AO97" s="79">
        <f t="shared" si="8"/>
        <v>13412</v>
      </c>
      <c r="AP97" s="79"/>
      <c r="AQ97" s="157">
        <f>IF(AO97=0,0,ROUND(((R43-AO97)/AO97)*100,1))</f>
        <v>0</v>
      </c>
      <c r="AR97" s="189"/>
      <c r="AS97" s="189"/>
      <c r="AT97" s="189"/>
      <c r="AU97" s="80"/>
    </row>
    <row r="98" spans="1:47" ht="15.75" customHeight="1" x14ac:dyDescent="0.25">
      <c r="J98" s="202"/>
      <c r="K98" s="202"/>
      <c r="T98" s="159">
        <f t="shared" si="4"/>
        <v>21</v>
      </c>
      <c r="U98" s="80"/>
      <c r="V98" s="153" t="str">
        <f t="shared" si="5"/>
        <v>FERC TRANSMISSION COST RECOVERY RECONCILIATION (FTR)</v>
      </c>
      <c r="W98" s="80"/>
      <c r="X98" s="80"/>
      <c r="Y98" s="163"/>
      <c r="Z98" s="70"/>
      <c r="AA98" s="163"/>
      <c r="AB98" s="79"/>
      <c r="AC98" s="308">
        <f>CUR_FTR_DP</f>
        <v>0</v>
      </c>
      <c r="AD98" s="263"/>
      <c r="AE98" s="163">
        <f>ROUND($AA$91*AC98,0)</f>
        <v>0</v>
      </c>
      <c r="AF98" s="79"/>
      <c r="AG98" s="197">
        <f>ROUND((AE98/$AE$102)*100,1)</f>
        <v>0</v>
      </c>
      <c r="AH98" s="156"/>
      <c r="AI98" s="79">
        <f t="shared" si="6"/>
        <v>0</v>
      </c>
      <c r="AJ98" s="79"/>
      <c r="AK98" s="155">
        <f>IF(AE98=0,0,ROUND((AI98/AE98)*100,1))</f>
        <v>0</v>
      </c>
      <c r="AL98" s="158"/>
      <c r="AM98" s="163"/>
      <c r="AN98" s="79"/>
      <c r="AO98" s="79">
        <f t="shared" ref="AO98" si="12">AE98+AM98</f>
        <v>0</v>
      </c>
      <c r="AP98" s="79"/>
      <c r="AQ98" s="155">
        <f t="shared" si="11"/>
        <v>0</v>
      </c>
      <c r="AR98" s="189"/>
      <c r="AS98" s="189"/>
      <c r="AT98" s="189"/>
      <c r="AU98" s="80"/>
    </row>
    <row r="99" spans="1:47" ht="15.75" customHeight="1" x14ac:dyDescent="0.25">
      <c r="J99" s="202"/>
      <c r="K99" s="202"/>
      <c r="T99" s="159">
        <f t="shared" si="4"/>
        <v>22</v>
      </c>
      <c r="U99" s="80"/>
      <c r="V99" s="153" t="str">
        <f t="shared" si="5"/>
        <v>PROFIT SHARING MECHANISM (PSM)</v>
      </c>
      <c r="W99" s="80"/>
      <c r="X99" s="80"/>
      <c r="Y99" s="163"/>
      <c r="Z99" s="85"/>
      <c r="AA99" s="163"/>
      <c r="AB99" s="79"/>
      <c r="AC99" s="308">
        <f>RS_PSM</f>
        <v>-4.5600000000000003E-4</v>
      </c>
      <c r="AD99" s="263"/>
      <c r="AE99" s="167">
        <f>ROUND(AA91*RS_PSM,0)</f>
        <v>-5949</v>
      </c>
      <c r="AF99" s="79"/>
      <c r="AG99" s="166">
        <f>ROUND((AE99/$AE$102)*100,1)</f>
        <v>-0.6</v>
      </c>
      <c r="AH99" s="156"/>
      <c r="AI99" s="79">
        <f t="shared" si="6"/>
        <v>0</v>
      </c>
      <c r="AJ99" s="79"/>
      <c r="AK99" s="166">
        <f t="shared" si="7"/>
        <v>0</v>
      </c>
      <c r="AL99" s="158"/>
      <c r="AM99" s="167"/>
      <c r="AN99" s="79"/>
      <c r="AO99" s="79">
        <f t="shared" si="8"/>
        <v>-5949</v>
      </c>
      <c r="AP99" s="79"/>
      <c r="AQ99" s="155">
        <f t="shared" ref="AQ99:AQ100" si="13">ROUND((AI99/AO99)*100,1)</f>
        <v>0</v>
      </c>
      <c r="AR99" s="189"/>
      <c r="AS99" s="189"/>
      <c r="AT99" s="189"/>
      <c r="AU99" s="80"/>
    </row>
    <row r="100" spans="1:47" ht="20.100000000000001" customHeight="1" x14ac:dyDescent="0.25">
      <c r="J100" s="202"/>
      <c r="K100" s="202"/>
      <c r="T100" s="159">
        <f t="shared" si="4"/>
        <v>23</v>
      </c>
      <c r="U100" s="80"/>
      <c r="V100" s="253" t="s">
        <v>557</v>
      </c>
      <c r="W100" s="80"/>
      <c r="X100" s="80"/>
      <c r="Y100" s="167"/>
      <c r="Z100" s="70"/>
      <c r="AA100" s="167"/>
      <c r="AB100" s="79"/>
      <c r="AC100" s="263"/>
      <c r="AD100" s="263"/>
      <c r="AE100" s="169">
        <f>SUM(AE94:AE99)</f>
        <v>27659</v>
      </c>
      <c r="AF100" s="79"/>
      <c r="AG100" s="170">
        <f>ROUND((AE100/$AE$102)*100,1)</f>
        <v>3</v>
      </c>
      <c r="AH100" s="156"/>
      <c r="AI100" s="169">
        <f>SUM(AI94:AI99)</f>
        <v>0</v>
      </c>
      <c r="AJ100" s="79"/>
      <c r="AK100" s="170">
        <f>ROUND((AI100/AE100)*100,1)</f>
        <v>0</v>
      </c>
      <c r="AL100" s="158"/>
      <c r="AM100" s="169">
        <f>SUM(AM94:AM99)</f>
        <v>13412</v>
      </c>
      <c r="AN100" s="79"/>
      <c r="AO100" s="169">
        <f>SUM(AO94:AO99)</f>
        <v>41071</v>
      </c>
      <c r="AP100" s="79"/>
      <c r="AQ100" s="155">
        <f t="shared" si="13"/>
        <v>0</v>
      </c>
      <c r="AR100" s="189"/>
      <c r="AS100" s="189"/>
      <c r="AT100" s="189"/>
      <c r="AU100" s="80"/>
    </row>
    <row r="101" spans="1:47" ht="15.75" customHeight="1" x14ac:dyDescent="0.25">
      <c r="J101" s="202"/>
      <c r="K101" s="202"/>
      <c r="T101" s="159"/>
      <c r="U101" s="80"/>
      <c r="V101" s="253"/>
      <c r="W101" s="80"/>
      <c r="X101" s="80"/>
      <c r="Y101" s="163"/>
      <c r="Z101" s="70"/>
      <c r="AA101" s="163"/>
      <c r="AB101" s="79"/>
      <c r="AC101" s="263"/>
      <c r="AD101" s="263"/>
      <c r="AE101" s="163"/>
      <c r="AF101" s="79"/>
      <c r="AG101" s="197"/>
      <c r="AH101" s="156"/>
      <c r="AI101" s="163"/>
      <c r="AJ101" s="79"/>
      <c r="AK101" s="197"/>
      <c r="AL101" s="158"/>
      <c r="AM101" s="163"/>
      <c r="AN101" s="79"/>
      <c r="AO101" s="163"/>
      <c r="AP101" s="79"/>
      <c r="AQ101" s="155"/>
      <c r="AR101" s="189"/>
      <c r="AS101" s="189"/>
      <c r="AT101" s="189"/>
      <c r="AU101" s="80"/>
    </row>
    <row r="102" spans="1:47" ht="20.100000000000001" customHeight="1" thickBot="1" x14ac:dyDescent="0.3">
      <c r="J102" s="202"/>
      <c r="K102" s="202"/>
      <c r="T102" s="159">
        <f>A48</f>
        <v>24</v>
      </c>
      <c r="U102" s="80"/>
      <c r="V102" s="265" t="s">
        <v>573</v>
      </c>
      <c r="W102" s="80"/>
      <c r="X102" s="80"/>
      <c r="Y102" s="275">
        <f>F48</f>
        <v>120</v>
      </c>
      <c r="Z102" s="70"/>
      <c r="AA102" s="275">
        <f>H48</f>
        <v>13046582</v>
      </c>
      <c r="AB102" s="79"/>
      <c r="AC102" s="263"/>
      <c r="AD102" s="263"/>
      <c r="AE102" s="275">
        <f>AE100+AE91</f>
        <v>934990</v>
      </c>
      <c r="AF102" s="79"/>
      <c r="AG102" s="291">
        <v>100</v>
      </c>
      <c r="AH102" s="156"/>
      <c r="AI102" s="275">
        <f>AI100+AI91</f>
        <v>166558</v>
      </c>
      <c r="AJ102" s="79"/>
      <c r="AK102" s="291">
        <f>ROUND((AI102/AE102)*100,1)</f>
        <v>17.8</v>
      </c>
      <c r="AL102" s="158"/>
      <c r="AM102" s="275">
        <f>AM100+AM91</f>
        <v>13412</v>
      </c>
      <c r="AN102" s="79"/>
      <c r="AO102" s="275">
        <f>AO100+AO91</f>
        <v>948402</v>
      </c>
      <c r="AP102" s="79"/>
      <c r="AQ102" s="155">
        <f>ROUND((AI102/AO102)*100,1)</f>
        <v>17.600000000000001</v>
      </c>
      <c r="AR102" s="189"/>
      <c r="AS102" s="189"/>
      <c r="AT102" s="189"/>
    </row>
    <row r="103" spans="1:47" ht="16.5" thickTop="1" x14ac:dyDescent="0.25">
      <c r="L103" s="154"/>
      <c r="M103" s="154"/>
      <c r="T103" s="80"/>
      <c r="U103" s="80"/>
      <c r="V103" s="80"/>
      <c r="W103" s="80"/>
      <c r="X103" s="80"/>
      <c r="Y103" s="79"/>
      <c r="Z103" s="70"/>
      <c r="AA103" s="79"/>
      <c r="AB103" s="79"/>
      <c r="AC103" s="263"/>
      <c r="AD103" s="263"/>
      <c r="AE103" s="79"/>
      <c r="AF103" s="79"/>
      <c r="AG103" s="155"/>
      <c r="AH103" s="79"/>
      <c r="AI103" s="70"/>
      <c r="AJ103" s="70"/>
      <c r="AK103" s="164"/>
      <c r="AL103" s="70"/>
      <c r="AM103" s="70"/>
      <c r="AN103" s="70"/>
      <c r="AO103" s="70"/>
      <c r="AP103" s="70"/>
      <c r="AQ103" s="164"/>
      <c r="AR103" s="80"/>
      <c r="AS103" s="80"/>
      <c r="AT103" s="80"/>
    </row>
    <row r="104" spans="1:47" x14ac:dyDescent="0.25">
      <c r="A104" s="202"/>
      <c r="R104" s="154"/>
      <c r="T104" s="80"/>
      <c r="U104" s="80"/>
      <c r="V104" s="173" t="s">
        <v>61</v>
      </c>
      <c r="W104" s="80"/>
      <c r="X104" s="80"/>
      <c r="Y104" s="189"/>
      <c r="Z104" s="80"/>
      <c r="AA104" s="189"/>
      <c r="AB104" s="189"/>
      <c r="AC104" s="310"/>
      <c r="AD104" s="310"/>
      <c r="AE104" s="189"/>
      <c r="AF104" s="189"/>
      <c r="AG104" s="296"/>
      <c r="AH104" s="189"/>
      <c r="AI104" s="80"/>
      <c r="AJ104" s="80"/>
      <c r="AK104" s="188"/>
      <c r="AL104" s="80"/>
      <c r="AM104" s="80"/>
      <c r="AN104" s="80"/>
      <c r="AO104" s="80"/>
      <c r="AP104" s="80"/>
      <c r="AQ104" s="188"/>
      <c r="AR104" s="80"/>
      <c r="AS104" s="80"/>
      <c r="AT104" s="80"/>
    </row>
    <row r="105" spans="1:47" x14ac:dyDescent="0.25">
      <c r="A105" s="202"/>
      <c r="R105" s="154"/>
      <c r="T105" s="80"/>
      <c r="U105" s="80"/>
      <c r="V105" s="173" t="str">
        <f>"(2) REFLECTS FUEL COMPONENT OF "&amp;TEXT(CUR_FAC,"$0.000000;($0.000000)")&amp;"  PER KWH."</f>
        <v>(2) REFLECTS FUEL COMPONENT OF $0.001028  PER KWH.</v>
      </c>
      <c r="W105" s="80"/>
      <c r="X105" s="80"/>
      <c r="Y105" s="189"/>
      <c r="Z105" s="80"/>
      <c r="AA105" s="189"/>
      <c r="AB105" s="189"/>
      <c r="AC105" s="310"/>
      <c r="AD105" s="310"/>
      <c r="AE105" s="189"/>
      <c r="AF105" s="189"/>
      <c r="AG105" s="296"/>
      <c r="AH105" s="189"/>
      <c r="AI105" s="80"/>
      <c r="AJ105" s="80"/>
      <c r="AK105" s="188"/>
      <c r="AL105" s="80"/>
      <c r="AM105" s="80"/>
      <c r="AN105" s="80"/>
      <c r="AO105" s="80"/>
      <c r="AP105" s="80"/>
      <c r="AQ105" s="188"/>
      <c r="AR105" s="80"/>
      <c r="AS105" s="80"/>
      <c r="AT105" s="80"/>
    </row>
    <row r="106" spans="1:47" x14ac:dyDescent="0.25">
      <c r="A106" s="202"/>
      <c r="R106" s="154"/>
      <c r="V106" s="173" t="str">
        <f>"(3) REFLECTS FUEL COST RECOVERY INCLUDED IN BASE RATES OF "&amp;TEXT(CUR_BASE_FUEL,"$0.000000;($0.000000)")&amp;"  PER KWH."</f>
        <v>(3) REFLECTS FUEL COST RECOVERY INCLUDED IN BASE RATES OF $0.023837  PER KWH.</v>
      </c>
      <c r="Z106" s="202"/>
    </row>
    <row r="107" spans="1:47" x14ac:dyDescent="0.25">
      <c r="A107" s="154"/>
      <c r="R107" s="154"/>
      <c r="AA107" s="154"/>
      <c r="AB107" s="154"/>
    </row>
    <row r="108" spans="1:47" x14ac:dyDescent="0.25">
      <c r="L108" s="154"/>
      <c r="M108" s="154"/>
      <c r="R108" s="202"/>
      <c r="AK108" s="297"/>
      <c r="AL108" s="154"/>
    </row>
    <row r="109" spans="1:47" x14ac:dyDescent="0.2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AK109" s="297"/>
      <c r="AL109" s="154"/>
    </row>
    <row r="110" spans="1:47" x14ac:dyDescent="0.25">
      <c r="L110" s="103"/>
      <c r="M110" s="103"/>
      <c r="N110" s="103"/>
      <c r="O110" s="103"/>
      <c r="R110" s="103"/>
      <c r="AK110" s="297"/>
      <c r="AL110" s="154"/>
    </row>
    <row r="111" spans="1:47" x14ac:dyDescent="0.25">
      <c r="L111" s="103"/>
      <c r="M111" s="103"/>
      <c r="N111" s="103"/>
      <c r="O111" s="103"/>
      <c r="R111" s="103"/>
      <c r="AA111" s="154"/>
      <c r="AB111" s="154"/>
      <c r="AK111" s="209"/>
      <c r="AL111" s="202"/>
    </row>
    <row r="112" spans="1:47" x14ac:dyDescent="0.25">
      <c r="A112" s="103"/>
      <c r="C112" s="103"/>
      <c r="D112" s="103"/>
      <c r="E112" s="103"/>
      <c r="F112" s="103"/>
      <c r="J112" s="103"/>
      <c r="K112" s="103"/>
      <c r="L112" s="103"/>
      <c r="M112" s="103"/>
      <c r="N112" s="103"/>
      <c r="O112" s="103"/>
      <c r="P112" s="103"/>
      <c r="Q112" s="103"/>
      <c r="R112" s="103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208"/>
      <c r="AH112" s="102"/>
      <c r="AI112" s="102"/>
      <c r="AJ112" s="102"/>
      <c r="AK112" s="208"/>
      <c r="AL112" s="102"/>
      <c r="AM112" s="102"/>
      <c r="AN112" s="102"/>
    </row>
    <row r="113" spans="1:40" x14ac:dyDescent="0.25">
      <c r="A113" s="103"/>
      <c r="C113" s="103"/>
      <c r="D113" s="103"/>
      <c r="E113" s="103"/>
      <c r="F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AA113" s="103"/>
      <c r="AB113" s="103"/>
      <c r="AC113" s="103"/>
      <c r="AD113" s="103"/>
      <c r="AE113" s="103"/>
      <c r="AF113" s="103"/>
      <c r="AG113" s="185"/>
      <c r="AH113" s="103"/>
      <c r="AK113" s="185"/>
      <c r="AL113" s="103"/>
      <c r="AM113" s="103"/>
      <c r="AN113" s="103"/>
    </row>
    <row r="114" spans="1:40" x14ac:dyDescent="0.25">
      <c r="C114" s="103"/>
      <c r="D114" s="103"/>
      <c r="E114" s="103"/>
      <c r="F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Z114" s="103"/>
      <c r="AA114" s="103"/>
      <c r="AB114" s="103"/>
      <c r="AC114" s="103"/>
      <c r="AD114" s="103"/>
      <c r="AE114" s="103"/>
      <c r="AF114" s="103"/>
      <c r="AG114" s="185"/>
      <c r="AH114" s="103"/>
      <c r="AK114" s="185"/>
      <c r="AL114" s="103"/>
      <c r="AM114" s="103"/>
      <c r="AN114" s="103"/>
    </row>
    <row r="115" spans="1:40" x14ac:dyDescent="0.2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T115" s="103"/>
      <c r="U115" s="103"/>
      <c r="V115" s="103"/>
      <c r="Z115" s="103"/>
      <c r="AA115" s="103"/>
      <c r="AB115" s="103"/>
      <c r="AC115" s="103"/>
      <c r="AD115" s="103"/>
      <c r="AE115" s="103"/>
      <c r="AF115" s="103"/>
      <c r="AG115" s="185"/>
      <c r="AH115" s="103"/>
      <c r="AI115" s="103"/>
      <c r="AJ115" s="103"/>
      <c r="AK115" s="185"/>
      <c r="AL115" s="103"/>
      <c r="AM115" s="103"/>
      <c r="AN115" s="103"/>
    </row>
    <row r="116" spans="1:40" x14ac:dyDescent="0.25"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T116" s="103"/>
      <c r="U116" s="103"/>
      <c r="V116" s="103"/>
      <c r="Y116" s="103"/>
      <c r="Z116" s="103"/>
      <c r="AA116" s="103"/>
      <c r="AB116" s="103"/>
      <c r="AC116" s="103"/>
      <c r="AD116" s="103"/>
      <c r="AE116" s="103"/>
      <c r="AF116" s="103"/>
      <c r="AG116" s="185"/>
      <c r="AH116" s="103"/>
      <c r="AI116" s="103"/>
      <c r="AJ116" s="103"/>
      <c r="AK116" s="185"/>
      <c r="AL116" s="103"/>
      <c r="AM116" s="103"/>
      <c r="AN116" s="103"/>
    </row>
    <row r="117" spans="1:40" x14ac:dyDescent="0.25">
      <c r="A117" s="202"/>
      <c r="C117" s="154"/>
      <c r="D117" s="154"/>
      <c r="E117" s="154"/>
      <c r="T117" s="103"/>
      <c r="U117" s="103"/>
      <c r="V117" s="103"/>
      <c r="Y117" s="103"/>
      <c r="Z117" s="103"/>
      <c r="AA117" s="103"/>
      <c r="AB117" s="103"/>
      <c r="AC117" s="103"/>
      <c r="AD117" s="103"/>
      <c r="AE117" s="103"/>
      <c r="AF117" s="103"/>
      <c r="AG117" s="185"/>
      <c r="AH117" s="103"/>
      <c r="AI117" s="103"/>
      <c r="AJ117" s="103"/>
      <c r="AK117" s="185"/>
      <c r="AL117" s="103"/>
      <c r="AM117" s="103"/>
      <c r="AN117" s="103"/>
    </row>
    <row r="118" spans="1:40" x14ac:dyDescent="0.25">
      <c r="A118" s="202"/>
      <c r="C118" s="154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208"/>
      <c r="AH118" s="102"/>
      <c r="AI118" s="102"/>
      <c r="AJ118" s="102"/>
      <c r="AK118" s="208"/>
      <c r="AL118" s="102"/>
      <c r="AM118" s="102"/>
      <c r="AN118" s="102"/>
    </row>
    <row r="119" spans="1:40" x14ac:dyDescent="0.25">
      <c r="Y119" s="103"/>
      <c r="Z119" s="103"/>
      <c r="AA119" s="103"/>
      <c r="AB119" s="103"/>
      <c r="AC119" s="103"/>
      <c r="AD119" s="103"/>
      <c r="AE119" s="103"/>
      <c r="AF119" s="103"/>
      <c r="AG119" s="185"/>
      <c r="AH119" s="103"/>
      <c r="AI119" s="103"/>
      <c r="AJ119" s="103"/>
      <c r="AK119" s="185"/>
      <c r="AL119" s="103"/>
      <c r="AM119" s="103"/>
      <c r="AN119" s="103"/>
    </row>
    <row r="120" spans="1:40" x14ac:dyDescent="0.25">
      <c r="A120" s="202"/>
      <c r="C120" s="154"/>
      <c r="T120" s="154"/>
      <c r="U120" s="154"/>
    </row>
    <row r="121" spans="1:40" x14ac:dyDescent="0.25">
      <c r="A121" s="202"/>
      <c r="C121" s="154"/>
      <c r="F121" s="252"/>
      <c r="H121" s="252"/>
      <c r="I121" s="252"/>
      <c r="J121" s="300"/>
      <c r="K121" s="300"/>
      <c r="L121" s="200"/>
      <c r="M121" s="200"/>
      <c r="N121" s="210"/>
      <c r="O121" s="210"/>
      <c r="P121" s="202"/>
      <c r="Q121" s="202"/>
      <c r="R121" s="200"/>
      <c r="T121" s="154"/>
    </row>
    <row r="122" spans="1:40" x14ac:dyDescent="0.25">
      <c r="A122" s="202"/>
      <c r="C122" s="154"/>
      <c r="F122" s="252"/>
      <c r="H122" s="252"/>
      <c r="I122" s="252"/>
      <c r="J122" s="300"/>
      <c r="K122" s="300"/>
      <c r="L122" s="200"/>
      <c r="M122" s="200"/>
      <c r="N122" s="210"/>
      <c r="O122" s="210"/>
      <c r="P122" s="202"/>
      <c r="Q122" s="202"/>
      <c r="R122" s="200"/>
    </row>
    <row r="123" spans="1:40" x14ac:dyDescent="0.25">
      <c r="A123" s="202"/>
      <c r="C123" s="154"/>
      <c r="F123" s="252"/>
      <c r="H123" s="252"/>
      <c r="I123" s="252"/>
      <c r="J123" s="300"/>
      <c r="K123" s="300"/>
      <c r="L123" s="200"/>
      <c r="M123" s="200"/>
      <c r="N123" s="210"/>
      <c r="O123" s="210"/>
      <c r="P123" s="202"/>
      <c r="Q123" s="202"/>
      <c r="R123" s="200"/>
      <c r="T123" s="154"/>
    </row>
    <row r="124" spans="1:40" x14ac:dyDescent="0.25">
      <c r="F124" s="211"/>
      <c r="H124" s="200"/>
      <c r="I124" s="200"/>
      <c r="J124" s="305"/>
      <c r="K124" s="305"/>
      <c r="L124" s="211"/>
      <c r="M124" s="211"/>
      <c r="N124" s="211"/>
      <c r="O124" s="211"/>
      <c r="P124" s="211"/>
      <c r="Q124" s="211"/>
      <c r="R124" s="211"/>
      <c r="T124" s="154"/>
      <c r="V124" s="200"/>
      <c r="Y124" s="252"/>
      <c r="Z124" s="300"/>
      <c r="AA124" s="200"/>
      <c r="AB124" s="200"/>
      <c r="AC124" s="210"/>
      <c r="AD124" s="210"/>
      <c r="AE124" s="200"/>
      <c r="AF124" s="200"/>
      <c r="AG124" s="325"/>
      <c r="AH124" s="326"/>
      <c r="AI124" s="202"/>
      <c r="AJ124" s="202"/>
      <c r="AK124" s="209"/>
      <c r="AL124" s="200"/>
      <c r="AM124" s="327"/>
      <c r="AN124" s="327"/>
    </row>
    <row r="125" spans="1:40" x14ac:dyDescent="0.25">
      <c r="A125" s="202"/>
      <c r="C125" s="154"/>
      <c r="F125" s="200"/>
      <c r="H125" s="200"/>
      <c r="I125" s="200"/>
      <c r="J125" s="305"/>
      <c r="K125" s="305"/>
      <c r="L125" s="200"/>
      <c r="M125" s="200"/>
      <c r="N125" s="210"/>
      <c r="O125" s="210"/>
      <c r="P125" s="200"/>
      <c r="Q125" s="200"/>
      <c r="R125" s="200"/>
      <c r="T125" s="154"/>
      <c r="V125" s="200"/>
      <c r="Y125" s="252"/>
      <c r="Z125" s="300"/>
      <c r="AA125" s="200"/>
      <c r="AB125" s="200"/>
      <c r="AC125" s="210"/>
      <c r="AD125" s="210"/>
      <c r="AE125" s="200"/>
      <c r="AF125" s="200"/>
      <c r="AG125" s="209"/>
      <c r="AH125" s="201"/>
      <c r="AI125" s="202"/>
      <c r="AJ125" s="202"/>
      <c r="AK125" s="209"/>
      <c r="AL125" s="200"/>
      <c r="AM125" s="210"/>
      <c r="AN125" s="210"/>
    </row>
    <row r="126" spans="1:40" x14ac:dyDescent="0.25">
      <c r="F126" s="211"/>
      <c r="H126" s="200"/>
      <c r="I126" s="200"/>
      <c r="J126" s="305"/>
      <c r="K126" s="305"/>
      <c r="L126" s="211"/>
      <c r="M126" s="211"/>
      <c r="N126" s="211"/>
      <c r="O126" s="211"/>
      <c r="P126" s="211"/>
      <c r="Q126" s="211"/>
      <c r="R126" s="211"/>
      <c r="T126" s="154"/>
      <c r="V126" s="200"/>
      <c r="Y126" s="252"/>
      <c r="Z126" s="300"/>
      <c r="AA126" s="200"/>
      <c r="AB126" s="200"/>
      <c r="AC126" s="210"/>
      <c r="AD126" s="210"/>
      <c r="AE126" s="200"/>
      <c r="AF126" s="200"/>
      <c r="AG126" s="209"/>
      <c r="AH126" s="201"/>
      <c r="AI126" s="202"/>
      <c r="AJ126" s="202"/>
      <c r="AK126" s="209"/>
      <c r="AL126" s="200"/>
      <c r="AM126" s="210"/>
      <c r="AN126" s="210"/>
    </row>
    <row r="127" spans="1:40" x14ac:dyDescent="0.25">
      <c r="A127" s="202"/>
      <c r="C127" s="154"/>
      <c r="F127" s="252"/>
      <c r="H127" s="252"/>
      <c r="I127" s="252"/>
      <c r="J127" s="328"/>
      <c r="K127" s="328"/>
      <c r="L127" s="200"/>
      <c r="M127" s="200"/>
      <c r="N127" s="210"/>
      <c r="O127" s="210"/>
      <c r="P127" s="200"/>
      <c r="Q127" s="200"/>
      <c r="R127" s="200"/>
      <c r="S127" s="200"/>
      <c r="V127" s="211"/>
      <c r="Y127" s="200"/>
      <c r="Z127" s="305"/>
      <c r="AA127" s="211"/>
      <c r="AB127" s="211"/>
      <c r="AC127" s="211"/>
      <c r="AD127" s="211"/>
      <c r="AE127" s="211"/>
      <c r="AF127" s="211"/>
      <c r="AI127" s="211"/>
      <c r="AJ127" s="211"/>
      <c r="AK127" s="212"/>
      <c r="AL127" s="211"/>
      <c r="AM127" s="210"/>
      <c r="AN127" s="210"/>
    </row>
    <row r="128" spans="1:40" x14ac:dyDescent="0.25">
      <c r="A128" s="202"/>
      <c r="C128" s="154"/>
      <c r="F128" s="252"/>
      <c r="H128" s="252"/>
      <c r="I128" s="252"/>
      <c r="J128" s="300"/>
      <c r="K128" s="300"/>
      <c r="L128" s="200"/>
      <c r="M128" s="200"/>
      <c r="N128" s="210"/>
      <c r="O128" s="210"/>
      <c r="P128" s="200"/>
      <c r="Q128" s="200"/>
      <c r="R128" s="200"/>
      <c r="T128" s="154"/>
      <c r="V128" s="200"/>
      <c r="Y128" s="200"/>
      <c r="Z128" s="213"/>
      <c r="AA128" s="200"/>
      <c r="AB128" s="200"/>
      <c r="AC128" s="210"/>
      <c r="AD128" s="210"/>
      <c r="AE128" s="200"/>
      <c r="AF128" s="200"/>
      <c r="AG128" s="209"/>
      <c r="AH128" s="201"/>
      <c r="AI128" s="200"/>
      <c r="AJ128" s="200"/>
      <c r="AK128" s="209"/>
      <c r="AL128" s="200"/>
      <c r="AM128" s="210"/>
      <c r="AN128" s="210"/>
    </row>
    <row r="129" spans="1:40" x14ac:dyDescent="0.25">
      <c r="A129" s="202"/>
      <c r="C129" s="154"/>
      <c r="F129" s="252"/>
      <c r="H129" s="252"/>
      <c r="I129" s="252"/>
      <c r="J129" s="300"/>
      <c r="K129" s="300"/>
      <c r="L129" s="200"/>
      <c r="M129" s="200"/>
      <c r="N129" s="210"/>
      <c r="O129" s="210"/>
      <c r="P129" s="200"/>
      <c r="Q129" s="200"/>
      <c r="R129" s="200"/>
      <c r="V129" s="211"/>
      <c r="Y129" s="200"/>
      <c r="Z129" s="305"/>
      <c r="AA129" s="211"/>
      <c r="AB129" s="211"/>
      <c r="AC129" s="211"/>
      <c r="AD129" s="211"/>
      <c r="AE129" s="211"/>
      <c r="AF129" s="211"/>
      <c r="AI129" s="211"/>
      <c r="AJ129" s="211"/>
      <c r="AK129" s="212"/>
      <c r="AL129" s="211"/>
      <c r="AM129" s="210"/>
      <c r="AN129" s="210"/>
    </row>
    <row r="130" spans="1:40" x14ac:dyDescent="0.25">
      <c r="F130" s="200"/>
      <c r="H130" s="211"/>
      <c r="I130" s="211"/>
      <c r="J130" s="305"/>
      <c r="K130" s="305"/>
      <c r="L130" s="211"/>
      <c r="M130" s="211"/>
      <c r="N130" s="211"/>
      <c r="O130" s="211"/>
      <c r="P130" s="211"/>
      <c r="Q130" s="211"/>
      <c r="R130" s="211"/>
      <c r="T130" s="154"/>
      <c r="V130" s="252"/>
      <c r="Y130" s="252"/>
      <c r="Z130" s="328"/>
      <c r="AA130" s="200"/>
      <c r="AB130" s="200"/>
      <c r="AC130" s="210"/>
      <c r="AD130" s="210"/>
      <c r="AE130" s="200"/>
      <c r="AF130" s="200"/>
      <c r="AG130" s="209"/>
      <c r="AH130" s="210"/>
      <c r="AI130" s="200"/>
      <c r="AJ130" s="200"/>
      <c r="AK130" s="209"/>
      <c r="AL130" s="200"/>
      <c r="AM130" s="210"/>
      <c r="AN130" s="210"/>
    </row>
    <row r="131" spans="1:40" x14ac:dyDescent="0.25">
      <c r="A131" s="202"/>
      <c r="C131" s="154"/>
      <c r="F131" s="200"/>
      <c r="H131" s="200"/>
      <c r="I131" s="200"/>
      <c r="J131" s="305"/>
      <c r="K131" s="305"/>
      <c r="L131" s="200"/>
      <c r="M131" s="200"/>
      <c r="N131" s="210"/>
      <c r="O131" s="210"/>
      <c r="P131" s="200"/>
      <c r="Q131" s="200"/>
      <c r="R131" s="200"/>
      <c r="T131" s="154"/>
      <c r="V131" s="252"/>
      <c r="Y131" s="200"/>
      <c r="Z131" s="300"/>
      <c r="AA131" s="200"/>
      <c r="AB131" s="200"/>
      <c r="AC131" s="210"/>
      <c r="AD131" s="210"/>
      <c r="AE131" s="200"/>
      <c r="AF131" s="200"/>
      <c r="AG131" s="209"/>
      <c r="AH131" s="201"/>
      <c r="AI131" s="200"/>
      <c r="AJ131" s="200"/>
      <c r="AK131" s="209"/>
      <c r="AL131" s="200"/>
      <c r="AM131" s="210"/>
      <c r="AN131" s="210"/>
    </row>
    <row r="132" spans="1:40" x14ac:dyDescent="0.25">
      <c r="F132" s="200"/>
      <c r="H132" s="211"/>
      <c r="I132" s="211"/>
      <c r="J132" s="305"/>
      <c r="K132" s="305"/>
      <c r="L132" s="211"/>
      <c r="M132" s="211"/>
      <c r="N132" s="211"/>
      <c r="O132" s="211"/>
      <c r="P132" s="211"/>
      <c r="Q132" s="211"/>
      <c r="R132" s="211"/>
      <c r="T132" s="154"/>
      <c r="V132" s="252"/>
      <c r="Y132" s="200"/>
      <c r="Z132" s="300"/>
      <c r="AA132" s="200"/>
      <c r="AB132" s="200"/>
      <c r="AC132" s="210"/>
      <c r="AD132" s="210"/>
      <c r="AE132" s="200"/>
      <c r="AF132" s="200"/>
      <c r="AG132" s="209"/>
      <c r="AH132" s="201"/>
      <c r="AI132" s="200"/>
      <c r="AJ132" s="200"/>
      <c r="AK132" s="209"/>
      <c r="AL132" s="200"/>
      <c r="AM132" s="210"/>
      <c r="AN132" s="210"/>
    </row>
    <row r="133" spans="1:40" x14ac:dyDescent="0.25">
      <c r="A133" s="202"/>
      <c r="C133" s="154"/>
      <c r="F133" s="200"/>
      <c r="H133" s="200"/>
      <c r="I133" s="200"/>
      <c r="J133" s="305"/>
      <c r="K133" s="305"/>
      <c r="L133" s="200"/>
      <c r="M133" s="200"/>
      <c r="N133" s="200"/>
      <c r="O133" s="200"/>
      <c r="P133" s="200"/>
      <c r="Q133" s="200"/>
      <c r="R133" s="200"/>
      <c r="V133" s="200"/>
      <c r="Y133" s="211"/>
      <c r="Z133" s="305"/>
      <c r="AA133" s="211"/>
      <c r="AB133" s="211"/>
      <c r="AC133" s="211"/>
      <c r="AD133" s="211"/>
      <c r="AE133" s="211"/>
      <c r="AF133" s="211"/>
      <c r="AI133" s="211"/>
      <c r="AJ133" s="211"/>
      <c r="AK133" s="212"/>
      <c r="AL133" s="211"/>
      <c r="AM133" s="210"/>
      <c r="AN133" s="210"/>
    </row>
    <row r="134" spans="1:40" x14ac:dyDescent="0.25">
      <c r="A134" s="202"/>
      <c r="C134" s="154"/>
      <c r="F134" s="200"/>
      <c r="H134" s="252"/>
      <c r="I134" s="252"/>
      <c r="J134" s="329"/>
      <c r="K134" s="329"/>
      <c r="L134" s="200"/>
      <c r="M134" s="200"/>
      <c r="N134" s="210"/>
      <c r="O134" s="210"/>
      <c r="P134" s="200"/>
      <c r="Q134" s="200"/>
      <c r="R134" s="200"/>
      <c r="T134" s="154"/>
      <c r="V134" s="200"/>
      <c r="Y134" s="200"/>
      <c r="Z134" s="305"/>
      <c r="AA134" s="200"/>
      <c r="AB134" s="200"/>
      <c r="AC134" s="210"/>
      <c r="AD134" s="210"/>
      <c r="AE134" s="200"/>
      <c r="AF134" s="200"/>
      <c r="AG134" s="209"/>
      <c r="AH134" s="201"/>
      <c r="AI134" s="200"/>
      <c r="AJ134" s="200"/>
      <c r="AK134" s="209"/>
      <c r="AL134" s="200"/>
      <c r="AM134" s="210"/>
      <c r="AN134" s="210"/>
    </row>
    <row r="135" spans="1:40" x14ac:dyDescent="0.25">
      <c r="A135" s="202"/>
      <c r="C135" s="154"/>
      <c r="H135" s="252"/>
      <c r="I135" s="252"/>
      <c r="J135" s="329"/>
      <c r="K135" s="329"/>
      <c r="L135" s="200"/>
      <c r="M135" s="200"/>
      <c r="N135" s="210"/>
      <c r="O135" s="210"/>
      <c r="P135" s="200"/>
      <c r="Q135" s="200"/>
      <c r="R135" s="200"/>
      <c r="V135" s="200"/>
      <c r="Y135" s="211"/>
      <c r="Z135" s="305"/>
      <c r="AA135" s="211"/>
      <c r="AB135" s="211"/>
      <c r="AC135" s="211"/>
      <c r="AD135" s="211"/>
      <c r="AE135" s="211"/>
      <c r="AF135" s="211"/>
      <c r="AI135" s="211"/>
      <c r="AJ135" s="211"/>
      <c r="AK135" s="212"/>
      <c r="AL135" s="211"/>
      <c r="AM135" s="210"/>
      <c r="AN135" s="210"/>
    </row>
    <row r="136" spans="1:40" x14ac:dyDescent="0.25">
      <c r="F136" s="200"/>
      <c r="H136" s="200"/>
      <c r="I136" s="200"/>
      <c r="J136" s="305"/>
      <c r="K136" s="305"/>
      <c r="L136" s="211"/>
      <c r="M136" s="211"/>
      <c r="N136" s="211"/>
      <c r="O136" s="211"/>
      <c r="P136" s="211"/>
      <c r="Q136" s="211"/>
      <c r="R136" s="211"/>
      <c r="T136" s="154"/>
      <c r="V136" s="200"/>
      <c r="Y136" s="200"/>
      <c r="Z136" s="305"/>
      <c r="AA136" s="200"/>
      <c r="AB136" s="200"/>
      <c r="AC136" s="200"/>
      <c r="AD136" s="200"/>
      <c r="AE136" s="200"/>
      <c r="AF136" s="200"/>
      <c r="AG136" s="209"/>
      <c r="AH136" s="201"/>
      <c r="AI136" s="200"/>
      <c r="AJ136" s="200"/>
      <c r="AK136" s="209"/>
      <c r="AL136" s="200"/>
      <c r="AM136" s="210"/>
      <c r="AN136" s="210"/>
    </row>
    <row r="137" spans="1:40" x14ac:dyDescent="0.25">
      <c r="A137" s="202"/>
      <c r="C137" s="154"/>
      <c r="F137" s="200"/>
      <c r="H137" s="200"/>
      <c r="I137" s="200"/>
      <c r="J137" s="213"/>
      <c r="K137" s="213"/>
      <c r="L137" s="200"/>
      <c r="M137" s="200"/>
      <c r="N137" s="210"/>
      <c r="O137" s="210"/>
      <c r="P137" s="200"/>
      <c r="Q137" s="200"/>
      <c r="R137" s="200"/>
      <c r="T137" s="154"/>
      <c r="V137" s="200"/>
      <c r="Y137" s="200"/>
      <c r="Z137" s="329"/>
      <c r="AA137" s="200"/>
      <c r="AB137" s="200"/>
      <c r="AC137" s="210"/>
      <c r="AD137" s="210"/>
      <c r="AE137" s="200"/>
      <c r="AF137" s="200"/>
      <c r="AG137" s="209"/>
      <c r="AH137" s="201"/>
      <c r="AI137" s="200"/>
      <c r="AJ137" s="200"/>
      <c r="AK137" s="209"/>
      <c r="AL137" s="200"/>
      <c r="AM137" s="210"/>
      <c r="AN137" s="210"/>
    </row>
    <row r="138" spans="1:40" x14ac:dyDescent="0.25">
      <c r="F138" s="200"/>
      <c r="H138" s="200"/>
      <c r="I138" s="200"/>
      <c r="J138" s="305"/>
      <c r="K138" s="305"/>
      <c r="L138" s="211"/>
      <c r="M138" s="211"/>
      <c r="N138" s="211"/>
      <c r="O138" s="211"/>
      <c r="P138" s="211"/>
      <c r="Q138" s="211"/>
      <c r="R138" s="211"/>
      <c r="T138" s="154"/>
      <c r="Y138" s="200"/>
      <c r="Z138" s="329"/>
      <c r="AA138" s="200"/>
      <c r="AB138" s="200"/>
      <c r="AC138" s="210"/>
      <c r="AD138" s="210"/>
      <c r="AE138" s="200"/>
      <c r="AF138" s="200"/>
      <c r="AG138" s="209"/>
      <c r="AH138" s="201"/>
      <c r="AI138" s="200"/>
      <c r="AJ138" s="200"/>
      <c r="AK138" s="209"/>
      <c r="AL138" s="200"/>
      <c r="AM138" s="210"/>
      <c r="AN138" s="210"/>
    </row>
    <row r="139" spans="1:40" x14ac:dyDescent="0.25">
      <c r="A139" s="202"/>
      <c r="C139" s="154"/>
      <c r="F139" s="200"/>
      <c r="H139" s="200"/>
      <c r="I139" s="200"/>
      <c r="J139" s="213"/>
      <c r="K139" s="213"/>
      <c r="L139" s="200"/>
      <c r="M139" s="200"/>
      <c r="N139" s="210"/>
      <c r="O139" s="210"/>
      <c r="P139" s="200"/>
      <c r="Q139" s="200"/>
      <c r="R139" s="200"/>
      <c r="V139" s="200"/>
      <c r="Y139" s="200"/>
      <c r="Z139" s="305"/>
      <c r="AA139" s="211"/>
      <c r="AB139" s="211"/>
      <c r="AC139" s="211"/>
      <c r="AD139" s="211"/>
      <c r="AE139" s="211"/>
      <c r="AF139" s="211"/>
      <c r="AI139" s="211"/>
      <c r="AJ139" s="211"/>
      <c r="AK139" s="212"/>
      <c r="AL139" s="211"/>
      <c r="AM139" s="210"/>
      <c r="AN139" s="210"/>
    </row>
    <row r="140" spans="1:40" x14ac:dyDescent="0.25">
      <c r="A140" s="202"/>
      <c r="C140" s="154"/>
      <c r="F140" s="200"/>
      <c r="H140" s="252"/>
      <c r="I140" s="252"/>
      <c r="J140" s="320"/>
      <c r="K140" s="320"/>
      <c r="L140" s="200"/>
      <c r="M140" s="200"/>
      <c r="N140" s="210"/>
      <c r="O140" s="210"/>
      <c r="P140" s="200"/>
      <c r="Q140" s="200"/>
      <c r="R140" s="200"/>
      <c r="T140" s="154"/>
      <c r="V140" s="200"/>
      <c r="Y140" s="200"/>
      <c r="Z140" s="213"/>
      <c r="AA140" s="200"/>
      <c r="AB140" s="200"/>
      <c r="AC140" s="210"/>
      <c r="AD140" s="210"/>
      <c r="AE140" s="200"/>
      <c r="AF140" s="200"/>
      <c r="AG140" s="209"/>
      <c r="AH140" s="201"/>
      <c r="AI140" s="200"/>
      <c r="AJ140" s="200"/>
      <c r="AK140" s="209"/>
      <c r="AL140" s="200"/>
      <c r="AM140" s="210"/>
      <c r="AN140" s="210"/>
    </row>
    <row r="141" spans="1:40" x14ac:dyDescent="0.25">
      <c r="F141" s="211"/>
      <c r="H141" s="211"/>
      <c r="I141" s="211"/>
      <c r="J141" s="305"/>
      <c r="K141" s="305"/>
      <c r="L141" s="211"/>
      <c r="M141" s="211"/>
      <c r="N141" s="211"/>
      <c r="O141" s="211"/>
      <c r="P141" s="211"/>
      <c r="Q141" s="211"/>
      <c r="R141" s="211"/>
      <c r="V141" s="200"/>
      <c r="Y141" s="200"/>
      <c r="Z141" s="305"/>
      <c r="AA141" s="211"/>
      <c r="AB141" s="211"/>
      <c r="AC141" s="211"/>
      <c r="AD141" s="211"/>
      <c r="AE141" s="211"/>
      <c r="AF141" s="211"/>
      <c r="AI141" s="211"/>
      <c r="AJ141" s="211"/>
      <c r="AK141" s="212"/>
      <c r="AL141" s="211"/>
      <c r="AM141" s="210"/>
      <c r="AN141" s="210"/>
    </row>
    <row r="142" spans="1:40" x14ac:dyDescent="0.25">
      <c r="A142" s="202"/>
      <c r="C142" s="154"/>
      <c r="F142" s="200"/>
      <c r="H142" s="200"/>
      <c r="I142" s="200"/>
      <c r="J142" s="305"/>
      <c r="K142" s="305"/>
      <c r="L142" s="200"/>
      <c r="M142" s="200"/>
      <c r="N142" s="210"/>
      <c r="O142" s="210"/>
      <c r="P142" s="200"/>
      <c r="Q142" s="200"/>
      <c r="R142" s="200"/>
      <c r="S142" s="200"/>
      <c r="T142" s="154"/>
      <c r="V142" s="200"/>
      <c r="Y142" s="200"/>
      <c r="Z142" s="213"/>
      <c r="AA142" s="200"/>
      <c r="AB142" s="200"/>
      <c r="AC142" s="210"/>
      <c r="AD142" s="210"/>
      <c r="AE142" s="200"/>
      <c r="AF142" s="200"/>
      <c r="AG142" s="209"/>
      <c r="AH142" s="201"/>
      <c r="AI142" s="200"/>
      <c r="AJ142" s="200"/>
      <c r="AK142" s="209"/>
      <c r="AL142" s="200"/>
      <c r="AM142" s="210"/>
      <c r="AN142" s="210"/>
    </row>
    <row r="143" spans="1:40" x14ac:dyDescent="0.25">
      <c r="F143" s="211"/>
      <c r="H143" s="211"/>
      <c r="I143" s="211"/>
      <c r="J143" s="305"/>
      <c r="K143" s="305"/>
      <c r="L143" s="211"/>
      <c r="M143" s="211"/>
      <c r="N143" s="211"/>
      <c r="O143" s="211"/>
      <c r="P143" s="211"/>
      <c r="Q143" s="211"/>
      <c r="R143" s="211"/>
      <c r="S143" s="200"/>
      <c r="T143" s="154"/>
      <c r="V143" s="252"/>
      <c r="Y143" s="200"/>
      <c r="Z143" s="320"/>
      <c r="AA143" s="200"/>
      <c r="AB143" s="200"/>
      <c r="AC143" s="210"/>
      <c r="AD143" s="210"/>
      <c r="AE143" s="200"/>
      <c r="AF143" s="200"/>
      <c r="AG143" s="209"/>
      <c r="AH143" s="201"/>
      <c r="AI143" s="200"/>
      <c r="AJ143" s="200"/>
      <c r="AK143" s="209"/>
      <c r="AL143" s="200"/>
      <c r="AM143" s="210"/>
      <c r="AN143" s="210"/>
    </row>
    <row r="144" spans="1:40" x14ac:dyDescent="0.25">
      <c r="A144" s="202"/>
      <c r="C144" s="154"/>
      <c r="F144" s="252"/>
      <c r="H144" s="330"/>
      <c r="I144" s="330"/>
      <c r="J144" s="305"/>
      <c r="K144" s="305"/>
      <c r="L144" s="200"/>
      <c r="M144" s="200"/>
      <c r="N144" s="210"/>
      <c r="O144" s="210"/>
      <c r="P144" s="200"/>
      <c r="Q144" s="200"/>
      <c r="R144" s="200"/>
      <c r="S144" s="200"/>
      <c r="V144" s="211"/>
      <c r="Y144" s="211"/>
      <c r="Z144" s="305"/>
      <c r="AA144" s="211"/>
      <c r="AB144" s="211"/>
      <c r="AC144" s="211"/>
      <c r="AD144" s="211"/>
      <c r="AE144" s="211"/>
      <c r="AF144" s="211"/>
      <c r="AI144" s="211"/>
      <c r="AJ144" s="211"/>
      <c r="AK144" s="212"/>
      <c r="AL144" s="211"/>
      <c r="AM144" s="210"/>
      <c r="AN144" s="210"/>
    </row>
    <row r="145" spans="1:40" x14ac:dyDescent="0.25">
      <c r="T145" s="154"/>
      <c r="V145" s="200"/>
      <c r="Y145" s="200"/>
      <c r="Z145" s="305"/>
      <c r="AA145" s="200"/>
      <c r="AB145" s="200"/>
      <c r="AC145" s="210"/>
      <c r="AD145" s="210"/>
      <c r="AE145" s="200"/>
      <c r="AF145" s="200"/>
      <c r="AG145" s="209"/>
      <c r="AH145" s="210"/>
      <c r="AI145" s="200"/>
      <c r="AJ145" s="200"/>
      <c r="AK145" s="209"/>
      <c r="AL145" s="200"/>
      <c r="AM145" s="210"/>
      <c r="AN145" s="210"/>
    </row>
    <row r="146" spans="1:40" x14ac:dyDescent="0.25">
      <c r="A146" s="202"/>
      <c r="C146" s="154"/>
      <c r="V146" s="211"/>
      <c r="Y146" s="211"/>
      <c r="Z146" s="305"/>
      <c r="AA146" s="211"/>
      <c r="AB146" s="211"/>
      <c r="AC146" s="211"/>
      <c r="AD146" s="211"/>
      <c r="AE146" s="211"/>
      <c r="AF146" s="211"/>
      <c r="AI146" s="211"/>
      <c r="AJ146" s="211"/>
      <c r="AK146" s="212"/>
      <c r="AL146" s="211"/>
      <c r="AM146" s="210"/>
      <c r="AN146" s="210"/>
    </row>
    <row r="147" spans="1:40" x14ac:dyDescent="0.25">
      <c r="A147" s="202"/>
      <c r="C147" s="154"/>
      <c r="F147" s="252"/>
      <c r="H147" s="252"/>
      <c r="I147" s="252"/>
      <c r="J147" s="300"/>
      <c r="K147" s="300"/>
      <c r="L147" s="200"/>
      <c r="M147" s="200"/>
      <c r="N147" s="210"/>
      <c r="O147" s="210"/>
      <c r="P147" s="202"/>
      <c r="Q147" s="202"/>
      <c r="R147" s="200"/>
      <c r="T147" s="154"/>
      <c r="V147" s="252"/>
      <c r="Y147" s="252"/>
      <c r="Z147" s="305"/>
      <c r="AA147" s="200"/>
      <c r="AB147" s="200"/>
      <c r="AC147" s="210"/>
      <c r="AD147" s="210"/>
      <c r="AE147" s="200"/>
      <c r="AF147" s="200"/>
      <c r="AI147" s="200"/>
      <c r="AJ147" s="200"/>
      <c r="AK147" s="209"/>
      <c r="AL147" s="200"/>
      <c r="AM147" s="210"/>
      <c r="AN147" s="210"/>
    </row>
    <row r="148" spans="1:40" x14ac:dyDescent="0.25">
      <c r="A148" s="202"/>
      <c r="C148" s="154"/>
      <c r="F148" s="252"/>
      <c r="H148" s="252"/>
      <c r="I148" s="252"/>
      <c r="J148" s="300"/>
      <c r="K148" s="300"/>
      <c r="L148" s="200"/>
      <c r="M148" s="200"/>
      <c r="N148" s="210"/>
      <c r="O148" s="210"/>
      <c r="P148" s="202"/>
      <c r="Q148" s="202"/>
      <c r="R148" s="200"/>
    </row>
    <row r="149" spans="1:40" x14ac:dyDescent="0.25">
      <c r="A149" s="202"/>
      <c r="C149" s="154"/>
      <c r="F149" s="252"/>
      <c r="H149" s="252"/>
      <c r="I149" s="252"/>
      <c r="J149" s="300"/>
      <c r="K149" s="300"/>
      <c r="L149" s="200"/>
      <c r="M149" s="200"/>
      <c r="N149" s="210"/>
      <c r="O149" s="210"/>
      <c r="P149" s="202"/>
      <c r="Q149" s="202"/>
      <c r="R149" s="200"/>
      <c r="T149" s="154"/>
    </row>
    <row r="150" spans="1:40" x14ac:dyDescent="0.25">
      <c r="F150" s="211"/>
      <c r="H150" s="200"/>
      <c r="I150" s="200"/>
      <c r="J150" s="305"/>
      <c r="K150" s="305"/>
      <c r="L150" s="211"/>
      <c r="M150" s="211"/>
      <c r="N150" s="211"/>
      <c r="O150" s="211"/>
      <c r="P150" s="211"/>
      <c r="Q150" s="211"/>
      <c r="R150" s="211"/>
      <c r="T150" s="154"/>
      <c r="V150" s="200"/>
      <c r="Y150" s="252"/>
      <c r="Z150" s="300"/>
      <c r="AA150" s="200"/>
      <c r="AB150" s="200"/>
      <c r="AC150" s="210"/>
      <c r="AD150" s="210"/>
      <c r="AE150" s="200"/>
      <c r="AF150" s="200"/>
      <c r="AG150" s="325"/>
      <c r="AH150" s="326"/>
      <c r="AI150" s="202"/>
      <c r="AJ150" s="202"/>
      <c r="AK150" s="209"/>
      <c r="AL150" s="200"/>
      <c r="AM150" s="327"/>
      <c r="AN150" s="327"/>
    </row>
    <row r="151" spans="1:40" x14ac:dyDescent="0.25">
      <c r="A151" s="202"/>
      <c r="C151" s="154"/>
      <c r="F151" s="200"/>
      <c r="H151" s="200"/>
      <c r="I151" s="200"/>
      <c r="J151" s="305"/>
      <c r="K151" s="305"/>
      <c r="L151" s="200"/>
      <c r="M151" s="200"/>
      <c r="N151" s="210"/>
      <c r="O151" s="210"/>
      <c r="P151" s="200"/>
      <c r="Q151" s="200"/>
      <c r="R151" s="200"/>
      <c r="T151" s="154"/>
      <c r="V151" s="200"/>
      <c r="Y151" s="252"/>
      <c r="Z151" s="300"/>
      <c r="AA151" s="200"/>
      <c r="AB151" s="200"/>
      <c r="AC151" s="210"/>
      <c r="AD151" s="210"/>
      <c r="AE151" s="200"/>
      <c r="AF151" s="200"/>
      <c r="AG151" s="209"/>
      <c r="AH151" s="201"/>
      <c r="AI151" s="202"/>
      <c r="AJ151" s="202"/>
      <c r="AK151" s="209"/>
      <c r="AL151" s="200"/>
      <c r="AM151" s="210"/>
      <c r="AN151" s="210"/>
    </row>
    <row r="152" spans="1:40" x14ac:dyDescent="0.25">
      <c r="F152" s="211"/>
      <c r="H152" s="200"/>
      <c r="I152" s="200"/>
      <c r="J152" s="305"/>
      <c r="K152" s="305"/>
      <c r="L152" s="211"/>
      <c r="M152" s="211"/>
      <c r="N152" s="211"/>
      <c r="O152" s="211"/>
      <c r="P152" s="211"/>
      <c r="Q152" s="211"/>
      <c r="R152" s="211"/>
      <c r="T152" s="154"/>
      <c r="V152" s="200"/>
      <c r="Y152" s="252"/>
      <c r="Z152" s="300"/>
      <c r="AA152" s="200"/>
      <c r="AB152" s="200"/>
      <c r="AC152" s="210"/>
      <c r="AD152" s="210"/>
      <c r="AE152" s="200"/>
      <c r="AF152" s="200"/>
      <c r="AG152" s="209"/>
      <c r="AH152" s="201"/>
      <c r="AI152" s="202"/>
      <c r="AJ152" s="202"/>
      <c r="AK152" s="209"/>
      <c r="AL152" s="200"/>
      <c r="AM152" s="210"/>
      <c r="AN152" s="210"/>
    </row>
    <row r="153" spans="1:40" x14ac:dyDescent="0.25">
      <c r="A153" s="202"/>
      <c r="C153" s="154"/>
      <c r="F153" s="252"/>
      <c r="H153" s="252"/>
      <c r="I153" s="252"/>
      <c r="J153" s="328"/>
      <c r="K153" s="328"/>
      <c r="L153" s="200"/>
      <c r="M153" s="200"/>
      <c r="N153" s="210"/>
      <c r="O153" s="210"/>
      <c r="P153" s="200"/>
      <c r="Q153" s="200"/>
      <c r="R153" s="200"/>
      <c r="S153" s="200"/>
      <c r="V153" s="211"/>
      <c r="Y153" s="200"/>
      <c r="Z153" s="305"/>
      <c r="AA153" s="211"/>
      <c r="AB153" s="211"/>
      <c r="AC153" s="211"/>
      <c r="AD153" s="211"/>
      <c r="AE153" s="211"/>
      <c r="AF153" s="211"/>
      <c r="AI153" s="211"/>
      <c r="AJ153" s="211"/>
      <c r="AK153" s="212"/>
      <c r="AL153" s="211"/>
      <c r="AM153" s="210"/>
      <c r="AN153" s="210"/>
    </row>
    <row r="154" spans="1:40" x14ac:dyDescent="0.25">
      <c r="A154" s="202"/>
      <c r="C154" s="154"/>
      <c r="F154" s="252"/>
      <c r="H154" s="252"/>
      <c r="I154" s="252"/>
      <c r="J154" s="300"/>
      <c r="K154" s="300"/>
      <c r="L154" s="200"/>
      <c r="M154" s="200"/>
      <c r="N154" s="210"/>
      <c r="O154" s="210"/>
      <c r="P154" s="200"/>
      <c r="Q154" s="200"/>
      <c r="R154" s="200"/>
      <c r="T154" s="154"/>
      <c r="V154" s="200"/>
      <c r="Y154" s="200"/>
      <c r="Z154" s="305"/>
      <c r="AA154" s="200"/>
      <c r="AB154" s="200"/>
      <c r="AC154" s="210"/>
      <c r="AD154" s="210"/>
      <c r="AE154" s="200"/>
      <c r="AF154" s="200"/>
      <c r="AG154" s="209"/>
      <c r="AH154" s="201"/>
      <c r="AI154" s="200"/>
      <c r="AJ154" s="200"/>
      <c r="AK154" s="209"/>
      <c r="AL154" s="200"/>
      <c r="AM154" s="210"/>
      <c r="AN154" s="210"/>
    </row>
    <row r="155" spans="1:40" x14ac:dyDescent="0.25">
      <c r="A155" s="202"/>
      <c r="C155" s="154"/>
      <c r="F155" s="252"/>
      <c r="H155" s="252"/>
      <c r="I155" s="252"/>
      <c r="J155" s="300"/>
      <c r="K155" s="300"/>
      <c r="L155" s="200"/>
      <c r="M155" s="200"/>
      <c r="N155" s="210"/>
      <c r="O155" s="210"/>
      <c r="P155" s="200"/>
      <c r="Q155" s="200"/>
      <c r="R155" s="200"/>
      <c r="V155" s="211"/>
      <c r="Y155" s="200"/>
      <c r="Z155" s="305"/>
      <c r="AA155" s="211"/>
      <c r="AB155" s="211"/>
      <c r="AC155" s="211"/>
      <c r="AD155" s="211"/>
      <c r="AE155" s="211"/>
      <c r="AF155" s="211"/>
      <c r="AI155" s="211"/>
      <c r="AJ155" s="211"/>
      <c r="AK155" s="212"/>
      <c r="AL155" s="211"/>
      <c r="AM155" s="210"/>
      <c r="AN155" s="210"/>
    </row>
    <row r="156" spans="1:40" x14ac:dyDescent="0.25">
      <c r="F156" s="200"/>
      <c r="H156" s="211"/>
      <c r="I156" s="211"/>
      <c r="J156" s="305"/>
      <c r="K156" s="305"/>
      <c r="L156" s="211"/>
      <c r="M156" s="211"/>
      <c r="N156" s="211"/>
      <c r="O156" s="211"/>
      <c r="P156" s="211"/>
      <c r="Q156" s="211"/>
      <c r="R156" s="211"/>
      <c r="T156" s="154"/>
      <c r="V156" s="252"/>
      <c r="Y156" s="252"/>
      <c r="Z156" s="328"/>
      <c r="AA156" s="200"/>
      <c r="AB156" s="200"/>
      <c r="AC156" s="210"/>
      <c r="AD156" s="210"/>
      <c r="AE156" s="200"/>
      <c r="AF156" s="200"/>
      <c r="AG156" s="209"/>
      <c r="AH156" s="210"/>
      <c r="AI156" s="200"/>
      <c r="AJ156" s="200"/>
      <c r="AK156" s="209"/>
      <c r="AL156" s="200"/>
      <c r="AM156" s="210"/>
      <c r="AN156" s="210"/>
    </row>
    <row r="157" spans="1:40" x14ac:dyDescent="0.25">
      <c r="A157" s="202"/>
      <c r="C157" s="154"/>
      <c r="F157" s="200"/>
      <c r="H157" s="200"/>
      <c r="I157" s="200"/>
      <c r="J157" s="305"/>
      <c r="K157" s="305"/>
      <c r="L157" s="200"/>
      <c r="M157" s="200"/>
      <c r="N157" s="210"/>
      <c r="O157" s="210"/>
      <c r="P157" s="200"/>
      <c r="Q157" s="200"/>
      <c r="R157" s="200"/>
      <c r="T157" s="154"/>
      <c r="V157" s="252"/>
      <c r="Y157" s="200"/>
      <c r="Z157" s="300"/>
      <c r="AA157" s="200"/>
      <c r="AB157" s="200"/>
      <c r="AC157" s="210"/>
      <c r="AD157" s="210"/>
      <c r="AE157" s="200"/>
      <c r="AF157" s="200"/>
      <c r="AG157" s="209"/>
      <c r="AH157" s="201"/>
      <c r="AI157" s="200"/>
      <c r="AJ157" s="200"/>
      <c r="AK157" s="209"/>
      <c r="AL157" s="200"/>
      <c r="AM157" s="210"/>
      <c r="AN157" s="210"/>
    </row>
    <row r="158" spans="1:40" x14ac:dyDescent="0.25">
      <c r="F158" s="200"/>
      <c r="H158" s="211"/>
      <c r="I158" s="211"/>
      <c r="J158" s="305"/>
      <c r="K158" s="305"/>
      <c r="L158" s="211"/>
      <c r="M158" s="211"/>
      <c r="N158" s="211"/>
      <c r="O158" s="211"/>
      <c r="P158" s="211"/>
      <c r="Q158" s="211"/>
      <c r="R158" s="211"/>
      <c r="T158" s="154"/>
      <c r="V158" s="252"/>
      <c r="Y158" s="200"/>
      <c r="Z158" s="300"/>
      <c r="AA158" s="200"/>
      <c r="AB158" s="200"/>
      <c r="AC158" s="210"/>
      <c r="AD158" s="210"/>
      <c r="AE158" s="200"/>
      <c r="AF158" s="200"/>
      <c r="AG158" s="209"/>
      <c r="AH158" s="201"/>
      <c r="AI158" s="200"/>
      <c r="AJ158" s="200"/>
      <c r="AK158" s="209"/>
      <c r="AL158" s="200"/>
      <c r="AM158" s="210"/>
      <c r="AN158" s="210"/>
    </row>
    <row r="159" spans="1:40" x14ac:dyDescent="0.25">
      <c r="A159" s="202"/>
      <c r="C159" s="154"/>
      <c r="F159" s="200"/>
      <c r="H159" s="200"/>
      <c r="I159" s="200"/>
      <c r="J159" s="305"/>
      <c r="K159" s="305"/>
      <c r="L159" s="200"/>
      <c r="M159" s="200"/>
      <c r="N159" s="200"/>
      <c r="O159" s="200"/>
      <c r="P159" s="200"/>
      <c r="Q159" s="200"/>
      <c r="R159" s="200"/>
      <c r="V159" s="200"/>
      <c r="Y159" s="211"/>
      <c r="Z159" s="305"/>
      <c r="AA159" s="211"/>
      <c r="AB159" s="211"/>
      <c r="AC159" s="211"/>
      <c r="AD159" s="211"/>
      <c r="AE159" s="211"/>
      <c r="AF159" s="211"/>
      <c r="AI159" s="211"/>
      <c r="AJ159" s="211"/>
      <c r="AK159" s="212"/>
      <c r="AL159" s="211"/>
      <c r="AM159" s="210"/>
      <c r="AN159" s="210"/>
    </row>
    <row r="160" spans="1:40" x14ac:dyDescent="0.25">
      <c r="A160" s="202"/>
      <c r="C160" s="154"/>
      <c r="F160" s="200"/>
      <c r="H160" s="252"/>
      <c r="I160" s="252"/>
      <c r="J160" s="329"/>
      <c r="K160" s="329"/>
      <c r="L160" s="200"/>
      <c r="M160" s="200"/>
      <c r="N160" s="210"/>
      <c r="O160" s="210"/>
      <c r="P160" s="200"/>
      <c r="Q160" s="200"/>
      <c r="R160" s="200"/>
      <c r="T160" s="154"/>
      <c r="V160" s="200"/>
      <c r="Y160" s="200"/>
      <c r="Z160" s="305"/>
      <c r="AA160" s="200"/>
      <c r="AB160" s="200"/>
      <c r="AC160" s="210"/>
      <c r="AD160" s="210"/>
      <c r="AE160" s="200"/>
      <c r="AF160" s="200"/>
      <c r="AG160" s="209"/>
      <c r="AH160" s="201"/>
      <c r="AI160" s="200"/>
      <c r="AJ160" s="200"/>
      <c r="AK160" s="209"/>
      <c r="AL160" s="200"/>
      <c r="AM160" s="210"/>
      <c r="AN160" s="210"/>
    </row>
    <row r="161" spans="1:40" x14ac:dyDescent="0.25">
      <c r="A161" s="202"/>
      <c r="C161" s="154"/>
      <c r="H161" s="252"/>
      <c r="I161" s="252"/>
      <c r="J161" s="329"/>
      <c r="K161" s="329"/>
      <c r="L161" s="200"/>
      <c r="M161" s="200"/>
      <c r="N161" s="210"/>
      <c r="O161" s="210"/>
      <c r="P161" s="200"/>
      <c r="Q161" s="200"/>
      <c r="R161" s="200"/>
      <c r="V161" s="200"/>
      <c r="Y161" s="211"/>
      <c r="Z161" s="305"/>
      <c r="AA161" s="211"/>
      <c r="AB161" s="211"/>
      <c r="AC161" s="211"/>
      <c r="AD161" s="211"/>
      <c r="AE161" s="211"/>
      <c r="AF161" s="211"/>
      <c r="AI161" s="211"/>
      <c r="AJ161" s="211"/>
      <c r="AK161" s="212"/>
      <c r="AL161" s="211"/>
      <c r="AM161" s="210"/>
      <c r="AN161" s="210"/>
    </row>
    <row r="162" spans="1:40" x14ac:dyDescent="0.25">
      <c r="F162" s="200"/>
      <c r="H162" s="200"/>
      <c r="I162" s="200"/>
      <c r="J162" s="305"/>
      <c r="K162" s="305"/>
      <c r="L162" s="211"/>
      <c r="M162" s="211"/>
      <c r="N162" s="211"/>
      <c r="O162" s="211"/>
      <c r="P162" s="211"/>
      <c r="Q162" s="211"/>
      <c r="R162" s="211"/>
      <c r="T162" s="154"/>
      <c r="V162" s="200"/>
      <c r="Y162" s="200"/>
      <c r="Z162" s="305"/>
      <c r="AA162" s="200"/>
      <c r="AB162" s="200"/>
      <c r="AC162" s="200"/>
      <c r="AD162" s="200"/>
      <c r="AE162" s="200"/>
      <c r="AF162" s="200"/>
      <c r="AG162" s="209"/>
      <c r="AH162" s="201"/>
      <c r="AI162" s="200"/>
      <c r="AJ162" s="200"/>
      <c r="AK162" s="209"/>
      <c r="AL162" s="200"/>
      <c r="AM162" s="210"/>
      <c r="AN162" s="210"/>
    </row>
    <row r="163" spans="1:40" x14ac:dyDescent="0.25">
      <c r="A163" s="202"/>
      <c r="C163" s="154"/>
      <c r="F163" s="200"/>
      <c r="H163" s="200"/>
      <c r="I163" s="200"/>
      <c r="J163" s="213"/>
      <c r="K163" s="213"/>
      <c r="L163" s="200"/>
      <c r="M163" s="200"/>
      <c r="N163" s="210"/>
      <c r="O163" s="210"/>
      <c r="P163" s="200"/>
      <c r="Q163" s="200"/>
      <c r="R163" s="200"/>
      <c r="T163" s="154"/>
      <c r="V163" s="200"/>
      <c r="Y163" s="200"/>
      <c r="Z163" s="329"/>
      <c r="AA163" s="200"/>
      <c r="AB163" s="200"/>
      <c r="AC163" s="210"/>
      <c r="AD163" s="210"/>
      <c r="AE163" s="200"/>
      <c r="AF163" s="200"/>
      <c r="AG163" s="209"/>
      <c r="AH163" s="201"/>
      <c r="AI163" s="200"/>
      <c r="AJ163" s="200"/>
      <c r="AK163" s="209"/>
      <c r="AL163" s="200"/>
      <c r="AM163" s="210"/>
      <c r="AN163" s="210"/>
    </row>
    <row r="164" spans="1:40" x14ac:dyDescent="0.25">
      <c r="F164" s="200"/>
      <c r="H164" s="200"/>
      <c r="I164" s="200"/>
      <c r="J164" s="305"/>
      <c r="K164" s="305"/>
      <c r="L164" s="211"/>
      <c r="M164" s="211"/>
      <c r="N164" s="211"/>
      <c r="O164" s="211"/>
      <c r="P164" s="211"/>
      <c r="Q164" s="211"/>
      <c r="R164" s="211"/>
      <c r="T164" s="154"/>
      <c r="Y164" s="200"/>
      <c r="Z164" s="329"/>
      <c r="AA164" s="200"/>
      <c r="AB164" s="200"/>
      <c r="AC164" s="210"/>
      <c r="AD164" s="210"/>
      <c r="AE164" s="200"/>
      <c r="AF164" s="200"/>
      <c r="AG164" s="209"/>
      <c r="AH164" s="201"/>
      <c r="AI164" s="200"/>
      <c r="AJ164" s="200"/>
      <c r="AK164" s="209"/>
      <c r="AL164" s="200"/>
      <c r="AM164" s="210"/>
      <c r="AN164" s="210"/>
    </row>
    <row r="165" spans="1:40" x14ac:dyDescent="0.25">
      <c r="A165" s="202"/>
      <c r="C165" s="154"/>
      <c r="F165" s="200"/>
      <c r="H165" s="200"/>
      <c r="I165" s="200"/>
      <c r="J165" s="213"/>
      <c r="K165" s="213"/>
      <c r="L165" s="200"/>
      <c r="M165" s="200"/>
      <c r="N165" s="210"/>
      <c r="O165" s="210"/>
      <c r="P165" s="200"/>
      <c r="Q165" s="200"/>
      <c r="R165" s="200"/>
      <c r="V165" s="200"/>
      <c r="Y165" s="200"/>
      <c r="Z165" s="305"/>
      <c r="AA165" s="211"/>
      <c r="AB165" s="211"/>
      <c r="AC165" s="211"/>
      <c r="AD165" s="211"/>
      <c r="AE165" s="211"/>
      <c r="AF165" s="211"/>
      <c r="AI165" s="211"/>
      <c r="AJ165" s="211"/>
      <c r="AK165" s="212"/>
      <c r="AL165" s="211"/>
      <c r="AM165" s="210"/>
      <c r="AN165" s="210"/>
    </row>
    <row r="166" spans="1:40" x14ac:dyDescent="0.25">
      <c r="A166" s="202"/>
      <c r="C166" s="154"/>
      <c r="F166" s="252"/>
      <c r="H166" s="252"/>
      <c r="I166" s="252"/>
      <c r="J166" s="320"/>
      <c r="K166" s="320"/>
      <c r="L166" s="200"/>
      <c r="M166" s="200"/>
      <c r="N166" s="210"/>
      <c r="O166" s="210"/>
      <c r="P166" s="200"/>
      <c r="Q166" s="200"/>
      <c r="R166" s="200"/>
      <c r="T166" s="154"/>
      <c r="V166" s="200"/>
      <c r="Y166" s="200"/>
      <c r="Z166" s="213"/>
      <c r="AA166" s="200"/>
      <c r="AB166" s="200"/>
      <c r="AC166" s="210"/>
      <c r="AD166" s="210"/>
      <c r="AE166" s="200"/>
      <c r="AF166" s="200"/>
      <c r="AG166" s="209"/>
      <c r="AH166" s="201"/>
      <c r="AI166" s="200"/>
      <c r="AJ166" s="200"/>
      <c r="AK166" s="209"/>
      <c r="AL166" s="200"/>
      <c r="AM166" s="210"/>
      <c r="AN166" s="210"/>
    </row>
    <row r="167" spans="1:40" x14ac:dyDescent="0.25">
      <c r="F167" s="211"/>
      <c r="H167" s="211"/>
      <c r="I167" s="211"/>
      <c r="J167" s="305"/>
      <c r="K167" s="305"/>
      <c r="L167" s="211"/>
      <c r="M167" s="211"/>
      <c r="N167" s="211"/>
      <c r="O167" s="211"/>
      <c r="P167" s="211"/>
      <c r="Q167" s="211"/>
      <c r="R167" s="211"/>
      <c r="V167" s="200"/>
      <c r="Y167" s="200"/>
      <c r="Z167" s="305"/>
      <c r="AA167" s="211"/>
      <c r="AB167" s="211"/>
      <c r="AC167" s="211"/>
      <c r="AD167" s="211"/>
      <c r="AE167" s="211"/>
      <c r="AF167" s="211"/>
      <c r="AI167" s="211"/>
      <c r="AJ167" s="211"/>
      <c r="AK167" s="212"/>
      <c r="AL167" s="211"/>
      <c r="AM167" s="210"/>
      <c r="AN167" s="210"/>
    </row>
    <row r="168" spans="1:40" x14ac:dyDescent="0.25">
      <c r="A168" s="202"/>
      <c r="C168" s="154"/>
      <c r="F168" s="200"/>
      <c r="H168" s="200"/>
      <c r="I168" s="200"/>
      <c r="J168" s="305"/>
      <c r="K168" s="305"/>
      <c r="L168" s="200"/>
      <c r="M168" s="200"/>
      <c r="N168" s="210"/>
      <c r="O168" s="210"/>
      <c r="P168" s="200"/>
      <c r="Q168" s="200"/>
      <c r="R168" s="200"/>
      <c r="S168" s="200"/>
      <c r="T168" s="154"/>
      <c r="V168" s="200"/>
      <c r="Y168" s="200"/>
      <c r="Z168" s="213"/>
      <c r="AA168" s="200"/>
      <c r="AB168" s="200"/>
      <c r="AC168" s="210"/>
      <c r="AD168" s="210"/>
      <c r="AE168" s="200"/>
      <c r="AF168" s="200"/>
      <c r="AG168" s="209"/>
      <c r="AH168" s="201"/>
      <c r="AI168" s="200"/>
      <c r="AJ168" s="200"/>
      <c r="AK168" s="209"/>
      <c r="AL168" s="200"/>
      <c r="AM168" s="210"/>
      <c r="AN168" s="210"/>
    </row>
    <row r="169" spans="1:40" x14ac:dyDescent="0.25">
      <c r="F169" s="211"/>
      <c r="H169" s="211"/>
      <c r="I169" s="211"/>
      <c r="J169" s="305"/>
      <c r="K169" s="305"/>
      <c r="L169" s="211"/>
      <c r="M169" s="211"/>
      <c r="N169" s="211"/>
      <c r="O169" s="211"/>
      <c r="P169" s="211"/>
      <c r="Q169" s="211"/>
      <c r="R169" s="211"/>
      <c r="S169" s="200"/>
      <c r="T169" s="154"/>
      <c r="V169" s="252"/>
      <c r="Y169" s="200"/>
      <c r="Z169" s="320"/>
      <c r="AA169" s="200"/>
      <c r="AB169" s="200"/>
      <c r="AC169" s="210"/>
      <c r="AD169" s="210"/>
      <c r="AE169" s="200"/>
      <c r="AF169" s="200"/>
      <c r="AG169" s="209"/>
      <c r="AH169" s="201"/>
      <c r="AI169" s="200"/>
      <c r="AJ169" s="200"/>
      <c r="AK169" s="209"/>
      <c r="AL169" s="200"/>
      <c r="AM169" s="210"/>
      <c r="AN169" s="210"/>
    </row>
    <row r="170" spans="1:40" x14ac:dyDescent="0.25">
      <c r="A170" s="202"/>
      <c r="C170" s="154"/>
      <c r="V170" s="211"/>
      <c r="Y170" s="211"/>
      <c r="Z170" s="305"/>
      <c r="AA170" s="211"/>
      <c r="AB170" s="211"/>
      <c r="AC170" s="211"/>
      <c r="AD170" s="211"/>
      <c r="AE170" s="211"/>
      <c r="AF170" s="211"/>
      <c r="AI170" s="211"/>
      <c r="AJ170" s="211"/>
      <c r="AK170" s="212"/>
      <c r="AL170" s="211"/>
      <c r="AM170" s="210"/>
      <c r="AN170" s="210"/>
    </row>
    <row r="171" spans="1:40" x14ac:dyDescent="0.25">
      <c r="A171" s="202"/>
      <c r="C171" s="154"/>
      <c r="F171" s="200"/>
      <c r="H171" s="200"/>
      <c r="I171" s="200"/>
      <c r="L171" s="200"/>
      <c r="M171" s="200"/>
      <c r="N171" s="210"/>
      <c r="O171" s="210"/>
      <c r="P171" s="252"/>
      <c r="Q171" s="252"/>
      <c r="R171" s="200"/>
      <c r="T171" s="154"/>
      <c r="V171" s="200"/>
      <c r="Y171" s="200"/>
      <c r="Z171" s="305"/>
      <c r="AA171" s="200"/>
      <c r="AB171" s="200"/>
      <c r="AC171" s="210"/>
      <c r="AD171" s="210"/>
      <c r="AE171" s="200"/>
      <c r="AF171" s="200"/>
      <c r="AG171" s="209"/>
      <c r="AH171" s="210"/>
      <c r="AI171" s="200"/>
      <c r="AJ171" s="200"/>
      <c r="AK171" s="209"/>
      <c r="AL171" s="200"/>
      <c r="AM171" s="210"/>
      <c r="AN171" s="210"/>
    </row>
    <row r="172" spans="1:40" x14ac:dyDescent="0.25">
      <c r="F172" s="211"/>
      <c r="H172" s="211"/>
      <c r="I172" s="211"/>
      <c r="J172" s="305"/>
      <c r="K172" s="305"/>
      <c r="L172" s="211"/>
      <c r="M172" s="211"/>
      <c r="N172" s="211"/>
      <c r="O172" s="211"/>
      <c r="P172" s="211"/>
      <c r="Q172" s="211"/>
      <c r="R172" s="211"/>
      <c r="V172" s="211"/>
      <c r="Y172" s="211"/>
      <c r="Z172" s="305"/>
      <c r="AA172" s="211"/>
      <c r="AB172" s="211"/>
      <c r="AC172" s="211"/>
      <c r="AD172" s="211"/>
      <c r="AE172" s="211"/>
      <c r="AF172" s="211"/>
      <c r="AI172" s="211"/>
      <c r="AJ172" s="211"/>
      <c r="AK172" s="212"/>
      <c r="AL172" s="211"/>
      <c r="AM172" s="210"/>
      <c r="AN172" s="210"/>
    </row>
    <row r="173" spans="1:40" x14ac:dyDescent="0.25">
      <c r="T173" s="154"/>
    </row>
    <row r="174" spans="1:40" x14ac:dyDescent="0.25">
      <c r="C174" s="154"/>
      <c r="L174" s="200"/>
      <c r="M174" s="200"/>
      <c r="N174" s="200"/>
      <c r="O174" s="200"/>
      <c r="P174" s="200"/>
      <c r="Q174" s="200"/>
      <c r="R174" s="200"/>
      <c r="S174" s="200"/>
      <c r="T174" s="154"/>
      <c r="V174" s="200"/>
      <c r="Y174" s="200"/>
      <c r="AA174" s="200"/>
      <c r="AB174" s="200"/>
      <c r="AC174" s="210"/>
      <c r="AD174" s="210"/>
      <c r="AE174" s="200"/>
      <c r="AF174" s="200"/>
      <c r="AG174" s="209"/>
      <c r="AH174" s="210"/>
      <c r="AI174" s="252"/>
      <c r="AJ174" s="252"/>
      <c r="AK174" s="209"/>
      <c r="AL174" s="200"/>
      <c r="AM174" s="210"/>
      <c r="AN174" s="210"/>
    </row>
    <row r="175" spans="1:40" x14ac:dyDescent="0.25">
      <c r="A175" s="154"/>
      <c r="V175" s="211"/>
      <c r="Y175" s="211"/>
      <c r="Z175" s="305"/>
      <c r="AA175" s="211"/>
      <c r="AB175" s="211"/>
      <c r="AC175" s="211"/>
      <c r="AD175" s="211"/>
      <c r="AE175" s="211"/>
      <c r="AF175" s="211"/>
      <c r="AI175" s="211"/>
      <c r="AJ175" s="211"/>
      <c r="AK175" s="212"/>
      <c r="AL175" s="211"/>
    </row>
    <row r="176" spans="1:40" x14ac:dyDescent="0.25">
      <c r="J176" s="202"/>
      <c r="K176" s="202"/>
    </row>
    <row r="177" spans="1:40" x14ac:dyDescent="0.25">
      <c r="H177" s="154"/>
      <c r="I177" s="154"/>
      <c r="T177" s="154"/>
      <c r="AA177" s="200"/>
      <c r="AB177" s="200"/>
      <c r="AC177" s="200"/>
      <c r="AD177" s="200"/>
      <c r="AI177" s="200"/>
      <c r="AJ177" s="200"/>
      <c r="AK177" s="209"/>
      <c r="AL177" s="200"/>
    </row>
    <row r="178" spans="1:40" x14ac:dyDescent="0.25">
      <c r="J178" s="202"/>
      <c r="K178" s="202"/>
    </row>
    <row r="179" spans="1:40" x14ac:dyDescent="0.25">
      <c r="L179" s="154"/>
      <c r="M179" s="154"/>
      <c r="Z179" s="202"/>
    </row>
    <row r="180" spans="1:40" x14ac:dyDescent="0.25">
      <c r="A180" s="202"/>
      <c r="R180" s="154"/>
      <c r="Y180" s="154"/>
    </row>
    <row r="181" spans="1:40" x14ac:dyDescent="0.25">
      <c r="A181" s="202"/>
      <c r="R181" s="154"/>
      <c r="Z181" s="202"/>
    </row>
    <row r="182" spans="1:40" x14ac:dyDescent="0.25">
      <c r="A182" s="154"/>
      <c r="R182" s="154"/>
      <c r="AK182" s="297"/>
      <c r="AL182" s="154"/>
    </row>
    <row r="183" spans="1:40" x14ac:dyDescent="0.25">
      <c r="L183" s="154"/>
      <c r="M183" s="154"/>
      <c r="R183" s="202"/>
      <c r="AA183" s="154"/>
      <c r="AB183" s="154"/>
      <c r="AK183" s="209"/>
      <c r="AL183" s="202"/>
    </row>
    <row r="184" spans="1:40" x14ac:dyDescent="0.25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208"/>
      <c r="AH184" s="102"/>
      <c r="AI184" s="102"/>
      <c r="AJ184" s="102"/>
      <c r="AK184" s="208"/>
      <c r="AL184" s="102"/>
      <c r="AM184" s="102"/>
      <c r="AN184" s="102"/>
    </row>
    <row r="185" spans="1:40" x14ac:dyDescent="0.25">
      <c r="L185" s="103"/>
      <c r="M185" s="103"/>
      <c r="N185" s="103"/>
      <c r="O185" s="103"/>
      <c r="R185" s="103"/>
      <c r="AA185" s="103"/>
      <c r="AB185" s="103"/>
      <c r="AC185" s="103"/>
      <c r="AD185" s="103"/>
      <c r="AE185" s="103"/>
      <c r="AF185" s="103"/>
      <c r="AG185" s="185"/>
      <c r="AH185" s="103"/>
      <c r="AK185" s="185"/>
      <c r="AL185" s="103"/>
      <c r="AM185" s="103"/>
      <c r="AN185" s="103"/>
    </row>
    <row r="186" spans="1:40" x14ac:dyDescent="0.25">
      <c r="L186" s="103"/>
      <c r="M186" s="103"/>
      <c r="N186" s="103"/>
      <c r="O186" s="103"/>
      <c r="R186" s="103"/>
      <c r="Z186" s="103"/>
      <c r="AA186" s="103"/>
      <c r="AB186" s="103"/>
      <c r="AC186" s="103"/>
      <c r="AD186" s="103"/>
      <c r="AE186" s="103"/>
      <c r="AF186" s="103"/>
      <c r="AG186" s="185"/>
      <c r="AH186" s="103"/>
      <c r="AK186" s="185"/>
      <c r="AL186" s="103"/>
      <c r="AM186" s="103"/>
      <c r="AN186" s="103"/>
    </row>
    <row r="187" spans="1:40" x14ac:dyDescent="0.25">
      <c r="A187" s="103"/>
      <c r="C187" s="103"/>
      <c r="D187" s="103"/>
      <c r="E187" s="103"/>
      <c r="F187" s="103"/>
      <c r="J187" s="103"/>
      <c r="K187" s="103"/>
      <c r="L187" s="103"/>
      <c r="M187" s="103"/>
      <c r="N187" s="103"/>
      <c r="O187" s="103"/>
      <c r="P187" s="103"/>
      <c r="Q187" s="103"/>
      <c r="R187" s="103"/>
      <c r="T187" s="103"/>
      <c r="U187" s="103"/>
      <c r="V187" s="103"/>
      <c r="Z187" s="103"/>
      <c r="AA187" s="103"/>
      <c r="AB187" s="103"/>
      <c r="AC187" s="103"/>
      <c r="AD187" s="103"/>
      <c r="AE187" s="103"/>
      <c r="AF187" s="103"/>
      <c r="AG187" s="185"/>
      <c r="AH187" s="103"/>
      <c r="AI187" s="103"/>
      <c r="AJ187" s="103"/>
      <c r="AK187" s="185"/>
      <c r="AL187" s="103"/>
      <c r="AM187" s="103"/>
      <c r="AN187" s="103"/>
    </row>
    <row r="188" spans="1:40" x14ac:dyDescent="0.25">
      <c r="A188" s="103"/>
      <c r="C188" s="103"/>
      <c r="D188" s="103"/>
      <c r="E188" s="103"/>
      <c r="F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T188" s="103"/>
      <c r="U188" s="103"/>
      <c r="V188" s="103"/>
      <c r="Y188" s="103"/>
      <c r="Z188" s="103"/>
      <c r="AA188" s="103"/>
      <c r="AB188" s="103"/>
      <c r="AC188" s="103"/>
      <c r="AD188" s="103"/>
      <c r="AE188" s="103"/>
      <c r="AF188" s="103"/>
      <c r="AG188" s="185"/>
      <c r="AH188" s="103"/>
      <c r="AI188" s="103"/>
      <c r="AJ188" s="103"/>
      <c r="AK188" s="185"/>
      <c r="AL188" s="103"/>
      <c r="AM188" s="103"/>
      <c r="AN188" s="103"/>
    </row>
    <row r="189" spans="1:40" x14ac:dyDescent="0.25">
      <c r="C189" s="103"/>
      <c r="D189" s="103"/>
      <c r="E189" s="103"/>
      <c r="F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T189" s="103"/>
      <c r="U189" s="103"/>
      <c r="V189" s="103"/>
      <c r="Y189" s="103"/>
      <c r="Z189" s="103"/>
      <c r="AA189" s="103"/>
      <c r="AB189" s="103"/>
      <c r="AC189" s="103"/>
      <c r="AD189" s="103"/>
      <c r="AE189" s="103"/>
      <c r="AF189" s="103"/>
      <c r="AG189" s="185"/>
      <c r="AH189" s="103"/>
      <c r="AI189" s="103"/>
      <c r="AJ189" s="103"/>
      <c r="AK189" s="185"/>
      <c r="AL189" s="103"/>
      <c r="AM189" s="103"/>
      <c r="AN189" s="103"/>
    </row>
    <row r="190" spans="1:40" x14ac:dyDescent="0.25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208"/>
      <c r="AH190" s="102"/>
      <c r="AI190" s="102"/>
      <c r="AJ190" s="102"/>
      <c r="AK190" s="208"/>
      <c r="AL190" s="102"/>
      <c r="AM190" s="102"/>
      <c r="AN190" s="102"/>
    </row>
    <row r="191" spans="1:40" x14ac:dyDescent="0.25"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Y191" s="103"/>
      <c r="Z191" s="103"/>
      <c r="AA191" s="103"/>
      <c r="AB191" s="103"/>
      <c r="AC191" s="103"/>
      <c r="AD191" s="103"/>
      <c r="AE191" s="103"/>
      <c r="AF191" s="103"/>
      <c r="AG191" s="185"/>
      <c r="AH191" s="103"/>
      <c r="AI191" s="103"/>
      <c r="AJ191" s="103"/>
      <c r="AK191" s="185"/>
      <c r="AL191" s="103"/>
      <c r="AM191" s="103"/>
      <c r="AN191" s="103"/>
    </row>
    <row r="192" spans="1:40" x14ac:dyDescent="0.25">
      <c r="A192" s="202"/>
      <c r="C192" s="154"/>
      <c r="D192" s="154"/>
      <c r="E192" s="154"/>
      <c r="T192" s="154"/>
      <c r="U192" s="154"/>
    </row>
    <row r="193" spans="1:40" x14ac:dyDescent="0.25">
      <c r="A193" s="202"/>
      <c r="D193" s="154"/>
      <c r="E193" s="154"/>
      <c r="U193" s="154"/>
    </row>
    <row r="195" spans="1:40" x14ac:dyDescent="0.25">
      <c r="A195" s="202"/>
      <c r="C195" s="154"/>
      <c r="F195" s="252"/>
      <c r="H195" s="252"/>
      <c r="I195" s="252"/>
      <c r="J195" s="300"/>
      <c r="K195" s="300"/>
      <c r="L195" s="200"/>
      <c r="M195" s="200"/>
      <c r="N195" s="210"/>
      <c r="O195" s="210"/>
      <c r="R195" s="200"/>
      <c r="T195" s="154"/>
      <c r="V195" s="200"/>
      <c r="Y195" s="252"/>
      <c r="Z195" s="300"/>
      <c r="AA195" s="200"/>
      <c r="AB195" s="200"/>
      <c r="AC195" s="210"/>
      <c r="AD195" s="210"/>
      <c r="AE195" s="200"/>
      <c r="AF195" s="200"/>
      <c r="AG195" s="325"/>
      <c r="AH195" s="326"/>
      <c r="AK195" s="209"/>
      <c r="AL195" s="200"/>
      <c r="AM195" s="327"/>
      <c r="AN195" s="327"/>
    </row>
    <row r="196" spans="1:40" x14ac:dyDescent="0.25">
      <c r="A196" s="202"/>
      <c r="C196" s="154"/>
      <c r="F196" s="252"/>
      <c r="H196" s="252"/>
      <c r="I196" s="252"/>
      <c r="J196" s="300"/>
      <c r="K196" s="300"/>
      <c r="L196" s="200"/>
      <c r="M196" s="200"/>
      <c r="N196" s="210"/>
      <c r="O196" s="210"/>
      <c r="P196" s="202"/>
      <c r="Q196" s="202"/>
      <c r="R196" s="200"/>
      <c r="T196" s="154"/>
      <c r="V196" s="200"/>
      <c r="Y196" s="252"/>
      <c r="Z196" s="300"/>
      <c r="AA196" s="200"/>
      <c r="AB196" s="200"/>
      <c r="AC196" s="210"/>
      <c r="AD196" s="210"/>
      <c r="AE196" s="200"/>
      <c r="AF196" s="200"/>
      <c r="AG196" s="209"/>
      <c r="AH196" s="201"/>
      <c r="AI196" s="202"/>
      <c r="AJ196" s="202"/>
      <c r="AK196" s="209"/>
      <c r="AL196" s="200"/>
      <c r="AM196" s="210"/>
      <c r="AN196" s="210"/>
    </row>
    <row r="197" spans="1:40" x14ac:dyDescent="0.25">
      <c r="F197" s="211"/>
      <c r="H197" s="200"/>
      <c r="I197" s="200"/>
      <c r="J197" s="305"/>
      <c r="K197" s="305"/>
      <c r="L197" s="211"/>
      <c r="M197" s="211"/>
      <c r="N197" s="211"/>
      <c r="O197" s="211"/>
      <c r="P197" s="211"/>
      <c r="Q197" s="211"/>
      <c r="R197" s="211"/>
      <c r="V197" s="211"/>
      <c r="Y197" s="200"/>
      <c r="Z197" s="305"/>
      <c r="AA197" s="211"/>
      <c r="AB197" s="211"/>
      <c r="AC197" s="211"/>
      <c r="AD197" s="211"/>
      <c r="AE197" s="211"/>
      <c r="AF197" s="211"/>
      <c r="AI197" s="211"/>
      <c r="AJ197" s="211"/>
      <c r="AK197" s="212"/>
      <c r="AL197" s="211"/>
      <c r="AM197" s="210"/>
      <c r="AN197" s="210"/>
    </row>
    <row r="198" spans="1:40" x14ac:dyDescent="0.25">
      <c r="A198" s="202"/>
      <c r="C198" s="154"/>
      <c r="F198" s="200"/>
      <c r="H198" s="200"/>
      <c r="I198" s="200"/>
      <c r="J198" s="305"/>
      <c r="K198" s="305"/>
      <c r="L198" s="200"/>
      <c r="M198" s="200"/>
      <c r="N198" s="210"/>
      <c r="O198" s="210"/>
      <c r="P198" s="200"/>
      <c r="Q198" s="200"/>
      <c r="R198" s="200"/>
      <c r="T198" s="154"/>
      <c r="V198" s="200"/>
      <c r="Y198" s="200"/>
      <c r="Z198" s="213"/>
      <c r="AA198" s="200"/>
      <c r="AB198" s="200"/>
      <c r="AC198" s="210"/>
      <c r="AD198" s="210"/>
      <c r="AE198" s="200"/>
      <c r="AF198" s="200"/>
      <c r="AG198" s="209"/>
      <c r="AH198" s="201"/>
      <c r="AI198" s="200"/>
      <c r="AJ198" s="200"/>
      <c r="AK198" s="209"/>
      <c r="AL198" s="200"/>
      <c r="AM198" s="210"/>
      <c r="AN198" s="210"/>
    </row>
    <row r="199" spans="1:40" x14ac:dyDescent="0.25">
      <c r="F199" s="211"/>
      <c r="H199" s="200"/>
      <c r="I199" s="200"/>
      <c r="J199" s="305"/>
      <c r="K199" s="305"/>
      <c r="L199" s="211"/>
      <c r="M199" s="211"/>
      <c r="N199" s="211"/>
      <c r="O199" s="211"/>
      <c r="P199" s="211"/>
      <c r="Q199" s="211"/>
      <c r="R199" s="211"/>
      <c r="V199" s="211"/>
      <c r="Y199" s="200"/>
      <c r="Z199" s="305"/>
      <c r="AA199" s="211"/>
      <c r="AB199" s="211"/>
      <c r="AC199" s="211"/>
      <c r="AD199" s="211"/>
      <c r="AE199" s="211"/>
      <c r="AF199" s="211"/>
      <c r="AI199" s="211"/>
      <c r="AJ199" s="211"/>
      <c r="AK199" s="212"/>
      <c r="AL199" s="211"/>
      <c r="AM199" s="210"/>
      <c r="AN199" s="210"/>
    </row>
    <row r="200" spans="1:40" x14ac:dyDescent="0.25">
      <c r="F200" s="200"/>
      <c r="H200" s="200"/>
      <c r="I200" s="200"/>
      <c r="J200" s="305"/>
      <c r="K200" s="305"/>
      <c r="L200" s="200"/>
      <c r="M200" s="200"/>
      <c r="N200" s="210"/>
      <c r="O200" s="210"/>
      <c r="P200" s="200"/>
      <c r="Q200" s="200"/>
      <c r="R200" s="200"/>
      <c r="V200" s="200"/>
      <c r="Y200" s="200"/>
      <c r="Z200" s="213"/>
      <c r="AA200" s="200"/>
      <c r="AB200" s="200"/>
      <c r="AC200" s="210"/>
      <c r="AD200" s="210"/>
      <c r="AE200" s="200"/>
      <c r="AF200" s="200"/>
      <c r="AG200" s="209"/>
      <c r="AH200" s="201"/>
      <c r="AI200" s="200"/>
      <c r="AJ200" s="200"/>
      <c r="AK200" s="209"/>
      <c r="AL200" s="200"/>
      <c r="AM200" s="210"/>
      <c r="AN200" s="210"/>
    </row>
    <row r="201" spans="1:40" x14ac:dyDescent="0.25">
      <c r="A201" s="202"/>
      <c r="C201" s="154"/>
      <c r="F201" s="252"/>
      <c r="H201" s="252"/>
      <c r="I201" s="252"/>
      <c r="J201" s="300"/>
      <c r="K201" s="300"/>
      <c r="L201" s="200"/>
      <c r="M201" s="200"/>
      <c r="N201" s="210"/>
      <c r="O201" s="210"/>
      <c r="P201" s="200"/>
      <c r="Q201" s="200"/>
      <c r="R201" s="200"/>
      <c r="T201" s="154"/>
      <c r="V201" s="252"/>
      <c r="Y201" s="200"/>
      <c r="Z201" s="300"/>
      <c r="AA201" s="200"/>
      <c r="AB201" s="200"/>
      <c r="AC201" s="210"/>
      <c r="AD201" s="210"/>
      <c r="AE201" s="200"/>
      <c r="AF201" s="200"/>
      <c r="AG201" s="325"/>
      <c r="AH201" s="326"/>
      <c r="AI201" s="200"/>
      <c r="AJ201" s="200"/>
      <c r="AK201" s="209"/>
      <c r="AL201" s="200"/>
      <c r="AM201" s="327"/>
      <c r="AN201" s="327"/>
    </row>
    <row r="202" spans="1:40" x14ac:dyDescent="0.25">
      <c r="A202" s="202"/>
      <c r="C202" s="154"/>
      <c r="F202" s="252"/>
      <c r="H202" s="252"/>
      <c r="I202" s="252"/>
      <c r="J202" s="300"/>
      <c r="K202" s="300"/>
      <c r="L202" s="200"/>
      <c r="M202" s="200"/>
      <c r="N202" s="210"/>
      <c r="O202" s="210"/>
      <c r="P202" s="200"/>
      <c r="Q202" s="200"/>
      <c r="R202" s="200"/>
      <c r="T202" s="154"/>
      <c r="V202" s="252"/>
      <c r="Y202" s="200"/>
      <c r="Z202" s="300"/>
      <c r="AA202" s="200"/>
      <c r="AB202" s="200"/>
      <c r="AC202" s="210"/>
      <c r="AD202" s="210"/>
      <c r="AE202" s="200"/>
      <c r="AF202" s="200"/>
      <c r="AG202" s="209"/>
      <c r="AH202" s="201"/>
      <c r="AI202" s="200"/>
      <c r="AJ202" s="200"/>
      <c r="AK202" s="209"/>
      <c r="AL202" s="200"/>
      <c r="AM202" s="210"/>
      <c r="AN202" s="210"/>
    </row>
    <row r="203" spans="1:40" x14ac:dyDescent="0.25">
      <c r="F203" s="200"/>
      <c r="H203" s="211"/>
      <c r="I203" s="211"/>
      <c r="J203" s="305"/>
      <c r="K203" s="305"/>
      <c r="L203" s="211"/>
      <c r="M203" s="211"/>
      <c r="N203" s="211"/>
      <c r="O203" s="211"/>
      <c r="P203" s="211"/>
      <c r="Q203" s="211"/>
      <c r="R203" s="211"/>
      <c r="V203" s="200"/>
      <c r="Y203" s="211"/>
      <c r="Z203" s="305"/>
      <c r="AA203" s="211"/>
      <c r="AB203" s="211"/>
      <c r="AC203" s="211"/>
      <c r="AD203" s="211"/>
      <c r="AE203" s="211"/>
      <c r="AF203" s="211"/>
      <c r="AI203" s="211"/>
      <c r="AJ203" s="211"/>
      <c r="AK203" s="212"/>
      <c r="AL203" s="211"/>
      <c r="AM203" s="210"/>
      <c r="AN203" s="210"/>
    </row>
    <row r="204" spans="1:40" x14ac:dyDescent="0.25">
      <c r="A204" s="202"/>
      <c r="C204" s="154"/>
      <c r="F204" s="200"/>
      <c r="H204" s="200"/>
      <c r="I204" s="200"/>
      <c r="J204" s="305"/>
      <c r="K204" s="305"/>
      <c r="L204" s="200"/>
      <c r="M204" s="200"/>
      <c r="N204" s="210"/>
      <c r="O204" s="210"/>
      <c r="P204" s="200"/>
      <c r="Q204" s="200"/>
      <c r="R204" s="200"/>
      <c r="T204" s="154"/>
      <c r="V204" s="200"/>
      <c r="Y204" s="200"/>
      <c r="Z204" s="305"/>
      <c r="AA204" s="200"/>
      <c r="AB204" s="200"/>
      <c r="AC204" s="210"/>
      <c r="AD204" s="210"/>
      <c r="AE204" s="200"/>
      <c r="AF204" s="200"/>
      <c r="AG204" s="209"/>
      <c r="AH204" s="201"/>
      <c r="AI204" s="200"/>
      <c r="AJ204" s="200"/>
      <c r="AK204" s="209"/>
      <c r="AL204" s="200"/>
      <c r="AM204" s="210"/>
      <c r="AN204" s="210"/>
    </row>
    <row r="205" spans="1:40" x14ac:dyDescent="0.25">
      <c r="F205" s="200"/>
      <c r="H205" s="211"/>
      <c r="I205" s="211"/>
      <c r="J205" s="305"/>
      <c r="K205" s="305"/>
      <c r="L205" s="211"/>
      <c r="M205" s="211"/>
      <c r="N205" s="211"/>
      <c r="O205" s="211"/>
      <c r="P205" s="211"/>
      <c r="Q205" s="211"/>
      <c r="R205" s="211"/>
      <c r="V205" s="200"/>
      <c r="Y205" s="211"/>
      <c r="Z205" s="305"/>
      <c r="AA205" s="211"/>
      <c r="AB205" s="211"/>
      <c r="AC205" s="211"/>
      <c r="AD205" s="211"/>
      <c r="AE205" s="211"/>
      <c r="AF205" s="211"/>
      <c r="AI205" s="211"/>
      <c r="AJ205" s="211"/>
      <c r="AK205" s="212"/>
      <c r="AL205" s="211"/>
      <c r="AM205" s="210"/>
      <c r="AN205" s="210"/>
    </row>
    <row r="206" spans="1:40" x14ac:dyDescent="0.25">
      <c r="F206" s="200"/>
      <c r="H206" s="200"/>
      <c r="I206" s="200"/>
      <c r="J206" s="305"/>
      <c r="K206" s="305"/>
      <c r="L206" s="200"/>
      <c r="M206" s="200"/>
      <c r="N206" s="200"/>
      <c r="O206" s="200"/>
      <c r="P206" s="200"/>
      <c r="Q206" s="200"/>
      <c r="R206" s="200"/>
      <c r="V206" s="200"/>
      <c r="Y206" s="200"/>
      <c r="Z206" s="305"/>
      <c r="AA206" s="200"/>
      <c r="AB206" s="200"/>
      <c r="AC206" s="200"/>
      <c r="AD206" s="200"/>
      <c r="AE206" s="200"/>
      <c r="AF206" s="200"/>
      <c r="AG206" s="209"/>
      <c r="AH206" s="201"/>
      <c r="AI206" s="200"/>
      <c r="AJ206" s="200"/>
      <c r="AK206" s="209"/>
      <c r="AL206" s="200"/>
      <c r="AM206" s="210"/>
      <c r="AN206" s="210"/>
    </row>
    <row r="207" spans="1:40" x14ac:dyDescent="0.25">
      <c r="A207" s="202"/>
      <c r="C207" s="154"/>
      <c r="F207" s="252"/>
      <c r="H207" s="252"/>
      <c r="I207" s="252"/>
      <c r="J207" s="320"/>
      <c r="K207" s="320"/>
      <c r="L207" s="200"/>
      <c r="M207" s="200"/>
      <c r="N207" s="210"/>
      <c r="O207" s="210"/>
      <c r="P207" s="252"/>
      <c r="Q207" s="252"/>
      <c r="R207" s="200"/>
      <c r="T207" s="154"/>
      <c r="V207" s="252"/>
      <c r="Y207" s="252"/>
      <c r="Z207" s="328"/>
      <c r="AA207" s="200"/>
      <c r="AB207" s="200"/>
      <c r="AC207" s="210"/>
      <c r="AD207" s="210"/>
      <c r="AE207" s="200"/>
      <c r="AF207" s="200"/>
      <c r="AG207" s="209"/>
      <c r="AH207" s="201"/>
      <c r="AI207" s="252"/>
      <c r="AJ207" s="252"/>
      <c r="AK207" s="209"/>
      <c r="AL207" s="200"/>
      <c r="AM207" s="210"/>
      <c r="AN207" s="210"/>
    </row>
    <row r="208" spans="1:40" x14ac:dyDescent="0.25">
      <c r="A208" s="202"/>
      <c r="C208" s="154"/>
      <c r="F208" s="252"/>
      <c r="H208" s="252"/>
      <c r="I208" s="252"/>
      <c r="J208" s="320"/>
      <c r="K208" s="320"/>
      <c r="L208" s="200"/>
      <c r="M208" s="200"/>
      <c r="N208" s="210"/>
      <c r="O208" s="210"/>
      <c r="P208" s="252"/>
      <c r="Q208" s="252"/>
      <c r="R208" s="200"/>
      <c r="T208" s="154"/>
      <c r="V208" s="252"/>
      <c r="Y208" s="200"/>
      <c r="Z208" s="304"/>
      <c r="AA208" s="200"/>
      <c r="AB208" s="200"/>
      <c r="AC208" s="210"/>
      <c r="AD208" s="210"/>
      <c r="AE208" s="200"/>
      <c r="AF208" s="200"/>
      <c r="AG208" s="209"/>
      <c r="AH208" s="201"/>
      <c r="AI208" s="252"/>
      <c r="AJ208" s="252"/>
      <c r="AK208" s="209"/>
      <c r="AL208" s="200"/>
      <c r="AM208" s="210"/>
      <c r="AN208" s="210"/>
    </row>
    <row r="209" spans="1:40" x14ac:dyDescent="0.25">
      <c r="A209" s="202"/>
      <c r="C209" s="154"/>
      <c r="F209" s="252"/>
      <c r="H209" s="252"/>
      <c r="I209" s="252"/>
      <c r="J209" s="320"/>
      <c r="K209" s="320"/>
      <c r="L209" s="200"/>
      <c r="M209" s="200"/>
      <c r="N209" s="210"/>
      <c r="O209" s="210"/>
      <c r="P209" s="252"/>
      <c r="Q209" s="252"/>
      <c r="R209" s="200"/>
      <c r="T209" s="154"/>
      <c r="V209" s="252"/>
      <c r="Y209" s="200"/>
      <c r="Z209" s="304"/>
      <c r="AA209" s="200"/>
      <c r="AB209" s="200"/>
      <c r="AC209" s="210"/>
      <c r="AD209" s="210"/>
      <c r="AE209" s="200"/>
      <c r="AF209" s="200"/>
      <c r="AG209" s="209"/>
      <c r="AH209" s="201"/>
      <c r="AI209" s="252"/>
      <c r="AJ209" s="252"/>
      <c r="AK209" s="209"/>
      <c r="AL209" s="200"/>
      <c r="AM209" s="210"/>
      <c r="AN209" s="210"/>
    </row>
    <row r="210" spans="1:40" x14ac:dyDescent="0.25">
      <c r="F210" s="211"/>
      <c r="H210" s="211"/>
      <c r="I210" s="211"/>
      <c r="J210" s="305"/>
      <c r="K210" s="305"/>
      <c r="L210" s="211"/>
      <c r="M210" s="211"/>
      <c r="N210" s="211"/>
      <c r="O210" s="211"/>
      <c r="P210" s="211"/>
      <c r="Q210" s="211"/>
      <c r="R210" s="211"/>
      <c r="V210" s="211"/>
      <c r="Y210" s="211"/>
      <c r="Z210" s="305"/>
      <c r="AA210" s="211"/>
      <c r="AB210" s="211"/>
      <c r="AC210" s="211"/>
      <c r="AD210" s="211"/>
      <c r="AE210" s="211"/>
      <c r="AF210" s="211"/>
      <c r="AI210" s="211"/>
      <c r="AJ210" s="211"/>
      <c r="AK210" s="212"/>
      <c r="AL210" s="211"/>
      <c r="AM210" s="210"/>
      <c r="AN210" s="210"/>
    </row>
    <row r="211" spans="1:40" x14ac:dyDescent="0.25">
      <c r="A211" s="202"/>
      <c r="C211" s="154"/>
      <c r="F211" s="200"/>
      <c r="H211" s="200"/>
      <c r="I211" s="200"/>
      <c r="J211" s="213"/>
      <c r="K211" s="213"/>
      <c r="L211" s="200"/>
      <c r="M211" s="200"/>
      <c r="N211" s="210"/>
      <c r="O211" s="210"/>
      <c r="P211" s="200"/>
      <c r="Q211" s="200"/>
      <c r="R211" s="200"/>
      <c r="T211" s="154"/>
      <c r="V211" s="200"/>
      <c r="Y211" s="200"/>
      <c r="Z211" s="213"/>
      <c r="AA211" s="200"/>
      <c r="AB211" s="200"/>
      <c r="AC211" s="210"/>
      <c r="AD211" s="210"/>
      <c r="AE211" s="200"/>
      <c r="AF211" s="200"/>
      <c r="AG211" s="209"/>
      <c r="AH211" s="201"/>
      <c r="AI211" s="200"/>
      <c r="AJ211" s="200"/>
      <c r="AK211" s="209"/>
      <c r="AL211" s="200"/>
      <c r="AM211" s="210"/>
      <c r="AN211" s="210"/>
    </row>
    <row r="212" spans="1:40" x14ac:dyDescent="0.25">
      <c r="F212" s="211"/>
      <c r="H212" s="211"/>
      <c r="I212" s="211"/>
      <c r="J212" s="305"/>
      <c r="K212" s="305"/>
      <c r="L212" s="211"/>
      <c r="M212" s="211"/>
      <c r="N212" s="211"/>
      <c r="O212" s="211"/>
      <c r="P212" s="211"/>
      <c r="Q212" s="211"/>
      <c r="R212" s="211"/>
      <c r="V212" s="211"/>
      <c r="Y212" s="211"/>
      <c r="Z212" s="305"/>
      <c r="AA212" s="211"/>
      <c r="AB212" s="211"/>
      <c r="AC212" s="211"/>
      <c r="AD212" s="211"/>
      <c r="AE212" s="211"/>
      <c r="AF212" s="211"/>
      <c r="AI212" s="211"/>
      <c r="AJ212" s="211"/>
      <c r="AK212" s="212"/>
      <c r="AL212" s="211"/>
      <c r="AM212" s="210"/>
      <c r="AN212" s="210"/>
    </row>
    <row r="213" spans="1:40" x14ac:dyDescent="0.25">
      <c r="A213" s="202"/>
      <c r="C213" s="154"/>
      <c r="F213" s="200"/>
      <c r="H213" s="200"/>
      <c r="I213" s="200"/>
      <c r="J213" s="213"/>
      <c r="K213" s="213"/>
      <c r="L213" s="200"/>
      <c r="M213" s="200"/>
      <c r="N213" s="210"/>
      <c r="O213" s="210"/>
      <c r="P213" s="200"/>
      <c r="Q213" s="200"/>
      <c r="R213" s="200"/>
      <c r="T213" s="154"/>
      <c r="V213" s="200"/>
      <c r="Y213" s="200"/>
      <c r="Z213" s="213"/>
      <c r="AA213" s="200"/>
      <c r="AB213" s="200"/>
      <c r="AC213" s="210"/>
      <c r="AD213" s="210"/>
      <c r="AE213" s="200"/>
      <c r="AF213" s="200"/>
      <c r="AG213" s="209"/>
      <c r="AH213" s="201"/>
      <c r="AI213" s="200"/>
      <c r="AJ213" s="200"/>
      <c r="AK213" s="209"/>
      <c r="AL213" s="200"/>
      <c r="AM213" s="210"/>
      <c r="AN213" s="210"/>
    </row>
    <row r="214" spans="1:40" x14ac:dyDescent="0.25">
      <c r="A214" s="202"/>
      <c r="C214" s="154"/>
      <c r="F214" s="200"/>
      <c r="H214" s="200"/>
      <c r="I214" s="200"/>
      <c r="J214" s="213"/>
      <c r="K214" s="213"/>
      <c r="L214" s="200"/>
      <c r="M214" s="200"/>
      <c r="N214" s="210"/>
      <c r="O214" s="210"/>
      <c r="P214" s="200"/>
      <c r="Q214" s="200"/>
      <c r="R214" s="200"/>
      <c r="T214" s="154"/>
      <c r="V214" s="200"/>
      <c r="Y214" s="200"/>
      <c r="Z214" s="213"/>
      <c r="AA214" s="200"/>
      <c r="AB214" s="200"/>
      <c r="AC214" s="210"/>
      <c r="AD214" s="210"/>
      <c r="AE214" s="200"/>
      <c r="AF214" s="200"/>
      <c r="AG214" s="209"/>
      <c r="AH214" s="201"/>
      <c r="AI214" s="200"/>
      <c r="AJ214" s="200"/>
      <c r="AK214" s="209"/>
      <c r="AL214" s="200"/>
      <c r="AM214" s="210"/>
      <c r="AN214" s="210"/>
    </row>
    <row r="215" spans="1:40" x14ac:dyDescent="0.25">
      <c r="F215" s="211"/>
      <c r="H215" s="211"/>
      <c r="I215" s="211"/>
      <c r="J215" s="305"/>
      <c r="K215" s="305"/>
      <c r="L215" s="211"/>
      <c r="M215" s="211"/>
      <c r="N215" s="211"/>
      <c r="O215" s="211"/>
      <c r="P215" s="211"/>
      <c r="Q215" s="211"/>
      <c r="R215" s="211"/>
      <c r="V215" s="211"/>
      <c r="Y215" s="211"/>
      <c r="Z215" s="305"/>
      <c r="AA215" s="211"/>
      <c r="AB215" s="211"/>
      <c r="AC215" s="211"/>
      <c r="AD215" s="211"/>
      <c r="AE215" s="211"/>
      <c r="AF215" s="211"/>
      <c r="AI215" s="211"/>
      <c r="AJ215" s="211"/>
      <c r="AK215" s="212"/>
      <c r="AL215" s="211"/>
      <c r="AM215" s="200"/>
      <c r="AN215" s="200"/>
    </row>
    <row r="216" spans="1:40" x14ac:dyDescent="0.25">
      <c r="F216" s="200"/>
      <c r="H216" s="200"/>
      <c r="I216" s="200"/>
      <c r="J216" s="213"/>
      <c r="K216" s="213"/>
      <c r="L216" s="200"/>
      <c r="M216" s="200"/>
      <c r="N216" s="200"/>
      <c r="O216" s="200"/>
      <c r="P216" s="200"/>
      <c r="Q216" s="200"/>
      <c r="R216" s="200"/>
      <c r="V216" s="200"/>
      <c r="Y216" s="200"/>
      <c r="Z216" s="213"/>
      <c r="AA216" s="200"/>
      <c r="AB216" s="200"/>
      <c r="AC216" s="200"/>
      <c r="AD216" s="200"/>
    </row>
    <row r="217" spans="1:40" x14ac:dyDescent="0.25">
      <c r="C217" s="154"/>
      <c r="F217" s="200"/>
      <c r="H217" s="200"/>
      <c r="I217" s="200"/>
      <c r="J217" s="213"/>
      <c r="K217" s="213"/>
      <c r="L217" s="200"/>
      <c r="M217" s="200"/>
      <c r="N217" s="200"/>
      <c r="O217" s="200"/>
      <c r="P217" s="200"/>
      <c r="Q217" s="200"/>
      <c r="R217" s="200"/>
      <c r="T217" s="154"/>
      <c r="V217" s="200"/>
      <c r="Y217" s="200"/>
      <c r="Z217" s="213"/>
      <c r="AA217" s="200"/>
      <c r="AB217" s="200"/>
      <c r="AC217" s="200"/>
      <c r="AD217" s="200"/>
    </row>
    <row r="218" spans="1:40" x14ac:dyDescent="0.25">
      <c r="A218" s="154"/>
    </row>
    <row r="219" spans="1:40" x14ac:dyDescent="0.25">
      <c r="J219" s="202"/>
      <c r="K219" s="202"/>
      <c r="Z219" s="202"/>
    </row>
    <row r="220" spans="1:40" x14ac:dyDescent="0.25">
      <c r="H220" s="154"/>
      <c r="I220" s="154"/>
      <c r="Y220" s="154"/>
    </row>
    <row r="221" spans="1:40" x14ac:dyDescent="0.25">
      <c r="J221" s="202"/>
      <c r="K221" s="202"/>
      <c r="Z221" s="202"/>
    </row>
    <row r="222" spans="1:40" x14ac:dyDescent="0.25">
      <c r="L222" s="154"/>
      <c r="M222" s="154"/>
      <c r="AA222" s="154"/>
      <c r="AB222" s="154"/>
    </row>
    <row r="223" spans="1:40" x14ac:dyDescent="0.25">
      <c r="A223" s="202"/>
      <c r="R223" s="154"/>
      <c r="AK223" s="297"/>
      <c r="AL223" s="154"/>
    </row>
    <row r="224" spans="1:40" x14ac:dyDescent="0.25">
      <c r="A224" s="202"/>
      <c r="R224" s="154"/>
      <c r="AK224" s="297"/>
      <c r="AL224" s="154"/>
    </row>
    <row r="225" spans="1:40" x14ac:dyDescent="0.25">
      <c r="A225" s="154"/>
      <c r="R225" s="154"/>
      <c r="AK225" s="297"/>
      <c r="AL225" s="154"/>
    </row>
    <row r="226" spans="1:40" x14ac:dyDescent="0.25">
      <c r="L226" s="154"/>
      <c r="M226" s="154"/>
      <c r="R226" s="202"/>
      <c r="AA226" s="154"/>
      <c r="AB226" s="154"/>
      <c r="AK226" s="209"/>
      <c r="AL226" s="202"/>
    </row>
    <row r="227" spans="1:40" x14ac:dyDescent="0.25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208"/>
      <c r="AH227" s="102"/>
      <c r="AI227" s="102"/>
      <c r="AJ227" s="102"/>
      <c r="AK227" s="208"/>
      <c r="AL227" s="102"/>
      <c r="AM227" s="102"/>
      <c r="AN227" s="102"/>
    </row>
    <row r="228" spans="1:40" x14ac:dyDescent="0.25">
      <c r="L228" s="103"/>
      <c r="M228" s="103"/>
      <c r="N228" s="103"/>
      <c r="O228" s="103"/>
      <c r="R228" s="103"/>
      <c r="AA228" s="103"/>
      <c r="AB228" s="103"/>
      <c r="AC228" s="103"/>
      <c r="AD228" s="103"/>
      <c r="AE228" s="103"/>
      <c r="AF228" s="103"/>
      <c r="AG228" s="185"/>
      <c r="AH228" s="103"/>
      <c r="AK228" s="185"/>
      <c r="AL228" s="103"/>
      <c r="AM228" s="103"/>
      <c r="AN228" s="103"/>
    </row>
    <row r="229" spans="1:40" x14ac:dyDescent="0.25">
      <c r="L229" s="103"/>
      <c r="M229" s="103"/>
      <c r="N229" s="103"/>
      <c r="O229" s="103"/>
      <c r="R229" s="103"/>
      <c r="Z229" s="103"/>
      <c r="AA229" s="103"/>
      <c r="AB229" s="103"/>
      <c r="AC229" s="103"/>
      <c r="AD229" s="103"/>
      <c r="AE229" s="103"/>
      <c r="AF229" s="103"/>
      <c r="AG229" s="185"/>
      <c r="AH229" s="103"/>
      <c r="AK229" s="185"/>
      <c r="AL229" s="103"/>
      <c r="AM229" s="103"/>
      <c r="AN229" s="103"/>
    </row>
    <row r="230" spans="1:40" x14ac:dyDescent="0.25">
      <c r="A230" s="103"/>
      <c r="C230" s="103"/>
      <c r="D230" s="103"/>
      <c r="E230" s="103"/>
      <c r="F230" s="103"/>
      <c r="J230" s="103"/>
      <c r="K230" s="103"/>
      <c r="L230" s="103"/>
      <c r="M230" s="103"/>
      <c r="N230" s="103"/>
      <c r="O230" s="103"/>
      <c r="P230" s="103"/>
      <c r="Q230" s="103"/>
      <c r="R230" s="103"/>
      <c r="T230" s="103"/>
      <c r="U230" s="103"/>
      <c r="V230" s="103"/>
      <c r="Z230" s="103"/>
      <c r="AA230" s="103"/>
      <c r="AB230" s="103"/>
      <c r="AC230" s="103"/>
      <c r="AD230" s="103"/>
      <c r="AE230" s="103"/>
      <c r="AF230" s="103"/>
      <c r="AG230" s="185"/>
      <c r="AH230" s="103"/>
      <c r="AI230" s="103"/>
      <c r="AJ230" s="103"/>
      <c r="AK230" s="185"/>
      <c r="AL230" s="103"/>
      <c r="AM230" s="103"/>
      <c r="AN230" s="103"/>
    </row>
    <row r="231" spans="1:40" x14ac:dyDescent="0.25">
      <c r="A231" s="103"/>
      <c r="C231" s="103"/>
      <c r="D231" s="103"/>
      <c r="E231" s="103"/>
      <c r="F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T231" s="103"/>
      <c r="U231" s="103"/>
      <c r="V231" s="103"/>
      <c r="Y231" s="103"/>
      <c r="Z231" s="103"/>
      <c r="AA231" s="103"/>
      <c r="AB231" s="103"/>
      <c r="AC231" s="103"/>
      <c r="AD231" s="103"/>
      <c r="AE231" s="103"/>
      <c r="AF231" s="103"/>
      <c r="AG231" s="185"/>
      <c r="AH231" s="103"/>
      <c r="AI231" s="103"/>
      <c r="AJ231" s="103"/>
      <c r="AK231" s="185"/>
      <c r="AL231" s="103"/>
      <c r="AM231" s="103"/>
      <c r="AN231" s="103"/>
    </row>
    <row r="232" spans="1:40" x14ac:dyDescent="0.25">
      <c r="C232" s="103"/>
      <c r="D232" s="103"/>
      <c r="E232" s="103"/>
      <c r="F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T232" s="103"/>
      <c r="U232" s="103"/>
      <c r="V232" s="103"/>
      <c r="Y232" s="103"/>
      <c r="Z232" s="103"/>
      <c r="AA232" s="103"/>
      <c r="AB232" s="103"/>
      <c r="AC232" s="103"/>
      <c r="AD232" s="103"/>
      <c r="AE232" s="103"/>
      <c r="AF232" s="103"/>
      <c r="AG232" s="185"/>
      <c r="AH232" s="103"/>
      <c r="AI232" s="103"/>
      <c r="AJ232" s="103"/>
      <c r="AK232" s="185"/>
      <c r="AL232" s="103"/>
      <c r="AM232" s="103"/>
      <c r="AN232" s="103"/>
    </row>
    <row r="233" spans="1:40" x14ac:dyDescent="0.25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208"/>
      <c r="AH233" s="102"/>
      <c r="AI233" s="102"/>
      <c r="AJ233" s="102"/>
      <c r="AK233" s="208"/>
      <c r="AL233" s="102"/>
      <c r="AM233" s="102"/>
      <c r="AN233" s="102"/>
    </row>
    <row r="234" spans="1:40" x14ac:dyDescent="0.25"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Y234" s="103"/>
      <c r="Z234" s="103"/>
      <c r="AA234" s="103"/>
      <c r="AB234" s="103"/>
      <c r="AC234" s="103"/>
      <c r="AD234" s="103"/>
      <c r="AE234" s="103"/>
      <c r="AF234" s="103"/>
      <c r="AG234" s="185"/>
      <c r="AH234" s="103"/>
      <c r="AI234" s="103"/>
      <c r="AJ234" s="103"/>
      <c r="AK234" s="185"/>
      <c r="AL234" s="103"/>
      <c r="AM234" s="103"/>
      <c r="AN234" s="103"/>
    </row>
    <row r="235" spans="1:40" x14ac:dyDescent="0.25">
      <c r="A235" s="202"/>
      <c r="C235" s="154"/>
      <c r="D235" s="154"/>
      <c r="E235" s="154"/>
      <c r="T235" s="154"/>
      <c r="U235" s="154"/>
    </row>
    <row r="237" spans="1:40" x14ac:dyDescent="0.25">
      <c r="A237" s="202"/>
      <c r="C237" s="154"/>
      <c r="F237" s="252"/>
      <c r="H237" s="317"/>
      <c r="I237" s="317"/>
      <c r="J237" s="300"/>
      <c r="K237" s="300"/>
      <c r="L237" s="200"/>
      <c r="M237" s="200"/>
      <c r="N237" s="202"/>
      <c r="O237" s="202"/>
      <c r="P237" s="202"/>
      <c r="Q237" s="202"/>
      <c r="R237" s="200"/>
      <c r="T237" s="154"/>
      <c r="V237" s="200"/>
      <c r="Y237" s="202"/>
      <c r="Z237" s="300"/>
      <c r="AA237" s="200"/>
      <c r="AB237" s="200"/>
      <c r="AC237" s="202"/>
      <c r="AD237" s="202"/>
      <c r="AE237" s="200"/>
      <c r="AF237" s="200"/>
      <c r="AG237" s="325"/>
      <c r="AH237" s="326"/>
      <c r="AI237" s="200"/>
      <c r="AJ237" s="200"/>
      <c r="AK237" s="209"/>
      <c r="AL237" s="200"/>
      <c r="AM237" s="327"/>
      <c r="AN237" s="327"/>
    </row>
    <row r="238" spans="1:40" x14ac:dyDescent="0.25">
      <c r="F238" s="252"/>
      <c r="H238" s="317"/>
      <c r="I238" s="317"/>
      <c r="J238" s="317"/>
      <c r="K238" s="317"/>
      <c r="R238" s="200"/>
      <c r="V238" s="200"/>
      <c r="Z238" s="317"/>
    </row>
    <row r="239" spans="1:40" x14ac:dyDescent="0.25">
      <c r="A239" s="202"/>
      <c r="C239" s="154"/>
      <c r="F239" s="252"/>
      <c r="H239" s="252"/>
      <c r="I239" s="252"/>
      <c r="J239" s="320"/>
      <c r="K239" s="320"/>
      <c r="L239" s="200"/>
      <c r="M239" s="200"/>
      <c r="N239" s="210"/>
      <c r="O239" s="210"/>
      <c r="P239" s="252"/>
      <c r="Q239" s="252"/>
      <c r="R239" s="200"/>
      <c r="T239" s="154"/>
      <c r="V239" s="200"/>
      <c r="Y239" s="200"/>
      <c r="Z239" s="304"/>
      <c r="AA239" s="200"/>
      <c r="AB239" s="200"/>
      <c r="AC239" s="210"/>
      <c r="AD239" s="210"/>
      <c r="AE239" s="200"/>
      <c r="AF239" s="200"/>
      <c r="AG239" s="209"/>
      <c r="AH239" s="201"/>
      <c r="AI239" s="252"/>
      <c r="AJ239" s="252"/>
      <c r="AK239" s="209"/>
      <c r="AL239" s="200"/>
      <c r="AM239" s="210"/>
      <c r="AN239" s="210"/>
    </row>
    <row r="240" spans="1:40" x14ac:dyDescent="0.25">
      <c r="F240" s="211"/>
      <c r="H240" s="211"/>
      <c r="I240" s="211"/>
      <c r="J240" s="305"/>
      <c r="K240" s="305"/>
      <c r="L240" s="211"/>
      <c r="M240" s="211"/>
      <c r="N240" s="211"/>
      <c r="O240" s="211"/>
      <c r="P240" s="211"/>
      <c r="Q240" s="211"/>
      <c r="R240" s="211"/>
      <c r="V240" s="211"/>
      <c r="Y240" s="211"/>
      <c r="Z240" s="305"/>
      <c r="AA240" s="211"/>
      <c r="AB240" s="211"/>
      <c r="AC240" s="211"/>
      <c r="AD240" s="211"/>
      <c r="AE240" s="211"/>
      <c r="AF240" s="211"/>
      <c r="AI240" s="211"/>
      <c r="AJ240" s="211"/>
      <c r="AK240" s="212"/>
      <c r="AL240" s="211"/>
    </row>
    <row r="241" spans="1:40" x14ac:dyDescent="0.25">
      <c r="A241" s="202"/>
      <c r="D241" s="154"/>
      <c r="E241" s="154"/>
      <c r="F241" s="200"/>
      <c r="H241" s="200"/>
      <c r="I241" s="200"/>
      <c r="J241" s="213"/>
      <c r="K241" s="213"/>
      <c r="L241" s="200"/>
      <c r="M241" s="200"/>
      <c r="N241" s="210"/>
      <c r="O241" s="210"/>
      <c r="P241" s="200"/>
      <c r="Q241" s="200"/>
      <c r="R241" s="200"/>
      <c r="U241" s="154"/>
      <c r="V241" s="200"/>
      <c r="Y241" s="200"/>
      <c r="Z241" s="213"/>
      <c r="AA241" s="200"/>
      <c r="AB241" s="200"/>
      <c r="AC241" s="210"/>
      <c r="AD241" s="210"/>
      <c r="AE241" s="200"/>
      <c r="AF241" s="200"/>
      <c r="AG241" s="209"/>
      <c r="AH241" s="201"/>
      <c r="AI241" s="200"/>
      <c r="AJ241" s="200"/>
      <c r="AK241" s="209"/>
      <c r="AL241" s="200"/>
      <c r="AM241" s="210"/>
      <c r="AN241" s="210"/>
    </row>
    <row r="242" spans="1:40" x14ac:dyDescent="0.25">
      <c r="F242" s="211"/>
      <c r="H242" s="211"/>
      <c r="I242" s="211"/>
      <c r="J242" s="305"/>
      <c r="K242" s="305"/>
      <c r="L242" s="211"/>
      <c r="M242" s="211"/>
      <c r="N242" s="211"/>
      <c r="O242" s="211"/>
      <c r="P242" s="211"/>
      <c r="Q242" s="211"/>
      <c r="R242" s="211"/>
      <c r="V242" s="211"/>
      <c r="Y242" s="211"/>
      <c r="Z242" s="305"/>
      <c r="AA242" s="211"/>
      <c r="AB242" s="211"/>
      <c r="AC242" s="211"/>
      <c r="AD242" s="211"/>
      <c r="AE242" s="211"/>
      <c r="AF242" s="211"/>
      <c r="AI242" s="211"/>
      <c r="AJ242" s="211"/>
      <c r="AK242" s="212"/>
      <c r="AL242" s="211"/>
    </row>
    <row r="243" spans="1:40" x14ac:dyDescent="0.25">
      <c r="R243" s="200"/>
    </row>
    <row r="244" spans="1:40" x14ac:dyDescent="0.25">
      <c r="R244" s="200"/>
    </row>
    <row r="245" spans="1:40" x14ac:dyDescent="0.25">
      <c r="R245" s="200"/>
    </row>
    <row r="246" spans="1:40" x14ac:dyDescent="0.25">
      <c r="A246" s="202"/>
      <c r="C246" s="154"/>
      <c r="D246" s="154"/>
      <c r="E246" s="154"/>
      <c r="H246" s="200"/>
      <c r="I246" s="200"/>
      <c r="J246" s="213"/>
      <c r="K246" s="213"/>
      <c r="L246" s="200"/>
      <c r="M246" s="200"/>
      <c r="N246" s="210"/>
      <c r="O246" s="210"/>
      <c r="P246" s="200"/>
      <c r="Q246" s="200"/>
      <c r="R246" s="200"/>
      <c r="T246" s="154"/>
      <c r="U246" s="154"/>
      <c r="Y246" s="200"/>
      <c r="Z246" s="213"/>
      <c r="AA246" s="200"/>
      <c r="AB246" s="200"/>
      <c r="AC246" s="210"/>
      <c r="AD246" s="210"/>
    </row>
    <row r="247" spans="1:40" x14ac:dyDescent="0.25">
      <c r="H247" s="200"/>
      <c r="I247" s="200"/>
      <c r="J247" s="213"/>
      <c r="K247" s="213"/>
      <c r="L247" s="200"/>
      <c r="M247" s="200"/>
      <c r="N247" s="210"/>
      <c r="O247" s="210"/>
      <c r="P247" s="200"/>
      <c r="Q247" s="200"/>
      <c r="R247" s="200"/>
      <c r="Y247" s="200"/>
      <c r="Z247" s="213"/>
      <c r="AA247" s="200"/>
      <c r="AB247" s="200"/>
      <c r="AC247" s="210"/>
      <c r="AD247" s="210"/>
    </row>
    <row r="248" spans="1:40" x14ac:dyDescent="0.25">
      <c r="A248" s="202"/>
      <c r="C248" s="154"/>
      <c r="F248" s="252"/>
      <c r="H248" s="252"/>
      <c r="I248" s="252"/>
      <c r="J248" s="214"/>
      <c r="K248" s="214"/>
      <c r="L248" s="252"/>
      <c r="M248" s="252"/>
      <c r="N248" s="210"/>
      <c r="O248" s="210"/>
      <c r="P248" s="200"/>
      <c r="Q248" s="200"/>
      <c r="R248" s="200"/>
      <c r="T248" s="154"/>
      <c r="V248" s="200"/>
      <c r="Y248" s="200"/>
      <c r="Z248" s="214"/>
      <c r="AA248" s="200"/>
      <c r="AB248" s="200"/>
      <c r="AC248" s="210"/>
      <c r="AD248" s="210"/>
      <c r="AE248" s="200"/>
      <c r="AF248" s="200"/>
      <c r="AG248" s="209"/>
      <c r="AH248" s="201"/>
      <c r="AI248" s="200"/>
      <c r="AJ248" s="200"/>
      <c r="AK248" s="209"/>
      <c r="AL248" s="200"/>
      <c r="AM248" s="210"/>
      <c r="AN248" s="210"/>
    </row>
    <row r="249" spans="1:40" x14ac:dyDescent="0.25">
      <c r="F249" s="252"/>
      <c r="H249" s="317"/>
      <c r="I249" s="317"/>
      <c r="J249" s="317"/>
      <c r="K249" s="317"/>
      <c r="R249" s="200"/>
      <c r="V249" s="200"/>
      <c r="Z249" s="317"/>
    </row>
    <row r="250" spans="1:40" x14ac:dyDescent="0.25">
      <c r="A250" s="202"/>
      <c r="C250" s="154"/>
      <c r="F250" s="252"/>
      <c r="H250" s="252"/>
      <c r="I250" s="252"/>
      <c r="J250" s="300"/>
      <c r="K250" s="300"/>
      <c r="L250" s="200"/>
      <c r="M250" s="200"/>
      <c r="N250" s="210"/>
      <c r="O250" s="210"/>
      <c r="P250" s="200"/>
      <c r="Q250" s="200"/>
      <c r="R250" s="200"/>
      <c r="T250" s="154"/>
      <c r="V250" s="200"/>
      <c r="Y250" s="200"/>
      <c r="Z250" s="300"/>
      <c r="AA250" s="200"/>
      <c r="AB250" s="200"/>
      <c r="AC250" s="210"/>
      <c r="AD250" s="210"/>
      <c r="AE250" s="200"/>
      <c r="AF250" s="200"/>
      <c r="AG250" s="209"/>
      <c r="AH250" s="201"/>
      <c r="AI250" s="200"/>
      <c r="AJ250" s="200"/>
      <c r="AK250" s="209"/>
      <c r="AL250" s="200"/>
      <c r="AM250" s="210"/>
      <c r="AN250" s="210"/>
    </row>
    <row r="251" spans="1:40" x14ac:dyDescent="0.25">
      <c r="F251" s="252"/>
      <c r="H251" s="317"/>
      <c r="I251" s="317"/>
      <c r="J251" s="317"/>
      <c r="K251" s="317"/>
      <c r="R251" s="200"/>
      <c r="V251" s="200"/>
      <c r="Z251" s="317"/>
    </row>
    <row r="252" spans="1:40" x14ac:dyDescent="0.25">
      <c r="A252" s="202"/>
      <c r="C252" s="154"/>
      <c r="F252" s="252"/>
      <c r="H252" s="252"/>
      <c r="I252" s="252"/>
      <c r="J252" s="320"/>
      <c r="K252" s="320"/>
      <c r="L252" s="200"/>
      <c r="M252" s="200"/>
      <c r="N252" s="210"/>
      <c r="O252" s="210"/>
      <c r="P252" s="200"/>
      <c r="Q252" s="200"/>
      <c r="R252" s="200"/>
      <c r="T252" s="154"/>
      <c r="V252" s="200"/>
      <c r="Y252" s="200"/>
      <c r="Z252" s="304"/>
      <c r="AA252" s="200"/>
      <c r="AB252" s="200"/>
      <c r="AC252" s="210"/>
      <c r="AD252" s="210"/>
      <c r="AE252" s="200"/>
      <c r="AF252" s="200"/>
      <c r="AG252" s="209"/>
      <c r="AH252" s="201"/>
      <c r="AI252" s="200"/>
      <c r="AJ252" s="200"/>
      <c r="AK252" s="209"/>
      <c r="AL252" s="200"/>
      <c r="AM252" s="210"/>
      <c r="AN252" s="210"/>
    </row>
    <row r="253" spans="1:40" x14ac:dyDescent="0.25">
      <c r="F253" s="211"/>
      <c r="H253" s="211"/>
      <c r="I253" s="211"/>
      <c r="J253" s="305"/>
      <c r="K253" s="305"/>
      <c r="L253" s="211"/>
      <c r="M253" s="211"/>
      <c r="N253" s="211"/>
      <c r="O253" s="211"/>
      <c r="P253" s="211"/>
      <c r="Q253" s="211"/>
      <c r="R253" s="211"/>
      <c r="S253" s="200"/>
      <c r="V253" s="211"/>
      <c r="Y253" s="211"/>
      <c r="Z253" s="305"/>
      <c r="AA253" s="211"/>
      <c r="AB253" s="211"/>
      <c r="AC253" s="211"/>
      <c r="AD253" s="211"/>
      <c r="AE253" s="211"/>
      <c r="AF253" s="211"/>
      <c r="AI253" s="211"/>
      <c r="AJ253" s="211"/>
      <c r="AK253" s="212"/>
      <c r="AL253" s="211"/>
    </row>
    <row r="254" spans="1:40" x14ac:dyDescent="0.25">
      <c r="A254" s="202"/>
      <c r="D254" s="154"/>
      <c r="E254" s="154"/>
      <c r="F254" s="200"/>
      <c r="H254" s="200"/>
      <c r="I254" s="200"/>
      <c r="J254" s="213"/>
      <c r="K254" s="213"/>
      <c r="L254" s="200"/>
      <c r="M254" s="200"/>
      <c r="N254" s="210"/>
      <c r="O254" s="210"/>
      <c r="P254" s="252"/>
      <c r="Q254" s="252"/>
      <c r="R254" s="200"/>
      <c r="S254" s="200"/>
      <c r="U254" s="154"/>
      <c r="V254" s="200"/>
      <c r="Y254" s="200"/>
      <c r="Z254" s="213"/>
      <c r="AA254" s="200"/>
      <c r="AB254" s="200"/>
      <c r="AC254" s="210"/>
      <c r="AD254" s="210"/>
      <c r="AE254" s="200"/>
      <c r="AF254" s="200"/>
      <c r="AG254" s="209"/>
      <c r="AH254" s="201"/>
      <c r="AI254" s="252"/>
      <c r="AJ254" s="252"/>
      <c r="AK254" s="209"/>
      <c r="AL254" s="200"/>
      <c r="AM254" s="210"/>
      <c r="AN254" s="210"/>
    </row>
    <row r="255" spans="1:40" x14ac:dyDescent="0.25">
      <c r="F255" s="211"/>
      <c r="H255" s="211"/>
      <c r="I255" s="211"/>
      <c r="J255" s="305"/>
      <c r="K255" s="305"/>
      <c r="L255" s="211"/>
      <c r="M255" s="211"/>
      <c r="N255" s="211"/>
      <c r="O255" s="211"/>
      <c r="P255" s="211"/>
      <c r="Q255" s="211"/>
      <c r="R255" s="211"/>
      <c r="S255" s="200"/>
      <c r="V255" s="211"/>
      <c r="Y255" s="211"/>
      <c r="Z255" s="305"/>
      <c r="AA255" s="211"/>
      <c r="AB255" s="211"/>
      <c r="AC255" s="211"/>
      <c r="AD255" s="211"/>
      <c r="AE255" s="211"/>
      <c r="AF255" s="211"/>
      <c r="AI255" s="211"/>
      <c r="AJ255" s="211"/>
      <c r="AK255" s="212"/>
      <c r="AL255" s="211"/>
    </row>
    <row r="256" spans="1:40" x14ac:dyDescent="0.25">
      <c r="R256" s="200"/>
    </row>
    <row r="257" spans="1:40" x14ac:dyDescent="0.25">
      <c r="F257" s="200"/>
      <c r="H257" s="200"/>
      <c r="I257" s="200"/>
      <c r="J257" s="213"/>
      <c r="K257" s="213"/>
      <c r="L257" s="200"/>
      <c r="M257" s="200"/>
      <c r="N257" s="200"/>
      <c r="O257" s="200"/>
      <c r="P257" s="200"/>
      <c r="Q257" s="200"/>
      <c r="R257" s="200"/>
      <c r="V257" s="200"/>
      <c r="Y257" s="200"/>
      <c r="Z257" s="213"/>
      <c r="AA257" s="200"/>
      <c r="AB257" s="200"/>
      <c r="AC257" s="200"/>
      <c r="AD257" s="200"/>
    </row>
    <row r="258" spans="1:40" x14ac:dyDescent="0.25">
      <c r="C258" s="154"/>
      <c r="F258" s="200"/>
      <c r="H258" s="200"/>
      <c r="I258" s="200"/>
      <c r="J258" s="213"/>
      <c r="K258" s="213"/>
      <c r="L258" s="200"/>
      <c r="M258" s="200"/>
      <c r="N258" s="200"/>
      <c r="O258" s="200"/>
      <c r="P258" s="200"/>
      <c r="Q258" s="200"/>
      <c r="R258" s="200"/>
      <c r="T258" s="154"/>
      <c r="V258" s="200"/>
      <c r="Y258" s="200"/>
      <c r="Z258" s="213"/>
      <c r="AA258" s="200"/>
      <c r="AB258" s="200"/>
      <c r="AC258" s="200"/>
      <c r="AD258" s="200"/>
    </row>
    <row r="259" spans="1:40" x14ac:dyDescent="0.25">
      <c r="C259" s="154"/>
      <c r="T259" s="154"/>
    </row>
    <row r="260" spans="1:40" x14ac:dyDescent="0.25">
      <c r="A260" s="154"/>
    </row>
    <row r="262" spans="1:40" x14ac:dyDescent="0.25">
      <c r="J262" s="202"/>
      <c r="K262" s="202"/>
      <c r="Z262" s="202"/>
    </row>
    <row r="263" spans="1:40" x14ac:dyDescent="0.25">
      <c r="H263" s="154"/>
      <c r="I263" s="154"/>
      <c r="Y263" s="154"/>
    </row>
    <row r="264" spans="1:40" x14ac:dyDescent="0.25">
      <c r="J264" s="202"/>
      <c r="K264" s="202"/>
      <c r="Z264" s="202"/>
    </row>
    <row r="265" spans="1:40" x14ac:dyDescent="0.25">
      <c r="L265" s="154"/>
      <c r="M265" s="154"/>
      <c r="AA265" s="154"/>
      <c r="AB265" s="154"/>
    </row>
    <row r="266" spans="1:40" x14ac:dyDescent="0.25">
      <c r="A266" s="202"/>
      <c r="R266" s="154"/>
      <c r="AK266" s="297"/>
      <c r="AL266" s="154"/>
    </row>
    <row r="267" spans="1:40" x14ac:dyDescent="0.25">
      <c r="A267" s="202"/>
      <c r="R267" s="154"/>
      <c r="AK267" s="297"/>
      <c r="AL267" s="154"/>
    </row>
    <row r="268" spans="1:40" x14ac:dyDescent="0.25">
      <c r="A268" s="154"/>
      <c r="R268" s="154"/>
      <c r="AK268" s="297"/>
      <c r="AL268" s="154"/>
    </row>
    <row r="269" spans="1:40" x14ac:dyDescent="0.25">
      <c r="L269" s="154"/>
      <c r="M269" s="154"/>
      <c r="R269" s="202"/>
      <c r="AA269" s="154"/>
      <c r="AB269" s="154"/>
      <c r="AK269" s="209"/>
      <c r="AL269" s="202"/>
    </row>
    <row r="270" spans="1:40" x14ac:dyDescent="0.25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208"/>
      <c r="AH270" s="102"/>
      <c r="AI270" s="102"/>
      <c r="AJ270" s="102"/>
      <c r="AK270" s="208"/>
      <c r="AL270" s="102"/>
      <c r="AM270" s="102"/>
      <c r="AN270" s="102"/>
    </row>
    <row r="271" spans="1:40" x14ac:dyDescent="0.25">
      <c r="L271" s="103"/>
      <c r="M271" s="103"/>
      <c r="N271" s="103"/>
      <c r="O271" s="103"/>
      <c r="R271" s="103"/>
      <c r="AA271" s="103"/>
      <c r="AB271" s="103"/>
      <c r="AC271" s="103"/>
      <c r="AD271" s="103"/>
      <c r="AE271" s="103"/>
      <c r="AF271" s="103"/>
      <c r="AG271" s="185"/>
      <c r="AH271" s="103"/>
      <c r="AK271" s="185"/>
      <c r="AL271" s="103"/>
      <c r="AM271" s="103"/>
      <c r="AN271" s="103"/>
    </row>
    <row r="272" spans="1:40" x14ac:dyDescent="0.25">
      <c r="L272" s="103"/>
      <c r="M272" s="103"/>
      <c r="N272" s="103"/>
      <c r="O272" s="103"/>
      <c r="R272" s="103"/>
      <c r="Z272" s="103"/>
      <c r="AA272" s="103"/>
      <c r="AB272" s="103"/>
      <c r="AC272" s="103"/>
      <c r="AD272" s="103"/>
      <c r="AE272" s="103"/>
      <c r="AF272" s="103"/>
      <c r="AG272" s="185"/>
      <c r="AH272" s="103"/>
      <c r="AK272" s="185"/>
      <c r="AL272" s="103"/>
      <c r="AM272" s="103"/>
      <c r="AN272" s="103"/>
    </row>
    <row r="273" spans="1:40" x14ac:dyDescent="0.25">
      <c r="A273" s="103"/>
      <c r="C273" s="103"/>
      <c r="D273" s="103"/>
      <c r="E273" s="103"/>
      <c r="F273" s="103"/>
      <c r="J273" s="103"/>
      <c r="K273" s="103"/>
      <c r="L273" s="103"/>
      <c r="M273" s="103"/>
      <c r="N273" s="103"/>
      <c r="O273" s="103"/>
      <c r="P273" s="103"/>
      <c r="Q273" s="103"/>
      <c r="R273" s="103"/>
      <c r="T273" s="103"/>
      <c r="U273" s="103"/>
      <c r="V273" s="103"/>
      <c r="Z273" s="103"/>
      <c r="AA273" s="103"/>
      <c r="AB273" s="103"/>
      <c r="AC273" s="103"/>
      <c r="AD273" s="103"/>
      <c r="AE273" s="103"/>
      <c r="AF273" s="103"/>
      <c r="AG273" s="185"/>
      <c r="AH273" s="103"/>
      <c r="AI273" s="103"/>
      <c r="AJ273" s="103"/>
      <c r="AK273" s="185"/>
      <c r="AL273" s="103"/>
      <c r="AM273" s="103"/>
      <c r="AN273" s="103"/>
    </row>
    <row r="274" spans="1:40" x14ac:dyDescent="0.25">
      <c r="A274" s="103"/>
      <c r="C274" s="103"/>
      <c r="D274" s="103"/>
      <c r="E274" s="103"/>
      <c r="F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T274" s="103"/>
      <c r="U274" s="103"/>
      <c r="V274" s="103"/>
      <c r="Y274" s="103"/>
      <c r="Z274" s="103"/>
      <c r="AA274" s="103"/>
      <c r="AB274" s="103"/>
      <c r="AC274" s="103"/>
      <c r="AD274" s="103"/>
      <c r="AE274" s="103"/>
      <c r="AF274" s="103"/>
      <c r="AG274" s="185"/>
      <c r="AH274" s="103"/>
      <c r="AI274" s="103"/>
      <c r="AJ274" s="103"/>
      <c r="AK274" s="185"/>
      <c r="AL274" s="103"/>
      <c r="AM274" s="103"/>
      <c r="AN274" s="103"/>
    </row>
    <row r="275" spans="1:40" x14ac:dyDescent="0.25">
      <c r="C275" s="103"/>
      <c r="D275" s="103"/>
      <c r="E275" s="103"/>
      <c r="F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T275" s="103"/>
      <c r="U275" s="103"/>
      <c r="V275" s="103"/>
      <c r="Y275" s="103"/>
      <c r="Z275" s="103"/>
      <c r="AA275" s="103"/>
      <c r="AB275" s="103"/>
      <c r="AC275" s="103"/>
      <c r="AD275" s="103"/>
      <c r="AE275" s="103"/>
      <c r="AF275" s="103"/>
      <c r="AG275" s="185"/>
      <c r="AH275" s="103"/>
      <c r="AI275" s="103"/>
      <c r="AJ275" s="103"/>
      <c r="AK275" s="185"/>
      <c r="AL275" s="103"/>
      <c r="AM275" s="103"/>
      <c r="AN275" s="103"/>
    </row>
    <row r="276" spans="1:40" x14ac:dyDescent="0.25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208"/>
      <c r="AH276" s="102"/>
      <c r="AI276" s="102"/>
      <c r="AJ276" s="102"/>
      <c r="AK276" s="208"/>
      <c r="AL276" s="102"/>
      <c r="AM276" s="102"/>
      <c r="AN276" s="102"/>
    </row>
    <row r="277" spans="1:40" x14ac:dyDescent="0.25"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Y277" s="103"/>
      <c r="Z277" s="103"/>
      <c r="AA277" s="103"/>
      <c r="AB277" s="103"/>
      <c r="AC277" s="103"/>
      <c r="AD277" s="103"/>
      <c r="AE277" s="103"/>
      <c r="AF277" s="103"/>
      <c r="AG277" s="185"/>
      <c r="AH277" s="103"/>
      <c r="AI277" s="103"/>
      <c r="AJ277" s="103"/>
      <c r="AK277" s="185"/>
      <c r="AL277" s="103"/>
      <c r="AM277" s="103"/>
      <c r="AN277" s="103"/>
    </row>
    <row r="278" spans="1:40" x14ac:dyDescent="0.25">
      <c r="A278" s="202"/>
      <c r="C278" s="154"/>
      <c r="D278" s="154"/>
      <c r="E278" s="154"/>
      <c r="T278" s="154"/>
      <c r="U278" s="154"/>
    </row>
    <row r="279" spans="1:40" x14ac:dyDescent="0.25">
      <c r="A279" s="202"/>
      <c r="D279" s="154"/>
      <c r="E279" s="154"/>
      <c r="U279" s="154"/>
    </row>
    <row r="281" spans="1:40" x14ac:dyDescent="0.25">
      <c r="A281" s="202"/>
      <c r="C281" s="154"/>
      <c r="F281" s="200"/>
      <c r="J281" s="215"/>
      <c r="K281" s="215"/>
      <c r="L281" s="200"/>
      <c r="M281" s="200"/>
      <c r="R281" s="200"/>
      <c r="T281" s="154"/>
      <c r="V281" s="200"/>
      <c r="Z281" s="215"/>
      <c r="AA281" s="200"/>
      <c r="AB281" s="200"/>
      <c r="AK281" s="209"/>
      <c r="AL281" s="200"/>
    </row>
    <row r="282" spans="1:40" x14ac:dyDescent="0.25">
      <c r="F282" s="200"/>
      <c r="R282" s="200"/>
      <c r="V282" s="200"/>
      <c r="AK282" s="209"/>
      <c r="AL282" s="200"/>
    </row>
    <row r="283" spans="1:40" x14ac:dyDescent="0.25">
      <c r="A283" s="202"/>
      <c r="C283" s="154"/>
      <c r="F283" s="252"/>
      <c r="H283" s="252"/>
      <c r="I283" s="252"/>
      <c r="J283" s="300"/>
      <c r="K283" s="300"/>
      <c r="L283" s="200"/>
      <c r="M283" s="200"/>
      <c r="N283" s="210"/>
      <c r="O283" s="210"/>
      <c r="P283" s="200"/>
      <c r="Q283" s="200"/>
      <c r="R283" s="200"/>
      <c r="T283" s="154"/>
      <c r="V283" s="200"/>
      <c r="Y283" s="200"/>
      <c r="Z283" s="300"/>
      <c r="AA283" s="200"/>
      <c r="AB283" s="200"/>
      <c r="AC283" s="210"/>
      <c r="AD283" s="210"/>
      <c r="AE283" s="200"/>
      <c r="AF283" s="200"/>
      <c r="AG283" s="209"/>
      <c r="AH283" s="201"/>
      <c r="AI283" s="200"/>
      <c r="AJ283" s="200"/>
      <c r="AK283" s="209"/>
      <c r="AL283" s="200"/>
      <c r="AM283" s="210"/>
      <c r="AN283" s="210"/>
    </row>
    <row r="284" spans="1:40" x14ac:dyDescent="0.25">
      <c r="A284" s="202"/>
      <c r="C284" s="154"/>
      <c r="F284" s="252"/>
      <c r="H284" s="317"/>
      <c r="I284" s="317"/>
      <c r="J284" s="300"/>
      <c r="K284" s="300"/>
      <c r="L284" s="200"/>
      <c r="M284" s="200"/>
      <c r="N284" s="210"/>
      <c r="O284" s="210"/>
      <c r="P284" s="200"/>
      <c r="Q284" s="200"/>
      <c r="R284" s="200"/>
      <c r="T284" s="154"/>
      <c r="V284" s="200"/>
      <c r="Y284" s="200"/>
      <c r="Z284" s="300"/>
      <c r="AA284" s="200"/>
      <c r="AB284" s="200"/>
      <c r="AC284" s="210"/>
      <c r="AD284" s="210"/>
      <c r="AE284" s="200"/>
      <c r="AF284" s="200"/>
      <c r="AG284" s="209"/>
      <c r="AH284" s="201"/>
      <c r="AI284" s="200"/>
      <c r="AJ284" s="200"/>
      <c r="AK284" s="209"/>
      <c r="AL284" s="200"/>
      <c r="AM284" s="210"/>
      <c r="AN284" s="210"/>
    </row>
    <row r="285" spans="1:40" x14ac:dyDescent="0.25">
      <c r="F285" s="211"/>
      <c r="H285" s="200"/>
      <c r="I285" s="200"/>
      <c r="J285" s="305"/>
      <c r="K285" s="305"/>
      <c r="L285" s="211"/>
      <c r="M285" s="211"/>
      <c r="N285" s="211"/>
      <c r="O285" s="211"/>
      <c r="P285" s="211"/>
      <c r="Q285" s="211"/>
      <c r="R285" s="211"/>
      <c r="V285" s="211"/>
      <c r="Y285" s="200"/>
      <c r="Z285" s="305"/>
      <c r="AA285" s="211"/>
      <c r="AB285" s="211"/>
      <c r="AC285" s="211"/>
      <c r="AD285" s="211"/>
      <c r="AE285" s="211"/>
      <c r="AF285" s="211"/>
      <c r="AI285" s="211"/>
      <c r="AJ285" s="211"/>
      <c r="AK285" s="212"/>
      <c r="AL285" s="211"/>
    </row>
    <row r="286" spans="1:40" x14ac:dyDescent="0.25">
      <c r="A286" s="202"/>
      <c r="C286" s="154"/>
      <c r="F286" s="200"/>
      <c r="H286" s="200"/>
      <c r="I286" s="200"/>
      <c r="J286" s="213"/>
      <c r="K286" s="213"/>
      <c r="L286" s="200"/>
      <c r="M286" s="200"/>
      <c r="N286" s="210"/>
      <c r="O286" s="210"/>
      <c r="P286" s="200"/>
      <c r="Q286" s="200"/>
      <c r="R286" s="200"/>
      <c r="T286" s="154"/>
      <c r="V286" s="200"/>
      <c r="Y286" s="200"/>
      <c r="Z286" s="213"/>
      <c r="AA286" s="200"/>
      <c r="AB286" s="200"/>
      <c r="AC286" s="210"/>
      <c r="AD286" s="210"/>
      <c r="AE286" s="200"/>
      <c r="AF286" s="200"/>
      <c r="AG286" s="209"/>
      <c r="AH286" s="201"/>
      <c r="AI286" s="200"/>
      <c r="AJ286" s="200"/>
      <c r="AK286" s="209"/>
      <c r="AL286" s="200"/>
      <c r="AM286" s="210"/>
      <c r="AN286" s="210"/>
    </row>
    <row r="287" spans="1:40" x14ac:dyDescent="0.25">
      <c r="F287" s="211"/>
      <c r="H287" s="200"/>
      <c r="I287" s="200"/>
      <c r="J287" s="305"/>
      <c r="K287" s="305"/>
      <c r="L287" s="211"/>
      <c r="M287" s="211"/>
      <c r="N287" s="211"/>
      <c r="O287" s="211"/>
      <c r="P287" s="211"/>
      <c r="Q287" s="211"/>
      <c r="R287" s="211"/>
      <c r="V287" s="211"/>
      <c r="Y287" s="200"/>
      <c r="Z287" s="305"/>
      <c r="AA287" s="211"/>
      <c r="AB287" s="211"/>
      <c r="AC287" s="211"/>
      <c r="AD287" s="211"/>
      <c r="AE287" s="211"/>
      <c r="AF287" s="211"/>
      <c r="AI287" s="211"/>
      <c r="AJ287" s="211"/>
      <c r="AK287" s="212"/>
      <c r="AL287" s="211"/>
    </row>
    <row r="288" spans="1:40" x14ac:dyDescent="0.25">
      <c r="F288" s="200"/>
      <c r="R288" s="200"/>
      <c r="V288" s="200"/>
      <c r="AK288" s="209"/>
      <c r="AL288" s="200"/>
    </row>
    <row r="289" spans="1:40" x14ac:dyDescent="0.25">
      <c r="A289" s="202"/>
      <c r="C289" s="154"/>
      <c r="F289" s="200"/>
      <c r="R289" s="200"/>
      <c r="T289" s="154"/>
      <c r="V289" s="200"/>
      <c r="AK289" s="209"/>
      <c r="AL289" s="200"/>
    </row>
    <row r="290" spans="1:40" x14ac:dyDescent="0.25">
      <c r="F290" s="200"/>
      <c r="R290" s="200"/>
      <c r="V290" s="200"/>
      <c r="AK290" s="209"/>
      <c r="AL290" s="200"/>
    </row>
    <row r="291" spans="1:40" x14ac:dyDescent="0.25">
      <c r="A291" s="202"/>
      <c r="C291" s="154"/>
      <c r="F291" s="200"/>
      <c r="H291" s="252"/>
      <c r="I291" s="252"/>
      <c r="J291" s="320"/>
      <c r="K291" s="320"/>
      <c r="L291" s="200"/>
      <c r="M291" s="200"/>
      <c r="N291" s="210"/>
      <c r="O291" s="210"/>
      <c r="P291" s="252"/>
      <c r="Q291" s="252"/>
      <c r="R291" s="200"/>
      <c r="T291" s="154"/>
      <c r="V291" s="200"/>
      <c r="Y291" s="200"/>
      <c r="Z291" s="304"/>
      <c r="AA291" s="200"/>
      <c r="AB291" s="200"/>
      <c r="AC291" s="210"/>
      <c r="AD291" s="210"/>
      <c r="AE291" s="200"/>
      <c r="AF291" s="200"/>
      <c r="AG291" s="209"/>
      <c r="AH291" s="201"/>
      <c r="AI291" s="252"/>
      <c r="AJ291" s="252"/>
      <c r="AK291" s="209"/>
      <c r="AL291" s="200"/>
      <c r="AM291" s="210"/>
      <c r="AN291" s="210"/>
    </row>
    <row r="292" spans="1:40" x14ac:dyDescent="0.25">
      <c r="F292" s="211"/>
      <c r="H292" s="211"/>
      <c r="I292" s="211"/>
      <c r="J292" s="305"/>
      <c r="K292" s="305"/>
      <c r="L292" s="211"/>
      <c r="M292" s="211"/>
      <c r="N292" s="211"/>
      <c r="O292" s="211"/>
      <c r="P292" s="211"/>
      <c r="Q292" s="211"/>
      <c r="R292" s="211"/>
      <c r="V292" s="211"/>
      <c r="Y292" s="211"/>
      <c r="Z292" s="305"/>
      <c r="AA292" s="211"/>
      <c r="AB292" s="211"/>
      <c r="AC292" s="211"/>
      <c r="AD292" s="211"/>
      <c r="AE292" s="211"/>
      <c r="AF292" s="211"/>
      <c r="AI292" s="211"/>
      <c r="AJ292" s="211"/>
      <c r="AK292" s="212"/>
      <c r="AL292" s="211"/>
    </row>
    <row r="294" spans="1:40" x14ac:dyDescent="0.25">
      <c r="A294" s="202"/>
      <c r="C294" s="154"/>
      <c r="F294" s="200"/>
      <c r="H294" s="200"/>
      <c r="I294" s="200"/>
      <c r="J294" s="215"/>
      <c r="K294" s="215"/>
      <c r="L294" s="200"/>
      <c r="M294" s="200"/>
      <c r="N294" s="210"/>
      <c r="O294" s="210"/>
      <c r="P294" s="200"/>
      <c r="Q294" s="200"/>
      <c r="R294" s="200"/>
      <c r="T294" s="154"/>
      <c r="V294" s="200"/>
      <c r="Y294" s="200"/>
      <c r="Z294" s="215"/>
      <c r="AA294" s="200"/>
      <c r="AB294" s="200"/>
      <c r="AC294" s="210"/>
      <c r="AD294" s="210"/>
      <c r="AE294" s="200"/>
      <c r="AF294" s="200"/>
      <c r="AG294" s="209"/>
      <c r="AH294" s="201"/>
      <c r="AI294" s="200"/>
      <c r="AJ294" s="200"/>
      <c r="AK294" s="209"/>
      <c r="AL294" s="200"/>
      <c r="AM294" s="210"/>
      <c r="AN294" s="210"/>
    </row>
    <row r="295" spans="1:40" x14ac:dyDescent="0.25">
      <c r="F295" s="211"/>
      <c r="H295" s="211"/>
      <c r="I295" s="211"/>
      <c r="J295" s="305"/>
      <c r="K295" s="305"/>
      <c r="L295" s="211"/>
      <c r="M295" s="211"/>
      <c r="N295" s="211"/>
      <c r="O295" s="211"/>
      <c r="P295" s="211"/>
      <c r="Q295" s="211"/>
      <c r="R295" s="211"/>
      <c r="V295" s="211"/>
      <c r="Y295" s="211"/>
      <c r="Z295" s="305"/>
      <c r="AA295" s="211"/>
      <c r="AB295" s="211"/>
      <c r="AC295" s="211"/>
      <c r="AD295" s="211"/>
      <c r="AE295" s="211"/>
      <c r="AF295" s="211"/>
      <c r="AI295" s="211"/>
      <c r="AJ295" s="211"/>
      <c r="AK295" s="212"/>
      <c r="AL295" s="211"/>
    </row>
    <row r="296" spans="1:40" x14ac:dyDescent="0.25">
      <c r="R296" s="200"/>
      <c r="AG296" s="209"/>
      <c r="AH296" s="200"/>
    </row>
    <row r="297" spans="1:40" x14ac:dyDescent="0.25">
      <c r="F297" s="200"/>
      <c r="H297" s="200"/>
      <c r="I297" s="200"/>
      <c r="J297" s="213"/>
      <c r="K297" s="213"/>
      <c r="L297" s="200"/>
      <c r="M297" s="200"/>
      <c r="N297" s="200"/>
      <c r="O297" s="200"/>
      <c r="P297" s="200"/>
      <c r="Q297" s="200"/>
      <c r="R297" s="200"/>
      <c r="V297" s="200"/>
      <c r="Y297" s="200"/>
      <c r="Z297" s="213"/>
      <c r="AA297" s="200"/>
      <c r="AB297" s="200"/>
      <c r="AC297" s="200"/>
      <c r="AD297" s="200"/>
      <c r="AE297" s="200"/>
      <c r="AF297" s="200"/>
      <c r="AG297" s="209"/>
      <c r="AH297" s="200"/>
    </row>
    <row r="298" spans="1:40" x14ac:dyDescent="0.25">
      <c r="C298" s="154"/>
      <c r="F298" s="200"/>
      <c r="H298" s="200"/>
      <c r="I298" s="200"/>
      <c r="J298" s="213"/>
      <c r="K298" s="213"/>
      <c r="L298" s="200"/>
      <c r="M298" s="200"/>
      <c r="N298" s="200"/>
      <c r="O298" s="200"/>
      <c r="P298" s="200"/>
      <c r="Q298" s="200"/>
      <c r="R298" s="200"/>
      <c r="T298" s="154"/>
      <c r="V298" s="200"/>
      <c r="Y298" s="200"/>
      <c r="Z298" s="213"/>
      <c r="AA298" s="200"/>
      <c r="AB298" s="200"/>
      <c r="AC298" s="200"/>
      <c r="AD298" s="200"/>
      <c r="AE298" s="200"/>
      <c r="AF298" s="200"/>
      <c r="AG298" s="209"/>
      <c r="AH298" s="200"/>
    </row>
    <row r="299" spans="1:40" x14ac:dyDescent="0.25">
      <c r="A299" s="154"/>
    </row>
    <row r="301" spans="1:40" x14ac:dyDescent="0.25">
      <c r="J301" s="202"/>
      <c r="K301" s="202"/>
      <c r="Z301" s="202"/>
    </row>
    <row r="302" spans="1:40" x14ac:dyDescent="0.25">
      <c r="H302" s="154"/>
      <c r="I302" s="154"/>
      <c r="Y302" s="154"/>
    </row>
    <row r="303" spans="1:40" x14ac:dyDescent="0.25">
      <c r="J303" s="202"/>
      <c r="K303" s="202"/>
      <c r="Z303" s="202"/>
    </row>
    <row r="304" spans="1:40" x14ac:dyDescent="0.25">
      <c r="L304" s="154"/>
      <c r="M304" s="154"/>
      <c r="AA304" s="154"/>
      <c r="AB304" s="154"/>
    </row>
    <row r="305" spans="1:40" x14ac:dyDescent="0.25">
      <c r="A305" s="202"/>
      <c r="R305" s="154"/>
      <c r="AK305" s="297"/>
      <c r="AL305" s="154"/>
    </row>
    <row r="306" spans="1:40" x14ac:dyDescent="0.25">
      <c r="A306" s="202"/>
      <c r="R306" s="154"/>
      <c r="AK306" s="297"/>
      <c r="AL306" s="154"/>
    </row>
    <row r="307" spans="1:40" x14ac:dyDescent="0.25">
      <c r="A307" s="154"/>
      <c r="R307" s="154"/>
      <c r="AK307" s="297"/>
      <c r="AL307" s="154"/>
    </row>
    <row r="308" spans="1:40" x14ac:dyDescent="0.25">
      <c r="L308" s="154"/>
      <c r="M308" s="154"/>
      <c r="R308" s="202"/>
      <c r="AA308" s="154"/>
      <c r="AB308" s="154"/>
      <c r="AK308" s="209"/>
      <c r="AL308" s="202"/>
    </row>
    <row r="309" spans="1:40" x14ac:dyDescent="0.25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208"/>
      <c r="AH309" s="102"/>
      <c r="AI309" s="102"/>
      <c r="AJ309" s="102"/>
      <c r="AK309" s="208"/>
      <c r="AL309" s="102"/>
      <c r="AM309" s="102"/>
      <c r="AN309" s="102"/>
    </row>
    <row r="310" spans="1:40" x14ac:dyDescent="0.25">
      <c r="L310" s="103"/>
      <c r="M310" s="103"/>
      <c r="N310" s="103"/>
      <c r="O310" s="103"/>
      <c r="R310" s="103"/>
      <c r="AA310" s="103"/>
      <c r="AB310" s="103"/>
      <c r="AC310" s="103"/>
      <c r="AD310" s="103"/>
      <c r="AE310" s="103"/>
      <c r="AF310" s="103"/>
      <c r="AG310" s="185"/>
      <c r="AH310" s="103"/>
      <c r="AK310" s="185"/>
      <c r="AL310" s="103"/>
      <c r="AM310" s="103"/>
      <c r="AN310" s="103"/>
    </row>
    <row r="311" spans="1:40" x14ac:dyDescent="0.25">
      <c r="L311" s="103"/>
      <c r="M311" s="103"/>
      <c r="N311" s="103"/>
      <c r="O311" s="103"/>
      <c r="R311" s="103"/>
      <c r="Z311" s="103"/>
      <c r="AA311" s="103"/>
      <c r="AB311" s="103"/>
      <c r="AC311" s="103"/>
      <c r="AD311" s="103"/>
      <c r="AE311" s="103"/>
      <c r="AF311" s="103"/>
      <c r="AG311" s="185"/>
      <c r="AH311" s="103"/>
      <c r="AK311" s="185"/>
      <c r="AL311" s="103"/>
      <c r="AM311" s="103"/>
      <c r="AN311" s="103"/>
    </row>
    <row r="312" spans="1:40" x14ac:dyDescent="0.25">
      <c r="A312" s="103"/>
      <c r="C312" s="103"/>
      <c r="D312" s="103"/>
      <c r="E312" s="103"/>
      <c r="F312" s="103"/>
      <c r="J312" s="103"/>
      <c r="K312" s="103"/>
      <c r="L312" s="103"/>
      <c r="M312" s="103"/>
      <c r="N312" s="103"/>
      <c r="O312" s="103"/>
      <c r="P312" s="103"/>
      <c r="Q312" s="103"/>
      <c r="R312" s="103"/>
      <c r="T312" s="103"/>
      <c r="U312" s="103"/>
      <c r="V312" s="103"/>
      <c r="Z312" s="103"/>
      <c r="AA312" s="103"/>
      <c r="AB312" s="103"/>
      <c r="AC312" s="103"/>
      <c r="AD312" s="103"/>
      <c r="AE312" s="103"/>
      <c r="AF312" s="103"/>
      <c r="AG312" s="185"/>
      <c r="AH312" s="103"/>
      <c r="AI312" s="103"/>
      <c r="AJ312" s="103"/>
      <c r="AK312" s="185"/>
      <c r="AL312" s="103"/>
      <c r="AM312" s="103"/>
      <c r="AN312" s="103"/>
    </row>
    <row r="313" spans="1:40" x14ac:dyDescent="0.25">
      <c r="A313" s="103"/>
      <c r="C313" s="103"/>
      <c r="D313" s="103"/>
      <c r="E313" s="103"/>
      <c r="F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T313" s="103"/>
      <c r="U313" s="103"/>
      <c r="V313" s="103"/>
      <c r="Y313" s="103"/>
      <c r="Z313" s="103"/>
      <c r="AA313" s="103"/>
      <c r="AB313" s="103"/>
      <c r="AC313" s="103"/>
      <c r="AD313" s="103"/>
      <c r="AE313" s="103"/>
      <c r="AF313" s="103"/>
      <c r="AG313" s="185"/>
      <c r="AH313" s="103"/>
      <c r="AI313" s="103"/>
      <c r="AJ313" s="103"/>
      <c r="AK313" s="185"/>
      <c r="AL313" s="103"/>
      <c r="AM313" s="103"/>
      <c r="AN313" s="103"/>
    </row>
    <row r="314" spans="1:40" x14ac:dyDescent="0.25">
      <c r="C314" s="103"/>
      <c r="D314" s="103"/>
      <c r="E314" s="103"/>
      <c r="F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T314" s="103"/>
      <c r="U314" s="103"/>
      <c r="V314" s="103"/>
      <c r="Y314" s="103"/>
      <c r="Z314" s="103"/>
      <c r="AA314" s="103"/>
      <c r="AB314" s="103"/>
      <c r="AC314" s="103"/>
      <c r="AD314" s="103"/>
      <c r="AE314" s="103"/>
      <c r="AF314" s="103"/>
      <c r="AG314" s="185"/>
      <c r="AH314" s="103"/>
      <c r="AI314" s="103"/>
      <c r="AJ314" s="103"/>
      <c r="AK314" s="185"/>
      <c r="AL314" s="103"/>
      <c r="AM314" s="103"/>
      <c r="AN314" s="103"/>
    </row>
    <row r="315" spans="1:40" x14ac:dyDescent="0.25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208"/>
      <c r="AH315" s="102"/>
      <c r="AI315" s="102"/>
      <c r="AJ315" s="102"/>
      <c r="AK315" s="208"/>
      <c r="AL315" s="102"/>
      <c r="AM315" s="102"/>
      <c r="AN315" s="102"/>
    </row>
    <row r="316" spans="1:40" x14ac:dyDescent="0.25"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Y316" s="103"/>
      <c r="Z316" s="103"/>
      <c r="AA316" s="103"/>
      <c r="AB316" s="103"/>
      <c r="AC316" s="103"/>
      <c r="AD316" s="103"/>
      <c r="AE316" s="103"/>
      <c r="AF316" s="103"/>
      <c r="AG316" s="185"/>
      <c r="AH316" s="103"/>
      <c r="AI316" s="103"/>
      <c r="AJ316" s="103"/>
      <c r="AK316" s="185"/>
      <c r="AL316" s="103"/>
      <c r="AM316" s="103"/>
      <c r="AN316" s="103"/>
    </row>
    <row r="317" spans="1:40" x14ac:dyDescent="0.25">
      <c r="A317" s="202"/>
      <c r="C317" s="154"/>
      <c r="D317" s="154"/>
      <c r="E317" s="154"/>
      <c r="T317" s="154"/>
      <c r="U317" s="154"/>
    </row>
    <row r="318" spans="1:40" x14ac:dyDescent="0.25">
      <c r="A318" s="202"/>
      <c r="C318" s="154"/>
      <c r="T318" s="154"/>
    </row>
    <row r="320" spans="1:40" x14ac:dyDescent="0.25">
      <c r="A320" s="202"/>
      <c r="C320" s="154"/>
      <c r="F320" s="252"/>
      <c r="H320" s="252"/>
      <c r="I320" s="252"/>
      <c r="J320" s="300"/>
      <c r="K320" s="300"/>
      <c r="L320" s="200"/>
      <c r="M320" s="200"/>
      <c r="N320" s="210"/>
      <c r="O320" s="210"/>
      <c r="P320" s="202"/>
      <c r="Q320" s="202"/>
      <c r="R320" s="200"/>
      <c r="T320" s="154"/>
      <c r="V320" s="200"/>
      <c r="Y320" s="252"/>
      <c r="Z320" s="300"/>
      <c r="AA320" s="200"/>
      <c r="AB320" s="200"/>
      <c r="AC320" s="210"/>
      <c r="AD320" s="210"/>
      <c r="AE320" s="200"/>
      <c r="AF320" s="200"/>
      <c r="AG320" s="209"/>
      <c r="AH320" s="201"/>
      <c r="AI320" s="202"/>
      <c r="AJ320" s="202"/>
      <c r="AK320" s="209"/>
      <c r="AL320" s="200"/>
      <c r="AM320" s="210"/>
      <c r="AN320" s="210"/>
    </row>
    <row r="321" spans="1:40" x14ac:dyDescent="0.25">
      <c r="F321" s="211"/>
      <c r="H321" s="200"/>
      <c r="I321" s="200"/>
      <c r="J321" s="305"/>
      <c r="K321" s="305"/>
      <c r="L321" s="211"/>
      <c r="M321" s="211"/>
      <c r="N321" s="211"/>
      <c r="O321" s="211"/>
      <c r="P321" s="211"/>
      <c r="Q321" s="211"/>
      <c r="R321" s="211"/>
      <c r="V321" s="211"/>
      <c r="Y321" s="200"/>
      <c r="Z321" s="305"/>
      <c r="AA321" s="211"/>
      <c r="AB321" s="211"/>
      <c r="AC321" s="211"/>
      <c r="AD321" s="211"/>
      <c r="AE321" s="211"/>
      <c r="AF321" s="211"/>
      <c r="AI321" s="211"/>
      <c r="AJ321" s="211"/>
      <c r="AK321" s="212"/>
      <c r="AL321" s="211"/>
      <c r="AM321" s="210"/>
      <c r="AN321" s="210"/>
    </row>
    <row r="322" spans="1:40" x14ac:dyDescent="0.25">
      <c r="A322" s="202"/>
      <c r="C322" s="154"/>
      <c r="F322" s="252"/>
      <c r="H322" s="252"/>
      <c r="I322" s="252"/>
      <c r="J322" s="328"/>
      <c r="K322" s="328"/>
      <c r="L322" s="200"/>
      <c r="M322" s="200"/>
      <c r="N322" s="210"/>
      <c r="O322" s="210"/>
      <c r="P322" s="200"/>
      <c r="Q322" s="200"/>
      <c r="R322" s="200"/>
      <c r="S322" s="200"/>
      <c r="T322" s="154"/>
      <c r="V322" s="252"/>
      <c r="Y322" s="252"/>
      <c r="Z322" s="328"/>
      <c r="AA322" s="200"/>
      <c r="AB322" s="200"/>
      <c r="AC322" s="210"/>
      <c r="AD322" s="210"/>
      <c r="AE322" s="200"/>
      <c r="AF322" s="200"/>
      <c r="AG322" s="209"/>
      <c r="AH322" s="210"/>
      <c r="AI322" s="200"/>
      <c r="AJ322" s="200"/>
      <c r="AK322" s="209"/>
      <c r="AL322" s="200"/>
      <c r="AM322" s="210"/>
      <c r="AN322" s="210"/>
    </row>
    <row r="323" spans="1:40" x14ac:dyDescent="0.25">
      <c r="A323" s="202"/>
      <c r="C323" s="154"/>
      <c r="F323" s="252"/>
      <c r="H323" s="252"/>
      <c r="I323" s="252"/>
      <c r="J323" s="300"/>
      <c r="K323" s="300"/>
      <c r="L323" s="200"/>
      <c r="M323" s="200"/>
      <c r="N323" s="210"/>
      <c r="O323" s="210"/>
      <c r="P323" s="200"/>
      <c r="Q323" s="200"/>
      <c r="R323" s="200"/>
      <c r="T323" s="154"/>
      <c r="V323" s="252"/>
      <c r="Y323" s="200"/>
      <c r="Z323" s="300"/>
      <c r="AA323" s="200"/>
      <c r="AB323" s="200"/>
      <c r="AC323" s="210"/>
      <c r="AD323" s="210"/>
      <c r="AE323" s="200"/>
      <c r="AF323" s="200"/>
      <c r="AG323" s="209"/>
      <c r="AH323" s="201"/>
      <c r="AI323" s="200"/>
      <c r="AJ323" s="200"/>
      <c r="AK323" s="209"/>
      <c r="AL323" s="200"/>
      <c r="AM323" s="210"/>
      <c r="AN323" s="210"/>
    </row>
    <row r="324" spans="1:40" x14ac:dyDescent="0.25">
      <c r="A324" s="202"/>
      <c r="C324" s="154"/>
      <c r="F324" s="252"/>
      <c r="H324" s="252"/>
      <c r="I324" s="252"/>
      <c r="J324" s="300"/>
      <c r="K324" s="300"/>
      <c r="L324" s="200"/>
      <c r="M324" s="200"/>
      <c r="N324" s="210"/>
      <c r="O324" s="210"/>
      <c r="P324" s="200"/>
      <c r="Q324" s="200"/>
      <c r="R324" s="200"/>
      <c r="T324" s="154"/>
      <c r="V324" s="252"/>
      <c r="Y324" s="200"/>
      <c r="Z324" s="300"/>
      <c r="AA324" s="200"/>
      <c r="AB324" s="200"/>
      <c r="AC324" s="210"/>
      <c r="AD324" s="210"/>
      <c r="AE324" s="200"/>
      <c r="AF324" s="200"/>
      <c r="AG324" s="209"/>
      <c r="AH324" s="201"/>
      <c r="AI324" s="200"/>
      <c r="AJ324" s="200"/>
      <c r="AK324" s="209"/>
      <c r="AL324" s="200"/>
      <c r="AM324" s="210"/>
      <c r="AN324" s="210"/>
    </row>
    <row r="325" spans="1:40" x14ac:dyDescent="0.25">
      <c r="F325" s="211"/>
      <c r="H325" s="211"/>
      <c r="I325" s="211"/>
      <c r="J325" s="305"/>
      <c r="K325" s="305"/>
      <c r="L325" s="211"/>
      <c r="M325" s="211"/>
      <c r="N325" s="211"/>
      <c r="O325" s="211"/>
      <c r="P325" s="211"/>
      <c r="Q325" s="211"/>
      <c r="R325" s="211"/>
      <c r="V325" s="211"/>
      <c r="Y325" s="211"/>
      <c r="Z325" s="305"/>
      <c r="AA325" s="211"/>
      <c r="AB325" s="211"/>
      <c r="AC325" s="211"/>
      <c r="AD325" s="211"/>
      <c r="AE325" s="211"/>
      <c r="AF325" s="211"/>
      <c r="AI325" s="211"/>
      <c r="AJ325" s="211"/>
      <c r="AK325" s="212"/>
      <c r="AL325" s="211"/>
      <c r="AM325" s="210"/>
      <c r="AN325" s="210"/>
    </row>
    <row r="326" spans="1:40" x14ac:dyDescent="0.25">
      <c r="A326" s="202"/>
      <c r="C326" s="154"/>
      <c r="F326" s="200"/>
      <c r="H326" s="200"/>
      <c r="I326" s="200"/>
      <c r="J326" s="213"/>
      <c r="K326" s="213"/>
      <c r="L326" s="200"/>
      <c r="M326" s="200"/>
      <c r="N326" s="210"/>
      <c r="O326" s="210"/>
      <c r="P326" s="200"/>
      <c r="Q326" s="200"/>
      <c r="R326" s="200"/>
      <c r="T326" s="154"/>
      <c r="V326" s="200"/>
      <c r="Y326" s="200"/>
      <c r="Z326" s="213"/>
      <c r="AA326" s="200"/>
      <c r="AB326" s="200"/>
      <c r="AC326" s="210"/>
      <c r="AD326" s="210"/>
      <c r="AE326" s="200"/>
      <c r="AF326" s="200"/>
      <c r="AG326" s="209"/>
      <c r="AH326" s="201"/>
      <c r="AI326" s="200"/>
      <c r="AJ326" s="200"/>
      <c r="AK326" s="209"/>
      <c r="AL326" s="200"/>
      <c r="AM326" s="210"/>
      <c r="AN326" s="210"/>
    </row>
    <row r="327" spans="1:40" x14ac:dyDescent="0.25">
      <c r="F327" s="211"/>
      <c r="H327" s="211"/>
      <c r="I327" s="211"/>
      <c r="J327" s="305"/>
      <c r="K327" s="305"/>
      <c r="L327" s="211"/>
      <c r="M327" s="211"/>
      <c r="N327" s="211"/>
      <c r="O327" s="211"/>
      <c r="P327" s="211"/>
      <c r="Q327" s="211"/>
      <c r="R327" s="211"/>
      <c r="V327" s="211"/>
      <c r="Y327" s="211"/>
      <c r="Z327" s="305"/>
      <c r="AA327" s="211"/>
      <c r="AB327" s="211"/>
      <c r="AC327" s="211"/>
      <c r="AD327" s="211"/>
      <c r="AE327" s="211"/>
      <c r="AF327" s="211"/>
      <c r="AI327" s="211"/>
      <c r="AJ327" s="211"/>
      <c r="AK327" s="212"/>
      <c r="AL327" s="211"/>
      <c r="AM327" s="210"/>
      <c r="AN327" s="210"/>
    </row>
    <row r="328" spans="1:40" x14ac:dyDescent="0.25">
      <c r="A328" s="202"/>
      <c r="C328" s="154"/>
      <c r="F328" s="200"/>
      <c r="H328" s="200"/>
      <c r="I328" s="200"/>
      <c r="J328" s="213"/>
      <c r="K328" s="213"/>
      <c r="L328" s="200"/>
      <c r="M328" s="200"/>
      <c r="N328" s="210"/>
      <c r="O328" s="210"/>
      <c r="P328" s="200"/>
      <c r="Q328" s="200"/>
      <c r="R328" s="200"/>
      <c r="T328" s="154"/>
      <c r="V328" s="200"/>
      <c r="Y328" s="200"/>
      <c r="Z328" s="213"/>
      <c r="AA328" s="200"/>
      <c r="AB328" s="200"/>
      <c r="AC328" s="210"/>
      <c r="AD328" s="210"/>
      <c r="AE328" s="200"/>
      <c r="AF328" s="200"/>
      <c r="AG328" s="209"/>
      <c r="AH328" s="201"/>
      <c r="AI328" s="200"/>
      <c r="AJ328" s="200"/>
      <c r="AK328" s="209"/>
      <c r="AL328" s="200"/>
      <c r="AM328" s="210"/>
      <c r="AN328" s="210"/>
    </row>
    <row r="329" spans="1:40" x14ac:dyDescent="0.25">
      <c r="A329" s="202"/>
      <c r="C329" s="154"/>
      <c r="F329" s="200"/>
      <c r="H329" s="252"/>
      <c r="I329" s="252"/>
      <c r="J329" s="320"/>
      <c r="K329" s="320"/>
      <c r="L329" s="200"/>
      <c r="M329" s="200"/>
      <c r="N329" s="210"/>
      <c r="O329" s="210"/>
      <c r="P329" s="200"/>
      <c r="Q329" s="200"/>
      <c r="R329" s="200"/>
      <c r="T329" s="154"/>
      <c r="V329" s="200"/>
      <c r="Y329" s="200"/>
      <c r="Z329" s="304"/>
      <c r="AA329" s="200"/>
      <c r="AB329" s="200"/>
      <c r="AC329" s="210"/>
      <c r="AD329" s="210"/>
      <c r="AE329" s="200"/>
      <c r="AF329" s="200"/>
      <c r="AG329" s="209"/>
      <c r="AH329" s="201"/>
      <c r="AI329" s="200"/>
      <c r="AJ329" s="200"/>
      <c r="AK329" s="209"/>
      <c r="AL329" s="200"/>
      <c r="AM329" s="210"/>
      <c r="AN329" s="210"/>
    </row>
    <row r="330" spans="1:40" x14ac:dyDescent="0.25">
      <c r="F330" s="211"/>
      <c r="H330" s="211"/>
      <c r="I330" s="211"/>
      <c r="J330" s="305"/>
      <c r="K330" s="305"/>
      <c r="L330" s="211"/>
      <c r="M330" s="211"/>
      <c r="N330" s="211"/>
      <c r="O330" s="211"/>
      <c r="P330" s="211"/>
      <c r="Q330" s="211"/>
      <c r="R330" s="211"/>
      <c r="V330" s="211"/>
      <c r="Y330" s="211"/>
      <c r="Z330" s="305"/>
      <c r="AA330" s="211"/>
      <c r="AB330" s="211"/>
      <c r="AC330" s="211"/>
      <c r="AD330" s="211"/>
      <c r="AE330" s="211"/>
      <c r="AF330" s="211"/>
      <c r="AI330" s="211"/>
      <c r="AJ330" s="211"/>
      <c r="AK330" s="212"/>
      <c r="AL330" s="211"/>
      <c r="AM330" s="210"/>
      <c r="AN330" s="210"/>
    </row>
    <row r="332" spans="1:40" x14ac:dyDescent="0.25">
      <c r="A332" s="202"/>
      <c r="C332" s="154"/>
      <c r="F332" s="200"/>
      <c r="H332" s="200"/>
      <c r="I332" s="200"/>
      <c r="J332" s="305"/>
      <c r="K332" s="305"/>
      <c r="L332" s="200"/>
      <c r="M332" s="200"/>
      <c r="N332" s="210"/>
      <c r="O332" s="210"/>
      <c r="P332" s="200"/>
      <c r="Q332" s="200"/>
      <c r="R332" s="200"/>
      <c r="S332" s="200"/>
      <c r="T332" s="154"/>
      <c r="V332" s="200"/>
      <c r="Y332" s="200"/>
      <c r="Z332" s="305"/>
      <c r="AA332" s="200"/>
      <c r="AB332" s="200"/>
      <c r="AC332" s="210"/>
      <c r="AD332" s="210"/>
      <c r="AE332" s="200"/>
      <c r="AF332" s="200"/>
      <c r="AG332" s="209"/>
      <c r="AH332" s="210"/>
      <c r="AI332" s="200"/>
      <c r="AJ332" s="200"/>
      <c r="AK332" s="209"/>
      <c r="AL332" s="200"/>
      <c r="AM332" s="210"/>
      <c r="AN332" s="210"/>
    </row>
    <row r="333" spans="1:40" x14ac:dyDescent="0.25">
      <c r="F333" s="211"/>
      <c r="H333" s="211"/>
      <c r="I333" s="211"/>
      <c r="J333" s="305"/>
      <c r="K333" s="305"/>
      <c r="L333" s="211"/>
      <c r="M333" s="211"/>
      <c r="N333" s="211"/>
      <c r="O333" s="211"/>
      <c r="P333" s="211"/>
      <c r="Q333" s="211"/>
      <c r="R333" s="211"/>
      <c r="S333" s="200"/>
      <c r="V333" s="211"/>
      <c r="Y333" s="211"/>
      <c r="Z333" s="305"/>
      <c r="AA333" s="211"/>
      <c r="AB333" s="211"/>
      <c r="AC333" s="211"/>
      <c r="AD333" s="211"/>
      <c r="AE333" s="211"/>
      <c r="AF333" s="211"/>
      <c r="AI333" s="211"/>
      <c r="AJ333" s="211"/>
      <c r="AK333" s="212"/>
      <c r="AL333" s="211"/>
      <c r="AM333" s="210"/>
      <c r="AN333" s="210"/>
    </row>
    <row r="334" spans="1:40" x14ac:dyDescent="0.25">
      <c r="A334" s="202"/>
      <c r="C334" s="154"/>
      <c r="F334" s="252"/>
      <c r="H334" s="252"/>
      <c r="I334" s="252"/>
      <c r="J334" s="305"/>
      <c r="K334" s="305"/>
      <c r="L334" s="200"/>
      <c r="M334" s="200"/>
      <c r="N334" s="210"/>
      <c r="O334" s="210"/>
      <c r="P334" s="200"/>
      <c r="Q334" s="200"/>
      <c r="R334" s="200"/>
      <c r="S334" s="200"/>
      <c r="T334" s="154"/>
      <c r="V334" s="252"/>
      <c r="Y334" s="252"/>
      <c r="Z334" s="305"/>
      <c r="AA334" s="200"/>
      <c r="AB334" s="200"/>
      <c r="AC334" s="210"/>
      <c r="AD334" s="210"/>
      <c r="AE334" s="200"/>
      <c r="AF334" s="200"/>
      <c r="AI334" s="200"/>
      <c r="AJ334" s="200"/>
      <c r="AK334" s="209"/>
      <c r="AL334" s="200"/>
      <c r="AM334" s="210"/>
      <c r="AN334" s="210"/>
    </row>
    <row r="336" spans="1:40" x14ac:dyDescent="0.25">
      <c r="A336" s="202"/>
      <c r="C336" s="154"/>
      <c r="F336" s="252"/>
      <c r="H336" s="252"/>
      <c r="I336" s="252"/>
      <c r="J336" s="300"/>
      <c r="K336" s="300"/>
      <c r="L336" s="200"/>
      <c r="M336" s="200"/>
      <c r="N336" s="210"/>
      <c r="O336" s="210"/>
      <c r="P336" s="202"/>
      <c r="Q336" s="202"/>
      <c r="R336" s="200"/>
      <c r="T336" s="154"/>
      <c r="V336" s="200"/>
      <c r="Y336" s="252"/>
      <c r="Z336" s="300"/>
      <c r="AA336" s="200"/>
      <c r="AB336" s="200"/>
      <c r="AC336" s="210"/>
      <c r="AD336" s="210"/>
      <c r="AE336" s="200"/>
      <c r="AF336" s="200"/>
      <c r="AG336" s="209"/>
      <c r="AH336" s="201"/>
      <c r="AI336" s="202"/>
      <c r="AJ336" s="202"/>
      <c r="AK336" s="209"/>
      <c r="AL336" s="200"/>
      <c r="AM336" s="210"/>
      <c r="AN336" s="210"/>
    </row>
    <row r="337" spans="1:40" x14ac:dyDescent="0.25">
      <c r="F337" s="211"/>
      <c r="H337" s="200"/>
      <c r="I337" s="200"/>
      <c r="J337" s="305"/>
      <c r="K337" s="305"/>
      <c r="L337" s="211"/>
      <c r="M337" s="211"/>
      <c r="N337" s="211"/>
      <c r="O337" s="211"/>
      <c r="P337" s="211"/>
      <c r="Q337" s="211"/>
      <c r="R337" s="211"/>
      <c r="V337" s="211"/>
      <c r="Y337" s="200"/>
      <c r="Z337" s="305"/>
      <c r="AA337" s="211"/>
      <c r="AB337" s="211"/>
      <c r="AC337" s="211"/>
      <c r="AD337" s="211"/>
      <c r="AE337" s="211"/>
      <c r="AF337" s="211"/>
      <c r="AI337" s="211"/>
      <c r="AJ337" s="211"/>
      <c r="AK337" s="212"/>
      <c r="AL337" s="211"/>
      <c r="AM337" s="210"/>
      <c r="AN337" s="210"/>
    </row>
    <row r="338" spans="1:40" x14ac:dyDescent="0.25">
      <c r="A338" s="202"/>
      <c r="C338" s="154"/>
      <c r="F338" s="252"/>
      <c r="H338" s="252"/>
      <c r="I338" s="252"/>
      <c r="J338" s="328"/>
      <c r="K338" s="328"/>
      <c r="L338" s="200"/>
      <c r="M338" s="200"/>
      <c r="N338" s="210"/>
      <c r="O338" s="210"/>
      <c r="P338" s="200"/>
      <c r="Q338" s="200"/>
      <c r="R338" s="200"/>
      <c r="S338" s="200"/>
      <c r="T338" s="154"/>
      <c r="V338" s="252"/>
      <c r="Y338" s="252"/>
      <c r="Z338" s="328"/>
      <c r="AA338" s="200"/>
      <c r="AB338" s="200"/>
      <c r="AC338" s="210"/>
      <c r="AD338" s="210"/>
      <c r="AE338" s="200"/>
      <c r="AF338" s="200"/>
      <c r="AG338" s="209"/>
      <c r="AH338" s="210"/>
      <c r="AI338" s="200"/>
      <c r="AJ338" s="200"/>
      <c r="AK338" s="209"/>
      <c r="AL338" s="200"/>
      <c r="AM338" s="210"/>
      <c r="AN338" s="210"/>
    </row>
    <row r="339" spans="1:40" x14ac:dyDescent="0.25">
      <c r="A339" s="202"/>
      <c r="C339" s="154"/>
      <c r="F339" s="252"/>
      <c r="H339" s="252"/>
      <c r="I339" s="252"/>
      <c r="J339" s="300"/>
      <c r="K339" s="300"/>
      <c r="L339" s="200"/>
      <c r="M339" s="200"/>
      <c r="N339" s="210"/>
      <c r="O339" s="210"/>
      <c r="P339" s="200"/>
      <c r="Q339" s="200"/>
      <c r="R339" s="200"/>
      <c r="T339" s="154"/>
      <c r="V339" s="252"/>
      <c r="Y339" s="200"/>
      <c r="Z339" s="300"/>
      <c r="AA339" s="200"/>
      <c r="AB339" s="200"/>
      <c r="AC339" s="210"/>
      <c r="AD339" s="210"/>
      <c r="AE339" s="200"/>
      <c r="AF339" s="200"/>
      <c r="AG339" s="209"/>
      <c r="AH339" s="201"/>
      <c r="AI339" s="200"/>
      <c r="AJ339" s="200"/>
      <c r="AK339" s="209"/>
      <c r="AL339" s="200"/>
      <c r="AM339" s="210"/>
      <c r="AN339" s="210"/>
    </row>
    <row r="340" spans="1:40" x14ac:dyDescent="0.25">
      <c r="A340" s="202"/>
      <c r="C340" s="154"/>
      <c r="F340" s="252"/>
      <c r="H340" s="252"/>
      <c r="I340" s="252"/>
      <c r="J340" s="300"/>
      <c r="K340" s="300"/>
      <c r="L340" s="200"/>
      <c r="M340" s="200"/>
      <c r="N340" s="210"/>
      <c r="O340" s="210"/>
      <c r="P340" s="200"/>
      <c r="Q340" s="200"/>
      <c r="R340" s="200"/>
      <c r="T340" s="154"/>
      <c r="V340" s="252"/>
      <c r="Y340" s="200"/>
      <c r="Z340" s="300"/>
      <c r="AA340" s="200"/>
      <c r="AB340" s="200"/>
      <c r="AC340" s="210"/>
      <c r="AD340" s="210"/>
      <c r="AE340" s="200"/>
      <c r="AF340" s="200"/>
      <c r="AG340" s="209"/>
      <c r="AH340" s="201"/>
      <c r="AI340" s="200"/>
      <c r="AJ340" s="200"/>
      <c r="AK340" s="209"/>
      <c r="AL340" s="200"/>
      <c r="AM340" s="210"/>
      <c r="AN340" s="210"/>
    </row>
    <row r="341" spans="1:40" x14ac:dyDescent="0.25">
      <c r="F341" s="211"/>
      <c r="H341" s="211"/>
      <c r="I341" s="211"/>
      <c r="J341" s="305"/>
      <c r="K341" s="305"/>
      <c r="L341" s="211"/>
      <c r="M341" s="211"/>
      <c r="N341" s="211"/>
      <c r="O341" s="211"/>
      <c r="P341" s="211"/>
      <c r="Q341" s="211"/>
      <c r="R341" s="211"/>
      <c r="V341" s="211"/>
      <c r="Y341" s="211"/>
      <c r="Z341" s="305"/>
      <c r="AA341" s="211"/>
      <c r="AB341" s="211"/>
      <c r="AC341" s="211"/>
      <c r="AD341" s="211"/>
      <c r="AE341" s="211"/>
      <c r="AF341" s="211"/>
      <c r="AI341" s="211"/>
      <c r="AJ341" s="211"/>
      <c r="AK341" s="212"/>
      <c r="AL341" s="211"/>
      <c r="AM341" s="210"/>
      <c r="AN341" s="210"/>
    </row>
    <row r="342" spans="1:40" x14ac:dyDescent="0.25">
      <c r="A342" s="202"/>
      <c r="C342" s="154"/>
      <c r="F342" s="200"/>
      <c r="H342" s="200"/>
      <c r="I342" s="200"/>
      <c r="J342" s="213"/>
      <c r="K342" s="213"/>
      <c r="L342" s="200"/>
      <c r="M342" s="200"/>
      <c r="N342" s="210"/>
      <c r="O342" s="210"/>
      <c r="P342" s="200"/>
      <c r="Q342" s="200"/>
      <c r="R342" s="200"/>
      <c r="T342" s="154"/>
      <c r="V342" s="200"/>
      <c r="Y342" s="200"/>
      <c r="Z342" s="213"/>
      <c r="AA342" s="200"/>
      <c r="AB342" s="200"/>
      <c r="AC342" s="210"/>
      <c r="AD342" s="210"/>
      <c r="AE342" s="200"/>
      <c r="AF342" s="200"/>
      <c r="AG342" s="209"/>
      <c r="AH342" s="201"/>
      <c r="AI342" s="200"/>
      <c r="AJ342" s="200"/>
      <c r="AK342" s="209"/>
      <c r="AL342" s="200"/>
      <c r="AM342" s="210"/>
      <c r="AN342" s="210"/>
    </row>
    <row r="343" spans="1:40" x14ac:dyDescent="0.25">
      <c r="F343" s="211"/>
      <c r="H343" s="211"/>
      <c r="I343" s="211"/>
      <c r="J343" s="305"/>
      <c r="K343" s="305"/>
      <c r="L343" s="211"/>
      <c r="M343" s="211"/>
      <c r="N343" s="211"/>
      <c r="O343" s="211"/>
      <c r="P343" s="211"/>
      <c r="Q343" s="211"/>
      <c r="R343" s="211"/>
      <c r="V343" s="211"/>
      <c r="Y343" s="211"/>
      <c r="Z343" s="305"/>
      <c r="AA343" s="211"/>
      <c r="AB343" s="211"/>
      <c r="AC343" s="211"/>
      <c r="AD343" s="211"/>
      <c r="AE343" s="211"/>
      <c r="AF343" s="211"/>
      <c r="AI343" s="211"/>
      <c r="AJ343" s="211"/>
      <c r="AK343" s="212"/>
      <c r="AL343" s="211"/>
      <c r="AM343" s="210"/>
      <c r="AN343" s="210"/>
    </row>
    <row r="344" spans="1:40" x14ac:dyDescent="0.25">
      <c r="A344" s="202"/>
      <c r="C344" s="154"/>
      <c r="F344" s="200"/>
      <c r="H344" s="200"/>
      <c r="I344" s="200"/>
      <c r="J344" s="213"/>
      <c r="K344" s="213"/>
      <c r="L344" s="200"/>
      <c r="M344" s="200"/>
      <c r="N344" s="210"/>
      <c r="O344" s="210"/>
      <c r="P344" s="200"/>
      <c r="Q344" s="200"/>
      <c r="R344" s="200"/>
      <c r="T344" s="154"/>
      <c r="V344" s="200"/>
      <c r="Y344" s="200"/>
      <c r="Z344" s="213"/>
      <c r="AA344" s="200"/>
      <c r="AB344" s="200"/>
      <c r="AC344" s="210"/>
      <c r="AD344" s="210"/>
      <c r="AE344" s="200"/>
      <c r="AF344" s="200"/>
      <c r="AG344" s="209"/>
      <c r="AH344" s="201"/>
      <c r="AI344" s="200"/>
      <c r="AJ344" s="200"/>
      <c r="AK344" s="209"/>
      <c r="AL344" s="200"/>
      <c r="AM344" s="210"/>
      <c r="AN344" s="210"/>
    </row>
    <row r="345" spans="1:40" x14ac:dyDescent="0.25">
      <c r="A345" s="202"/>
      <c r="C345" s="154"/>
      <c r="F345" s="200"/>
      <c r="H345" s="252"/>
      <c r="I345" s="252"/>
      <c r="J345" s="320"/>
      <c r="K345" s="320"/>
      <c r="L345" s="200"/>
      <c r="M345" s="200"/>
      <c r="N345" s="210"/>
      <c r="O345" s="210"/>
      <c r="P345" s="200"/>
      <c r="Q345" s="200"/>
      <c r="R345" s="200"/>
      <c r="T345" s="154"/>
      <c r="V345" s="200"/>
      <c r="Y345" s="200"/>
      <c r="Z345" s="304"/>
      <c r="AA345" s="200"/>
      <c r="AB345" s="200"/>
      <c r="AC345" s="210"/>
      <c r="AD345" s="210"/>
      <c r="AE345" s="200"/>
      <c r="AF345" s="200"/>
      <c r="AG345" s="209"/>
      <c r="AH345" s="201"/>
      <c r="AI345" s="200"/>
      <c r="AJ345" s="200"/>
      <c r="AK345" s="209"/>
      <c r="AL345" s="200"/>
      <c r="AM345" s="210"/>
      <c r="AN345" s="210"/>
    </row>
    <row r="346" spans="1:40" x14ac:dyDescent="0.25">
      <c r="F346" s="211"/>
      <c r="H346" s="211"/>
      <c r="I346" s="211"/>
      <c r="J346" s="305"/>
      <c r="K346" s="305"/>
      <c r="L346" s="211"/>
      <c r="M346" s="211"/>
      <c r="N346" s="211"/>
      <c r="O346" s="211"/>
      <c r="P346" s="211"/>
      <c r="Q346" s="211"/>
      <c r="R346" s="211"/>
      <c r="V346" s="211"/>
      <c r="Y346" s="211"/>
      <c r="Z346" s="305"/>
      <c r="AA346" s="211"/>
      <c r="AB346" s="211"/>
      <c r="AC346" s="211"/>
      <c r="AD346" s="211"/>
      <c r="AE346" s="211"/>
      <c r="AF346" s="211"/>
      <c r="AI346" s="211"/>
      <c r="AJ346" s="211"/>
      <c r="AK346" s="212"/>
      <c r="AL346" s="211"/>
      <c r="AM346" s="210"/>
      <c r="AN346" s="210"/>
    </row>
    <row r="348" spans="1:40" x14ac:dyDescent="0.25">
      <c r="A348" s="202"/>
      <c r="C348" s="154"/>
      <c r="F348" s="200"/>
      <c r="H348" s="200"/>
      <c r="I348" s="200"/>
      <c r="J348" s="305"/>
      <c r="K348" s="305"/>
      <c r="L348" s="200"/>
      <c r="M348" s="200"/>
      <c r="N348" s="210"/>
      <c r="O348" s="210"/>
      <c r="P348" s="200"/>
      <c r="Q348" s="200"/>
      <c r="R348" s="200"/>
      <c r="S348" s="200"/>
      <c r="T348" s="154"/>
      <c r="V348" s="200"/>
      <c r="Y348" s="200"/>
      <c r="Z348" s="305"/>
      <c r="AA348" s="200"/>
      <c r="AB348" s="200"/>
      <c r="AC348" s="210"/>
      <c r="AD348" s="210"/>
      <c r="AE348" s="200"/>
      <c r="AF348" s="200"/>
      <c r="AG348" s="209"/>
      <c r="AH348" s="210"/>
      <c r="AI348" s="200"/>
      <c r="AJ348" s="200"/>
      <c r="AK348" s="209"/>
      <c r="AL348" s="200"/>
      <c r="AM348" s="210"/>
      <c r="AN348" s="210"/>
    </row>
    <row r="349" spans="1:40" x14ac:dyDescent="0.25">
      <c r="F349" s="211"/>
      <c r="H349" s="211"/>
      <c r="I349" s="211"/>
      <c r="J349" s="305"/>
      <c r="K349" s="305"/>
      <c r="L349" s="211"/>
      <c r="M349" s="211"/>
      <c r="N349" s="211"/>
      <c r="O349" s="211"/>
      <c r="P349" s="211"/>
      <c r="Q349" s="211"/>
      <c r="R349" s="211"/>
      <c r="S349" s="200"/>
      <c r="V349" s="211"/>
      <c r="Y349" s="211"/>
      <c r="Z349" s="305"/>
      <c r="AA349" s="211"/>
      <c r="AB349" s="211"/>
      <c r="AC349" s="211"/>
      <c r="AD349" s="211"/>
      <c r="AE349" s="211"/>
      <c r="AF349" s="211"/>
      <c r="AI349" s="211"/>
      <c r="AJ349" s="211"/>
      <c r="AK349" s="212"/>
      <c r="AL349" s="211"/>
      <c r="AM349" s="210"/>
      <c r="AN349" s="210"/>
    </row>
    <row r="350" spans="1:40" x14ac:dyDescent="0.25">
      <c r="A350" s="202"/>
      <c r="C350" s="154"/>
      <c r="T350" s="154"/>
    </row>
    <row r="351" spans="1:40" x14ac:dyDescent="0.25">
      <c r="A351" s="202"/>
      <c r="C351" s="154"/>
      <c r="F351" s="200"/>
      <c r="H351" s="200"/>
      <c r="I351" s="200"/>
      <c r="L351" s="200"/>
      <c r="M351" s="200"/>
      <c r="N351" s="210"/>
      <c r="O351" s="210"/>
      <c r="P351" s="252"/>
      <c r="Q351" s="252"/>
      <c r="R351" s="200"/>
      <c r="T351" s="154"/>
      <c r="V351" s="200"/>
      <c r="Y351" s="200"/>
      <c r="AA351" s="200"/>
      <c r="AB351" s="200"/>
      <c r="AC351" s="210"/>
      <c r="AD351" s="210"/>
      <c r="AE351" s="200"/>
      <c r="AF351" s="200"/>
      <c r="AG351" s="209"/>
      <c r="AH351" s="210"/>
      <c r="AI351" s="252"/>
      <c r="AJ351" s="252"/>
      <c r="AK351" s="209"/>
      <c r="AL351" s="200"/>
      <c r="AM351" s="210"/>
      <c r="AN351" s="210"/>
    </row>
    <row r="352" spans="1:40" x14ac:dyDescent="0.25">
      <c r="F352" s="211"/>
      <c r="H352" s="211"/>
      <c r="I352" s="211"/>
      <c r="J352" s="305"/>
      <c r="K352" s="305"/>
      <c r="L352" s="211"/>
      <c r="M352" s="211"/>
      <c r="N352" s="211"/>
      <c r="O352" s="211"/>
      <c r="P352" s="211"/>
      <c r="Q352" s="211"/>
      <c r="R352" s="211"/>
      <c r="V352" s="211"/>
      <c r="Y352" s="211"/>
      <c r="Z352" s="305"/>
      <c r="AA352" s="211"/>
      <c r="AB352" s="211"/>
      <c r="AC352" s="211"/>
      <c r="AD352" s="211"/>
      <c r="AE352" s="211"/>
      <c r="AF352" s="211"/>
      <c r="AI352" s="211"/>
      <c r="AJ352" s="211"/>
      <c r="AK352" s="212"/>
      <c r="AL352" s="211"/>
    </row>
    <row r="354" spans="1:40" x14ac:dyDescent="0.25">
      <c r="C354" s="154"/>
      <c r="L354" s="200"/>
      <c r="M354" s="200"/>
      <c r="N354" s="200"/>
      <c r="O354" s="200"/>
      <c r="P354" s="200"/>
      <c r="Q354" s="200"/>
      <c r="R354" s="200"/>
      <c r="S354" s="200"/>
      <c r="T354" s="154"/>
      <c r="AA354" s="200"/>
      <c r="AB354" s="200"/>
      <c r="AC354" s="200"/>
      <c r="AD354" s="200"/>
      <c r="AI354" s="200"/>
      <c r="AJ354" s="200"/>
      <c r="AK354" s="209"/>
      <c r="AL354" s="200"/>
    </row>
    <row r="355" spans="1:40" x14ac:dyDescent="0.25">
      <c r="A355" s="154"/>
    </row>
    <row r="356" spans="1:40" x14ac:dyDescent="0.25">
      <c r="J356" s="202"/>
      <c r="K356" s="202"/>
      <c r="Z356" s="202"/>
    </row>
    <row r="357" spans="1:40" x14ac:dyDescent="0.25">
      <c r="H357" s="154"/>
      <c r="I357" s="154"/>
      <c r="Y357" s="154"/>
    </row>
    <row r="358" spans="1:40" x14ac:dyDescent="0.25">
      <c r="J358" s="202"/>
      <c r="K358" s="202"/>
      <c r="Z358" s="202"/>
    </row>
    <row r="359" spans="1:40" x14ac:dyDescent="0.25">
      <c r="L359" s="154"/>
      <c r="M359" s="154"/>
      <c r="AA359" s="154"/>
      <c r="AB359" s="154"/>
    </row>
    <row r="360" spans="1:40" x14ac:dyDescent="0.25">
      <c r="A360" s="202"/>
      <c r="R360" s="154"/>
      <c r="AK360" s="297"/>
      <c r="AL360" s="154"/>
    </row>
    <row r="361" spans="1:40" x14ac:dyDescent="0.25">
      <c r="A361" s="202"/>
      <c r="R361" s="154"/>
      <c r="AK361" s="297"/>
      <c r="AL361" s="154"/>
    </row>
    <row r="362" spans="1:40" x14ac:dyDescent="0.25">
      <c r="A362" s="154"/>
      <c r="R362" s="154"/>
      <c r="AK362" s="297"/>
      <c r="AL362" s="154"/>
    </row>
    <row r="363" spans="1:40" x14ac:dyDescent="0.25">
      <c r="L363" s="154"/>
      <c r="M363" s="154"/>
      <c r="R363" s="202"/>
      <c r="AA363" s="154"/>
      <c r="AB363" s="154"/>
      <c r="AK363" s="209"/>
      <c r="AL363" s="202"/>
    </row>
    <row r="364" spans="1:40" x14ac:dyDescent="0.25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208"/>
      <c r="AH364" s="102"/>
      <c r="AI364" s="102"/>
      <c r="AJ364" s="102"/>
      <c r="AK364" s="208"/>
      <c r="AL364" s="102"/>
      <c r="AM364" s="102"/>
      <c r="AN364" s="102"/>
    </row>
    <row r="365" spans="1:40" x14ac:dyDescent="0.25">
      <c r="L365" s="103"/>
      <c r="M365" s="103"/>
      <c r="N365" s="103"/>
      <c r="O365" s="103"/>
      <c r="R365" s="103"/>
      <c r="AA365" s="103"/>
      <c r="AB365" s="103"/>
      <c r="AC365" s="103"/>
      <c r="AD365" s="103"/>
      <c r="AE365" s="103"/>
      <c r="AF365" s="103"/>
      <c r="AG365" s="185"/>
      <c r="AH365" s="103"/>
      <c r="AK365" s="185"/>
      <c r="AL365" s="103"/>
      <c r="AM365" s="103"/>
      <c r="AN365" s="103"/>
    </row>
    <row r="366" spans="1:40" x14ac:dyDescent="0.25">
      <c r="L366" s="103"/>
      <c r="M366" s="103"/>
      <c r="N366" s="103"/>
      <c r="O366" s="103"/>
      <c r="R366" s="103"/>
      <c r="Z366" s="103"/>
      <c r="AA366" s="103"/>
      <c r="AB366" s="103"/>
      <c r="AC366" s="103"/>
      <c r="AD366" s="103"/>
      <c r="AE366" s="103"/>
      <c r="AF366" s="103"/>
      <c r="AG366" s="185"/>
      <c r="AH366" s="103"/>
      <c r="AK366" s="185"/>
      <c r="AL366" s="103"/>
      <c r="AM366" s="103"/>
      <c r="AN366" s="103"/>
    </row>
    <row r="367" spans="1:40" x14ac:dyDescent="0.25">
      <c r="A367" s="103"/>
      <c r="C367" s="103"/>
      <c r="D367" s="103"/>
      <c r="E367" s="103"/>
      <c r="F367" s="103"/>
      <c r="J367" s="103"/>
      <c r="K367" s="103"/>
      <c r="L367" s="103"/>
      <c r="M367" s="103"/>
      <c r="N367" s="103"/>
      <c r="O367" s="103"/>
      <c r="P367" s="103"/>
      <c r="Q367" s="103"/>
      <c r="R367" s="103"/>
      <c r="T367" s="103"/>
      <c r="U367" s="103"/>
      <c r="V367" s="103"/>
      <c r="Z367" s="103"/>
      <c r="AA367" s="103"/>
      <c r="AB367" s="103"/>
      <c r="AC367" s="103"/>
      <c r="AD367" s="103"/>
      <c r="AE367" s="103"/>
      <c r="AF367" s="103"/>
      <c r="AG367" s="185"/>
      <c r="AH367" s="103"/>
      <c r="AI367" s="103"/>
      <c r="AJ367" s="103"/>
      <c r="AK367" s="185"/>
      <c r="AL367" s="103"/>
      <c r="AM367" s="103"/>
      <c r="AN367" s="103"/>
    </row>
    <row r="368" spans="1:40" x14ac:dyDescent="0.25">
      <c r="A368" s="103"/>
      <c r="C368" s="103"/>
      <c r="D368" s="103"/>
      <c r="E368" s="103"/>
      <c r="F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T368" s="103"/>
      <c r="U368" s="103"/>
      <c r="V368" s="103"/>
      <c r="Y368" s="103"/>
      <c r="Z368" s="103"/>
      <c r="AA368" s="103"/>
      <c r="AB368" s="103"/>
      <c r="AC368" s="103"/>
      <c r="AD368" s="103"/>
      <c r="AE368" s="103"/>
      <c r="AF368" s="103"/>
      <c r="AG368" s="185"/>
      <c r="AH368" s="103"/>
      <c r="AI368" s="103"/>
      <c r="AJ368" s="103"/>
      <c r="AK368" s="185"/>
      <c r="AL368" s="103"/>
      <c r="AM368" s="103"/>
      <c r="AN368" s="103"/>
    </row>
    <row r="369" spans="1:40" x14ac:dyDescent="0.25">
      <c r="C369" s="103"/>
      <c r="D369" s="103"/>
      <c r="E369" s="103"/>
      <c r="F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T369" s="103"/>
      <c r="U369" s="103"/>
      <c r="V369" s="103"/>
      <c r="Y369" s="103"/>
      <c r="Z369" s="103"/>
      <c r="AA369" s="103"/>
      <c r="AB369" s="103"/>
      <c r="AC369" s="103"/>
      <c r="AD369" s="103"/>
      <c r="AE369" s="103"/>
      <c r="AF369" s="103"/>
      <c r="AG369" s="185"/>
      <c r="AH369" s="103"/>
      <c r="AI369" s="103"/>
      <c r="AJ369" s="103"/>
      <c r="AK369" s="185"/>
      <c r="AL369" s="103"/>
      <c r="AM369" s="103"/>
      <c r="AN369" s="103"/>
    </row>
    <row r="370" spans="1:40" x14ac:dyDescent="0.25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208"/>
      <c r="AH370" s="102"/>
      <c r="AI370" s="102"/>
      <c r="AJ370" s="102"/>
      <c r="AK370" s="208"/>
      <c r="AL370" s="102"/>
      <c r="AM370" s="102"/>
      <c r="AN370" s="102"/>
    </row>
    <row r="371" spans="1:40" x14ac:dyDescent="0.25"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Y371" s="103"/>
      <c r="Z371" s="103"/>
      <c r="AA371" s="103"/>
      <c r="AB371" s="103"/>
      <c r="AC371" s="103"/>
      <c r="AD371" s="103"/>
      <c r="AE371" s="103"/>
      <c r="AF371" s="103"/>
      <c r="AG371" s="185"/>
      <c r="AH371" s="103"/>
      <c r="AI371" s="103"/>
      <c r="AJ371" s="103"/>
      <c r="AK371" s="185"/>
      <c r="AL371" s="103"/>
      <c r="AM371" s="103"/>
      <c r="AN371" s="103"/>
    </row>
    <row r="372" spans="1:40" x14ac:dyDescent="0.25">
      <c r="A372" s="202"/>
      <c r="C372" s="154"/>
      <c r="D372" s="154"/>
      <c r="E372" s="154"/>
      <c r="T372" s="154"/>
      <c r="U372" s="154"/>
    </row>
    <row r="373" spans="1:40" x14ac:dyDescent="0.25">
      <c r="D373" s="154"/>
      <c r="E373" s="154"/>
      <c r="U373" s="154"/>
    </row>
    <row r="375" spans="1:40" x14ac:dyDescent="0.25">
      <c r="A375" s="202"/>
      <c r="C375" s="154"/>
      <c r="T375" s="154"/>
    </row>
    <row r="376" spans="1:40" x14ac:dyDescent="0.25">
      <c r="A376" s="202"/>
      <c r="C376" s="154"/>
      <c r="F376" s="252"/>
      <c r="H376" s="252"/>
      <c r="I376" s="252"/>
      <c r="J376" s="329"/>
      <c r="K376" s="329"/>
      <c r="L376" s="200"/>
      <c r="M376" s="200"/>
      <c r="N376" s="210"/>
      <c r="O376" s="210"/>
      <c r="P376" s="200"/>
      <c r="Q376" s="200"/>
      <c r="R376" s="200"/>
      <c r="T376" s="154"/>
      <c r="V376" s="252"/>
      <c r="W376" s="200"/>
      <c r="X376" s="200"/>
      <c r="Y376" s="252"/>
      <c r="Z376" s="329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A377" s="202"/>
      <c r="C377" s="154"/>
      <c r="F377" s="200"/>
      <c r="H377" s="200"/>
      <c r="I377" s="200"/>
      <c r="J377" s="305"/>
      <c r="K377" s="305"/>
      <c r="L377" s="200"/>
      <c r="M377" s="200"/>
      <c r="N377" s="210"/>
      <c r="O377" s="210"/>
      <c r="P377" s="200"/>
      <c r="Q377" s="200"/>
      <c r="R377" s="200"/>
      <c r="T377" s="154"/>
      <c r="V377" s="252"/>
      <c r="W377" s="200"/>
      <c r="X377" s="200"/>
      <c r="Y377" s="252"/>
      <c r="Z377" s="305"/>
      <c r="AA377" s="200"/>
      <c r="AB377" s="200"/>
      <c r="AC377" s="210"/>
      <c r="AD377" s="210"/>
      <c r="AE377" s="200"/>
      <c r="AF377" s="200"/>
      <c r="AG377" s="209"/>
      <c r="AH377" s="201"/>
      <c r="AI377" s="200"/>
      <c r="AJ377" s="200"/>
      <c r="AK377" s="209"/>
      <c r="AL377" s="200"/>
      <c r="AM377" s="210"/>
      <c r="AN377" s="210"/>
    </row>
    <row r="378" spans="1:40" x14ac:dyDescent="0.25">
      <c r="A378" s="202"/>
      <c r="C378" s="154"/>
      <c r="F378" s="252"/>
      <c r="H378" s="252"/>
      <c r="I378" s="252"/>
      <c r="J378" s="329"/>
      <c r="K378" s="329"/>
      <c r="L378" s="200"/>
      <c r="M378" s="200"/>
      <c r="N378" s="210"/>
      <c r="O378" s="210"/>
      <c r="P378" s="200"/>
      <c r="Q378" s="200"/>
      <c r="R378" s="200"/>
      <c r="T378" s="154"/>
      <c r="V378" s="252"/>
      <c r="W378" s="200"/>
      <c r="X378" s="200"/>
      <c r="Y378" s="252"/>
      <c r="Z378" s="329"/>
      <c r="AA378" s="200"/>
      <c r="AB378" s="200"/>
      <c r="AC378" s="210"/>
      <c r="AD378" s="210"/>
      <c r="AE378" s="200"/>
      <c r="AF378" s="200"/>
      <c r="AG378" s="209"/>
      <c r="AH378" s="201"/>
      <c r="AI378" s="200"/>
      <c r="AJ378" s="200"/>
      <c r="AK378" s="209"/>
      <c r="AL378" s="200"/>
      <c r="AM378" s="210"/>
      <c r="AN378" s="210"/>
    </row>
    <row r="379" spans="1:40" x14ac:dyDescent="0.25">
      <c r="A379" s="202"/>
      <c r="C379" s="154"/>
      <c r="F379" s="252"/>
      <c r="H379" s="252"/>
      <c r="I379" s="252"/>
      <c r="J379" s="329"/>
      <c r="K379" s="329"/>
      <c r="L379" s="200"/>
      <c r="M379" s="200"/>
      <c r="N379" s="210"/>
      <c r="O379" s="210"/>
      <c r="P379" s="200"/>
      <c r="Q379" s="200"/>
      <c r="R379" s="200"/>
      <c r="T379" s="154"/>
      <c r="V379" s="252"/>
      <c r="W379" s="200"/>
      <c r="X379" s="200"/>
      <c r="Y379" s="252"/>
      <c r="Z379" s="329"/>
      <c r="AA379" s="200"/>
      <c r="AB379" s="200"/>
      <c r="AC379" s="210"/>
      <c r="AD379" s="210"/>
      <c r="AE379" s="200"/>
      <c r="AF379" s="200"/>
      <c r="AG379" s="209"/>
      <c r="AH379" s="201"/>
      <c r="AI379" s="200"/>
      <c r="AJ379" s="200"/>
      <c r="AK379" s="209"/>
      <c r="AL379" s="200"/>
      <c r="AM379" s="210"/>
      <c r="AN379" s="210"/>
    </row>
    <row r="380" spans="1:40" x14ac:dyDescent="0.25">
      <c r="A380" s="202"/>
      <c r="C380" s="154"/>
      <c r="F380" s="252"/>
      <c r="H380" s="252"/>
      <c r="I380" s="252"/>
      <c r="J380" s="329"/>
      <c r="K380" s="329"/>
      <c r="L380" s="200"/>
      <c r="M380" s="200"/>
      <c r="N380" s="210"/>
      <c r="O380" s="210"/>
      <c r="P380" s="200"/>
      <c r="Q380" s="200"/>
      <c r="R380" s="200"/>
      <c r="T380" s="154"/>
      <c r="V380" s="252"/>
      <c r="W380" s="200"/>
      <c r="X380" s="200"/>
      <c r="Y380" s="252"/>
      <c r="Z380" s="329"/>
      <c r="AA380" s="200"/>
      <c r="AB380" s="200"/>
      <c r="AC380" s="210"/>
      <c r="AD380" s="210"/>
      <c r="AE380" s="200"/>
      <c r="AF380" s="200"/>
      <c r="AG380" s="209"/>
      <c r="AH380" s="201"/>
      <c r="AI380" s="200"/>
      <c r="AJ380" s="200"/>
      <c r="AK380" s="209"/>
      <c r="AL380" s="200"/>
      <c r="AM380" s="210"/>
      <c r="AN380" s="210"/>
    </row>
    <row r="381" spans="1:40" x14ac:dyDescent="0.25">
      <c r="A381" s="202"/>
      <c r="C381" s="154"/>
      <c r="F381" s="200"/>
      <c r="H381" s="200"/>
      <c r="I381" s="200"/>
      <c r="J381" s="329"/>
      <c r="K381" s="329"/>
      <c r="L381" s="200"/>
      <c r="M381" s="200"/>
      <c r="N381" s="210"/>
      <c r="O381" s="210"/>
      <c r="P381" s="200"/>
      <c r="Q381" s="200"/>
      <c r="R381" s="200"/>
      <c r="T381" s="154"/>
      <c r="V381" s="252"/>
      <c r="W381" s="200"/>
      <c r="X381" s="200"/>
      <c r="Y381" s="252"/>
      <c r="Z381" s="329"/>
      <c r="AA381" s="200"/>
      <c r="AB381" s="200"/>
      <c r="AC381" s="210"/>
      <c r="AD381" s="210"/>
      <c r="AE381" s="200"/>
      <c r="AF381" s="200"/>
      <c r="AG381" s="209"/>
      <c r="AH381" s="201"/>
      <c r="AI381" s="200"/>
      <c r="AJ381" s="200"/>
      <c r="AK381" s="209"/>
      <c r="AL381" s="200"/>
      <c r="AM381" s="210"/>
      <c r="AN381" s="210"/>
    </row>
    <row r="382" spans="1:40" x14ac:dyDescent="0.25">
      <c r="A382" s="202"/>
      <c r="C382" s="154"/>
      <c r="F382" s="200"/>
      <c r="H382" s="200"/>
      <c r="I382" s="200"/>
      <c r="J382" s="329"/>
      <c r="K382" s="329"/>
      <c r="L382" s="200"/>
      <c r="M382" s="200"/>
      <c r="N382" s="210"/>
      <c r="O382" s="210"/>
      <c r="P382" s="200"/>
      <c r="Q382" s="200"/>
      <c r="R382" s="200"/>
      <c r="T382" s="154"/>
      <c r="V382" s="252"/>
      <c r="W382" s="200"/>
      <c r="X382" s="200"/>
      <c r="Y382" s="252"/>
      <c r="Z382" s="329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F383" s="331"/>
      <c r="H383" s="332"/>
      <c r="I383" s="332"/>
      <c r="J383" s="329"/>
      <c r="K383" s="329"/>
      <c r="L383" s="331"/>
      <c r="M383" s="331"/>
      <c r="N383" s="211"/>
      <c r="O383" s="211"/>
      <c r="P383" s="331"/>
      <c r="Q383" s="331"/>
      <c r="R383" s="331"/>
      <c r="V383" s="331"/>
      <c r="W383" s="200"/>
      <c r="X383" s="200"/>
      <c r="Y383" s="331"/>
      <c r="Z383" s="329"/>
      <c r="AA383" s="331"/>
      <c r="AB383" s="331"/>
      <c r="AC383" s="333"/>
      <c r="AD383" s="333"/>
      <c r="AE383" s="331"/>
      <c r="AF383" s="331"/>
      <c r="AG383" s="209"/>
      <c r="AH383" s="201"/>
      <c r="AI383" s="331"/>
      <c r="AJ383" s="331"/>
      <c r="AK383" s="208"/>
      <c r="AL383" s="331"/>
      <c r="AM383" s="210"/>
      <c r="AN383" s="210"/>
    </row>
    <row r="384" spans="1:40" x14ac:dyDescent="0.25">
      <c r="A384" s="202"/>
      <c r="C384" s="154"/>
      <c r="F384" s="200"/>
      <c r="H384" s="200"/>
      <c r="I384" s="200"/>
      <c r="J384" s="329"/>
      <c r="K384" s="329"/>
      <c r="L384" s="200"/>
      <c r="M384" s="200"/>
      <c r="N384" s="201"/>
      <c r="O384" s="201"/>
      <c r="P384" s="200"/>
      <c r="Q384" s="200"/>
      <c r="R384" s="200"/>
      <c r="T384" s="103"/>
      <c r="V384" s="200"/>
      <c r="W384" s="200"/>
      <c r="X384" s="200"/>
      <c r="Y384" s="200"/>
      <c r="Z384" s="329"/>
      <c r="AA384" s="200"/>
      <c r="AB384" s="200"/>
      <c r="AC384" s="201"/>
      <c r="AD384" s="201"/>
      <c r="AE384" s="200"/>
      <c r="AF384" s="200"/>
      <c r="AG384" s="209"/>
      <c r="AH384" s="201"/>
      <c r="AI384" s="200"/>
      <c r="AJ384" s="200"/>
      <c r="AK384" s="209"/>
      <c r="AL384" s="200"/>
      <c r="AM384" s="210"/>
      <c r="AN384" s="210"/>
    </row>
    <row r="385" spans="1:40" x14ac:dyDescent="0.25">
      <c r="F385" s="102"/>
      <c r="H385" s="102"/>
      <c r="I385" s="102"/>
      <c r="L385" s="102"/>
      <c r="M385" s="102"/>
      <c r="N385" s="333"/>
      <c r="O385" s="333"/>
      <c r="P385" s="331"/>
      <c r="Q385" s="331"/>
      <c r="R385" s="331"/>
      <c r="V385" s="331"/>
      <c r="Y385" s="331"/>
      <c r="Z385" s="305"/>
      <c r="AA385" s="331"/>
      <c r="AB385" s="331"/>
      <c r="AC385" s="331"/>
      <c r="AD385" s="331"/>
      <c r="AE385" s="331"/>
      <c r="AF385" s="331"/>
      <c r="AI385" s="331"/>
      <c r="AJ385" s="331"/>
      <c r="AK385" s="208"/>
      <c r="AL385" s="331"/>
      <c r="AM385" s="333"/>
      <c r="AN385" s="333"/>
    </row>
    <row r="386" spans="1:40" x14ac:dyDescent="0.25">
      <c r="AI386" s="202"/>
      <c r="AJ386" s="202"/>
    </row>
    <row r="390" spans="1:40" x14ac:dyDescent="0.25">
      <c r="N390" s="200"/>
      <c r="O390" s="200"/>
      <c r="P390" s="200"/>
      <c r="Q390" s="200"/>
      <c r="R390" s="200"/>
      <c r="V390" s="200"/>
      <c r="Y390" s="200"/>
      <c r="Z390" s="213"/>
      <c r="AA390" s="200"/>
      <c r="AB390" s="200"/>
      <c r="AC390" s="210"/>
      <c r="AD390" s="210"/>
      <c r="AE390" s="200"/>
      <c r="AF390" s="200"/>
      <c r="AG390" s="209"/>
      <c r="AH390" s="201"/>
      <c r="AI390" s="200"/>
      <c r="AJ390" s="200"/>
      <c r="AK390" s="209"/>
      <c r="AL390" s="200"/>
      <c r="AM390" s="210"/>
      <c r="AN390" s="210"/>
    </row>
    <row r="391" spans="1:40" x14ac:dyDescent="0.25">
      <c r="A391" s="202"/>
      <c r="C391" s="154"/>
      <c r="D391" s="154"/>
      <c r="E391" s="154"/>
      <c r="J391" s="334"/>
      <c r="K391" s="334"/>
      <c r="T391" s="154"/>
      <c r="U391" s="154"/>
      <c r="Z391" s="334"/>
      <c r="AE391" s="200"/>
      <c r="AF391" s="200"/>
      <c r="AI391" s="200"/>
      <c r="AJ391" s="200"/>
      <c r="AK391" s="209"/>
      <c r="AL391" s="200"/>
      <c r="AM391" s="210"/>
      <c r="AN391" s="210"/>
    </row>
    <row r="392" spans="1:40" x14ac:dyDescent="0.25">
      <c r="D392" s="154"/>
      <c r="E392" s="154"/>
      <c r="F392" s="200"/>
      <c r="H392" s="200"/>
      <c r="I392" s="200"/>
      <c r="J392" s="329"/>
      <c r="K392" s="329"/>
      <c r="L392" s="200"/>
      <c r="M392" s="200"/>
      <c r="N392" s="210"/>
      <c r="O392" s="210"/>
      <c r="P392" s="200"/>
      <c r="Q392" s="200"/>
      <c r="R392" s="200"/>
      <c r="U392" s="154"/>
      <c r="V392" s="200"/>
      <c r="Y392" s="200"/>
      <c r="Z392" s="329"/>
      <c r="AA392" s="200"/>
      <c r="AB392" s="200"/>
      <c r="AC392" s="210"/>
      <c r="AD392" s="21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F393" s="200"/>
      <c r="H393" s="200"/>
      <c r="I393" s="200"/>
      <c r="J393" s="305"/>
      <c r="K393" s="305"/>
      <c r="L393" s="200"/>
      <c r="M393" s="200"/>
      <c r="N393" s="200"/>
      <c r="O393" s="200"/>
      <c r="P393" s="200"/>
      <c r="Q393" s="200"/>
      <c r="R393" s="200"/>
      <c r="V393" s="200"/>
      <c r="Y393" s="200"/>
      <c r="Z393" s="305"/>
      <c r="AA393" s="200"/>
      <c r="AB393" s="200"/>
      <c r="AC393" s="200"/>
      <c r="AD393" s="200"/>
      <c r="AE393" s="200"/>
      <c r="AF393" s="200"/>
      <c r="AG393" s="209"/>
      <c r="AH393" s="201"/>
      <c r="AI393" s="252"/>
      <c r="AJ393" s="252"/>
      <c r="AK393" s="209"/>
      <c r="AL393" s="200"/>
      <c r="AM393" s="210"/>
      <c r="AN393" s="210"/>
    </row>
    <row r="394" spans="1:40" x14ac:dyDescent="0.25">
      <c r="A394" s="202"/>
      <c r="C394" s="154"/>
      <c r="F394" s="252"/>
      <c r="H394" s="252"/>
      <c r="I394" s="252"/>
      <c r="J394" s="304"/>
      <c r="K394" s="304"/>
      <c r="L394" s="200"/>
      <c r="M394" s="200"/>
      <c r="N394" s="210"/>
      <c r="O394" s="210"/>
      <c r="P394" s="200"/>
      <c r="Q394" s="200"/>
      <c r="R394" s="200"/>
      <c r="T394" s="154"/>
      <c r="V394" s="252"/>
      <c r="Y394" s="252"/>
      <c r="Z394" s="304"/>
      <c r="AA394" s="200"/>
      <c r="AB394" s="200"/>
      <c r="AC394" s="210"/>
      <c r="AD394" s="210"/>
      <c r="AE394" s="200"/>
      <c r="AF394" s="200"/>
      <c r="AG394" s="209"/>
      <c r="AH394" s="201"/>
      <c r="AI394" s="200"/>
      <c r="AJ394" s="200"/>
      <c r="AK394" s="209"/>
      <c r="AL394" s="200"/>
      <c r="AM394" s="210"/>
      <c r="AN394" s="210"/>
    </row>
    <row r="395" spans="1:40" x14ac:dyDescent="0.25">
      <c r="F395" s="102"/>
      <c r="H395" s="102"/>
      <c r="I395" s="102"/>
      <c r="L395" s="102"/>
      <c r="M395" s="102"/>
      <c r="N395" s="102"/>
      <c r="O395" s="102"/>
      <c r="P395" s="102"/>
      <c r="Q395" s="102"/>
      <c r="R395" s="102"/>
      <c r="V395" s="102"/>
      <c r="Y395" s="102"/>
      <c r="AA395" s="102"/>
      <c r="AB395" s="102"/>
      <c r="AC395" s="102"/>
      <c r="AD395" s="102"/>
      <c r="AE395" s="102"/>
      <c r="AF395" s="102"/>
      <c r="AG395" s="208"/>
      <c r="AH395" s="102"/>
      <c r="AI395" s="102"/>
      <c r="AJ395" s="102"/>
      <c r="AK395" s="208"/>
      <c r="AL395" s="102"/>
      <c r="AM395" s="102"/>
      <c r="AN395" s="102"/>
    </row>
    <row r="396" spans="1:40" x14ac:dyDescent="0.25">
      <c r="A396" s="202"/>
      <c r="C396" s="103"/>
      <c r="F396" s="252"/>
      <c r="H396" s="252"/>
      <c r="I396" s="252"/>
      <c r="J396" s="300"/>
      <c r="K396" s="300"/>
      <c r="L396" s="252"/>
      <c r="M396" s="252"/>
      <c r="N396" s="210"/>
      <c r="O396" s="210"/>
      <c r="P396" s="252"/>
      <c r="Q396" s="252"/>
      <c r="R396" s="252"/>
      <c r="T396" s="103"/>
      <c r="V396" s="200"/>
      <c r="Y396" s="200"/>
      <c r="Z396" s="213"/>
      <c r="AA396" s="200"/>
      <c r="AB396" s="200"/>
      <c r="AC396" s="210"/>
      <c r="AD396" s="210"/>
      <c r="AE396" s="202"/>
      <c r="AF396" s="202"/>
      <c r="AG396" s="209"/>
      <c r="AH396" s="201"/>
      <c r="AI396" s="200"/>
      <c r="AJ396" s="200"/>
      <c r="AK396" s="209"/>
      <c r="AL396" s="200"/>
      <c r="AM396" s="210"/>
      <c r="AN396" s="210"/>
    </row>
    <row r="397" spans="1:40" x14ac:dyDescent="0.25">
      <c r="F397" s="331"/>
      <c r="H397" s="331"/>
      <c r="I397" s="331"/>
      <c r="J397" s="305"/>
      <c r="K397" s="305"/>
      <c r="L397" s="331"/>
      <c r="M397" s="331"/>
      <c r="N397" s="331"/>
      <c r="O397" s="331"/>
      <c r="P397" s="331"/>
      <c r="Q397" s="331"/>
      <c r="R397" s="331"/>
      <c r="V397" s="102"/>
      <c r="Y397" s="102"/>
      <c r="AA397" s="102"/>
      <c r="AB397" s="102"/>
      <c r="AC397" s="102"/>
      <c r="AD397" s="102"/>
      <c r="AE397" s="102"/>
      <c r="AF397" s="102"/>
      <c r="AG397" s="208"/>
      <c r="AH397" s="102"/>
      <c r="AI397" s="102"/>
      <c r="AJ397" s="102"/>
      <c r="AK397" s="208"/>
      <c r="AL397" s="102"/>
      <c r="AM397" s="102"/>
      <c r="AN397" s="102"/>
    </row>
    <row r="398" spans="1:40" x14ac:dyDescent="0.25">
      <c r="F398" s="252"/>
      <c r="H398" s="252"/>
      <c r="I398" s="252"/>
      <c r="J398" s="328"/>
      <c r="K398" s="328"/>
      <c r="L398" s="200"/>
      <c r="M398" s="200"/>
      <c r="N398" s="210"/>
      <c r="O398" s="210"/>
      <c r="P398" s="200"/>
      <c r="Q398" s="200"/>
      <c r="R398" s="200"/>
    </row>
    <row r="399" spans="1:40" x14ac:dyDescent="0.25">
      <c r="A399" s="154"/>
      <c r="F399" s="252"/>
      <c r="H399" s="252"/>
      <c r="I399" s="252"/>
      <c r="J399" s="300"/>
      <c r="K399" s="300"/>
      <c r="L399" s="200"/>
      <c r="M399" s="200"/>
      <c r="N399" s="210"/>
      <c r="O399" s="210"/>
      <c r="P399" s="200"/>
      <c r="Q399" s="200"/>
      <c r="R399" s="200"/>
    </row>
    <row r="400" spans="1:40" x14ac:dyDescent="0.25">
      <c r="F400" s="252"/>
      <c r="H400" s="252"/>
      <c r="I400" s="252"/>
      <c r="J400" s="300"/>
      <c r="K400" s="300"/>
      <c r="L400" s="200"/>
      <c r="M400" s="200"/>
      <c r="N400" s="210"/>
      <c r="O400" s="210"/>
      <c r="P400" s="200"/>
      <c r="Q400" s="200"/>
      <c r="R400" s="200"/>
    </row>
    <row r="401" spans="1:40" x14ac:dyDescent="0.25">
      <c r="A401" s="154"/>
    </row>
    <row r="403" spans="1:40" x14ac:dyDescent="0.25">
      <c r="J403" s="202"/>
      <c r="K403" s="202"/>
      <c r="Z403" s="202"/>
    </row>
    <row r="404" spans="1:40" x14ac:dyDescent="0.25">
      <c r="H404" s="154"/>
      <c r="I404" s="154"/>
      <c r="Y404" s="154"/>
    </row>
    <row r="405" spans="1:40" x14ac:dyDescent="0.25">
      <c r="J405" s="202"/>
      <c r="K405" s="202"/>
      <c r="Z405" s="202"/>
    </row>
    <row r="406" spans="1:40" x14ac:dyDescent="0.25">
      <c r="L406" s="154"/>
      <c r="M406" s="154"/>
      <c r="AA406" s="154"/>
      <c r="AB406" s="154"/>
    </row>
    <row r="407" spans="1:40" x14ac:dyDescent="0.25">
      <c r="A407" s="202"/>
      <c r="R407" s="154"/>
      <c r="AK407" s="297"/>
      <c r="AL407" s="154"/>
    </row>
    <row r="408" spans="1:40" x14ac:dyDescent="0.25">
      <c r="A408" s="202"/>
      <c r="R408" s="154"/>
      <c r="AK408" s="297"/>
      <c r="AL408" s="154"/>
    </row>
    <row r="409" spans="1:40" x14ac:dyDescent="0.25">
      <c r="A409" s="154"/>
      <c r="R409" s="154"/>
      <c r="AK409" s="297"/>
      <c r="AL409" s="154"/>
    </row>
    <row r="410" spans="1:40" x14ac:dyDescent="0.25">
      <c r="L410" s="154"/>
      <c r="M410" s="154"/>
      <c r="R410" s="202"/>
      <c r="AA410" s="154"/>
      <c r="AB410" s="154"/>
      <c r="AK410" s="209"/>
      <c r="AL410" s="202"/>
    </row>
    <row r="411" spans="1:40" x14ac:dyDescent="0.25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208"/>
      <c r="AH411" s="102"/>
      <c r="AI411" s="102"/>
      <c r="AJ411" s="102"/>
      <c r="AK411" s="208"/>
      <c r="AL411" s="102"/>
      <c r="AM411" s="102"/>
      <c r="AN411" s="102"/>
    </row>
    <row r="412" spans="1:40" x14ac:dyDescent="0.25">
      <c r="L412" s="103"/>
      <c r="M412" s="103"/>
      <c r="N412" s="103"/>
      <c r="O412" s="103"/>
      <c r="R412" s="103"/>
      <c r="AA412" s="103"/>
      <c r="AB412" s="103"/>
      <c r="AC412" s="103"/>
      <c r="AD412" s="103"/>
      <c r="AE412" s="103"/>
      <c r="AF412" s="103"/>
      <c r="AG412" s="185"/>
      <c r="AH412" s="103"/>
      <c r="AK412" s="185"/>
      <c r="AL412" s="103"/>
      <c r="AM412" s="103"/>
      <c r="AN412" s="103"/>
    </row>
    <row r="413" spans="1:40" x14ac:dyDescent="0.25">
      <c r="L413" s="103"/>
      <c r="M413" s="103"/>
      <c r="N413" s="103"/>
      <c r="O413" s="103"/>
      <c r="R413" s="103"/>
      <c r="Z413" s="103"/>
      <c r="AA413" s="103"/>
      <c r="AB413" s="103"/>
      <c r="AC413" s="103"/>
      <c r="AD413" s="103"/>
      <c r="AE413" s="103"/>
      <c r="AF413" s="103"/>
      <c r="AG413" s="185"/>
      <c r="AH413" s="103"/>
      <c r="AK413" s="185"/>
      <c r="AL413" s="103"/>
      <c r="AM413" s="103"/>
      <c r="AN413" s="103"/>
    </row>
    <row r="414" spans="1:40" x14ac:dyDescent="0.25">
      <c r="A414" s="103"/>
      <c r="C414" s="103"/>
      <c r="D414" s="103"/>
      <c r="E414" s="103"/>
      <c r="F414" s="103"/>
      <c r="J414" s="103"/>
      <c r="K414" s="103"/>
      <c r="L414" s="103"/>
      <c r="M414" s="103"/>
      <c r="N414" s="103"/>
      <c r="O414" s="103"/>
      <c r="P414" s="103"/>
      <c r="Q414" s="103"/>
      <c r="R414" s="103"/>
      <c r="T414" s="103"/>
      <c r="U414" s="103"/>
      <c r="V414" s="103"/>
      <c r="Z414" s="103"/>
      <c r="AA414" s="103"/>
      <c r="AB414" s="103"/>
      <c r="AC414" s="103"/>
      <c r="AD414" s="103"/>
      <c r="AE414" s="103"/>
      <c r="AF414" s="103"/>
      <c r="AG414" s="185"/>
      <c r="AH414" s="103"/>
      <c r="AI414" s="103"/>
      <c r="AJ414" s="103"/>
      <c r="AK414" s="185"/>
      <c r="AL414" s="103"/>
      <c r="AM414" s="103"/>
      <c r="AN414" s="103"/>
    </row>
    <row r="415" spans="1:40" x14ac:dyDescent="0.25">
      <c r="A415" s="103"/>
      <c r="C415" s="103"/>
      <c r="D415" s="103"/>
      <c r="E415" s="103"/>
      <c r="F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T415" s="103"/>
      <c r="U415" s="103"/>
      <c r="V415" s="103"/>
      <c r="Y415" s="103"/>
      <c r="Z415" s="103"/>
      <c r="AA415" s="103"/>
      <c r="AB415" s="103"/>
      <c r="AC415" s="103"/>
      <c r="AD415" s="103"/>
      <c r="AE415" s="103"/>
      <c r="AF415" s="103"/>
      <c r="AG415" s="185"/>
      <c r="AH415" s="103"/>
      <c r="AI415" s="103"/>
      <c r="AJ415" s="103"/>
      <c r="AK415" s="185"/>
      <c r="AL415" s="103"/>
      <c r="AM415" s="103"/>
      <c r="AN415" s="103"/>
    </row>
    <row r="416" spans="1:40" x14ac:dyDescent="0.25">
      <c r="C416" s="103"/>
      <c r="D416" s="103"/>
      <c r="E416" s="103"/>
      <c r="F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T416" s="103"/>
      <c r="U416" s="103"/>
      <c r="V416" s="103"/>
      <c r="Y416" s="103"/>
      <c r="Z416" s="103"/>
      <c r="AA416" s="103"/>
      <c r="AB416" s="103"/>
      <c r="AC416" s="103"/>
      <c r="AD416" s="103"/>
      <c r="AE416" s="103"/>
      <c r="AF416" s="103"/>
      <c r="AG416" s="185"/>
      <c r="AH416" s="103"/>
      <c r="AI416" s="103"/>
      <c r="AJ416" s="103"/>
      <c r="AK416" s="185"/>
      <c r="AL416" s="103"/>
      <c r="AM416" s="103"/>
      <c r="AN416" s="103"/>
    </row>
    <row r="417" spans="1:40" x14ac:dyDescent="0.25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208"/>
      <c r="AH417" s="102"/>
      <c r="AI417" s="102"/>
      <c r="AJ417" s="102"/>
      <c r="AK417" s="208"/>
      <c r="AL417" s="102"/>
      <c r="AM417" s="102"/>
      <c r="AN417" s="102"/>
    </row>
    <row r="418" spans="1:40" x14ac:dyDescent="0.25"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Y418" s="103"/>
      <c r="Z418" s="103"/>
      <c r="AA418" s="103"/>
      <c r="AB418" s="103"/>
      <c r="AC418" s="103"/>
      <c r="AD418" s="103"/>
      <c r="AE418" s="103"/>
      <c r="AF418" s="103"/>
      <c r="AG418" s="185"/>
      <c r="AH418" s="103"/>
      <c r="AI418" s="103"/>
      <c r="AJ418" s="103"/>
      <c r="AK418" s="185"/>
      <c r="AL418" s="103"/>
      <c r="AM418" s="103"/>
      <c r="AN418" s="103"/>
    </row>
    <row r="419" spans="1:40" x14ac:dyDescent="0.25">
      <c r="A419" s="202"/>
      <c r="C419" s="154"/>
      <c r="D419" s="154"/>
      <c r="E419" s="154"/>
      <c r="T419" s="154"/>
      <c r="U419" s="154"/>
    </row>
    <row r="421" spans="1:40" x14ac:dyDescent="0.25">
      <c r="A421" s="202"/>
      <c r="C421" s="154"/>
      <c r="T421" s="154"/>
    </row>
    <row r="422" spans="1:40" x14ac:dyDescent="0.25">
      <c r="A422" s="202"/>
      <c r="C422" s="154"/>
      <c r="F422" s="252"/>
      <c r="H422" s="252"/>
      <c r="I422" s="252"/>
      <c r="J422" s="305"/>
      <c r="K422" s="305"/>
      <c r="L422" s="200"/>
      <c r="M422" s="200"/>
      <c r="N422" s="210"/>
      <c r="O422" s="210"/>
      <c r="P422" s="200"/>
      <c r="Q422" s="200"/>
      <c r="R422" s="200"/>
      <c r="T422" s="154"/>
      <c r="V422" s="252"/>
      <c r="Y422" s="252"/>
      <c r="Z422" s="305"/>
      <c r="AA422" s="200"/>
      <c r="AB422" s="200"/>
      <c r="AC422" s="210"/>
      <c r="AD422" s="210"/>
      <c r="AE422" s="200"/>
      <c r="AF422" s="200"/>
      <c r="AG422" s="209"/>
      <c r="AH422" s="201"/>
      <c r="AI422" s="200"/>
      <c r="AJ422" s="200"/>
      <c r="AK422" s="209"/>
      <c r="AL422" s="200"/>
      <c r="AM422" s="210"/>
      <c r="AN422" s="210"/>
    </row>
    <row r="423" spans="1:40" x14ac:dyDescent="0.25">
      <c r="A423" s="202"/>
      <c r="C423" s="154"/>
      <c r="T423" s="154"/>
    </row>
    <row r="424" spans="1:40" x14ac:dyDescent="0.25">
      <c r="A424" s="202"/>
      <c r="C424" s="154"/>
      <c r="F424" s="252"/>
      <c r="H424" s="252"/>
      <c r="I424" s="252"/>
      <c r="J424" s="329"/>
      <c r="K424" s="329"/>
      <c r="L424" s="200"/>
      <c r="M424" s="200"/>
      <c r="N424" s="210"/>
      <c r="O424" s="210"/>
      <c r="P424" s="200"/>
      <c r="Q424" s="200"/>
      <c r="R424" s="200"/>
      <c r="T424" s="154"/>
      <c r="V424" s="200"/>
      <c r="Y424" s="200"/>
      <c r="Z424" s="329"/>
      <c r="AA424" s="200"/>
      <c r="AB424" s="200"/>
      <c r="AC424" s="210"/>
      <c r="AD424" s="210"/>
      <c r="AE424" s="200"/>
      <c r="AF424" s="200"/>
      <c r="AG424" s="209"/>
      <c r="AH424" s="201"/>
      <c r="AI424" s="200"/>
      <c r="AJ424" s="200"/>
      <c r="AK424" s="209"/>
      <c r="AL424" s="200"/>
      <c r="AM424" s="210"/>
      <c r="AN424" s="210"/>
    </row>
    <row r="425" spans="1:40" x14ac:dyDescent="0.25">
      <c r="A425" s="202"/>
      <c r="C425" s="154"/>
      <c r="F425" s="252"/>
      <c r="H425" s="252"/>
      <c r="I425" s="252"/>
      <c r="J425" s="329"/>
      <c r="K425" s="329"/>
      <c r="L425" s="200"/>
      <c r="M425" s="200"/>
      <c r="N425" s="210"/>
      <c r="O425" s="210"/>
      <c r="P425" s="200"/>
      <c r="Q425" s="200"/>
      <c r="R425" s="200"/>
      <c r="T425" s="154"/>
      <c r="V425" s="200"/>
      <c r="Y425" s="200"/>
      <c r="Z425" s="329"/>
      <c r="AA425" s="200"/>
      <c r="AB425" s="200"/>
      <c r="AC425" s="210"/>
      <c r="AD425" s="210"/>
      <c r="AE425" s="200"/>
      <c r="AF425" s="200"/>
      <c r="AG425" s="209"/>
      <c r="AH425" s="201"/>
      <c r="AI425" s="200"/>
      <c r="AJ425" s="200"/>
      <c r="AK425" s="209"/>
      <c r="AL425" s="200"/>
      <c r="AM425" s="210"/>
      <c r="AN425" s="210"/>
    </row>
    <row r="426" spans="1:40" x14ac:dyDescent="0.25">
      <c r="A426" s="202"/>
      <c r="C426" s="154"/>
      <c r="F426" s="252"/>
      <c r="H426" s="252"/>
      <c r="I426" s="252"/>
      <c r="J426" s="329"/>
      <c r="K426" s="329"/>
      <c r="L426" s="200"/>
      <c r="M426" s="200"/>
      <c r="N426" s="210"/>
      <c r="O426" s="210"/>
      <c r="P426" s="200"/>
      <c r="Q426" s="200"/>
      <c r="R426" s="200"/>
      <c r="T426" s="154"/>
      <c r="V426" s="200"/>
      <c r="Y426" s="200"/>
      <c r="Z426" s="329"/>
      <c r="AA426" s="200"/>
      <c r="AB426" s="200"/>
      <c r="AC426" s="210"/>
      <c r="AD426" s="210"/>
      <c r="AE426" s="200"/>
      <c r="AF426" s="200"/>
      <c r="AG426" s="209"/>
      <c r="AH426" s="201"/>
      <c r="AI426" s="200"/>
      <c r="AJ426" s="200"/>
      <c r="AK426" s="209"/>
      <c r="AL426" s="200"/>
      <c r="AM426" s="210"/>
      <c r="AN426" s="210"/>
    </row>
    <row r="427" spans="1:40" x14ac:dyDescent="0.25">
      <c r="A427" s="202"/>
      <c r="C427" s="154"/>
      <c r="F427" s="252"/>
      <c r="H427" s="252"/>
      <c r="I427" s="252"/>
      <c r="J427" s="329"/>
      <c r="K427" s="329"/>
      <c r="L427" s="200"/>
      <c r="M427" s="200"/>
      <c r="N427" s="210"/>
      <c r="O427" s="210"/>
      <c r="P427" s="200"/>
      <c r="Q427" s="200"/>
      <c r="R427" s="200"/>
      <c r="T427" s="154"/>
      <c r="V427" s="200"/>
      <c r="Y427" s="200"/>
      <c r="Z427" s="329"/>
      <c r="AA427" s="200"/>
      <c r="AB427" s="200"/>
      <c r="AC427" s="210"/>
      <c r="AD427" s="210"/>
      <c r="AE427" s="200"/>
      <c r="AF427" s="200"/>
      <c r="AG427" s="209"/>
      <c r="AH427" s="201"/>
      <c r="AI427" s="200"/>
      <c r="AJ427" s="200"/>
      <c r="AK427" s="209"/>
      <c r="AL427" s="200"/>
      <c r="AM427" s="210"/>
      <c r="AN427" s="210"/>
    </row>
    <row r="428" spans="1:40" x14ac:dyDescent="0.25">
      <c r="A428" s="202"/>
      <c r="C428" s="154"/>
      <c r="J428" s="334"/>
      <c r="K428" s="334"/>
      <c r="T428" s="154"/>
      <c r="Z428" s="334"/>
    </row>
    <row r="429" spans="1:40" x14ac:dyDescent="0.25">
      <c r="A429" s="202"/>
      <c r="C429" s="154"/>
      <c r="F429" s="252"/>
      <c r="H429" s="252"/>
      <c r="I429" s="252"/>
      <c r="J429" s="329"/>
      <c r="K429" s="329"/>
      <c r="L429" s="200"/>
      <c r="M429" s="200"/>
      <c r="N429" s="210"/>
      <c r="O429" s="210"/>
      <c r="P429" s="200"/>
      <c r="Q429" s="200"/>
      <c r="R429" s="200"/>
      <c r="T429" s="154"/>
      <c r="V429" s="200"/>
      <c r="Y429" s="200"/>
      <c r="Z429" s="329"/>
      <c r="AA429" s="200"/>
      <c r="AB429" s="200"/>
      <c r="AC429" s="210"/>
      <c r="AD429" s="210"/>
      <c r="AE429" s="200"/>
      <c r="AF429" s="200"/>
      <c r="AG429" s="209"/>
      <c r="AH429" s="201"/>
      <c r="AI429" s="200"/>
      <c r="AJ429" s="200"/>
      <c r="AK429" s="209"/>
      <c r="AL429" s="200"/>
      <c r="AM429" s="210"/>
      <c r="AN429" s="210"/>
    </row>
    <row r="430" spans="1:40" x14ac:dyDescent="0.25">
      <c r="A430" s="202"/>
      <c r="C430" s="154"/>
      <c r="F430" s="252"/>
      <c r="H430" s="252"/>
      <c r="I430" s="252"/>
      <c r="J430" s="329"/>
      <c r="K430" s="329"/>
      <c r="L430" s="200"/>
      <c r="M430" s="200"/>
      <c r="N430" s="210"/>
      <c r="O430" s="210"/>
      <c r="P430" s="200"/>
      <c r="Q430" s="200"/>
      <c r="R430" s="200"/>
      <c r="T430" s="154"/>
      <c r="V430" s="200"/>
      <c r="Y430" s="200"/>
      <c r="Z430" s="329"/>
      <c r="AA430" s="200"/>
      <c r="AB430" s="200"/>
      <c r="AC430" s="210"/>
      <c r="AD430" s="210"/>
      <c r="AE430" s="200"/>
      <c r="AF430" s="200"/>
      <c r="AG430" s="209"/>
      <c r="AH430" s="201"/>
      <c r="AI430" s="200"/>
      <c r="AJ430" s="200"/>
      <c r="AK430" s="209"/>
      <c r="AL430" s="200"/>
      <c r="AM430" s="210"/>
      <c r="AN430" s="210"/>
    </row>
    <row r="431" spans="1:40" x14ac:dyDescent="0.25">
      <c r="A431" s="202"/>
      <c r="C431" s="154"/>
      <c r="F431" s="252"/>
      <c r="H431" s="252"/>
      <c r="I431" s="252"/>
      <c r="J431" s="329"/>
      <c r="K431" s="329"/>
      <c r="L431" s="200"/>
      <c r="M431" s="200"/>
      <c r="N431" s="210"/>
      <c r="O431" s="210"/>
      <c r="P431" s="200"/>
      <c r="Q431" s="200"/>
      <c r="R431" s="200"/>
      <c r="T431" s="154"/>
      <c r="V431" s="200"/>
      <c r="Y431" s="200"/>
      <c r="Z431" s="329"/>
      <c r="AA431" s="200"/>
      <c r="AB431" s="200"/>
      <c r="AC431" s="210"/>
      <c r="AD431" s="210"/>
      <c r="AE431" s="200"/>
      <c r="AF431" s="200"/>
      <c r="AG431" s="209"/>
      <c r="AH431" s="201"/>
      <c r="AI431" s="200"/>
      <c r="AJ431" s="200"/>
      <c r="AK431" s="209"/>
      <c r="AL431" s="200"/>
      <c r="AM431" s="210"/>
      <c r="AN431" s="210"/>
    </row>
    <row r="432" spans="1:40" x14ac:dyDescent="0.25">
      <c r="A432" s="202"/>
      <c r="C432" s="154"/>
      <c r="J432" s="334"/>
      <c r="K432" s="334"/>
      <c r="T432" s="154"/>
      <c r="Z432" s="334"/>
    </row>
    <row r="433" spans="1:40" x14ac:dyDescent="0.25">
      <c r="A433" s="202"/>
      <c r="C433" s="154"/>
      <c r="F433" s="252"/>
      <c r="H433" s="252"/>
      <c r="I433" s="252"/>
      <c r="J433" s="329"/>
      <c r="K433" s="329"/>
      <c r="L433" s="200"/>
      <c r="M433" s="200"/>
      <c r="N433" s="210"/>
      <c r="O433" s="210"/>
      <c r="P433" s="200"/>
      <c r="Q433" s="200"/>
      <c r="R433" s="200"/>
      <c r="T433" s="154"/>
      <c r="V433" s="200"/>
      <c r="Y433" s="200"/>
      <c r="Z433" s="329"/>
      <c r="AA433" s="200"/>
      <c r="AB433" s="200"/>
      <c r="AC433" s="210"/>
      <c r="AD433" s="210"/>
      <c r="AE433" s="200"/>
      <c r="AF433" s="200"/>
      <c r="AG433" s="209"/>
      <c r="AH433" s="201"/>
      <c r="AI433" s="200"/>
      <c r="AJ433" s="200"/>
      <c r="AK433" s="209"/>
      <c r="AL433" s="200"/>
      <c r="AM433" s="210"/>
      <c r="AN433" s="210"/>
    </row>
    <row r="434" spans="1:40" x14ac:dyDescent="0.25">
      <c r="A434" s="202"/>
      <c r="C434" s="154"/>
      <c r="F434" s="252"/>
      <c r="H434" s="252"/>
      <c r="I434" s="252"/>
      <c r="J434" s="329"/>
      <c r="K434" s="329"/>
      <c r="L434" s="200"/>
      <c r="M434" s="200"/>
      <c r="N434" s="210"/>
      <c r="O434" s="210"/>
      <c r="P434" s="200"/>
      <c r="Q434" s="200"/>
      <c r="R434" s="200"/>
      <c r="T434" s="154"/>
      <c r="V434" s="200"/>
      <c r="Y434" s="200"/>
      <c r="Z434" s="329"/>
      <c r="AA434" s="200"/>
      <c r="AB434" s="200"/>
      <c r="AC434" s="210"/>
      <c r="AD434" s="210"/>
      <c r="AE434" s="200"/>
      <c r="AF434" s="200"/>
      <c r="AG434" s="209"/>
      <c r="AH434" s="201"/>
      <c r="AI434" s="200"/>
      <c r="AJ434" s="200"/>
      <c r="AK434" s="209"/>
      <c r="AL434" s="200"/>
      <c r="AM434" s="210"/>
      <c r="AN434" s="210"/>
    </row>
    <row r="435" spans="1:40" x14ac:dyDescent="0.25">
      <c r="A435" s="202"/>
      <c r="C435" s="154"/>
      <c r="J435" s="334"/>
      <c r="K435" s="334"/>
      <c r="T435" s="154"/>
      <c r="Z435" s="334"/>
    </row>
    <row r="436" spans="1:40" x14ac:dyDescent="0.25">
      <c r="A436" s="202"/>
      <c r="C436" s="154"/>
      <c r="F436" s="252"/>
      <c r="H436" s="252"/>
      <c r="I436" s="252"/>
      <c r="J436" s="329"/>
      <c r="K436" s="329"/>
      <c r="L436" s="200"/>
      <c r="M436" s="200"/>
      <c r="N436" s="210"/>
      <c r="O436" s="210"/>
      <c r="P436" s="200"/>
      <c r="Q436" s="200"/>
      <c r="R436" s="200"/>
      <c r="T436" s="154"/>
      <c r="V436" s="200"/>
      <c r="Y436" s="200"/>
      <c r="Z436" s="329"/>
      <c r="AA436" s="200"/>
      <c r="AB436" s="200"/>
      <c r="AC436" s="210"/>
      <c r="AD436" s="210"/>
      <c r="AE436" s="200"/>
      <c r="AF436" s="200"/>
      <c r="AG436" s="209"/>
      <c r="AH436" s="201"/>
      <c r="AI436" s="200"/>
      <c r="AJ436" s="200"/>
      <c r="AK436" s="209"/>
      <c r="AL436" s="200"/>
      <c r="AM436" s="210"/>
      <c r="AN436" s="210"/>
    </row>
    <row r="437" spans="1:40" x14ac:dyDescent="0.25">
      <c r="A437" s="202"/>
      <c r="C437" s="154"/>
      <c r="F437" s="252"/>
      <c r="H437" s="252"/>
      <c r="I437" s="252"/>
      <c r="J437" s="329"/>
      <c r="K437" s="329"/>
      <c r="L437" s="200"/>
      <c r="M437" s="200"/>
      <c r="N437" s="210"/>
      <c r="O437" s="210"/>
      <c r="P437" s="200"/>
      <c r="Q437" s="200"/>
      <c r="R437" s="200"/>
      <c r="T437" s="154"/>
      <c r="V437" s="200"/>
      <c r="Y437" s="200"/>
      <c r="Z437" s="329"/>
      <c r="AA437" s="200"/>
      <c r="AB437" s="200"/>
      <c r="AC437" s="210"/>
      <c r="AD437" s="210"/>
      <c r="AE437" s="200"/>
      <c r="AF437" s="200"/>
      <c r="AG437" s="209"/>
      <c r="AH437" s="201"/>
      <c r="AI437" s="200"/>
      <c r="AJ437" s="200"/>
      <c r="AK437" s="209"/>
      <c r="AL437" s="200"/>
      <c r="AM437" s="210"/>
      <c r="AN437" s="210"/>
    </row>
    <row r="438" spans="1:40" x14ac:dyDescent="0.25">
      <c r="A438" s="202"/>
      <c r="C438" s="154"/>
      <c r="F438" s="252"/>
      <c r="H438" s="252"/>
      <c r="I438" s="252"/>
      <c r="J438" s="329"/>
      <c r="K438" s="329"/>
      <c r="L438" s="200"/>
      <c r="M438" s="200"/>
      <c r="N438" s="210"/>
      <c r="O438" s="210"/>
      <c r="P438" s="200"/>
      <c r="Q438" s="200"/>
      <c r="R438" s="200"/>
      <c r="T438" s="154"/>
      <c r="V438" s="200"/>
      <c r="Y438" s="200"/>
      <c r="Z438" s="329"/>
      <c r="AA438" s="200"/>
      <c r="AB438" s="200"/>
      <c r="AC438" s="210"/>
      <c r="AD438" s="210"/>
      <c r="AE438" s="200"/>
      <c r="AF438" s="200"/>
      <c r="AG438" s="209"/>
      <c r="AH438" s="201"/>
      <c r="AI438" s="200"/>
      <c r="AJ438" s="200"/>
      <c r="AK438" s="209"/>
      <c r="AL438" s="200"/>
      <c r="AM438" s="210"/>
      <c r="AN438" s="210"/>
    </row>
    <row r="439" spans="1:40" x14ac:dyDescent="0.25">
      <c r="F439" s="211"/>
      <c r="H439" s="211"/>
      <c r="I439" s="211"/>
      <c r="J439" s="329"/>
      <c r="K439" s="329"/>
      <c r="L439" s="211"/>
      <c r="M439" s="211"/>
      <c r="N439" s="211"/>
      <c r="O439" s="211"/>
      <c r="P439" s="211"/>
      <c r="Q439" s="211"/>
      <c r="R439" s="211"/>
      <c r="V439" s="211"/>
      <c r="Y439" s="211"/>
      <c r="Z439" s="329"/>
      <c r="AA439" s="211"/>
      <c r="AB439" s="211"/>
      <c r="AC439" s="211"/>
      <c r="AD439" s="211"/>
      <c r="AE439" s="211"/>
      <c r="AF439" s="211"/>
      <c r="AI439" s="211"/>
      <c r="AJ439" s="211"/>
      <c r="AK439" s="212"/>
      <c r="AL439" s="211"/>
    </row>
    <row r="440" spans="1:40" x14ac:dyDescent="0.25">
      <c r="A440" s="202"/>
      <c r="C440" s="103"/>
      <c r="F440" s="200"/>
      <c r="H440" s="200"/>
      <c r="I440" s="200"/>
      <c r="J440" s="334"/>
      <c r="K440" s="334"/>
      <c r="L440" s="200"/>
      <c r="M440" s="200"/>
      <c r="N440" s="201"/>
      <c r="O440" s="201"/>
      <c r="P440" s="200"/>
      <c r="Q440" s="200"/>
      <c r="R440" s="200"/>
      <c r="T440" s="103"/>
      <c r="V440" s="200"/>
      <c r="Y440" s="200"/>
      <c r="Z440" s="334"/>
      <c r="AA440" s="200"/>
      <c r="AB440" s="200"/>
      <c r="AC440" s="200"/>
      <c r="AD440" s="200"/>
      <c r="AE440" s="200"/>
      <c r="AF440" s="200"/>
      <c r="AG440" s="209"/>
      <c r="AH440" s="201"/>
      <c r="AI440" s="200"/>
      <c r="AJ440" s="200"/>
      <c r="AK440" s="209"/>
      <c r="AL440" s="200"/>
      <c r="AM440" s="210"/>
      <c r="AN440" s="210"/>
    </row>
    <row r="441" spans="1:40" x14ac:dyDescent="0.25">
      <c r="F441" s="211"/>
      <c r="H441" s="211"/>
      <c r="I441" s="211"/>
      <c r="J441" s="329"/>
      <c r="K441" s="329"/>
      <c r="L441" s="211"/>
      <c r="M441" s="211"/>
      <c r="N441" s="211"/>
      <c r="O441" s="211"/>
      <c r="P441" s="211"/>
      <c r="Q441" s="211"/>
      <c r="R441" s="211"/>
      <c r="V441" s="211"/>
      <c r="Y441" s="211"/>
      <c r="Z441" s="329"/>
      <c r="AA441" s="211"/>
      <c r="AB441" s="211"/>
      <c r="AC441" s="211"/>
      <c r="AD441" s="211"/>
      <c r="AE441" s="211"/>
      <c r="AF441" s="211"/>
      <c r="AI441" s="211"/>
      <c r="AJ441" s="211"/>
      <c r="AK441" s="212"/>
      <c r="AL441" s="211"/>
    </row>
    <row r="442" spans="1:40" x14ac:dyDescent="0.25">
      <c r="A442" s="202"/>
      <c r="C442" s="154"/>
      <c r="J442" s="334"/>
      <c r="K442" s="334"/>
      <c r="T442" s="154"/>
      <c r="Z442" s="334"/>
    </row>
    <row r="443" spans="1:40" x14ac:dyDescent="0.25">
      <c r="A443" s="202"/>
      <c r="C443" s="154"/>
      <c r="J443" s="334"/>
      <c r="K443" s="334"/>
      <c r="T443" s="154"/>
      <c r="Z443" s="334"/>
    </row>
    <row r="444" spans="1:40" x14ac:dyDescent="0.25">
      <c r="A444" s="202"/>
      <c r="C444" s="154"/>
      <c r="F444" s="252"/>
      <c r="H444" s="252"/>
      <c r="I444" s="252"/>
      <c r="J444" s="329"/>
      <c r="K444" s="329"/>
      <c r="L444" s="200"/>
      <c r="M444" s="200"/>
      <c r="N444" s="210"/>
      <c r="O444" s="210"/>
      <c r="P444" s="200"/>
      <c r="Q444" s="200"/>
      <c r="R444" s="200"/>
      <c r="T444" s="154"/>
      <c r="V444" s="200"/>
      <c r="Y444" s="200"/>
      <c r="Z444" s="329"/>
      <c r="AA444" s="200"/>
      <c r="AB444" s="200"/>
      <c r="AC444" s="210"/>
      <c r="AD444" s="210"/>
      <c r="AE444" s="200"/>
      <c r="AF444" s="200"/>
      <c r="AG444" s="209"/>
      <c r="AH444" s="201"/>
      <c r="AI444" s="200"/>
      <c r="AJ444" s="200"/>
      <c r="AK444" s="209"/>
      <c r="AL444" s="200"/>
      <c r="AM444" s="210"/>
      <c r="AN444" s="210"/>
    </row>
    <row r="445" spans="1:40" x14ac:dyDescent="0.25">
      <c r="A445" s="202"/>
      <c r="C445" s="154"/>
      <c r="F445" s="252"/>
      <c r="H445" s="252"/>
      <c r="I445" s="252"/>
      <c r="J445" s="329"/>
      <c r="K445" s="329"/>
      <c r="L445" s="200"/>
      <c r="M445" s="200"/>
      <c r="N445" s="210"/>
      <c r="O445" s="210"/>
      <c r="P445" s="200"/>
      <c r="Q445" s="200"/>
      <c r="R445" s="200"/>
      <c r="T445" s="154"/>
      <c r="V445" s="200"/>
      <c r="Y445" s="200"/>
      <c r="Z445" s="329"/>
      <c r="AA445" s="200"/>
      <c r="AB445" s="200"/>
      <c r="AC445" s="210"/>
      <c r="AD445" s="210"/>
      <c r="AE445" s="200"/>
      <c r="AF445" s="200"/>
      <c r="AG445" s="209"/>
      <c r="AH445" s="201"/>
      <c r="AI445" s="200"/>
      <c r="AJ445" s="200"/>
      <c r="AK445" s="209"/>
      <c r="AL445" s="200"/>
      <c r="AM445" s="210"/>
      <c r="AN445" s="210"/>
    </row>
    <row r="446" spans="1:40" x14ac:dyDescent="0.25">
      <c r="A446" s="202"/>
      <c r="C446" s="154"/>
      <c r="F446" s="252"/>
      <c r="H446" s="252"/>
      <c r="I446" s="252"/>
      <c r="J446" s="329"/>
      <c r="K446" s="329"/>
      <c r="L446" s="200"/>
      <c r="M446" s="200"/>
      <c r="N446" s="210"/>
      <c r="O446" s="210"/>
      <c r="P446" s="200"/>
      <c r="Q446" s="200"/>
      <c r="R446" s="200"/>
      <c r="T446" s="154"/>
      <c r="V446" s="200"/>
      <c r="Y446" s="200"/>
      <c r="Z446" s="329"/>
      <c r="AA446" s="200"/>
      <c r="AB446" s="200"/>
      <c r="AC446" s="210"/>
      <c r="AD446" s="210"/>
      <c r="AE446" s="200"/>
      <c r="AF446" s="200"/>
      <c r="AG446" s="209"/>
      <c r="AH446" s="201"/>
      <c r="AI446" s="200"/>
      <c r="AJ446" s="200"/>
      <c r="AK446" s="209"/>
      <c r="AL446" s="200"/>
      <c r="AM446" s="210"/>
      <c r="AN446" s="210"/>
    </row>
    <row r="447" spans="1:40" x14ac:dyDescent="0.25">
      <c r="A447" s="202"/>
      <c r="C447" s="154"/>
      <c r="F447" s="252"/>
      <c r="H447" s="252"/>
      <c r="I447" s="252"/>
      <c r="J447" s="329"/>
      <c r="K447" s="329"/>
      <c r="L447" s="200"/>
      <c r="M447" s="200"/>
      <c r="N447" s="210"/>
      <c r="O447" s="210"/>
      <c r="P447" s="200"/>
      <c r="Q447" s="200"/>
      <c r="R447" s="200"/>
      <c r="T447" s="154"/>
      <c r="V447" s="200"/>
      <c r="Y447" s="200"/>
      <c r="Z447" s="329"/>
      <c r="AA447" s="200"/>
      <c r="AB447" s="200"/>
      <c r="AC447" s="210"/>
      <c r="AD447" s="210"/>
      <c r="AE447" s="200"/>
      <c r="AF447" s="200"/>
      <c r="AG447" s="209"/>
      <c r="AH447" s="201"/>
      <c r="AI447" s="200"/>
      <c r="AJ447" s="200"/>
      <c r="AK447" s="209"/>
      <c r="AL447" s="200"/>
      <c r="AM447" s="210"/>
      <c r="AN447" s="210"/>
    </row>
    <row r="448" spans="1:40" x14ac:dyDescent="0.25">
      <c r="A448" s="202"/>
      <c r="C448" s="154"/>
      <c r="F448" s="252"/>
      <c r="H448" s="252"/>
      <c r="I448" s="252"/>
      <c r="J448" s="329"/>
      <c r="K448" s="329"/>
      <c r="L448" s="200"/>
      <c r="M448" s="200"/>
      <c r="N448" s="210"/>
      <c r="O448" s="210"/>
      <c r="P448" s="200"/>
      <c r="Q448" s="200"/>
      <c r="R448" s="200"/>
      <c r="T448" s="154"/>
      <c r="V448" s="200"/>
      <c r="Y448" s="200"/>
      <c r="Z448" s="329"/>
      <c r="AA448" s="200"/>
      <c r="AB448" s="200"/>
      <c r="AC448" s="210"/>
      <c r="AD448" s="210"/>
      <c r="AE448" s="200"/>
      <c r="AF448" s="200"/>
      <c r="AG448" s="209"/>
      <c r="AH448" s="201"/>
      <c r="AI448" s="200"/>
      <c r="AJ448" s="200"/>
      <c r="AK448" s="209"/>
      <c r="AL448" s="200"/>
      <c r="AM448" s="210"/>
      <c r="AN448" s="210"/>
    </row>
    <row r="449" spans="1:40" x14ac:dyDescent="0.25">
      <c r="A449" s="202"/>
      <c r="C449" s="154"/>
      <c r="F449" s="252"/>
      <c r="H449" s="252"/>
      <c r="I449" s="252"/>
      <c r="J449" s="329"/>
      <c r="K449" s="329"/>
      <c r="L449" s="200"/>
      <c r="M449" s="200"/>
      <c r="N449" s="210"/>
      <c r="O449" s="210"/>
      <c r="P449" s="200"/>
      <c r="Q449" s="200"/>
      <c r="R449" s="200"/>
      <c r="T449" s="154"/>
      <c r="V449" s="200"/>
      <c r="Y449" s="200"/>
      <c r="Z449" s="329"/>
      <c r="AA449" s="200"/>
      <c r="AB449" s="200"/>
      <c r="AC449" s="210"/>
      <c r="AD449" s="210"/>
      <c r="AE449" s="200"/>
      <c r="AF449" s="200"/>
      <c r="AG449" s="209"/>
      <c r="AH449" s="201"/>
      <c r="AI449" s="200"/>
      <c r="AJ449" s="200"/>
      <c r="AK449" s="209"/>
      <c r="AL449" s="200"/>
      <c r="AM449" s="210"/>
      <c r="AN449" s="210"/>
    </row>
    <row r="450" spans="1:40" x14ac:dyDescent="0.25">
      <c r="A450" s="202"/>
      <c r="C450" s="154"/>
      <c r="F450" s="252"/>
      <c r="H450" s="252"/>
      <c r="I450" s="252"/>
      <c r="J450" s="329"/>
      <c r="K450" s="329"/>
      <c r="L450" s="200"/>
      <c r="M450" s="200"/>
      <c r="N450" s="210"/>
      <c r="O450" s="210"/>
      <c r="P450" s="200"/>
      <c r="Q450" s="200"/>
      <c r="R450" s="200"/>
      <c r="T450" s="154"/>
      <c r="V450" s="200"/>
      <c r="Y450" s="200"/>
      <c r="Z450" s="329"/>
      <c r="AA450" s="200"/>
      <c r="AB450" s="200"/>
      <c r="AC450" s="210"/>
      <c r="AD450" s="210"/>
      <c r="AE450" s="200"/>
      <c r="AF450" s="200"/>
      <c r="AG450" s="209"/>
      <c r="AH450" s="201"/>
      <c r="AI450" s="200"/>
      <c r="AJ450" s="200"/>
      <c r="AK450" s="209"/>
      <c r="AL450" s="200"/>
      <c r="AM450" s="210"/>
      <c r="AN450" s="210"/>
    </row>
    <row r="451" spans="1:40" x14ac:dyDescent="0.25">
      <c r="A451" s="202"/>
      <c r="C451" s="154"/>
      <c r="J451" s="334"/>
      <c r="K451" s="334"/>
      <c r="T451" s="154"/>
      <c r="Z451" s="334"/>
    </row>
    <row r="452" spans="1:40" x14ac:dyDescent="0.25">
      <c r="A452" s="202"/>
      <c r="C452" s="154"/>
      <c r="F452" s="252"/>
      <c r="H452" s="252"/>
      <c r="I452" s="252"/>
      <c r="J452" s="329"/>
      <c r="K452" s="329"/>
      <c r="L452" s="200"/>
      <c r="M452" s="200"/>
      <c r="N452" s="210"/>
      <c r="O452" s="210"/>
      <c r="P452" s="200"/>
      <c r="Q452" s="200"/>
      <c r="R452" s="200"/>
      <c r="T452" s="154"/>
      <c r="V452" s="200"/>
      <c r="Y452" s="200"/>
      <c r="Z452" s="329"/>
      <c r="AA452" s="200"/>
      <c r="AB452" s="200"/>
      <c r="AC452" s="210"/>
      <c r="AD452" s="210"/>
      <c r="AE452" s="200"/>
      <c r="AF452" s="200"/>
      <c r="AG452" s="209"/>
      <c r="AH452" s="201"/>
      <c r="AI452" s="200"/>
      <c r="AJ452" s="200"/>
      <c r="AK452" s="209"/>
      <c r="AL452" s="200"/>
      <c r="AM452" s="210"/>
      <c r="AN452" s="210"/>
    </row>
    <row r="453" spans="1:40" x14ac:dyDescent="0.25">
      <c r="A453" s="202"/>
      <c r="C453" s="154"/>
      <c r="F453" s="252"/>
      <c r="H453" s="252"/>
      <c r="I453" s="252"/>
      <c r="J453" s="329"/>
      <c r="K453" s="329"/>
      <c r="L453" s="200"/>
      <c r="M453" s="200"/>
      <c r="N453" s="210"/>
      <c r="O453" s="210"/>
      <c r="P453" s="200"/>
      <c r="Q453" s="200"/>
      <c r="R453" s="200"/>
      <c r="T453" s="154"/>
      <c r="V453" s="200"/>
      <c r="Y453" s="200"/>
      <c r="Z453" s="329"/>
      <c r="AA453" s="200"/>
      <c r="AB453" s="200"/>
      <c r="AC453" s="210"/>
      <c r="AD453" s="210"/>
      <c r="AE453" s="200"/>
      <c r="AF453" s="200"/>
      <c r="AG453" s="209"/>
      <c r="AH453" s="201"/>
      <c r="AI453" s="200"/>
      <c r="AJ453" s="200"/>
      <c r="AK453" s="209"/>
      <c r="AL453" s="200"/>
      <c r="AM453" s="210"/>
      <c r="AN453" s="210"/>
    </row>
    <row r="454" spans="1:40" x14ac:dyDescent="0.25">
      <c r="A454" s="202"/>
      <c r="C454" s="154"/>
      <c r="F454" s="252"/>
      <c r="H454" s="252"/>
      <c r="I454" s="252"/>
      <c r="J454" s="329"/>
      <c r="K454" s="329"/>
      <c r="L454" s="200"/>
      <c r="M454" s="200"/>
      <c r="N454" s="210"/>
      <c r="O454" s="210"/>
      <c r="P454" s="200"/>
      <c r="Q454" s="200"/>
      <c r="R454" s="200"/>
      <c r="T454" s="154"/>
      <c r="V454" s="200"/>
      <c r="Y454" s="200"/>
      <c r="Z454" s="329"/>
      <c r="AA454" s="200"/>
      <c r="AB454" s="200"/>
      <c r="AC454" s="210"/>
      <c r="AD454" s="210"/>
      <c r="AE454" s="200"/>
      <c r="AF454" s="200"/>
      <c r="AG454" s="209"/>
      <c r="AH454" s="201"/>
      <c r="AI454" s="200"/>
      <c r="AJ454" s="200"/>
      <c r="AK454" s="209"/>
      <c r="AL454" s="200"/>
      <c r="AM454" s="210"/>
      <c r="AN454" s="210"/>
    </row>
    <row r="455" spans="1:40" x14ac:dyDescent="0.25">
      <c r="A455" s="202"/>
      <c r="C455" s="154"/>
      <c r="F455" s="252"/>
      <c r="H455" s="252"/>
      <c r="I455" s="252"/>
      <c r="J455" s="329"/>
      <c r="K455" s="329"/>
      <c r="L455" s="200"/>
      <c r="M455" s="200"/>
      <c r="N455" s="210"/>
      <c r="O455" s="210"/>
      <c r="P455" s="200"/>
      <c r="Q455" s="200"/>
      <c r="R455" s="200"/>
      <c r="T455" s="154"/>
      <c r="V455" s="200"/>
      <c r="Y455" s="200"/>
      <c r="Z455" s="329"/>
      <c r="AA455" s="200"/>
      <c r="AB455" s="200"/>
      <c r="AC455" s="210"/>
      <c r="AD455" s="210"/>
      <c r="AE455" s="200"/>
      <c r="AF455" s="200"/>
      <c r="AG455" s="209"/>
      <c r="AH455" s="201"/>
      <c r="AI455" s="200"/>
      <c r="AJ455" s="200"/>
      <c r="AK455" s="209"/>
      <c r="AL455" s="200"/>
      <c r="AM455" s="210"/>
      <c r="AN455" s="210"/>
    </row>
    <row r="456" spans="1:40" x14ac:dyDescent="0.25">
      <c r="A456" s="202"/>
      <c r="C456" s="154"/>
      <c r="J456" s="334"/>
      <c r="K456" s="334"/>
      <c r="T456" s="154"/>
      <c r="Z456" s="334"/>
    </row>
    <row r="457" spans="1:40" x14ac:dyDescent="0.25">
      <c r="A457" s="202"/>
      <c r="C457" s="154"/>
      <c r="F457" s="252"/>
      <c r="H457" s="252"/>
      <c r="I457" s="252"/>
      <c r="J457" s="329"/>
      <c r="K457" s="329"/>
      <c r="L457" s="200"/>
      <c r="M457" s="200"/>
      <c r="N457" s="210"/>
      <c r="O457" s="210"/>
      <c r="P457" s="200"/>
      <c r="Q457" s="200"/>
      <c r="R457" s="200"/>
      <c r="T457" s="154"/>
      <c r="V457" s="200"/>
      <c r="Y457" s="200"/>
      <c r="Z457" s="329"/>
      <c r="AA457" s="200"/>
      <c r="AB457" s="200"/>
      <c r="AC457" s="210"/>
      <c r="AD457" s="210"/>
      <c r="AE457" s="200"/>
      <c r="AF457" s="200"/>
      <c r="AG457" s="209"/>
      <c r="AH457" s="201"/>
      <c r="AI457" s="200"/>
      <c r="AJ457" s="200"/>
      <c r="AK457" s="209"/>
      <c r="AL457" s="200"/>
      <c r="AM457" s="210"/>
      <c r="AN457" s="210"/>
    </row>
    <row r="458" spans="1:40" x14ac:dyDescent="0.25">
      <c r="A458" s="202"/>
      <c r="C458" s="154"/>
      <c r="F458" s="252"/>
      <c r="H458" s="252"/>
      <c r="I458" s="252"/>
      <c r="J458" s="329"/>
      <c r="K458" s="329"/>
      <c r="L458" s="200"/>
      <c r="M458" s="200"/>
      <c r="N458" s="210"/>
      <c r="O458" s="210"/>
      <c r="P458" s="200"/>
      <c r="Q458" s="200"/>
      <c r="R458" s="200"/>
      <c r="T458" s="154"/>
      <c r="V458" s="200"/>
      <c r="Y458" s="200"/>
      <c r="Z458" s="329"/>
      <c r="AA458" s="200"/>
      <c r="AB458" s="200"/>
      <c r="AC458" s="210"/>
      <c r="AD458" s="210"/>
      <c r="AE458" s="200"/>
      <c r="AF458" s="200"/>
      <c r="AG458" s="209"/>
      <c r="AH458" s="201"/>
      <c r="AI458" s="200"/>
      <c r="AJ458" s="200"/>
      <c r="AK458" s="209"/>
      <c r="AL458" s="200"/>
      <c r="AM458" s="210"/>
      <c r="AN458" s="210"/>
    </row>
    <row r="459" spans="1:40" x14ac:dyDescent="0.25">
      <c r="A459" s="202"/>
      <c r="C459" s="154"/>
      <c r="F459" s="252"/>
      <c r="H459" s="252"/>
      <c r="I459" s="252"/>
      <c r="J459" s="329"/>
      <c r="K459" s="329"/>
      <c r="L459" s="200"/>
      <c r="M459" s="200"/>
      <c r="N459" s="210"/>
      <c r="O459" s="210"/>
      <c r="P459" s="200"/>
      <c r="Q459" s="200"/>
      <c r="R459" s="200"/>
      <c r="T459" s="154"/>
      <c r="V459" s="200"/>
      <c r="Y459" s="200"/>
      <c r="Z459" s="329"/>
      <c r="AA459" s="200"/>
      <c r="AB459" s="200"/>
      <c r="AC459" s="210"/>
      <c r="AD459" s="210"/>
      <c r="AE459" s="200"/>
      <c r="AF459" s="200"/>
      <c r="AG459" s="209"/>
      <c r="AH459" s="201"/>
      <c r="AI459" s="200"/>
      <c r="AJ459" s="200"/>
      <c r="AK459" s="209"/>
      <c r="AL459" s="200"/>
      <c r="AM459" s="210"/>
      <c r="AN459" s="210"/>
    </row>
    <row r="460" spans="1:40" x14ac:dyDescent="0.25">
      <c r="A460" s="202"/>
      <c r="C460" s="154"/>
      <c r="F460" s="252"/>
      <c r="H460" s="252"/>
      <c r="I460" s="252"/>
      <c r="J460" s="329"/>
      <c r="K460" s="329"/>
      <c r="L460" s="200"/>
      <c r="M460" s="200"/>
      <c r="N460" s="210"/>
      <c r="O460" s="210"/>
      <c r="P460" s="200"/>
      <c r="Q460" s="200"/>
      <c r="R460" s="200"/>
      <c r="T460" s="154"/>
      <c r="V460" s="200"/>
      <c r="Y460" s="200"/>
      <c r="Z460" s="329"/>
      <c r="AA460" s="200"/>
      <c r="AB460" s="200"/>
      <c r="AC460" s="210"/>
      <c r="AD460" s="210"/>
      <c r="AE460" s="200"/>
      <c r="AF460" s="200"/>
      <c r="AG460" s="209"/>
      <c r="AH460" s="201"/>
      <c r="AI460" s="200"/>
      <c r="AJ460" s="200"/>
      <c r="AK460" s="209"/>
      <c r="AL460" s="200"/>
      <c r="AM460" s="210"/>
      <c r="AN460" s="210"/>
    </row>
    <row r="461" spans="1:40" x14ac:dyDescent="0.25">
      <c r="A461" s="202"/>
      <c r="C461" s="154"/>
      <c r="F461" s="252"/>
      <c r="H461" s="252"/>
      <c r="I461" s="252"/>
      <c r="J461" s="329"/>
      <c r="K461" s="329"/>
      <c r="L461" s="200"/>
      <c r="M461" s="200"/>
      <c r="N461" s="210"/>
      <c r="O461" s="210"/>
      <c r="P461" s="200"/>
      <c r="Q461" s="200"/>
      <c r="R461" s="200"/>
      <c r="T461" s="154"/>
      <c r="V461" s="200"/>
      <c r="Y461" s="200"/>
      <c r="Z461" s="329"/>
      <c r="AA461" s="200"/>
      <c r="AB461" s="200"/>
      <c r="AC461" s="210"/>
      <c r="AD461" s="210"/>
      <c r="AE461" s="200"/>
      <c r="AF461" s="200"/>
      <c r="AG461" s="209"/>
      <c r="AH461" s="201"/>
      <c r="AI461" s="200"/>
      <c r="AJ461" s="200"/>
      <c r="AK461" s="209"/>
      <c r="AL461" s="200"/>
      <c r="AM461" s="210"/>
      <c r="AN461" s="210"/>
    </row>
    <row r="462" spans="1:40" x14ac:dyDescent="0.25">
      <c r="F462" s="211"/>
      <c r="H462" s="211"/>
      <c r="I462" s="211"/>
      <c r="J462" s="305"/>
      <c r="K462" s="305"/>
      <c r="L462" s="211"/>
      <c r="M462" s="211"/>
      <c r="N462" s="211"/>
      <c r="O462" s="211"/>
      <c r="P462" s="211"/>
      <c r="Q462" s="211"/>
      <c r="R462" s="211"/>
      <c r="V462" s="211"/>
      <c r="Y462" s="211"/>
      <c r="Z462" s="329"/>
      <c r="AA462" s="211"/>
      <c r="AB462" s="211"/>
      <c r="AC462" s="211"/>
      <c r="AD462" s="211"/>
      <c r="AE462" s="211"/>
      <c r="AF462" s="211"/>
      <c r="AI462" s="211"/>
      <c r="AJ462" s="211"/>
      <c r="AK462" s="212"/>
      <c r="AL462" s="211"/>
    </row>
    <row r="463" spans="1:40" x14ac:dyDescent="0.25">
      <c r="A463" s="202"/>
      <c r="C463" s="154"/>
      <c r="F463" s="200"/>
      <c r="H463" s="200"/>
      <c r="I463" s="200"/>
      <c r="L463" s="200"/>
      <c r="M463" s="200"/>
      <c r="N463" s="201"/>
      <c r="O463" s="201"/>
      <c r="P463" s="200"/>
      <c r="Q463" s="200"/>
      <c r="R463" s="200"/>
      <c r="T463" s="154"/>
      <c r="V463" s="200"/>
      <c r="Y463" s="200"/>
      <c r="AA463" s="200"/>
      <c r="AB463" s="200"/>
      <c r="AC463" s="210"/>
      <c r="AD463" s="210"/>
      <c r="AE463" s="200"/>
      <c r="AF463" s="200"/>
      <c r="AG463" s="209"/>
      <c r="AH463" s="201"/>
      <c r="AI463" s="200"/>
      <c r="AJ463" s="200"/>
      <c r="AK463" s="209"/>
      <c r="AL463" s="200"/>
      <c r="AM463" s="210"/>
      <c r="AN463" s="210"/>
    </row>
    <row r="464" spans="1:40" x14ac:dyDescent="0.25">
      <c r="F464" s="211"/>
      <c r="H464" s="211"/>
      <c r="I464" s="211"/>
      <c r="J464" s="305"/>
      <c r="K464" s="305"/>
      <c r="L464" s="211"/>
      <c r="M464" s="211"/>
      <c r="N464" s="211"/>
      <c r="O464" s="211"/>
      <c r="P464" s="211"/>
      <c r="Q464" s="211"/>
      <c r="R464" s="211"/>
      <c r="V464" s="211"/>
      <c r="Y464" s="211"/>
      <c r="Z464" s="305"/>
      <c r="AA464" s="211"/>
      <c r="AB464" s="211"/>
      <c r="AC464" s="211"/>
      <c r="AD464" s="211"/>
      <c r="AE464" s="211"/>
      <c r="AF464" s="211"/>
      <c r="AI464" s="211"/>
      <c r="AJ464" s="211"/>
      <c r="AK464" s="212"/>
      <c r="AL464" s="211"/>
    </row>
    <row r="465" spans="1:40" x14ac:dyDescent="0.25">
      <c r="A465" s="202"/>
      <c r="C465" s="154"/>
      <c r="T465" s="154"/>
    </row>
    <row r="466" spans="1:40" x14ac:dyDescent="0.25">
      <c r="A466" s="202"/>
      <c r="C466" s="154"/>
      <c r="F466" s="252"/>
      <c r="H466" s="252"/>
      <c r="I466" s="252"/>
      <c r="J466" s="300"/>
      <c r="K466" s="300"/>
      <c r="L466" s="200"/>
      <c r="M466" s="200"/>
      <c r="N466" s="210"/>
      <c r="O466" s="210"/>
      <c r="P466" s="200"/>
      <c r="Q466" s="200"/>
      <c r="R466" s="200"/>
      <c r="T466" s="154"/>
      <c r="V466" s="200"/>
      <c r="Y466" s="200"/>
      <c r="Z466" s="300"/>
      <c r="AA466" s="200"/>
      <c r="AB466" s="200"/>
      <c r="AC466" s="210"/>
      <c r="AD466" s="210"/>
      <c r="AE466" s="200"/>
      <c r="AF466" s="200"/>
      <c r="AG466" s="209"/>
      <c r="AH466" s="201"/>
      <c r="AI466" s="200"/>
      <c r="AJ466" s="200"/>
      <c r="AK466" s="209"/>
      <c r="AL466" s="200"/>
      <c r="AM466" s="210"/>
      <c r="AN466" s="210"/>
    </row>
    <row r="467" spans="1:40" x14ac:dyDescent="0.25">
      <c r="A467" s="202"/>
      <c r="C467" s="154"/>
      <c r="F467" s="252"/>
      <c r="H467" s="252"/>
      <c r="I467" s="252"/>
      <c r="J467" s="300"/>
      <c r="K467" s="300"/>
      <c r="L467" s="200"/>
      <c r="M467" s="200"/>
      <c r="N467" s="210"/>
      <c r="O467" s="210"/>
      <c r="P467" s="200"/>
      <c r="Q467" s="200"/>
      <c r="R467" s="200"/>
      <c r="T467" s="154"/>
      <c r="V467" s="200"/>
      <c r="Y467" s="200"/>
      <c r="Z467" s="300"/>
      <c r="AA467" s="200"/>
      <c r="AB467" s="200"/>
      <c r="AC467" s="210"/>
      <c r="AD467" s="210"/>
      <c r="AE467" s="200"/>
      <c r="AF467" s="200"/>
      <c r="AG467" s="209"/>
      <c r="AH467" s="201"/>
      <c r="AI467" s="200"/>
      <c r="AJ467" s="200"/>
      <c r="AK467" s="209"/>
      <c r="AL467" s="200"/>
      <c r="AM467" s="210"/>
      <c r="AN467" s="210"/>
    </row>
    <row r="468" spans="1:40" x14ac:dyDescent="0.25">
      <c r="F468" s="211"/>
      <c r="H468" s="200"/>
      <c r="I468" s="200"/>
      <c r="J468" s="305"/>
      <c r="K468" s="305"/>
      <c r="L468" s="211"/>
      <c r="M468" s="211"/>
      <c r="N468" s="211"/>
      <c r="O468" s="211"/>
      <c r="P468" s="211"/>
      <c r="Q468" s="211"/>
      <c r="R468" s="211"/>
      <c r="V468" s="211"/>
      <c r="Y468" s="200"/>
      <c r="Z468" s="305"/>
      <c r="AA468" s="211"/>
      <c r="AB468" s="211"/>
      <c r="AC468" s="211"/>
      <c r="AD468" s="211"/>
      <c r="AE468" s="211"/>
      <c r="AF468" s="211"/>
      <c r="AI468" s="211"/>
      <c r="AJ468" s="211"/>
      <c r="AK468" s="212"/>
      <c r="AL468" s="211"/>
    </row>
    <row r="469" spans="1:40" x14ac:dyDescent="0.25">
      <c r="F469" s="200"/>
      <c r="H469" s="200"/>
      <c r="I469" s="200"/>
      <c r="J469" s="305"/>
      <c r="K469" s="305"/>
      <c r="L469" s="200"/>
      <c r="M469" s="200"/>
      <c r="N469" s="200"/>
      <c r="O469" s="200"/>
      <c r="P469" s="200"/>
      <c r="Q469" s="200"/>
      <c r="R469" s="200"/>
      <c r="V469" s="200"/>
      <c r="Y469" s="200"/>
      <c r="Z469" s="305"/>
      <c r="AA469" s="200"/>
      <c r="AB469" s="200"/>
      <c r="AC469" s="200"/>
      <c r="AD469" s="200"/>
      <c r="AE469" s="200"/>
      <c r="AF469" s="200"/>
      <c r="AI469" s="200"/>
      <c r="AJ469" s="200"/>
      <c r="AK469" s="209"/>
      <c r="AL469" s="200"/>
    </row>
    <row r="470" spans="1:40" x14ac:dyDescent="0.25">
      <c r="A470" s="202"/>
      <c r="C470" s="154"/>
      <c r="F470" s="200"/>
      <c r="H470" s="200"/>
      <c r="I470" s="200"/>
      <c r="L470" s="200"/>
      <c r="M470" s="200"/>
      <c r="N470" s="210"/>
      <c r="O470" s="210"/>
      <c r="P470" s="200"/>
      <c r="Q470" s="200"/>
      <c r="R470" s="200"/>
      <c r="T470" s="154"/>
      <c r="V470" s="200"/>
      <c r="Y470" s="200"/>
      <c r="AA470" s="200"/>
      <c r="AB470" s="200"/>
      <c r="AC470" s="210"/>
      <c r="AD470" s="210"/>
      <c r="AE470" s="200"/>
      <c r="AF470" s="200"/>
      <c r="AG470" s="209"/>
      <c r="AH470" s="201"/>
      <c r="AI470" s="252"/>
      <c r="AJ470" s="252"/>
      <c r="AK470" s="209"/>
      <c r="AL470" s="200"/>
      <c r="AM470" s="210"/>
      <c r="AN470" s="210"/>
    </row>
    <row r="471" spans="1:40" x14ac:dyDescent="0.25">
      <c r="F471" s="211"/>
      <c r="H471" s="211"/>
      <c r="I471" s="211"/>
      <c r="J471" s="305"/>
      <c r="K471" s="305"/>
      <c r="L471" s="211"/>
      <c r="M471" s="211"/>
      <c r="N471" s="211"/>
      <c r="O471" s="211"/>
      <c r="P471" s="211"/>
      <c r="Q471" s="211"/>
      <c r="R471" s="211"/>
      <c r="V471" s="211"/>
      <c r="Y471" s="211"/>
      <c r="Z471" s="305"/>
      <c r="AA471" s="211"/>
      <c r="AB471" s="211"/>
      <c r="AC471" s="211"/>
      <c r="AD471" s="211"/>
      <c r="AE471" s="211"/>
      <c r="AF471" s="211"/>
      <c r="AI471" s="211"/>
      <c r="AJ471" s="211"/>
      <c r="AK471" s="212"/>
      <c r="AL471" s="211"/>
    </row>
    <row r="473" spans="1:40" x14ac:dyDescent="0.25">
      <c r="A473" s="154"/>
      <c r="T473" s="154"/>
    </row>
    <row r="474" spans="1:40" x14ac:dyDescent="0.25">
      <c r="A474" s="154"/>
      <c r="T474" s="154"/>
    </row>
    <row r="475" spans="1:40" x14ac:dyDescent="0.25">
      <c r="A475" s="154"/>
      <c r="T475" s="154"/>
    </row>
    <row r="476" spans="1:40" x14ac:dyDescent="0.25">
      <c r="A476" s="154"/>
      <c r="T476" s="154"/>
    </row>
    <row r="477" spans="1:40" x14ac:dyDescent="0.25">
      <c r="A477" s="154"/>
      <c r="T477" s="154"/>
    </row>
    <row r="478" spans="1:40" x14ac:dyDescent="0.25">
      <c r="A478" s="154"/>
      <c r="T478" s="154"/>
    </row>
    <row r="479" spans="1:40" x14ac:dyDescent="0.25">
      <c r="A479" s="154"/>
      <c r="T479" s="154"/>
    </row>
    <row r="480" spans="1:40" x14ac:dyDescent="0.25">
      <c r="A480" s="154"/>
      <c r="T480" s="154"/>
    </row>
    <row r="481" spans="1:40" x14ac:dyDescent="0.25">
      <c r="A481" s="154"/>
      <c r="T481" s="154"/>
    </row>
    <row r="483" spans="1:40" x14ac:dyDescent="0.25">
      <c r="A483" s="154"/>
    </row>
    <row r="484" spans="1:40" x14ac:dyDescent="0.25">
      <c r="J484" s="202"/>
      <c r="K484" s="202"/>
      <c r="Z484" s="202"/>
    </row>
    <row r="485" spans="1:40" x14ac:dyDescent="0.25">
      <c r="H485" s="154"/>
      <c r="I485" s="154"/>
      <c r="Y485" s="154"/>
    </row>
    <row r="486" spans="1:40" x14ac:dyDescent="0.25">
      <c r="J486" s="202"/>
      <c r="K486" s="202"/>
      <c r="Z486" s="202"/>
    </row>
    <row r="487" spans="1:40" x14ac:dyDescent="0.25">
      <c r="L487" s="154"/>
      <c r="M487" s="154"/>
      <c r="AA487" s="154"/>
      <c r="AB487" s="154"/>
    </row>
    <row r="488" spans="1:40" x14ac:dyDescent="0.25">
      <c r="A488" s="202"/>
      <c r="R488" s="154"/>
      <c r="AK488" s="297"/>
      <c r="AL488" s="154"/>
    </row>
    <row r="489" spans="1:40" x14ac:dyDescent="0.25">
      <c r="A489" s="202"/>
      <c r="R489" s="154"/>
      <c r="AK489" s="297"/>
      <c r="AL489" s="154"/>
    </row>
    <row r="490" spans="1:40" x14ac:dyDescent="0.25">
      <c r="A490" s="154"/>
      <c r="R490" s="154"/>
      <c r="AK490" s="297"/>
      <c r="AL490" s="154"/>
    </row>
    <row r="491" spans="1:40" x14ac:dyDescent="0.25">
      <c r="L491" s="154"/>
      <c r="M491" s="154"/>
      <c r="R491" s="202"/>
      <c r="AA491" s="154"/>
      <c r="AB491" s="154"/>
      <c r="AK491" s="209"/>
      <c r="AL491" s="202"/>
    </row>
    <row r="492" spans="1:40" x14ac:dyDescent="0.2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208"/>
      <c r="AH492" s="102"/>
      <c r="AI492" s="102"/>
      <c r="AJ492" s="102"/>
      <c r="AK492" s="208"/>
      <c r="AL492" s="102"/>
      <c r="AM492" s="102"/>
      <c r="AN492" s="102"/>
    </row>
    <row r="493" spans="1:40" x14ac:dyDescent="0.25">
      <c r="L493" s="103"/>
      <c r="M493" s="103"/>
      <c r="N493" s="103"/>
      <c r="O493" s="103"/>
      <c r="R493" s="103"/>
      <c r="AA493" s="103"/>
      <c r="AB493" s="103"/>
      <c r="AC493" s="103"/>
      <c r="AD493" s="103"/>
      <c r="AE493" s="103"/>
      <c r="AF493" s="103"/>
      <c r="AG493" s="185"/>
      <c r="AH493" s="103"/>
      <c r="AK493" s="185"/>
      <c r="AL493" s="103"/>
      <c r="AM493" s="103"/>
      <c r="AN493" s="103"/>
    </row>
    <row r="494" spans="1:40" x14ac:dyDescent="0.25">
      <c r="L494" s="103"/>
      <c r="M494" s="103"/>
      <c r="N494" s="103"/>
      <c r="O494" s="103"/>
      <c r="R494" s="103"/>
      <c r="Z494" s="103"/>
      <c r="AA494" s="103"/>
      <c r="AB494" s="103"/>
      <c r="AC494" s="103"/>
      <c r="AD494" s="103"/>
      <c r="AE494" s="103"/>
      <c r="AF494" s="103"/>
      <c r="AG494" s="185"/>
      <c r="AH494" s="103"/>
      <c r="AK494" s="185"/>
      <c r="AL494" s="103"/>
      <c r="AM494" s="103"/>
      <c r="AN494" s="103"/>
    </row>
    <row r="495" spans="1:40" x14ac:dyDescent="0.25">
      <c r="A495" s="103"/>
      <c r="C495" s="103"/>
      <c r="D495" s="103"/>
      <c r="E495" s="103"/>
      <c r="F495" s="103"/>
      <c r="J495" s="103"/>
      <c r="K495" s="103"/>
      <c r="L495" s="103"/>
      <c r="M495" s="103"/>
      <c r="N495" s="103"/>
      <c r="O495" s="103"/>
      <c r="P495" s="103"/>
      <c r="Q495" s="103"/>
      <c r="R495" s="103"/>
      <c r="T495" s="103"/>
      <c r="U495" s="103"/>
      <c r="V495" s="103"/>
      <c r="Z495" s="103"/>
      <c r="AA495" s="103"/>
      <c r="AB495" s="103"/>
      <c r="AC495" s="103"/>
      <c r="AD495" s="103"/>
      <c r="AE495" s="103"/>
      <c r="AF495" s="103"/>
      <c r="AG495" s="185"/>
      <c r="AH495" s="103"/>
      <c r="AI495" s="103"/>
      <c r="AJ495" s="103"/>
      <c r="AK495" s="185"/>
      <c r="AL495" s="103"/>
      <c r="AM495" s="103"/>
      <c r="AN495" s="103"/>
    </row>
    <row r="496" spans="1:40" x14ac:dyDescent="0.25">
      <c r="A496" s="103"/>
      <c r="C496" s="103"/>
      <c r="D496" s="103"/>
      <c r="E496" s="103"/>
      <c r="F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T496" s="103"/>
      <c r="U496" s="103"/>
      <c r="V496" s="103"/>
      <c r="Y496" s="103"/>
      <c r="Z496" s="103"/>
      <c r="AA496" s="103"/>
      <c r="AB496" s="103"/>
      <c r="AC496" s="103"/>
      <c r="AD496" s="103"/>
      <c r="AE496" s="103"/>
      <c r="AF496" s="103"/>
      <c r="AG496" s="185"/>
      <c r="AH496" s="103"/>
      <c r="AI496" s="103"/>
      <c r="AJ496" s="103"/>
      <c r="AK496" s="185"/>
      <c r="AL496" s="103"/>
      <c r="AM496" s="103"/>
      <c r="AN496" s="103"/>
    </row>
    <row r="497" spans="1:40" x14ac:dyDescent="0.25">
      <c r="C497" s="103"/>
      <c r="D497" s="103"/>
      <c r="E497" s="103"/>
      <c r="F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T497" s="103"/>
      <c r="U497" s="103"/>
      <c r="V497" s="103"/>
      <c r="Y497" s="103"/>
      <c r="Z497" s="103"/>
      <c r="AA497" s="103"/>
      <c r="AB497" s="103"/>
      <c r="AC497" s="103"/>
      <c r="AD497" s="103"/>
      <c r="AE497" s="103"/>
      <c r="AF497" s="103"/>
      <c r="AG497" s="185"/>
      <c r="AH497" s="103"/>
      <c r="AI497" s="103"/>
      <c r="AJ497" s="103"/>
      <c r="AK497" s="185"/>
      <c r="AL497" s="103"/>
      <c r="AM497" s="103"/>
      <c r="AN497" s="103"/>
    </row>
    <row r="498" spans="1:40" x14ac:dyDescent="0.2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208"/>
      <c r="AH498" s="102"/>
      <c r="AI498" s="102"/>
      <c r="AJ498" s="102"/>
      <c r="AK498" s="208"/>
      <c r="AL498" s="102"/>
      <c r="AM498" s="102"/>
      <c r="AN498" s="102"/>
    </row>
    <row r="499" spans="1:40" x14ac:dyDescent="0.25"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Y499" s="103"/>
      <c r="Z499" s="103"/>
      <c r="AA499" s="103"/>
      <c r="AB499" s="103"/>
      <c r="AC499" s="103"/>
      <c r="AD499" s="103"/>
      <c r="AE499" s="103"/>
      <c r="AF499" s="103"/>
      <c r="AG499" s="185"/>
      <c r="AH499" s="103"/>
      <c r="AI499" s="103"/>
      <c r="AJ499" s="103"/>
      <c r="AK499" s="185"/>
      <c r="AL499" s="103"/>
      <c r="AM499" s="103"/>
      <c r="AN499" s="103"/>
    </row>
    <row r="500" spans="1:40" x14ac:dyDescent="0.25">
      <c r="A500" s="202"/>
      <c r="C500" s="154"/>
      <c r="D500" s="154"/>
      <c r="E500" s="154"/>
      <c r="T500" s="154"/>
      <c r="U500" s="154"/>
    </row>
    <row r="501" spans="1:40" x14ac:dyDescent="0.25">
      <c r="A501" s="202"/>
      <c r="D501" s="154"/>
      <c r="E501" s="154"/>
      <c r="U501" s="154"/>
    </row>
    <row r="503" spans="1:40" x14ac:dyDescent="0.25">
      <c r="A503" s="202"/>
      <c r="C503" s="154"/>
      <c r="F503" s="200"/>
      <c r="J503" s="215"/>
      <c r="K503" s="215"/>
      <c r="L503" s="200"/>
      <c r="M503" s="200"/>
      <c r="R503" s="200"/>
      <c r="T503" s="154"/>
      <c r="V503" s="200"/>
      <c r="Z503" s="215"/>
      <c r="AA503" s="200"/>
      <c r="AB503" s="200"/>
      <c r="AG503" s="209"/>
      <c r="AH503" s="200"/>
      <c r="AK503" s="209"/>
      <c r="AL503" s="200"/>
    </row>
    <row r="504" spans="1:40" x14ac:dyDescent="0.25">
      <c r="A504" s="202"/>
      <c r="C504" s="154"/>
      <c r="F504" s="200"/>
      <c r="R504" s="200"/>
      <c r="T504" s="154"/>
      <c r="V504" s="200"/>
      <c r="AG504" s="209"/>
      <c r="AH504" s="200"/>
      <c r="AK504" s="209"/>
      <c r="AL504" s="200"/>
    </row>
    <row r="505" spans="1:40" x14ac:dyDescent="0.25">
      <c r="AI505" s="200"/>
      <c r="AJ505" s="200"/>
      <c r="AK505" s="209"/>
      <c r="AL505" s="200"/>
      <c r="AM505" s="210"/>
      <c r="AN505" s="210"/>
    </row>
    <row r="506" spans="1:40" x14ac:dyDescent="0.25">
      <c r="A506" s="202"/>
      <c r="C506" s="154"/>
      <c r="F506" s="252"/>
      <c r="H506" s="252"/>
      <c r="I506" s="252"/>
      <c r="J506" s="328"/>
      <c r="K506" s="328"/>
      <c r="L506" s="200"/>
      <c r="M506" s="200"/>
      <c r="N506" s="210"/>
      <c r="O506" s="210"/>
      <c r="P506" s="200"/>
      <c r="Q506" s="200"/>
      <c r="R506" s="200"/>
      <c r="T506" s="154"/>
      <c r="V506" s="200"/>
      <c r="Y506" s="200"/>
      <c r="Z506" s="328"/>
      <c r="AA506" s="200"/>
      <c r="AB506" s="200"/>
      <c r="AC506" s="210"/>
      <c r="AD506" s="210"/>
      <c r="AE506" s="200"/>
      <c r="AF506" s="200"/>
      <c r="AG506" s="209"/>
      <c r="AH506" s="201"/>
      <c r="AI506" s="200"/>
      <c r="AJ506" s="200"/>
      <c r="AK506" s="209"/>
      <c r="AL506" s="200"/>
      <c r="AM506" s="210"/>
      <c r="AN506" s="210"/>
    </row>
    <row r="507" spans="1:40" x14ac:dyDescent="0.25">
      <c r="F507" s="200"/>
      <c r="H507" s="200"/>
      <c r="I507" s="200"/>
      <c r="J507" s="213"/>
      <c r="K507" s="213"/>
      <c r="L507" s="200"/>
      <c r="M507" s="200"/>
      <c r="P507" s="200"/>
      <c r="Q507" s="200"/>
      <c r="R507" s="200"/>
      <c r="V507" s="200"/>
      <c r="Y507" s="200"/>
      <c r="Z507" s="213"/>
      <c r="AA507" s="200"/>
      <c r="AB507" s="200"/>
      <c r="AI507" s="200"/>
      <c r="AJ507" s="200"/>
      <c r="AK507" s="209"/>
      <c r="AL507" s="200"/>
      <c r="AM507" s="210"/>
      <c r="AN507" s="210"/>
    </row>
    <row r="508" spans="1:40" x14ac:dyDescent="0.25">
      <c r="F508" s="200"/>
      <c r="R508" s="200"/>
      <c r="V508" s="200"/>
      <c r="AK508" s="209"/>
      <c r="AL508" s="200"/>
      <c r="AM508" s="210"/>
      <c r="AN508" s="210"/>
    </row>
    <row r="509" spans="1:40" x14ac:dyDescent="0.25">
      <c r="A509" s="202"/>
      <c r="C509" s="154"/>
      <c r="F509" s="200"/>
      <c r="J509" s="215"/>
      <c r="K509" s="215"/>
      <c r="L509" s="200"/>
      <c r="M509" s="200"/>
      <c r="N509" s="210"/>
      <c r="O509" s="210"/>
      <c r="R509" s="200"/>
      <c r="T509" s="154"/>
      <c r="V509" s="200"/>
      <c r="Z509" s="215"/>
      <c r="AA509" s="200"/>
      <c r="AB509" s="200"/>
      <c r="AC509" s="210"/>
      <c r="AD509" s="210"/>
      <c r="AK509" s="209"/>
      <c r="AL509" s="200"/>
      <c r="AM509" s="210"/>
      <c r="AN509" s="210"/>
    </row>
    <row r="510" spans="1:40" x14ac:dyDescent="0.25">
      <c r="A510" s="202"/>
      <c r="C510" s="154"/>
      <c r="F510" s="200"/>
      <c r="H510" s="200"/>
      <c r="I510" s="200"/>
      <c r="J510" s="215"/>
      <c r="K510" s="215"/>
      <c r="L510" s="200"/>
      <c r="M510" s="200"/>
      <c r="N510" s="210"/>
      <c r="O510" s="210"/>
      <c r="P510" s="200"/>
      <c r="Q510" s="200"/>
      <c r="R510" s="200"/>
      <c r="T510" s="154"/>
      <c r="V510" s="200"/>
      <c r="Y510" s="200"/>
      <c r="Z510" s="215"/>
      <c r="AA510" s="200"/>
      <c r="AB510" s="200"/>
      <c r="AC510" s="210"/>
      <c r="AD510" s="210"/>
      <c r="AI510" s="200"/>
      <c r="AJ510" s="200"/>
      <c r="AK510" s="209"/>
      <c r="AL510" s="200"/>
      <c r="AM510" s="210"/>
      <c r="AN510" s="210"/>
    </row>
    <row r="511" spans="1:40" x14ac:dyDescent="0.25">
      <c r="A511" s="202"/>
      <c r="C511" s="154"/>
      <c r="T511" s="154"/>
      <c r="AM511" s="210"/>
      <c r="AN511" s="210"/>
    </row>
    <row r="512" spans="1:40" x14ac:dyDescent="0.25">
      <c r="A512" s="202"/>
      <c r="C512" s="154"/>
      <c r="T512" s="154"/>
      <c r="AM512" s="210"/>
      <c r="AN512" s="210"/>
    </row>
    <row r="513" spans="1:40" x14ac:dyDescent="0.25">
      <c r="AM513" s="210"/>
      <c r="AN513" s="210"/>
    </row>
    <row r="514" spans="1:40" x14ac:dyDescent="0.25">
      <c r="A514" s="202"/>
      <c r="C514" s="154"/>
      <c r="F514" s="252"/>
      <c r="H514" s="252"/>
      <c r="I514" s="252"/>
      <c r="J514" s="328"/>
      <c r="K514" s="328"/>
      <c r="L514" s="200"/>
      <c r="M514" s="200"/>
      <c r="N514" s="210"/>
      <c r="O514" s="210"/>
      <c r="P514" s="200"/>
      <c r="Q514" s="200"/>
      <c r="R514" s="200"/>
      <c r="T514" s="154"/>
      <c r="V514" s="200"/>
      <c r="Y514" s="200"/>
      <c r="Z514" s="328"/>
      <c r="AA514" s="200"/>
      <c r="AB514" s="200"/>
      <c r="AC514" s="210"/>
      <c r="AD514" s="210"/>
      <c r="AE514" s="200"/>
      <c r="AF514" s="200"/>
      <c r="AG514" s="209"/>
      <c r="AH514" s="201"/>
      <c r="AI514" s="200"/>
      <c r="AJ514" s="200"/>
      <c r="AK514" s="209"/>
      <c r="AL514" s="200"/>
      <c r="AM514" s="210"/>
      <c r="AN514" s="210"/>
    </row>
    <row r="515" spans="1:40" x14ac:dyDescent="0.25">
      <c r="F515" s="211"/>
      <c r="H515" s="211"/>
      <c r="I515" s="211"/>
      <c r="J515" s="305"/>
      <c r="K515" s="305"/>
      <c r="L515" s="211"/>
      <c r="M515" s="211"/>
      <c r="N515" s="211"/>
      <c r="O515" s="211"/>
      <c r="P515" s="211"/>
      <c r="Q515" s="211"/>
      <c r="R515" s="211"/>
      <c r="V515" s="211"/>
      <c r="Y515" s="211"/>
      <c r="Z515" s="305"/>
      <c r="AA515" s="211"/>
      <c r="AB515" s="211"/>
      <c r="AC515" s="211"/>
      <c r="AD515" s="211"/>
      <c r="AE515" s="211"/>
      <c r="AF515" s="211"/>
      <c r="AI515" s="211"/>
      <c r="AJ515" s="211"/>
      <c r="AK515" s="212"/>
      <c r="AL515" s="211"/>
      <c r="AM515" s="210"/>
      <c r="AN515" s="210"/>
    </row>
    <row r="516" spans="1:40" x14ac:dyDescent="0.25">
      <c r="H516" s="200"/>
      <c r="I516" s="200"/>
      <c r="Y516" s="200"/>
      <c r="AM516" s="210"/>
      <c r="AN516" s="210"/>
    </row>
    <row r="517" spans="1:40" x14ac:dyDescent="0.25">
      <c r="A517" s="202"/>
      <c r="C517" s="154"/>
      <c r="F517" s="200"/>
      <c r="H517" s="200"/>
      <c r="I517" s="200"/>
      <c r="L517" s="200"/>
      <c r="M517" s="200"/>
      <c r="N517" s="210"/>
      <c r="O517" s="210"/>
      <c r="P517" s="252"/>
      <c r="Q517" s="252"/>
      <c r="R517" s="200"/>
      <c r="T517" s="154"/>
      <c r="V517" s="200"/>
      <c r="Y517" s="200"/>
      <c r="AA517" s="200"/>
      <c r="AB517" s="200"/>
      <c r="AC517" s="210"/>
      <c r="AD517" s="210"/>
      <c r="AE517" s="200"/>
      <c r="AF517" s="200"/>
      <c r="AG517" s="209"/>
      <c r="AH517" s="201"/>
      <c r="AI517" s="252"/>
      <c r="AJ517" s="252"/>
      <c r="AK517" s="209"/>
      <c r="AL517" s="200"/>
      <c r="AM517" s="210"/>
      <c r="AN517" s="210"/>
    </row>
    <row r="518" spans="1:40" x14ac:dyDescent="0.25">
      <c r="F518" s="211"/>
      <c r="H518" s="211"/>
      <c r="I518" s="211"/>
      <c r="J518" s="305"/>
      <c r="K518" s="305"/>
      <c r="L518" s="211"/>
      <c r="M518" s="211"/>
      <c r="N518" s="211"/>
      <c r="O518" s="211"/>
      <c r="P518" s="211"/>
      <c r="Q518" s="211"/>
      <c r="R518" s="211"/>
      <c r="V518" s="211"/>
      <c r="Y518" s="211"/>
      <c r="Z518" s="305"/>
      <c r="AA518" s="211"/>
      <c r="AB518" s="211"/>
      <c r="AC518" s="211"/>
      <c r="AD518" s="211"/>
      <c r="AE518" s="211"/>
      <c r="AF518" s="211"/>
      <c r="AI518" s="211"/>
      <c r="AJ518" s="211"/>
      <c r="AK518" s="212"/>
      <c r="AL518" s="211"/>
      <c r="AM518" s="210"/>
      <c r="AN518" s="210"/>
    </row>
    <row r="520" spans="1:40" x14ac:dyDescent="0.25">
      <c r="F520" s="200"/>
      <c r="H520" s="200"/>
      <c r="I520" s="200"/>
      <c r="J520" s="213"/>
      <c r="K520" s="213"/>
      <c r="L520" s="200"/>
      <c r="M520" s="200"/>
      <c r="N520" s="200"/>
      <c r="O520" s="200"/>
      <c r="P520" s="200"/>
      <c r="Q520" s="200"/>
      <c r="R520" s="200"/>
      <c r="V520" s="200"/>
      <c r="Y520" s="200"/>
      <c r="Z520" s="213"/>
      <c r="AA520" s="200"/>
      <c r="AB520" s="200"/>
      <c r="AC520" s="200"/>
      <c r="AD520" s="200"/>
      <c r="AE520" s="200"/>
      <c r="AF520" s="200"/>
      <c r="AG520" s="209"/>
      <c r="AH520" s="200"/>
      <c r="AI520" s="200"/>
      <c r="AJ520" s="200"/>
      <c r="AK520" s="209"/>
      <c r="AL520" s="200"/>
    </row>
    <row r="521" spans="1:40" x14ac:dyDescent="0.25">
      <c r="A521" s="154"/>
    </row>
    <row r="522" spans="1:40" x14ac:dyDescent="0.25">
      <c r="J522" s="202"/>
      <c r="K522" s="202"/>
      <c r="Z522" s="202"/>
    </row>
    <row r="523" spans="1:40" x14ac:dyDescent="0.25">
      <c r="H523" s="154"/>
      <c r="I523" s="154"/>
      <c r="Y523" s="154"/>
    </row>
    <row r="524" spans="1:40" x14ac:dyDescent="0.25">
      <c r="J524" s="202"/>
      <c r="K524" s="202"/>
      <c r="Z524" s="202"/>
    </row>
    <row r="525" spans="1:40" x14ac:dyDescent="0.25">
      <c r="L525" s="154"/>
      <c r="M525" s="154"/>
      <c r="AA525" s="154"/>
      <c r="AB525" s="154"/>
    </row>
    <row r="526" spans="1:40" x14ac:dyDescent="0.25">
      <c r="A526" s="202"/>
      <c r="R526" s="154"/>
      <c r="AK526" s="297"/>
      <c r="AL526" s="154"/>
    </row>
    <row r="527" spans="1:40" x14ac:dyDescent="0.25">
      <c r="A527" s="202"/>
      <c r="R527" s="154"/>
      <c r="AK527" s="297"/>
      <c r="AL527" s="154"/>
    </row>
    <row r="528" spans="1:40" x14ac:dyDescent="0.25">
      <c r="A528" s="154"/>
      <c r="R528" s="154"/>
      <c r="AK528" s="297"/>
      <c r="AL528" s="154"/>
    </row>
    <row r="529" spans="1:40" x14ac:dyDescent="0.25">
      <c r="L529" s="154"/>
      <c r="M529" s="154"/>
      <c r="R529" s="202"/>
      <c r="AA529" s="154"/>
      <c r="AB529" s="154"/>
      <c r="AK529" s="209"/>
      <c r="AL529" s="202"/>
    </row>
    <row r="530" spans="1:40" x14ac:dyDescent="0.25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208"/>
      <c r="AH530" s="102"/>
      <c r="AI530" s="102"/>
      <c r="AJ530" s="102"/>
      <c r="AK530" s="208"/>
      <c r="AL530" s="102"/>
      <c r="AM530" s="102"/>
      <c r="AN530" s="102"/>
    </row>
    <row r="531" spans="1:40" x14ac:dyDescent="0.25">
      <c r="L531" s="103"/>
      <c r="M531" s="103"/>
      <c r="N531" s="103"/>
      <c r="O531" s="103"/>
      <c r="R531" s="103"/>
      <c r="AA531" s="103"/>
      <c r="AB531" s="103"/>
      <c r="AC531" s="103"/>
      <c r="AD531" s="103"/>
      <c r="AE531" s="103"/>
      <c r="AF531" s="103"/>
      <c r="AG531" s="185"/>
      <c r="AH531" s="103"/>
      <c r="AK531" s="185"/>
      <c r="AL531" s="103"/>
      <c r="AM531" s="103"/>
      <c r="AN531" s="103"/>
    </row>
    <row r="532" spans="1:40" x14ac:dyDescent="0.25">
      <c r="L532" s="103"/>
      <c r="M532" s="103"/>
      <c r="N532" s="103"/>
      <c r="O532" s="103"/>
      <c r="R532" s="103"/>
      <c r="Z532" s="103"/>
      <c r="AA532" s="103"/>
      <c r="AB532" s="103"/>
      <c r="AC532" s="103"/>
      <c r="AD532" s="103"/>
      <c r="AE532" s="103"/>
      <c r="AF532" s="103"/>
      <c r="AG532" s="185"/>
      <c r="AH532" s="103"/>
      <c r="AK532" s="185"/>
      <c r="AL532" s="103"/>
      <c r="AM532" s="103"/>
      <c r="AN532" s="103"/>
    </row>
    <row r="533" spans="1:40" x14ac:dyDescent="0.25">
      <c r="A533" s="103"/>
      <c r="C533" s="103"/>
      <c r="D533" s="103"/>
      <c r="E533" s="103"/>
      <c r="F533" s="103"/>
      <c r="J533" s="103"/>
      <c r="K533" s="103"/>
      <c r="L533" s="103"/>
      <c r="M533" s="103"/>
      <c r="N533" s="103"/>
      <c r="O533" s="103"/>
      <c r="P533" s="103"/>
      <c r="Q533" s="103"/>
      <c r="R533" s="103"/>
      <c r="T533" s="103"/>
      <c r="U533" s="103"/>
      <c r="V533" s="103"/>
      <c r="Z533" s="103"/>
      <c r="AA533" s="103"/>
      <c r="AB533" s="103"/>
      <c r="AC533" s="103"/>
      <c r="AD533" s="103"/>
      <c r="AE533" s="103"/>
      <c r="AF533" s="103"/>
      <c r="AG533" s="185"/>
      <c r="AH533" s="103"/>
      <c r="AI533" s="103"/>
      <c r="AJ533" s="103"/>
      <c r="AK533" s="185"/>
      <c r="AL533" s="103"/>
      <c r="AM533" s="103"/>
      <c r="AN533" s="103"/>
    </row>
    <row r="534" spans="1:40" x14ac:dyDescent="0.25">
      <c r="A534" s="103"/>
      <c r="C534" s="103"/>
      <c r="D534" s="103"/>
      <c r="E534" s="103"/>
      <c r="F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T534" s="103"/>
      <c r="U534" s="103"/>
      <c r="V534" s="103"/>
      <c r="Y534" s="103"/>
      <c r="Z534" s="103"/>
      <c r="AA534" s="103"/>
      <c r="AB534" s="103"/>
      <c r="AC534" s="103"/>
      <c r="AD534" s="103"/>
      <c r="AE534" s="103"/>
      <c r="AF534" s="103"/>
      <c r="AG534" s="185"/>
      <c r="AH534" s="103"/>
      <c r="AI534" s="103"/>
      <c r="AJ534" s="103"/>
      <c r="AK534" s="185"/>
      <c r="AL534" s="103"/>
      <c r="AM534" s="103"/>
      <c r="AN534" s="103"/>
    </row>
    <row r="535" spans="1:40" x14ac:dyDescent="0.25">
      <c r="C535" s="103"/>
      <c r="D535" s="103"/>
      <c r="E535" s="103"/>
      <c r="F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T535" s="103"/>
      <c r="U535" s="103"/>
      <c r="V535" s="103"/>
      <c r="Y535" s="103"/>
      <c r="Z535" s="103"/>
      <c r="AA535" s="103"/>
      <c r="AB535" s="103"/>
      <c r="AC535" s="103"/>
      <c r="AD535" s="103"/>
      <c r="AE535" s="103"/>
      <c r="AF535" s="103"/>
      <c r="AG535" s="185"/>
      <c r="AH535" s="103"/>
      <c r="AI535" s="103"/>
      <c r="AJ535" s="103"/>
      <c r="AK535" s="185"/>
      <c r="AL535" s="103"/>
      <c r="AM535" s="103"/>
      <c r="AN535" s="103"/>
    </row>
    <row r="536" spans="1:40" x14ac:dyDescent="0.25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208"/>
      <c r="AH536" s="102"/>
      <c r="AI536" s="102"/>
      <c r="AJ536" s="102"/>
      <c r="AK536" s="208"/>
      <c r="AL536" s="102"/>
      <c r="AM536" s="102"/>
      <c r="AN536" s="102"/>
    </row>
    <row r="537" spans="1:40" x14ac:dyDescent="0.25"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Y537" s="103"/>
      <c r="Z537" s="103"/>
      <c r="AA537" s="103"/>
      <c r="AB537" s="103"/>
      <c r="AC537" s="103"/>
      <c r="AD537" s="103"/>
      <c r="AE537" s="103"/>
      <c r="AF537" s="103"/>
      <c r="AG537" s="185"/>
      <c r="AH537" s="103"/>
      <c r="AI537" s="103"/>
      <c r="AJ537" s="103"/>
      <c r="AK537" s="185"/>
      <c r="AL537" s="103"/>
      <c r="AM537" s="103"/>
      <c r="AN537" s="103"/>
    </row>
    <row r="538" spans="1:40" x14ac:dyDescent="0.25">
      <c r="A538" s="202"/>
      <c r="C538" s="154"/>
      <c r="D538" s="154"/>
      <c r="E538" s="154"/>
      <c r="T538" s="154"/>
      <c r="U538" s="154"/>
      <c r="V538" s="200"/>
      <c r="W538" s="200"/>
      <c r="X538" s="200"/>
      <c r="Y538" s="200"/>
      <c r="Z538" s="328"/>
    </row>
    <row r="540" spans="1:40" x14ac:dyDescent="0.25">
      <c r="A540" s="202"/>
      <c r="C540" s="154"/>
      <c r="T540" s="154"/>
      <c r="V540" s="200"/>
      <c r="W540" s="200"/>
      <c r="X540" s="200"/>
      <c r="Y540" s="200"/>
      <c r="Z540" s="328"/>
    </row>
    <row r="541" spans="1:40" x14ac:dyDescent="0.25">
      <c r="A541" s="202"/>
      <c r="C541" s="154"/>
      <c r="F541" s="252"/>
      <c r="H541" s="252"/>
      <c r="I541" s="252"/>
      <c r="J541" s="329"/>
      <c r="K541" s="329"/>
      <c r="L541" s="200"/>
      <c r="M541" s="200"/>
      <c r="N541" s="210"/>
      <c r="O541" s="210"/>
      <c r="P541" s="200"/>
      <c r="Q541" s="200"/>
      <c r="R541" s="200"/>
      <c r="T541" s="154"/>
      <c r="V541" s="200"/>
      <c r="W541" s="200"/>
      <c r="X541" s="200"/>
      <c r="Y541" s="200"/>
      <c r="Z541" s="329"/>
      <c r="AA541" s="200"/>
      <c r="AB541" s="200"/>
      <c r="AC541" s="210"/>
      <c r="AD541" s="210"/>
      <c r="AE541" s="200"/>
      <c r="AF541" s="200"/>
      <c r="AG541" s="209"/>
      <c r="AH541" s="201"/>
      <c r="AI541" s="200"/>
      <c r="AJ541" s="200"/>
      <c r="AK541" s="209"/>
      <c r="AL541" s="200"/>
      <c r="AM541" s="210"/>
      <c r="AN541" s="210"/>
    </row>
    <row r="542" spans="1:40" x14ac:dyDescent="0.25">
      <c r="A542" s="202"/>
      <c r="C542" s="154"/>
      <c r="F542" s="252"/>
      <c r="H542" s="252"/>
      <c r="I542" s="252"/>
      <c r="J542" s="329"/>
      <c r="K542" s="329"/>
      <c r="L542" s="200"/>
      <c r="M542" s="200"/>
      <c r="N542" s="210"/>
      <c r="O542" s="210"/>
      <c r="P542" s="200"/>
      <c r="Q542" s="200"/>
      <c r="R542" s="200"/>
      <c r="T542" s="154"/>
      <c r="V542" s="200"/>
      <c r="W542" s="200"/>
      <c r="X542" s="200"/>
      <c r="Y542" s="200"/>
      <c r="Z542" s="329"/>
      <c r="AA542" s="200"/>
      <c r="AB542" s="200"/>
      <c r="AC542" s="210"/>
      <c r="AD542" s="210"/>
      <c r="AE542" s="200"/>
      <c r="AF542" s="200"/>
      <c r="AG542" s="209"/>
      <c r="AH542" s="201"/>
      <c r="AI542" s="200"/>
      <c r="AJ542" s="200"/>
      <c r="AK542" s="209"/>
      <c r="AL542" s="200"/>
      <c r="AM542" s="210"/>
      <c r="AN542" s="210"/>
    </row>
    <row r="543" spans="1:40" x14ac:dyDescent="0.25">
      <c r="A543" s="202"/>
      <c r="C543" s="154"/>
      <c r="F543" s="252"/>
      <c r="H543" s="252"/>
      <c r="I543" s="252"/>
      <c r="J543" s="329"/>
      <c r="K543" s="329"/>
      <c r="L543" s="200"/>
      <c r="M543" s="200"/>
      <c r="N543" s="210"/>
      <c r="O543" s="210"/>
      <c r="P543" s="200"/>
      <c r="Q543" s="200"/>
      <c r="R543" s="200"/>
      <c r="T543" s="154"/>
      <c r="V543" s="200"/>
      <c r="W543" s="200"/>
      <c r="X543" s="200"/>
      <c r="Y543" s="200"/>
      <c r="Z543" s="329"/>
      <c r="AA543" s="200"/>
      <c r="AB543" s="200"/>
      <c r="AC543" s="210"/>
      <c r="AD543" s="210"/>
      <c r="AE543" s="200"/>
      <c r="AF543" s="200"/>
      <c r="AG543" s="209"/>
      <c r="AH543" s="201"/>
      <c r="AI543" s="200"/>
      <c r="AJ543" s="200"/>
      <c r="AK543" s="209"/>
      <c r="AL543" s="200"/>
      <c r="AM543" s="210"/>
      <c r="AN543" s="210"/>
    </row>
    <row r="544" spans="1:40" x14ac:dyDescent="0.25">
      <c r="A544" s="202"/>
      <c r="C544" s="154"/>
      <c r="F544" s="252"/>
      <c r="H544" s="252"/>
      <c r="I544" s="252"/>
      <c r="J544" s="329"/>
      <c r="K544" s="329"/>
      <c r="L544" s="200"/>
      <c r="M544" s="200"/>
      <c r="N544" s="210"/>
      <c r="O544" s="210"/>
      <c r="P544" s="200"/>
      <c r="Q544" s="200"/>
      <c r="R544" s="200"/>
      <c r="T544" s="154"/>
      <c r="V544" s="200"/>
      <c r="W544" s="200"/>
      <c r="X544" s="200"/>
      <c r="Y544" s="200"/>
      <c r="Z544" s="329"/>
      <c r="AA544" s="200"/>
      <c r="AB544" s="200"/>
      <c r="AC544" s="210"/>
      <c r="AD544" s="210"/>
      <c r="AE544" s="200"/>
      <c r="AF544" s="200"/>
      <c r="AG544" s="209"/>
      <c r="AH544" s="201"/>
      <c r="AI544" s="200"/>
      <c r="AJ544" s="200"/>
      <c r="AK544" s="209"/>
      <c r="AL544" s="200"/>
      <c r="AM544" s="210"/>
      <c r="AN544" s="210"/>
    </row>
    <row r="545" spans="1:40" x14ac:dyDescent="0.25">
      <c r="J545" s="334"/>
      <c r="K545" s="334"/>
      <c r="V545" s="200"/>
      <c r="W545" s="200"/>
      <c r="X545" s="200"/>
      <c r="Y545" s="200"/>
      <c r="Z545" s="329"/>
    </row>
    <row r="546" spans="1:40" x14ac:dyDescent="0.25">
      <c r="A546" s="202"/>
      <c r="C546" s="154"/>
      <c r="F546" s="252"/>
      <c r="H546" s="252"/>
      <c r="I546" s="252"/>
      <c r="J546" s="329"/>
      <c r="K546" s="329"/>
      <c r="L546" s="200"/>
      <c r="M546" s="200"/>
      <c r="N546" s="210"/>
      <c r="O546" s="210"/>
      <c r="P546" s="200"/>
      <c r="Q546" s="200"/>
      <c r="R546" s="200"/>
      <c r="T546" s="154"/>
      <c r="V546" s="200"/>
      <c r="W546" s="200"/>
      <c r="X546" s="200"/>
      <c r="Y546" s="200"/>
      <c r="Z546" s="329"/>
      <c r="AA546" s="200"/>
      <c r="AB546" s="200"/>
      <c r="AC546" s="210"/>
      <c r="AD546" s="210"/>
      <c r="AE546" s="200"/>
      <c r="AF546" s="200"/>
      <c r="AG546" s="209"/>
      <c r="AH546" s="201"/>
      <c r="AI546" s="200"/>
      <c r="AJ546" s="200"/>
      <c r="AK546" s="209"/>
      <c r="AL546" s="200"/>
      <c r="AM546" s="201"/>
      <c r="AN546" s="201"/>
    </row>
    <row r="547" spans="1:40" x14ac:dyDescent="0.25">
      <c r="A547" s="202"/>
      <c r="C547" s="154"/>
      <c r="J547" s="334"/>
      <c r="K547" s="334"/>
      <c r="T547" s="154"/>
      <c r="V547" s="200"/>
      <c r="W547" s="200"/>
      <c r="X547" s="200"/>
      <c r="Y547" s="200"/>
      <c r="Z547" s="329"/>
    </row>
    <row r="548" spans="1:40" x14ac:dyDescent="0.25">
      <c r="A548" s="202"/>
      <c r="C548" s="154"/>
      <c r="F548" s="252"/>
      <c r="H548" s="252"/>
      <c r="I548" s="252"/>
      <c r="J548" s="329"/>
      <c r="K548" s="329"/>
      <c r="L548" s="200"/>
      <c r="M548" s="200"/>
      <c r="N548" s="210"/>
      <c r="O548" s="210"/>
      <c r="P548" s="200"/>
      <c r="Q548" s="200"/>
      <c r="R548" s="200"/>
      <c r="T548" s="154"/>
      <c r="V548" s="200"/>
      <c r="W548" s="200"/>
      <c r="X548" s="200"/>
      <c r="Y548" s="200"/>
      <c r="Z548" s="329"/>
      <c r="AA548" s="200"/>
      <c r="AB548" s="200"/>
      <c r="AC548" s="210"/>
      <c r="AD548" s="210"/>
      <c r="AE548" s="200"/>
      <c r="AF548" s="200"/>
      <c r="AG548" s="209"/>
      <c r="AH548" s="201"/>
      <c r="AI548" s="200"/>
      <c r="AJ548" s="200"/>
      <c r="AK548" s="209"/>
      <c r="AL548" s="200"/>
      <c r="AM548" s="201"/>
      <c r="AN548" s="201"/>
    </row>
    <row r="549" spans="1:40" x14ac:dyDescent="0.25">
      <c r="J549" s="334"/>
      <c r="K549" s="334"/>
      <c r="Z549" s="334"/>
    </row>
    <row r="550" spans="1:40" x14ac:dyDescent="0.25">
      <c r="A550" s="202"/>
      <c r="C550" s="154"/>
      <c r="J550" s="334"/>
      <c r="K550" s="334"/>
      <c r="T550" s="154"/>
      <c r="V550" s="200"/>
      <c r="W550" s="200"/>
      <c r="X550" s="200"/>
      <c r="Y550" s="200"/>
      <c r="Z550" s="329"/>
    </row>
    <row r="551" spans="1:40" x14ac:dyDescent="0.25">
      <c r="A551" s="202"/>
      <c r="C551" s="154"/>
      <c r="F551" s="252"/>
      <c r="H551" s="252"/>
      <c r="I551" s="252"/>
      <c r="J551" s="329"/>
      <c r="K551" s="329"/>
      <c r="L551" s="200"/>
      <c r="M551" s="200"/>
      <c r="N551" s="210"/>
      <c r="O551" s="210"/>
      <c r="P551" s="200"/>
      <c r="Q551" s="200"/>
      <c r="R551" s="200"/>
      <c r="T551" s="154"/>
      <c r="V551" s="200"/>
      <c r="W551" s="200"/>
      <c r="X551" s="200"/>
      <c r="Y551" s="200"/>
      <c r="Z551" s="329"/>
      <c r="AA551" s="200"/>
      <c r="AB551" s="200"/>
      <c r="AC551" s="210"/>
      <c r="AD551" s="210"/>
      <c r="AE551" s="200"/>
      <c r="AF551" s="200"/>
      <c r="AG551" s="209"/>
      <c r="AH551" s="201"/>
      <c r="AI551" s="200"/>
      <c r="AJ551" s="200"/>
      <c r="AK551" s="209"/>
      <c r="AL551" s="200"/>
      <c r="AM551" s="201"/>
      <c r="AN551" s="201"/>
    </row>
    <row r="552" spans="1:40" x14ac:dyDescent="0.25">
      <c r="A552" s="202"/>
      <c r="C552" s="154"/>
      <c r="F552" s="252"/>
      <c r="H552" s="252"/>
      <c r="I552" s="252"/>
      <c r="J552" s="329"/>
      <c r="K552" s="329"/>
      <c r="L552" s="200"/>
      <c r="M552" s="200"/>
      <c r="N552" s="210"/>
      <c r="O552" s="210"/>
      <c r="P552" s="200"/>
      <c r="Q552" s="200"/>
      <c r="R552" s="200"/>
      <c r="T552" s="154"/>
      <c r="V552" s="200"/>
      <c r="W552" s="200"/>
      <c r="X552" s="200"/>
      <c r="Y552" s="200"/>
      <c r="Z552" s="329"/>
      <c r="AA552" s="200"/>
      <c r="AB552" s="200"/>
      <c r="AC552" s="210"/>
      <c r="AD552" s="210"/>
      <c r="AE552" s="200"/>
      <c r="AF552" s="200"/>
      <c r="AG552" s="209"/>
      <c r="AH552" s="201"/>
      <c r="AI552" s="200"/>
      <c r="AJ552" s="200"/>
      <c r="AK552" s="209"/>
      <c r="AL552" s="200"/>
      <c r="AM552" s="201"/>
      <c r="AN552" s="201"/>
    </row>
    <row r="553" spans="1:40" x14ac:dyDescent="0.25">
      <c r="F553" s="211"/>
      <c r="H553" s="211"/>
      <c r="I553" s="211"/>
      <c r="J553" s="329"/>
      <c r="K553" s="329"/>
      <c r="L553" s="211"/>
      <c r="M553" s="211"/>
      <c r="N553" s="211"/>
      <c r="O553" s="211"/>
      <c r="P553" s="211"/>
      <c r="Q553" s="211"/>
      <c r="R553" s="211"/>
      <c r="V553" s="211"/>
      <c r="Y553" s="211"/>
      <c r="Z553" s="305"/>
      <c r="AA553" s="211"/>
      <c r="AB553" s="211"/>
      <c r="AC553" s="211"/>
      <c r="AD553" s="211"/>
      <c r="AE553" s="211"/>
      <c r="AF553" s="211"/>
      <c r="AI553" s="211"/>
      <c r="AJ553" s="211"/>
      <c r="AK553" s="212"/>
      <c r="AL553" s="211"/>
    </row>
    <row r="554" spans="1:40" x14ac:dyDescent="0.25">
      <c r="A554" s="202"/>
      <c r="C554" s="154"/>
      <c r="F554" s="200"/>
      <c r="H554" s="200"/>
      <c r="I554" s="200"/>
      <c r="L554" s="200"/>
      <c r="M554" s="200"/>
      <c r="N554" s="210"/>
      <c r="O554" s="210"/>
      <c r="P554" s="252"/>
      <c r="Q554" s="252"/>
      <c r="R554" s="200"/>
      <c r="T554" s="154"/>
      <c r="V554" s="200"/>
      <c r="W554" s="200"/>
      <c r="X554" s="200"/>
      <c r="Y554" s="200"/>
      <c r="Z554" s="328"/>
      <c r="AA554" s="200"/>
      <c r="AB554" s="200"/>
      <c r="AC554" s="210"/>
      <c r="AD554" s="210"/>
      <c r="AE554" s="200"/>
      <c r="AF554" s="200"/>
      <c r="AG554" s="209"/>
      <c r="AH554" s="201"/>
      <c r="AI554" s="252"/>
      <c r="AJ554" s="252"/>
      <c r="AK554" s="209"/>
      <c r="AL554" s="200"/>
      <c r="AM554" s="201"/>
      <c r="AN554" s="201"/>
    </row>
    <row r="555" spans="1:40" x14ac:dyDescent="0.25">
      <c r="F555" s="211"/>
      <c r="H555" s="211"/>
      <c r="I555" s="211"/>
      <c r="J555" s="305"/>
      <c r="K555" s="305"/>
      <c r="L555" s="211"/>
      <c r="M555" s="211"/>
      <c r="N555" s="211"/>
      <c r="O555" s="211"/>
      <c r="P555" s="211"/>
      <c r="Q555" s="211"/>
      <c r="R555" s="211"/>
      <c r="V555" s="211"/>
      <c r="Y555" s="211"/>
      <c r="Z555" s="305"/>
      <c r="AA555" s="211"/>
      <c r="AB555" s="211"/>
      <c r="AC555" s="211"/>
      <c r="AD555" s="211"/>
      <c r="AE555" s="211"/>
      <c r="AF555" s="211"/>
      <c r="AI555" s="211"/>
      <c r="AJ555" s="211"/>
      <c r="AK555" s="212"/>
      <c r="AL555" s="211"/>
    </row>
    <row r="557" spans="1:40" x14ac:dyDescent="0.25">
      <c r="C557" s="202"/>
      <c r="T557" s="202"/>
    </row>
    <row r="558" spans="1:40" x14ac:dyDescent="0.25">
      <c r="A558" s="154"/>
    </row>
    <row r="559" spans="1:40" x14ac:dyDescent="0.25">
      <c r="J559" s="202"/>
      <c r="K559" s="202"/>
      <c r="Z559" s="202"/>
    </row>
    <row r="560" spans="1:40" x14ac:dyDescent="0.25">
      <c r="H560" s="154"/>
      <c r="I560" s="154"/>
      <c r="Y560" s="154"/>
    </row>
    <row r="561" spans="1:40" x14ac:dyDescent="0.25">
      <c r="J561" s="202"/>
      <c r="K561" s="202"/>
      <c r="Z561" s="202"/>
    </row>
    <row r="562" spans="1:40" x14ac:dyDescent="0.25">
      <c r="L562" s="154"/>
      <c r="M562" s="154"/>
      <c r="AA562" s="154"/>
      <c r="AB562" s="154"/>
    </row>
    <row r="563" spans="1:40" x14ac:dyDescent="0.25">
      <c r="A563" s="202"/>
      <c r="R563" s="154"/>
      <c r="AK563" s="297"/>
      <c r="AL563" s="154"/>
    </row>
    <row r="564" spans="1:40" x14ac:dyDescent="0.25">
      <c r="A564" s="202"/>
      <c r="R564" s="154"/>
      <c r="AK564" s="297"/>
      <c r="AL564" s="154"/>
    </row>
    <row r="565" spans="1:40" x14ac:dyDescent="0.25">
      <c r="A565" s="154"/>
      <c r="R565" s="154"/>
      <c r="AK565" s="297"/>
      <c r="AL565" s="154"/>
    </row>
    <row r="566" spans="1:40" x14ac:dyDescent="0.25">
      <c r="L566" s="154"/>
      <c r="M566" s="154"/>
      <c r="R566" s="202"/>
      <c r="AA566" s="154"/>
      <c r="AB566" s="154"/>
      <c r="AK566" s="209"/>
      <c r="AL566" s="202"/>
    </row>
    <row r="567" spans="1:40" x14ac:dyDescent="0.25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208"/>
      <c r="AH567" s="102"/>
      <c r="AI567" s="102"/>
      <c r="AJ567" s="102"/>
      <c r="AK567" s="208"/>
      <c r="AL567" s="102"/>
      <c r="AM567" s="102"/>
      <c r="AN567" s="102"/>
    </row>
    <row r="568" spans="1:40" x14ac:dyDescent="0.25">
      <c r="L568" s="103"/>
      <c r="M568" s="103"/>
      <c r="N568" s="103"/>
      <c r="O568" s="103"/>
      <c r="R568" s="103"/>
      <c r="AA568" s="103"/>
      <c r="AB568" s="103"/>
      <c r="AC568" s="103"/>
      <c r="AD568" s="103"/>
      <c r="AE568" s="103"/>
      <c r="AF568" s="103"/>
      <c r="AG568" s="185"/>
      <c r="AH568" s="103"/>
      <c r="AK568" s="185"/>
      <c r="AL568" s="103"/>
      <c r="AM568" s="103"/>
      <c r="AN568" s="103"/>
    </row>
    <row r="569" spans="1:40" x14ac:dyDescent="0.25">
      <c r="L569" s="103"/>
      <c r="M569" s="103"/>
      <c r="N569" s="103"/>
      <c r="O569" s="103"/>
      <c r="R569" s="103"/>
      <c r="Z569" s="103"/>
      <c r="AA569" s="103"/>
      <c r="AB569" s="103"/>
      <c r="AC569" s="103"/>
      <c r="AD569" s="103"/>
      <c r="AE569" s="103"/>
      <c r="AF569" s="103"/>
      <c r="AG569" s="185"/>
      <c r="AH569" s="103"/>
      <c r="AK569" s="185"/>
      <c r="AL569" s="103"/>
      <c r="AM569" s="103"/>
      <c r="AN569" s="103"/>
    </row>
    <row r="570" spans="1:40" x14ac:dyDescent="0.25">
      <c r="A570" s="103"/>
      <c r="C570" s="103"/>
      <c r="D570" s="103"/>
      <c r="E570" s="103"/>
      <c r="F570" s="103"/>
      <c r="J570" s="103"/>
      <c r="K570" s="103"/>
      <c r="L570" s="103"/>
      <c r="M570" s="103"/>
      <c r="N570" s="103"/>
      <c r="O570" s="103"/>
      <c r="P570" s="103"/>
      <c r="Q570" s="103"/>
      <c r="R570" s="103"/>
      <c r="T570" s="103"/>
      <c r="U570" s="103"/>
      <c r="V570" s="103"/>
      <c r="Z570" s="103"/>
      <c r="AA570" s="103"/>
      <c r="AB570" s="103"/>
      <c r="AC570" s="103"/>
      <c r="AD570" s="103"/>
      <c r="AE570" s="103"/>
      <c r="AF570" s="103"/>
      <c r="AG570" s="185"/>
      <c r="AH570" s="103"/>
      <c r="AI570" s="103"/>
      <c r="AJ570" s="103"/>
      <c r="AK570" s="185"/>
      <c r="AL570" s="103"/>
      <c r="AM570" s="103"/>
      <c r="AN570" s="103"/>
    </row>
    <row r="571" spans="1:40" x14ac:dyDescent="0.25">
      <c r="A571" s="103"/>
      <c r="C571" s="103"/>
      <c r="D571" s="103"/>
      <c r="E571" s="103"/>
      <c r="F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T571" s="103"/>
      <c r="U571" s="103"/>
      <c r="V571" s="103"/>
      <c r="Y571" s="103"/>
      <c r="Z571" s="103"/>
      <c r="AA571" s="103"/>
      <c r="AB571" s="103"/>
      <c r="AC571" s="103"/>
      <c r="AD571" s="103"/>
      <c r="AE571" s="103"/>
      <c r="AF571" s="103"/>
      <c r="AG571" s="185"/>
      <c r="AH571" s="103"/>
      <c r="AI571" s="103"/>
      <c r="AJ571" s="103"/>
      <c r="AK571" s="185"/>
      <c r="AL571" s="103"/>
      <c r="AM571" s="103"/>
      <c r="AN571" s="103"/>
    </row>
    <row r="572" spans="1:40" x14ac:dyDescent="0.25">
      <c r="C572" s="103"/>
      <c r="D572" s="103"/>
      <c r="E572" s="103"/>
      <c r="F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T572" s="103"/>
      <c r="U572" s="103"/>
      <c r="V572" s="103"/>
      <c r="Y572" s="103"/>
      <c r="Z572" s="103"/>
      <c r="AA572" s="103"/>
      <c r="AB572" s="103"/>
      <c r="AC572" s="103"/>
      <c r="AD572" s="103"/>
      <c r="AE572" s="103"/>
      <c r="AF572" s="103"/>
      <c r="AG572" s="185"/>
      <c r="AH572" s="103"/>
      <c r="AI572" s="103"/>
      <c r="AJ572" s="103"/>
      <c r="AK572" s="185"/>
      <c r="AL572" s="103"/>
      <c r="AM572" s="103"/>
      <c r="AN572" s="103"/>
    </row>
    <row r="573" spans="1:40" x14ac:dyDescent="0.25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208"/>
      <c r="AH573" s="102"/>
      <c r="AI573" s="102"/>
      <c r="AJ573" s="102"/>
      <c r="AK573" s="208"/>
      <c r="AL573" s="102"/>
      <c r="AM573" s="102"/>
      <c r="AN573" s="102"/>
    </row>
    <row r="574" spans="1:40" x14ac:dyDescent="0.25"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Y574" s="103"/>
      <c r="Z574" s="103"/>
      <c r="AA574" s="103"/>
      <c r="AB574" s="103"/>
      <c r="AC574" s="103"/>
      <c r="AD574" s="103"/>
      <c r="AE574" s="103"/>
      <c r="AF574" s="103"/>
      <c r="AG574" s="185"/>
      <c r="AH574" s="103"/>
      <c r="AI574" s="103"/>
      <c r="AJ574" s="103"/>
      <c r="AK574" s="185"/>
      <c r="AL574" s="103"/>
      <c r="AM574" s="103"/>
      <c r="AN574" s="103"/>
    </row>
    <row r="575" spans="1:40" x14ac:dyDescent="0.25">
      <c r="A575" s="202"/>
      <c r="C575" s="154"/>
      <c r="D575" s="154"/>
      <c r="E575" s="154"/>
      <c r="T575" s="154"/>
      <c r="U575" s="154"/>
    </row>
    <row r="577" spans="1:40" x14ac:dyDescent="0.25">
      <c r="A577" s="202"/>
      <c r="C577" s="154"/>
      <c r="T577" s="154"/>
    </row>
    <row r="578" spans="1:40" x14ac:dyDescent="0.25">
      <c r="A578" s="202"/>
      <c r="C578" s="154"/>
      <c r="T578" s="154"/>
    </row>
    <row r="579" spans="1:40" x14ac:dyDescent="0.25">
      <c r="A579" s="202"/>
      <c r="C579" s="154"/>
      <c r="F579" s="252"/>
      <c r="H579" s="252"/>
      <c r="I579" s="252"/>
      <c r="J579" s="329"/>
      <c r="K579" s="329"/>
      <c r="L579" s="200"/>
      <c r="M579" s="200"/>
      <c r="N579" s="210"/>
      <c r="O579" s="210"/>
      <c r="P579" s="200"/>
      <c r="Q579" s="200"/>
      <c r="R579" s="200"/>
      <c r="T579" s="154"/>
      <c r="V579" s="200"/>
      <c r="W579" s="200"/>
      <c r="X579" s="200"/>
      <c r="Y579" s="200"/>
      <c r="Z579" s="329"/>
      <c r="AA579" s="200"/>
      <c r="AB579" s="200"/>
      <c r="AC579" s="210"/>
      <c r="AD579" s="210"/>
      <c r="AE579" s="200"/>
      <c r="AF579" s="200"/>
      <c r="AG579" s="209"/>
      <c r="AH579" s="201"/>
      <c r="AI579" s="200"/>
      <c r="AJ579" s="200"/>
      <c r="AK579" s="209"/>
      <c r="AL579" s="200"/>
      <c r="AM579" s="201"/>
      <c r="AN579" s="201"/>
    </row>
    <row r="580" spans="1:40" x14ac:dyDescent="0.25">
      <c r="A580" s="202"/>
      <c r="C580" s="154"/>
      <c r="F580" s="200"/>
      <c r="H580" s="200"/>
      <c r="I580" s="200"/>
      <c r="J580" s="334"/>
      <c r="K580" s="334"/>
      <c r="L580" s="200"/>
      <c r="M580" s="200"/>
      <c r="N580" s="210"/>
      <c r="O580" s="210"/>
      <c r="P580" s="200"/>
      <c r="Q580" s="200"/>
      <c r="R580" s="200"/>
      <c r="T580" s="154"/>
      <c r="V580" s="200"/>
      <c r="W580" s="200"/>
      <c r="X580" s="200"/>
      <c r="Y580" s="200"/>
      <c r="Z580" s="334"/>
      <c r="AA580" s="200"/>
      <c r="AB580" s="200"/>
      <c r="AC580" s="210"/>
      <c r="AD580" s="210"/>
      <c r="AE580" s="200"/>
      <c r="AF580" s="200"/>
      <c r="AG580" s="209"/>
      <c r="AH580" s="201"/>
      <c r="AI580" s="200"/>
      <c r="AJ580" s="200"/>
      <c r="AK580" s="209"/>
      <c r="AL580" s="200"/>
      <c r="AM580" s="201"/>
      <c r="AN580" s="201"/>
    </row>
    <row r="581" spans="1:40" x14ac:dyDescent="0.25">
      <c r="A581" s="202"/>
      <c r="C581" s="154"/>
      <c r="F581" s="200"/>
      <c r="H581" s="200"/>
      <c r="I581" s="200"/>
      <c r="J581" s="334"/>
      <c r="K581" s="334"/>
      <c r="L581" s="200"/>
      <c r="M581" s="200"/>
      <c r="N581" s="210"/>
      <c r="O581" s="210"/>
      <c r="P581" s="200"/>
      <c r="Q581" s="200"/>
      <c r="R581" s="200"/>
      <c r="T581" s="154"/>
      <c r="V581" s="200"/>
      <c r="W581" s="200"/>
      <c r="X581" s="200"/>
      <c r="Y581" s="200"/>
      <c r="Z581" s="334"/>
      <c r="AA581" s="200"/>
      <c r="AB581" s="200"/>
      <c r="AC581" s="210"/>
      <c r="AD581" s="210"/>
      <c r="AE581" s="200"/>
      <c r="AF581" s="200"/>
      <c r="AG581" s="209"/>
      <c r="AH581" s="201"/>
      <c r="AI581" s="200"/>
      <c r="AJ581" s="200"/>
      <c r="AK581" s="209"/>
      <c r="AL581" s="200"/>
      <c r="AM581" s="201"/>
      <c r="AN581" s="201"/>
    </row>
    <row r="582" spans="1:40" x14ac:dyDescent="0.25">
      <c r="A582" s="202"/>
      <c r="C582" s="154"/>
      <c r="F582" s="200"/>
      <c r="H582" s="200"/>
      <c r="I582" s="200"/>
      <c r="J582" s="334"/>
      <c r="K582" s="334"/>
      <c r="T582" s="154"/>
      <c r="V582" s="200"/>
      <c r="Z582" s="334"/>
    </row>
    <row r="583" spans="1:40" x14ac:dyDescent="0.25">
      <c r="A583" s="202"/>
      <c r="C583" s="154"/>
      <c r="F583" s="252"/>
      <c r="H583" s="252"/>
      <c r="I583" s="252"/>
      <c r="J583" s="329"/>
      <c r="K583" s="329"/>
      <c r="L583" s="200"/>
      <c r="M583" s="200"/>
      <c r="N583" s="210"/>
      <c r="O583" s="210"/>
      <c r="P583" s="200"/>
      <c r="Q583" s="200"/>
      <c r="R583" s="200"/>
      <c r="T583" s="154"/>
      <c r="V583" s="200"/>
      <c r="W583" s="200"/>
      <c r="X583" s="200"/>
      <c r="Y583" s="200"/>
      <c r="Z583" s="329"/>
      <c r="AA583" s="200"/>
      <c r="AB583" s="200"/>
      <c r="AC583" s="210"/>
      <c r="AD583" s="210"/>
      <c r="AE583" s="200"/>
      <c r="AF583" s="200"/>
      <c r="AG583" s="209"/>
      <c r="AH583" s="201"/>
      <c r="AI583" s="200"/>
      <c r="AJ583" s="200"/>
      <c r="AK583" s="209"/>
      <c r="AL583" s="200"/>
      <c r="AM583" s="201"/>
      <c r="AN583" s="201"/>
    </row>
    <row r="584" spans="1:40" x14ac:dyDescent="0.25">
      <c r="A584" s="202"/>
      <c r="C584" s="154"/>
      <c r="F584" s="200"/>
      <c r="H584" s="200"/>
      <c r="I584" s="200"/>
      <c r="J584" s="334"/>
      <c r="K584" s="334"/>
      <c r="T584" s="154"/>
      <c r="V584" s="200"/>
      <c r="W584" s="200"/>
      <c r="X584" s="200"/>
      <c r="Y584" s="200"/>
      <c r="Z584" s="334"/>
      <c r="AC584" s="210"/>
      <c r="AD584" s="210"/>
      <c r="AE584" s="200"/>
      <c r="AF584" s="200"/>
      <c r="AG584" s="209"/>
      <c r="AH584" s="201"/>
      <c r="AI584" s="200"/>
      <c r="AJ584" s="200"/>
      <c r="AK584" s="209"/>
      <c r="AL584" s="200"/>
      <c r="AM584" s="201"/>
      <c r="AN584" s="201"/>
    </row>
    <row r="585" spans="1:40" x14ac:dyDescent="0.25">
      <c r="A585" s="202"/>
      <c r="C585" s="154"/>
      <c r="F585" s="252"/>
      <c r="H585" s="252"/>
      <c r="I585" s="252"/>
      <c r="J585" s="329"/>
      <c r="K585" s="329"/>
      <c r="L585" s="200"/>
      <c r="M585" s="200"/>
      <c r="N585" s="210"/>
      <c r="O585" s="210"/>
      <c r="P585" s="200"/>
      <c r="Q585" s="200"/>
      <c r="R585" s="200"/>
      <c r="T585" s="154"/>
      <c r="V585" s="200"/>
      <c r="W585" s="200"/>
      <c r="X585" s="200"/>
      <c r="Y585" s="200"/>
      <c r="Z585" s="329"/>
      <c r="AA585" s="200"/>
      <c r="AB585" s="200"/>
      <c r="AC585" s="210"/>
      <c r="AD585" s="210"/>
      <c r="AE585" s="200"/>
      <c r="AF585" s="200"/>
      <c r="AG585" s="209"/>
      <c r="AH585" s="201"/>
      <c r="AI585" s="200"/>
      <c r="AJ585" s="200"/>
      <c r="AK585" s="209"/>
      <c r="AL585" s="200"/>
      <c r="AM585" s="201"/>
      <c r="AN585" s="201"/>
    </row>
    <row r="586" spans="1:40" x14ac:dyDescent="0.25">
      <c r="A586" s="202"/>
      <c r="C586" s="154"/>
      <c r="F586" s="200"/>
      <c r="H586" s="200"/>
      <c r="I586" s="200"/>
      <c r="J586" s="334"/>
      <c r="K586" s="334"/>
      <c r="L586" s="200"/>
      <c r="M586" s="200"/>
      <c r="N586" s="210"/>
      <c r="O586" s="210"/>
      <c r="P586" s="200"/>
      <c r="Q586" s="200"/>
      <c r="R586" s="200"/>
      <c r="T586" s="154"/>
      <c r="V586" s="200"/>
      <c r="W586" s="200"/>
      <c r="X586" s="200"/>
      <c r="Y586" s="200"/>
      <c r="Z586" s="334"/>
      <c r="AA586" s="200"/>
      <c r="AB586" s="200"/>
      <c r="AC586" s="210"/>
      <c r="AD586" s="210"/>
      <c r="AE586" s="200"/>
      <c r="AF586" s="200"/>
      <c r="AG586" s="209"/>
      <c r="AH586" s="201"/>
      <c r="AI586" s="200"/>
      <c r="AJ586" s="200"/>
      <c r="AK586" s="209"/>
      <c r="AL586" s="200"/>
      <c r="AM586" s="201"/>
      <c r="AN586" s="201"/>
    </row>
    <row r="587" spans="1:40" x14ac:dyDescent="0.25">
      <c r="F587" s="200"/>
      <c r="H587" s="200"/>
      <c r="I587" s="200"/>
      <c r="J587" s="334"/>
      <c r="K587" s="334"/>
      <c r="Z587" s="334"/>
    </row>
    <row r="588" spans="1:40" x14ac:dyDescent="0.25">
      <c r="A588" s="202"/>
      <c r="C588" s="154"/>
      <c r="F588" s="200"/>
      <c r="H588" s="252"/>
      <c r="I588" s="252"/>
      <c r="J588" s="329"/>
      <c r="K588" s="329"/>
      <c r="L588" s="200"/>
      <c r="M588" s="200"/>
      <c r="N588" s="210"/>
      <c r="O588" s="210"/>
      <c r="P588" s="200"/>
      <c r="Q588" s="200"/>
      <c r="R588" s="200"/>
      <c r="T588" s="154"/>
      <c r="V588" s="200"/>
      <c r="W588" s="200"/>
      <c r="X588" s="200"/>
      <c r="Y588" s="200"/>
      <c r="Z588" s="329"/>
      <c r="AA588" s="200"/>
      <c r="AB588" s="200"/>
      <c r="AC588" s="210"/>
      <c r="AD588" s="210"/>
      <c r="AE588" s="200"/>
      <c r="AF588" s="200"/>
      <c r="AG588" s="209"/>
      <c r="AH588" s="201"/>
      <c r="AI588" s="200"/>
      <c r="AJ588" s="200"/>
      <c r="AK588" s="209"/>
      <c r="AL588" s="200"/>
      <c r="AM588" s="201"/>
      <c r="AN588" s="201"/>
    </row>
    <row r="589" spans="1:40" x14ac:dyDescent="0.25">
      <c r="F589" s="211"/>
      <c r="H589" s="211"/>
      <c r="I589" s="211"/>
      <c r="J589" s="329"/>
      <c r="K589" s="329"/>
      <c r="L589" s="211"/>
      <c r="M589" s="211"/>
      <c r="N589" s="211"/>
      <c r="O589" s="211"/>
      <c r="P589" s="211"/>
      <c r="Q589" s="211"/>
      <c r="R589" s="211"/>
      <c r="V589" s="211"/>
      <c r="Y589" s="211"/>
      <c r="Z589" s="329"/>
      <c r="AA589" s="211"/>
      <c r="AB589" s="211"/>
      <c r="AC589" s="211"/>
      <c r="AD589" s="211"/>
      <c r="AE589" s="211"/>
      <c r="AF589" s="211"/>
      <c r="AI589" s="211"/>
      <c r="AJ589" s="211"/>
      <c r="AK589" s="212"/>
      <c r="AL589" s="211"/>
    </row>
    <row r="590" spans="1:40" x14ac:dyDescent="0.25">
      <c r="A590" s="202"/>
      <c r="C590" s="154"/>
      <c r="F590" s="200"/>
      <c r="H590" s="200"/>
      <c r="I590" s="200"/>
      <c r="J590" s="334"/>
      <c r="K590" s="334"/>
      <c r="L590" s="200"/>
      <c r="M590" s="200"/>
      <c r="N590" s="202"/>
      <c r="O590" s="202"/>
      <c r="P590" s="200"/>
      <c r="Q590" s="200"/>
      <c r="R590" s="200"/>
      <c r="T590" s="154"/>
      <c r="V590" s="200"/>
      <c r="Y590" s="200"/>
      <c r="Z590" s="334"/>
      <c r="AA590" s="200"/>
      <c r="AB590" s="200"/>
      <c r="AC590" s="201"/>
      <c r="AD590" s="201"/>
      <c r="AE590" s="200"/>
      <c r="AF590" s="200"/>
      <c r="AG590" s="209"/>
      <c r="AH590" s="201"/>
      <c r="AI590" s="200"/>
      <c r="AJ590" s="200"/>
      <c r="AK590" s="209"/>
      <c r="AL590" s="200"/>
      <c r="AM590" s="201"/>
      <c r="AN590" s="201"/>
    </row>
    <row r="591" spans="1:40" x14ac:dyDescent="0.25">
      <c r="F591" s="211"/>
      <c r="H591" s="211"/>
      <c r="I591" s="211"/>
      <c r="J591" s="329"/>
      <c r="K591" s="329"/>
      <c r="L591" s="211"/>
      <c r="M591" s="211"/>
      <c r="N591" s="211"/>
      <c r="O591" s="211"/>
      <c r="P591" s="211"/>
      <c r="Q591" s="211"/>
      <c r="R591" s="211"/>
      <c r="V591" s="211"/>
      <c r="Y591" s="211"/>
      <c r="Z591" s="329"/>
      <c r="AA591" s="211"/>
      <c r="AB591" s="211"/>
      <c r="AC591" s="211"/>
      <c r="AD591" s="211"/>
      <c r="AE591" s="211"/>
      <c r="AF591" s="211"/>
      <c r="AI591" s="211"/>
      <c r="AJ591" s="211"/>
      <c r="AK591" s="212"/>
      <c r="AL591" s="211"/>
    </row>
    <row r="592" spans="1:40" x14ac:dyDescent="0.25">
      <c r="J592" s="334"/>
      <c r="K592" s="334"/>
      <c r="Z592" s="334"/>
    </row>
    <row r="593" spans="1:40" x14ac:dyDescent="0.25">
      <c r="A593" s="202"/>
      <c r="C593" s="154"/>
      <c r="J593" s="334"/>
      <c r="K593" s="334"/>
      <c r="T593" s="154"/>
      <c r="Z593" s="334"/>
    </row>
    <row r="594" spans="1:40" x14ac:dyDescent="0.25">
      <c r="A594" s="202"/>
      <c r="C594" s="154"/>
      <c r="J594" s="334"/>
      <c r="K594" s="334"/>
      <c r="T594" s="154"/>
      <c r="Z594" s="334"/>
    </row>
    <row r="595" spans="1:40" x14ac:dyDescent="0.25">
      <c r="A595" s="202"/>
      <c r="C595" s="154"/>
      <c r="F595" s="252"/>
      <c r="H595" s="252"/>
      <c r="I595" s="252"/>
      <c r="J595" s="329"/>
      <c r="K595" s="329"/>
      <c r="L595" s="200"/>
      <c r="M595" s="200"/>
      <c r="N595" s="210"/>
      <c r="O595" s="210"/>
      <c r="P595" s="200"/>
      <c r="Q595" s="200"/>
      <c r="R595" s="200"/>
      <c r="T595" s="154"/>
      <c r="V595" s="200"/>
      <c r="W595" s="200"/>
      <c r="X595" s="200"/>
      <c r="Y595" s="200"/>
      <c r="Z595" s="329"/>
      <c r="AA595" s="200"/>
      <c r="AB595" s="200"/>
      <c r="AC595" s="210"/>
      <c r="AD595" s="210"/>
      <c r="AE595" s="200"/>
      <c r="AF595" s="200"/>
      <c r="AG595" s="209"/>
      <c r="AH595" s="201"/>
      <c r="AI595" s="200"/>
      <c r="AJ595" s="200"/>
      <c r="AK595" s="209"/>
      <c r="AL595" s="200"/>
      <c r="AM595" s="201"/>
      <c r="AN595" s="201"/>
    </row>
    <row r="596" spans="1:40" x14ac:dyDescent="0.25">
      <c r="A596" s="202"/>
      <c r="C596" s="154"/>
      <c r="J596" s="334"/>
      <c r="K596" s="334"/>
      <c r="T596" s="154"/>
      <c r="Z596" s="334"/>
    </row>
    <row r="597" spans="1:40" x14ac:dyDescent="0.25">
      <c r="A597" s="202"/>
      <c r="C597" s="154"/>
      <c r="F597" s="252"/>
      <c r="H597" s="252"/>
      <c r="I597" s="252"/>
      <c r="J597" s="329"/>
      <c r="K597" s="329"/>
      <c r="L597" s="200"/>
      <c r="M597" s="200"/>
      <c r="N597" s="210"/>
      <c r="O597" s="210"/>
      <c r="P597" s="200"/>
      <c r="Q597" s="200"/>
      <c r="R597" s="200"/>
      <c r="T597" s="154"/>
      <c r="V597" s="200"/>
      <c r="W597" s="200"/>
      <c r="X597" s="200"/>
      <c r="Y597" s="200"/>
      <c r="Z597" s="329"/>
      <c r="AA597" s="200"/>
      <c r="AB597" s="200"/>
      <c r="AC597" s="210"/>
      <c r="AD597" s="210"/>
      <c r="AE597" s="200"/>
      <c r="AF597" s="200"/>
      <c r="AG597" s="209"/>
      <c r="AH597" s="201"/>
      <c r="AI597" s="200"/>
      <c r="AJ597" s="200"/>
      <c r="AK597" s="209"/>
      <c r="AL597" s="200"/>
      <c r="AM597" s="201"/>
      <c r="AN597" s="201"/>
    </row>
    <row r="598" spans="1:40" x14ac:dyDescent="0.25">
      <c r="F598" s="211"/>
      <c r="H598" s="211"/>
      <c r="I598" s="211"/>
      <c r="J598" s="329"/>
      <c r="K598" s="329"/>
      <c r="L598" s="211"/>
      <c r="M598" s="211"/>
      <c r="N598" s="211"/>
      <c r="O598" s="211"/>
      <c r="P598" s="211"/>
      <c r="Q598" s="211"/>
      <c r="R598" s="211"/>
      <c r="V598" s="211"/>
      <c r="Y598" s="211"/>
      <c r="Z598" s="329"/>
      <c r="AA598" s="211"/>
      <c r="AB598" s="211"/>
      <c r="AC598" s="211"/>
      <c r="AD598" s="211"/>
      <c r="AE598" s="211"/>
      <c r="AF598" s="211"/>
      <c r="AI598" s="211"/>
      <c r="AJ598" s="211"/>
      <c r="AK598" s="212"/>
      <c r="AL598" s="211"/>
    </row>
    <row r="599" spans="1:40" x14ac:dyDescent="0.25">
      <c r="A599" s="202"/>
      <c r="C599" s="154"/>
      <c r="F599" s="200"/>
      <c r="H599" s="200"/>
      <c r="I599" s="200"/>
      <c r="J599" s="334"/>
      <c r="K599" s="334"/>
      <c r="L599" s="200"/>
      <c r="M599" s="200"/>
      <c r="N599" s="201"/>
      <c r="O599" s="201"/>
      <c r="P599" s="200"/>
      <c r="Q599" s="200"/>
      <c r="R599" s="200"/>
      <c r="T599" s="154"/>
      <c r="V599" s="200"/>
      <c r="Y599" s="200"/>
      <c r="Z599" s="334"/>
      <c r="AA599" s="200"/>
      <c r="AB599" s="200"/>
      <c r="AC599" s="201"/>
      <c r="AD599" s="201"/>
      <c r="AE599" s="200"/>
      <c r="AF599" s="200"/>
      <c r="AG599" s="209"/>
      <c r="AH599" s="201"/>
      <c r="AI599" s="200"/>
      <c r="AJ599" s="200"/>
      <c r="AK599" s="209"/>
      <c r="AL599" s="200"/>
      <c r="AM599" s="201"/>
      <c r="AN599" s="201"/>
    </row>
    <row r="600" spans="1:40" x14ac:dyDescent="0.25">
      <c r="F600" s="211"/>
      <c r="H600" s="211"/>
      <c r="I600" s="211"/>
      <c r="J600" s="329"/>
      <c r="K600" s="329"/>
      <c r="L600" s="211"/>
      <c r="M600" s="211"/>
      <c r="N600" s="211"/>
      <c r="O600" s="211"/>
      <c r="P600" s="211"/>
      <c r="Q600" s="211"/>
      <c r="R600" s="211"/>
      <c r="V600" s="211"/>
      <c r="Y600" s="211"/>
      <c r="Z600" s="305"/>
      <c r="AA600" s="211"/>
      <c r="AB600" s="211"/>
      <c r="AC600" s="211"/>
      <c r="AD600" s="211"/>
      <c r="AE600" s="211"/>
      <c r="AF600" s="211"/>
      <c r="AI600" s="211"/>
      <c r="AJ600" s="211"/>
      <c r="AK600" s="212"/>
      <c r="AL600" s="211"/>
    </row>
    <row r="601" spans="1:40" x14ac:dyDescent="0.25">
      <c r="J601" s="334"/>
      <c r="K601" s="334"/>
    </row>
    <row r="602" spans="1:40" x14ac:dyDescent="0.25">
      <c r="A602" s="202"/>
      <c r="C602" s="154"/>
      <c r="F602" s="200"/>
      <c r="H602" s="200"/>
      <c r="I602" s="200"/>
      <c r="J602" s="334"/>
      <c r="K602" s="334"/>
      <c r="L602" s="200"/>
      <c r="M602" s="200"/>
      <c r="N602" s="210"/>
      <c r="O602" s="210"/>
      <c r="P602" s="252"/>
      <c r="Q602" s="252"/>
      <c r="R602" s="200"/>
      <c r="T602" s="154"/>
      <c r="V602" s="200"/>
      <c r="Y602" s="200"/>
      <c r="AA602" s="200"/>
      <c r="AB602" s="200"/>
      <c r="AC602" s="201"/>
      <c r="AD602" s="201"/>
      <c r="AE602" s="200"/>
      <c r="AF602" s="200"/>
      <c r="AG602" s="209"/>
      <c r="AH602" s="201"/>
      <c r="AI602" s="252"/>
      <c r="AJ602" s="252"/>
      <c r="AK602" s="209"/>
      <c r="AL602" s="200"/>
      <c r="AM602" s="201"/>
      <c r="AN602" s="201"/>
    </row>
    <row r="603" spans="1:40" x14ac:dyDescent="0.25">
      <c r="F603" s="211"/>
      <c r="H603" s="211"/>
      <c r="I603" s="211"/>
      <c r="J603" s="329"/>
      <c r="K603" s="329"/>
      <c r="L603" s="211"/>
      <c r="M603" s="211"/>
      <c r="N603" s="211"/>
      <c r="O603" s="211"/>
      <c r="P603" s="211"/>
      <c r="Q603" s="211"/>
      <c r="R603" s="211"/>
      <c r="V603" s="211"/>
      <c r="Y603" s="211"/>
      <c r="Z603" s="305"/>
      <c r="AA603" s="211"/>
      <c r="AB603" s="211"/>
      <c r="AC603" s="211"/>
      <c r="AD603" s="211"/>
      <c r="AE603" s="211"/>
      <c r="AF603" s="211"/>
      <c r="AI603" s="211"/>
      <c r="AJ603" s="211"/>
      <c r="AK603" s="212"/>
      <c r="AL603" s="211"/>
    </row>
    <row r="605" spans="1:40" x14ac:dyDescent="0.25">
      <c r="C605" s="202"/>
      <c r="T605" s="202"/>
    </row>
    <row r="606" spans="1:40" x14ac:dyDescent="0.25">
      <c r="A606" s="154"/>
    </row>
    <row r="607" spans="1:40" x14ac:dyDescent="0.25">
      <c r="J607" s="202"/>
      <c r="K607" s="202"/>
      <c r="Z607" s="202"/>
    </row>
    <row r="608" spans="1:40" x14ac:dyDescent="0.25">
      <c r="H608" s="154"/>
      <c r="I608" s="154"/>
      <c r="Y608" s="154"/>
    </row>
    <row r="609" spans="1:40" x14ac:dyDescent="0.25">
      <c r="J609" s="202"/>
      <c r="K609" s="202"/>
      <c r="Z609" s="202"/>
    </row>
    <row r="610" spans="1:40" x14ac:dyDescent="0.25">
      <c r="L610" s="154"/>
      <c r="M610" s="154"/>
      <c r="AA610" s="154"/>
      <c r="AB610" s="154"/>
    </row>
    <row r="611" spans="1:40" x14ac:dyDescent="0.25">
      <c r="A611" s="202"/>
      <c r="R611" s="154"/>
      <c r="AK611" s="297"/>
      <c r="AL611" s="154"/>
    </row>
    <row r="612" spans="1:40" x14ac:dyDescent="0.25">
      <c r="A612" s="202"/>
      <c r="R612" s="154"/>
      <c r="AK612" s="297"/>
      <c r="AL612" s="154"/>
    </row>
    <row r="613" spans="1:40" x14ac:dyDescent="0.25">
      <c r="A613" s="154"/>
      <c r="R613" s="154"/>
      <c r="AK613" s="297"/>
      <c r="AL613" s="154"/>
    </row>
    <row r="614" spans="1:40" x14ac:dyDescent="0.25">
      <c r="L614" s="154"/>
      <c r="M614" s="154"/>
      <c r="R614" s="202"/>
      <c r="AA614" s="154"/>
      <c r="AB614" s="154"/>
      <c r="AK614" s="209"/>
      <c r="AL614" s="202"/>
    </row>
    <row r="615" spans="1:40" x14ac:dyDescent="0.25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208"/>
      <c r="AH615" s="102"/>
      <c r="AI615" s="102"/>
      <c r="AJ615" s="102"/>
      <c r="AK615" s="208"/>
      <c r="AL615" s="102"/>
      <c r="AM615" s="102"/>
      <c r="AN615" s="102"/>
    </row>
    <row r="616" spans="1:40" x14ac:dyDescent="0.25">
      <c r="L616" s="103"/>
      <c r="M616" s="103"/>
      <c r="N616" s="103"/>
      <c r="O616" s="103"/>
      <c r="R616" s="103"/>
      <c r="AA616" s="103"/>
      <c r="AB616" s="103"/>
      <c r="AC616" s="103"/>
      <c r="AD616" s="103"/>
      <c r="AE616" s="103"/>
      <c r="AF616" s="103"/>
      <c r="AG616" s="185"/>
      <c r="AH616" s="103"/>
      <c r="AK616" s="185"/>
      <c r="AL616" s="103"/>
      <c r="AM616" s="103"/>
      <c r="AN616" s="103"/>
    </row>
    <row r="617" spans="1:40" x14ac:dyDescent="0.25">
      <c r="L617" s="103"/>
      <c r="M617" s="103"/>
      <c r="N617" s="103"/>
      <c r="O617" s="103"/>
      <c r="R617" s="103"/>
      <c r="Z617" s="103"/>
      <c r="AA617" s="103"/>
      <c r="AB617" s="103"/>
      <c r="AC617" s="103"/>
      <c r="AD617" s="103"/>
      <c r="AE617" s="103"/>
      <c r="AF617" s="103"/>
      <c r="AG617" s="185"/>
      <c r="AH617" s="103"/>
      <c r="AK617" s="185"/>
      <c r="AL617" s="103"/>
      <c r="AM617" s="103"/>
      <c r="AN617" s="103"/>
    </row>
    <row r="618" spans="1:40" x14ac:dyDescent="0.25">
      <c r="A618" s="103"/>
      <c r="C618" s="103"/>
      <c r="D618" s="103"/>
      <c r="E618" s="103"/>
      <c r="F618" s="103"/>
      <c r="J618" s="103"/>
      <c r="K618" s="103"/>
      <c r="L618" s="103"/>
      <c r="M618" s="103"/>
      <c r="N618" s="103"/>
      <c r="O618" s="103"/>
      <c r="P618" s="103"/>
      <c r="Q618" s="103"/>
      <c r="R618" s="103"/>
      <c r="T618" s="103"/>
      <c r="U618" s="103"/>
      <c r="V618" s="103"/>
      <c r="Z618" s="103"/>
      <c r="AA618" s="103"/>
      <c r="AB618" s="103"/>
      <c r="AC618" s="103"/>
      <c r="AD618" s="103"/>
      <c r="AE618" s="103"/>
      <c r="AF618" s="103"/>
      <c r="AG618" s="185"/>
      <c r="AH618" s="103"/>
      <c r="AI618" s="103"/>
      <c r="AJ618" s="103"/>
      <c r="AK618" s="185"/>
      <c r="AL618" s="103"/>
      <c r="AM618" s="103"/>
      <c r="AN618" s="103"/>
    </row>
    <row r="619" spans="1:40" x14ac:dyDescent="0.25">
      <c r="A619" s="103"/>
      <c r="C619" s="103"/>
      <c r="D619" s="103"/>
      <c r="E619" s="103"/>
      <c r="F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T619" s="103"/>
      <c r="U619" s="103"/>
      <c r="V619" s="103"/>
      <c r="Y619" s="103"/>
      <c r="Z619" s="103"/>
      <c r="AA619" s="103"/>
      <c r="AB619" s="103"/>
      <c r="AC619" s="103"/>
      <c r="AD619" s="103"/>
      <c r="AE619" s="103"/>
      <c r="AF619" s="103"/>
      <c r="AG619" s="185"/>
      <c r="AH619" s="103"/>
      <c r="AI619" s="103"/>
      <c r="AJ619" s="103"/>
      <c r="AK619" s="185"/>
      <c r="AL619" s="103"/>
      <c r="AM619" s="103"/>
      <c r="AN619" s="103"/>
    </row>
    <row r="620" spans="1:40" x14ac:dyDescent="0.25">
      <c r="C620" s="103"/>
      <c r="D620" s="103"/>
      <c r="E620" s="103"/>
      <c r="F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T620" s="103"/>
      <c r="U620" s="103"/>
      <c r="V620" s="103"/>
      <c r="Y620" s="103"/>
      <c r="Z620" s="103"/>
      <c r="AA620" s="103"/>
      <c r="AB620" s="103"/>
      <c r="AC620" s="103"/>
      <c r="AD620" s="103"/>
      <c r="AE620" s="103"/>
      <c r="AF620" s="103"/>
      <c r="AG620" s="185"/>
      <c r="AH620" s="103"/>
      <c r="AI620" s="103"/>
      <c r="AJ620" s="103"/>
      <c r="AK620" s="185"/>
      <c r="AL620" s="103"/>
      <c r="AM620" s="103"/>
      <c r="AN620" s="103"/>
    </row>
    <row r="621" spans="1:40" x14ac:dyDescent="0.25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208"/>
      <c r="AH621" s="102"/>
      <c r="AI621" s="102"/>
      <c r="AJ621" s="102"/>
      <c r="AK621" s="208"/>
      <c r="AL621" s="102"/>
      <c r="AM621" s="102"/>
      <c r="AN621" s="102"/>
    </row>
    <row r="622" spans="1:40" x14ac:dyDescent="0.25"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Y622" s="103"/>
      <c r="Z622" s="103"/>
      <c r="AA622" s="103"/>
      <c r="AB622" s="103"/>
      <c r="AC622" s="103"/>
      <c r="AD622" s="103"/>
      <c r="AE622" s="103"/>
      <c r="AF622" s="103"/>
      <c r="AG622" s="185"/>
      <c r="AH622" s="103"/>
      <c r="AI622" s="103"/>
      <c r="AJ622" s="103"/>
      <c r="AK622" s="185"/>
      <c r="AL622" s="103"/>
      <c r="AM622" s="103"/>
      <c r="AN622" s="103"/>
    </row>
    <row r="623" spans="1:40" x14ac:dyDescent="0.25">
      <c r="A623" s="202"/>
      <c r="C623" s="154"/>
      <c r="D623" s="154"/>
      <c r="E623" s="154"/>
      <c r="T623" s="154"/>
      <c r="U623" s="154"/>
    </row>
    <row r="625" spans="1:40" x14ac:dyDescent="0.25">
      <c r="A625" s="202"/>
      <c r="C625" s="154"/>
      <c r="D625" s="154"/>
      <c r="E625" s="154"/>
      <c r="T625" s="154"/>
      <c r="U625" s="154"/>
    </row>
    <row r="626" spans="1:40" x14ac:dyDescent="0.25">
      <c r="A626" s="202"/>
      <c r="C626" s="154"/>
      <c r="T626" s="154"/>
    </row>
    <row r="627" spans="1:40" x14ac:dyDescent="0.25">
      <c r="A627" s="202"/>
      <c r="C627" s="154"/>
      <c r="T627" s="154"/>
    </row>
    <row r="628" spans="1:40" x14ac:dyDescent="0.25">
      <c r="A628" s="202"/>
      <c r="C628" s="154"/>
      <c r="F628" s="252"/>
      <c r="H628" s="252"/>
      <c r="I628" s="252"/>
      <c r="J628" s="329"/>
      <c r="K628" s="329"/>
      <c r="L628" s="200"/>
      <c r="M628" s="200"/>
      <c r="N628" s="210"/>
      <c r="O628" s="210"/>
      <c r="P628" s="200"/>
      <c r="Q628" s="200"/>
      <c r="R628" s="200"/>
      <c r="T628" s="154"/>
      <c r="V628" s="200"/>
      <c r="W628" s="200"/>
      <c r="X628" s="200"/>
      <c r="Y628" s="200"/>
      <c r="Z628" s="329"/>
      <c r="AA628" s="200"/>
      <c r="AB628" s="200"/>
      <c r="AC628" s="210"/>
      <c r="AD628" s="210"/>
      <c r="AE628" s="200"/>
      <c r="AF628" s="200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A629" s="202"/>
      <c r="C629" s="154"/>
      <c r="J629" s="334"/>
      <c r="K629" s="334"/>
      <c r="T629" s="154"/>
      <c r="V629" s="200"/>
      <c r="W629" s="200"/>
      <c r="X629" s="200"/>
      <c r="Y629" s="200"/>
      <c r="Z629" s="329"/>
    </row>
    <row r="630" spans="1:40" x14ac:dyDescent="0.25">
      <c r="A630" s="202"/>
      <c r="C630" s="154"/>
      <c r="F630" s="252"/>
      <c r="H630" s="252"/>
      <c r="I630" s="252"/>
      <c r="J630" s="329"/>
      <c r="K630" s="329"/>
      <c r="L630" s="200"/>
      <c r="M630" s="200"/>
      <c r="N630" s="210"/>
      <c r="O630" s="210"/>
      <c r="P630" s="200"/>
      <c r="Q630" s="200"/>
      <c r="R630" s="200"/>
      <c r="T630" s="154"/>
      <c r="V630" s="200"/>
      <c r="W630" s="200"/>
      <c r="X630" s="200"/>
      <c r="Y630" s="200"/>
      <c r="Z630" s="329"/>
      <c r="AA630" s="200"/>
      <c r="AB630" s="200"/>
      <c r="AC630" s="210"/>
      <c r="AD630" s="210"/>
      <c r="AE630" s="200"/>
      <c r="AF630" s="200"/>
      <c r="AG630" s="209"/>
      <c r="AH630" s="201"/>
      <c r="AI630" s="200"/>
      <c r="AJ630" s="200"/>
      <c r="AK630" s="209"/>
      <c r="AL630" s="200"/>
      <c r="AM630" s="210"/>
      <c r="AN630" s="210"/>
    </row>
    <row r="631" spans="1:40" x14ac:dyDescent="0.25">
      <c r="A631" s="202"/>
      <c r="C631" s="154"/>
      <c r="J631" s="334"/>
      <c r="K631" s="334"/>
      <c r="T631" s="154"/>
      <c r="V631" s="200"/>
      <c r="W631" s="200"/>
      <c r="X631" s="200"/>
      <c r="Y631" s="200"/>
      <c r="Z631" s="329"/>
    </row>
    <row r="632" spans="1:40" x14ac:dyDescent="0.25">
      <c r="A632" s="202"/>
      <c r="C632" s="154"/>
      <c r="F632" s="252"/>
      <c r="H632" s="252"/>
      <c r="I632" s="252"/>
      <c r="J632" s="329"/>
      <c r="K632" s="329"/>
      <c r="L632" s="200"/>
      <c r="M632" s="200"/>
      <c r="N632" s="210"/>
      <c r="O632" s="210"/>
      <c r="P632" s="200"/>
      <c r="Q632" s="200"/>
      <c r="R632" s="200"/>
      <c r="T632" s="154"/>
      <c r="V632" s="200"/>
      <c r="W632" s="200"/>
      <c r="X632" s="200"/>
      <c r="Y632" s="200"/>
      <c r="Z632" s="329"/>
      <c r="AA632" s="200"/>
      <c r="AB632" s="200"/>
      <c r="AC632" s="210"/>
      <c r="AD632" s="210"/>
      <c r="AE632" s="200"/>
      <c r="AF632" s="200"/>
      <c r="AG632" s="209"/>
      <c r="AH632" s="201"/>
      <c r="AI632" s="200"/>
      <c r="AJ632" s="200"/>
      <c r="AK632" s="209"/>
      <c r="AL632" s="200"/>
      <c r="AM632" s="210"/>
      <c r="AN632" s="210"/>
    </row>
    <row r="633" spans="1:40" x14ac:dyDescent="0.25">
      <c r="A633" s="202"/>
      <c r="C633" s="154"/>
      <c r="J633" s="334"/>
      <c r="K633" s="334"/>
      <c r="T633" s="154"/>
      <c r="V633" s="200"/>
      <c r="W633" s="200"/>
      <c r="X633" s="200"/>
      <c r="Y633" s="200"/>
      <c r="Z633" s="329"/>
    </row>
    <row r="634" spans="1:40" x14ac:dyDescent="0.25">
      <c r="A634" s="202"/>
      <c r="C634" s="154"/>
      <c r="F634" s="252"/>
      <c r="H634" s="252"/>
      <c r="I634" s="252"/>
      <c r="J634" s="329"/>
      <c r="K634" s="329"/>
      <c r="L634" s="200"/>
      <c r="M634" s="200"/>
      <c r="N634" s="210"/>
      <c r="O634" s="210"/>
      <c r="P634" s="200"/>
      <c r="Q634" s="200"/>
      <c r="R634" s="200"/>
      <c r="T634" s="154"/>
      <c r="V634" s="200"/>
      <c r="W634" s="200"/>
      <c r="X634" s="200"/>
      <c r="Y634" s="200"/>
      <c r="Z634" s="329"/>
      <c r="AA634" s="200"/>
      <c r="AB634" s="200"/>
      <c r="AC634" s="210"/>
      <c r="AD634" s="210"/>
      <c r="AE634" s="200"/>
      <c r="AF634" s="200"/>
      <c r="AG634" s="209"/>
      <c r="AH634" s="201"/>
      <c r="AI634" s="200"/>
      <c r="AJ634" s="200"/>
      <c r="AK634" s="209"/>
      <c r="AL634" s="200"/>
      <c r="AM634" s="210"/>
      <c r="AN634" s="210"/>
    </row>
    <row r="635" spans="1:40" x14ac:dyDescent="0.25">
      <c r="A635" s="202"/>
      <c r="C635" s="154"/>
      <c r="J635" s="334"/>
      <c r="K635" s="334"/>
      <c r="T635" s="154"/>
      <c r="V635" s="200"/>
      <c r="W635" s="200"/>
      <c r="X635" s="200"/>
      <c r="Y635" s="200"/>
      <c r="Z635" s="329"/>
    </row>
    <row r="636" spans="1:40" x14ac:dyDescent="0.25">
      <c r="A636" s="202"/>
      <c r="C636" s="154"/>
      <c r="F636" s="252"/>
      <c r="H636" s="252"/>
      <c r="I636" s="252"/>
      <c r="J636" s="329"/>
      <c r="K636" s="329"/>
      <c r="L636" s="200"/>
      <c r="M636" s="200"/>
      <c r="N636" s="210"/>
      <c r="O636" s="210"/>
      <c r="P636" s="200"/>
      <c r="Q636" s="200"/>
      <c r="R636" s="200"/>
      <c r="T636" s="154"/>
      <c r="V636" s="200"/>
      <c r="W636" s="200"/>
      <c r="X636" s="200"/>
      <c r="Y636" s="200"/>
      <c r="Z636" s="329"/>
      <c r="AA636" s="200"/>
      <c r="AB636" s="200"/>
      <c r="AC636" s="210"/>
      <c r="AD636" s="210"/>
      <c r="AE636" s="200"/>
      <c r="AF636" s="200"/>
      <c r="AG636" s="209"/>
      <c r="AH636" s="201"/>
      <c r="AI636" s="200"/>
      <c r="AJ636" s="200"/>
      <c r="AK636" s="209"/>
      <c r="AL636" s="200"/>
      <c r="AM636" s="210"/>
      <c r="AN636" s="210"/>
    </row>
    <row r="637" spans="1:40" x14ac:dyDescent="0.25">
      <c r="A637" s="202"/>
      <c r="C637" s="154"/>
      <c r="J637" s="334"/>
      <c r="K637" s="334"/>
      <c r="T637" s="154"/>
      <c r="V637" s="200"/>
      <c r="W637" s="200"/>
      <c r="X637" s="200"/>
      <c r="Y637" s="200"/>
      <c r="Z637" s="329"/>
    </row>
    <row r="638" spans="1:40" x14ac:dyDescent="0.25">
      <c r="A638" s="202"/>
      <c r="C638" s="154"/>
      <c r="F638" s="252"/>
      <c r="H638" s="252"/>
      <c r="I638" s="252"/>
      <c r="J638" s="329"/>
      <c r="K638" s="329"/>
      <c r="L638" s="200"/>
      <c r="M638" s="200"/>
      <c r="N638" s="210"/>
      <c r="O638" s="210"/>
      <c r="P638" s="200"/>
      <c r="Q638" s="200"/>
      <c r="R638" s="200"/>
      <c r="T638" s="154"/>
      <c r="V638" s="200"/>
      <c r="W638" s="200"/>
      <c r="X638" s="200"/>
      <c r="Y638" s="200"/>
      <c r="Z638" s="329"/>
      <c r="AA638" s="200"/>
      <c r="AB638" s="200"/>
      <c r="AC638" s="210"/>
      <c r="AD638" s="210"/>
      <c r="AE638" s="200"/>
      <c r="AF638" s="200"/>
      <c r="AG638" s="209"/>
      <c r="AH638" s="201"/>
      <c r="AI638" s="200"/>
      <c r="AJ638" s="200"/>
      <c r="AK638" s="209"/>
      <c r="AL638" s="200"/>
      <c r="AM638" s="210"/>
      <c r="AN638" s="210"/>
    </row>
    <row r="639" spans="1:40" x14ac:dyDescent="0.25">
      <c r="F639" s="211"/>
      <c r="H639" s="211"/>
      <c r="I639" s="211"/>
      <c r="J639" s="329"/>
      <c r="K639" s="329"/>
      <c r="L639" s="211"/>
      <c r="M639" s="211"/>
      <c r="N639" s="211"/>
      <c r="O639" s="211"/>
      <c r="P639" s="211"/>
      <c r="Q639" s="211"/>
      <c r="R639" s="211"/>
      <c r="V639" s="211"/>
      <c r="Y639" s="211"/>
      <c r="Z639" s="329"/>
      <c r="AA639" s="211"/>
      <c r="AB639" s="211"/>
      <c r="AC639" s="211"/>
      <c r="AD639" s="211"/>
      <c r="AE639" s="211"/>
      <c r="AF639" s="211"/>
      <c r="AI639" s="211"/>
      <c r="AJ639" s="211"/>
      <c r="AK639" s="212"/>
      <c r="AL639" s="211"/>
      <c r="AM639" s="210"/>
      <c r="AN639" s="210"/>
    </row>
    <row r="640" spans="1:40" x14ac:dyDescent="0.25">
      <c r="A640" s="202"/>
      <c r="C640" s="154"/>
      <c r="F640" s="200"/>
      <c r="H640" s="200"/>
      <c r="I640" s="200"/>
      <c r="J640" s="334"/>
      <c r="K640" s="334"/>
      <c r="L640" s="200"/>
      <c r="M640" s="200"/>
      <c r="N640" s="210"/>
      <c r="O640" s="210"/>
      <c r="P640" s="252"/>
      <c r="Q640" s="252"/>
      <c r="R640" s="200"/>
      <c r="T640" s="154"/>
      <c r="V640" s="200"/>
      <c r="W640" s="200"/>
      <c r="X640" s="200"/>
      <c r="Y640" s="200"/>
      <c r="Z640" s="329"/>
      <c r="AA640" s="200"/>
      <c r="AB640" s="200"/>
      <c r="AC640" s="210"/>
      <c r="AD640" s="210"/>
      <c r="AE640" s="200"/>
      <c r="AF640" s="200"/>
      <c r="AG640" s="209"/>
      <c r="AH640" s="201"/>
      <c r="AI640" s="252"/>
      <c r="AJ640" s="252"/>
      <c r="AK640" s="209"/>
      <c r="AL640" s="200"/>
      <c r="AM640" s="210"/>
      <c r="AN640" s="210"/>
    </row>
    <row r="641" spans="1:40" x14ac:dyDescent="0.25">
      <c r="F641" s="211"/>
      <c r="H641" s="211"/>
      <c r="I641" s="211"/>
      <c r="J641" s="329"/>
      <c r="K641" s="329"/>
      <c r="L641" s="211"/>
      <c r="M641" s="211"/>
      <c r="N641" s="211"/>
      <c r="O641" s="211"/>
      <c r="P641" s="211"/>
      <c r="Q641" s="211"/>
      <c r="R641" s="211"/>
      <c r="V641" s="211"/>
      <c r="Y641" s="211"/>
      <c r="Z641" s="329"/>
      <c r="AA641" s="211"/>
      <c r="AB641" s="211"/>
      <c r="AC641" s="211"/>
      <c r="AD641" s="211"/>
      <c r="AE641" s="211"/>
      <c r="AF641" s="211"/>
      <c r="AI641" s="211"/>
      <c r="AJ641" s="211"/>
      <c r="AK641" s="212"/>
      <c r="AL641" s="211"/>
    </row>
    <row r="642" spans="1:40" x14ac:dyDescent="0.25">
      <c r="A642" s="202"/>
      <c r="C642" s="154"/>
      <c r="D642" s="154"/>
      <c r="E642" s="154"/>
      <c r="J642" s="334"/>
      <c r="K642" s="334"/>
      <c r="T642" s="154"/>
      <c r="U642" s="154"/>
      <c r="V642" s="200"/>
      <c r="W642" s="200"/>
      <c r="X642" s="200"/>
      <c r="Y642" s="200"/>
      <c r="Z642" s="329"/>
    </row>
    <row r="643" spans="1:40" x14ac:dyDescent="0.25">
      <c r="A643" s="202"/>
      <c r="C643" s="154"/>
      <c r="J643" s="334"/>
      <c r="K643" s="334"/>
      <c r="T643" s="154"/>
      <c r="V643" s="200"/>
      <c r="W643" s="200"/>
      <c r="X643" s="200"/>
      <c r="Y643" s="200"/>
      <c r="Z643" s="329"/>
    </row>
    <row r="644" spans="1:40" x14ac:dyDescent="0.25">
      <c r="A644" s="202"/>
      <c r="C644" s="154"/>
      <c r="J644" s="334"/>
      <c r="K644" s="334"/>
      <c r="T644" s="154"/>
      <c r="V644" s="200"/>
      <c r="W644" s="200"/>
      <c r="X644" s="200"/>
      <c r="Y644" s="200"/>
      <c r="Z644" s="329"/>
    </row>
    <row r="645" spans="1:40" x14ac:dyDescent="0.25">
      <c r="A645" s="202"/>
      <c r="C645" s="154"/>
      <c r="F645" s="252"/>
      <c r="H645" s="252"/>
      <c r="I645" s="252"/>
      <c r="J645" s="329"/>
      <c r="K645" s="329"/>
      <c r="L645" s="200"/>
      <c r="M645" s="200"/>
      <c r="N645" s="210"/>
      <c r="O645" s="210"/>
      <c r="P645" s="200"/>
      <c r="Q645" s="200"/>
      <c r="R645" s="200"/>
      <c r="T645" s="154"/>
      <c r="V645" s="200"/>
      <c r="W645" s="200"/>
      <c r="X645" s="200"/>
      <c r="Y645" s="200"/>
      <c r="Z645" s="329"/>
      <c r="AA645" s="200"/>
      <c r="AB645" s="200"/>
      <c r="AC645" s="210"/>
      <c r="AD645" s="210"/>
      <c r="AE645" s="200"/>
      <c r="AF645" s="200"/>
      <c r="AG645" s="209"/>
      <c r="AH645" s="201"/>
      <c r="AI645" s="200"/>
      <c r="AJ645" s="200"/>
      <c r="AK645" s="209"/>
      <c r="AL645" s="200"/>
      <c r="AM645" s="210"/>
      <c r="AN645" s="210"/>
    </row>
    <row r="646" spans="1:40" x14ac:dyDescent="0.25">
      <c r="A646" s="202"/>
      <c r="C646" s="154"/>
      <c r="J646" s="334"/>
      <c r="K646" s="334"/>
      <c r="T646" s="154"/>
      <c r="V646" s="200"/>
      <c r="W646" s="200"/>
      <c r="X646" s="200"/>
      <c r="Y646" s="200"/>
      <c r="Z646" s="329"/>
    </row>
    <row r="647" spans="1:40" x14ac:dyDescent="0.25">
      <c r="A647" s="202"/>
      <c r="C647" s="154"/>
      <c r="F647" s="252"/>
      <c r="H647" s="252"/>
      <c r="I647" s="252"/>
      <c r="J647" s="329"/>
      <c r="K647" s="329"/>
      <c r="L647" s="200"/>
      <c r="M647" s="200"/>
      <c r="N647" s="210"/>
      <c r="O647" s="210"/>
      <c r="P647" s="200"/>
      <c r="Q647" s="200"/>
      <c r="R647" s="200"/>
      <c r="T647" s="154"/>
      <c r="V647" s="200"/>
      <c r="W647" s="200"/>
      <c r="X647" s="200"/>
      <c r="Y647" s="200"/>
      <c r="Z647" s="329"/>
      <c r="AA647" s="200"/>
      <c r="AB647" s="200"/>
      <c r="AC647" s="210"/>
      <c r="AD647" s="210"/>
      <c r="AE647" s="200"/>
      <c r="AF647" s="200"/>
      <c r="AG647" s="209"/>
      <c r="AH647" s="201"/>
      <c r="AI647" s="200"/>
      <c r="AJ647" s="200"/>
      <c r="AK647" s="209"/>
      <c r="AL647" s="200"/>
      <c r="AM647" s="210"/>
      <c r="AN647" s="210"/>
    </row>
    <row r="648" spans="1:40" x14ac:dyDescent="0.25">
      <c r="F648" s="211"/>
      <c r="H648" s="211"/>
      <c r="I648" s="211"/>
      <c r="J648" s="329"/>
      <c r="K648" s="329"/>
      <c r="L648" s="211"/>
      <c r="M648" s="211"/>
      <c r="N648" s="211"/>
      <c r="O648" s="211"/>
      <c r="P648" s="211"/>
      <c r="Q648" s="211"/>
      <c r="R648" s="211"/>
      <c r="V648" s="211"/>
      <c r="Y648" s="211"/>
      <c r="Z648" s="305"/>
      <c r="AA648" s="211"/>
      <c r="AB648" s="211"/>
      <c r="AC648" s="211"/>
      <c r="AD648" s="211"/>
      <c r="AE648" s="211"/>
      <c r="AF648" s="211"/>
      <c r="AI648" s="211"/>
      <c r="AJ648" s="211"/>
      <c r="AK648" s="212"/>
      <c r="AL648" s="211"/>
    </row>
    <row r="649" spans="1:40" x14ac:dyDescent="0.25">
      <c r="A649" s="202"/>
      <c r="C649" s="154"/>
      <c r="F649" s="200"/>
      <c r="H649" s="200"/>
      <c r="I649" s="200"/>
      <c r="L649" s="200"/>
      <c r="M649" s="200"/>
      <c r="N649" s="210"/>
      <c r="O649" s="210"/>
      <c r="P649" s="252"/>
      <c r="Q649" s="252"/>
      <c r="R649" s="200"/>
      <c r="T649" s="154"/>
      <c r="V649" s="200"/>
      <c r="W649" s="200"/>
      <c r="X649" s="200"/>
      <c r="Y649" s="200"/>
      <c r="Z649" s="328"/>
      <c r="AA649" s="200"/>
      <c r="AB649" s="200"/>
      <c r="AC649" s="210"/>
      <c r="AD649" s="210"/>
      <c r="AE649" s="200"/>
      <c r="AF649" s="200"/>
      <c r="AG649" s="209"/>
      <c r="AH649" s="201"/>
      <c r="AI649" s="252"/>
      <c r="AJ649" s="252"/>
      <c r="AK649" s="209"/>
      <c r="AL649" s="200"/>
      <c r="AM649" s="210"/>
      <c r="AN649" s="210"/>
    </row>
    <row r="650" spans="1:40" x14ac:dyDescent="0.25">
      <c r="F650" s="211"/>
      <c r="H650" s="211"/>
      <c r="I650" s="211"/>
      <c r="J650" s="305"/>
      <c r="K650" s="305"/>
      <c r="L650" s="211"/>
      <c r="M650" s="211"/>
      <c r="N650" s="211"/>
      <c r="O650" s="211"/>
      <c r="P650" s="211"/>
      <c r="Q650" s="211"/>
      <c r="R650" s="211"/>
      <c r="V650" s="211"/>
      <c r="Y650" s="211"/>
      <c r="Z650" s="305"/>
      <c r="AA650" s="211"/>
      <c r="AB650" s="211"/>
      <c r="AC650" s="211"/>
      <c r="AD650" s="211"/>
      <c r="AE650" s="211"/>
      <c r="AF650" s="211"/>
      <c r="AI650" s="211"/>
      <c r="AJ650" s="211"/>
      <c r="AK650" s="212"/>
      <c r="AL650" s="211"/>
    </row>
    <row r="651" spans="1:40" x14ac:dyDescent="0.25">
      <c r="A651" s="202"/>
      <c r="C651" s="154"/>
      <c r="D651" s="154"/>
      <c r="E651" s="154"/>
      <c r="T651" s="154"/>
      <c r="U651" s="154"/>
      <c r="V651" s="200"/>
      <c r="W651" s="200"/>
      <c r="X651" s="200"/>
      <c r="Y651" s="200"/>
      <c r="Z651" s="328"/>
    </row>
    <row r="652" spans="1:40" x14ac:dyDescent="0.25">
      <c r="A652" s="202"/>
      <c r="C652" s="154"/>
      <c r="T652" s="154"/>
      <c r="V652" s="200"/>
      <c r="W652" s="200"/>
      <c r="X652" s="200"/>
      <c r="Y652" s="200"/>
      <c r="Z652" s="328"/>
    </row>
    <row r="653" spans="1:40" x14ac:dyDescent="0.25">
      <c r="A653" s="202"/>
      <c r="C653" s="154"/>
      <c r="F653" s="252"/>
      <c r="H653" s="252"/>
      <c r="I653" s="252"/>
      <c r="J653" s="328"/>
      <c r="K653" s="328"/>
      <c r="L653" s="200"/>
      <c r="M653" s="200"/>
      <c r="N653" s="210"/>
      <c r="O653" s="210"/>
      <c r="P653" s="200"/>
      <c r="Q653" s="200"/>
      <c r="R653" s="200"/>
      <c r="T653" s="154"/>
      <c r="V653" s="200"/>
      <c r="W653" s="200"/>
      <c r="X653" s="200"/>
      <c r="Y653" s="200"/>
      <c r="Z653" s="328"/>
      <c r="AA653" s="200"/>
      <c r="AB653" s="200"/>
      <c r="AC653" s="210"/>
      <c r="AD653" s="210"/>
      <c r="AE653" s="200"/>
      <c r="AF653" s="200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C654" s="154"/>
      <c r="T654" s="154"/>
      <c r="V654" s="200"/>
      <c r="W654" s="200"/>
      <c r="X654" s="200"/>
      <c r="Y654" s="200"/>
      <c r="Z654" s="328"/>
    </row>
    <row r="655" spans="1:40" x14ac:dyDescent="0.25">
      <c r="A655" s="202"/>
      <c r="C655" s="154"/>
      <c r="F655" s="252"/>
      <c r="H655" s="252"/>
      <c r="I655" s="252"/>
      <c r="J655" s="328"/>
      <c r="K655" s="328"/>
      <c r="L655" s="200"/>
      <c r="M655" s="200"/>
      <c r="N655" s="210"/>
      <c r="O655" s="210"/>
      <c r="P655" s="200"/>
      <c r="Q655" s="200"/>
      <c r="R655" s="200"/>
      <c r="T655" s="154"/>
      <c r="V655" s="200"/>
      <c r="W655" s="200"/>
      <c r="X655" s="200"/>
      <c r="Y655" s="200"/>
      <c r="Z655" s="328"/>
      <c r="AA655" s="200"/>
      <c r="AB655" s="200"/>
      <c r="AC655" s="210"/>
      <c r="AD655" s="210"/>
      <c r="AE655" s="200"/>
      <c r="AF655" s="200"/>
      <c r="AG655" s="209"/>
      <c r="AH655" s="201"/>
      <c r="AI655" s="200"/>
      <c r="AJ655" s="200"/>
      <c r="AK655" s="209"/>
      <c r="AL655" s="200"/>
      <c r="AM655" s="210"/>
      <c r="AN655" s="210"/>
    </row>
    <row r="656" spans="1:40" x14ac:dyDescent="0.25">
      <c r="A656" s="202"/>
      <c r="C656" s="154"/>
      <c r="T656" s="154"/>
      <c r="V656" s="200"/>
      <c r="W656" s="200"/>
      <c r="X656" s="200"/>
      <c r="Y656" s="200"/>
      <c r="Z656" s="328"/>
    </row>
    <row r="657" spans="1:40" x14ac:dyDescent="0.25">
      <c r="A657" s="202"/>
      <c r="C657" s="154"/>
      <c r="F657" s="252"/>
      <c r="H657" s="252"/>
      <c r="I657" s="252"/>
      <c r="J657" s="328"/>
      <c r="K657" s="328"/>
      <c r="L657" s="200"/>
      <c r="M657" s="200"/>
      <c r="N657" s="210"/>
      <c r="O657" s="210"/>
      <c r="P657" s="200"/>
      <c r="Q657" s="200"/>
      <c r="R657" s="200"/>
      <c r="T657" s="154"/>
      <c r="V657" s="200"/>
      <c r="W657" s="200"/>
      <c r="X657" s="200"/>
      <c r="Y657" s="200"/>
      <c r="Z657" s="328"/>
      <c r="AA657" s="200"/>
      <c r="AB657" s="200"/>
      <c r="AC657" s="210"/>
      <c r="AD657" s="210"/>
      <c r="AE657" s="200"/>
      <c r="AF657" s="200"/>
      <c r="AG657" s="209"/>
      <c r="AH657" s="201"/>
      <c r="AI657" s="200"/>
      <c r="AJ657" s="200"/>
      <c r="AK657" s="209"/>
      <c r="AL657" s="200"/>
      <c r="AM657" s="210"/>
      <c r="AN657" s="210"/>
    </row>
    <row r="658" spans="1:40" x14ac:dyDescent="0.25">
      <c r="A658" s="202"/>
      <c r="C658" s="154"/>
      <c r="T658" s="154"/>
      <c r="V658" s="200"/>
      <c r="W658" s="200"/>
      <c r="X658" s="200"/>
      <c r="Y658" s="200"/>
      <c r="Z658" s="328"/>
    </row>
    <row r="659" spans="1:40" x14ac:dyDescent="0.25">
      <c r="A659" s="202"/>
      <c r="C659" s="154"/>
      <c r="F659" s="252"/>
      <c r="H659" s="252"/>
      <c r="I659" s="252"/>
      <c r="J659" s="328"/>
      <c r="K659" s="328"/>
      <c r="L659" s="200"/>
      <c r="M659" s="200"/>
      <c r="N659" s="210"/>
      <c r="O659" s="210"/>
      <c r="P659" s="200"/>
      <c r="Q659" s="200"/>
      <c r="R659" s="200"/>
      <c r="T659" s="154"/>
      <c r="V659" s="200"/>
      <c r="W659" s="200"/>
      <c r="X659" s="200"/>
      <c r="Y659" s="200"/>
      <c r="Z659" s="328"/>
      <c r="AA659" s="200"/>
      <c r="AB659" s="200"/>
      <c r="AC659" s="210"/>
      <c r="AD659" s="210"/>
      <c r="AE659" s="200"/>
      <c r="AF659" s="200"/>
      <c r="AG659" s="209"/>
      <c r="AH659" s="201"/>
      <c r="AI659" s="200"/>
      <c r="AJ659" s="200"/>
      <c r="AK659" s="209"/>
      <c r="AL659" s="200"/>
      <c r="AM659" s="210"/>
      <c r="AN659" s="210"/>
    </row>
    <row r="660" spans="1:40" x14ac:dyDescent="0.25">
      <c r="F660" s="211"/>
      <c r="H660" s="211"/>
      <c r="I660" s="211"/>
      <c r="J660" s="305"/>
      <c r="K660" s="305"/>
      <c r="L660" s="211"/>
      <c r="M660" s="211"/>
      <c r="N660" s="211"/>
      <c r="O660" s="211"/>
      <c r="P660" s="211"/>
      <c r="Q660" s="211"/>
      <c r="R660" s="211"/>
      <c r="V660" s="211"/>
      <c r="Y660" s="211"/>
      <c r="Z660" s="305"/>
      <c r="AA660" s="211"/>
      <c r="AB660" s="211"/>
      <c r="AC660" s="211"/>
      <c r="AD660" s="211"/>
      <c r="AE660" s="211"/>
      <c r="AF660" s="211"/>
      <c r="AI660" s="211"/>
      <c r="AJ660" s="211"/>
      <c r="AK660" s="212"/>
      <c r="AL660" s="211"/>
    </row>
    <row r="661" spans="1:40" x14ac:dyDescent="0.25">
      <c r="A661" s="202"/>
      <c r="C661" s="154"/>
      <c r="F661" s="200"/>
      <c r="H661" s="200"/>
      <c r="I661" s="200"/>
      <c r="L661" s="200"/>
      <c r="M661" s="200"/>
      <c r="N661" s="210"/>
      <c r="O661" s="210"/>
      <c r="P661" s="252"/>
      <c r="Q661" s="252"/>
      <c r="R661" s="200"/>
      <c r="T661" s="154"/>
      <c r="V661" s="200"/>
      <c r="W661" s="200"/>
      <c r="X661" s="200"/>
      <c r="Y661" s="200"/>
      <c r="Z661" s="328"/>
      <c r="AA661" s="200"/>
      <c r="AB661" s="200"/>
      <c r="AC661" s="210"/>
      <c r="AD661" s="210"/>
      <c r="AE661" s="200"/>
      <c r="AF661" s="200"/>
      <c r="AG661" s="209"/>
      <c r="AH661" s="201"/>
      <c r="AI661" s="252"/>
      <c r="AJ661" s="252"/>
      <c r="AK661" s="209"/>
      <c r="AL661" s="200"/>
      <c r="AM661" s="210"/>
      <c r="AN661" s="210"/>
    </row>
    <row r="662" spans="1:40" x14ac:dyDescent="0.25">
      <c r="F662" s="211"/>
      <c r="H662" s="211"/>
      <c r="I662" s="211"/>
      <c r="J662" s="305"/>
      <c r="K662" s="305"/>
      <c r="L662" s="211"/>
      <c r="M662" s="211"/>
      <c r="N662" s="211"/>
      <c r="O662" s="211"/>
      <c r="P662" s="211"/>
      <c r="Q662" s="211"/>
      <c r="R662" s="211"/>
      <c r="V662" s="211"/>
      <c r="Y662" s="211"/>
      <c r="Z662" s="305"/>
      <c r="AA662" s="211"/>
      <c r="AB662" s="211"/>
      <c r="AC662" s="211"/>
      <c r="AD662" s="211"/>
      <c r="AE662" s="211"/>
      <c r="AF662" s="211"/>
      <c r="AI662" s="211"/>
      <c r="AJ662" s="211"/>
      <c r="AK662" s="212"/>
      <c r="AL662" s="211"/>
    </row>
    <row r="663" spans="1:40" x14ac:dyDescent="0.25">
      <c r="A663" s="202"/>
      <c r="C663" s="154"/>
      <c r="F663" s="200"/>
      <c r="H663" s="200"/>
      <c r="I663" s="200"/>
      <c r="L663" s="200"/>
      <c r="M663" s="200"/>
      <c r="N663" s="210"/>
      <c r="O663" s="210"/>
      <c r="P663" s="200"/>
      <c r="Q663" s="200"/>
      <c r="R663" s="200"/>
      <c r="T663" s="154"/>
      <c r="V663" s="200"/>
      <c r="W663" s="200"/>
      <c r="X663" s="200"/>
      <c r="Y663" s="200"/>
      <c r="AA663" s="200"/>
      <c r="AB663" s="200"/>
      <c r="AC663" s="210"/>
      <c r="AD663" s="210"/>
      <c r="AE663" s="200"/>
      <c r="AF663" s="200"/>
      <c r="AG663" s="209"/>
      <c r="AH663" s="201"/>
      <c r="AI663" s="200"/>
      <c r="AJ663" s="200"/>
      <c r="AK663" s="209"/>
      <c r="AL663" s="200"/>
      <c r="AM663" s="201"/>
      <c r="AN663" s="201"/>
    </row>
    <row r="664" spans="1:40" x14ac:dyDescent="0.25">
      <c r="F664" s="211"/>
      <c r="H664" s="211"/>
      <c r="I664" s="211"/>
      <c r="J664" s="305"/>
      <c r="K664" s="305"/>
      <c r="L664" s="211"/>
      <c r="M664" s="211"/>
      <c r="N664" s="211"/>
      <c r="O664" s="211"/>
      <c r="P664" s="211"/>
      <c r="Q664" s="211"/>
      <c r="R664" s="211"/>
      <c r="V664" s="211"/>
      <c r="Y664" s="211"/>
      <c r="Z664" s="305"/>
      <c r="AA664" s="211"/>
      <c r="AB664" s="211"/>
      <c r="AC664" s="211"/>
      <c r="AD664" s="211"/>
      <c r="AE664" s="211"/>
      <c r="AF664" s="211"/>
      <c r="AI664" s="211"/>
      <c r="AJ664" s="211"/>
      <c r="AK664" s="212"/>
      <c r="AL664" s="211"/>
    </row>
    <row r="666" spans="1:40" x14ac:dyDescent="0.25">
      <c r="C666" s="202"/>
      <c r="T666" s="202"/>
    </row>
    <row r="667" spans="1:40" x14ac:dyDescent="0.25">
      <c r="A667" s="154"/>
    </row>
    <row r="668" spans="1:40" x14ac:dyDescent="0.25">
      <c r="J668" s="202"/>
      <c r="K668" s="202"/>
      <c r="Z668" s="202"/>
    </row>
    <row r="669" spans="1:40" x14ac:dyDescent="0.25">
      <c r="H669" s="154"/>
      <c r="I669" s="154"/>
      <c r="Y669" s="154"/>
    </row>
    <row r="670" spans="1:40" x14ac:dyDescent="0.25">
      <c r="J670" s="202"/>
      <c r="K670" s="202"/>
      <c r="Z670" s="202"/>
    </row>
    <row r="671" spans="1:40" x14ac:dyDescent="0.25">
      <c r="L671" s="154"/>
      <c r="M671" s="154"/>
      <c r="AA671" s="154"/>
      <c r="AB671" s="154"/>
    </row>
    <row r="672" spans="1:40" x14ac:dyDescent="0.25">
      <c r="A672" s="202"/>
      <c r="R672" s="154"/>
      <c r="AK672" s="297"/>
      <c r="AL672" s="154"/>
    </row>
    <row r="673" spans="1:40" x14ac:dyDescent="0.25">
      <c r="A673" s="202"/>
      <c r="R673" s="154"/>
      <c r="AK673" s="297"/>
      <c r="AL673" s="154"/>
    </row>
    <row r="674" spans="1:40" x14ac:dyDescent="0.25">
      <c r="A674" s="154"/>
      <c r="R674" s="154"/>
      <c r="AK674" s="297"/>
      <c r="AL674" s="154"/>
    </row>
    <row r="675" spans="1:40" x14ac:dyDescent="0.25">
      <c r="L675" s="154"/>
      <c r="M675" s="154"/>
      <c r="R675" s="202"/>
      <c r="AA675" s="154"/>
      <c r="AB675" s="154"/>
      <c r="AK675" s="209"/>
      <c r="AL675" s="202"/>
    </row>
    <row r="676" spans="1:40" x14ac:dyDescent="0.25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208"/>
      <c r="AH676" s="102"/>
      <c r="AI676" s="102"/>
      <c r="AJ676" s="102"/>
      <c r="AK676" s="208"/>
      <c r="AL676" s="102"/>
      <c r="AM676" s="102"/>
      <c r="AN676" s="102"/>
    </row>
    <row r="677" spans="1:40" x14ac:dyDescent="0.25">
      <c r="L677" s="103"/>
      <c r="M677" s="103"/>
      <c r="N677" s="103"/>
      <c r="O677" s="103"/>
      <c r="R677" s="103"/>
      <c r="AA677" s="103"/>
      <c r="AB677" s="103"/>
      <c r="AC677" s="103"/>
      <c r="AD677" s="103"/>
      <c r="AE677" s="103"/>
      <c r="AF677" s="103"/>
      <c r="AG677" s="185"/>
      <c r="AH677" s="103"/>
      <c r="AK677" s="185"/>
      <c r="AL677" s="103"/>
      <c r="AM677" s="103"/>
      <c r="AN677" s="103"/>
    </row>
    <row r="678" spans="1:40" x14ac:dyDescent="0.25">
      <c r="L678" s="103"/>
      <c r="M678" s="103"/>
      <c r="N678" s="103"/>
      <c r="O678" s="103"/>
      <c r="R678" s="103"/>
      <c r="Z678" s="103"/>
      <c r="AA678" s="103"/>
      <c r="AB678" s="103"/>
      <c r="AC678" s="103"/>
      <c r="AD678" s="103"/>
      <c r="AE678" s="103"/>
      <c r="AF678" s="103"/>
      <c r="AG678" s="185"/>
      <c r="AH678" s="103"/>
      <c r="AK678" s="185"/>
      <c r="AL678" s="103"/>
      <c r="AM678" s="103"/>
      <c r="AN678" s="103"/>
    </row>
    <row r="679" spans="1:40" x14ac:dyDescent="0.25">
      <c r="A679" s="103"/>
      <c r="C679" s="103"/>
      <c r="D679" s="103"/>
      <c r="E679" s="103"/>
      <c r="F679" s="103"/>
      <c r="J679" s="103"/>
      <c r="K679" s="103"/>
      <c r="L679" s="103"/>
      <c r="M679" s="103"/>
      <c r="N679" s="103"/>
      <c r="O679" s="103"/>
      <c r="P679" s="103"/>
      <c r="Q679" s="103"/>
      <c r="R679" s="103"/>
      <c r="T679" s="103"/>
      <c r="U679" s="103"/>
      <c r="V679" s="103"/>
      <c r="Z679" s="103"/>
      <c r="AA679" s="103"/>
      <c r="AB679" s="103"/>
      <c r="AC679" s="103"/>
      <c r="AD679" s="103"/>
      <c r="AE679" s="103"/>
      <c r="AF679" s="103"/>
      <c r="AG679" s="185"/>
      <c r="AH679" s="103"/>
      <c r="AI679" s="103"/>
      <c r="AJ679" s="103"/>
      <c r="AK679" s="185"/>
      <c r="AL679" s="103"/>
      <c r="AM679" s="103"/>
      <c r="AN679" s="103"/>
    </row>
    <row r="680" spans="1:40" x14ac:dyDescent="0.25">
      <c r="A680" s="103"/>
      <c r="C680" s="103"/>
      <c r="D680" s="103"/>
      <c r="E680" s="103"/>
      <c r="F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T680" s="103"/>
      <c r="U680" s="103"/>
      <c r="V680" s="103"/>
      <c r="Y680" s="103"/>
      <c r="Z680" s="103"/>
      <c r="AA680" s="103"/>
      <c r="AB680" s="103"/>
      <c r="AC680" s="103"/>
      <c r="AD680" s="103"/>
      <c r="AE680" s="103"/>
      <c r="AF680" s="103"/>
      <c r="AG680" s="185"/>
      <c r="AH680" s="103"/>
      <c r="AI680" s="103"/>
      <c r="AJ680" s="103"/>
      <c r="AK680" s="185"/>
      <c r="AL680" s="103"/>
      <c r="AM680" s="103"/>
      <c r="AN680" s="103"/>
    </row>
    <row r="681" spans="1:40" x14ac:dyDescent="0.25">
      <c r="C681" s="103"/>
      <c r="D681" s="103"/>
      <c r="E681" s="103"/>
      <c r="F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T681" s="103"/>
      <c r="U681" s="103"/>
      <c r="V681" s="103"/>
      <c r="Y681" s="103"/>
      <c r="Z681" s="103"/>
      <c r="AA681" s="103"/>
      <c r="AB681" s="103"/>
      <c r="AC681" s="103"/>
      <c r="AD681" s="103"/>
      <c r="AE681" s="103"/>
      <c r="AF681" s="103"/>
      <c r="AG681" s="185"/>
      <c r="AH681" s="103"/>
      <c r="AI681" s="103"/>
      <c r="AJ681" s="103"/>
      <c r="AK681" s="185"/>
      <c r="AL681" s="103"/>
      <c r="AM681" s="103"/>
      <c r="AN681" s="103"/>
    </row>
    <row r="682" spans="1:40" x14ac:dyDescent="0.25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208"/>
      <c r="AH682" s="102"/>
      <c r="AI682" s="102"/>
      <c r="AJ682" s="102"/>
      <c r="AK682" s="208"/>
      <c r="AL682" s="102"/>
      <c r="AM682" s="102"/>
      <c r="AN682" s="102"/>
    </row>
    <row r="683" spans="1:40" x14ac:dyDescent="0.25"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Y683" s="103"/>
      <c r="Z683" s="103"/>
      <c r="AA683" s="103"/>
      <c r="AB683" s="103"/>
      <c r="AC683" s="103"/>
      <c r="AD683" s="103"/>
      <c r="AE683" s="103"/>
      <c r="AF683" s="103"/>
      <c r="AG683" s="185"/>
      <c r="AH683" s="103"/>
      <c r="AI683" s="103"/>
      <c r="AJ683" s="103"/>
      <c r="AK683" s="185"/>
      <c r="AL683" s="103"/>
      <c r="AM683" s="103"/>
      <c r="AN683" s="103"/>
    </row>
    <row r="684" spans="1:40" x14ac:dyDescent="0.25">
      <c r="A684" s="202"/>
      <c r="C684" s="154"/>
      <c r="D684" s="154"/>
      <c r="E684" s="154"/>
      <c r="F684" s="200"/>
      <c r="H684" s="200"/>
      <c r="I684" s="200"/>
      <c r="J684" s="213"/>
      <c r="K684" s="213"/>
      <c r="L684" s="200"/>
      <c r="M684" s="200"/>
      <c r="N684" s="213"/>
      <c r="O684" s="213"/>
      <c r="P684" s="200"/>
      <c r="Q684" s="200"/>
      <c r="R684" s="200"/>
      <c r="T684" s="154"/>
      <c r="U684" s="154"/>
      <c r="V684" s="200"/>
      <c r="Y684" s="200"/>
      <c r="Z684" s="213"/>
      <c r="AA684" s="200"/>
      <c r="AB684" s="200"/>
      <c r="AC684" s="213"/>
      <c r="AD684" s="213"/>
      <c r="AE684" s="200"/>
      <c r="AF684" s="200"/>
      <c r="AG684" s="209"/>
      <c r="AH684" s="201"/>
      <c r="AI684" s="200"/>
      <c r="AJ684" s="200"/>
      <c r="AK684" s="209"/>
      <c r="AL684" s="200"/>
      <c r="AM684" s="210"/>
      <c r="AN684" s="210"/>
    </row>
    <row r="685" spans="1:40" x14ac:dyDescent="0.25">
      <c r="F685" s="211"/>
      <c r="H685" s="211"/>
      <c r="I685" s="211"/>
      <c r="J685" s="305"/>
      <c r="K685" s="305"/>
      <c r="L685" s="211"/>
      <c r="M685" s="211"/>
      <c r="N685" s="211"/>
      <c r="O685" s="211"/>
      <c r="P685" s="211"/>
      <c r="Q685" s="211"/>
      <c r="R685" s="211"/>
      <c r="V685" s="211"/>
      <c r="Y685" s="211"/>
      <c r="Z685" s="305"/>
      <c r="AA685" s="211"/>
      <c r="AB685" s="211"/>
      <c r="AC685" s="211"/>
      <c r="AD685" s="211"/>
      <c r="AE685" s="211"/>
      <c r="AF685" s="211"/>
      <c r="AI685" s="211"/>
      <c r="AJ685" s="211"/>
      <c r="AK685" s="212"/>
      <c r="AL685" s="211"/>
      <c r="AM685" s="210"/>
      <c r="AN685" s="210"/>
    </row>
    <row r="686" spans="1:40" x14ac:dyDescent="0.25">
      <c r="A686" s="202"/>
      <c r="C686" s="154"/>
      <c r="F686" s="200"/>
      <c r="H686" s="200"/>
      <c r="I686" s="200"/>
      <c r="J686" s="213"/>
      <c r="K686" s="213"/>
      <c r="L686" s="200"/>
      <c r="M686" s="200"/>
      <c r="N686" s="213"/>
      <c r="O686" s="213"/>
      <c r="P686" s="200"/>
      <c r="Q686" s="200"/>
      <c r="R686" s="200"/>
      <c r="T686" s="154"/>
      <c r="V686" s="200"/>
      <c r="Y686" s="200"/>
      <c r="Z686" s="213"/>
      <c r="AA686" s="200"/>
      <c r="AB686" s="200"/>
      <c r="AC686" s="213"/>
      <c r="AD686" s="213"/>
      <c r="AE686" s="200"/>
      <c r="AF686" s="200"/>
      <c r="AG686" s="209"/>
      <c r="AH686" s="201"/>
      <c r="AI686" s="200"/>
      <c r="AJ686" s="200"/>
      <c r="AK686" s="209"/>
      <c r="AL686" s="200"/>
      <c r="AM686" s="210"/>
      <c r="AN686" s="210"/>
    </row>
    <row r="687" spans="1:40" x14ac:dyDescent="0.25">
      <c r="F687" s="200"/>
      <c r="H687" s="200"/>
      <c r="I687" s="200"/>
      <c r="J687" s="213"/>
      <c r="K687" s="213"/>
      <c r="L687" s="200"/>
      <c r="M687" s="200"/>
      <c r="N687" s="213"/>
      <c r="O687" s="213"/>
      <c r="P687" s="200"/>
      <c r="Q687" s="200"/>
      <c r="R687" s="200"/>
      <c r="V687" s="200"/>
      <c r="Y687" s="200"/>
      <c r="Z687" s="213"/>
      <c r="AA687" s="200"/>
      <c r="AB687" s="200"/>
      <c r="AC687" s="213"/>
      <c r="AD687" s="213"/>
      <c r="AG687" s="209"/>
      <c r="AH687" s="201"/>
      <c r="AI687" s="200"/>
      <c r="AJ687" s="200"/>
      <c r="AK687" s="209"/>
      <c r="AL687" s="200"/>
      <c r="AM687" s="210"/>
      <c r="AN687" s="210"/>
    </row>
    <row r="688" spans="1:40" x14ac:dyDescent="0.25">
      <c r="A688" s="202"/>
      <c r="C688" s="154"/>
      <c r="D688" s="154"/>
      <c r="E688" s="154"/>
      <c r="F688" s="200"/>
      <c r="H688" s="200"/>
      <c r="I688" s="200"/>
      <c r="J688" s="213"/>
      <c r="K688" s="213"/>
      <c r="L688" s="200"/>
      <c r="M688" s="200"/>
      <c r="N688" s="213"/>
      <c r="O688" s="213"/>
      <c r="P688" s="200"/>
      <c r="Q688" s="200"/>
      <c r="R688" s="200"/>
      <c r="T688" s="154"/>
      <c r="U688" s="154"/>
      <c r="V688" s="200"/>
      <c r="Y688" s="200"/>
      <c r="Z688" s="213"/>
      <c r="AA688" s="200"/>
      <c r="AB688" s="200"/>
      <c r="AC688" s="213"/>
      <c r="AD688" s="213"/>
      <c r="AE688" s="200"/>
      <c r="AF688" s="200"/>
      <c r="AG688" s="209"/>
      <c r="AH688" s="201"/>
      <c r="AI688" s="200"/>
      <c r="AJ688" s="200"/>
      <c r="AK688" s="209"/>
      <c r="AL688" s="200"/>
      <c r="AM688" s="210"/>
      <c r="AN688" s="210"/>
    </row>
    <row r="689" spans="1:40" x14ac:dyDescent="0.25">
      <c r="A689" s="202"/>
      <c r="C689" s="154"/>
      <c r="D689" s="154"/>
      <c r="E689" s="154"/>
      <c r="F689" s="200"/>
      <c r="H689" s="200"/>
      <c r="I689" s="200"/>
      <c r="J689" s="213"/>
      <c r="K689" s="213"/>
      <c r="L689" s="200"/>
      <c r="M689" s="200"/>
      <c r="N689" s="213"/>
      <c r="O689" s="213"/>
      <c r="P689" s="200"/>
      <c r="Q689" s="200"/>
      <c r="R689" s="200"/>
      <c r="T689" s="154"/>
      <c r="U689" s="154"/>
      <c r="V689" s="200"/>
      <c r="Y689" s="200"/>
      <c r="Z689" s="213"/>
      <c r="AA689" s="200"/>
      <c r="AB689" s="200"/>
      <c r="AC689" s="213"/>
      <c r="AD689" s="213"/>
      <c r="AE689" s="200"/>
      <c r="AF689" s="200"/>
      <c r="AG689" s="209"/>
      <c r="AH689" s="201"/>
      <c r="AI689" s="200"/>
      <c r="AJ689" s="200"/>
      <c r="AK689" s="209"/>
      <c r="AL689" s="200"/>
      <c r="AM689" s="210"/>
      <c r="AN689" s="210"/>
    </row>
    <row r="690" spans="1:40" x14ac:dyDescent="0.25">
      <c r="A690" s="202"/>
      <c r="C690" s="154"/>
      <c r="D690" s="154"/>
      <c r="E690" s="154"/>
      <c r="F690" s="200"/>
      <c r="H690" s="200"/>
      <c r="I690" s="200"/>
      <c r="J690" s="213"/>
      <c r="K690" s="213"/>
      <c r="L690" s="200"/>
      <c r="M690" s="200"/>
      <c r="N690" s="213"/>
      <c r="O690" s="213"/>
      <c r="P690" s="200"/>
      <c r="Q690" s="200"/>
      <c r="R690" s="200"/>
      <c r="T690" s="154"/>
      <c r="U690" s="154"/>
      <c r="V690" s="200"/>
      <c r="Y690" s="200"/>
      <c r="Z690" s="213"/>
      <c r="AA690" s="200"/>
      <c r="AB690" s="200"/>
      <c r="AC690" s="213"/>
      <c r="AD690" s="213"/>
      <c r="AE690" s="200"/>
      <c r="AF690" s="200"/>
      <c r="AG690" s="209"/>
      <c r="AH690" s="201"/>
      <c r="AI690" s="200"/>
      <c r="AJ690" s="200"/>
      <c r="AK690" s="209"/>
      <c r="AL690" s="200"/>
      <c r="AM690" s="210"/>
      <c r="AN690" s="210"/>
    </row>
    <row r="691" spans="1:40" x14ac:dyDescent="0.25">
      <c r="A691" s="202"/>
      <c r="C691" s="154"/>
      <c r="D691" s="154"/>
      <c r="E691" s="154"/>
      <c r="F691" s="200"/>
      <c r="H691" s="200"/>
      <c r="I691" s="200"/>
      <c r="J691" s="213"/>
      <c r="K691" s="213"/>
      <c r="L691" s="200"/>
      <c r="M691" s="200"/>
      <c r="N691" s="213"/>
      <c r="O691" s="213"/>
      <c r="P691" s="200"/>
      <c r="Q691" s="200"/>
      <c r="R691" s="200"/>
      <c r="T691" s="154"/>
      <c r="U691" s="154"/>
      <c r="V691" s="200"/>
      <c r="Y691" s="200"/>
      <c r="Z691" s="213"/>
      <c r="AA691" s="200"/>
      <c r="AB691" s="200"/>
      <c r="AC691" s="213"/>
      <c r="AD691" s="213"/>
      <c r="AE691" s="200"/>
      <c r="AF691" s="200"/>
      <c r="AG691" s="209"/>
      <c r="AH691" s="201"/>
      <c r="AI691" s="200"/>
      <c r="AJ691" s="200"/>
      <c r="AK691" s="209"/>
      <c r="AL691" s="200"/>
      <c r="AM691" s="210"/>
      <c r="AN691" s="210"/>
    </row>
    <row r="692" spans="1:40" x14ac:dyDescent="0.25">
      <c r="A692" s="202"/>
      <c r="C692" s="154"/>
      <c r="D692" s="154"/>
      <c r="E692" s="154"/>
      <c r="F692" s="200"/>
      <c r="H692" s="200"/>
      <c r="I692" s="200"/>
      <c r="J692" s="213"/>
      <c r="K692" s="213"/>
      <c r="L692" s="200"/>
      <c r="M692" s="200"/>
      <c r="N692" s="213"/>
      <c r="O692" s="213"/>
      <c r="P692" s="200"/>
      <c r="Q692" s="200"/>
      <c r="R692" s="200"/>
      <c r="T692" s="154"/>
      <c r="U692" s="154"/>
      <c r="V692" s="200"/>
      <c r="Y692" s="200"/>
      <c r="Z692" s="213"/>
      <c r="AA692" s="200"/>
      <c r="AB692" s="200"/>
      <c r="AC692" s="213"/>
      <c r="AD692" s="213"/>
      <c r="AE692" s="200"/>
      <c r="AF692" s="200"/>
      <c r="AG692" s="209"/>
      <c r="AH692" s="201"/>
      <c r="AI692" s="200"/>
      <c r="AJ692" s="200"/>
      <c r="AK692" s="209"/>
      <c r="AL692" s="200"/>
      <c r="AM692" s="210"/>
      <c r="AN692" s="210"/>
    </row>
    <row r="693" spans="1:40" x14ac:dyDescent="0.25">
      <c r="A693" s="202"/>
      <c r="C693" s="154"/>
      <c r="D693" s="154"/>
      <c r="E693" s="154"/>
      <c r="F693" s="200"/>
      <c r="H693" s="200"/>
      <c r="I693" s="200"/>
      <c r="J693" s="213"/>
      <c r="K693" s="213"/>
      <c r="L693" s="200"/>
      <c r="M693" s="200"/>
      <c r="N693" s="213"/>
      <c r="O693" s="213"/>
      <c r="P693" s="200"/>
      <c r="Q693" s="200"/>
      <c r="R693" s="200"/>
      <c r="T693" s="154"/>
      <c r="U693" s="154"/>
      <c r="V693" s="200"/>
      <c r="Y693" s="200"/>
      <c r="Z693" s="213"/>
      <c r="AA693" s="200"/>
      <c r="AB693" s="200"/>
      <c r="AC693" s="213"/>
      <c r="AD693" s="213"/>
      <c r="AE693" s="200"/>
      <c r="AF693" s="200"/>
      <c r="AG693" s="209"/>
      <c r="AH693" s="201"/>
      <c r="AI693" s="200"/>
      <c r="AJ693" s="200"/>
      <c r="AK693" s="209"/>
      <c r="AL693" s="200"/>
      <c r="AM693" s="210"/>
      <c r="AN693" s="210"/>
    </row>
    <row r="694" spans="1:40" x14ac:dyDescent="0.25">
      <c r="F694" s="211"/>
      <c r="H694" s="211"/>
      <c r="I694" s="211"/>
      <c r="J694" s="305"/>
      <c r="K694" s="305"/>
      <c r="L694" s="211"/>
      <c r="M694" s="211"/>
      <c r="N694" s="211"/>
      <c r="O694" s="211"/>
      <c r="P694" s="211"/>
      <c r="Q694" s="211"/>
      <c r="R694" s="211"/>
      <c r="V694" s="211"/>
      <c r="Y694" s="211"/>
      <c r="Z694" s="305"/>
      <c r="AA694" s="211"/>
      <c r="AB694" s="211"/>
      <c r="AC694" s="211"/>
      <c r="AD694" s="211"/>
      <c r="AE694" s="211"/>
      <c r="AF694" s="211"/>
      <c r="AI694" s="211"/>
      <c r="AJ694" s="211"/>
      <c r="AK694" s="212"/>
      <c r="AL694" s="211"/>
      <c r="AM694" s="210"/>
      <c r="AN694" s="210"/>
    </row>
    <row r="695" spans="1:40" x14ac:dyDescent="0.25">
      <c r="A695" s="202"/>
      <c r="C695" s="154"/>
      <c r="F695" s="200"/>
      <c r="H695" s="200"/>
      <c r="I695" s="200"/>
      <c r="J695" s="213"/>
      <c r="K695" s="213"/>
      <c r="L695" s="200"/>
      <c r="M695" s="200"/>
      <c r="N695" s="213"/>
      <c r="O695" s="213"/>
      <c r="P695" s="200"/>
      <c r="Q695" s="200"/>
      <c r="R695" s="200"/>
      <c r="T695" s="154"/>
      <c r="V695" s="200"/>
      <c r="Y695" s="200"/>
      <c r="Z695" s="213"/>
      <c r="AA695" s="200"/>
      <c r="AB695" s="200"/>
      <c r="AC695" s="213"/>
      <c r="AD695" s="213"/>
      <c r="AE695" s="200"/>
      <c r="AF695" s="200"/>
      <c r="AG695" s="209"/>
      <c r="AH695" s="201"/>
      <c r="AI695" s="200"/>
      <c r="AJ695" s="200"/>
      <c r="AK695" s="209"/>
      <c r="AL695" s="200"/>
      <c r="AM695" s="210"/>
      <c r="AN695" s="210"/>
    </row>
    <row r="696" spans="1:40" x14ac:dyDescent="0.25">
      <c r="F696" s="200"/>
      <c r="H696" s="200"/>
      <c r="I696" s="200"/>
      <c r="J696" s="213"/>
      <c r="K696" s="213"/>
      <c r="L696" s="200"/>
      <c r="M696" s="200"/>
      <c r="N696" s="213"/>
      <c r="O696" s="213"/>
      <c r="P696" s="200"/>
      <c r="Q696" s="200"/>
      <c r="R696" s="200"/>
      <c r="V696" s="200"/>
      <c r="Y696" s="200"/>
      <c r="Z696" s="213"/>
      <c r="AA696" s="200"/>
      <c r="AB696" s="200"/>
      <c r="AC696" s="213"/>
      <c r="AD696" s="213"/>
      <c r="AG696" s="209"/>
      <c r="AH696" s="201"/>
      <c r="AI696" s="200"/>
      <c r="AJ696" s="200"/>
      <c r="AK696" s="209"/>
      <c r="AL696" s="200"/>
      <c r="AM696" s="210"/>
      <c r="AN696" s="210"/>
    </row>
    <row r="697" spans="1:40" x14ac:dyDescent="0.25">
      <c r="A697" s="202"/>
      <c r="C697" s="154"/>
      <c r="D697" s="154"/>
      <c r="E697" s="154"/>
      <c r="F697" s="200"/>
      <c r="H697" s="200"/>
      <c r="I697" s="200"/>
      <c r="J697" s="213"/>
      <c r="K697" s="213"/>
      <c r="L697" s="200"/>
      <c r="M697" s="200"/>
      <c r="N697" s="213"/>
      <c r="O697" s="213"/>
      <c r="P697" s="200"/>
      <c r="Q697" s="200"/>
      <c r="R697" s="200"/>
      <c r="T697" s="154"/>
      <c r="U697" s="154"/>
      <c r="V697" s="200"/>
      <c r="Y697" s="200"/>
      <c r="Z697" s="213"/>
      <c r="AA697" s="200"/>
      <c r="AB697" s="200"/>
      <c r="AC697" s="213"/>
      <c r="AD697" s="213"/>
      <c r="AE697" s="200"/>
      <c r="AF697" s="200"/>
      <c r="AG697" s="209"/>
      <c r="AH697" s="201"/>
      <c r="AI697" s="200"/>
      <c r="AJ697" s="200"/>
      <c r="AK697" s="209"/>
      <c r="AL697" s="200"/>
      <c r="AM697" s="210"/>
      <c r="AN697" s="210"/>
    </row>
    <row r="698" spans="1:40" x14ac:dyDescent="0.25">
      <c r="F698" s="211"/>
      <c r="H698" s="211"/>
      <c r="I698" s="211"/>
      <c r="J698" s="305"/>
      <c r="K698" s="305"/>
      <c r="L698" s="211"/>
      <c r="M698" s="211"/>
      <c r="N698" s="211"/>
      <c r="O698" s="211"/>
      <c r="P698" s="211"/>
      <c r="Q698" s="211"/>
      <c r="R698" s="211"/>
      <c r="V698" s="211"/>
      <c r="Y698" s="211"/>
      <c r="Z698" s="305"/>
      <c r="AA698" s="211"/>
      <c r="AB698" s="211"/>
      <c r="AC698" s="211"/>
      <c r="AD698" s="211"/>
      <c r="AE698" s="211"/>
      <c r="AF698" s="211"/>
      <c r="AI698" s="211"/>
      <c r="AJ698" s="211"/>
      <c r="AK698" s="212"/>
      <c r="AL698" s="211"/>
      <c r="AM698" s="210"/>
      <c r="AN698" s="210"/>
    </row>
    <row r="699" spans="1:40" x14ac:dyDescent="0.25">
      <c r="A699" s="202"/>
      <c r="C699" s="154"/>
      <c r="F699" s="200"/>
      <c r="H699" s="200"/>
      <c r="I699" s="200"/>
      <c r="J699" s="213"/>
      <c r="K699" s="213"/>
      <c r="L699" s="200"/>
      <c r="M699" s="200"/>
      <c r="N699" s="213"/>
      <c r="O699" s="213"/>
      <c r="P699" s="200"/>
      <c r="Q699" s="200"/>
      <c r="R699" s="200"/>
      <c r="T699" s="154"/>
      <c r="V699" s="200"/>
      <c r="Y699" s="200"/>
      <c r="Z699" s="213"/>
      <c r="AA699" s="200"/>
      <c r="AB699" s="200"/>
      <c r="AC699" s="213"/>
      <c r="AD699" s="213"/>
      <c r="AE699" s="200"/>
      <c r="AF699" s="200"/>
      <c r="AG699" s="209"/>
      <c r="AH699" s="201"/>
      <c r="AI699" s="200"/>
      <c r="AJ699" s="200"/>
      <c r="AK699" s="209"/>
      <c r="AL699" s="200"/>
      <c r="AM699" s="210"/>
      <c r="AN699" s="210"/>
    </row>
    <row r="700" spans="1:40" x14ac:dyDescent="0.25">
      <c r="F700" s="200"/>
      <c r="H700" s="200"/>
      <c r="I700" s="200"/>
      <c r="J700" s="213"/>
      <c r="K700" s="213"/>
      <c r="L700" s="200"/>
      <c r="M700" s="200"/>
      <c r="N700" s="213"/>
      <c r="O700" s="213"/>
      <c r="P700" s="200"/>
      <c r="Q700" s="200"/>
      <c r="R700" s="200"/>
      <c r="V700" s="200"/>
      <c r="Y700" s="200"/>
      <c r="Z700" s="213"/>
      <c r="AA700" s="200"/>
      <c r="AB700" s="200"/>
      <c r="AC700" s="213"/>
      <c r="AD700" s="213"/>
      <c r="AG700" s="209"/>
      <c r="AH700" s="201"/>
      <c r="AI700" s="200"/>
      <c r="AJ700" s="200"/>
      <c r="AK700" s="209"/>
      <c r="AL700" s="200"/>
      <c r="AM700" s="210"/>
      <c r="AN700" s="210"/>
    </row>
    <row r="701" spans="1:40" x14ac:dyDescent="0.25">
      <c r="A701" s="202"/>
      <c r="C701" s="154"/>
      <c r="D701" s="154"/>
      <c r="E701" s="154"/>
      <c r="F701" s="200"/>
      <c r="H701" s="200"/>
      <c r="I701" s="200"/>
      <c r="J701" s="213"/>
      <c r="K701" s="213"/>
      <c r="L701" s="200"/>
      <c r="M701" s="200"/>
      <c r="N701" s="213"/>
      <c r="O701" s="213"/>
      <c r="P701" s="200"/>
      <c r="Q701" s="200"/>
      <c r="R701" s="200"/>
      <c r="T701" s="154"/>
      <c r="U701" s="154"/>
      <c r="V701" s="200"/>
      <c r="Y701" s="200"/>
      <c r="Z701" s="213"/>
      <c r="AA701" s="200"/>
      <c r="AB701" s="200"/>
      <c r="AC701" s="213"/>
      <c r="AD701" s="213"/>
      <c r="AE701" s="200"/>
      <c r="AF701" s="200"/>
      <c r="AG701" s="209"/>
      <c r="AH701" s="201"/>
      <c r="AI701" s="200"/>
      <c r="AJ701" s="200"/>
      <c r="AK701" s="209"/>
      <c r="AL701" s="200"/>
      <c r="AM701" s="210"/>
      <c r="AN701" s="210"/>
    </row>
    <row r="702" spans="1:40" x14ac:dyDescent="0.25">
      <c r="A702" s="202"/>
      <c r="C702" s="154"/>
      <c r="D702" s="154"/>
      <c r="E702" s="154"/>
      <c r="F702" s="200"/>
      <c r="G702" s="200"/>
      <c r="H702" s="200"/>
      <c r="I702" s="200"/>
      <c r="J702" s="213"/>
      <c r="K702" s="213"/>
      <c r="L702" s="200"/>
      <c r="M702" s="200"/>
      <c r="N702" s="213"/>
      <c r="O702" s="213"/>
      <c r="P702" s="200"/>
      <c r="Q702" s="200"/>
      <c r="R702" s="200"/>
      <c r="T702" s="154"/>
      <c r="U702" s="154"/>
      <c r="V702" s="200"/>
      <c r="W702" s="200"/>
      <c r="X702" s="200"/>
      <c r="Y702" s="200"/>
      <c r="Z702" s="213"/>
      <c r="AA702" s="200"/>
      <c r="AB702" s="200"/>
      <c r="AC702" s="213"/>
      <c r="AD702" s="213"/>
      <c r="AE702" s="200"/>
      <c r="AF702" s="200"/>
      <c r="AG702" s="209"/>
      <c r="AH702" s="201"/>
      <c r="AI702" s="200"/>
      <c r="AJ702" s="200"/>
      <c r="AK702" s="209"/>
      <c r="AL702" s="200"/>
      <c r="AM702" s="210"/>
      <c r="AN702" s="210"/>
    </row>
    <row r="703" spans="1:40" x14ac:dyDescent="0.25">
      <c r="A703" s="202"/>
      <c r="C703" s="154"/>
      <c r="D703" s="154"/>
      <c r="E703" s="154"/>
      <c r="F703" s="200"/>
      <c r="G703" s="200"/>
      <c r="H703" s="200"/>
      <c r="I703" s="200"/>
      <c r="J703" s="213"/>
      <c r="K703" s="213"/>
      <c r="L703" s="200"/>
      <c r="M703" s="200"/>
      <c r="N703" s="213"/>
      <c r="O703" s="213"/>
      <c r="P703" s="200"/>
      <c r="Q703" s="200"/>
      <c r="R703" s="200"/>
      <c r="T703" s="154"/>
      <c r="U703" s="154"/>
      <c r="V703" s="200"/>
      <c r="W703" s="200"/>
      <c r="X703" s="200"/>
      <c r="Y703" s="200"/>
      <c r="Z703" s="213"/>
      <c r="AA703" s="200"/>
      <c r="AB703" s="200"/>
      <c r="AC703" s="213"/>
      <c r="AD703" s="213"/>
      <c r="AE703" s="200"/>
      <c r="AF703" s="200"/>
      <c r="AG703" s="209"/>
      <c r="AH703" s="201"/>
      <c r="AI703" s="200"/>
      <c r="AJ703" s="200"/>
      <c r="AK703" s="209"/>
      <c r="AL703" s="200"/>
      <c r="AM703" s="210"/>
      <c r="AN703" s="210"/>
    </row>
    <row r="704" spans="1:40" x14ac:dyDescent="0.25">
      <c r="A704" s="202"/>
      <c r="C704" s="154"/>
      <c r="D704" s="154"/>
      <c r="E704" s="154"/>
      <c r="F704" s="200"/>
      <c r="H704" s="200"/>
      <c r="I704" s="200"/>
      <c r="J704" s="213"/>
      <c r="K704" s="213"/>
      <c r="L704" s="200"/>
      <c r="M704" s="200"/>
      <c r="N704" s="213"/>
      <c r="O704" s="213"/>
      <c r="P704" s="200"/>
      <c r="Q704" s="200"/>
      <c r="R704" s="200"/>
      <c r="T704" s="154"/>
      <c r="U704" s="154"/>
      <c r="V704" s="200"/>
      <c r="Y704" s="200"/>
      <c r="Z704" s="213"/>
      <c r="AA704" s="200"/>
      <c r="AB704" s="200"/>
      <c r="AC704" s="213"/>
      <c r="AD704" s="213"/>
      <c r="AE704" s="200"/>
      <c r="AF704" s="200"/>
      <c r="AG704" s="209"/>
      <c r="AH704" s="201"/>
      <c r="AI704" s="200"/>
      <c r="AJ704" s="200"/>
      <c r="AK704" s="209"/>
      <c r="AL704" s="200"/>
      <c r="AM704" s="210"/>
      <c r="AN704" s="210"/>
    </row>
    <row r="705" spans="1:40" x14ac:dyDescent="0.25">
      <c r="A705" s="202"/>
      <c r="C705" s="154"/>
      <c r="D705" s="154"/>
      <c r="E705" s="154"/>
      <c r="F705" s="200"/>
      <c r="H705" s="200"/>
      <c r="I705" s="200"/>
      <c r="J705" s="213"/>
      <c r="K705" s="213"/>
      <c r="L705" s="200"/>
      <c r="M705" s="200"/>
      <c r="N705" s="213"/>
      <c r="O705" s="213"/>
      <c r="P705" s="200"/>
      <c r="Q705" s="200"/>
      <c r="R705" s="200"/>
      <c r="T705" s="154"/>
      <c r="U705" s="154"/>
      <c r="V705" s="200"/>
      <c r="Y705" s="200"/>
      <c r="Z705" s="213"/>
      <c r="AA705" s="200"/>
      <c r="AB705" s="200"/>
      <c r="AC705" s="213"/>
      <c r="AD705" s="213"/>
      <c r="AE705" s="200"/>
      <c r="AF705" s="200"/>
      <c r="AG705" s="209"/>
      <c r="AH705" s="201"/>
      <c r="AI705" s="200"/>
      <c r="AJ705" s="200"/>
      <c r="AK705" s="209"/>
      <c r="AL705" s="200"/>
      <c r="AM705" s="210"/>
      <c r="AN705" s="210"/>
    </row>
    <row r="706" spans="1:40" x14ac:dyDescent="0.25">
      <c r="A706" s="202"/>
      <c r="C706" s="154"/>
      <c r="D706" s="154"/>
      <c r="E706" s="154"/>
      <c r="F706" s="200"/>
      <c r="H706" s="200"/>
      <c r="I706" s="200"/>
      <c r="J706" s="213"/>
      <c r="K706" s="213"/>
      <c r="L706" s="200"/>
      <c r="M706" s="200"/>
      <c r="N706" s="213"/>
      <c r="O706" s="213"/>
      <c r="P706" s="200"/>
      <c r="Q706" s="200"/>
      <c r="R706" s="200"/>
      <c r="T706" s="154"/>
      <c r="U706" s="154"/>
      <c r="V706" s="200"/>
      <c r="Y706" s="200"/>
      <c r="Z706" s="213"/>
      <c r="AA706" s="200"/>
      <c r="AB706" s="200"/>
      <c r="AC706" s="213"/>
      <c r="AD706" s="213"/>
      <c r="AE706" s="200"/>
      <c r="AF706" s="200"/>
      <c r="AG706" s="209"/>
      <c r="AH706" s="201"/>
      <c r="AI706" s="200"/>
      <c r="AJ706" s="200"/>
      <c r="AK706" s="209"/>
      <c r="AL706" s="200"/>
      <c r="AM706" s="210"/>
      <c r="AN706" s="210"/>
    </row>
    <row r="707" spans="1:40" x14ac:dyDescent="0.25">
      <c r="A707" s="202"/>
      <c r="C707" s="154"/>
      <c r="D707" s="154"/>
      <c r="E707" s="154"/>
      <c r="F707" s="200"/>
      <c r="H707" s="200"/>
      <c r="I707" s="200"/>
      <c r="J707" s="213"/>
      <c r="K707" s="213"/>
      <c r="L707" s="200"/>
      <c r="M707" s="200"/>
      <c r="N707" s="213"/>
      <c r="O707" s="213"/>
      <c r="P707" s="200"/>
      <c r="Q707" s="200"/>
      <c r="R707" s="200"/>
      <c r="T707" s="154"/>
      <c r="U707" s="154"/>
      <c r="V707" s="200"/>
      <c r="Y707" s="200"/>
      <c r="Z707" s="213"/>
      <c r="AA707" s="200"/>
      <c r="AB707" s="200"/>
      <c r="AC707" s="213"/>
      <c r="AD707" s="213"/>
      <c r="AE707" s="200"/>
      <c r="AF707" s="200"/>
      <c r="AG707" s="209"/>
      <c r="AH707" s="201"/>
      <c r="AI707" s="200"/>
      <c r="AJ707" s="200"/>
      <c r="AK707" s="209"/>
      <c r="AL707" s="200"/>
      <c r="AM707" s="210"/>
      <c r="AN707" s="210"/>
    </row>
    <row r="708" spans="1:40" x14ac:dyDescent="0.25">
      <c r="F708" s="211"/>
      <c r="H708" s="211"/>
      <c r="I708" s="211"/>
      <c r="J708" s="305"/>
      <c r="K708" s="305"/>
      <c r="L708" s="211"/>
      <c r="M708" s="211"/>
      <c r="N708" s="211"/>
      <c r="O708" s="211"/>
      <c r="P708" s="211"/>
      <c r="Q708" s="211"/>
      <c r="R708" s="211"/>
      <c r="V708" s="211"/>
      <c r="Y708" s="211"/>
      <c r="Z708" s="305"/>
      <c r="AA708" s="211"/>
      <c r="AB708" s="211"/>
      <c r="AC708" s="211"/>
      <c r="AD708" s="211"/>
      <c r="AE708" s="211"/>
      <c r="AF708" s="211"/>
      <c r="AI708" s="211"/>
      <c r="AJ708" s="211"/>
      <c r="AK708" s="212"/>
      <c r="AL708" s="211"/>
      <c r="AM708" s="210"/>
      <c r="AN708" s="210"/>
    </row>
    <row r="709" spans="1:40" x14ac:dyDescent="0.25">
      <c r="A709" s="202"/>
      <c r="C709" s="154"/>
      <c r="F709" s="200"/>
      <c r="H709" s="200"/>
      <c r="I709" s="200"/>
      <c r="J709" s="213"/>
      <c r="K709" s="213"/>
      <c r="L709" s="200"/>
      <c r="M709" s="200"/>
      <c r="N709" s="213"/>
      <c r="O709" s="213"/>
      <c r="P709" s="200"/>
      <c r="Q709" s="200"/>
      <c r="R709" s="200"/>
      <c r="T709" s="154"/>
      <c r="V709" s="200"/>
      <c r="Y709" s="200"/>
      <c r="Z709" s="213"/>
      <c r="AA709" s="200"/>
      <c r="AB709" s="200"/>
      <c r="AC709" s="213"/>
      <c r="AD709" s="213"/>
      <c r="AE709" s="200"/>
      <c r="AF709" s="200"/>
      <c r="AG709" s="209"/>
      <c r="AH709" s="201"/>
      <c r="AI709" s="200"/>
      <c r="AJ709" s="200"/>
      <c r="AK709" s="209"/>
      <c r="AL709" s="200"/>
      <c r="AM709" s="210"/>
      <c r="AN709" s="210"/>
    </row>
    <row r="710" spans="1:40" x14ac:dyDescent="0.25">
      <c r="V710" s="200"/>
      <c r="Y710" s="200"/>
      <c r="Z710" s="305"/>
      <c r="AA710" s="200"/>
      <c r="AB710" s="200"/>
      <c r="AC710" s="200"/>
      <c r="AD710" s="200"/>
      <c r="AE710" s="200"/>
      <c r="AF710" s="200"/>
      <c r="AI710" s="200"/>
      <c r="AJ710" s="200"/>
      <c r="AK710" s="209"/>
      <c r="AL710" s="200"/>
      <c r="AM710" s="210"/>
      <c r="AN710" s="210"/>
    </row>
    <row r="711" spans="1:40" x14ac:dyDescent="0.25">
      <c r="A711" s="202"/>
      <c r="C711" s="154"/>
      <c r="D711" s="154"/>
      <c r="E711" s="154"/>
      <c r="L711" s="200"/>
      <c r="M711" s="200"/>
      <c r="N711" s="213"/>
      <c r="O711" s="213"/>
      <c r="P711" s="202"/>
      <c r="Q711" s="202"/>
      <c r="R711" s="200"/>
      <c r="T711" s="154"/>
      <c r="U711" s="154"/>
      <c r="AA711" s="200"/>
      <c r="AB711" s="200"/>
      <c r="AC711" s="213"/>
      <c r="AD711" s="213"/>
      <c r="AE711" s="200"/>
      <c r="AF711" s="200"/>
      <c r="AG711" s="209"/>
      <c r="AH711" s="201"/>
      <c r="AI711" s="202"/>
      <c r="AJ711" s="202"/>
      <c r="AK711" s="209"/>
      <c r="AL711" s="200"/>
      <c r="AM711" s="210"/>
      <c r="AN711" s="210"/>
    </row>
    <row r="712" spans="1:40" x14ac:dyDescent="0.25">
      <c r="A712" s="202"/>
      <c r="D712" s="154"/>
      <c r="E712" s="154"/>
      <c r="F712" s="252"/>
      <c r="H712" s="252"/>
      <c r="I712" s="252"/>
      <c r="J712" s="213"/>
      <c r="K712" s="213"/>
      <c r="L712" s="200"/>
      <c r="M712" s="200"/>
      <c r="N712" s="213"/>
      <c r="O712" s="213"/>
      <c r="P712" s="252"/>
      <c r="Q712" s="252"/>
      <c r="R712" s="200"/>
      <c r="U712" s="154"/>
      <c r="V712" s="200"/>
      <c r="Y712" s="200"/>
      <c r="Z712" s="213"/>
      <c r="AA712" s="200"/>
      <c r="AB712" s="200"/>
      <c r="AC712" s="213"/>
      <c r="AD712" s="213"/>
      <c r="AE712" s="200"/>
      <c r="AF712" s="200"/>
      <c r="AG712" s="209"/>
      <c r="AH712" s="201"/>
      <c r="AI712" s="200"/>
      <c r="AJ712" s="200"/>
      <c r="AK712" s="209"/>
      <c r="AL712" s="200"/>
      <c r="AM712" s="210"/>
      <c r="AN712" s="210"/>
    </row>
    <row r="713" spans="1:40" x14ac:dyDescent="0.25">
      <c r="F713" s="211"/>
      <c r="H713" s="211"/>
      <c r="I713" s="211"/>
      <c r="J713" s="305"/>
      <c r="K713" s="305"/>
      <c r="L713" s="211"/>
      <c r="M713" s="211"/>
      <c r="N713" s="211"/>
      <c r="O713" s="211"/>
      <c r="P713" s="211"/>
      <c r="Q713" s="211"/>
      <c r="R713" s="211"/>
      <c r="V713" s="211"/>
      <c r="Y713" s="211"/>
      <c r="Z713" s="305"/>
      <c r="AA713" s="211"/>
      <c r="AB713" s="211"/>
      <c r="AC713" s="211"/>
      <c r="AD713" s="211"/>
      <c r="AE713" s="211"/>
      <c r="AF713" s="211"/>
      <c r="AI713" s="211"/>
      <c r="AJ713" s="211"/>
      <c r="AK713" s="212"/>
      <c r="AL713" s="211"/>
      <c r="AM713" s="210"/>
      <c r="AN713" s="210"/>
    </row>
    <row r="714" spans="1:40" x14ac:dyDescent="0.25">
      <c r="A714" s="202"/>
      <c r="C714" s="154"/>
      <c r="F714" s="200"/>
      <c r="H714" s="200"/>
      <c r="I714" s="200"/>
      <c r="J714" s="213"/>
      <c r="K714" s="213"/>
      <c r="L714" s="200"/>
      <c r="M714" s="200"/>
      <c r="N714" s="213"/>
      <c r="O714" s="213"/>
      <c r="P714" s="200"/>
      <c r="Q714" s="200"/>
      <c r="R714" s="200"/>
      <c r="T714" s="154"/>
      <c r="V714" s="200"/>
      <c r="Y714" s="200"/>
      <c r="Z714" s="213"/>
      <c r="AA714" s="200"/>
      <c r="AB714" s="200"/>
      <c r="AC714" s="213"/>
      <c r="AD714" s="213"/>
      <c r="AE714" s="200"/>
      <c r="AF714" s="200"/>
      <c r="AG714" s="209"/>
      <c r="AH714" s="201"/>
      <c r="AI714" s="200"/>
      <c r="AJ714" s="200"/>
      <c r="AK714" s="209"/>
      <c r="AL714" s="200"/>
      <c r="AM714" s="210"/>
      <c r="AN714" s="210"/>
    </row>
    <row r="715" spans="1:40" x14ac:dyDescent="0.25">
      <c r="F715" s="200"/>
      <c r="H715" s="200"/>
      <c r="I715" s="200"/>
      <c r="J715" s="213"/>
      <c r="K715" s="213"/>
      <c r="L715" s="200"/>
      <c r="M715" s="200"/>
      <c r="N715" s="213"/>
      <c r="O715" s="213"/>
      <c r="P715" s="200"/>
      <c r="Q715" s="200"/>
      <c r="R715" s="200"/>
      <c r="V715" s="200"/>
      <c r="Y715" s="200"/>
      <c r="Z715" s="213"/>
      <c r="AA715" s="200"/>
      <c r="AB715" s="200"/>
      <c r="AC715" s="213"/>
      <c r="AD715" s="213"/>
      <c r="AG715" s="209"/>
      <c r="AH715" s="201"/>
      <c r="AI715" s="200"/>
      <c r="AJ715" s="200"/>
      <c r="AK715" s="209"/>
      <c r="AL715" s="200"/>
      <c r="AM715" s="210"/>
      <c r="AN715" s="210"/>
    </row>
    <row r="716" spans="1:40" x14ac:dyDescent="0.25">
      <c r="A716" s="202"/>
      <c r="D716" s="154"/>
      <c r="E716" s="154"/>
      <c r="F716" s="200"/>
      <c r="H716" s="200"/>
      <c r="I716" s="200"/>
      <c r="J716" s="213"/>
      <c r="K716" s="213"/>
      <c r="L716" s="252"/>
      <c r="M716" s="252"/>
      <c r="N716" s="213"/>
      <c r="O716" s="213"/>
      <c r="P716" s="200"/>
      <c r="Q716" s="200"/>
      <c r="R716" s="200"/>
      <c r="U716" s="154"/>
      <c r="V716" s="200"/>
      <c r="Y716" s="200"/>
      <c r="Z716" s="213"/>
      <c r="AA716" s="252"/>
      <c r="AB716" s="252"/>
      <c r="AC716" s="213"/>
      <c r="AD716" s="213"/>
      <c r="AE716" s="200"/>
      <c r="AF716" s="200"/>
      <c r="AG716" s="209"/>
      <c r="AH716" s="201"/>
      <c r="AI716" s="200"/>
      <c r="AJ716" s="200"/>
      <c r="AK716" s="209"/>
      <c r="AL716" s="200"/>
      <c r="AM716" s="210"/>
      <c r="AN716" s="210"/>
    </row>
    <row r="717" spans="1:40" x14ac:dyDescent="0.25">
      <c r="A717" s="202"/>
      <c r="D717" s="154"/>
      <c r="E717" s="154"/>
      <c r="F717" s="200"/>
      <c r="H717" s="200"/>
      <c r="I717" s="200"/>
      <c r="J717" s="213"/>
      <c r="K717" s="213"/>
      <c r="L717" s="252"/>
      <c r="M717" s="252"/>
      <c r="N717" s="213"/>
      <c r="O717" s="213"/>
      <c r="P717" s="200"/>
      <c r="Q717" s="200"/>
      <c r="R717" s="200"/>
      <c r="U717" s="154"/>
      <c r="V717" s="200"/>
      <c r="Y717" s="200"/>
      <c r="Z717" s="213"/>
      <c r="AA717" s="252"/>
      <c r="AB717" s="252"/>
      <c r="AC717" s="213"/>
      <c r="AD717" s="213"/>
      <c r="AE717" s="200"/>
      <c r="AF717" s="200"/>
      <c r="AG717" s="209"/>
      <c r="AH717" s="201"/>
      <c r="AI717" s="200"/>
      <c r="AJ717" s="200"/>
      <c r="AK717" s="209"/>
      <c r="AL717" s="200"/>
      <c r="AM717" s="210"/>
      <c r="AN717" s="210"/>
    </row>
    <row r="718" spans="1:40" x14ac:dyDescent="0.25">
      <c r="A718" s="202"/>
      <c r="D718" s="154"/>
      <c r="E718" s="154"/>
      <c r="F718" s="200"/>
      <c r="H718" s="200"/>
      <c r="I718" s="200"/>
      <c r="J718" s="213"/>
      <c r="K718" s="213"/>
      <c r="L718" s="252"/>
      <c r="M718" s="252"/>
      <c r="N718" s="213"/>
      <c r="O718" s="213"/>
      <c r="P718" s="200"/>
      <c r="Q718" s="200"/>
      <c r="R718" s="200"/>
      <c r="U718" s="154"/>
      <c r="V718" s="200"/>
      <c r="Y718" s="200"/>
      <c r="Z718" s="213"/>
      <c r="AA718" s="252"/>
      <c r="AB718" s="252"/>
      <c r="AC718" s="213"/>
      <c r="AD718" s="213"/>
      <c r="AE718" s="200"/>
      <c r="AF718" s="200"/>
      <c r="AG718" s="209"/>
      <c r="AH718" s="201"/>
      <c r="AI718" s="200"/>
      <c r="AJ718" s="200"/>
      <c r="AK718" s="209"/>
      <c r="AL718" s="200"/>
      <c r="AM718" s="210"/>
      <c r="AN718" s="210"/>
    </row>
    <row r="719" spans="1:40" x14ac:dyDescent="0.25">
      <c r="F719" s="211"/>
      <c r="H719" s="211"/>
      <c r="I719" s="211"/>
      <c r="J719" s="305"/>
      <c r="K719" s="305"/>
      <c r="L719" s="211"/>
      <c r="M719" s="211"/>
      <c r="N719" s="211"/>
      <c r="O719" s="211"/>
      <c r="P719" s="211"/>
      <c r="Q719" s="211"/>
      <c r="R719" s="211"/>
      <c r="V719" s="211"/>
      <c r="Y719" s="211"/>
      <c r="Z719" s="305"/>
      <c r="AA719" s="211"/>
      <c r="AB719" s="211"/>
      <c r="AC719" s="211"/>
      <c r="AD719" s="211"/>
      <c r="AE719" s="211"/>
      <c r="AF719" s="211"/>
      <c r="AI719" s="211"/>
      <c r="AJ719" s="211"/>
      <c r="AK719" s="212"/>
      <c r="AL719" s="211"/>
      <c r="AM719" s="210"/>
      <c r="AN719" s="210"/>
    </row>
    <row r="720" spans="1:40" x14ac:dyDescent="0.25">
      <c r="A720" s="202"/>
      <c r="C720" s="154"/>
      <c r="F720" s="200"/>
      <c r="H720" s="200"/>
      <c r="I720" s="200"/>
      <c r="J720" s="213"/>
      <c r="K720" s="213"/>
      <c r="L720" s="200"/>
      <c r="M720" s="200"/>
      <c r="N720" s="213"/>
      <c r="O720" s="213"/>
      <c r="P720" s="200"/>
      <c r="Q720" s="200"/>
      <c r="R720" s="200"/>
      <c r="T720" s="154"/>
      <c r="V720" s="200"/>
      <c r="Y720" s="200"/>
      <c r="Z720" s="213"/>
      <c r="AA720" s="200"/>
      <c r="AB720" s="200"/>
      <c r="AC720" s="213"/>
      <c r="AD720" s="213"/>
      <c r="AE720" s="200"/>
      <c r="AF720" s="200"/>
      <c r="AG720" s="209"/>
      <c r="AH720" s="201"/>
      <c r="AI720" s="200"/>
      <c r="AJ720" s="200"/>
      <c r="AK720" s="209"/>
      <c r="AL720" s="200"/>
      <c r="AM720" s="210"/>
      <c r="AN720" s="210"/>
    </row>
    <row r="721" spans="1:40" x14ac:dyDescent="0.25">
      <c r="F721" s="200"/>
      <c r="H721" s="200"/>
      <c r="I721" s="200"/>
      <c r="J721" s="213"/>
      <c r="K721" s="213"/>
      <c r="L721" s="200"/>
      <c r="M721" s="200"/>
      <c r="N721" s="213"/>
      <c r="O721" s="213"/>
      <c r="P721" s="200"/>
      <c r="Q721" s="200"/>
      <c r="R721" s="200"/>
      <c r="V721" s="200"/>
      <c r="Y721" s="200"/>
      <c r="Z721" s="213"/>
      <c r="AA721" s="200"/>
      <c r="AB721" s="200"/>
      <c r="AC721" s="213"/>
      <c r="AD721" s="213"/>
      <c r="AG721" s="209"/>
      <c r="AH721" s="201"/>
      <c r="AI721" s="200"/>
      <c r="AJ721" s="200"/>
      <c r="AK721" s="209"/>
      <c r="AL721" s="200"/>
      <c r="AM721" s="210"/>
      <c r="AN721" s="210"/>
    </row>
    <row r="722" spans="1:40" x14ac:dyDescent="0.25">
      <c r="A722" s="202"/>
      <c r="C722" s="154"/>
      <c r="F722" s="200"/>
      <c r="H722" s="200"/>
      <c r="I722" s="200"/>
      <c r="J722" s="213"/>
      <c r="K722" s="213"/>
      <c r="L722" s="200"/>
      <c r="M722" s="200"/>
      <c r="N722" s="213"/>
      <c r="O722" s="213"/>
      <c r="P722" s="200"/>
      <c r="Q722" s="200"/>
      <c r="R722" s="200"/>
      <c r="T722" s="154"/>
      <c r="V722" s="200"/>
      <c r="Y722" s="200"/>
      <c r="Z722" s="213"/>
      <c r="AA722" s="200"/>
      <c r="AB722" s="200"/>
      <c r="AC722" s="213"/>
      <c r="AD722" s="213"/>
      <c r="AE722" s="200"/>
      <c r="AF722" s="200"/>
      <c r="AG722" s="209"/>
      <c r="AH722" s="201"/>
      <c r="AI722" s="200"/>
      <c r="AJ722" s="200"/>
      <c r="AK722" s="209"/>
      <c r="AL722" s="200"/>
      <c r="AM722" s="210"/>
      <c r="AN722" s="210"/>
    </row>
    <row r="723" spans="1:40" x14ac:dyDescent="0.25">
      <c r="F723" s="211"/>
      <c r="H723" s="211"/>
      <c r="I723" s="211"/>
      <c r="J723" s="305"/>
      <c r="K723" s="305"/>
      <c r="L723" s="211"/>
      <c r="M723" s="211"/>
      <c r="N723" s="211"/>
      <c r="O723" s="211"/>
      <c r="P723" s="211"/>
      <c r="Q723" s="211"/>
      <c r="R723" s="211"/>
      <c r="V723" s="211"/>
      <c r="Y723" s="211"/>
      <c r="Z723" s="305"/>
      <c r="AA723" s="211"/>
      <c r="AB723" s="211"/>
      <c r="AC723" s="211"/>
      <c r="AD723" s="211"/>
      <c r="AE723" s="211"/>
      <c r="AF723" s="211"/>
      <c r="AI723" s="211"/>
      <c r="AJ723" s="211"/>
      <c r="AK723" s="212"/>
      <c r="AL723" s="211"/>
    </row>
    <row r="725" spans="1:40" x14ac:dyDescent="0.25">
      <c r="C725" s="154"/>
      <c r="L725" s="200"/>
      <c r="M725" s="200"/>
      <c r="P725" s="200"/>
      <c r="Q725" s="200"/>
      <c r="R725" s="200"/>
      <c r="T725" s="154"/>
    </row>
    <row r="726" spans="1:40" x14ac:dyDescent="0.25">
      <c r="A726" s="154"/>
      <c r="L726" s="200"/>
      <c r="M726" s="200"/>
      <c r="P726" s="200"/>
      <c r="Q726" s="200"/>
      <c r="R726" s="200"/>
    </row>
    <row r="727" spans="1:40" x14ac:dyDescent="0.25">
      <c r="L727" s="200"/>
      <c r="M727" s="200"/>
      <c r="P727" s="200"/>
      <c r="Q727" s="200"/>
      <c r="R727" s="200"/>
    </row>
    <row r="728" spans="1:40" x14ac:dyDescent="0.25">
      <c r="L728" s="200"/>
      <c r="M728" s="200"/>
      <c r="P728" s="200"/>
      <c r="Q728" s="200"/>
      <c r="R728" s="200"/>
    </row>
    <row r="729" spans="1:40" x14ac:dyDescent="0.25">
      <c r="L729" s="200"/>
      <c r="M729" s="200"/>
      <c r="P729" s="200"/>
      <c r="Q729" s="200"/>
      <c r="R729" s="200"/>
    </row>
    <row r="730" spans="1:40" x14ac:dyDescent="0.25">
      <c r="L730" s="200"/>
      <c r="M730" s="200"/>
      <c r="P730" s="200"/>
      <c r="Q730" s="200"/>
      <c r="R730" s="200"/>
    </row>
    <row r="731" spans="1:40" x14ac:dyDescent="0.25">
      <c r="L731" s="200"/>
      <c r="M731" s="200"/>
      <c r="P731" s="200"/>
      <c r="Q731" s="200"/>
      <c r="R731" s="200"/>
    </row>
    <row r="764" spans="49:49" x14ac:dyDescent="0.25">
      <c r="AW764" s="200"/>
    </row>
    <row r="765" spans="49:49" x14ac:dyDescent="0.25">
      <c r="AW765" s="200"/>
    </row>
    <row r="766" spans="49:49" x14ac:dyDescent="0.25">
      <c r="AW766" s="200"/>
    </row>
    <row r="767" spans="49:49" x14ac:dyDescent="0.25">
      <c r="AW767" s="200"/>
    </row>
    <row r="768" spans="49:49" x14ac:dyDescent="0.25">
      <c r="AW768" s="200"/>
    </row>
    <row r="769" spans="49:49" x14ac:dyDescent="0.25">
      <c r="AW769" s="200"/>
    </row>
    <row r="772" spans="49:49" x14ac:dyDescent="0.25">
      <c r="AW772" s="200"/>
    </row>
    <row r="773" spans="49:49" x14ac:dyDescent="0.25">
      <c r="AW773" s="200"/>
    </row>
    <row r="774" spans="49:49" x14ac:dyDescent="0.25">
      <c r="AW774" s="200"/>
    </row>
    <row r="775" spans="49:49" x14ac:dyDescent="0.25">
      <c r="AW775" s="200"/>
    </row>
    <row r="776" spans="49:49" x14ac:dyDescent="0.25">
      <c r="AW776" s="200"/>
    </row>
    <row r="777" spans="49:49" x14ac:dyDescent="0.25">
      <c r="AW777" s="200"/>
    </row>
    <row r="778" spans="49:49" x14ac:dyDescent="0.25">
      <c r="AW778" s="200"/>
    </row>
    <row r="779" spans="49:49" x14ac:dyDescent="0.25">
      <c r="AW779" s="200"/>
    </row>
    <row r="782" spans="49:49" x14ac:dyDescent="0.25">
      <c r="AW782" s="200"/>
    </row>
    <row r="783" spans="49:49" x14ac:dyDescent="0.25">
      <c r="AW783" s="200"/>
    </row>
    <row r="786" spans="45:56" x14ac:dyDescent="0.25">
      <c r="AW786" s="200"/>
    </row>
    <row r="787" spans="45:56" x14ac:dyDescent="0.25">
      <c r="AW787" s="200"/>
    </row>
    <row r="788" spans="45:56" x14ac:dyDescent="0.25">
      <c r="AW788" s="200"/>
    </row>
    <row r="789" spans="45:56" x14ac:dyDescent="0.25">
      <c r="AW789" s="200"/>
    </row>
    <row r="795" spans="45:56" x14ac:dyDescent="0.25">
      <c r="AY795" s="202"/>
    </row>
    <row r="796" spans="45:56" x14ac:dyDescent="0.25">
      <c r="AY796" s="202"/>
    </row>
    <row r="797" spans="45:56" x14ac:dyDescent="0.25">
      <c r="AY797" s="154"/>
    </row>
    <row r="798" spans="45:56" x14ac:dyDescent="0.25">
      <c r="AY798" s="154"/>
    </row>
    <row r="799" spans="45:56" x14ac:dyDescent="0.25">
      <c r="AS799" s="202"/>
      <c r="BD799" s="154"/>
    </row>
    <row r="800" spans="45:56" x14ac:dyDescent="0.25">
      <c r="AS800" s="202"/>
      <c r="BD800" s="154"/>
    </row>
    <row r="801" spans="45:69" x14ac:dyDescent="0.25">
      <c r="AS801" s="154"/>
      <c r="BD801" s="154"/>
    </row>
    <row r="802" spans="45:69" x14ac:dyDescent="0.25">
      <c r="BD802" s="202"/>
    </row>
    <row r="803" spans="45:69" x14ac:dyDescent="0.25"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</row>
    <row r="804" spans="45:69" x14ac:dyDescent="0.25">
      <c r="AX804" s="154"/>
    </row>
    <row r="805" spans="45:69" x14ac:dyDescent="0.25">
      <c r="AX805" s="102"/>
      <c r="AY805" s="102"/>
      <c r="AZ805" s="102"/>
      <c r="BA805" s="102"/>
      <c r="BC805" s="103"/>
      <c r="BD805" s="103"/>
    </row>
    <row r="806" spans="45:69" x14ac:dyDescent="0.25">
      <c r="AV806" s="103"/>
      <c r="AW806" s="103"/>
      <c r="AZ806" s="103"/>
      <c r="BA806" s="103"/>
      <c r="BC806" s="103"/>
      <c r="BD806" s="103"/>
      <c r="BE806" s="103"/>
      <c r="BG806" s="102"/>
      <c r="BH806" s="154"/>
      <c r="BK806" s="102"/>
      <c r="BM806" s="102"/>
      <c r="BN806" s="154"/>
      <c r="BQ806" s="102"/>
    </row>
    <row r="807" spans="45:69" x14ac:dyDescent="0.25"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H807" s="103"/>
      <c r="BI807" s="103"/>
      <c r="BJ807" s="103"/>
      <c r="BN807" s="103"/>
      <c r="BO807" s="103"/>
      <c r="BP807" s="103"/>
    </row>
    <row r="808" spans="45:69" x14ac:dyDescent="0.25">
      <c r="AS808" s="103"/>
      <c r="AU808" s="154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G808" s="103"/>
      <c r="BH808" s="103"/>
      <c r="BI808" s="103"/>
      <c r="BJ808" s="103"/>
      <c r="BK808" s="103"/>
      <c r="BM808" s="103"/>
      <c r="BN808" s="103"/>
      <c r="BO808" s="103"/>
      <c r="BP808" s="103"/>
      <c r="BQ808" s="103"/>
    </row>
    <row r="809" spans="45:69" x14ac:dyDescent="0.25">
      <c r="AS809" s="103"/>
      <c r="AU809" s="154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G809" s="103"/>
      <c r="BH809" s="103"/>
      <c r="BI809" s="103"/>
      <c r="BJ809" s="103"/>
      <c r="BK809" s="103"/>
      <c r="BM809" s="103"/>
      <c r="BN809" s="103"/>
      <c r="BO809" s="103"/>
      <c r="BP809" s="103"/>
      <c r="BQ809" s="103"/>
    </row>
    <row r="810" spans="45:69" x14ac:dyDescent="0.25"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G810" s="102"/>
      <c r="BH810" s="102"/>
      <c r="BI810" s="102"/>
      <c r="BJ810" s="102"/>
      <c r="BK810" s="102"/>
      <c r="BM810" s="102"/>
      <c r="BN810" s="102"/>
      <c r="BO810" s="102"/>
      <c r="BP810" s="102"/>
      <c r="BQ810" s="102"/>
    </row>
    <row r="811" spans="45:69" x14ac:dyDescent="0.25"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</row>
    <row r="812" spans="45:69" x14ac:dyDescent="0.25">
      <c r="AS812" s="202"/>
      <c r="AU812" s="154"/>
      <c r="AV812" s="103"/>
      <c r="AY812" s="213"/>
    </row>
    <row r="813" spans="45:69" x14ac:dyDescent="0.25">
      <c r="AS813" s="202"/>
      <c r="AV813" s="103"/>
      <c r="AW813" s="200"/>
      <c r="AX813" s="334"/>
      <c r="AY813" s="334"/>
      <c r="AZ813" s="334"/>
      <c r="BA813" s="210"/>
      <c r="BB813" s="334"/>
      <c r="BC813" s="213"/>
      <c r="BD813" s="213"/>
      <c r="BE813" s="210"/>
      <c r="BG813" s="334"/>
      <c r="BH813" s="334"/>
      <c r="BI813" s="334"/>
      <c r="BJ813" s="334"/>
      <c r="BK813" s="334"/>
      <c r="BM813" s="334"/>
      <c r="BN813" s="334"/>
      <c r="BO813" s="334"/>
      <c r="BP813" s="334"/>
      <c r="BQ813" s="334"/>
    </row>
    <row r="814" spans="45:69" x14ac:dyDescent="0.25">
      <c r="AS814" s="202"/>
      <c r="AV814" s="103"/>
      <c r="AW814" s="200"/>
      <c r="AX814" s="334"/>
      <c r="AY814" s="334"/>
      <c r="AZ814" s="334"/>
      <c r="BA814" s="210"/>
      <c r="BB814" s="334"/>
      <c r="BC814" s="213"/>
      <c r="BD814" s="213"/>
      <c r="BE814" s="210"/>
      <c r="BG814" s="334"/>
      <c r="BH814" s="334"/>
      <c r="BI814" s="334"/>
      <c r="BJ814" s="334"/>
      <c r="BK814" s="334"/>
      <c r="BM814" s="334"/>
      <c r="BN814" s="334"/>
      <c r="BO814" s="334"/>
      <c r="BP814" s="334"/>
      <c r="BQ814" s="334"/>
    </row>
    <row r="815" spans="45:69" x14ac:dyDescent="0.25">
      <c r="AS815" s="202"/>
      <c r="AV815" s="103"/>
      <c r="AW815" s="200"/>
      <c r="AX815" s="334"/>
      <c r="AY815" s="334"/>
      <c r="AZ815" s="334"/>
      <c r="BA815" s="210"/>
      <c r="BB815" s="334"/>
      <c r="BC815" s="213"/>
      <c r="BD815" s="213"/>
      <c r="BE815" s="210"/>
      <c r="BG815" s="334"/>
      <c r="BH815" s="334"/>
      <c r="BI815" s="334"/>
      <c r="BJ815" s="334"/>
      <c r="BK815" s="334"/>
      <c r="BM815" s="334"/>
      <c r="BN815" s="334"/>
      <c r="BO815" s="334"/>
      <c r="BP815" s="334"/>
      <c r="BQ815" s="334"/>
    </row>
    <row r="816" spans="45:69" x14ac:dyDescent="0.25">
      <c r="AS816" s="202"/>
      <c r="AV816" s="103"/>
      <c r="AW816" s="200"/>
      <c r="AX816" s="334"/>
      <c r="AY816" s="334"/>
      <c r="AZ816" s="334"/>
      <c r="BA816" s="210"/>
      <c r="BB816" s="334"/>
      <c r="BC816" s="213"/>
      <c r="BD816" s="213"/>
      <c r="BE816" s="210"/>
      <c r="BG816" s="334"/>
      <c r="BH816" s="334"/>
      <c r="BI816" s="334"/>
      <c r="BJ816" s="334"/>
      <c r="BK816" s="334"/>
      <c r="BM816" s="334"/>
      <c r="BN816" s="334"/>
      <c r="BO816" s="334"/>
      <c r="BP816" s="334"/>
      <c r="BQ816" s="334"/>
    </row>
    <row r="817" spans="45:69" x14ac:dyDescent="0.25">
      <c r="AS817" s="202"/>
      <c r="AV817" s="103"/>
      <c r="AW817" s="200"/>
      <c r="AX817" s="334"/>
      <c r="AY817" s="334"/>
      <c r="AZ817" s="334"/>
      <c r="BA817" s="210"/>
      <c r="BB817" s="334"/>
      <c r="BC817" s="213"/>
      <c r="BD817" s="213"/>
      <c r="BE817" s="210"/>
      <c r="BG817" s="334"/>
      <c r="BH817" s="334"/>
      <c r="BI817" s="334"/>
      <c r="BJ817" s="334"/>
      <c r="BK817" s="334"/>
      <c r="BM817" s="334"/>
      <c r="BN817" s="334"/>
      <c r="BO817" s="334"/>
      <c r="BP817" s="334"/>
      <c r="BQ817" s="334"/>
    </row>
    <row r="818" spans="45:69" x14ac:dyDescent="0.25">
      <c r="AS818" s="202"/>
      <c r="AV818" s="103"/>
      <c r="AW818" s="200"/>
      <c r="AX818" s="334"/>
      <c r="AY818" s="334"/>
      <c r="AZ818" s="334"/>
      <c r="BA818" s="210"/>
      <c r="BB818" s="334"/>
      <c r="BC818" s="213"/>
      <c r="BD818" s="213"/>
      <c r="BE818" s="210"/>
      <c r="BG818" s="334"/>
      <c r="BH818" s="334"/>
      <c r="BI818" s="334"/>
      <c r="BJ818" s="334"/>
      <c r="BK818" s="334"/>
      <c r="BM818" s="334"/>
      <c r="BN818" s="334"/>
      <c r="BO818" s="334"/>
      <c r="BP818" s="334"/>
      <c r="BQ818" s="334"/>
    </row>
    <row r="819" spans="45:69" x14ac:dyDescent="0.25">
      <c r="AS819" s="202"/>
      <c r="AV819" s="103"/>
      <c r="AW819" s="200"/>
      <c r="AX819" s="334"/>
      <c r="AY819" s="334"/>
      <c r="AZ819" s="334"/>
      <c r="BA819" s="210"/>
      <c r="BB819" s="334"/>
      <c r="BC819" s="213"/>
      <c r="BD819" s="213"/>
      <c r="BE819" s="210"/>
      <c r="BG819" s="334"/>
      <c r="BH819" s="334"/>
      <c r="BI819" s="334"/>
      <c r="BJ819" s="334"/>
      <c r="BK819" s="334"/>
      <c r="BM819" s="334"/>
      <c r="BN819" s="334"/>
      <c r="BO819" s="334"/>
      <c r="BP819" s="334"/>
      <c r="BQ819" s="334"/>
    </row>
    <row r="820" spans="45:69" x14ac:dyDescent="0.25">
      <c r="AY820" s="213"/>
      <c r="AZ820" s="334"/>
      <c r="BA820" s="210"/>
      <c r="BB820" s="334"/>
      <c r="BC820" s="213"/>
      <c r="BD820" s="213"/>
      <c r="BE820" s="210"/>
      <c r="BK820" s="334"/>
      <c r="BQ820" s="334"/>
    </row>
    <row r="821" spans="45:69" x14ac:dyDescent="0.25">
      <c r="AS821" s="202"/>
      <c r="AV821" s="103"/>
      <c r="AY821" s="213"/>
      <c r="AZ821" s="334"/>
      <c r="BA821" s="210"/>
      <c r="BB821" s="334"/>
      <c r="BC821" s="213"/>
      <c r="BD821" s="213"/>
      <c r="BE821" s="210"/>
      <c r="BK821" s="334"/>
      <c r="BQ821" s="334"/>
    </row>
    <row r="822" spans="45:69" x14ac:dyDescent="0.25">
      <c r="AS822" s="202"/>
      <c r="AV822" s="103"/>
      <c r="AW822" s="200"/>
      <c r="AX822" s="334"/>
      <c r="AY822" s="334"/>
      <c r="AZ822" s="334"/>
      <c r="BA822" s="210"/>
      <c r="BB822" s="334"/>
      <c r="BC822" s="213"/>
      <c r="BD822" s="213"/>
      <c r="BE822" s="210"/>
      <c r="BG822" s="334"/>
      <c r="BH822" s="334"/>
      <c r="BI822" s="334"/>
      <c r="BJ822" s="334"/>
      <c r="BK822" s="334"/>
      <c r="BM822" s="334"/>
      <c r="BN822" s="334"/>
      <c r="BO822" s="334"/>
      <c r="BP822" s="334"/>
      <c r="BQ822" s="334"/>
    </row>
    <row r="823" spans="45:69" x14ac:dyDescent="0.25">
      <c r="AS823" s="202"/>
      <c r="AV823" s="103"/>
      <c r="AW823" s="200"/>
      <c r="AX823" s="334"/>
      <c r="AY823" s="334"/>
      <c r="AZ823" s="334"/>
      <c r="BA823" s="210"/>
      <c r="BB823" s="334"/>
      <c r="BC823" s="213"/>
      <c r="BD823" s="213"/>
      <c r="BE823" s="210"/>
      <c r="BG823" s="334"/>
      <c r="BH823" s="334"/>
      <c r="BI823" s="334"/>
      <c r="BJ823" s="334"/>
      <c r="BK823" s="334"/>
      <c r="BM823" s="334"/>
      <c r="BN823" s="334"/>
      <c r="BO823" s="334"/>
      <c r="BP823" s="334"/>
      <c r="BQ823" s="334"/>
    </row>
    <row r="824" spans="45:69" x14ac:dyDescent="0.25">
      <c r="AS824" s="202"/>
      <c r="AV824" s="103"/>
      <c r="AW824" s="200"/>
      <c r="AX824" s="334"/>
      <c r="AY824" s="334"/>
      <c r="AZ824" s="334"/>
      <c r="BA824" s="210"/>
      <c r="BB824" s="334"/>
      <c r="BC824" s="213"/>
      <c r="BD824" s="213"/>
      <c r="BE824" s="210"/>
      <c r="BG824" s="334"/>
      <c r="BH824" s="334"/>
      <c r="BI824" s="334"/>
      <c r="BJ824" s="334"/>
      <c r="BK824" s="334"/>
      <c r="BM824" s="334"/>
      <c r="BN824" s="334"/>
      <c r="BO824" s="334"/>
      <c r="BP824" s="334"/>
      <c r="BQ824" s="334"/>
    </row>
    <row r="825" spans="45:69" x14ac:dyDescent="0.25">
      <c r="AS825" s="202"/>
      <c r="AV825" s="103"/>
      <c r="AW825" s="200"/>
      <c r="AX825" s="334"/>
      <c r="AY825" s="334"/>
      <c r="AZ825" s="334"/>
      <c r="BA825" s="210"/>
      <c r="BB825" s="334"/>
      <c r="BC825" s="213"/>
      <c r="BD825" s="213"/>
      <c r="BE825" s="210"/>
      <c r="BG825" s="334"/>
      <c r="BH825" s="334"/>
      <c r="BI825" s="334"/>
      <c r="BJ825" s="334"/>
      <c r="BK825" s="334"/>
      <c r="BM825" s="334"/>
      <c r="BN825" s="334"/>
      <c r="BO825" s="334"/>
      <c r="BP825" s="334"/>
      <c r="BQ825" s="334"/>
    </row>
    <row r="826" spans="45:69" x14ac:dyDescent="0.25">
      <c r="AS826" s="202"/>
      <c r="AV826" s="103"/>
      <c r="AW826" s="200"/>
      <c r="AX826" s="334"/>
      <c r="AY826" s="334"/>
      <c r="AZ826" s="334"/>
      <c r="BA826" s="210"/>
      <c r="BB826" s="334"/>
      <c r="BC826" s="213"/>
      <c r="BD826" s="213"/>
      <c r="BE826" s="210"/>
      <c r="BG826" s="334"/>
      <c r="BH826" s="334"/>
      <c r="BI826" s="334"/>
      <c r="BJ826" s="334"/>
      <c r="BK826" s="334"/>
      <c r="BM826" s="334"/>
      <c r="BN826" s="334"/>
      <c r="BO826" s="334"/>
      <c r="BP826" s="334"/>
      <c r="BQ826" s="334"/>
    </row>
    <row r="827" spans="45:69" x14ac:dyDescent="0.25">
      <c r="AS827" s="202"/>
      <c r="AV827" s="103"/>
      <c r="AW827" s="200"/>
      <c r="AX827" s="334"/>
      <c r="AY827" s="334"/>
      <c r="AZ827" s="334"/>
      <c r="BA827" s="210"/>
      <c r="BB827" s="334"/>
      <c r="BC827" s="213"/>
      <c r="BD827" s="213"/>
      <c r="BE827" s="210"/>
      <c r="BG827" s="334"/>
      <c r="BH827" s="334"/>
      <c r="BI827" s="334"/>
      <c r="BJ827" s="334"/>
      <c r="BK827" s="334"/>
      <c r="BM827" s="334"/>
      <c r="BN827" s="334"/>
      <c r="BO827" s="334"/>
      <c r="BP827" s="334"/>
      <c r="BQ827" s="334"/>
    </row>
    <row r="828" spans="45:69" x14ac:dyDescent="0.25">
      <c r="AS828" s="202"/>
      <c r="AV828" s="103"/>
      <c r="AW828" s="200"/>
      <c r="AX828" s="334"/>
      <c r="AY828" s="334"/>
      <c r="AZ828" s="334"/>
      <c r="BA828" s="210"/>
      <c r="BB828" s="334"/>
      <c r="BC828" s="213"/>
      <c r="BD828" s="213"/>
      <c r="BE828" s="210"/>
      <c r="BG828" s="334"/>
      <c r="BH828" s="334"/>
      <c r="BI828" s="334"/>
      <c r="BJ828" s="334"/>
      <c r="BK828" s="334"/>
      <c r="BM828" s="334"/>
      <c r="BN828" s="334"/>
      <c r="BO828" s="334"/>
      <c r="BP828" s="334"/>
      <c r="BQ828" s="334"/>
    </row>
    <row r="829" spans="45:69" x14ac:dyDescent="0.25">
      <c r="AS829" s="202"/>
      <c r="AV829" s="103"/>
      <c r="AW829" s="200"/>
      <c r="AX829" s="334"/>
      <c r="AY829" s="334"/>
      <c r="AZ829" s="334"/>
      <c r="BA829" s="210"/>
      <c r="BB829" s="334"/>
      <c r="BC829" s="213"/>
      <c r="BD829" s="213"/>
      <c r="BE829" s="210"/>
      <c r="BG829" s="334"/>
      <c r="BH829" s="334"/>
      <c r="BI829" s="334"/>
      <c r="BJ829" s="334"/>
      <c r="BK829" s="334"/>
      <c r="BM829" s="334"/>
      <c r="BN829" s="334"/>
      <c r="BO829" s="334"/>
      <c r="BP829" s="334"/>
      <c r="BQ829" s="334"/>
    </row>
    <row r="830" spans="45:69" x14ac:dyDescent="0.25">
      <c r="AY830" s="213"/>
      <c r="AZ830" s="334"/>
      <c r="BA830" s="210"/>
      <c r="BB830" s="334"/>
      <c r="BC830" s="213"/>
      <c r="BD830" s="213"/>
      <c r="BE830" s="210"/>
      <c r="BK830" s="334"/>
      <c r="BQ830" s="334"/>
    </row>
    <row r="831" spans="45:69" x14ac:dyDescent="0.25">
      <c r="AU831" s="154"/>
      <c r="AZ831" s="334"/>
      <c r="BB831" s="334"/>
      <c r="BG831" s="334"/>
      <c r="BH831" s="334"/>
      <c r="BJ831" s="334"/>
      <c r="BK831" s="334"/>
    </row>
    <row r="832" spans="45:69" x14ac:dyDescent="0.25">
      <c r="AZ832" s="334"/>
      <c r="BB832" s="334"/>
    </row>
    <row r="833" spans="45:75" x14ac:dyDescent="0.25">
      <c r="AS833" s="154"/>
      <c r="AZ833" s="334"/>
      <c r="BB833" s="334"/>
      <c r="BI833" s="334"/>
    </row>
    <row r="834" spans="45:75" x14ac:dyDescent="0.25">
      <c r="AY834" s="202"/>
      <c r="AZ834" s="334"/>
      <c r="BB834" s="334"/>
    </row>
    <row r="835" spans="45:75" x14ac:dyDescent="0.25">
      <c r="AY835" s="334"/>
      <c r="BB835" s="334"/>
    </row>
    <row r="836" spans="45:75" x14ac:dyDescent="0.25">
      <c r="AY836" s="154"/>
      <c r="AZ836" s="334"/>
      <c r="BB836" s="334"/>
    </row>
    <row r="837" spans="45:75" x14ac:dyDescent="0.25">
      <c r="AY837" s="154"/>
      <c r="AZ837" s="334"/>
      <c r="BB837" s="334"/>
    </row>
    <row r="838" spans="45:75" x14ac:dyDescent="0.25">
      <c r="AS838" s="202"/>
      <c r="AZ838" s="334"/>
      <c r="BB838" s="334"/>
      <c r="BD838" s="154"/>
    </row>
    <row r="839" spans="45:75" x14ac:dyDescent="0.25">
      <c r="AS839" s="202"/>
      <c r="AZ839" s="334"/>
      <c r="BB839" s="334"/>
      <c r="BD839" s="154"/>
    </row>
    <row r="840" spans="45:75" x14ac:dyDescent="0.25">
      <c r="AS840" s="154"/>
      <c r="AZ840" s="334"/>
      <c r="BB840" s="334"/>
      <c r="BD840" s="154"/>
    </row>
    <row r="841" spans="45:75" x14ac:dyDescent="0.25">
      <c r="AZ841" s="334"/>
      <c r="BB841" s="334"/>
      <c r="BD841" s="202"/>
    </row>
    <row r="842" spans="45:75" x14ac:dyDescent="0.25">
      <c r="AS842" s="102"/>
      <c r="AT842" s="102"/>
      <c r="AU842" s="102"/>
      <c r="AV842" s="102"/>
      <c r="AW842" s="102"/>
      <c r="AX842" s="102"/>
      <c r="AY842" s="102"/>
      <c r="AZ842" s="335"/>
      <c r="BA842" s="102"/>
      <c r="BB842" s="335"/>
      <c r="BC842" s="102"/>
      <c r="BD842" s="102"/>
      <c r="BE842" s="102"/>
    </row>
    <row r="843" spans="45:75" x14ac:dyDescent="0.25">
      <c r="AX843" s="154"/>
      <c r="AZ843" s="334"/>
      <c r="BB843" s="334"/>
    </row>
    <row r="844" spans="45:75" x14ac:dyDescent="0.25">
      <c r="AX844" s="102"/>
      <c r="AY844" s="102"/>
      <c r="AZ844" s="335"/>
      <c r="BA844" s="102"/>
      <c r="BB844" s="334"/>
      <c r="BC844" s="103"/>
      <c r="BD844" s="103"/>
    </row>
    <row r="845" spans="45:75" x14ac:dyDescent="0.25">
      <c r="AV845" s="103"/>
      <c r="AW845" s="103"/>
      <c r="AZ845" s="336"/>
      <c r="BA845" s="103"/>
      <c r="BB845" s="334"/>
      <c r="BC845" s="103"/>
      <c r="BD845" s="103"/>
      <c r="BE845" s="103"/>
      <c r="BG845" s="102"/>
      <c r="BH845" s="102"/>
      <c r="BI845" s="154"/>
      <c r="BM845" s="102"/>
      <c r="BN845" s="102"/>
      <c r="BP845" s="102"/>
      <c r="BQ845" s="102"/>
      <c r="BR845" s="154"/>
      <c r="BV845" s="102"/>
      <c r="BW845" s="102"/>
    </row>
    <row r="846" spans="45:75" x14ac:dyDescent="0.25">
      <c r="AV846" s="103"/>
      <c r="AW846" s="103"/>
      <c r="AX846" s="103"/>
      <c r="AY846" s="103"/>
      <c r="AZ846" s="336"/>
      <c r="BA846" s="103"/>
      <c r="BB846" s="336"/>
      <c r="BC846" s="103"/>
      <c r="BD846" s="103"/>
      <c r="BE846" s="103"/>
      <c r="BH846" s="103"/>
      <c r="BI846" s="103"/>
      <c r="BJ846" s="103"/>
      <c r="BK846" s="103"/>
      <c r="BL846" s="103"/>
      <c r="BM846" s="103"/>
      <c r="BQ846" s="103"/>
      <c r="BR846" s="103"/>
      <c r="BS846" s="103"/>
      <c r="BT846" s="103"/>
      <c r="BU846" s="103"/>
      <c r="BV846" s="103"/>
    </row>
    <row r="847" spans="45:75" x14ac:dyDescent="0.25">
      <c r="AS847" s="103"/>
      <c r="AU847" s="154"/>
      <c r="AV847" s="103"/>
      <c r="AW847" s="103"/>
      <c r="AX847" s="103"/>
      <c r="AY847" s="103"/>
      <c r="AZ847" s="336"/>
      <c r="BA847" s="103"/>
      <c r="BB847" s="336"/>
      <c r="BC847" s="103"/>
      <c r="BD847" s="103"/>
      <c r="BE847" s="103"/>
      <c r="BG847" s="103"/>
      <c r="BH847" s="103"/>
      <c r="BI847" s="103"/>
      <c r="BJ847" s="103"/>
      <c r="BK847" s="103"/>
      <c r="BL847" s="103"/>
      <c r="BM847" s="103"/>
      <c r="BN847" s="103"/>
      <c r="BP847" s="103"/>
      <c r="BQ847" s="103"/>
      <c r="BR847" s="103"/>
      <c r="BS847" s="103"/>
      <c r="BT847" s="103"/>
      <c r="BU847" s="103"/>
      <c r="BV847" s="103"/>
      <c r="BW847" s="103"/>
    </row>
    <row r="848" spans="45:75" x14ac:dyDescent="0.25">
      <c r="AS848" s="103"/>
      <c r="AU848" s="154"/>
      <c r="AV848" s="103"/>
      <c r="AW848" s="103"/>
      <c r="AX848" s="103"/>
      <c r="AY848" s="103"/>
      <c r="AZ848" s="336"/>
      <c r="BA848" s="103"/>
      <c r="BB848" s="336"/>
      <c r="BC848" s="103"/>
      <c r="BD848" s="103"/>
      <c r="BE848" s="103"/>
      <c r="BG848" s="103"/>
      <c r="BH848" s="103"/>
      <c r="BI848" s="103"/>
      <c r="BJ848" s="103"/>
      <c r="BK848" s="103"/>
      <c r="BL848" s="103"/>
      <c r="BM848" s="103"/>
      <c r="BN848" s="103"/>
      <c r="BP848" s="103"/>
      <c r="BQ848" s="103"/>
      <c r="BR848" s="103"/>
      <c r="BS848" s="103"/>
      <c r="BT848" s="103"/>
      <c r="BU848" s="103"/>
      <c r="BV848" s="103"/>
      <c r="BW848" s="103"/>
    </row>
    <row r="849" spans="45:75" x14ac:dyDescent="0.25">
      <c r="AS849" s="102"/>
      <c r="AT849" s="102"/>
      <c r="AU849" s="102"/>
      <c r="AV849" s="102"/>
      <c r="AW849" s="102"/>
      <c r="AX849" s="102"/>
      <c r="AY849" s="102"/>
      <c r="AZ849" s="335"/>
      <c r="BA849" s="102"/>
      <c r="BB849" s="335"/>
      <c r="BC849" s="102"/>
      <c r="BD849" s="102"/>
      <c r="BE849" s="102"/>
      <c r="BG849" s="102"/>
      <c r="BH849" s="102"/>
      <c r="BI849" s="102"/>
      <c r="BJ849" s="102"/>
      <c r="BK849" s="102"/>
      <c r="BL849" s="102"/>
      <c r="BM849" s="102"/>
      <c r="BN849" s="102"/>
      <c r="BP849" s="102"/>
      <c r="BQ849" s="102"/>
      <c r="BR849" s="102"/>
      <c r="BS849" s="102"/>
      <c r="BT849" s="102"/>
      <c r="BU849" s="102"/>
      <c r="BV849" s="102"/>
      <c r="BW849" s="102"/>
    </row>
    <row r="850" spans="45:75" x14ac:dyDescent="0.25">
      <c r="AV850" s="103"/>
      <c r="AW850" s="103"/>
      <c r="AX850" s="103"/>
      <c r="AY850" s="103"/>
      <c r="AZ850" s="336"/>
      <c r="BA850" s="103"/>
      <c r="BB850" s="336"/>
      <c r="BC850" s="103"/>
      <c r="BD850" s="103"/>
      <c r="BE850" s="103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  <c r="BT850" s="334"/>
      <c r="BU850" s="334"/>
      <c r="BV850" s="334"/>
      <c r="BW850" s="334"/>
    </row>
    <row r="851" spans="45:75" x14ac:dyDescent="0.25">
      <c r="AS851" s="202"/>
      <c r="AU851" s="154"/>
      <c r="AV851" s="202"/>
      <c r="AW851" s="200"/>
      <c r="AX851" s="334"/>
      <c r="AY851" s="334"/>
      <c r="AZ851" s="334"/>
      <c r="BA851" s="201"/>
      <c r="BB851" s="334"/>
      <c r="BC851" s="334"/>
      <c r="BD851" s="334"/>
      <c r="BE851" s="201"/>
      <c r="BG851" s="334"/>
      <c r="BH851" s="334"/>
      <c r="BI851" s="334"/>
      <c r="BJ851" s="334"/>
      <c r="BK851" s="334"/>
      <c r="BL851" s="334"/>
      <c r="BM851" s="334"/>
      <c r="BN851" s="334"/>
      <c r="BO851" s="334"/>
      <c r="BP851" s="334"/>
      <c r="BQ851" s="334"/>
      <c r="BR851" s="334"/>
      <c r="BS851" s="334"/>
      <c r="BT851" s="334"/>
      <c r="BU851" s="334"/>
      <c r="BV851" s="334"/>
      <c r="BW851" s="334"/>
    </row>
    <row r="852" spans="45:75" x14ac:dyDescent="0.25">
      <c r="AS852" s="202"/>
      <c r="AV852" s="202"/>
      <c r="AW852" s="200"/>
      <c r="AX852" s="334"/>
      <c r="AY852" s="334"/>
      <c r="AZ852" s="334"/>
      <c r="BA852" s="201"/>
      <c r="BB852" s="334"/>
      <c r="BC852" s="334"/>
      <c r="BD852" s="334"/>
      <c r="BE852" s="201"/>
      <c r="BG852" s="334"/>
      <c r="BH852" s="334"/>
      <c r="BI852" s="334"/>
      <c r="BJ852" s="334"/>
      <c r="BK852" s="334"/>
      <c r="BL852" s="334"/>
      <c r="BM852" s="334"/>
      <c r="BN852" s="334"/>
      <c r="BO852" s="334"/>
      <c r="BP852" s="334"/>
      <c r="BQ852" s="334"/>
      <c r="BR852" s="334"/>
      <c r="BS852" s="334"/>
      <c r="BT852" s="334"/>
      <c r="BU852" s="334"/>
      <c r="BV852" s="334"/>
      <c r="BW852" s="334"/>
    </row>
    <row r="853" spans="45:75" x14ac:dyDescent="0.25">
      <c r="AS853" s="202"/>
      <c r="AV853" s="202"/>
      <c r="AW853" s="200"/>
      <c r="AX853" s="334"/>
      <c r="AY853" s="334"/>
      <c r="AZ853" s="334"/>
      <c r="BA853" s="201"/>
      <c r="BB853" s="334"/>
      <c r="BC853" s="334"/>
      <c r="BD853" s="334"/>
      <c r="BE853" s="201"/>
      <c r="BG853" s="334"/>
      <c r="BH853" s="334"/>
      <c r="BI853" s="334"/>
      <c r="BJ853" s="334"/>
      <c r="BK853" s="334"/>
      <c r="BL853" s="334"/>
      <c r="BM853" s="334"/>
      <c r="BN853" s="334"/>
      <c r="BO853" s="334"/>
      <c r="BP853" s="334"/>
      <c r="BQ853" s="334"/>
      <c r="BR853" s="334"/>
      <c r="BS853" s="334"/>
      <c r="BT853" s="334"/>
      <c r="BU853" s="334"/>
      <c r="BV853" s="334"/>
      <c r="BW853" s="334"/>
    </row>
    <row r="854" spans="45:75" x14ac:dyDescent="0.25">
      <c r="AS854" s="202"/>
      <c r="AV854" s="202"/>
      <c r="AW854" s="200"/>
      <c r="AX854" s="334"/>
      <c r="AY854" s="334"/>
      <c r="AZ854" s="334"/>
      <c r="BA854" s="201"/>
      <c r="BB854" s="334"/>
      <c r="BC854" s="334"/>
      <c r="BD854" s="334"/>
      <c r="BE854" s="201"/>
      <c r="BG854" s="334"/>
      <c r="BH854" s="334"/>
      <c r="BI854" s="334"/>
      <c r="BJ854" s="334"/>
      <c r="BK854" s="334"/>
      <c r="BL854" s="334"/>
      <c r="BM854" s="334"/>
      <c r="BN854" s="334"/>
      <c r="BO854" s="334"/>
      <c r="BP854" s="334"/>
      <c r="BQ854" s="334"/>
      <c r="BR854" s="334"/>
      <c r="BS854" s="334"/>
      <c r="BT854" s="334"/>
      <c r="BU854" s="334"/>
      <c r="BV854" s="334"/>
      <c r="BW854" s="334"/>
    </row>
    <row r="855" spans="45:75" x14ac:dyDescent="0.25">
      <c r="AS855" s="202"/>
      <c r="AV855" s="202"/>
      <c r="AW855" s="200"/>
      <c r="AX855" s="334"/>
      <c r="AY855" s="334"/>
      <c r="AZ855" s="334"/>
      <c r="BA855" s="201"/>
      <c r="BB855" s="334"/>
      <c r="BC855" s="334"/>
      <c r="BD855" s="334"/>
      <c r="BE855" s="201"/>
      <c r="BG855" s="334"/>
      <c r="BH855" s="334"/>
      <c r="BI855" s="334"/>
      <c r="BJ855" s="334"/>
      <c r="BK855" s="334"/>
      <c r="BL855" s="334"/>
      <c r="BM855" s="334"/>
      <c r="BN855" s="334"/>
      <c r="BO855" s="334"/>
      <c r="BP855" s="334"/>
      <c r="BQ855" s="334"/>
      <c r="BR855" s="334"/>
      <c r="BS855" s="334"/>
      <c r="BT855" s="334"/>
      <c r="BU855" s="334"/>
      <c r="BV855" s="334"/>
      <c r="BW855" s="334"/>
    </row>
    <row r="856" spans="45:75" x14ac:dyDescent="0.25">
      <c r="AS856" s="202"/>
      <c r="AV856" s="202"/>
      <c r="AW856" s="200"/>
      <c r="AX856" s="334"/>
      <c r="AY856" s="334"/>
      <c r="AZ856" s="334"/>
      <c r="BA856" s="201"/>
      <c r="BB856" s="334"/>
      <c r="BC856" s="334"/>
      <c r="BD856" s="334"/>
      <c r="BE856" s="201"/>
      <c r="BG856" s="334"/>
      <c r="BH856" s="334"/>
      <c r="BI856" s="334"/>
      <c r="BJ856" s="334"/>
      <c r="BK856" s="334"/>
      <c r="BL856" s="334"/>
      <c r="BM856" s="334"/>
      <c r="BN856" s="334"/>
      <c r="BO856" s="334"/>
      <c r="BP856" s="334"/>
      <c r="BQ856" s="334"/>
      <c r="BR856" s="334"/>
      <c r="BS856" s="334"/>
      <c r="BT856" s="334"/>
      <c r="BU856" s="334"/>
      <c r="BV856" s="334"/>
      <c r="BW856" s="334"/>
    </row>
    <row r="857" spans="45:75" x14ac:dyDescent="0.25">
      <c r="AS857" s="202"/>
      <c r="AV857" s="202"/>
      <c r="AW857" s="200"/>
      <c r="AX857" s="334"/>
      <c r="AY857" s="334"/>
      <c r="AZ857" s="334"/>
      <c r="BA857" s="201"/>
      <c r="BB857" s="334"/>
      <c r="BC857" s="334"/>
      <c r="BD857" s="334"/>
      <c r="BE857" s="201"/>
      <c r="BG857" s="334"/>
      <c r="BH857" s="334"/>
      <c r="BI857" s="334"/>
      <c r="BJ857" s="334"/>
      <c r="BK857" s="334"/>
      <c r="BL857" s="334"/>
      <c r="BM857" s="334"/>
      <c r="BN857" s="334"/>
      <c r="BO857" s="334"/>
      <c r="BP857" s="334"/>
      <c r="BQ857" s="334"/>
      <c r="BR857" s="334"/>
      <c r="BS857" s="334"/>
      <c r="BT857" s="334"/>
      <c r="BU857" s="334"/>
      <c r="BV857" s="334"/>
      <c r="BW857" s="334"/>
    </row>
    <row r="858" spans="45:75" x14ac:dyDescent="0.25">
      <c r="AS858" s="202"/>
      <c r="AV858" s="202"/>
      <c r="AW858" s="200"/>
      <c r="AX858" s="334"/>
      <c r="AY858" s="334"/>
      <c r="AZ858" s="334"/>
      <c r="BA858" s="201"/>
      <c r="BB858" s="334"/>
      <c r="BC858" s="334"/>
      <c r="BD858" s="334"/>
      <c r="BE858" s="201"/>
      <c r="BG858" s="334"/>
      <c r="BH858" s="334"/>
      <c r="BI858" s="334"/>
      <c r="BJ858" s="334"/>
      <c r="BK858" s="334"/>
      <c r="BL858" s="334"/>
      <c r="BM858" s="334"/>
      <c r="BN858" s="334"/>
      <c r="BO858" s="334"/>
      <c r="BP858" s="334"/>
      <c r="BQ858" s="334"/>
      <c r="BR858" s="334"/>
      <c r="BS858" s="334"/>
      <c r="BT858" s="334"/>
      <c r="BU858" s="334"/>
      <c r="BV858" s="334"/>
      <c r="BW858" s="334"/>
    </row>
    <row r="859" spans="45:75" x14ac:dyDescent="0.25">
      <c r="AS859" s="202"/>
      <c r="AV859" s="202"/>
      <c r="AW859" s="200"/>
      <c r="AX859" s="334"/>
      <c r="AY859" s="334"/>
      <c r="AZ859" s="334"/>
      <c r="BA859" s="201"/>
      <c r="BB859" s="334"/>
      <c r="BC859" s="334"/>
      <c r="BD859" s="334"/>
      <c r="BE859" s="201"/>
      <c r="BG859" s="334"/>
      <c r="BH859" s="334"/>
      <c r="BI859" s="334"/>
      <c r="BJ859" s="334"/>
      <c r="BK859" s="334"/>
      <c r="BL859" s="334"/>
      <c r="BM859" s="334"/>
      <c r="BN859" s="334"/>
      <c r="BO859" s="334"/>
      <c r="BP859" s="334"/>
      <c r="BQ859" s="334"/>
      <c r="BR859" s="334"/>
      <c r="BS859" s="334"/>
      <c r="BT859" s="334"/>
      <c r="BU859" s="334"/>
      <c r="BV859" s="334"/>
      <c r="BW859" s="334"/>
    </row>
    <row r="860" spans="45:75" x14ac:dyDescent="0.25">
      <c r="AS860" s="202"/>
      <c r="AV860" s="202"/>
      <c r="AW860" s="200"/>
      <c r="AX860" s="334"/>
      <c r="AY860" s="334"/>
      <c r="AZ860" s="334"/>
      <c r="BA860" s="201"/>
      <c r="BB860" s="334"/>
      <c r="BC860" s="334"/>
      <c r="BD860" s="334"/>
      <c r="BE860" s="201"/>
      <c r="BG860" s="334"/>
      <c r="BH860" s="334"/>
      <c r="BI860" s="334"/>
      <c r="BJ860" s="334"/>
      <c r="BK860" s="334"/>
      <c r="BL860" s="334"/>
      <c r="BM860" s="334"/>
      <c r="BN860" s="334"/>
      <c r="BO860" s="334"/>
      <c r="BP860" s="334"/>
      <c r="BQ860" s="334"/>
      <c r="BR860" s="334"/>
      <c r="BS860" s="334"/>
      <c r="BT860" s="334"/>
      <c r="BU860" s="334"/>
      <c r="BV860" s="334"/>
      <c r="BW860" s="334"/>
    </row>
    <row r="861" spans="45:75" x14ac:dyDescent="0.25">
      <c r="AS861" s="202"/>
      <c r="AV861" s="202"/>
      <c r="AW861" s="200"/>
      <c r="AX861" s="334"/>
      <c r="AY861" s="334"/>
      <c r="AZ861" s="334"/>
      <c r="BA861" s="201"/>
      <c r="BB861" s="334"/>
      <c r="BC861" s="334"/>
      <c r="BD861" s="334"/>
      <c r="BE861" s="201"/>
      <c r="BG861" s="334"/>
      <c r="BH861" s="334"/>
      <c r="BI861" s="334"/>
      <c r="BJ861" s="334"/>
      <c r="BK861" s="334"/>
      <c r="BL861" s="334"/>
      <c r="BM861" s="334"/>
      <c r="BN861" s="334"/>
      <c r="BO861" s="334"/>
      <c r="BP861" s="334"/>
      <c r="BQ861" s="334"/>
      <c r="BR861" s="334"/>
      <c r="BS861" s="334"/>
      <c r="BT861" s="334"/>
      <c r="BU861" s="334"/>
      <c r="BV861" s="334"/>
      <c r="BW861" s="334"/>
    </row>
    <row r="862" spans="45:75" x14ac:dyDescent="0.25">
      <c r="AS862" s="202"/>
      <c r="AV862" s="202"/>
      <c r="AW862" s="200"/>
      <c r="AX862" s="334"/>
      <c r="AY862" s="334"/>
      <c r="AZ862" s="334"/>
      <c r="BA862" s="201"/>
      <c r="BB862" s="334"/>
      <c r="BC862" s="334"/>
      <c r="BD862" s="334"/>
      <c r="BE862" s="201"/>
      <c r="BG862" s="334"/>
      <c r="BH862" s="334"/>
      <c r="BI862" s="334"/>
      <c r="BJ862" s="334"/>
      <c r="BK862" s="334"/>
      <c r="BL862" s="334"/>
      <c r="BM862" s="334"/>
      <c r="BN862" s="334"/>
      <c r="BO862" s="334"/>
      <c r="BP862" s="334"/>
      <c r="BQ862" s="334"/>
      <c r="BR862" s="334"/>
      <c r="BS862" s="334"/>
      <c r="BT862" s="334"/>
      <c r="BU862" s="334"/>
      <c r="BV862" s="334"/>
      <c r="BW862" s="334"/>
    </row>
    <row r="863" spans="45:75" x14ac:dyDescent="0.25">
      <c r="AS863" s="202"/>
      <c r="AV863" s="202"/>
      <c r="AW863" s="200"/>
      <c r="AX863" s="334"/>
      <c r="AY863" s="334"/>
      <c r="AZ863" s="334"/>
      <c r="BA863" s="201"/>
      <c r="BB863" s="334"/>
      <c r="BC863" s="334"/>
      <c r="BD863" s="334"/>
      <c r="BE863" s="201"/>
      <c r="BG863" s="334"/>
      <c r="BH863" s="334"/>
      <c r="BI863" s="334"/>
      <c r="BJ863" s="334"/>
      <c r="BK863" s="334"/>
      <c r="BL863" s="334"/>
      <c r="BM863" s="334"/>
      <c r="BN863" s="334"/>
      <c r="BO863" s="334"/>
      <c r="BP863" s="334"/>
      <c r="BQ863" s="334"/>
      <c r="BR863" s="334"/>
      <c r="BS863" s="334"/>
      <c r="BT863" s="334"/>
      <c r="BU863" s="334"/>
      <c r="BV863" s="334"/>
      <c r="BW863" s="334"/>
    </row>
    <row r="864" spans="45:75" x14ac:dyDescent="0.25">
      <c r="AS864" s="202"/>
      <c r="AV864" s="202"/>
      <c r="AW864" s="200"/>
      <c r="AX864" s="334"/>
      <c r="AY864" s="334"/>
      <c r="AZ864" s="334"/>
      <c r="BA864" s="201"/>
      <c r="BB864" s="334"/>
      <c r="BC864" s="334"/>
      <c r="BD864" s="334"/>
      <c r="BE864" s="201"/>
      <c r="BG864" s="334"/>
      <c r="BH864" s="334"/>
      <c r="BI864" s="334"/>
      <c r="BJ864" s="334"/>
      <c r="BK864" s="334"/>
      <c r="BL864" s="334"/>
      <c r="BM864" s="334"/>
      <c r="BN864" s="334"/>
      <c r="BO864" s="334"/>
      <c r="BP864" s="334"/>
      <c r="BQ864" s="334"/>
      <c r="BR864" s="334"/>
      <c r="BS864" s="334"/>
      <c r="BT864" s="334"/>
      <c r="BU864" s="334"/>
      <c r="BV864" s="334"/>
      <c r="BW864" s="334"/>
    </row>
    <row r="865" spans="45:75" x14ac:dyDescent="0.25">
      <c r="AS865" s="202"/>
      <c r="AV865" s="202"/>
      <c r="AW865" s="200"/>
      <c r="AX865" s="334"/>
      <c r="AY865" s="334"/>
      <c r="AZ865" s="334"/>
      <c r="BA865" s="201"/>
      <c r="BB865" s="334"/>
      <c r="BC865" s="334"/>
      <c r="BD865" s="334"/>
      <c r="BE865" s="201"/>
      <c r="BG865" s="334"/>
      <c r="BH865" s="334"/>
      <c r="BI865" s="334"/>
      <c r="BJ865" s="334"/>
      <c r="BK865" s="334"/>
      <c r="BL865" s="334"/>
      <c r="BM865" s="334"/>
      <c r="BN865" s="334"/>
      <c r="BO865" s="334"/>
      <c r="BP865" s="334"/>
      <c r="BQ865" s="334"/>
      <c r="BR865" s="334"/>
      <c r="BS865" s="334"/>
      <c r="BT865" s="334"/>
      <c r="BU865" s="334"/>
      <c r="BV865" s="334"/>
      <c r="BW865" s="334"/>
    </row>
    <row r="866" spans="45:75" x14ac:dyDescent="0.25">
      <c r="AS866" s="202"/>
      <c r="AV866" s="202"/>
      <c r="AW866" s="200"/>
      <c r="AX866" s="334"/>
      <c r="AY866" s="334"/>
      <c r="AZ866" s="334"/>
      <c r="BA866" s="201"/>
      <c r="BB866" s="334"/>
      <c r="BC866" s="334"/>
      <c r="BD866" s="334"/>
      <c r="BE866" s="201"/>
      <c r="BG866" s="334"/>
      <c r="BH866" s="334"/>
      <c r="BI866" s="334"/>
      <c r="BJ866" s="334"/>
      <c r="BK866" s="334"/>
      <c r="BL866" s="334"/>
      <c r="BM866" s="334"/>
      <c r="BN866" s="334"/>
      <c r="BO866" s="334"/>
      <c r="BP866" s="334"/>
      <c r="BQ866" s="334"/>
      <c r="BR866" s="334"/>
      <c r="BS866" s="334"/>
      <c r="BT866" s="334"/>
      <c r="BU866" s="334"/>
      <c r="BV866" s="334"/>
      <c r="BW866" s="334"/>
    </row>
    <row r="867" spans="45:75" x14ac:dyDescent="0.25">
      <c r="AS867" s="202"/>
      <c r="AV867" s="202"/>
      <c r="AW867" s="200"/>
      <c r="AX867" s="334"/>
      <c r="AY867" s="334"/>
      <c r="AZ867" s="334"/>
      <c r="BA867" s="201"/>
      <c r="BB867" s="334"/>
      <c r="BC867" s="334"/>
      <c r="BD867" s="334"/>
      <c r="BE867" s="201"/>
      <c r="BG867" s="334"/>
      <c r="BH867" s="334"/>
      <c r="BI867" s="334"/>
      <c r="BJ867" s="334"/>
      <c r="BK867" s="334"/>
      <c r="BL867" s="334"/>
      <c r="BM867" s="334"/>
      <c r="BN867" s="334"/>
      <c r="BO867" s="334"/>
      <c r="BP867" s="334"/>
      <c r="BQ867" s="334"/>
      <c r="BR867" s="334"/>
      <c r="BS867" s="334"/>
      <c r="BT867" s="334"/>
      <c r="BU867" s="334"/>
      <c r="BV867" s="334"/>
      <c r="BW867" s="334"/>
    </row>
    <row r="868" spans="45:75" x14ac:dyDescent="0.25">
      <c r="AS868" s="202"/>
      <c r="AV868" s="202"/>
      <c r="AW868" s="200"/>
      <c r="AX868" s="334"/>
      <c r="AY868" s="334"/>
      <c r="AZ868" s="334"/>
      <c r="BA868" s="201"/>
      <c r="BB868" s="334"/>
      <c r="BC868" s="334"/>
      <c r="BD868" s="334"/>
      <c r="BE868" s="201"/>
      <c r="BG868" s="334"/>
      <c r="BH868" s="334"/>
      <c r="BI868" s="334"/>
      <c r="BJ868" s="334"/>
      <c r="BK868" s="334"/>
      <c r="BL868" s="334"/>
      <c r="BM868" s="334"/>
      <c r="BN868" s="334"/>
      <c r="BO868" s="334"/>
      <c r="BP868" s="334"/>
      <c r="BQ868" s="334"/>
      <c r="BR868" s="334"/>
      <c r="BS868" s="334"/>
      <c r="BT868" s="334"/>
      <c r="BU868" s="334"/>
      <c r="BV868" s="334"/>
      <c r="BW868" s="334"/>
    </row>
    <row r="869" spans="45:75" x14ac:dyDescent="0.25">
      <c r="AS869" s="202"/>
      <c r="AV869" s="202"/>
      <c r="AW869" s="200"/>
      <c r="AX869" s="334"/>
      <c r="AY869" s="334"/>
      <c r="AZ869" s="334"/>
      <c r="BA869" s="201"/>
      <c r="BB869" s="334"/>
      <c r="BC869" s="334"/>
      <c r="BD869" s="334"/>
      <c r="BE869" s="201"/>
      <c r="BG869" s="334"/>
      <c r="BH869" s="334"/>
      <c r="BI869" s="334"/>
      <c r="BJ869" s="334"/>
      <c r="BK869" s="334"/>
      <c r="BL869" s="334"/>
      <c r="BM869" s="334"/>
      <c r="BN869" s="334"/>
      <c r="BO869" s="334"/>
      <c r="BP869" s="334"/>
      <c r="BQ869" s="334"/>
      <c r="BR869" s="334"/>
      <c r="BS869" s="334"/>
      <c r="BT869" s="334"/>
      <c r="BU869" s="334"/>
      <c r="BV869" s="334"/>
      <c r="BW869" s="334"/>
    </row>
    <row r="870" spans="45:75" x14ac:dyDescent="0.25">
      <c r="AS870" s="202"/>
      <c r="AV870" s="202"/>
      <c r="AW870" s="200"/>
      <c r="AX870" s="334"/>
      <c r="AY870" s="334"/>
      <c r="AZ870" s="334"/>
      <c r="BA870" s="201"/>
      <c r="BB870" s="334"/>
      <c r="BC870" s="334"/>
      <c r="BD870" s="334"/>
      <c r="BE870" s="201"/>
      <c r="BG870" s="334"/>
      <c r="BH870" s="334"/>
      <c r="BI870" s="334"/>
      <c r="BJ870" s="334"/>
      <c r="BK870" s="334"/>
      <c r="BL870" s="334"/>
      <c r="BM870" s="334"/>
      <c r="BN870" s="334"/>
      <c r="BO870" s="334"/>
      <c r="BP870" s="334"/>
      <c r="BQ870" s="334"/>
      <c r="BR870" s="334"/>
      <c r="BS870" s="334"/>
      <c r="BT870" s="334"/>
      <c r="BU870" s="334"/>
      <c r="BV870" s="334"/>
      <c r="BW870" s="334"/>
    </row>
    <row r="871" spans="45:75" x14ac:dyDescent="0.25">
      <c r="AS871" s="202"/>
      <c r="AV871" s="202"/>
      <c r="AW871" s="200"/>
      <c r="AX871" s="334"/>
      <c r="AY871" s="334"/>
      <c r="AZ871" s="334"/>
      <c r="BA871" s="201"/>
      <c r="BB871" s="334"/>
      <c r="BC871" s="334"/>
      <c r="BD871" s="334"/>
      <c r="BE871" s="201"/>
      <c r="BG871" s="334"/>
      <c r="BH871" s="334"/>
      <c r="BI871" s="334"/>
      <c r="BJ871" s="334"/>
      <c r="BK871" s="334"/>
      <c r="BL871" s="334"/>
      <c r="BM871" s="334"/>
      <c r="BN871" s="334"/>
      <c r="BO871" s="334"/>
      <c r="BP871" s="334"/>
      <c r="BQ871" s="334"/>
      <c r="BR871" s="334"/>
      <c r="BS871" s="334"/>
      <c r="BT871" s="334"/>
      <c r="BU871" s="334"/>
      <c r="BV871" s="334"/>
      <c r="BW871" s="334"/>
    </row>
    <row r="872" spans="45:75" x14ac:dyDescent="0.25">
      <c r="AW872" s="200"/>
      <c r="AX872" s="334"/>
      <c r="AY872" s="334"/>
      <c r="AZ872" s="334"/>
      <c r="BA872" s="201"/>
      <c r="BB872" s="334"/>
      <c r="BC872" s="334"/>
      <c r="BD872" s="334"/>
      <c r="BE872" s="201"/>
      <c r="BG872" s="102"/>
      <c r="BH872" s="102"/>
      <c r="BI872" s="154"/>
      <c r="BM872" s="102"/>
      <c r="BN872" s="102"/>
      <c r="BO872" s="334"/>
      <c r="BP872" s="102"/>
      <c r="BQ872" s="102"/>
      <c r="BR872" s="154"/>
      <c r="BV872" s="102"/>
      <c r="BW872" s="102"/>
    </row>
    <row r="873" spans="45:75" x14ac:dyDescent="0.25">
      <c r="AS873" s="202"/>
      <c r="AU873" s="154"/>
      <c r="AV873" s="103"/>
      <c r="AW873" s="200"/>
      <c r="AX873" s="334"/>
      <c r="AY873" s="334"/>
      <c r="AZ873" s="334"/>
      <c r="BA873" s="201"/>
      <c r="BB873" s="334"/>
      <c r="BC873" s="334"/>
      <c r="BD873" s="334"/>
      <c r="BE873" s="201"/>
      <c r="BG873" s="336"/>
      <c r="BH873" s="334"/>
      <c r="BI873" s="334"/>
      <c r="BJ873" s="334"/>
      <c r="BK873" s="336"/>
      <c r="BL873" s="337"/>
      <c r="BM873" s="334"/>
      <c r="BN873" s="336"/>
      <c r="BO873" s="334"/>
      <c r="BP873" s="336"/>
      <c r="BQ873" s="334"/>
      <c r="BR873" s="334"/>
      <c r="BS873" s="334"/>
      <c r="BT873" s="336"/>
      <c r="BU873" s="337"/>
      <c r="BV873" s="334"/>
      <c r="BW873" s="336"/>
    </row>
    <row r="874" spans="45:75" x14ac:dyDescent="0.25">
      <c r="AS874" s="202"/>
      <c r="AV874" s="103"/>
      <c r="AW874" s="200"/>
      <c r="AX874" s="334"/>
      <c r="AY874" s="334"/>
      <c r="AZ874" s="334"/>
      <c r="BA874" s="201"/>
      <c r="BB874" s="334"/>
      <c r="BC874" s="334"/>
      <c r="BD874" s="334"/>
      <c r="BE874" s="201"/>
      <c r="BG874" s="334"/>
      <c r="BH874" s="334"/>
      <c r="BI874" s="334"/>
      <c r="BJ874" s="334"/>
      <c r="BK874" s="334"/>
      <c r="BL874" s="337"/>
      <c r="BM874" s="334"/>
      <c r="BN874" s="334"/>
      <c r="BO874" s="334"/>
      <c r="BP874" s="334"/>
      <c r="BQ874" s="334"/>
      <c r="BR874" s="334"/>
      <c r="BS874" s="334"/>
      <c r="BT874" s="334"/>
      <c r="BU874" s="337"/>
      <c r="BV874" s="334"/>
      <c r="BW874" s="334"/>
    </row>
    <row r="875" spans="45:75" x14ac:dyDescent="0.25">
      <c r="AS875" s="202"/>
      <c r="AV875" s="103"/>
      <c r="AW875" s="200"/>
      <c r="AX875" s="334"/>
      <c r="AY875" s="334"/>
      <c r="AZ875" s="334"/>
      <c r="BA875" s="201"/>
      <c r="BB875" s="334"/>
      <c r="BC875" s="334"/>
      <c r="BD875" s="334"/>
      <c r="BE875" s="201"/>
      <c r="BG875" s="334"/>
      <c r="BH875" s="334"/>
      <c r="BI875" s="334"/>
      <c r="BJ875" s="334"/>
      <c r="BK875" s="334"/>
      <c r="BL875" s="337"/>
      <c r="BM875" s="334"/>
      <c r="BN875" s="334"/>
      <c r="BO875" s="334"/>
      <c r="BP875" s="334"/>
      <c r="BQ875" s="334"/>
      <c r="BR875" s="334"/>
      <c r="BS875" s="334"/>
      <c r="BT875" s="334"/>
      <c r="BU875" s="337"/>
      <c r="BV875" s="334"/>
      <c r="BW875" s="334"/>
    </row>
    <row r="876" spans="45:75" x14ac:dyDescent="0.25">
      <c r="AS876" s="202"/>
      <c r="AV876" s="103"/>
      <c r="AW876" s="200"/>
      <c r="AX876" s="334"/>
      <c r="AY876" s="334"/>
      <c r="AZ876" s="334"/>
      <c r="BA876" s="201"/>
      <c r="BB876" s="334"/>
      <c r="BC876" s="334"/>
      <c r="BD876" s="334"/>
      <c r="BE876" s="201"/>
      <c r="BG876" s="334"/>
      <c r="BH876" s="334"/>
      <c r="BI876" s="334"/>
      <c r="BJ876" s="334"/>
      <c r="BK876" s="334"/>
      <c r="BL876" s="337"/>
      <c r="BM876" s="334"/>
      <c r="BN876" s="334"/>
      <c r="BO876" s="334"/>
      <c r="BP876" s="334"/>
      <c r="BQ876" s="334"/>
      <c r="BR876" s="334"/>
      <c r="BS876" s="334"/>
      <c r="BT876" s="334"/>
      <c r="BU876" s="337"/>
      <c r="BV876" s="334"/>
      <c r="BW876" s="334"/>
    </row>
    <row r="877" spans="45:75" x14ac:dyDescent="0.25">
      <c r="AX877" s="334"/>
      <c r="AY877" s="334"/>
      <c r="AZ877" s="334"/>
      <c r="BA877" s="201"/>
      <c r="BB877" s="334"/>
      <c r="BC877" s="334"/>
      <c r="BD877" s="334"/>
      <c r="BE877" s="201"/>
      <c r="BG877" s="334"/>
      <c r="BH877" s="334"/>
      <c r="BI877" s="334"/>
      <c r="BJ877" s="334"/>
      <c r="BK877" s="334"/>
      <c r="BL877" s="334"/>
      <c r="BM877" s="334"/>
      <c r="BN877" s="334"/>
      <c r="BO877" s="334"/>
      <c r="BP877" s="334"/>
      <c r="BQ877" s="334"/>
      <c r="BR877" s="334"/>
      <c r="BS877" s="334"/>
      <c r="BT877" s="334"/>
      <c r="BU877" s="334"/>
      <c r="BV877" s="334"/>
    </row>
    <row r="878" spans="45:75" x14ac:dyDescent="0.25">
      <c r="AU878" s="154"/>
    </row>
    <row r="879" spans="45:75" x14ac:dyDescent="0.25">
      <c r="AU879" s="154"/>
      <c r="AZ879" s="334"/>
      <c r="BA879" s="201"/>
      <c r="BB879" s="334"/>
      <c r="BC879" s="334"/>
      <c r="BD879" s="334"/>
      <c r="BE879" s="201"/>
      <c r="BG879" s="334"/>
      <c r="BH879" s="334"/>
      <c r="BI879" s="334"/>
      <c r="BJ879" s="334"/>
      <c r="BK879" s="334"/>
      <c r="BL879" s="334"/>
      <c r="BM879" s="334"/>
      <c r="BN879" s="334"/>
      <c r="BO879" s="334"/>
      <c r="BP879" s="334"/>
      <c r="BQ879" s="334"/>
      <c r="BR879" s="334"/>
      <c r="BS879" s="334"/>
      <c r="BT879" s="334"/>
      <c r="BU879" s="334"/>
      <c r="BV879" s="334"/>
    </row>
    <row r="880" spans="45:75" x14ac:dyDescent="0.25">
      <c r="AS880" s="154"/>
      <c r="AZ880" s="334"/>
      <c r="BB880" s="334"/>
    </row>
    <row r="881" spans="45:74" x14ac:dyDescent="0.25">
      <c r="AY881" s="202"/>
      <c r="AZ881" s="334"/>
      <c r="BB881" s="334"/>
      <c r="BO881" s="334"/>
      <c r="BP881" s="334"/>
      <c r="BQ881" s="334"/>
      <c r="BR881" s="334"/>
      <c r="BS881" s="334"/>
      <c r="BT881" s="334"/>
      <c r="BU881" s="334"/>
      <c r="BV881" s="334"/>
    </row>
    <row r="882" spans="45:74" x14ac:dyDescent="0.25">
      <c r="AY882" s="334"/>
      <c r="AZ882" s="334"/>
      <c r="BB882" s="334"/>
      <c r="BO882" s="334"/>
      <c r="BP882" s="334"/>
      <c r="BQ882" s="334"/>
      <c r="BR882" s="334"/>
      <c r="BS882" s="334"/>
      <c r="BT882" s="334"/>
      <c r="BU882" s="334"/>
      <c r="BV882" s="334"/>
    </row>
    <row r="883" spans="45:74" x14ac:dyDescent="0.25">
      <c r="AY883" s="154"/>
      <c r="AZ883" s="334"/>
      <c r="BB883" s="334"/>
      <c r="BO883" s="334"/>
      <c r="BP883" s="334"/>
      <c r="BQ883" s="334"/>
      <c r="BR883" s="334"/>
      <c r="BS883" s="334"/>
      <c r="BT883" s="334"/>
      <c r="BU883" s="334"/>
      <c r="BV883" s="334"/>
    </row>
    <row r="884" spans="45:74" x14ac:dyDescent="0.25">
      <c r="AY884" s="154"/>
      <c r="AZ884" s="334"/>
      <c r="BB884" s="334"/>
      <c r="BO884" s="334"/>
      <c r="BP884" s="334"/>
      <c r="BQ884" s="334"/>
      <c r="BR884" s="334"/>
      <c r="BS884" s="334"/>
      <c r="BT884" s="334"/>
      <c r="BU884" s="334"/>
      <c r="BV884" s="334"/>
    </row>
    <row r="885" spans="45:74" x14ac:dyDescent="0.25">
      <c r="AS885" s="202"/>
      <c r="AZ885" s="334"/>
      <c r="BB885" s="334"/>
      <c r="BD885" s="154"/>
      <c r="BO885" s="334"/>
      <c r="BP885" s="334"/>
      <c r="BQ885" s="334"/>
      <c r="BR885" s="334"/>
      <c r="BS885" s="334"/>
      <c r="BT885" s="334"/>
      <c r="BU885" s="334"/>
      <c r="BV885" s="334"/>
    </row>
    <row r="886" spans="45:74" x14ac:dyDescent="0.25">
      <c r="AS886" s="202"/>
      <c r="AZ886" s="334"/>
      <c r="BB886" s="334"/>
      <c r="BD886" s="154"/>
      <c r="BO886" s="334"/>
      <c r="BP886" s="334"/>
      <c r="BQ886" s="334"/>
      <c r="BR886" s="334"/>
      <c r="BS886" s="334"/>
      <c r="BT886" s="334"/>
      <c r="BU886" s="334"/>
      <c r="BV886" s="334"/>
    </row>
    <row r="887" spans="45:74" x14ac:dyDescent="0.25">
      <c r="AS887" s="154"/>
      <c r="AZ887" s="334"/>
      <c r="BB887" s="334"/>
      <c r="BD887" s="154"/>
      <c r="BO887" s="334"/>
      <c r="BP887" s="334"/>
      <c r="BQ887" s="334"/>
      <c r="BR887" s="334"/>
      <c r="BS887" s="334"/>
      <c r="BT887" s="334"/>
      <c r="BU887" s="334"/>
      <c r="BV887" s="334"/>
    </row>
    <row r="888" spans="45:74" x14ac:dyDescent="0.25">
      <c r="AZ888" s="334"/>
      <c r="BB888" s="334"/>
      <c r="BD888" s="202"/>
      <c r="BO888" s="334"/>
      <c r="BP888" s="334"/>
      <c r="BQ888" s="334"/>
      <c r="BR888" s="334"/>
      <c r="BS888" s="334"/>
      <c r="BT888" s="334"/>
      <c r="BU888" s="334"/>
      <c r="BV888" s="334"/>
    </row>
    <row r="889" spans="45:74" x14ac:dyDescent="0.25">
      <c r="AS889" s="102"/>
      <c r="AT889" s="102"/>
      <c r="AU889" s="102"/>
      <c r="AV889" s="102"/>
      <c r="AW889" s="102"/>
      <c r="AX889" s="102"/>
      <c r="AY889" s="102"/>
      <c r="AZ889" s="335"/>
      <c r="BA889" s="102"/>
      <c r="BB889" s="335"/>
      <c r="BC889" s="102"/>
      <c r="BD889" s="102"/>
      <c r="BE889" s="102"/>
      <c r="BO889" s="334"/>
      <c r="BP889" s="334"/>
      <c r="BQ889" s="334"/>
      <c r="BR889" s="334"/>
      <c r="BS889" s="334"/>
      <c r="BT889" s="334"/>
      <c r="BU889" s="334"/>
      <c r="BV889" s="334"/>
    </row>
    <row r="890" spans="45:74" x14ac:dyDescent="0.25">
      <c r="AX890" s="154"/>
      <c r="AZ890" s="334"/>
      <c r="BB890" s="334"/>
      <c r="BO890" s="334"/>
      <c r="BP890" s="334"/>
      <c r="BQ890" s="334"/>
      <c r="BR890" s="334"/>
      <c r="BS890" s="334"/>
      <c r="BT890" s="334"/>
      <c r="BU890" s="334"/>
      <c r="BV890" s="334"/>
    </row>
    <row r="891" spans="45:74" x14ac:dyDescent="0.25">
      <c r="AX891" s="102"/>
      <c r="AY891" s="102"/>
      <c r="AZ891" s="335"/>
      <c r="BA891" s="102"/>
      <c r="BB891" s="334"/>
      <c r="BC891" s="103"/>
      <c r="BD891" s="103"/>
      <c r="BO891" s="334"/>
      <c r="BP891" s="334"/>
      <c r="BQ891" s="334"/>
      <c r="BR891" s="334"/>
      <c r="BS891" s="334"/>
      <c r="BT891" s="334"/>
      <c r="BU891" s="334"/>
      <c r="BV891" s="334"/>
    </row>
    <row r="892" spans="45:74" x14ac:dyDescent="0.25">
      <c r="AV892" s="103"/>
      <c r="AW892" s="103"/>
      <c r="AZ892" s="336"/>
      <c r="BA892" s="103"/>
      <c r="BB892" s="334"/>
      <c r="BC892" s="103"/>
      <c r="BD892" s="103"/>
      <c r="BE892" s="103"/>
      <c r="BG892" s="102"/>
      <c r="BH892" s="154"/>
      <c r="BK892" s="102"/>
      <c r="BM892" s="102"/>
      <c r="BN892" s="154"/>
      <c r="BQ892" s="102"/>
    </row>
    <row r="893" spans="45:74" x14ac:dyDescent="0.25">
      <c r="AV893" s="103"/>
      <c r="AW893" s="103"/>
      <c r="AX893" s="103"/>
      <c r="AY893" s="103"/>
      <c r="AZ893" s="336"/>
      <c r="BA893" s="103"/>
      <c r="BB893" s="336"/>
      <c r="BC893" s="103"/>
      <c r="BD893" s="103"/>
      <c r="BE893" s="103"/>
      <c r="BH893" s="103"/>
      <c r="BI893" s="103"/>
      <c r="BN893" s="103"/>
      <c r="BO893" s="103"/>
    </row>
    <row r="894" spans="45:74" x14ac:dyDescent="0.25">
      <c r="AS894" s="103"/>
      <c r="AU894" s="154"/>
      <c r="AV894" s="103"/>
      <c r="AW894" s="103"/>
      <c r="AX894" s="103"/>
      <c r="AY894" s="103"/>
      <c r="AZ894" s="336"/>
      <c r="BA894" s="103"/>
      <c r="BB894" s="336"/>
      <c r="BC894" s="103"/>
      <c r="BD894" s="103"/>
      <c r="BE894" s="103"/>
      <c r="BG894" s="103"/>
      <c r="BH894" s="103"/>
      <c r="BI894" s="103"/>
      <c r="BJ894" s="103"/>
      <c r="BK894" s="103"/>
      <c r="BM894" s="103"/>
      <c r="BN894" s="103"/>
      <c r="BO894" s="103"/>
      <c r="BP894" s="103"/>
      <c r="BQ894" s="103"/>
    </row>
    <row r="895" spans="45:74" x14ac:dyDescent="0.25">
      <c r="AS895" s="103"/>
      <c r="AU895" s="154"/>
      <c r="AV895" s="103"/>
      <c r="AW895" s="103"/>
      <c r="AX895" s="103"/>
      <c r="AY895" s="103"/>
      <c r="AZ895" s="336"/>
      <c r="BA895" s="103"/>
      <c r="BB895" s="336"/>
      <c r="BC895" s="103"/>
      <c r="BD895" s="103"/>
      <c r="BE895" s="103"/>
      <c r="BG895" s="103"/>
      <c r="BH895" s="103"/>
      <c r="BI895" s="103"/>
      <c r="BJ895" s="103"/>
      <c r="BK895" s="103"/>
      <c r="BM895" s="103"/>
      <c r="BN895" s="103"/>
      <c r="BO895" s="103"/>
      <c r="BP895" s="103"/>
      <c r="BQ895" s="103"/>
    </row>
    <row r="896" spans="45:74" x14ac:dyDescent="0.25">
      <c r="AS896" s="102"/>
      <c r="AT896" s="102"/>
      <c r="AU896" s="102"/>
      <c r="AV896" s="102"/>
      <c r="AW896" s="102"/>
      <c r="AX896" s="102"/>
      <c r="AY896" s="102"/>
      <c r="AZ896" s="335"/>
      <c r="BA896" s="102"/>
      <c r="BB896" s="335"/>
      <c r="BC896" s="102"/>
      <c r="BD896" s="102"/>
      <c r="BE896" s="102"/>
      <c r="BG896" s="102"/>
      <c r="BH896" s="102"/>
      <c r="BI896" s="102"/>
      <c r="BJ896" s="102"/>
      <c r="BK896" s="102"/>
      <c r="BM896" s="102"/>
      <c r="BN896" s="102"/>
      <c r="BO896" s="102"/>
      <c r="BP896" s="102"/>
      <c r="BQ896" s="102"/>
    </row>
    <row r="897" spans="45:71" x14ac:dyDescent="0.25">
      <c r="AV897" s="103"/>
      <c r="AW897" s="103"/>
      <c r="AX897" s="103"/>
      <c r="AY897" s="103"/>
      <c r="AZ897" s="336"/>
      <c r="BA897" s="103"/>
      <c r="BB897" s="336"/>
      <c r="BC897" s="103"/>
      <c r="BD897" s="103"/>
      <c r="BE897" s="103"/>
      <c r="BG897" s="334"/>
      <c r="BH897" s="334"/>
      <c r="BI897" s="334"/>
      <c r="BJ897" s="334"/>
      <c r="BK897" s="334"/>
      <c r="BL897" s="334"/>
      <c r="BM897" s="334"/>
      <c r="BN897" s="334"/>
      <c r="BO897" s="334"/>
      <c r="BP897" s="334"/>
      <c r="BQ897" s="334"/>
    </row>
    <row r="898" spans="45:71" x14ac:dyDescent="0.25">
      <c r="AS898" s="202"/>
      <c r="AT898" s="154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  <c r="BG898" s="334"/>
      <c r="BH898" s="334"/>
      <c r="BI898" s="334"/>
      <c r="BJ898" s="334"/>
      <c r="BK898" s="334"/>
      <c r="BL898" s="334"/>
      <c r="BM898" s="334"/>
      <c r="BN898" s="334"/>
      <c r="BO898" s="334"/>
      <c r="BP898" s="334"/>
      <c r="BQ898" s="334"/>
      <c r="BR898" s="334"/>
      <c r="BS898" s="334"/>
    </row>
    <row r="899" spans="45:71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  <c r="BG899" s="334"/>
      <c r="BH899" s="334"/>
      <c r="BI899" s="334"/>
      <c r="BJ899" s="334"/>
      <c r="BK899" s="334"/>
      <c r="BL899" s="334"/>
      <c r="BM899" s="334"/>
      <c r="BN899" s="334"/>
      <c r="BO899" s="334"/>
      <c r="BP899" s="334"/>
      <c r="BQ899" s="334"/>
      <c r="BR899" s="334"/>
      <c r="BS899" s="334"/>
    </row>
    <row r="900" spans="45:71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  <c r="BG900" s="334"/>
      <c r="BH900" s="334"/>
      <c r="BI900" s="334"/>
      <c r="BJ900" s="334"/>
      <c r="BK900" s="334"/>
      <c r="BL900" s="334"/>
      <c r="BM900" s="334"/>
      <c r="BN900" s="334"/>
      <c r="BO900" s="334"/>
      <c r="BP900" s="334"/>
      <c r="BQ900" s="334"/>
      <c r="BR900" s="334"/>
      <c r="BS900" s="334"/>
    </row>
    <row r="901" spans="45:71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  <c r="BG901" s="334"/>
      <c r="BH901" s="334"/>
      <c r="BI901" s="334"/>
      <c r="BJ901" s="334"/>
      <c r="BK901" s="334"/>
      <c r="BL901" s="334"/>
      <c r="BM901" s="334"/>
      <c r="BN901" s="334"/>
      <c r="BO901" s="334"/>
      <c r="BP901" s="334"/>
      <c r="BQ901" s="334"/>
      <c r="BR901" s="334"/>
      <c r="BS901" s="334"/>
    </row>
    <row r="902" spans="45:71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  <c r="BG902" s="334"/>
      <c r="BH902" s="334"/>
      <c r="BI902" s="334"/>
      <c r="BJ902" s="334"/>
      <c r="BK902" s="334"/>
      <c r="BL902" s="334"/>
      <c r="BM902" s="334"/>
      <c r="BN902" s="334"/>
      <c r="BO902" s="334"/>
      <c r="BP902" s="334"/>
      <c r="BQ902" s="334"/>
      <c r="BR902" s="334"/>
      <c r="BS902" s="334"/>
    </row>
    <row r="903" spans="45:71" x14ac:dyDescent="0.25">
      <c r="AS903" s="202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  <c r="BG903" s="334"/>
      <c r="BH903" s="334"/>
      <c r="BI903" s="334"/>
      <c r="BJ903" s="334"/>
      <c r="BK903" s="334"/>
      <c r="BL903" s="334"/>
      <c r="BM903" s="334"/>
      <c r="BN903" s="334"/>
      <c r="BO903" s="334"/>
      <c r="BP903" s="334"/>
      <c r="BQ903" s="334"/>
      <c r="BR903" s="334"/>
      <c r="BS903" s="334"/>
    </row>
    <row r="904" spans="45:71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  <c r="BG904" s="334"/>
      <c r="BH904" s="334"/>
      <c r="BI904" s="334"/>
      <c r="BJ904" s="334"/>
      <c r="BK904" s="334"/>
      <c r="BL904" s="334"/>
      <c r="BM904" s="334"/>
      <c r="BN904" s="334"/>
      <c r="BO904" s="334"/>
      <c r="BP904" s="334"/>
      <c r="BQ904" s="334"/>
      <c r="BR904" s="334"/>
      <c r="BS904" s="334"/>
    </row>
    <row r="905" spans="45:71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  <c r="BG905" s="334"/>
      <c r="BH905" s="334"/>
      <c r="BI905" s="334"/>
      <c r="BJ905" s="334"/>
      <c r="BK905" s="334"/>
      <c r="BL905" s="334"/>
      <c r="BM905" s="334"/>
      <c r="BN905" s="334"/>
      <c r="BO905" s="334"/>
      <c r="BP905" s="334"/>
      <c r="BQ905" s="334"/>
      <c r="BR905" s="334"/>
      <c r="BS905" s="334"/>
    </row>
    <row r="906" spans="45:71" x14ac:dyDescent="0.25">
      <c r="AS906" s="202"/>
      <c r="AV906" s="200"/>
      <c r="AW906" s="200"/>
      <c r="AX906" s="334"/>
      <c r="AY906" s="334"/>
      <c r="AZ906" s="334"/>
      <c r="BA906" s="201"/>
      <c r="BB906" s="334"/>
      <c r="BC906" s="334"/>
      <c r="BD906" s="334"/>
      <c r="BE906" s="201"/>
      <c r="BG906" s="334"/>
      <c r="BH906" s="334"/>
      <c r="BI906" s="334"/>
      <c r="BJ906" s="334"/>
      <c r="BK906" s="334"/>
      <c r="BL906" s="334"/>
      <c r="BM906" s="334"/>
      <c r="BN906" s="334"/>
      <c r="BO906" s="334"/>
      <c r="BP906" s="334"/>
      <c r="BQ906" s="334"/>
      <c r="BR906" s="334"/>
      <c r="BS906" s="334"/>
    </row>
    <row r="907" spans="45:71" x14ac:dyDescent="0.25">
      <c r="AS907" s="202"/>
      <c r="AV907" s="200"/>
      <c r="AW907" s="200"/>
      <c r="AX907" s="334"/>
      <c r="AY907" s="334"/>
      <c r="AZ907" s="334"/>
      <c r="BA907" s="201"/>
      <c r="BB907" s="334"/>
      <c r="BC907" s="334"/>
      <c r="BD907" s="334"/>
      <c r="BE907" s="201"/>
      <c r="BG907" s="334"/>
      <c r="BH907" s="334"/>
      <c r="BI907" s="334"/>
      <c r="BJ907" s="334"/>
      <c r="BK907" s="334"/>
      <c r="BL907" s="334"/>
      <c r="BM907" s="334"/>
      <c r="BN907" s="334"/>
      <c r="BO907" s="334"/>
      <c r="BP907" s="334"/>
      <c r="BQ907" s="334"/>
      <c r="BR907" s="334"/>
      <c r="BS907" s="334"/>
    </row>
    <row r="908" spans="45:71" x14ac:dyDescent="0.25">
      <c r="AS908" s="202"/>
      <c r="AV908" s="200"/>
      <c r="AW908" s="200"/>
      <c r="AX908" s="334"/>
      <c r="AY908" s="334"/>
      <c r="AZ908" s="334"/>
      <c r="BA908" s="201"/>
      <c r="BB908" s="334"/>
      <c r="BC908" s="334"/>
      <c r="BD908" s="334"/>
      <c r="BE908" s="201"/>
      <c r="BG908" s="334"/>
      <c r="BH908" s="334"/>
      <c r="BI908" s="334"/>
      <c r="BJ908" s="334"/>
      <c r="BK908" s="334"/>
      <c r="BL908" s="334"/>
      <c r="BM908" s="334"/>
      <c r="BN908" s="334"/>
      <c r="BO908" s="334"/>
      <c r="BP908" s="334"/>
      <c r="BQ908" s="334"/>
      <c r="BR908" s="334"/>
      <c r="BS908" s="334"/>
    </row>
    <row r="909" spans="45:71" x14ac:dyDescent="0.25">
      <c r="AS909" s="202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  <c r="BG909" s="334"/>
      <c r="BH909" s="334"/>
      <c r="BI909" s="334"/>
      <c r="BJ909" s="334"/>
      <c r="BK909" s="334"/>
      <c r="BL909" s="334"/>
      <c r="BM909" s="334"/>
      <c r="BN909" s="334"/>
      <c r="BO909" s="334"/>
      <c r="BP909" s="334"/>
      <c r="BQ909" s="334"/>
      <c r="BR909" s="334"/>
      <c r="BS909" s="334"/>
    </row>
    <row r="910" spans="45:71" x14ac:dyDescent="0.25">
      <c r="AS910" s="202"/>
      <c r="AV910" s="200"/>
      <c r="AW910" s="200"/>
      <c r="AX910" s="334"/>
      <c r="AY910" s="334"/>
      <c r="AZ910" s="334"/>
      <c r="BA910" s="201"/>
      <c r="BB910" s="334"/>
      <c r="BC910" s="334"/>
      <c r="BD910" s="334"/>
      <c r="BE910" s="201"/>
      <c r="BG910" s="334"/>
      <c r="BH910" s="334"/>
      <c r="BI910" s="334"/>
      <c r="BJ910" s="334"/>
      <c r="BK910" s="334"/>
      <c r="BL910" s="334"/>
      <c r="BM910" s="334"/>
      <c r="BN910" s="334"/>
      <c r="BO910" s="334"/>
      <c r="BP910" s="334"/>
      <c r="BQ910" s="334"/>
      <c r="BR910" s="334"/>
      <c r="BS910" s="334"/>
    </row>
    <row r="911" spans="45:71" x14ac:dyDescent="0.25">
      <c r="AS911" s="202"/>
      <c r="AV911" s="200"/>
      <c r="AW911" s="200"/>
      <c r="AX911" s="334"/>
      <c r="AY911" s="334"/>
      <c r="AZ911" s="334"/>
      <c r="BA911" s="201"/>
      <c r="BB911" s="334"/>
      <c r="BC911" s="334"/>
      <c r="BD911" s="334"/>
      <c r="BE911" s="201"/>
      <c r="BG911" s="334"/>
      <c r="BH911" s="334"/>
      <c r="BI911" s="334"/>
      <c r="BJ911" s="334"/>
      <c r="BK911" s="334"/>
      <c r="BL911" s="334"/>
      <c r="BM911" s="334"/>
      <c r="BN911" s="334"/>
      <c r="BO911" s="334"/>
      <c r="BP911" s="334"/>
      <c r="BQ911" s="334"/>
      <c r="BR911" s="334"/>
      <c r="BS911" s="334"/>
    </row>
    <row r="912" spans="45:71" x14ac:dyDescent="0.25">
      <c r="AS912" s="202"/>
      <c r="AV912" s="200"/>
      <c r="AW912" s="200"/>
      <c r="AX912" s="334"/>
      <c r="AY912" s="334"/>
      <c r="AZ912" s="334"/>
      <c r="BA912" s="201"/>
      <c r="BB912" s="334"/>
      <c r="BC912" s="334"/>
      <c r="BD912" s="334"/>
      <c r="BE912" s="201"/>
      <c r="BG912" s="334"/>
      <c r="BH912" s="334"/>
      <c r="BI912" s="334"/>
      <c r="BJ912" s="334"/>
      <c r="BK912" s="334"/>
      <c r="BL912" s="334"/>
      <c r="BM912" s="334"/>
      <c r="BN912" s="334"/>
      <c r="BO912" s="334"/>
      <c r="BP912" s="334"/>
      <c r="BQ912" s="334"/>
      <c r="BR912" s="334"/>
      <c r="BS912" s="334"/>
    </row>
    <row r="913" spans="45:71" x14ac:dyDescent="0.25">
      <c r="AS913" s="202"/>
      <c r="AV913" s="200"/>
      <c r="AW913" s="200"/>
      <c r="AX913" s="334"/>
      <c r="AY913" s="334"/>
      <c r="AZ913" s="334"/>
      <c r="BA913" s="201"/>
      <c r="BB913" s="334"/>
      <c r="BC913" s="334"/>
      <c r="BD913" s="334"/>
      <c r="BE913" s="201"/>
      <c r="BG913" s="334"/>
      <c r="BH913" s="334"/>
      <c r="BI913" s="334"/>
      <c r="BJ913" s="334"/>
      <c r="BK913" s="334"/>
      <c r="BL913" s="334"/>
      <c r="BM913" s="334"/>
      <c r="BN913" s="334"/>
      <c r="BO913" s="334"/>
      <c r="BP913" s="334"/>
      <c r="BQ913" s="334"/>
      <c r="BR913" s="334"/>
      <c r="BS913" s="334"/>
    </row>
    <row r="914" spans="45:71" x14ac:dyDescent="0.25">
      <c r="AS914" s="202"/>
      <c r="AV914" s="200"/>
      <c r="AW914" s="200"/>
      <c r="AX914" s="334"/>
      <c r="AY914" s="334"/>
      <c r="AZ914" s="334"/>
      <c r="BA914" s="201"/>
      <c r="BB914" s="334"/>
      <c r="BC914" s="334"/>
      <c r="BD914" s="334"/>
      <c r="BE914" s="201"/>
      <c r="BG914" s="334"/>
      <c r="BH914" s="334"/>
      <c r="BI914" s="334"/>
      <c r="BJ914" s="334"/>
      <c r="BK914" s="334"/>
      <c r="BL914" s="334"/>
      <c r="BM914" s="334"/>
      <c r="BN914" s="334"/>
      <c r="BO914" s="334"/>
      <c r="BP914" s="334"/>
      <c r="BQ914" s="334"/>
      <c r="BR914" s="334"/>
      <c r="BS914" s="334"/>
    </row>
    <row r="915" spans="45:71" x14ac:dyDescent="0.25">
      <c r="AS915" s="202"/>
      <c r="AV915" s="200"/>
      <c r="AW915" s="200"/>
      <c r="AX915" s="334"/>
      <c r="AY915" s="334"/>
      <c r="AZ915" s="334"/>
      <c r="BA915" s="201"/>
      <c r="BB915" s="334"/>
      <c r="BC915" s="334"/>
      <c r="BD915" s="334"/>
      <c r="BE915" s="201"/>
      <c r="BG915" s="334"/>
      <c r="BH915" s="334"/>
      <c r="BI915" s="334"/>
      <c r="BJ915" s="334"/>
      <c r="BK915" s="334"/>
      <c r="BL915" s="334"/>
      <c r="BM915" s="334"/>
      <c r="BN915" s="334"/>
      <c r="BO915" s="334"/>
      <c r="BP915" s="334"/>
      <c r="BQ915" s="334"/>
      <c r="BR915" s="334"/>
      <c r="BS915" s="334"/>
    </row>
    <row r="916" spans="45:71" x14ac:dyDescent="0.25">
      <c r="AZ916" s="334"/>
      <c r="BB916" s="334"/>
      <c r="BC916" s="334"/>
      <c r="BD916" s="334"/>
      <c r="BG916" s="334"/>
      <c r="BH916" s="334"/>
      <c r="BI916" s="334"/>
      <c r="BJ916" s="334"/>
      <c r="BK916" s="334"/>
      <c r="BL916" s="334"/>
      <c r="BM916" s="334"/>
      <c r="BN916" s="334"/>
      <c r="BO916" s="334"/>
      <c r="BP916" s="334"/>
      <c r="BQ916" s="334"/>
      <c r="BR916" s="334"/>
      <c r="BS916" s="334"/>
    </row>
    <row r="917" spans="45:71" x14ac:dyDescent="0.25">
      <c r="AS917" s="202"/>
      <c r="AT917" s="154"/>
      <c r="AV917" s="200"/>
      <c r="AW917" s="200"/>
      <c r="AX917" s="334"/>
      <c r="AY917" s="334"/>
      <c r="AZ917" s="334"/>
      <c r="BA917" s="201"/>
      <c r="BB917" s="334"/>
      <c r="BC917" s="334"/>
      <c r="BD917" s="334"/>
      <c r="BE917" s="201"/>
    </row>
    <row r="918" spans="45:71" x14ac:dyDescent="0.25">
      <c r="AS918" s="202"/>
      <c r="AV918" s="200"/>
      <c r="AW918" s="200"/>
      <c r="AX918" s="334"/>
      <c r="AY918" s="334"/>
      <c r="AZ918" s="334"/>
      <c r="BA918" s="201"/>
      <c r="BB918" s="334"/>
      <c r="BC918" s="334"/>
      <c r="BD918" s="334"/>
      <c r="BE918" s="201"/>
    </row>
    <row r="919" spans="45:71" x14ac:dyDescent="0.25">
      <c r="AS919" s="202"/>
      <c r="AV919" s="200"/>
      <c r="AW919" s="200"/>
      <c r="AX919" s="334"/>
      <c r="AY919" s="334"/>
      <c r="AZ919" s="334"/>
      <c r="BA919" s="201"/>
      <c r="BB919" s="334"/>
      <c r="BC919" s="334"/>
      <c r="BD919" s="334"/>
      <c r="BE919" s="201"/>
    </row>
    <row r="920" spans="45:71" x14ac:dyDescent="0.25">
      <c r="AS920" s="202"/>
      <c r="AV920" s="200"/>
      <c r="AW920" s="200"/>
      <c r="AX920" s="334"/>
      <c r="AY920" s="334"/>
      <c r="AZ920" s="334"/>
      <c r="BA920" s="201"/>
      <c r="BB920" s="334"/>
      <c r="BC920" s="334"/>
      <c r="BD920" s="334"/>
      <c r="BE920" s="201"/>
    </row>
    <row r="921" spans="45:71" x14ac:dyDescent="0.25">
      <c r="AS921" s="202"/>
      <c r="AV921" s="200"/>
      <c r="AW921" s="200"/>
      <c r="AX921" s="334"/>
      <c r="AY921" s="334"/>
      <c r="AZ921" s="334"/>
      <c r="BA921" s="201"/>
      <c r="BB921" s="334"/>
      <c r="BC921" s="334"/>
      <c r="BD921" s="334"/>
      <c r="BE921" s="201"/>
    </row>
    <row r="922" spans="45:71" x14ac:dyDescent="0.25">
      <c r="AS922" s="202"/>
      <c r="AV922" s="200"/>
      <c r="AW922" s="200"/>
      <c r="AX922" s="334"/>
      <c r="AY922" s="334"/>
      <c r="AZ922" s="334"/>
      <c r="BA922" s="201"/>
      <c r="BB922" s="334"/>
      <c r="BC922" s="334"/>
      <c r="BD922" s="334"/>
      <c r="BE922" s="201"/>
    </row>
    <row r="923" spans="45:71" x14ac:dyDescent="0.25">
      <c r="AS923" s="202"/>
      <c r="AV923" s="200"/>
      <c r="AW923" s="200"/>
      <c r="AX923" s="334"/>
      <c r="AY923" s="334"/>
      <c r="AZ923" s="334"/>
      <c r="BA923" s="201"/>
      <c r="BB923" s="334"/>
      <c r="BC923" s="334"/>
      <c r="BD923" s="334"/>
      <c r="BE923" s="201"/>
    </row>
    <row r="924" spans="45:71" x14ac:dyDescent="0.25">
      <c r="AS924" s="202"/>
      <c r="AV924" s="200"/>
      <c r="AW924" s="200"/>
      <c r="AX924" s="334"/>
      <c r="AY924" s="334"/>
      <c r="AZ924" s="334"/>
      <c r="BA924" s="201"/>
      <c r="BB924" s="334"/>
      <c r="BC924" s="334"/>
      <c r="BD924" s="334"/>
      <c r="BE924" s="201"/>
    </row>
    <row r="925" spans="45:71" x14ac:dyDescent="0.25">
      <c r="AS925" s="202"/>
      <c r="AV925" s="200"/>
      <c r="AW925" s="200"/>
      <c r="AX925" s="334"/>
      <c r="AY925" s="334"/>
      <c r="AZ925" s="334"/>
      <c r="BA925" s="201"/>
      <c r="BB925" s="334"/>
      <c r="BC925" s="334"/>
      <c r="BD925" s="334"/>
      <c r="BE925" s="201"/>
    </row>
    <row r="926" spans="45:71" x14ac:dyDescent="0.25">
      <c r="AS926" s="202"/>
      <c r="AV926" s="200"/>
      <c r="AW926" s="200"/>
      <c r="AX926" s="334"/>
      <c r="AY926" s="334"/>
      <c r="AZ926" s="334"/>
      <c r="BA926" s="201"/>
      <c r="BB926" s="334"/>
      <c r="BC926" s="334"/>
      <c r="BD926" s="334"/>
      <c r="BE926" s="201"/>
    </row>
    <row r="927" spans="45:71" x14ac:dyDescent="0.25">
      <c r="AS927" s="202"/>
      <c r="AV927" s="200"/>
      <c r="AW927" s="200"/>
      <c r="AX927" s="334"/>
      <c r="AY927" s="334"/>
      <c r="AZ927" s="334"/>
      <c r="BA927" s="201"/>
      <c r="BB927" s="334"/>
      <c r="BC927" s="334"/>
      <c r="BD927" s="334"/>
      <c r="BE927" s="201"/>
    </row>
    <row r="928" spans="45:71" x14ac:dyDescent="0.25">
      <c r="AS928" s="202"/>
      <c r="AV928" s="200"/>
      <c r="AW928" s="200"/>
      <c r="AX928" s="334"/>
      <c r="AY928" s="334"/>
      <c r="AZ928" s="334"/>
      <c r="BA928" s="201"/>
      <c r="BB928" s="334"/>
      <c r="BC928" s="334"/>
      <c r="BD928" s="334"/>
      <c r="BE928" s="201"/>
    </row>
    <row r="929" spans="45:57" x14ac:dyDescent="0.25">
      <c r="AS929" s="202"/>
      <c r="AV929" s="200"/>
      <c r="AW929" s="200"/>
      <c r="AX929" s="334"/>
      <c r="AY929" s="334"/>
      <c r="AZ929" s="334"/>
      <c r="BA929" s="201"/>
      <c r="BB929" s="334"/>
      <c r="BC929" s="334"/>
      <c r="BD929" s="334"/>
      <c r="BE929" s="201"/>
    </row>
    <row r="930" spans="45:57" x14ac:dyDescent="0.25">
      <c r="AS930" s="202"/>
      <c r="AV930" s="200"/>
      <c r="AW930" s="200"/>
      <c r="AX930" s="334"/>
      <c r="AY930" s="334"/>
      <c r="AZ930" s="334"/>
      <c r="BA930" s="201"/>
      <c r="BB930" s="334"/>
      <c r="BC930" s="334"/>
      <c r="BD930" s="334"/>
      <c r="BE930" s="201"/>
    </row>
    <row r="931" spans="45:57" x14ac:dyDescent="0.25">
      <c r="AS931" s="202"/>
      <c r="AV931" s="200"/>
      <c r="AW931" s="200"/>
      <c r="AX931" s="334"/>
      <c r="AY931" s="334"/>
      <c r="AZ931" s="334"/>
      <c r="BA931" s="201"/>
      <c r="BB931" s="334"/>
      <c r="BC931" s="334"/>
      <c r="BD931" s="334"/>
      <c r="BE931" s="201"/>
    </row>
    <row r="932" spans="45:57" x14ac:dyDescent="0.25">
      <c r="AS932" s="202"/>
      <c r="AV932" s="200"/>
      <c r="AW932" s="200"/>
      <c r="AX932" s="334"/>
      <c r="AY932" s="334"/>
      <c r="AZ932" s="334"/>
      <c r="BA932" s="201"/>
      <c r="BB932" s="334"/>
      <c r="BC932" s="334"/>
      <c r="BD932" s="334"/>
      <c r="BE932" s="201"/>
    </row>
    <row r="933" spans="45:57" x14ac:dyDescent="0.25">
      <c r="AS933" s="202"/>
      <c r="AV933" s="200"/>
      <c r="AW933" s="200"/>
      <c r="AX933" s="334"/>
      <c r="AY933" s="334"/>
      <c r="AZ933" s="334"/>
      <c r="BA933" s="201"/>
      <c r="BB933" s="334"/>
      <c r="BC933" s="334"/>
      <c r="BD933" s="334"/>
      <c r="BE933" s="201"/>
    </row>
    <row r="934" spans="45:57" x14ac:dyDescent="0.25">
      <c r="AS934" s="202"/>
      <c r="AV934" s="200"/>
      <c r="AW934" s="200"/>
      <c r="AX934" s="334"/>
      <c r="AY934" s="334"/>
      <c r="AZ934" s="334"/>
      <c r="BA934" s="201"/>
      <c r="BB934" s="334"/>
      <c r="BC934" s="334"/>
      <c r="BD934" s="334"/>
      <c r="BE934" s="201"/>
    </row>
    <row r="935" spans="45:57" x14ac:dyDescent="0.25">
      <c r="BB935" s="334"/>
    </row>
    <row r="936" spans="45:57" x14ac:dyDescent="0.25">
      <c r="AU936" s="154"/>
      <c r="BB936" s="334"/>
    </row>
    <row r="937" spans="45:57" x14ac:dyDescent="0.25">
      <c r="AU937" s="154"/>
    </row>
    <row r="938" spans="45:57" x14ac:dyDescent="0.25">
      <c r="AU938" s="154"/>
      <c r="BB938" s="334"/>
    </row>
    <row r="939" spans="45:57" x14ac:dyDescent="0.25">
      <c r="AS939" s="154"/>
      <c r="AZ939" s="334"/>
      <c r="BB939" s="334"/>
    </row>
    <row r="940" spans="45:57" x14ac:dyDescent="0.25">
      <c r="AY940" s="202"/>
      <c r="AZ940" s="334"/>
      <c r="BB940" s="334"/>
    </row>
    <row r="941" spans="45:57" x14ac:dyDescent="0.25">
      <c r="AY941" s="334"/>
      <c r="AZ941" s="334"/>
      <c r="BB941" s="334"/>
    </row>
    <row r="942" spans="45:57" x14ac:dyDescent="0.25">
      <c r="AY942" s="154"/>
      <c r="AZ942" s="334"/>
      <c r="BB942" s="334"/>
    </row>
    <row r="943" spans="45:57" x14ac:dyDescent="0.25">
      <c r="AY943" s="154"/>
      <c r="AZ943" s="334"/>
      <c r="BB943" s="334"/>
    </row>
    <row r="944" spans="45:57" x14ac:dyDescent="0.25">
      <c r="AS944" s="202"/>
      <c r="AZ944" s="334"/>
      <c r="BB944" s="334"/>
      <c r="BD944" s="154"/>
    </row>
    <row r="945" spans="45:57" x14ac:dyDescent="0.25">
      <c r="AS945" s="202"/>
      <c r="AZ945" s="334"/>
      <c r="BB945" s="334"/>
      <c r="BD945" s="154"/>
    </row>
    <row r="946" spans="45:57" x14ac:dyDescent="0.25">
      <c r="AS946" s="154"/>
      <c r="AZ946" s="334"/>
      <c r="BB946" s="334"/>
      <c r="BD946" s="154"/>
    </row>
    <row r="947" spans="45:57" x14ac:dyDescent="0.25">
      <c r="AZ947" s="334"/>
      <c r="BB947" s="334"/>
      <c r="BD947" s="202"/>
    </row>
    <row r="948" spans="45:57" x14ac:dyDescent="0.25">
      <c r="AS948" s="102"/>
      <c r="AT948" s="102"/>
      <c r="AU948" s="102"/>
      <c r="AV948" s="102"/>
      <c r="AW948" s="102"/>
      <c r="AX948" s="102"/>
      <c r="AY948" s="102"/>
      <c r="AZ948" s="335"/>
      <c r="BA948" s="102"/>
      <c r="BB948" s="335"/>
      <c r="BC948" s="102"/>
      <c r="BD948" s="102"/>
      <c r="BE948" s="102"/>
    </row>
    <row r="949" spans="45:57" x14ac:dyDescent="0.25">
      <c r="AX949" s="154"/>
      <c r="AZ949" s="334"/>
      <c r="BB949" s="334"/>
    </row>
    <row r="950" spans="45:57" x14ac:dyDescent="0.25">
      <c r="AX950" s="102"/>
      <c r="AY950" s="102"/>
      <c r="AZ950" s="335"/>
      <c r="BA950" s="102"/>
      <c r="BB950" s="334"/>
      <c r="BC950" s="103"/>
      <c r="BD950" s="103"/>
    </row>
    <row r="951" spans="45:57" x14ac:dyDescent="0.25">
      <c r="AV951" s="103"/>
      <c r="AW951" s="103"/>
      <c r="AZ951" s="336"/>
      <c r="BA951" s="103"/>
      <c r="BB951" s="334"/>
      <c r="BC951" s="103"/>
      <c r="BD951" s="103"/>
      <c r="BE951" s="103"/>
    </row>
    <row r="952" spans="45:57" x14ac:dyDescent="0.25">
      <c r="AV952" s="103"/>
      <c r="AW952" s="103"/>
      <c r="AX952" s="103"/>
      <c r="AY952" s="103"/>
      <c r="AZ952" s="336"/>
      <c r="BA952" s="103"/>
      <c r="BB952" s="336"/>
      <c r="BC952" s="103"/>
      <c r="BD952" s="103"/>
      <c r="BE952" s="103"/>
    </row>
    <row r="953" spans="45:57" x14ac:dyDescent="0.25">
      <c r="AS953" s="103"/>
      <c r="AU953" s="154"/>
      <c r="AV953" s="103"/>
      <c r="AW953" s="103"/>
      <c r="AX953" s="103"/>
      <c r="AY953" s="103"/>
      <c r="AZ953" s="336"/>
      <c r="BA953" s="103"/>
      <c r="BB953" s="336"/>
      <c r="BC953" s="103"/>
      <c r="BD953" s="103"/>
      <c r="BE953" s="103"/>
    </row>
    <row r="954" spans="45:57" x14ac:dyDescent="0.25">
      <c r="AS954" s="103"/>
      <c r="AU954" s="154"/>
      <c r="AV954" s="103"/>
      <c r="AW954" s="103"/>
      <c r="AX954" s="103"/>
      <c r="AY954" s="103"/>
      <c r="AZ954" s="336"/>
      <c r="BA954" s="103"/>
      <c r="BB954" s="336"/>
      <c r="BC954" s="103"/>
      <c r="BD954" s="103"/>
      <c r="BE954" s="103"/>
    </row>
    <row r="955" spans="45:57" x14ac:dyDescent="0.25">
      <c r="AS955" s="102"/>
      <c r="AT955" s="102"/>
      <c r="AU955" s="102"/>
      <c r="AV955" s="102"/>
      <c r="AW955" s="102"/>
      <c r="AX955" s="102"/>
      <c r="AY955" s="102"/>
      <c r="AZ955" s="335"/>
      <c r="BA955" s="102"/>
      <c r="BB955" s="335"/>
      <c r="BC955" s="102"/>
      <c r="BD955" s="102"/>
      <c r="BE955" s="102"/>
    </row>
    <row r="956" spans="45:57" x14ac:dyDescent="0.25">
      <c r="AV956" s="103"/>
      <c r="AW956" s="103"/>
      <c r="AX956" s="103"/>
      <c r="AY956" s="103"/>
      <c r="AZ956" s="336"/>
      <c r="BA956" s="103"/>
      <c r="BB956" s="336"/>
      <c r="BC956" s="103"/>
      <c r="BD956" s="103"/>
      <c r="BE956" s="103"/>
    </row>
    <row r="957" spans="45:57" x14ac:dyDescent="0.25">
      <c r="AS957" s="202"/>
      <c r="AT957" s="154"/>
      <c r="AV957" s="200"/>
      <c r="AW957" s="200"/>
      <c r="AX957" s="334"/>
      <c r="AY957" s="334"/>
      <c r="AZ957" s="334"/>
      <c r="BA957" s="201"/>
      <c r="BB957" s="334"/>
      <c r="BC957" s="334"/>
      <c r="BD957" s="334"/>
      <c r="BE957" s="201"/>
    </row>
    <row r="958" spans="45:57" x14ac:dyDescent="0.25">
      <c r="AS958" s="202"/>
      <c r="AV958" s="200"/>
      <c r="AW958" s="200"/>
      <c r="AX958" s="334"/>
      <c r="AY958" s="334"/>
      <c r="AZ958" s="334"/>
      <c r="BA958" s="201"/>
      <c r="BB958" s="334"/>
      <c r="BC958" s="334"/>
      <c r="BD958" s="334"/>
      <c r="BE958" s="201"/>
    </row>
    <row r="959" spans="45:57" x14ac:dyDescent="0.25">
      <c r="AS959" s="202"/>
      <c r="AV959" s="200"/>
      <c r="AW959" s="200"/>
      <c r="AX959" s="334"/>
      <c r="AY959" s="334"/>
      <c r="AZ959" s="334"/>
      <c r="BA959" s="201"/>
      <c r="BB959" s="334"/>
      <c r="BC959" s="334"/>
      <c r="BD959" s="334"/>
      <c r="BE959" s="201"/>
    </row>
    <row r="960" spans="45:57" x14ac:dyDescent="0.25">
      <c r="AS960" s="202"/>
      <c r="AV960" s="200"/>
      <c r="AW960" s="200"/>
      <c r="AX960" s="334"/>
      <c r="AY960" s="334"/>
      <c r="AZ960" s="334"/>
      <c r="BA960" s="201"/>
      <c r="BB960" s="334"/>
      <c r="BC960" s="334"/>
      <c r="BD960" s="334"/>
      <c r="BE960" s="201"/>
    </row>
    <row r="961" spans="45:57" x14ac:dyDescent="0.25">
      <c r="AS961" s="202"/>
      <c r="AV961" s="200"/>
      <c r="AW961" s="200"/>
      <c r="AX961" s="334"/>
      <c r="AY961" s="334"/>
      <c r="AZ961" s="334"/>
      <c r="BA961" s="201"/>
      <c r="BB961" s="334"/>
      <c r="BC961" s="334"/>
      <c r="BD961" s="334"/>
      <c r="BE961" s="201"/>
    </row>
    <row r="962" spans="45:57" x14ac:dyDescent="0.25">
      <c r="AS962" s="202"/>
      <c r="AV962" s="200"/>
      <c r="AW962" s="200"/>
      <c r="AX962" s="334"/>
      <c r="AY962" s="334"/>
      <c r="AZ962" s="334"/>
      <c r="BA962" s="201"/>
      <c r="BB962" s="334"/>
      <c r="BC962" s="334"/>
      <c r="BD962" s="334"/>
      <c r="BE962" s="201"/>
    </row>
    <row r="963" spans="45:57" x14ac:dyDescent="0.25">
      <c r="AS963" s="202"/>
      <c r="AV963" s="200"/>
      <c r="AW963" s="200"/>
      <c r="AX963" s="334"/>
      <c r="AY963" s="334"/>
      <c r="AZ963" s="334"/>
      <c r="BA963" s="201"/>
      <c r="BB963" s="334"/>
      <c r="BC963" s="334"/>
      <c r="BD963" s="334"/>
      <c r="BE963" s="201"/>
    </row>
    <row r="964" spans="45:57" x14ac:dyDescent="0.25">
      <c r="AS964" s="202"/>
      <c r="AV964" s="200"/>
      <c r="AW964" s="200"/>
      <c r="AX964" s="334"/>
      <c r="AY964" s="334"/>
      <c r="AZ964" s="334"/>
      <c r="BA964" s="201"/>
      <c r="BB964" s="334"/>
      <c r="BC964" s="334"/>
      <c r="BD964" s="334"/>
      <c r="BE964" s="201"/>
    </row>
    <row r="965" spans="45:57" x14ac:dyDescent="0.25">
      <c r="AS965" s="202"/>
      <c r="AV965" s="200"/>
      <c r="AW965" s="200"/>
      <c r="AX965" s="334"/>
      <c r="AY965" s="334"/>
      <c r="AZ965" s="334"/>
      <c r="BA965" s="201"/>
      <c r="BB965" s="334"/>
      <c r="BC965" s="334"/>
      <c r="BD965" s="334"/>
      <c r="BE965" s="201"/>
    </row>
    <row r="966" spans="45:57" x14ac:dyDescent="0.25">
      <c r="AS966" s="202"/>
      <c r="AV966" s="200"/>
      <c r="AW966" s="200"/>
      <c r="AX966" s="334"/>
      <c r="AY966" s="334"/>
      <c r="AZ966" s="334"/>
      <c r="BA966" s="201"/>
      <c r="BB966" s="334"/>
      <c r="BC966" s="334"/>
      <c r="BD966" s="334"/>
      <c r="BE966" s="201"/>
    </row>
    <row r="967" spans="45:57" x14ac:dyDescent="0.25">
      <c r="AV967" s="200"/>
      <c r="AW967" s="200"/>
      <c r="BB967" s="334"/>
    </row>
    <row r="968" spans="45:57" x14ac:dyDescent="0.25">
      <c r="AS968" s="202"/>
      <c r="AT968" s="154"/>
      <c r="AV968" s="200"/>
      <c r="AW968" s="200"/>
      <c r="AX968" s="334"/>
      <c r="AY968" s="334"/>
      <c r="AZ968" s="334"/>
      <c r="BA968" s="201"/>
      <c r="BB968" s="334"/>
      <c r="BC968" s="334"/>
      <c r="BD968" s="334"/>
      <c r="BE968" s="201"/>
    </row>
    <row r="969" spans="45:57" x14ac:dyDescent="0.25">
      <c r="AS969" s="202"/>
      <c r="AV969" s="200"/>
      <c r="AW969" s="200"/>
      <c r="AX969" s="334"/>
      <c r="AY969" s="334"/>
      <c r="AZ969" s="334"/>
      <c r="BA969" s="201"/>
      <c r="BB969" s="334"/>
      <c r="BC969" s="334"/>
      <c r="BD969" s="334"/>
      <c r="BE969" s="201"/>
    </row>
    <row r="970" spans="45:57" x14ac:dyDescent="0.25">
      <c r="AS970" s="202"/>
      <c r="AV970" s="200"/>
      <c r="AW970" s="200"/>
      <c r="AX970" s="334"/>
      <c r="AY970" s="334"/>
      <c r="AZ970" s="334"/>
      <c r="BA970" s="201"/>
      <c r="BB970" s="334"/>
      <c r="BC970" s="334"/>
      <c r="BD970" s="334"/>
      <c r="BE970" s="201"/>
    </row>
    <row r="971" spans="45:57" x14ac:dyDescent="0.25">
      <c r="AS971" s="202"/>
      <c r="AV971" s="200"/>
      <c r="AW971" s="200"/>
      <c r="AX971" s="334"/>
      <c r="AY971" s="334"/>
      <c r="AZ971" s="334"/>
      <c r="BA971" s="201"/>
      <c r="BB971" s="334"/>
      <c r="BC971" s="334"/>
      <c r="BD971" s="334"/>
      <c r="BE971" s="201"/>
    </row>
    <row r="972" spans="45:57" x14ac:dyDescent="0.25">
      <c r="AS972" s="202"/>
      <c r="AV972" s="200"/>
      <c r="AW972" s="200"/>
      <c r="AX972" s="334"/>
      <c r="AY972" s="334"/>
      <c r="AZ972" s="334"/>
      <c r="BA972" s="201"/>
      <c r="BB972" s="334"/>
      <c r="BC972" s="334"/>
      <c r="BD972" s="334"/>
      <c r="BE972" s="201"/>
    </row>
    <row r="973" spans="45:57" x14ac:dyDescent="0.25">
      <c r="AS973" s="202"/>
      <c r="AV973" s="200"/>
      <c r="AW973" s="200"/>
      <c r="AX973" s="334"/>
      <c r="AY973" s="334"/>
      <c r="AZ973" s="334"/>
      <c r="BA973" s="201"/>
      <c r="BB973" s="334"/>
      <c r="BC973" s="334"/>
      <c r="BD973" s="334"/>
      <c r="BE973" s="201"/>
    </row>
    <row r="974" spans="45:57" x14ac:dyDescent="0.25">
      <c r="AS974" s="202"/>
      <c r="AV974" s="200"/>
      <c r="AW974" s="200"/>
      <c r="AX974" s="334"/>
      <c r="AY974" s="334"/>
      <c r="AZ974" s="334"/>
      <c r="BA974" s="201"/>
      <c r="BB974" s="334"/>
      <c r="BC974" s="334"/>
      <c r="BD974" s="334"/>
      <c r="BE974" s="201"/>
    </row>
    <row r="975" spans="45:57" x14ac:dyDescent="0.25">
      <c r="AS975" s="202"/>
      <c r="AV975" s="200"/>
      <c r="AW975" s="200"/>
      <c r="AX975" s="334"/>
      <c r="AY975" s="334"/>
      <c r="AZ975" s="334"/>
      <c r="BA975" s="201"/>
      <c r="BB975" s="334"/>
      <c r="BC975" s="334"/>
      <c r="BD975" s="334"/>
      <c r="BE975" s="201"/>
    </row>
    <row r="976" spans="45:57" x14ac:dyDescent="0.25">
      <c r="AS976" s="202"/>
      <c r="AV976" s="200"/>
      <c r="AW976" s="200"/>
      <c r="AX976" s="334"/>
      <c r="AY976" s="334"/>
      <c r="AZ976" s="334"/>
      <c r="BA976" s="201"/>
      <c r="BB976" s="334"/>
      <c r="BC976" s="334"/>
      <c r="BD976" s="334"/>
      <c r="BE976" s="201"/>
    </row>
    <row r="977" spans="45:57" x14ac:dyDescent="0.25">
      <c r="AS977" s="202"/>
      <c r="AV977" s="200"/>
      <c r="AW977" s="200"/>
      <c r="AX977" s="334"/>
      <c r="AY977" s="334"/>
      <c r="AZ977" s="334"/>
      <c r="BA977" s="201"/>
      <c r="BB977" s="334"/>
      <c r="BC977" s="334"/>
      <c r="BD977" s="334"/>
      <c r="BE977" s="201"/>
    </row>
    <row r="979" spans="45:57" x14ac:dyDescent="0.25">
      <c r="AU979" s="154"/>
    </row>
    <row r="980" spans="45:57" x14ac:dyDescent="0.25">
      <c r="AU980" s="154"/>
    </row>
    <row r="981" spans="45:57" x14ac:dyDescent="0.25">
      <c r="AU981" s="154"/>
    </row>
    <row r="982" spans="45:57" x14ac:dyDescent="0.25">
      <c r="AS982" s="154"/>
    </row>
    <row r="1003" spans="52:71" x14ac:dyDescent="0.25">
      <c r="AZ1003" s="334"/>
      <c r="BB1003" s="334"/>
      <c r="BC1003" s="334"/>
      <c r="BD1003" s="334"/>
      <c r="BG1003" s="334"/>
      <c r="BH1003" s="334"/>
      <c r="BI1003" s="334"/>
      <c r="BJ1003" s="334"/>
      <c r="BK1003" s="334"/>
      <c r="BL1003" s="334"/>
      <c r="BM1003" s="334"/>
      <c r="BN1003" s="334"/>
      <c r="BO1003" s="334"/>
      <c r="BP1003" s="334"/>
      <c r="BQ1003" s="334"/>
      <c r="BR1003" s="334"/>
      <c r="BS1003" s="334"/>
    </row>
    <row r="1004" spans="52:71" x14ac:dyDescent="0.25">
      <c r="AZ1004" s="334"/>
      <c r="BB1004" s="334"/>
      <c r="BC1004" s="334"/>
      <c r="BD1004" s="334"/>
      <c r="BG1004" s="334"/>
      <c r="BH1004" s="334"/>
      <c r="BI1004" s="334"/>
      <c r="BJ1004" s="334"/>
      <c r="BK1004" s="334"/>
      <c r="BL1004" s="334"/>
      <c r="BM1004" s="334"/>
      <c r="BN1004" s="334"/>
      <c r="BO1004" s="334"/>
      <c r="BP1004" s="334"/>
      <c r="BQ1004" s="334"/>
      <c r="BR1004" s="334"/>
      <c r="BS1004" s="334"/>
    </row>
    <row r="1005" spans="52:71" x14ac:dyDescent="0.25">
      <c r="AZ1005" s="334"/>
      <c r="BB1005" s="334"/>
      <c r="BC1005" s="334"/>
      <c r="BD1005" s="334"/>
      <c r="BG1005" s="334"/>
      <c r="BH1005" s="334"/>
      <c r="BI1005" s="334"/>
      <c r="BJ1005" s="334"/>
      <c r="BK1005" s="334"/>
      <c r="BL1005" s="334"/>
      <c r="BM1005" s="334"/>
      <c r="BN1005" s="334"/>
      <c r="BO1005" s="334"/>
      <c r="BP1005" s="334"/>
      <c r="BQ1005" s="334"/>
      <c r="BR1005" s="334"/>
      <c r="BS1005" s="334"/>
    </row>
    <row r="1006" spans="52:71" x14ac:dyDescent="0.25">
      <c r="AZ1006" s="334"/>
      <c r="BB1006" s="334"/>
      <c r="BC1006" s="334"/>
      <c r="BD1006" s="334"/>
      <c r="BG1006" s="334"/>
      <c r="BH1006" s="334"/>
      <c r="BI1006" s="334"/>
      <c r="BJ1006" s="334"/>
      <c r="BK1006" s="334"/>
      <c r="BL1006" s="334"/>
      <c r="BM1006" s="334"/>
      <c r="BN1006" s="334"/>
      <c r="BO1006" s="334"/>
      <c r="BP1006" s="334"/>
      <c r="BQ1006" s="334"/>
      <c r="BR1006" s="334"/>
      <c r="BS1006" s="334"/>
    </row>
    <row r="1007" spans="52:71" x14ac:dyDescent="0.25">
      <c r="AZ1007" s="334"/>
      <c r="BB1007" s="334"/>
      <c r="BC1007" s="334"/>
      <c r="BD1007" s="334"/>
      <c r="BG1007" s="334"/>
      <c r="BH1007" s="334"/>
      <c r="BI1007" s="334"/>
      <c r="BJ1007" s="334"/>
      <c r="BK1007" s="334"/>
      <c r="BL1007" s="334"/>
      <c r="BM1007" s="334"/>
      <c r="BN1007" s="334"/>
      <c r="BO1007" s="334"/>
      <c r="BP1007" s="334"/>
      <c r="BQ1007" s="334"/>
      <c r="BR1007" s="334"/>
      <c r="BS1007" s="334"/>
    </row>
    <row r="1008" spans="52:71" x14ac:dyDescent="0.25">
      <c r="AZ1008" s="334"/>
      <c r="BB1008" s="334"/>
      <c r="BC1008" s="334"/>
      <c r="BD1008" s="334"/>
      <c r="BG1008" s="334"/>
      <c r="BH1008" s="334"/>
      <c r="BI1008" s="334"/>
      <c r="BJ1008" s="334"/>
      <c r="BK1008" s="334"/>
      <c r="BL1008" s="334"/>
      <c r="BM1008" s="334"/>
      <c r="BN1008" s="334"/>
      <c r="BO1008" s="334"/>
      <c r="BP1008" s="334"/>
      <c r="BQ1008" s="334"/>
      <c r="BR1008" s="334"/>
      <c r="BS1008" s="334"/>
    </row>
    <row r="1009" spans="52:71" x14ac:dyDescent="0.25">
      <c r="AZ1009" s="334"/>
      <c r="BB1009" s="334"/>
      <c r="BC1009" s="334"/>
      <c r="BD1009" s="334"/>
      <c r="BG1009" s="334"/>
      <c r="BH1009" s="334"/>
      <c r="BI1009" s="334"/>
      <c r="BJ1009" s="334"/>
      <c r="BK1009" s="334"/>
      <c r="BL1009" s="334"/>
      <c r="BM1009" s="334"/>
      <c r="BN1009" s="334"/>
      <c r="BO1009" s="334"/>
      <c r="BP1009" s="334"/>
      <c r="BQ1009" s="334"/>
      <c r="BR1009" s="334"/>
      <c r="BS1009" s="334"/>
    </row>
    <row r="1010" spans="52:71" x14ac:dyDescent="0.25">
      <c r="AZ1010" s="334"/>
      <c r="BB1010" s="334"/>
      <c r="BC1010" s="334"/>
      <c r="BD1010" s="334"/>
      <c r="BG1010" s="334"/>
      <c r="BH1010" s="334"/>
      <c r="BI1010" s="334"/>
      <c r="BJ1010" s="334"/>
      <c r="BK1010" s="334"/>
      <c r="BL1010" s="334"/>
      <c r="BM1010" s="334"/>
      <c r="BN1010" s="334"/>
      <c r="BO1010" s="334"/>
      <c r="BP1010" s="334"/>
      <c r="BQ1010" s="334"/>
      <c r="BR1010" s="334"/>
      <c r="BS1010" s="334"/>
    </row>
    <row r="1011" spans="52:71" x14ac:dyDescent="0.25">
      <c r="AZ1011" s="334"/>
      <c r="BB1011" s="334"/>
      <c r="BC1011" s="334"/>
      <c r="BD1011" s="334"/>
      <c r="BG1011" s="334"/>
      <c r="BH1011" s="334"/>
      <c r="BI1011" s="334"/>
      <c r="BJ1011" s="334"/>
      <c r="BK1011" s="334"/>
      <c r="BL1011" s="334"/>
      <c r="BM1011" s="334"/>
      <c r="BN1011" s="334"/>
      <c r="BO1011" s="334"/>
      <c r="BP1011" s="334"/>
      <c r="BQ1011" s="334"/>
      <c r="BR1011" s="334"/>
      <c r="BS1011" s="334"/>
    </row>
    <row r="1012" spans="52:71" x14ac:dyDescent="0.25">
      <c r="AZ1012" s="334"/>
      <c r="BB1012" s="334"/>
      <c r="BC1012" s="334"/>
      <c r="BD1012" s="334"/>
      <c r="BG1012" s="334"/>
      <c r="BH1012" s="334"/>
      <c r="BI1012" s="334"/>
      <c r="BJ1012" s="334"/>
      <c r="BK1012" s="334"/>
      <c r="BL1012" s="334"/>
      <c r="BM1012" s="334"/>
      <c r="BN1012" s="334"/>
      <c r="BO1012" s="334"/>
      <c r="BP1012" s="334"/>
      <c r="BQ1012" s="334"/>
      <c r="BR1012" s="334"/>
      <c r="BS1012" s="334"/>
    </row>
    <row r="1013" spans="52:71" x14ac:dyDescent="0.25">
      <c r="AZ1013" s="334"/>
      <c r="BB1013" s="334"/>
      <c r="BC1013" s="334"/>
      <c r="BD1013" s="334"/>
      <c r="BG1013" s="334"/>
      <c r="BH1013" s="334"/>
      <c r="BI1013" s="334"/>
      <c r="BJ1013" s="334"/>
      <c r="BK1013" s="334"/>
      <c r="BL1013" s="334"/>
      <c r="BM1013" s="334"/>
      <c r="BN1013" s="334"/>
      <c r="BO1013" s="334"/>
      <c r="BP1013" s="334"/>
      <c r="BQ1013" s="334"/>
      <c r="BR1013" s="334"/>
      <c r="BS1013" s="334"/>
    </row>
    <row r="1014" spans="52:71" x14ac:dyDescent="0.25">
      <c r="AZ1014" s="334"/>
      <c r="BB1014" s="334"/>
      <c r="BC1014" s="334"/>
      <c r="BD1014" s="334"/>
      <c r="BG1014" s="334"/>
      <c r="BH1014" s="334"/>
      <c r="BI1014" s="334"/>
      <c r="BJ1014" s="334"/>
      <c r="BK1014" s="334"/>
      <c r="BL1014" s="334"/>
      <c r="BM1014" s="334"/>
      <c r="BN1014" s="334"/>
      <c r="BO1014" s="334"/>
      <c r="BP1014" s="334"/>
      <c r="BQ1014" s="334"/>
      <c r="BR1014" s="334"/>
      <c r="BS1014" s="334"/>
    </row>
    <row r="1015" spans="52:71" x14ac:dyDescent="0.25">
      <c r="AZ1015" s="334"/>
      <c r="BG1015" s="334"/>
      <c r="BH1015" s="334"/>
      <c r="BI1015" s="334"/>
      <c r="BJ1015" s="334"/>
      <c r="BK1015" s="334"/>
      <c r="BL1015" s="334"/>
      <c r="BM1015" s="334"/>
      <c r="BN1015" s="334"/>
      <c r="BO1015" s="334"/>
      <c r="BP1015" s="334"/>
      <c r="BQ1015" s="334"/>
      <c r="BR1015" s="334"/>
      <c r="BS1015" s="334"/>
    </row>
    <row r="1016" spans="52:71" x14ac:dyDescent="0.25">
      <c r="AZ1016" s="334"/>
      <c r="BG1016" s="334"/>
      <c r="BH1016" s="334"/>
      <c r="BI1016" s="334"/>
      <c r="BJ1016" s="334"/>
      <c r="BK1016" s="334"/>
      <c r="BL1016" s="334"/>
      <c r="BM1016" s="334"/>
      <c r="BN1016" s="334"/>
      <c r="BO1016" s="334"/>
      <c r="BP1016" s="334"/>
      <c r="BQ1016" s="334"/>
      <c r="BR1016" s="334"/>
      <c r="BS1016" s="334"/>
    </row>
    <row r="1017" spans="52:71" x14ac:dyDescent="0.25">
      <c r="AZ1017" s="334"/>
      <c r="BG1017" s="334"/>
      <c r="BH1017" s="334"/>
      <c r="BI1017" s="334"/>
      <c r="BJ1017" s="334"/>
      <c r="BK1017" s="334"/>
      <c r="BL1017" s="334"/>
      <c r="BM1017" s="334"/>
      <c r="BN1017" s="334"/>
      <c r="BO1017" s="334"/>
      <c r="BP1017" s="334"/>
      <c r="BQ1017" s="334"/>
      <c r="BR1017" s="334"/>
      <c r="BS1017" s="334"/>
    </row>
    <row r="1018" spans="52:71" x14ac:dyDescent="0.25">
      <c r="AZ1018" s="334"/>
      <c r="BG1018" s="334"/>
      <c r="BH1018" s="334"/>
      <c r="BI1018" s="334"/>
      <c r="BJ1018" s="334"/>
      <c r="BK1018" s="334"/>
      <c r="BL1018" s="334"/>
      <c r="BM1018" s="334"/>
      <c r="BN1018" s="334"/>
      <c r="BO1018" s="334"/>
      <c r="BP1018" s="334"/>
      <c r="BQ1018" s="334"/>
      <c r="BR1018" s="334"/>
      <c r="BS1018" s="334"/>
    </row>
    <row r="1019" spans="52:71" x14ac:dyDescent="0.25">
      <c r="AZ1019" s="334"/>
      <c r="BG1019" s="334"/>
      <c r="BH1019" s="334"/>
      <c r="BI1019" s="334"/>
      <c r="BJ1019" s="334"/>
      <c r="BK1019" s="334"/>
      <c r="BL1019" s="334"/>
      <c r="BM1019" s="334"/>
      <c r="BN1019" s="334"/>
      <c r="BO1019" s="334"/>
      <c r="BP1019" s="334"/>
      <c r="BQ1019" s="334"/>
      <c r="BR1019" s="334"/>
      <c r="BS1019" s="334"/>
    </row>
    <row r="1020" spans="52:71" x14ac:dyDescent="0.25">
      <c r="AZ1020" s="334"/>
      <c r="BG1020" s="334"/>
      <c r="BH1020" s="334"/>
      <c r="BI1020" s="334"/>
      <c r="BJ1020" s="334"/>
      <c r="BK1020" s="334"/>
      <c r="BL1020" s="334"/>
      <c r="BM1020" s="334"/>
      <c r="BN1020" s="334"/>
      <c r="BO1020" s="334"/>
      <c r="BP1020" s="334"/>
      <c r="BQ1020" s="334"/>
      <c r="BR1020" s="334"/>
      <c r="BS1020" s="334"/>
    </row>
    <row r="1021" spans="52:71" x14ac:dyDescent="0.25">
      <c r="AZ1021" s="334"/>
      <c r="BG1021" s="334"/>
      <c r="BH1021" s="334"/>
      <c r="BI1021" s="334"/>
      <c r="BJ1021" s="334"/>
      <c r="BK1021" s="334"/>
      <c r="BL1021" s="334"/>
      <c r="BM1021" s="334"/>
      <c r="BN1021" s="334"/>
      <c r="BO1021" s="334"/>
      <c r="BP1021" s="334"/>
      <c r="BQ1021" s="334"/>
      <c r="BR1021" s="334"/>
      <c r="BS1021" s="334"/>
    </row>
    <row r="1022" spans="52:71" x14ac:dyDescent="0.25">
      <c r="AZ1022" s="334"/>
    </row>
    <row r="1023" spans="52:71" x14ac:dyDescent="0.25">
      <c r="AZ1023" s="334"/>
    </row>
    <row r="1037" spans="1:25" x14ac:dyDescent="0.25">
      <c r="A1037" s="154"/>
    </row>
    <row r="1040" spans="1:25" x14ac:dyDescent="0.25">
      <c r="Y1040" s="154"/>
    </row>
    <row r="1041" spans="1:28" x14ac:dyDescent="0.25">
      <c r="A1041" s="154"/>
      <c r="H1041" s="154"/>
      <c r="I1041" s="154"/>
    </row>
    <row r="1042" spans="1:28" x14ac:dyDescent="0.25">
      <c r="A1042" s="154"/>
      <c r="V1042" s="103"/>
      <c r="AA1042" s="103"/>
      <c r="AB1042" s="103"/>
    </row>
    <row r="1043" spans="1:28" x14ac:dyDescent="0.25">
      <c r="A1043" s="154"/>
      <c r="V1043" s="102"/>
      <c r="AA1043" s="102"/>
      <c r="AB1043" s="102"/>
    </row>
    <row r="1044" spans="1:28" x14ac:dyDescent="0.25">
      <c r="A1044" s="154"/>
      <c r="U1044" s="154"/>
      <c r="AA1044" s="103"/>
      <c r="AB1044" s="103"/>
    </row>
    <row r="1045" spans="1:28" x14ac:dyDescent="0.25">
      <c r="A1045" s="154"/>
    </row>
    <row r="1046" spans="1:28" x14ac:dyDescent="0.25">
      <c r="A1046" s="154"/>
      <c r="U1046" s="154"/>
      <c r="AA1046" s="103"/>
      <c r="AB1046" s="103"/>
    </row>
    <row r="1047" spans="1:28" x14ac:dyDescent="0.25">
      <c r="A1047" s="154"/>
    </row>
    <row r="1048" spans="1:28" x14ac:dyDescent="0.25">
      <c r="A1048" s="154"/>
      <c r="U1048" s="154"/>
      <c r="V1048" s="338"/>
      <c r="AA1048" s="103"/>
      <c r="AB1048" s="103"/>
    </row>
    <row r="1049" spans="1:28" x14ac:dyDescent="0.25">
      <c r="A1049" s="154"/>
    </row>
    <row r="1050" spans="1:28" x14ac:dyDescent="0.25">
      <c r="A1050" s="154"/>
      <c r="U1050" s="154"/>
      <c r="AA1050" s="103"/>
      <c r="AB1050" s="103"/>
    </row>
    <row r="1051" spans="1:28" x14ac:dyDescent="0.25">
      <c r="A1051" s="154"/>
    </row>
    <row r="1052" spans="1:28" x14ac:dyDescent="0.25">
      <c r="A1052" s="154"/>
      <c r="U1052" s="154"/>
      <c r="AA1052" s="103"/>
      <c r="AB1052" s="103"/>
    </row>
    <row r="1053" spans="1:28" x14ac:dyDescent="0.25">
      <c r="A1053" s="154"/>
    </row>
    <row r="1054" spans="1:28" x14ac:dyDescent="0.25">
      <c r="A1054" s="154"/>
    </row>
    <row r="1055" spans="1:28" x14ac:dyDescent="0.25">
      <c r="A1055" s="154"/>
    </row>
    <row r="1056" spans="1:28" x14ac:dyDescent="0.25">
      <c r="A1056" s="154"/>
    </row>
    <row r="1057" spans="1:9" x14ac:dyDescent="0.25">
      <c r="A1057" s="154"/>
    </row>
    <row r="1058" spans="1:9" x14ac:dyDescent="0.25">
      <c r="A1058" s="154"/>
    </row>
    <row r="1059" spans="1:9" x14ac:dyDescent="0.25">
      <c r="A1059" s="154"/>
    </row>
    <row r="1060" spans="1:9" x14ac:dyDescent="0.25">
      <c r="A1060" s="154"/>
    </row>
    <row r="1061" spans="1:9" x14ac:dyDescent="0.25">
      <c r="A1061" s="154"/>
    </row>
    <row r="1062" spans="1:9" x14ac:dyDescent="0.25">
      <c r="A1062" s="154"/>
    </row>
    <row r="1063" spans="1:9" x14ac:dyDescent="0.25">
      <c r="A1063" s="154"/>
      <c r="H1063" s="154"/>
      <c r="I1063" s="154"/>
    </row>
    <row r="1066" spans="1:9" x14ac:dyDescent="0.25">
      <c r="A1066" s="154"/>
    </row>
    <row r="1069" spans="1:9" x14ac:dyDescent="0.25">
      <c r="A1069" s="154"/>
    </row>
    <row r="1072" spans="1:9" x14ac:dyDescent="0.25">
      <c r="A1072" s="154"/>
    </row>
    <row r="1073" spans="1:1" x14ac:dyDescent="0.25">
      <c r="A1073" s="154"/>
    </row>
    <row r="1074" spans="1:1" x14ac:dyDescent="0.25">
      <c r="A1074" s="154"/>
    </row>
    <row r="1075" spans="1:1" x14ac:dyDescent="0.25">
      <c r="A1075" s="154"/>
    </row>
    <row r="1076" spans="1:1" x14ac:dyDescent="0.25">
      <c r="A1076" s="154"/>
    </row>
    <row r="1077" spans="1:1" x14ac:dyDescent="0.25">
      <c r="A1077" s="154"/>
    </row>
    <row r="1078" spans="1:1" x14ac:dyDescent="0.25">
      <c r="A1078" s="154"/>
    </row>
    <row r="1079" spans="1:1" x14ac:dyDescent="0.25">
      <c r="A1079" s="154"/>
    </row>
    <row r="1080" spans="1:1" x14ac:dyDescent="0.25">
      <c r="A1080" s="154"/>
    </row>
    <row r="1081" spans="1:1" x14ac:dyDescent="0.25">
      <c r="A1081" s="154"/>
    </row>
    <row r="1082" spans="1:1" x14ac:dyDescent="0.25">
      <c r="A1082" s="154"/>
    </row>
    <row r="1083" spans="1:1" x14ac:dyDescent="0.25">
      <c r="A1083" s="154"/>
    </row>
    <row r="1084" spans="1:1" x14ac:dyDescent="0.25">
      <c r="A1084" s="154"/>
    </row>
    <row r="1085" spans="1:1" x14ac:dyDescent="0.25">
      <c r="A1085" s="154"/>
    </row>
    <row r="1086" spans="1:1" x14ac:dyDescent="0.25">
      <c r="A1086" s="154"/>
    </row>
    <row r="1087" spans="1:1" x14ac:dyDescent="0.25">
      <c r="A1087" s="154"/>
    </row>
    <row r="1088" spans="1:1" x14ac:dyDescent="0.25">
      <c r="A1088" s="154"/>
    </row>
    <row r="1089" spans="1:1" x14ac:dyDescent="0.25">
      <c r="A1089" s="154"/>
    </row>
    <row r="1090" spans="1:1" x14ac:dyDescent="0.25">
      <c r="A1090" s="154"/>
    </row>
    <row r="1091" spans="1:1" x14ac:dyDescent="0.25">
      <c r="A1091" s="154"/>
    </row>
    <row r="1092" spans="1:1" x14ac:dyDescent="0.25">
      <c r="A1092" s="154"/>
    </row>
    <row r="1093" spans="1:1" x14ac:dyDescent="0.25">
      <c r="A1093" s="154"/>
    </row>
    <row r="1094" spans="1:1" x14ac:dyDescent="0.25">
      <c r="A1094" s="154"/>
    </row>
    <row r="1095" spans="1:1" x14ac:dyDescent="0.25">
      <c r="A1095" s="154"/>
    </row>
    <row r="1096" spans="1:1" x14ac:dyDescent="0.25">
      <c r="A1096" s="154"/>
    </row>
    <row r="1097" spans="1:1" x14ac:dyDescent="0.25">
      <c r="A1097" s="154"/>
    </row>
    <row r="1098" spans="1:1" x14ac:dyDescent="0.25">
      <c r="A1098" s="154"/>
    </row>
    <row r="1099" spans="1:1" x14ac:dyDescent="0.25">
      <c r="A1099" s="154"/>
    </row>
    <row r="1100" spans="1:1" x14ac:dyDescent="0.25">
      <c r="A1100" s="154"/>
    </row>
    <row r="1101" spans="1:1" x14ac:dyDescent="0.25">
      <c r="A1101" s="154"/>
    </row>
    <row r="1102" spans="1:1" x14ac:dyDescent="0.25">
      <c r="A1102" s="154"/>
    </row>
    <row r="1103" spans="1:1" x14ac:dyDescent="0.25">
      <c r="A1103" s="154"/>
    </row>
    <row r="1104" spans="1:1" x14ac:dyDescent="0.25">
      <c r="A1104" s="154"/>
    </row>
    <row r="1105" spans="1:1" x14ac:dyDescent="0.25">
      <c r="A1105" s="154"/>
    </row>
    <row r="1106" spans="1:1" x14ac:dyDescent="0.25">
      <c r="A1106" s="154"/>
    </row>
    <row r="1111" spans="1:1" x14ac:dyDescent="0.25">
      <c r="A1111" s="154"/>
    </row>
    <row r="1112" spans="1:1" x14ac:dyDescent="0.25">
      <c r="A1112" s="154"/>
    </row>
    <row r="1115" spans="1:1" x14ac:dyDescent="0.25">
      <c r="A1115" s="154"/>
    </row>
    <row r="1117" spans="1:1" x14ac:dyDescent="0.25">
      <c r="A1117" s="154"/>
    </row>
    <row r="1119" spans="1:1" x14ac:dyDescent="0.25">
      <c r="A1119" s="154"/>
    </row>
    <row r="1121" spans="1:1" x14ac:dyDescent="0.25">
      <c r="A1121" s="154"/>
    </row>
    <row r="1124" spans="1:1" x14ac:dyDescent="0.25">
      <c r="A1124" s="154"/>
    </row>
    <row r="1125" spans="1:1" x14ac:dyDescent="0.25">
      <c r="A1125" s="154"/>
    </row>
    <row r="1126" spans="1:1" x14ac:dyDescent="0.25">
      <c r="A1126" s="154"/>
    </row>
    <row r="1127" spans="1:1" x14ac:dyDescent="0.25">
      <c r="A1127" s="154"/>
    </row>
    <row r="1128" spans="1:1" x14ac:dyDescent="0.25">
      <c r="A1128" s="154"/>
    </row>
    <row r="1129" spans="1:1" x14ac:dyDescent="0.25">
      <c r="A1129" s="154"/>
    </row>
    <row r="1130" spans="1:1" x14ac:dyDescent="0.25">
      <c r="A1130" s="154"/>
    </row>
    <row r="1131" spans="1:1" x14ac:dyDescent="0.25">
      <c r="A1131" s="154"/>
    </row>
  </sheetData>
  <customSheetViews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5">
      <selection activeCell="R8" sqref="R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P70">
      <selection activeCell="P37" sqref="P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3" transitionEvaluation="1" transitionEntry="1" codeName="Sheet12"/>
  <dimension ref="A1:BX1097"/>
  <sheetViews>
    <sheetView tabSelected="1" view="pageLayout" topLeftCell="A13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6.77734375" style="101" customWidth="1"/>
    <col min="4" max="4" width="36.6640625" style="101" customWidth="1"/>
    <col min="5" max="5" width="0.66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0.664062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20.5546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4.5546875" style="101" customWidth="1"/>
    <col min="23" max="23" width="40.21875" style="101" customWidth="1"/>
    <col min="24" max="24" width="0.664062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0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757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M9" s="82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8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M10" s="82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87"/>
      <c r="M11" s="187"/>
      <c r="N11" s="150"/>
      <c r="O11" s="150"/>
      <c r="P11" s="150"/>
      <c r="Q11" s="150"/>
      <c r="R11" s="187"/>
      <c r="AK11" s="297"/>
      <c r="AL11" s="154"/>
    </row>
    <row r="12" spans="1:40" x14ac:dyDescent="0.25">
      <c r="A12" s="151"/>
      <c r="B12" s="151"/>
      <c r="C12" s="151"/>
      <c r="D12" s="151"/>
      <c r="E12" s="151"/>
      <c r="F12" s="80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AA12" s="154"/>
      <c r="AB12" s="154"/>
      <c r="AK12" s="209"/>
      <c r="AL12" s="202"/>
    </row>
    <row r="13" spans="1:40" ht="18" customHeight="1" x14ac:dyDescent="0.25">
      <c r="A13" s="152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93" t="s">
        <v>6</v>
      </c>
      <c r="M13" s="193"/>
      <c r="N13" s="193" t="s">
        <v>7</v>
      </c>
      <c r="O13" s="193"/>
      <c r="P13" s="152"/>
      <c r="Q13" s="152"/>
      <c r="R13" s="193" t="s">
        <v>6</v>
      </c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208"/>
      <c r="AH13" s="102"/>
      <c r="AI13" s="102"/>
      <c r="AJ13" s="102"/>
      <c r="AK13" s="208"/>
      <c r="AL13" s="102"/>
      <c r="AM13" s="102"/>
      <c r="AN13" s="102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Z15" s="103"/>
      <c r="AA15" s="103"/>
      <c r="AB15" s="103"/>
      <c r="AC15" s="103"/>
      <c r="AD15" s="103"/>
      <c r="AE15" s="103"/>
      <c r="AF15" s="103"/>
      <c r="AG15" s="185"/>
      <c r="AH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430</v>
      </c>
      <c r="Q16" s="83"/>
      <c r="R16" s="256" t="s">
        <v>30</v>
      </c>
      <c r="T16" s="103"/>
      <c r="U16" s="103"/>
      <c r="V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ht="17.100000000000001" customHeight="1" x14ac:dyDescent="0.25">
      <c r="A18" s="152"/>
      <c r="B18" s="152"/>
      <c r="C18" s="152"/>
      <c r="D18" s="152"/>
      <c r="E18" s="152"/>
      <c r="F18" s="152"/>
      <c r="G18" s="152"/>
      <c r="H18" s="375" t="s">
        <v>218</v>
      </c>
      <c r="I18" s="376"/>
      <c r="J18" s="375" t="s">
        <v>441</v>
      </c>
      <c r="K18" s="376"/>
      <c r="L18" s="376" t="s">
        <v>52</v>
      </c>
      <c r="M18" s="376"/>
      <c r="N18" s="376" t="s">
        <v>53</v>
      </c>
      <c r="O18" s="376"/>
      <c r="P18" s="376" t="s">
        <v>52</v>
      </c>
      <c r="Q18" s="376"/>
      <c r="R18" s="376" t="s">
        <v>52</v>
      </c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x14ac:dyDescent="0.25">
      <c r="A19" s="159">
        <v>1</v>
      </c>
      <c r="B19" s="80"/>
      <c r="C19" s="253" t="s">
        <v>62</v>
      </c>
      <c r="D19" s="253" t="s">
        <v>63</v>
      </c>
      <c r="E19" s="82"/>
      <c r="F19" s="70"/>
      <c r="G19" s="70"/>
      <c r="H19" s="298"/>
      <c r="I19" s="298"/>
      <c r="J19" s="299" t="s">
        <v>435</v>
      </c>
      <c r="K19" s="298"/>
      <c r="L19" s="298"/>
      <c r="M19" s="298"/>
      <c r="N19" s="298"/>
      <c r="O19" s="298"/>
      <c r="P19" s="298"/>
      <c r="Q19" s="298"/>
      <c r="R19" s="298"/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2</v>
      </c>
      <c r="B20" s="80"/>
      <c r="C20" s="253" t="s">
        <v>56</v>
      </c>
      <c r="D20" s="80"/>
      <c r="E20" s="8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154"/>
      <c r="U20" s="154"/>
    </row>
    <row r="21" spans="1:40" x14ac:dyDescent="0.25">
      <c r="A21" s="159">
        <v>3</v>
      </c>
      <c r="B21" s="80"/>
      <c r="C21" s="253" t="s">
        <v>64</v>
      </c>
      <c r="D21" s="80"/>
      <c r="E21" s="80"/>
      <c r="F21" s="252">
        <v>52</v>
      </c>
      <c r="G21" s="70"/>
      <c r="H21" s="78"/>
      <c r="I21" s="78"/>
      <c r="J21" s="283">
        <f>INPUT!D122</f>
        <v>500</v>
      </c>
      <c r="K21" s="284"/>
      <c r="L21" s="167">
        <f>ROUND(F21*J21,0)</f>
        <v>26000</v>
      </c>
      <c r="M21" s="79"/>
      <c r="N21" s="341">
        <f>ROUND((L21/$L$57)*100,1)</f>
        <v>0.2</v>
      </c>
      <c r="O21" s="156"/>
      <c r="P21" s="167"/>
      <c r="Q21" s="302"/>
      <c r="R21" s="167">
        <f>L21+P21</f>
        <v>26000</v>
      </c>
    </row>
    <row r="22" spans="1:40" x14ac:dyDescent="0.25">
      <c r="A22" s="159"/>
      <c r="B22" s="80"/>
      <c r="C22" s="82"/>
      <c r="D22" s="80"/>
      <c r="E22" s="80"/>
      <c r="F22" s="230"/>
      <c r="G22" s="70"/>
      <c r="H22" s="78"/>
      <c r="I22" s="78"/>
      <c r="J22" s="283"/>
      <c r="K22" s="284"/>
      <c r="L22" s="163"/>
      <c r="M22" s="79"/>
      <c r="N22" s="198"/>
      <c r="O22" s="156"/>
      <c r="P22" s="163"/>
      <c r="Q22" s="302"/>
      <c r="R22" s="163"/>
    </row>
    <row r="23" spans="1:40" x14ac:dyDescent="0.25">
      <c r="A23" s="159">
        <v>4</v>
      </c>
      <c r="B23" s="80"/>
      <c r="C23" s="253" t="s">
        <v>65</v>
      </c>
      <c r="D23" s="80"/>
      <c r="E23" s="80"/>
      <c r="F23" s="78"/>
      <c r="G23" s="70"/>
      <c r="H23" s="78"/>
      <c r="I23" s="78"/>
      <c r="J23" s="377"/>
      <c r="K23" s="339"/>
      <c r="L23" s="79"/>
      <c r="M23" s="79"/>
      <c r="N23" s="156"/>
      <c r="O23" s="156"/>
      <c r="P23" s="79"/>
      <c r="Q23" s="79"/>
      <c r="R23" s="79"/>
      <c r="S23" s="200"/>
      <c r="V23" s="211"/>
      <c r="Y23" s="200"/>
      <c r="Z23" s="252"/>
      <c r="AA23" s="200"/>
      <c r="AB23" s="200"/>
      <c r="AC23" s="210"/>
      <c r="AD23" s="210"/>
      <c r="AE23" s="200"/>
      <c r="AF23" s="200"/>
      <c r="AI23" s="200"/>
      <c r="AJ23" s="200"/>
      <c r="AK23" s="209"/>
      <c r="AL23" s="200"/>
    </row>
    <row r="24" spans="1:40" x14ac:dyDescent="0.25">
      <c r="A24" s="159">
        <v>5</v>
      </c>
      <c r="B24" s="80"/>
      <c r="C24" s="82" t="s">
        <v>66</v>
      </c>
      <c r="D24" s="80"/>
      <c r="E24" s="80"/>
      <c r="F24" s="78"/>
      <c r="G24" s="70"/>
      <c r="H24" s="225">
        <v>158600</v>
      </c>
      <c r="I24" s="78"/>
      <c r="J24" s="283">
        <f>INPUT!D128</f>
        <v>8.4600000000000009</v>
      </c>
      <c r="K24" s="284"/>
      <c r="L24" s="79">
        <f>ROUND(H24*J24,0)</f>
        <v>1341756</v>
      </c>
      <c r="M24" s="79"/>
      <c r="N24" s="198">
        <f>ROUND((L24/$L$57)*100,1)</f>
        <v>9.8000000000000007</v>
      </c>
      <c r="O24" s="156"/>
      <c r="P24" s="79"/>
      <c r="Q24" s="79"/>
      <c r="R24" s="79">
        <f>L24+P24</f>
        <v>1341756</v>
      </c>
      <c r="S24" s="200"/>
      <c r="V24" s="211"/>
      <c r="Y24" s="211"/>
      <c r="Z24" s="305"/>
      <c r="AA24" s="211"/>
      <c r="AB24" s="211"/>
      <c r="AC24" s="211"/>
      <c r="AD24" s="211"/>
      <c r="AE24" s="211"/>
      <c r="AF24" s="211"/>
      <c r="AI24" s="211"/>
      <c r="AJ24" s="211"/>
      <c r="AK24" s="212"/>
      <c r="AL24" s="211"/>
      <c r="AM24" s="210"/>
      <c r="AN24" s="210"/>
    </row>
    <row r="25" spans="1:40" x14ac:dyDescent="0.25">
      <c r="A25" s="159">
        <v>6</v>
      </c>
      <c r="B25" s="80"/>
      <c r="C25" s="82" t="s">
        <v>67</v>
      </c>
      <c r="D25" s="80"/>
      <c r="E25" s="80"/>
      <c r="F25" s="230"/>
      <c r="G25" s="70"/>
      <c r="H25" s="287">
        <v>6575</v>
      </c>
      <c r="I25" s="78"/>
      <c r="J25" s="283">
        <f>INPUT!D129</f>
        <v>1.28</v>
      </c>
      <c r="K25" s="284"/>
      <c r="L25" s="167">
        <f>ROUND(H25*J25,0)</f>
        <v>8416</v>
      </c>
      <c r="M25" s="79"/>
      <c r="N25" s="341">
        <f>ROUND((L25/$L$57)*100,1)</f>
        <v>0.1</v>
      </c>
      <c r="O25" s="156"/>
      <c r="P25" s="167"/>
      <c r="Q25" s="79"/>
      <c r="R25" s="167">
        <f>L25+P25</f>
        <v>8416</v>
      </c>
      <c r="S25" s="200"/>
      <c r="V25" s="252"/>
      <c r="Y25" s="252"/>
      <c r="Z25" s="305"/>
      <c r="AA25" s="200"/>
      <c r="AB25" s="200"/>
      <c r="AC25" s="210"/>
      <c r="AD25" s="210"/>
      <c r="AE25" s="200"/>
      <c r="AF25" s="200"/>
      <c r="AI25" s="200"/>
      <c r="AJ25" s="200"/>
      <c r="AK25" s="209"/>
      <c r="AL25" s="200"/>
      <c r="AM25" s="210"/>
      <c r="AN25" s="210"/>
    </row>
    <row r="26" spans="1:40" ht="20.100000000000001" customHeight="1" x14ac:dyDescent="0.25">
      <c r="A26" s="159">
        <v>7</v>
      </c>
      <c r="B26" s="80"/>
      <c r="C26" s="253" t="s">
        <v>68</v>
      </c>
      <c r="D26" s="80"/>
      <c r="E26" s="80"/>
      <c r="F26" s="163"/>
      <c r="G26" s="70"/>
      <c r="H26" s="167">
        <f>SUM(H24:H25)</f>
        <v>165175</v>
      </c>
      <c r="I26" s="79"/>
      <c r="J26" s="263"/>
      <c r="K26" s="263"/>
      <c r="L26" s="167">
        <f>SUM(L24:L25)</f>
        <v>1350172</v>
      </c>
      <c r="M26" s="79"/>
      <c r="N26" s="341">
        <f>ROUND((L26/$L$57)*100,1)</f>
        <v>9.9</v>
      </c>
      <c r="O26" s="156"/>
      <c r="P26" s="167"/>
      <c r="Q26" s="79"/>
      <c r="R26" s="167">
        <f>SUM(R24:R25)</f>
        <v>1350172</v>
      </c>
      <c r="S26" s="200"/>
      <c r="V26" s="211"/>
      <c r="Y26" s="211"/>
      <c r="Z26" s="305"/>
      <c r="AA26" s="211"/>
      <c r="AB26" s="211"/>
      <c r="AC26" s="211"/>
      <c r="AD26" s="211"/>
      <c r="AE26" s="211"/>
      <c r="AF26" s="211"/>
      <c r="AI26" s="211"/>
      <c r="AJ26" s="211"/>
      <c r="AK26" s="212"/>
      <c r="AL26" s="211"/>
      <c r="AM26" s="210"/>
      <c r="AN26" s="210"/>
    </row>
    <row r="27" spans="1:40" x14ac:dyDescent="0.25">
      <c r="A27" s="159"/>
      <c r="B27" s="80"/>
      <c r="C27" s="82"/>
      <c r="D27" s="80"/>
      <c r="E27" s="80"/>
      <c r="F27" s="163"/>
      <c r="G27" s="70"/>
      <c r="H27" s="163"/>
      <c r="I27" s="79"/>
      <c r="J27" s="263"/>
      <c r="K27" s="263"/>
      <c r="L27" s="163"/>
      <c r="M27" s="79"/>
      <c r="N27" s="198"/>
      <c r="O27" s="156"/>
      <c r="P27" s="163"/>
      <c r="Q27" s="79"/>
      <c r="R27" s="163"/>
      <c r="S27" s="200"/>
      <c r="V27" s="211"/>
      <c r="Y27" s="211"/>
      <c r="Z27" s="305"/>
      <c r="AA27" s="211"/>
      <c r="AB27" s="211"/>
      <c r="AC27" s="211"/>
      <c r="AD27" s="211"/>
      <c r="AE27" s="211"/>
      <c r="AF27" s="211"/>
      <c r="AI27" s="211"/>
      <c r="AJ27" s="211"/>
      <c r="AK27" s="212"/>
      <c r="AL27" s="211"/>
      <c r="AM27" s="210"/>
      <c r="AN27" s="210"/>
    </row>
    <row r="28" spans="1:40" x14ac:dyDescent="0.25">
      <c r="A28" s="159">
        <v>8</v>
      </c>
      <c r="B28" s="80"/>
      <c r="C28" s="253" t="s">
        <v>481</v>
      </c>
      <c r="D28" s="80"/>
      <c r="E28" s="80"/>
      <c r="F28" s="163"/>
      <c r="G28" s="70"/>
      <c r="H28" s="79"/>
      <c r="I28" s="79"/>
      <c r="J28" s="263"/>
      <c r="K28" s="263"/>
      <c r="L28" s="79"/>
      <c r="M28" s="79"/>
      <c r="N28" s="156"/>
      <c r="O28" s="156"/>
      <c r="P28" s="79"/>
      <c r="Q28" s="79"/>
      <c r="R28" s="79"/>
      <c r="S28" s="200"/>
      <c r="T28" s="154"/>
      <c r="AA28" s="200"/>
      <c r="AB28" s="200"/>
      <c r="AC28" s="200"/>
      <c r="AD28" s="200"/>
      <c r="AI28" s="200"/>
      <c r="AJ28" s="200"/>
      <c r="AK28" s="209"/>
      <c r="AL28" s="200"/>
    </row>
    <row r="29" spans="1:40" x14ac:dyDescent="0.25">
      <c r="A29" s="159">
        <v>9</v>
      </c>
      <c r="B29" s="80"/>
      <c r="C29" s="82" t="s">
        <v>496</v>
      </c>
      <c r="D29" s="80"/>
      <c r="E29" s="80"/>
      <c r="F29" s="163"/>
      <c r="G29" s="70"/>
      <c r="H29" s="252">
        <v>25151023</v>
      </c>
      <c r="I29" s="79"/>
      <c r="J29" s="378">
        <f>PRO_SUM_TT_ON_KWH</f>
        <v>5.4454000000000002E-2</v>
      </c>
      <c r="K29" s="357"/>
      <c r="L29" s="163">
        <f>ROUND((H29*J29),0)</f>
        <v>1369574</v>
      </c>
      <c r="M29" s="163"/>
      <c r="N29" s="198">
        <f>ROUND((L29/$L$57)*100,1)</f>
        <v>10</v>
      </c>
      <c r="O29" s="198"/>
      <c r="P29" s="163"/>
      <c r="Q29" s="163"/>
      <c r="R29" s="163">
        <f>L29+P29</f>
        <v>1369574</v>
      </c>
      <c r="S29" s="200"/>
      <c r="T29" s="154"/>
      <c r="AA29" s="200"/>
      <c r="AB29" s="200"/>
      <c r="AC29" s="200"/>
      <c r="AD29" s="200"/>
      <c r="AI29" s="200"/>
      <c r="AJ29" s="200"/>
      <c r="AK29" s="209"/>
      <c r="AL29" s="200"/>
    </row>
    <row r="30" spans="1:40" x14ac:dyDescent="0.25">
      <c r="A30" s="159">
        <v>10</v>
      </c>
      <c r="B30" s="80"/>
      <c r="C30" s="82" t="s">
        <v>497</v>
      </c>
      <c r="D30" s="80"/>
      <c r="E30" s="80"/>
      <c r="F30" s="167"/>
      <c r="G30" s="70"/>
      <c r="H30" s="287">
        <v>45316087</v>
      </c>
      <c r="I30" s="78"/>
      <c r="J30" s="288">
        <f>PRO_TT_OFF</f>
        <v>4.4594000000000002E-2</v>
      </c>
      <c r="K30" s="289"/>
      <c r="L30" s="167">
        <f>ROUND((H30*J30),0)</f>
        <v>2020826</v>
      </c>
      <c r="M30" s="79"/>
      <c r="N30" s="341">
        <f>ROUND((L30/$L$57)*100,1)</f>
        <v>14.7</v>
      </c>
      <c r="O30" s="156"/>
      <c r="P30" s="167"/>
      <c r="Q30" s="79"/>
      <c r="R30" s="167">
        <f>L30+P30</f>
        <v>2020826</v>
      </c>
      <c r="Z30" s="202"/>
    </row>
    <row r="31" spans="1:40" x14ac:dyDescent="0.25">
      <c r="A31" s="159">
        <v>11</v>
      </c>
      <c r="B31" s="80"/>
      <c r="C31" s="253" t="s">
        <v>164</v>
      </c>
      <c r="D31" s="80"/>
      <c r="E31" s="80"/>
      <c r="F31" s="163"/>
      <c r="G31" s="70"/>
      <c r="H31" s="167">
        <f>SUM(H29:H30)</f>
        <v>70467110</v>
      </c>
      <c r="I31" s="79"/>
      <c r="J31" s="263"/>
      <c r="K31" s="263"/>
      <c r="L31" s="167">
        <f>SUM(L29:L30)</f>
        <v>3390400</v>
      </c>
      <c r="M31" s="79"/>
      <c r="N31" s="341">
        <f>ROUND((L31/$L$57)*100,1)</f>
        <v>24.7</v>
      </c>
      <c r="O31" s="156"/>
      <c r="P31" s="167"/>
      <c r="Q31" s="79"/>
      <c r="R31" s="167">
        <f>SUM(R29:R30)</f>
        <v>3390400</v>
      </c>
      <c r="Z31" s="202"/>
    </row>
    <row r="32" spans="1:40" ht="20.100000000000001" customHeight="1" x14ac:dyDescent="0.25">
      <c r="A32" s="159">
        <v>12</v>
      </c>
      <c r="B32" s="80"/>
      <c r="C32" s="253" t="s">
        <v>58</v>
      </c>
      <c r="D32" s="80"/>
      <c r="E32" s="80"/>
      <c r="F32" s="169">
        <f>F21</f>
        <v>52</v>
      </c>
      <c r="G32" s="70"/>
      <c r="H32" s="169">
        <f>H31</f>
        <v>70467110</v>
      </c>
      <c r="I32" s="79"/>
      <c r="J32" s="268"/>
      <c r="K32" s="268"/>
      <c r="L32" s="169">
        <f>L21+L26+L31</f>
        <v>4766572</v>
      </c>
      <c r="M32" s="79"/>
      <c r="N32" s="341">
        <f>ROUND((L32/$L$57)*100,1)</f>
        <v>34.799999999999997</v>
      </c>
      <c r="O32" s="156"/>
      <c r="P32" s="169"/>
      <c r="Q32" s="79"/>
      <c r="R32" s="169">
        <f>R21+R26+R31</f>
        <v>4766572</v>
      </c>
    </row>
    <row r="33" spans="1:43" x14ac:dyDescent="0.25">
      <c r="D33" s="80"/>
      <c r="E33" s="80"/>
      <c r="F33" s="78"/>
      <c r="G33" s="70"/>
      <c r="H33" s="78"/>
      <c r="I33" s="78"/>
      <c r="J33" s="268"/>
      <c r="K33" s="268"/>
      <c r="L33" s="79"/>
      <c r="M33" s="79"/>
      <c r="N33" s="156"/>
      <c r="O33" s="156"/>
      <c r="P33" s="79"/>
      <c r="Q33" s="79"/>
      <c r="R33" s="79"/>
    </row>
    <row r="34" spans="1:43" x14ac:dyDescent="0.25">
      <c r="A34" s="159">
        <v>13</v>
      </c>
      <c r="B34" s="80"/>
      <c r="C34" s="253" t="s">
        <v>59</v>
      </c>
      <c r="D34" s="80"/>
      <c r="E34" s="8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</row>
    <row r="35" spans="1:43" x14ac:dyDescent="0.25">
      <c r="A35" s="159">
        <v>14</v>
      </c>
      <c r="B35" s="80"/>
      <c r="C35" s="253" t="s">
        <v>64</v>
      </c>
      <c r="D35" s="80"/>
      <c r="E35" s="80"/>
      <c r="F35" s="252">
        <v>104</v>
      </c>
      <c r="G35" s="70"/>
      <c r="H35" s="78"/>
      <c r="I35" s="78"/>
      <c r="J35" s="284">
        <f>J21</f>
        <v>500</v>
      </c>
      <c r="K35" s="284"/>
      <c r="L35" s="167">
        <f>ROUND(F35*J35,0)</f>
        <v>52000</v>
      </c>
      <c r="M35" s="79"/>
      <c r="N35" s="341">
        <f>ROUND((L35/L$57)*100,1)</f>
        <v>0.4</v>
      </c>
      <c r="O35" s="156"/>
      <c r="P35" s="379"/>
      <c r="Q35" s="302"/>
      <c r="R35" s="167">
        <f>L35+P35</f>
        <v>52000</v>
      </c>
    </row>
    <row r="36" spans="1:43" x14ac:dyDescent="0.25">
      <c r="A36" s="159"/>
      <c r="B36" s="80"/>
      <c r="C36" s="82"/>
      <c r="D36" s="80"/>
      <c r="E36" s="80"/>
      <c r="F36" s="230"/>
      <c r="G36" s="70"/>
      <c r="H36" s="78"/>
      <c r="I36" s="78"/>
      <c r="J36" s="283"/>
      <c r="K36" s="284"/>
      <c r="L36" s="163"/>
      <c r="M36" s="79"/>
      <c r="N36" s="198"/>
      <c r="O36" s="156"/>
      <c r="P36" s="271"/>
      <c r="Q36" s="302"/>
      <c r="R36" s="163"/>
    </row>
    <row r="37" spans="1:43" x14ac:dyDescent="0.25">
      <c r="A37" s="159">
        <v>15</v>
      </c>
      <c r="B37" s="80"/>
      <c r="C37" s="253" t="s">
        <v>65</v>
      </c>
      <c r="D37" s="80"/>
      <c r="E37" s="80"/>
      <c r="F37" s="78"/>
      <c r="G37" s="70"/>
      <c r="H37" s="78"/>
      <c r="I37" s="78"/>
      <c r="J37" s="377"/>
      <c r="K37" s="339"/>
      <c r="L37" s="79"/>
      <c r="M37" s="79"/>
      <c r="N37" s="156"/>
      <c r="O37" s="156"/>
      <c r="P37" s="79"/>
      <c r="Q37" s="79"/>
      <c r="R37" s="79"/>
      <c r="T37" s="312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380"/>
      <c r="AH37" s="100"/>
      <c r="AI37" s="100"/>
      <c r="AJ37" s="100"/>
      <c r="AK37" s="380"/>
      <c r="AL37" s="100"/>
      <c r="AM37" s="100"/>
      <c r="AN37" s="100"/>
      <c r="AO37" s="100"/>
      <c r="AP37" s="100"/>
      <c r="AQ37" s="380"/>
    </row>
    <row r="38" spans="1:43" x14ac:dyDescent="0.25">
      <c r="A38" s="159">
        <v>16</v>
      </c>
      <c r="B38" s="80"/>
      <c r="C38" s="82" t="s">
        <v>66</v>
      </c>
      <c r="D38" s="80"/>
      <c r="E38" s="80"/>
      <c r="F38" s="78"/>
      <c r="G38" s="70"/>
      <c r="H38" s="225">
        <v>315418.80000000005</v>
      </c>
      <c r="I38" s="78"/>
      <c r="J38" s="283">
        <f>INPUT!D130</f>
        <v>6.95</v>
      </c>
      <c r="K38" s="284"/>
      <c r="L38" s="79">
        <f>ROUND(H38*J38,0)</f>
        <v>2192161</v>
      </c>
      <c r="M38" s="79"/>
      <c r="N38" s="198">
        <f>ROUND((L38/$L$57)*100,1)</f>
        <v>16</v>
      </c>
      <c r="O38" s="156"/>
      <c r="P38" s="79"/>
      <c r="Q38" s="79"/>
      <c r="R38" s="79">
        <f>L38+P38</f>
        <v>2192161</v>
      </c>
      <c r="T38" s="100"/>
      <c r="U38" s="100"/>
      <c r="V38" s="100"/>
      <c r="W38" s="100"/>
      <c r="X38" s="100"/>
      <c r="Y38" s="100"/>
      <c r="Z38" s="100"/>
      <c r="AA38" s="100"/>
      <c r="AB38" s="100"/>
      <c r="AC38" s="312"/>
      <c r="AD38" s="312"/>
      <c r="AE38" s="100"/>
      <c r="AF38" s="100"/>
      <c r="AG38" s="380"/>
      <c r="AH38" s="100"/>
      <c r="AI38" s="100"/>
      <c r="AJ38" s="100"/>
      <c r="AK38" s="380"/>
      <c r="AL38" s="100"/>
      <c r="AM38" s="100"/>
      <c r="AN38" s="100"/>
      <c r="AO38" s="100"/>
      <c r="AP38" s="100"/>
      <c r="AQ38" s="380"/>
    </row>
    <row r="39" spans="1:43" x14ac:dyDescent="0.25">
      <c r="A39" s="159">
        <v>17</v>
      </c>
      <c r="B39" s="80"/>
      <c r="C39" s="82" t="s">
        <v>67</v>
      </c>
      <c r="D39" s="80"/>
      <c r="E39" s="80"/>
      <c r="F39" s="230"/>
      <c r="G39" s="70"/>
      <c r="H39" s="287">
        <v>11327.7</v>
      </c>
      <c r="I39" s="78"/>
      <c r="J39" s="283">
        <f>INPUT!D131</f>
        <v>1.28</v>
      </c>
      <c r="K39" s="284"/>
      <c r="L39" s="167">
        <f>ROUND(H39*J39,0)</f>
        <v>14499</v>
      </c>
      <c r="M39" s="79"/>
      <c r="N39" s="341">
        <f>ROUND((L39/$L$57)*100,1)</f>
        <v>0.1</v>
      </c>
      <c r="O39" s="156"/>
      <c r="P39" s="167"/>
      <c r="Q39" s="79"/>
      <c r="R39" s="167">
        <f>L39+P39</f>
        <v>14499</v>
      </c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312"/>
      <c r="AF39" s="312"/>
      <c r="AG39" s="380"/>
      <c r="AH39" s="100"/>
      <c r="AI39" s="100"/>
      <c r="AJ39" s="100"/>
      <c r="AK39" s="380"/>
      <c r="AL39" s="100"/>
      <c r="AM39" s="100"/>
      <c r="AN39" s="100"/>
      <c r="AO39" s="100"/>
      <c r="AP39" s="100"/>
      <c r="AQ39" s="380"/>
    </row>
    <row r="40" spans="1:43" ht="20.100000000000001" customHeight="1" x14ac:dyDescent="0.25">
      <c r="A40" s="159">
        <v>18</v>
      </c>
      <c r="B40" s="80"/>
      <c r="C40" s="253" t="s">
        <v>68</v>
      </c>
      <c r="D40" s="80"/>
      <c r="E40" s="80"/>
      <c r="F40" s="163"/>
      <c r="G40" s="70"/>
      <c r="H40" s="167">
        <f>SUM(H38:H39)</f>
        <v>326746.50000000006</v>
      </c>
      <c r="I40" s="79"/>
      <c r="J40" s="310"/>
      <c r="K40" s="263"/>
      <c r="L40" s="167">
        <f>L38+L39</f>
        <v>2206660</v>
      </c>
      <c r="M40" s="79"/>
      <c r="N40" s="341">
        <f>ROUND((L40/$L$57)*100,1)</f>
        <v>16.100000000000001</v>
      </c>
      <c r="O40" s="156"/>
      <c r="P40" s="167"/>
      <c r="Q40" s="79"/>
      <c r="R40" s="167">
        <f>L40+P40</f>
        <v>2206660</v>
      </c>
      <c r="T40" s="202"/>
      <c r="AO40" s="154"/>
      <c r="AP40" s="154"/>
    </row>
    <row r="41" spans="1:43" x14ac:dyDescent="0.25">
      <c r="A41" s="159"/>
      <c r="B41" s="80"/>
      <c r="C41" s="82"/>
      <c r="D41" s="80"/>
      <c r="E41" s="80"/>
      <c r="F41" s="163"/>
      <c r="G41" s="70"/>
      <c r="H41" s="163"/>
      <c r="I41" s="79"/>
      <c r="J41" s="310"/>
      <c r="K41" s="263"/>
      <c r="L41" s="163"/>
      <c r="M41" s="79"/>
      <c r="N41" s="198"/>
      <c r="O41" s="156"/>
      <c r="P41" s="163"/>
      <c r="Q41" s="79"/>
      <c r="R41" s="163"/>
      <c r="T41" s="202"/>
      <c r="AO41" s="154"/>
      <c r="AP41" s="154"/>
    </row>
    <row r="42" spans="1:43" x14ac:dyDescent="0.25">
      <c r="A42" s="159">
        <v>19</v>
      </c>
      <c r="B42" s="80"/>
      <c r="C42" s="253" t="s">
        <v>481</v>
      </c>
      <c r="D42" s="80"/>
      <c r="E42" s="80"/>
      <c r="F42" s="163"/>
      <c r="G42" s="70"/>
      <c r="H42" s="79"/>
      <c r="I42" s="79"/>
      <c r="J42" s="310"/>
      <c r="K42" s="263"/>
      <c r="L42" s="79"/>
      <c r="M42" s="79"/>
      <c r="N42" s="156"/>
      <c r="O42" s="156"/>
      <c r="P42" s="79"/>
      <c r="Q42" s="79"/>
      <c r="R42" s="79"/>
      <c r="T42" s="154"/>
      <c r="AO42" s="202"/>
      <c r="AP42" s="202"/>
    </row>
    <row r="43" spans="1:43" x14ac:dyDescent="0.25">
      <c r="A43" s="159">
        <v>20</v>
      </c>
      <c r="B43" s="80"/>
      <c r="C43" s="82" t="s">
        <v>496</v>
      </c>
      <c r="D43" s="80"/>
      <c r="E43" s="80"/>
      <c r="F43" s="163"/>
      <c r="G43" s="70"/>
      <c r="H43" s="252">
        <v>49796666</v>
      </c>
      <c r="I43" s="79"/>
      <c r="J43" s="378">
        <f>PRO_WIN_TT_ON_KWH</f>
        <v>5.1983000000000001E-2</v>
      </c>
      <c r="K43" s="263"/>
      <c r="L43" s="163">
        <f>ROUND((H43*J43),0)</f>
        <v>2588580</v>
      </c>
      <c r="M43" s="79"/>
      <c r="N43" s="198">
        <f>ROUND((L43/$L$57)*100,1)</f>
        <v>18.899999999999999</v>
      </c>
      <c r="O43" s="198"/>
      <c r="P43" s="163"/>
      <c r="Q43" s="163"/>
      <c r="R43" s="163">
        <f>L43+P43</f>
        <v>2588580</v>
      </c>
      <c r="T43" s="154"/>
      <c r="AO43" s="202"/>
      <c r="AP43" s="202"/>
    </row>
    <row r="44" spans="1:43" x14ac:dyDescent="0.25">
      <c r="A44" s="159">
        <v>21</v>
      </c>
      <c r="B44" s="80"/>
      <c r="C44" s="82" t="s">
        <v>497</v>
      </c>
      <c r="D44" s="80"/>
      <c r="E44" s="80"/>
      <c r="F44" s="167"/>
      <c r="G44" s="70"/>
      <c r="H44" s="287">
        <v>93005652</v>
      </c>
      <c r="I44" s="78"/>
      <c r="J44" s="288">
        <f>PRO_TT_OFF</f>
        <v>4.4594000000000002E-2</v>
      </c>
      <c r="K44" s="289"/>
      <c r="L44" s="167">
        <f>ROUND((H44*J44),0)</f>
        <v>4147494</v>
      </c>
      <c r="M44" s="79"/>
      <c r="N44" s="341">
        <f>ROUND((L44/$L$57)*100,1)-0.1</f>
        <v>30.2</v>
      </c>
      <c r="O44" s="156"/>
      <c r="P44" s="167"/>
      <c r="Q44" s="79"/>
      <c r="R44" s="167">
        <f>L44+P44</f>
        <v>4147494</v>
      </c>
      <c r="T44" s="312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380"/>
      <c r="AH44" s="100"/>
      <c r="AI44" s="100"/>
      <c r="AJ44" s="100"/>
      <c r="AK44" s="380"/>
      <c r="AL44" s="100"/>
      <c r="AM44" s="100"/>
      <c r="AN44" s="100"/>
      <c r="AO44" s="100"/>
      <c r="AP44" s="100"/>
      <c r="AQ44" s="380"/>
    </row>
    <row r="45" spans="1:43" x14ac:dyDescent="0.25">
      <c r="A45" s="159">
        <v>22</v>
      </c>
      <c r="B45" s="80"/>
      <c r="C45" s="253" t="s">
        <v>164</v>
      </c>
      <c r="D45" s="80"/>
      <c r="E45" s="80"/>
      <c r="F45" s="163"/>
      <c r="G45" s="70"/>
      <c r="H45" s="167">
        <f>SUM(H43:H44)</f>
        <v>142802318</v>
      </c>
      <c r="I45" s="79"/>
      <c r="J45" s="263"/>
      <c r="K45" s="263"/>
      <c r="L45" s="167">
        <f>SUM(L43:L44)</f>
        <v>6736074</v>
      </c>
      <c r="M45" s="79"/>
      <c r="N45" s="341">
        <f>ROUND((L45/$L$57)*100,1)-0.1</f>
        <v>49.1</v>
      </c>
      <c r="O45" s="156"/>
      <c r="P45" s="167"/>
      <c r="Q45" s="79"/>
      <c r="R45" s="167">
        <f>SUM(R43:R44)</f>
        <v>6736074</v>
      </c>
      <c r="T45" s="312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380"/>
      <c r="AH45" s="100"/>
      <c r="AI45" s="100"/>
      <c r="AJ45" s="100"/>
      <c r="AK45" s="380"/>
      <c r="AL45" s="100"/>
      <c r="AM45" s="100"/>
      <c r="AN45" s="100"/>
      <c r="AO45" s="100"/>
      <c r="AP45" s="100"/>
      <c r="AQ45" s="380"/>
    </row>
    <row r="46" spans="1:43" ht="20.100000000000001" customHeight="1" x14ac:dyDescent="0.25">
      <c r="A46" s="159">
        <v>23</v>
      </c>
      <c r="B46" s="80"/>
      <c r="C46" s="253" t="s">
        <v>60</v>
      </c>
      <c r="D46" s="80"/>
      <c r="E46" s="80"/>
      <c r="F46" s="169">
        <f>F35</f>
        <v>104</v>
      </c>
      <c r="G46" s="70"/>
      <c r="H46" s="169">
        <f>H45</f>
        <v>142802318</v>
      </c>
      <c r="I46" s="79"/>
      <c r="J46" s="268"/>
      <c r="K46" s="268"/>
      <c r="L46" s="169">
        <f>L35+L40+L45</f>
        <v>8994734</v>
      </c>
      <c r="M46" s="79"/>
      <c r="N46" s="341">
        <f>ROUND((L46/$L$57)*100,1)</f>
        <v>65.599999999999994</v>
      </c>
      <c r="O46" s="156"/>
      <c r="P46" s="169"/>
      <c r="Q46" s="79"/>
      <c r="R46" s="169">
        <f>R35+R40+R45</f>
        <v>8994734</v>
      </c>
      <c r="AC46" s="103"/>
      <c r="AD46" s="103"/>
      <c r="AE46" s="103"/>
      <c r="AF46" s="103"/>
      <c r="AG46" s="185"/>
      <c r="AH46" s="103"/>
      <c r="AI46" s="103"/>
      <c r="AJ46" s="103"/>
      <c r="AK46" s="185"/>
      <c r="AL46" s="103"/>
      <c r="AO46" s="103"/>
      <c r="AP46" s="103"/>
      <c r="AQ46" s="185"/>
    </row>
    <row r="47" spans="1:43" ht="20.100000000000001" customHeight="1" x14ac:dyDescent="0.25">
      <c r="A47" s="159">
        <v>24</v>
      </c>
      <c r="B47" s="80"/>
      <c r="C47" s="265" t="s">
        <v>574</v>
      </c>
      <c r="D47" s="80"/>
      <c r="E47" s="80"/>
      <c r="F47" s="169">
        <f>F32+F46</f>
        <v>156</v>
      </c>
      <c r="G47" s="70"/>
      <c r="H47" s="169">
        <f>H46+H32</f>
        <v>213269428</v>
      </c>
      <c r="I47" s="79"/>
      <c r="J47" s="268"/>
      <c r="K47" s="268"/>
      <c r="L47" s="169">
        <f>L46+L32</f>
        <v>13761306</v>
      </c>
      <c r="M47" s="79"/>
      <c r="N47" s="303">
        <f>ROUND((L47/L$57)*100,1)</f>
        <v>100.4</v>
      </c>
      <c r="O47" s="156"/>
      <c r="P47" s="169"/>
      <c r="Q47" s="79"/>
      <c r="R47" s="169">
        <f>R46+R32</f>
        <v>13761306</v>
      </c>
      <c r="AC47" s="103"/>
      <c r="AD47" s="103"/>
      <c r="AE47" s="103"/>
      <c r="AF47" s="103"/>
      <c r="AG47" s="185"/>
      <c r="AH47" s="103"/>
      <c r="AI47" s="103"/>
      <c r="AJ47" s="103"/>
      <c r="AK47" s="185"/>
      <c r="AL47" s="103"/>
      <c r="AO47" s="103"/>
      <c r="AP47" s="103"/>
      <c r="AQ47" s="185"/>
    </row>
    <row r="48" spans="1:43" ht="15.75" customHeight="1" x14ac:dyDescent="0.25">
      <c r="A48" s="159"/>
      <c r="B48" s="80"/>
      <c r="C48" s="82"/>
      <c r="D48" s="80"/>
      <c r="E48" s="80"/>
      <c r="F48" s="163"/>
      <c r="G48" s="70"/>
      <c r="H48" s="163"/>
      <c r="I48" s="79"/>
      <c r="J48" s="268"/>
      <c r="K48" s="268"/>
      <c r="L48" s="163"/>
      <c r="M48" s="79"/>
      <c r="N48" s="198"/>
      <c r="O48" s="156"/>
      <c r="P48" s="163"/>
      <c r="Q48" s="79"/>
      <c r="R48" s="163"/>
      <c r="AC48" s="103"/>
      <c r="AD48" s="103"/>
      <c r="AE48" s="103"/>
      <c r="AF48" s="103"/>
      <c r="AG48" s="185"/>
      <c r="AH48" s="103"/>
      <c r="AI48" s="103"/>
      <c r="AJ48" s="103"/>
      <c r="AK48" s="185"/>
      <c r="AL48" s="103"/>
      <c r="AO48" s="103"/>
      <c r="AP48" s="103"/>
      <c r="AQ48" s="185"/>
    </row>
    <row r="49" spans="1:76" ht="15.75" customHeight="1" x14ac:dyDescent="0.25">
      <c r="A49" s="159">
        <v>25</v>
      </c>
      <c r="B49" s="80"/>
      <c r="C49" s="253" t="s">
        <v>553</v>
      </c>
      <c r="D49" s="80"/>
      <c r="E49" s="80"/>
      <c r="F49" s="163"/>
      <c r="G49" s="70"/>
      <c r="H49" s="163"/>
      <c r="I49" s="79"/>
      <c r="J49" s="268"/>
      <c r="K49" s="268"/>
      <c r="L49" s="163"/>
      <c r="M49" s="79"/>
      <c r="N49" s="198"/>
      <c r="O49" s="156"/>
      <c r="P49" s="163"/>
      <c r="Q49" s="79"/>
      <c r="R49" s="163"/>
      <c r="AC49" s="103"/>
      <c r="AD49" s="103"/>
      <c r="AE49" s="103"/>
      <c r="AF49" s="103"/>
      <c r="AG49" s="185"/>
      <c r="AH49" s="103"/>
      <c r="AI49" s="103"/>
      <c r="AJ49" s="103"/>
      <c r="AK49" s="185"/>
      <c r="AL49" s="103"/>
      <c r="AO49" s="103"/>
      <c r="AP49" s="103"/>
      <c r="AQ49" s="185"/>
    </row>
    <row r="50" spans="1:76" ht="15.75" customHeight="1" x14ac:dyDescent="0.25">
      <c r="A50" s="159">
        <v>26</v>
      </c>
      <c r="B50" s="80"/>
      <c r="C50" s="153" t="str">
        <f>DSMR_Name</f>
        <v>DEMAND SIDE MANAGEMENT RIDER (DSMR)</v>
      </c>
      <c r="D50" s="80"/>
      <c r="E50" s="80"/>
      <c r="F50" s="163"/>
      <c r="G50" s="70"/>
      <c r="H50" s="163"/>
      <c r="I50" s="79"/>
      <c r="J50" s="295">
        <f>PRO_DSM_TRANS</f>
        <v>1.83E-4</v>
      </c>
      <c r="K50" s="268"/>
      <c r="L50" s="163">
        <f>ROUND($H$47*J50,0)</f>
        <v>39028</v>
      </c>
      <c r="M50" s="79"/>
      <c r="N50" s="155">
        <f>ROUND((L50/L$57)*100,1)</f>
        <v>0.3</v>
      </c>
      <c r="O50" s="156"/>
      <c r="P50" s="163"/>
      <c r="Q50" s="79"/>
      <c r="R50" s="79">
        <f>L50+P50</f>
        <v>39028</v>
      </c>
      <c r="AC50" s="103"/>
      <c r="AD50" s="103"/>
      <c r="AE50" s="103"/>
      <c r="AF50" s="103"/>
      <c r="AG50" s="185"/>
      <c r="AH50" s="103"/>
      <c r="AI50" s="103"/>
      <c r="AJ50" s="103"/>
      <c r="AK50" s="185"/>
      <c r="AL50" s="103"/>
      <c r="AO50" s="103"/>
      <c r="AP50" s="103"/>
      <c r="AQ50" s="185"/>
    </row>
    <row r="51" spans="1:76" ht="15.75" customHeight="1" x14ac:dyDescent="0.25">
      <c r="A51" s="159">
        <v>27</v>
      </c>
      <c r="B51" s="80"/>
      <c r="C51" s="153" t="str">
        <f>ESM_Name</f>
        <v>ENVIRONMENTAL SURCHARGE MECHANISM RIDER (ESM)</v>
      </c>
      <c r="D51" s="80"/>
      <c r="E51" s="80"/>
      <c r="F51" s="163"/>
      <c r="G51" s="70"/>
      <c r="H51" s="163"/>
      <c r="I51" s="79"/>
      <c r="J51" s="295">
        <f>PRO_ESM</f>
        <v>0</v>
      </c>
      <c r="K51" s="268"/>
      <c r="L51" s="163">
        <f>ROUND(R47*J51,0)</f>
        <v>0</v>
      </c>
      <c r="M51" s="79"/>
      <c r="N51" s="155">
        <f>ROUND((L51/L$57)*100,1)</f>
        <v>0</v>
      </c>
      <c r="O51" s="156"/>
      <c r="P51" s="163"/>
      <c r="Q51" s="79"/>
      <c r="R51" s="79">
        <f t="shared" ref="R51" si="0">L51+P51</f>
        <v>0</v>
      </c>
      <c r="AC51" s="103"/>
      <c r="AD51" s="103"/>
      <c r="AE51" s="103"/>
      <c r="AF51" s="103"/>
      <c r="AG51" s="185"/>
      <c r="AH51" s="103"/>
      <c r="AI51" s="103"/>
      <c r="AJ51" s="103"/>
      <c r="AK51" s="185"/>
      <c r="AL51" s="103"/>
      <c r="AO51" s="103"/>
      <c r="AP51" s="103"/>
      <c r="AQ51" s="185"/>
    </row>
    <row r="52" spans="1:76" ht="15.75" customHeight="1" x14ac:dyDescent="0.25">
      <c r="A52" s="159">
        <v>28</v>
      </c>
      <c r="B52" s="80"/>
      <c r="C52" s="153" t="str">
        <f>FAC_Name</f>
        <v>FUEL ADJUSTMENT CLAUSE (FAC)</v>
      </c>
      <c r="D52" s="80"/>
      <c r="E52" s="80"/>
      <c r="F52" s="163"/>
      <c r="G52" s="70"/>
      <c r="H52" s="163"/>
      <c r="I52" s="79"/>
      <c r="J52" s="295">
        <f>PRO_FAC</f>
        <v>1.0280000000000003E-3</v>
      </c>
      <c r="K52" s="268"/>
      <c r="L52" s="163"/>
      <c r="M52" s="79"/>
      <c r="N52" s="155"/>
      <c r="O52" s="156"/>
      <c r="P52" s="163">
        <f>ROUND(H47*PRO_FAC,0)</f>
        <v>219241</v>
      </c>
      <c r="Q52" s="79"/>
      <c r="R52" s="79">
        <f t="shared" ref="R52:R54" si="1">L52+P52</f>
        <v>219241</v>
      </c>
      <c r="AC52" s="103"/>
      <c r="AD52" s="103"/>
      <c r="AE52" s="103"/>
      <c r="AF52" s="103"/>
      <c r="AG52" s="185"/>
      <c r="AH52" s="103"/>
      <c r="AI52" s="103"/>
      <c r="AJ52" s="103"/>
      <c r="AK52" s="185"/>
      <c r="AL52" s="103"/>
      <c r="AO52" s="103"/>
      <c r="AP52" s="103"/>
      <c r="AQ52" s="185"/>
    </row>
    <row r="53" spans="1:76" ht="15.75" customHeight="1" x14ac:dyDescent="0.25">
      <c r="A53" s="159">
        <v>29</v>
      </c>
      <c r="B53" s="80"/>
      <c r="C53" s="153" t="str">
        <f>FTR_Name</f>
        <v>FERC TRANSMISSION COST RECOVERY RECONCILIATION (FTR)</v>
      </c>
      <c r="D53" s="80"/>
      <c r="E53" s="80"/>
      <c r="F53" s="163"/>
      <c r="G53" s="70"/>
      <c r="H53" s="163"/>
      <c r="I53" s="79"/>
      <c r="J53" s="295">
        <f>PRO_FTR_TT</f>
        <v>0</v>
      </c>
      <c r="K53" s="268"/>
      <c r="L53" s="163">
        <f>ROUND(H47*J53,0)</f>
        <v>0</v>
      </c>
      <c r="M53" s="79"/>
      <c r="N53" s="155">
        <f>ROUND((L53/L$57)*100,1)</f>
        <v>0</v>
      </c>
      <c r="O53" s="156"/>
      <c r="P53" s="163"/>
      <c r="Q53" s="79"/>
      <c r="R53" s="79">
        <f t="shared" ref="R53" si="2">L53+P53</f>
        <v>0</v>
      </c>
      <c r="AC53" s="103"/>
      <c r="AD53" s="103"/>
      <c r="AE53" s="103"/>
      <c r="AF53" s="103"/>
      <c r="AG53" s="185"/>
      <c r="AH53" s="103"/>
      <c r="AI53" s="103"/>
      <c r="AJ53" s="103"/>
      <c r="AK53" s="185"/>
      <c r="AL53" s="103"/>
      <c r="AO53" s="103"/>
      <c r="AP53" s="103"/>
      <c r="AQ53" s="185"/>
    </row>
    <row r="54" spans="1:76" ht="15.75" customHeight="1" x14ac:dyDescent="0.25">
      <c r="A54" s="159">
        <v>30</v>
      </c>
      <c r="B54" s="80"/>
      <c r="C54" s="153" t="str">
        <f>PSM_Name</f>
        <v>PROFIT SHARING MECHANISM (PSM)</v>
      </c>
      <c r="D54" s="80"/>
      <c r="E54" s="80"/>
      <c r="F54" s="163"/>
      <c r="G54" s="70"/>
      <c r="H54" s="163"/>
      <c r="I54" s="79"/>
      <c r="J54" s="295">
        <f>PRO_PSM</f>
        <v>-4.5600000000000003E-4</v>
      </c>
      <c r="K54" s="268"/>
      <c r="L54" s="167">
        <f>ROUND(H47*PRO_PSM,0)</f>
        <v>-97251</v>
      </c>
      <c r="M54" s="79"/>
      <c r="N54" s="166">
        <f>ROUND((L54/L$57)*100,1)</f>
        <v>-0.7</v>
      </c>
      <c r="O54" s="156"/>
      <c r="P54" s="167"/>
      <c r="Q54" s="79"/>
      <c r="R54" s="167">
        <f t="shared" si="1"/>
        <v>-97251</v>
      </c>
      <c r="AC54" s="103"/>
      <c r="AD54" s="103"/>
      <c r="AE54" s="103"/>
      <c r="AF54" s="103"/>
      <c r="AG54" s="185"/>
      <c r="AH54" s="103"/>
      <c r="AI54" s="103"/>
      <c r="AJ54" s="103"/>
      <c r="AK54" s="185"/>
      <c r="AL54" s="103"/>
      <c r="AO54" s="103"/>
      <c r="AP54" s="103"/>
      <c r="AQ54" s="185"/>
    </row>
    <row r="55" spans="1:76" ht="20.100000000000001" customHeight="1" x14ac:dyDescent="0.25">
      <c r="A55" s="159">
        <v>31</v>
      </c>
      <c r="B55" s="80"/>
      <c r="C55" s="253" t="s">
        <v>557</v>
      </c>
      <c r="D55" s="80"/>
      <c r="E55" s="80"/>
      <c r="F55" s="167"/>
      <c r="G55" s="70"/>
      <c r="H55" s="167"/>
      <c r="I55" s="79"/>
      <c r="J55" s="268"/>
      <c r="K55" s="268"/>
      <c r="L55" s="169">
        <f>SUM(L50:L54)</f>
        <v>-58223</v>
      </c>
      <c r="M55" s="79"/>
      <c r="N55" s="170">
        <f>ROUND((L55/L$57)*100,1)</f>
        <v>-0.4</v>
      </c>
      <c r="O55" s="156"/>
      <c r="P55" s="169">
        <f>SUM(P50:P54)</f>
        <v>219241</v>
      </c>
      <c r="Q55" s="79"/>
      <c r="R55" s="169">
        <f>SUM(R50:R54)</f>
        <v>161018</v>
      </c>
      <c r="AC55" s="103"/>
      <c r="AD55" s="103"/>
      <c r="AE55" s="103"/>
      <c r="AF55" s="103"/>
      <c r="AG55" s="185"/>
      <c r="AH55" s="103"/>
      <c r="AI55" s="103"/>
      <c r="AJ55" s="103"/>
      <c r="AK55" s="185"/>
      <c r="AL55" s="103"/>
      <c r="AO55" s="103"/>
      <c r="AP55" s="103"/>
      <c r="AQ55" s="185"/>
    </row>
    <row r="56" spans="1:76" x14ac:dyDescent="0.25">
      <c r="A56" s="159"/>
      <c r="B56" s="80"/>
      <c r="C56" s="82"/>
      <c r="D56" s="80"/>
      <c r="E56" s="8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T56" s="103"/>
      <c r="V56" s="103"/>
      <c r="W56" s="103"/>
      <c r="X56" s="103"/>
      <c r="Y56" s="103"/>
      <c r="AA56" s="103"/>
      <c r="AB56" s="103"/>
      <c r="AC56" s="103"/>
      <c r="AD56" s="103"/>
      <c r="AE56" s="103"/>
      <c r="AF56" s="103"/>
      <c r="AG56" s="185"/>
      <c r="AH56" s="103"/>
      <c r="AI56" s="103"/>
      <c r="AJ56" s="103"/>
      <c r="AK56" s="185"/>
      <c r="AL56" s="103"/>
      <c r="AM56" s="103"/>
      <c r="AN56" s="103"/>
      <c r="AO56" s="103"/>
      <c r="AP56" s="103"/>
      <c r="AQ56" s="185"/>
      <c r="AS56" s="200"/>
      <c r="AT56" s="200"/>
      <c r="AU56" s="210"/>
      <c r="BX56" s="317"/>
    </row>
    <row r="57" spans="1:76" ht="20.100000000000001" customHeight="1" thickBot="1" x14ac:dyDescent="0.3">
      <c r="A57" s="159">
        <v>32</v>
      </c>
      <c r="B57" s="80"/>
      <c r="C57" s="265" t="s">
        <v>575</v>
      </c>
      <c r="D57" s="80"/>
      <c r="E57" s="80"/>
      <c r="F57" s="275">
        <f>F32+F46</f>
        <v>156</v>
      </c>
      <c r="G57" s="70"/>
      <c r="H57" s="275">
        <f>H32+H46</f>
        <v>213269428</v>
      </c>
      <c r="I57" s="79"/>
      <c r="J57" s="70"/>
      <c r="K57" s="70"/>
      <c r="L57" s="275">
        <f>L55+L47</f>
        <v>13703083</v>
      </c>
      <c r="M57" s="79"/>
      <c r="N57" s="309">
        <v>100</v>
      </c>
      <c r="O57" s="156"/>
      <c r="P57" s="275">
        <f>P55+P47</f>
        <v>219241</v>
      </c>
      <c r="Q57" s="78"/>
      <c r="R57" s="275">
        <f>R55+R47</f>
        <v>13922324</v>
      </c>
      <c r="V57" s="103"/>
      <c r="W57" s="103"/>
      <c r="X57" s="103"/>
      <c r="Y57" s="103"/>
      <c r="AA57" s="103"/>
      <c r="AB57" s="103"/>
      <c r="AC57" s="103"/>
      <c r="AD57" s="103"/>
      <c r="AE57" s="103"/>
      <c r="AF57" s="103"/>
      <c r="AG57" s="185"/>
      <c r="AH57" s="103"/>
      <c r="AI57" s="103"/>
      <c r="AJ57" s="103"/>
      <c r="AK57" s="185"/>
      <c r="AL57" s="103"/>
      <c r="AM57" s="103"/>
      <c r="AN57" s="103"/>
      <c r="AO57" s="103"/>
      <c r="AP57" s="103"/>
      <c r="AQ57" s="185"/>
      <c r="AS57" s="200"/>
      <c r="AT57" s="200"/>
      <c r="AU57" s="210"/>
    </row>
    <row r="58" spans="1:76" ht="16.5" thickTop="1" x14ac:dyDescent="0.25">
      <c r="A58" s="80"/>
      <c r="B58" s="80"/>
      <c r="C58" s="80"/>
      <c r="D58" s="80"/>
      <c r="E58" s="8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AA58" s="103"/>
      <c r="AB58" s="103"/>
      <c r="AC58" s="103"/>
      <c r="AD58" s="103"/>
      <c r="AE58" s="103"/>
      <c r="AF58" s="103"/>
      <c r="AG58" s="185"/>
      <c r="AH58" s="103"/>
      <c r="AI58" s="103"/>
      <c r="AJ58" s="103"/>
      <c r="AK58" s="185"/>
      <c r="AL58" s="103"/>
      <c r="AM58" s="103"/>
      <c r="AN58" s="103"/>
      <c r="AO58" s="103"/>
      <c r="AP58" s="103"/>
      <c r="AQ58" s="185"/>
      <c r="AS58" s="200"/>
      <c r="AT58" s="200"/>
      <c r="AU58" s="327"/>
    </row>
    <row r="59" spans="1:76" x14ac:dyDescent="0.25">
      <c r="A59" s="80"/>
      <c r="B59" s="80"/>
      <c r="C59" s="253" t="s">
        <v>61</v>
      </c>
      <c r="D59" s="80"/>
      <c r="E59" s="80"/>
      <c r="F59" s="70"/>
      <c r="G59" s="70"/>
      <c r="H59" s="70"/>
      <c r="I59" s="70"/>
      <c r="J59" s="70"/>
      <c r="K59" s="70"/>
      <c r="L59" s="79"/>
      <c r="M59" s="79"/>
      <c r="N59" s="79"/>
      <c r="O59" s="79"/>
      <c r="P59" s="79"/>
      <c r="Q59" s="79"/>
      <c r="R59" s="79"/>
      <c r="T59" s="202"/>
      <c r="V59" s="154"/>
      <c r="W59" s="154"/>
      <c r="X59" s="154"/>
      <c r="AS59" s="200"/>
      <c r="AT59" s="200"/>
      <c r="AU59" s="210"/>
    </row>
    <row r="60" spans="1:76" x14ac:dyDescent="0.25">
      <c r="A60" s="80"/>
      <c r="B60" s="80"/>
      <c r="C60" s="253" t="str">
        <f>"(2) REFLECTS FUEL COMPONENT OF "&amp;TEXT(PRO_FAC,"$0.000000;($0.000000)")&amp;"  PER KWH."</f>
        <v>(2) REFLECTS FUEL COMPONENT OF $0.001028  PER KWH.</v>
      </c>
      <c r="D60" s="80"/>
      <c r="E60" s="80"/>
      <c r="F60" s="70"/>
      <c r="G60" s="70"/>
      <c r="H60" s="70"/>
      <c r="I60" s="70"/>
      <c r="J60" s="70"/>
      <c r="K60" s="70"/>
      <c r="L60" s="79"/>
      <c r="M60" s="79"/>
      <c r="N60" s="79"/>
      <c r="O60" s="79"/>
      <c r="P60" s="79"/>
      <c r="Q60" s="79"/>
      <c r="R60" s="79"/>
      <c r="T60" s="202"/>
      <c r="V60" s="154"/>
      <c r="W60" s="154"/>
      <c r="X60" s="154"/>
      <c r="AS60" s="200"/>
      <c r="AT60" s="200"/>
      <c r="AU60" s="210"/>
    </row>
    <row r="61" spans="1:76" x14ac:dyDescent="0.25">
      <c r="A61" s="82"/>
      <c r="B61" s="80"/>
      <c r="C61" s="253" t="str">
        <f>"(3) REFLECTS FUEL COST RECOVERY INCLUDED IN BASE RATES OF "&amp;TEXT(PRO_BASE_FUEL,"$0.000000;($0.000000)")&amp;"  PER KWH."</f>
        <v>(3) REFLECTS FUEL COST RECOVERY INCLUDED IN BASE RATES OF $0.023837  PER KWH.</v>
      </c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T61" s="202"/>
      <c r="W61" s="154"/>
      <c r="X61" s="154"/>
      <c r="AS61" s="200"/>
      <c r="AT61" s="200"/>
      <c r="AU61" s="210"/>
    </row>
    <row r="62" spans="1:76" x14ac:dyDescent="0.25">
      <c r="A62" s="202"/>
      <c r="C62" s="154"/>
      <c r="F62" s="200"/>
      <c r="H62" s="200"/>
      <c r="I62" s="200"/>
      <c r="J62" s="213"/>
      <c r="K62" s="213"/>
      <c r="L62" s="200"/>
      <c r="M62" s="200"/>
      <c r="N62" s="210"/>
      <c r="O62" s="210"/>
      <c r="P62" s="200"/>
      <c r="Q62" s="200"/>
      <c r="R62" s="200"/>
      <c r="AS62" s="200"/>
      <c r="AT62" s="200"/>
      <c r="AU62" s="210"/>
    </row>
    <row r="63" spans="1:76" x14ac:dyDescent="0.25">
      <c r="F63" s="211"/>
      <c r="H63" s="211"/>
      <c r="I63" s="211"/>
      <c r="J63" s="305"/>
      <c r="K63" s="305"/>
      <c r="L63" s="211"/>
      <c r="M63" s="211"/>
      <c r="N63" s="211"/>
      <c r="O63" s="211"/>
      <c r="P63" s="211"/>
      <c r="Q63" s="211"/>
      <c r="R63" s="211"/>
      <c r="T63" s="202"/>
      <c r="V63" s="154"/>
      <c r="Y63" s="200"/>
      <c r="AC63" s="215"/>
      <c r="AD63" s="215"/>
      <c r="AE63" s="200"/>
      <c r="AF63" s="200"/>
      <c r="AO63" s="200"/>
      <c r="AP63" s="200"/>
      <c r="AS63" s="200"/>
      <c r="AT63" s="200"/>
      <c r="AU63" s="210"/>
    </row>
    <row r="64" spans="1:76" x14ac:dyDescent="0.25">
      <c r="A64" s="202"/>
      <c r="C64" s="154"/>
      <c r="F64" s="200"/>
      <c r="H64" s="200"/>
      <c r="I64" s="200"/>
      <c r="J64" s="213"/>
      <c r="K64" s="213"/>
      <c r="L64" s="200"/>
      <c r="M64" s="200"/>
      <c r="N64" s="210"/>
      <c r="O64" s="210"/>
      <c r="P64" s="200"/>
      <c r="Q64" s="200"/>
      <c r="R64" s="200"/>
      <c r="Y64" s="200"/>
      <c r="AO64" s="200"/>
      <c r="AP64" s="200"/>
      <c r="AR64" s="202"/>
      <c r="AS64" s="200"/>
      <c r="AT64" s="200"/>
      <c r="AU64" s="210"/>
    </row>
    <row r="65" spans="1:47" x14ac:dyDescent="0.25">
      <c r="A65" s="154"/>
      <c r="F65" s="200"/>
      <c r="H65" s="200"/>
      <c r="I65" s="200"/>
      <c r="J65" s="202"/>
      <c r="K65" s="213"/>
      <c r="L65" s="200"/>
      <c r="M65" s="200"/>
      <c r="N65" s="200"/>
      <c r="O65" s="200"/>
      <c r="P65" s="200"/>
      <c r="Q65" s="200"/>
      <c r="R65" s="200"/>
      <c r="T65" s="202"/>
      <c r="V65" s="154"/>
      <c r="Y65" s="200"/>
      <c r="AA65" s="200"/>
      <c r="AB65" s="200"/>
      <c r="AC65" s="300"/>
      <c r="AD65" s="300"/>
      <c r="AE65" s="200"/>
      <c r="AF65" s="200"/>
      <c r="AG65" s="209"/>
      <c r="AH65" s="210"/>
      <c r="AI65" s="200"/>
      <c r="AJ65" s="200"/>
      <c r="AK65" s="209"/>
      <c r="AL65" s="201"/>
      <c r="AM65" s="200"/>
      <c r="AN65" s="200"/>
      <c r="AO65" s="200"/>
      <c r="AP65" s="200"/>
      <c r="AQ65" s="209"/>
      <c r="AR65" s="200"/>
      <c r="AS65" s="200"/>
      <c r="AT65" s="200"/>
      <c r="AU65" s="210"/>
    </row>
    <row r="66" spans="1:47" x14ac:dyDescent="0.25">
      <c r="L66" s="200"/>
      <c r="M66" s="200"/>
      <c r="N66" s="200"/>
      <c r="O66" s="200"/>
      <c r="P66" s="200"/>
      <c r="Q66" s="200"/>
      <c r="R66" s="200"/>
      <c r="T66" s="150" t="str">
        <f>NAME</f>
        <v>DUKE ENERGY KENTUCKY, INC.</v>
      </c>
      <c r="U66" s="150"/>
      <c r="V66" s="150"/>
      <c r="W66" s="150"/>
      <c r="X66" s="150"/>
      <c r="Y66" s="150"/>
      <c r="Z66" s="150"/>
      <c r="AA66" s="150"/>
      <c r="AB66" s="150"/>
      <c r="AC66" s="187"/>
      <c r="AD66" s="187"/>
      <c r="AE66" s="150"/>
      <c r="AF66" s="100"/>
      <c r="AG66" s="190"/>
      <c r="AH66" s="100"/>
      <c r="AI66" s="150"/>
      <c r="AJ66" s="150"/>
      <c r="AK66" s="190"/>
      <c r="AL66" s="150"/>
      <c r="AM66" s="150"/>
      <c r="AN66" s="100"/>
      <c r="AO66" s="150"/>
      <c r="AP66" s="150"/>
      <c r="AQ66" s="190"/>
      <c r="AR66" s="200"/>
      <c r="AS66" s="200"/>
      <c r="AT66" s="200"/>
      <c r="AU66" s="210"/>
    </row>
    <row r="67" spans="1:47" x14ac:dyDescent="0.25">
      <c r="L67" s="200"/>
      <c r="M67" s="200"/>
      <c r="N67" s="200"/>
      <c r="O67" s="200"/>
      <c r="P67" s="200"/>
      <c r="Q67" s="200"/>
      <c r="R67" s="200"/>
      <c r="T67" s="150" t="str">
        <f>CASE_NO</f>
        <v>CASE NO.   2017-00321</v>
      </c>
      <c r="U67" s="150"/>
      <c r="V67" s="150"/>
      <c r="W67" s="150"/>
      <c r="X67" s="150"/>
      <c r="Y67" s="150"/>
      <c r="Z67" s="150"/>
      <c r="AA67" s="150"/>
      <c r="AB67" s="150"/>
      <c r="AC67" s="187"/>
      <c r="AD67" s="187"/>
      <c r="AE67" s="150"/>
      <c r="AF67" s="100"/>
      <c r="AG67" s="190"/>
      <c r="AH67" s="100"/>
      <c r="AI67" s="150"/>
      <c r="AJ67" s="150"/>
      <c r="AK67" s="190"/>
      <c r="AL67" s="150"/>
      <c r="AM67" s="150"/>
      <c r="AN67" s="100"/>
      <c r="AO67" s="150"/>
      <c r="AP67" s="150"/>
      <c r="AQ67" s="190"/>
      <c r="AR67" s="200"/>
      <c r="AS67" s="200"/>
      <c r="AT67" s="200"/>
      <c r="AU67" s="210"/>
    </row>
    <row r="68" spans="1:47" x14ac:dyDescent="0.25">
      <c r="H68" s="154"/>
      <c r="I68" s="154"/>
      <c r="T68" s="187" t="str">
        <f>TITLE</f>
        <v>ANNUALIZED BASE YEAR REVENUES AT PROPOSED VS. MOST CURRENT RATES</v>
      </c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00"/>
      <c r="AG68" s="190"/>
      <c r="AH68" s="100"/>
      <c r="AI68" s="150"/>
      <c r="AJ68" s="150"/>
      <c r="AK68" s="190"/>
      <c r="AL68" s="150"/>
      <c r="AM68" s="150"/>
      <c r="AN68" s="100"/>
      <c r="AO68" s="150"/>
      <c r="AP68" s="150"/>
      <c r="AQ68" s="190"/>
      <c r="AR68" s="200"/>
    </row>
    <row r="69" spans="1:47" x14ac:dyDescent="0.25">
      <c r="L69" s="154"/>
      <c r="M69" s="154"/>
      <c r="T69" s="150" t="str">
        <f>DATE</f>
        <v>FOR THE TWELVE MONTHS ENDED November 30, 2017</v>
      </c>
      <c r="U69" s="150"/>
      <c r="V69" s="150"/>
      <c r="W69" s="150"/>
      <c r="X69" s="150"/>
      <c r="Y69" s="150"/>
      <c r="Z69" s="150"/>
      <c r="AA69" s="150"/>
      <c r="AB69" s="150"/>
      <c r="AC69" s="187"/>
      <c r="AD69" s="187"/>
      <c r="AE69" s="150"/>
      <c r="AF69" s="100"/>
      <c r="AG69" s="190"/>
      <c r="AH69" s="100"/>
      <c r="AI69" s="150"/>
      <c r="AJ69" s="150"/>
      <c r="AK69" s="190"/>
      <c r="AL69" s="150"/>
      <c r="AM69" s="150"/>
      <c r="AN69" s="100"/>
      <c r="AO69" s="150"/>
      <c r="AP69" s="150"/>
      <c r="AQ69" s="190"/>
      <c r="AR69" s="252"/>
    </row>
    <row r="70" spans="1:47" x14ac:dyDescent="0.25">
      <c r="A70" s="202"/>
      <c r="R70" s="154"/>
      <c r="T70" s="150" t="str">
        <f>SERVICE</f>
        <v>(ELECTRIC SERVICE)</v>
      </c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87"/>
      <c r="AF70" s="312"/>
      <c r="AG70" s="190"/>
      <c r="AH70" s="100"/>
      <c r="AI70" s="150"/>
      <c r="AJ70" s="150"/>
      <c r="AK70" s="190"/>
      <c r="AL70" s="150"/>
      <c r="AM70" s="150"/>
      <c r="AN70" s="100"/>
      <c r="AO70" s="150"/>
      <c r="AP70" s="150"/>
      <c r="AQ70" s="190"/>
      <c r="AR70" s="252"/>
    </row>
    <row r="71" spans="1:47" x14ac:dyDescent="0.25">
      <c r="A71" s="202"/>
      <c r="R71" s="154"/>
      <c r="T71" s="159" t="str">
        <f>DATA_PERIOD</f>
        <v>DATA: __X__ BASE PERIOD   ____FORECASTED PERIOD</v>
      </c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G71" s="188"/>
      <c r="AI71" s="80"/>
      <c r="AJ71" s="80"/>
      <c r="AK71" s="188"/>
      <c r="AL71" s="80"/>
      <c r="AM71" s="80"/>
      <c r="AO71" s="82" t="s">
        <v>179</v>
      </c>
      <c r="AP71" s="82"/>
      <c r="AQ71" s="188"/>
      <c r="AR71" s="200"/>
    </row>
    <row r="72" spans="1:47" x14ac:dyDescent="0.25">
      <c r="A72" s="154"/>
      <c r="R72" s="154"/>
      <c r="T72" s="159" t="str">
        <f>TYPE</f>
        <v>TYPE OF FILING: _X_ ORIGINAL   ___UPDATED  ___ REVISED</v>
      </c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G72" s="188"/>
      <c r="AI72" s="80"/>
      <c r="AJ72" s="80"/>
      <c r="AK72" s="188"/>
      <c r="AL72" s="80"/>
      <c r="AM72" s="80"/>
      <c r="AO72" s="81" t="str">
        <f>R7</f>
        <v>PAGE  9  OF  22</v>
      </c>
      <c r="AP72" s="82"/>
      <c r="AQ72" s="188"/>
      <c r="AR72" s="200"/>
    </row>
    <row r="73" spans="1:47" x14ac:dyDescent="0.2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T73" s="82" t="s">
        <v>192</v>
      </c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188"/>
      <c r="AH73" s="80"/>
      <c r="AI73" s="80"/>
      <c r="AJ73" s="80"/>
      <c r="AK73" s="188"/>
      <c r="AL73" s="80"/>
      <c r="AM73" s="80"/>
      <c r="AN73" s="80"/>
      <c r="AO73" s="82" t="s">
        <v>3</v>
      </c>
      <c r="AP73" s="82"/>
      <c r="AQ73" s="188"/>
    </row>
    <row r="74" spans="1:47" x14ac:dyDescent="0.25">
      <c r="L74" s="103"/>
      <c r="M74" s="103"/>
      <c r="N74" s="103"/>
      <c r="O74" s="103"/>
      <c r="R74" s="103"/>
      <c r="T74" s="258" t="str">
        <f>TIME</f>
        <v>6 Months Actual and 6 Months Projected</v>
      </c>
      <c r="U74" s="80"/>
      <c r="V74" s="80"/>
      <c r="W74" s="80"/>
      <c r="X74" s="80"/>
      <c r="Y74" s="80"/>
      <c r="Z74" s="80"/>
      <c r="AA74" s="80"/>
      <c r="AB74" s="80"/>
      <c r="AC74" s="80"/>
      <c r="AD74" s="80"/>
      <c r="AF74" s="82"/>
      <c r="AG74" s="188"/>
      <c r="AH74" s="80"/>
      <c r="AI74" s="80"/>
      <c r="AJ74" s="80"/>
      <c r="AK74" s="188"/>
      <c r="AL74" s="80"/>
      <c r="AM74" s="80"/>
      <c r="AN74" s="80"/>
      <c r="AO74" s="159" t="str">
        <f>WIT</f>
        <v>B. L. SAILERS</v>
      </c>
      <c r="AP74" s="159"/>
      <c r="AQ74" s="188"/>
    </row>
    <row r="75" spans="1:47" x14ac:dyDescent="0.25">
      <c r="L75" s="103"/>
      <c r="M75" s="103"/>
      <c r="N75" s="103"/>
      <c r="O75" s="103"/>
      <c r="R75" s="103"/>
      <c r="T75" s="258" t="str">
        <f>INPUT!B5</f>
        <v>6 Months Actual Ending May 31, 2017</v>
      </c>
      <c r="U75" s="80"/>
      <c r="V75" s="80"/>
      <c r="W75" s="80"/>
      <c r="X75" s="80"/>
      <c r="Y75" s="80"/>
      <c r="Z75" s="80"/>
      <c r="AA75" s="80"/>
      <c r="AB75" s="80"/>
      <c r="AC75" s="80"/>
      <c r="AD75" s="80"/>
      <c r="AF75" s="82"/>
      <c r="AG75" s="188"/>
      <c r="AH75" s="80"/>
      <c r="AI75" s="80"/>
      <c r="AJ75" s="80"/>
      <c r="AK75" s="188"/>
      <c r="AL75" s="80"/>
      <c r="AM75" s="80"/>
      <c r="AN75" s="80"/>
      <c r="AO75" s="159"/>
      <c r="AP75" s="159"/>
      <c r="AQ75" s="188"/>
    </row>
    <row r="76" spans="1:47" x14ac:dyDescent="0.25">
      <c r="L76" s="103"/>
      <c r="M76" s="103"/>
      <c r="N76" s="103"/>
      <c r="O76" s="103"/>
      <c r="R76" s="103"/>
      <c r="T76" s="187" t="s">
        <v>152</v>
      </c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87"/>
      <c r="AF76" s="187"/>
      <c r="AG76" s="190"/>
      <c r="AH76" s="150"/>
      <c r="AI76" s="150"/>
      <c r="AJ76" s="150"/>
      <c r="AK76" s="190"/>
      <c r="AL76" s="150"/>
      <c r="AM76" s="150"/>
      <c r="AN76" s="150"/>
      <c r="AO76" s="187"/>
      <c r="AP76" s="187"/>
      <c r="AQ76" s="190"/>
    </row>
    <row r="77" spans="1:47" x14ac:dyDescent="0.25">
      <c r="C77" s="103"/>
      <c r="D77" s="103"/>
      <c r="E77" s="103"/>
      <c r="F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91"/>
      <c r="AH77" s="151"/>
      <c r="AI77" s="151"/>
      <c r="AJ77" s="151"/>
      <c r="AK77" s="191"/>
      <c r="AL77" s="151"/>
      <c r="AM77" s="151"/>
      <c r="AN77" s="151"/>
      <c r="AO77" s="151"/>
      <c r="AP77" s="151"/>
      <c r="AQ77" s="191"/>
    </row>
    <row r="78" spans="1:47" ht="18" customHeight="1" x14ac:dyDescent="0.25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93" t="s">
        <v>8</v>
      </c>
      <c r="AF78" s="193"/>
      <c r="AG78" s="194" t="s">
        <v>7</v>
      </c>
      <c r="AH78" s="193"/>
      <c r="AI78" s="193" t="s">
        <v>9</v>
      </c>
      <c r="AJ78" s="193"/>
      <c r="AK78" s="194" t="s">
        <v>10</v>
      </c>
      <c r="AL78" s="193"/>
      <c r="AM78" s="152"/>
      <c r="AN78" s="152"/>
      <c r="AO78" s="193" t="s">
        <v>8</v>
      </c>
      <c r="AP78" s="193"/>
      <c r="AQ78" s="194" t="s">
        <v>11</v>
      </c>
    </row>
    <row r="79" spans="1:47" x14ac:dyDescent="0.25"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T79" s="80"/>
      <c r="U79" s="80"/>
      <c r="V79" s="80"/>
      <c r="W79" s="80"/>
      <c r="X79" s="80"/>
      <c r="Y79" s="80"/>
      <c r="Z79" s="80"/>
      <c r="AA79" s="80"/>
      <c r="AB79" s="80"/>
      <c r="AC79" s="83" t="s">
        <v>14</v>
      </c>
      <c r="AD79" s="83"/>
      <c r="AE79" s="83" t="s">
        <v>12</v>
      </c>
      <c r="AF79" s="83"/>
      <c r="AG79" s="195" t="s">
        <v>13</v>
      </c>
      <c r="AH79" s="83"/>
      <c r="AI79" s="83" t="s">
        <v>15</v>
      </c>
      <c r="AJ79" s="83"/>
      <c r="AK79" s="195" t="s">
        <v>16</v>
      </c>
      <c r="AL79" s="83"/>
      <c r="AM79" s="80"/>
      <c r="AN79" s="80"/>
      <c r="AO79" s="83" t="s">
        <v>11</v>
      </c>
      <c r="AP79" s="83"/>
      <c r="AQ79" s="195" t="s">
        <v>9</v>
      </c>
    </row>
    <row r="80" spans="1:47" x14ac:dyDescent="0.25">
      <c r="A80" s="202"/>
      <c r="C80" s="154"/>
      <c r="D80" s="154"/>
      <c r="E80" s="154"/>
      <c r="T80" s="83" t="s">
        <v>17</v>
      </c>
      <c r="U80" s="80"/>
      <c r="V80" s="83" t="s">
        <v>18</v>
      </c>
      <c r="W80" s="83" t="s">
        <v>19</v>
      </c>
      <c r="X80" s="83"/>
      <c r="Y80" s="83" t="s">
        <v>20</v>
      </c>
      <c r="Z80" s="80"/>
      <c r="AA80" s="80"/>
      <c r="AB80" s="80"/>
      <c r="AC80" s="83" t="s">
        <v>8</v>
      </c>
      <c r="AD80" s="83"/>
      <c r="AE80" s="83" t="s">
        <v>21</v>
      </c>
      <c r="AF80" s="83"/>
      <c r="AG80" s="195" t="s">
        <v>21</v>
      </c>
      <c r="AH80" s="83"/>
      <c r="AI80" s="83" t="s">
        <v>22</v>
      </c>
      <c r="AJ80" s="83"/>
      <c r="AK80" s="195" t="s">
        <v>22</v>
      </c>
      <c r="AL80" s="83"/>
      <c r="AM80" s="83" t="s">
        <v>21</v>
      </c>
      <c r="AN80" s="83"/>
      <c r="AO80" s="83" t="s">
        <v>9</v>
      </c>
      <c r="AP80" s="83"/>
      <c r="AQ80" s="195" t="s">
        <v>23</v>
      </c>
    </row>
    <row r="81" spans="1:43" x14ac:dyDescent="0.25">
      <c r="A81" s="202"/>
      <c r="C81" s="154"/>
      <c r="T81" s="83" t="s">
        <v>24</v>
      </c>
      <c r="U81" s="80"/>
      <c r="V81" s="83" t="s">
        <v>25</v>
      </c>
      <c r="W81" s="83" t="s">
        <v>26</v>
      </c>
      <c r="X81" s="83"/>
      <c r="Y81" s="83" t="s">
        <v>27</v>
      </c>
      <c r="Z81" s="80"/>
      <c r="AA81" s="83" t="s">
        <v>28</v>
      </c>
      <c r="AB81" s="83"/>
      <c r="AC81" s="83" t="s">
        <v>29</v>
      </c>
      <c r="AD81" s="83"/>
      <c r="AE81" s="83" t="s">
        <v>9</v>
      </c>
      <c r="AF81" s="83"/>
      <c r="AG81" s="195" t="s">
        <v>9</v>
      </c>
      <c r="AH81" s="83"/>
      <c r="AI81" s="256" t="s">
        <v>31</v>
      </c>
      <c r="AJ81" s="256"/>
      <c r="AK81" s="257" t="s">
        <v>32</v>
      </c>
      <c r="AL81" s="83"/>
      <c r="AM81" s="83" t="s">
        <v>430</v>
      </c>
      <c r="AN81" s="83"/>
      <c r="AO81" s="256" t="s">
        <v>33</v>
      </c>
      <c r="AP81" s="256"/>
      <c r="AQ81" s="257" t="s">
        <v>34</v>
      </c>
    </row>
    <row r="82" spans="1:43" x14ac:dyDescent="0.25">
      <c r="T82" s="80"/>
      <c r="U82" s="80"/>
      <c r="V82" s="256" t="s">
        <v>35</v>
      </c>
      <c r="W82" s="256" t="s">
        <v>36</v>
      </c>
      <c r="X82" s="256"/>
      <c r="Y82" s="256" t="s">
        <v>37</v>
      </c>
      <c r="Z82" s="258"/>
      <c r="AA82" s="256" t="s">
        <v>38</v>
      </c>
      <c r="AB82" s="256"/>
      <c r="AC82" s="256" t="s">
        <v>44</v>
      </c>
      <c r="AD82" s="256"/>
      <c r="AE82" s="256" t="s">
        <v>45</v>
      </c>
      <c r="AF82" s="256"/>
      <c r="AG82" s="257" t="s">
        <v>46</v>
      </c>
      <c r="AH82" s="256"/>
      <c r="AI82" s="256" t="s">
        <v>47</v>
      </c>
      <c r="AJ82" s="256"/>
      <c r="AK82" s="257" t="s">
        <v>48</v>
      </c>
      <c r="AL82" s="256"/>
      <c r="AM82" s="256" t="s">
        <v>42</v>
      </c>
      <c r="AN82" s="256"/>
      <c r="AO82" s="256" t="s">
        <v>49</v>
      </c>
      <c r="AP82" s="256"/>
      <c r="AQ82" s="257" t="s">
        <v>50</v>
      </c>
    </row>
    <row r="83" spans="1:43" ht="17.100000000000001" customHeight="1" x14ac:dyDescent="0.25">
      <c r="A83" s="202"/>
      <c r="C83" s="154"/>
      <c r="F83" s="252"/>
      <c r="H83" s="252"/>
      <c r="I83" s="252"/>
      <c r="J83" s="300"/>
      <c r="K83" s="300"/>
      <c r="L83" s="200"/>
      <c r="M83" s="200"/>
      <c r="N83" s="210"/>
      <c r="O83" s="210"/>
      <c r="P83" s="202"/>
      <c r="Q83" s="202"/>
      <c r="R83" s="200"/>
      <c r="T83" s="152"/>
      <c r="U83" s="152"/>
      <c r="V83" s="152"/>
      <c r="W83" s="152"/>
      <c r="X83" s="152"/>
      <c r="Y83" s="152"/>
      <c r="Z83" s="152"/>
      <c r="AA83" s="375" t="s">
        <v>218</v>
      </c>
      <c r="AB83" s="376"/>
      <c r="AC83" s="375" t="s">
        <v>441</v>
      </c>
      <c r="AD83" s="376"/>
      <c r="AE83" s="376" t="s">
        <v>52</v>
      </c>
      <c r="AF83" s="376"/>
      <c r="AG83" s="381" t="s">
        <v>53</v>
      </c>
      <c r="AH83" s="376"/>
      <c r="AI83" s="376" t="s">
        <v>52</v>
      </c>
      <c r="AJ83" s="376"/>
      <c r="AK83" s="381" t="s">
        <v>53</v>
      </c>
      <c r="AL83" s="376"/>
      <c r="AM83" s="376" t="s">
        <v>52</v>
      </c>
      <c r="AN83" s="376"/>
      <c r="AO83" s="376" t="s">
        <v>52</v>
      </c>
      <c r="AP83" s="376"/>
      <c r="AQ83" s="381" t="s">
        <v>53</v>
      </c>
    </row>
    <row r="84" spans="1:43" x14ac:dyDescent="0.25">
      <c r="A84" s="202"/>
      <c r="C84" s="154"/>
      <c r="F84" s="252"/>
      <c r="H84" s="252"/>
      <c r="I84" s="252"/>
      <c r="J84" s="300"/>
      <c r="K84" s="300"/>
      <c r="L84" s="200"/>
      <c r="M84" s="200"/>
      <c r="N84" s="210"/>
      <c r="O84" s="210"/>
      <c r="P84" s="202"/>
      <c r="Q84" s="202"/>
      <c r="R84" s="200"/>
      <c r="T84" s="159">
        <f>A19</f>
        <v>1</v>
      </c>
      <c r="U84" s="80"/>
      <c r="V84" s="253" t="s">
        <v>62</v>
      </c>
      <c r="W84" s="253" t="s">
        <v>63</v>
      </c>
      <c r="X84" s="82"/>
      <c r="Y84" s="70"/>
      <c r="Z84" s="70"/>
      <c r="AA84" s="298"/>
      <c r="AB84" s="298"/>
      <c r="AC84" s="299" t="s">
        <v>435</v>
      </c>
      <c r="AD84" s="298"/>
      <c r="AE84" s="298"/>
      <c r="AF84" s="298"/>
      <c r="AG84" s="316"/>
      <c r="AH84" s="298"/>
      <c r="AI84" s="298"/>
      <c r="AJ84" s="298"/>
      <c r="AK84" s="316"/>
      <c r="AL84" s="298"/>
      <c r="AM84" s="298"/>
      <c r="AN84" s="298"/>
      <c r="AO84" s="298"/>
      <c r="AP84" s="298"/>
      <c r="AQ84" s="316"/>
    </row>
    <row r="85" spans="1:43" x14ac:dyDescent="0.25">
      <c r="A85" s="202"/>
      <c r="C85" s="154"/>
      <c r="F85" s="252"/>
      <c r="H85" s="252"/>
      <c r="I85" s="252"/>
      <c r="J85" s="300"/>
      <c r="K85" s="300"/>
      <c r="L85" s="200"/>
      <c r="M85" s="200"/>
      <c r="N85" s="210"/>
      <c r="O85" s="210"/>
      <c r="P85" s="202"/>
      <c r="Q85" s="202"/>
      <c r="R85" s="200"/>
      <c r="T85" s="159">
        <f t="shared" ref="T85:T122" si="3">A20</f>
        <v>2</v>
      </c>
      <c r="U85" s="80"/>
      <c r="V85" s="253" t="s">
        <v>56</v>
      </c>
      <c r="W85" s="258"/>
      <c r="X85" s="80"/>
      <c r="Y85" s="70"/>
      <c r="Z85" s="70"/>
      <c r="AA85" s="70"/>
      <c r="AB85" s="70"/>
      <c r="AC85" s="70"/>
      <c r="AD85" s="70"/>
      <c r="AE85" s="70"/>
      <c r="AF85" s="70"/>
      <c r="AG85" s="164"/>
      <c r="AH85" s="70"/>
      <c r="AI85" s="70"/>
      <c r="AJ85" s="70"/>
      <c r="AK85" s="164"/>
      <c r="AL85" s="70"/>
      <c r="AM85" s="70"/>
      <c r="AN85" s="70"/>
      <c r="AO85" s="70"/>
      <c r="AP85" s="70"/>
      <c r="AQ85" s="164"/>
    </row>
    <row r="86" spans="1:43" x14ac:dyDescent="0.25">
      <c r="A86" s="202"/>
      <c r="C86" s="154"/>
      <c r="F86" s="200"/>
      <c r="H86" s="200"/>
      <c r="I86" s="200"/>
      <c r="J86" s="305"/>
      <c r="K86" s="305"/>
      <c r="L86" s="200"/>
      <c r="M86" s="200"/>
      <c r="N86" s="210"/>
      <c r="O86" s="210"/>
      <c r="P86" s="200"/>
      <c r="Q86" s="200"/>
      <c r="R86" s="200"/>
      <c r="T86" s="159">
        <f t="shared" si="3"/>
        <v>3</v>
      </c>
      <c r="U86" s="80"/>
      <c r="V86" s="253" t="s">
        <v>64</v>
      </c>
      <c r="W86" s="80"/>
      <c r="X86" s="80"/>
      <c r="Y86" s="163">
        <f>F21</f>
        <v>52</v>
      </c>
      <c r="Z86" s="70"/>
      <c r="AA86" s="78"/>
      <c r="AB86" s="78"/>
      <c r="AC86" s="283">
        <f>INPUT!C122</f>
        <v>500</v>
      </c>
      <c r="AD86" s="284"/>
      <c r="AE86" s="167">
        <f>ROUND(Y86*AC86,0)</f>
        <v>26000</v>
      </c>
      <c r="AF86" s="79"/>
      <c r="AG86" s="166">
        <f>ROUND((AE86/AE$122)*100,1)</f>
        <v>0.2</v>
      </c>
      <c r="AH86" s="156"/>
      <c r="AI86" s="167">
        <f>L21-AE86</f>
        <v>0</v>
      </c>
      <c r="AJ86" s="79"/>
      <c r="AK86" s="168">
        <f>IF(AE86=0,"0.0 ",ROUND((AI86/AE86)*100,1))</f>
        <v>0</v>
      </c>
      <c r="AL86" s="158"/>
      <c r="AM86" s="379"/>
      <c r="AN86" s="302"/>
      <c r="AO86" s="167">
        <f>AE86+AM86</f>
        <v>26000</v>
      </c>
      <c r="AP86" s="79"/>
      <c r="AQ86" s="157">
        <f>IF(AO86=0,"0.0 ",ROUND((AI86/AO86)*100,1))</f>
        <v>0</v>
      </c>
    </row>
    <row r="87" spans="1:43" x14ac:dyDescent="0.25">
      <c r="A87" s="202"/>
      <c r="C87" s="154"/>
      <c r="F87" s="200"/>
      <c r="H87" s="200"/>
      <c r="I87" s="200"/>
      <c r="J87" s="305"/>
      <c r="K87" s="305"/>
      <c r="L87" s="200"/>
      <c r="M87" s="200"/>
      <c r="N87" s="210"/>
      <c r="O87" s="210"/>
      <c r="P87" s="200"/>
      <c r="Q87" s="200"/>
      <c r="R87" s="200"/>
      <c r="T87" s="159"/>
      <c r="U87" s="80"/>
      <c r="V87" s="82"/>
      <c r="W87" s="80"/>
      <c r="X87" s="80"/>
      <c r="Y87" s="163"/>
      <c r="Z87" s="70"/>
      <c r="AA87" s="78"/>
      <c r="AB87" s="78"/>
      <c r="AC87" s="283"/>
      <c r="AD87" s="284"/>
      <c r="AE87" s="163"/>
      <c r="AF87" s="79"/>
      <c r="AG87" s="197"/>
      <c r="AH87" s="156"/>
      <c r="AI87" s="163"/>
      <c r="AJ87" s="79"/>
      <c r="AK87" s="155"/>
      <c r="AL87" s="158"/>
      <c r="AM87" s="271"/>
      <c r="AN87" s="302"/>
      <c r="AO87" s="163"/>
      <c r="AP87" s="79"/>
      <c r="AQ87" s="155"/>
    </row>
    <row r="88" spans="1:43" x14ac:dyDescent="0.25">
      <c r="A88" s="202"/>
      <c r="C88" s="154"/>
      <c r="F88" s="252"/>
      <c r="H88" s="252"/>
      <c r="I88" s="252"/>
      <c r="J88" s="328"/>
      <c r="K88" s="328"/>
      <c r="L88" s="200"/>
      <c r="M88" s="200"/>
      <c r="N88" s="210"/>
      <c r="O88" s="210"/>
      <c r="P88" s="200"/>
      <c r="Q88" s="200"/>
      <c r="R88" s="200"/>
      <c r="S88" s="200"/>
      <c r="T88" s="159">
        <f t="shared" si="3"/>
        <v>4</v>
      </c>
      <c r="U88" s="80"/>
      <c r="V88" s="253" t="s">
        <v>65</v>
      </c>
      <c r="W88" s="80"/>
      <c r="X88" s="80"/>
      <c r="Y88" s="78"/>
      <c r="Z88" s="70"/>
      <c r="AA88" s="78"/>
      <c r="AB88" s="78"/>
      <c r="AC88" s="377"/>
      <c r="AD88" s="339"/>
      <c r="AE88" s="79"/>
      <c r="AF88" s="79"/>
      <c r="AG88" s="155"/>
      <c r="AH88" s="156"/>
      <c r="AI88" s="79"/>
      <c r="AJ88" s="79"/>
      <c r="AK88" s="155"/>
      <c r="AL88" s="156"/>
      <c r="AM88" s="79"/>
      <c r="AN88" s="79"/>
      <c r="AO88" s="79"/>
      <c r="AP88" s="79"/>
      <c r="AQ88" s="155"/>
    </row>
    <row r="89" spans="1:43" x14ac:dyDescent="0.25">
      <c r="A89" s="202"/>
      <c r="C89" s="154"/>
      <c r="F89" s="252"/>
      <c r="H89" s="252"/>
      <c r="I89" s="252"/>
      <c r="J89" s="300"/>
      <c r="K89" s="300"/>
      <c r="L89" s="200"/>
      <c r="M89" s="200"/>
      <c r="N89" s="210"/>
      <c r="O89" s="210"/>
      <c r="P89" s="200"/>
      <c r="Q89" s="200"/>
      <c r="R89" s="200"/>
      <c r="T89" s="159">
        <f t="shared" si="3"/>
        <v>5</v>
      </c>
      <c r="U89" s="80"/>
      <c r="V89" s="82" t="s">
        <v>66</v>
      </c>
      <c r="W89" s="80"/>
      <c r="X89" s="80"/>
      <c r="Y89" s="230"/>
      <c r="Z89" s="70"/>
      <c r="AA89" s="79">
        <f>H24</f>
        <v>158600</v>
      </c>
      <c r="AB89" s="79"/>
      <c r="AC89" s="283">
        <f>INPUT!C128</f>
        <v>7.6</v>
      </c>
      <c r="AD89" s="284"/>
      <c r="AE89" s="79">
        <f>ROUND(AA89*AC89,0)</f>
        <v>1205360</v>
      </c>
      <c r="AF89" s="79"/>
      <c r="AG89" s="155">
        <f>ROUND((AE89/AE$122)*100,1)</f>
        <v>9.8000000000000007</v>
      </c>
      <c r="AH89" s="156"/>
      <c r="AI89" s="163">
        <f>L24-AE89</f>
        <v>136396</v>
      </c>
      <c r="AJ89" s="79"/>
      <c r="AK89" s="157">
        <f>IF(AE89=0,"0.0 ",ROUND((AI89/AE89)*100,1))</f>
        <v>11.3</v>
      </c>
      <c r="AL89" s="158"/>
      <c r="AM89" s="79"/>
      <c r="AN89" s="79"/>
      <c r="AO89" s="79">
        <f>AE89+AM89</f>
        <v>1205360</v>
      </c>
      <c r="AP89" s="79"/>
      <c r="AQ89" s="157">
        <f>IF(AO89=0,"0.0 ",ROUND((AI89/AO89)*100,1))</f>
        <v>11.3</v>
      </c>
    </row>
    <row r="90" spans="1:43" x14ac:dyDescent="0.25">
      <c r="A90" s="202"/>
      <c r="C90" s="154"/>
      <c r="F90" s="252"/>
      <c r="H90" s="252"/>
      <c r="I90" s="252"/>
      <c r="J90" s="300"/>
      <c r="K90" s="300"/>
      <c r="L90" s="200"/>
      <c r="M90" s="200"/>
      <c r="N90" s="210"/>
      <c r="O90" s="210"/>
      <c r="P90" s="200"/>
      <c r="Q90" s="200"/>
      <c r="R90" s="200"/>
      <c r="T90" s="159">
        <f t="shared" si="3"/>
        <v>6</v>
      </c>
      <c r="U90" s="80"/>
      <c r="V90" s="82" t="s">
        <v>67</v>
      </c>
      <c r="W90" s="80"/>
      <c r="X90" s="80"/>
      <c r="Y90" s="230"/>
      <c r="Z90" s="70"/>
      <c r="AA90" s="167">
        <f>H25</f>
        <v>6575</v>
      </c>
      <c r="AB90" s="79"/>
      <c r="AC90" s="283">
        <f>INPUT!C129</f>
        <v>1.1499999999999999</v>
      </c>
      <c r="AD90" s="284"/>
      <c r="AE90" s="167">
        <f>ROUND(AA90*AC90,0)</f>
        <v>7561</v>
      </c>
      <c r="AF90" s="79"/>
      <c r="AG90" s="166">
        <f>ROUND((AE90/AE$122)*100,1)</f>
        <v>0.1</v>
      </c>
      <c r="AH90" s="156"/>
      <c r="AI90" s="167">
        <f>L25-AE90</f>
        <v>855</v>
      </c>
      <c r="AJ90" s="79"/>
      <c r="AK90" s="168">
        <f>IF(AE90=0,"0.0 ",ROUND((AI90/AE90)*100,1))</f>
        <v>11.3</v>
      </c>
      <c r="AL90" s="158"/>
      <c r="AM90" s="167"/>
      <c r="AN90" s="79"/>
      <c r="AO90" s="167">
        <f>AE90+AM90</f>
        <v>7561</v>
      </c>
      <c r="AP90" s="79"/>
      <c r="AQ90" s="157">
        <f>IF(AO90=0,"0.0 ",ROUND((AI90/AO90)*100,1))</f>
        <v>11.3</v>
      </c>
    </row>
    <row r="91" spans="1:43" ht="20.100000000000001" customHeight="1" x14ac:dyDescent="0.25">
      <c r="A91" s="202"/>
      <c r="C91" s="154"/>
      <c r="F91" s="200"/>
      <c r="H91" s="200"/>
      <c r="I91" s="200"/>
      <c r="J91" s="305"/>
      <c r="K91" s="305"/>
      <c r="L91" s="200"/>
      <c r="M91" s="200"/>
      <c r="N91" s="210"/>
      <c r="O91" s="210"/>
      <c r="P91" s="200"/>
      <c r="Q91" s="200"/>
      <c r="R91" s="200"/>
      <c r="T91" s="159">
        <f t="shared" si="3"/>
        <v>7</v>
      </c>
      <c r="U91" s="80"/>
      <c r="V91" s="253" t="s">
        <v>68</v>
      </c>
      <c r="W91" s="80"/>
      <c r="X91" s="80"/>
      <c r="Y91" s="163"/>
      <c r="Z91" s="70"/>
      <c r="AA91" s="167">
        <f>H26</f>
        <v>165175</v>
      </c>
      <c r="AB91" s="79"/>
      <c r="AC91" s="310"/>
      <c r="AD91" s="263"/>
      <c r="AE91" s="167">
        <f>AE89+AE90</f>
        <v>1212921</v>
      </c>
      <c r="AF91" s="79"/>
      <c r="AG91" s="166">
        <f>ROUND((AE91/AE$122)*100,1)</f>
        <v>9.9</v>
      </c>
      <c r="AH91" s="156"/>
      <c r="AI91" s="167">
        <f>SUM(AI89:AI90)</f>
        <v>137251</v>
      </c>
      <c r="AJ91" s="79"/>
      <c r="AK91" s="171">
        <f>IF(AE91=0,"0.0 ",ROUND((AI91/AE91)*100,1))</f>
        <v>11.3</v>
      </c>
      <c r="AL91" s="158"/>
      <c r="AM91" s="167"/>
      <c r="AN91" s="79"/>
      <c r="AO91" s="167">
        <f>AO89+AO90</f>
        <v>1212921</v>
      </c>
      <c r="AP91" s="79"/>
      <c r="AQ91" s="157">
        <f>IF(AO91=0,"0.0 ",ROUND((AI91/AO91)*100,1))</f>
        <v>11.3</v>
      </c>
    </row>
    <row r="92" spans="1:43" x14ac:dyDescent="0.25">
      <c r="A92" s="202"/>
      <c r="C92" s="154"/>
      <c r="F92" s="200"/>
      <c r="H92" s="200"/>
      <c r="I92" s="200"/>
      <c r="J92" s="305"/>
      <c r="K92" s="305"/>
      <c r="L92" s="200"/>
      <c r="M92" s="200"/>
      <c r="N92" s="210"/>
      <c r="O92" s="210"/>
      <c r="P92" s="200"/>
      <c r="Q92" s="200"/>
      <c r="R92" s="200"/>
      <c r="T92" s="159"/>
      <c r="U92" s="80"/>
      <c r="V92" s="82"/>
      <c r="W92" s="80"/>
      <c r="X92" s="80"/>
      <c r="Y92" s="163"/>
      <c r="Z92" s="70"/>
      <c r="AA92" s="163"/>
      <c r="AB92" s="79"/>
      <c r="AC92" s="310"/>
      <c r="AD92" s="263"/>
      <c r="AE92" s="163"/>
      <c r="AF92" s="79"/>
      <c r="AG92" s="197"/>
      <c r="AH92" s="156"/>
      <c r="AI92" s="163"/>
      <c r="AJ92" s="79"/>
      <c r="AK92" s="172"/>
      <c r="AL92" s="158"/>
      <c r="AM92" s="163"/>
      <c r="AN92" s="79"/>
      <c r="AO92" s="163"/>
      <c r="AP92" s="79"/>
      <c r="AQ92" s="157"/>
    </row>
    <row r="93" spans="1:43" x14ac:dyDescent="0.25">
      <c r="A93" s="202"/>
      <c r="C93" s="154"/>
      <c r="F93" s="200"/>
      <c r="H93" s="200"/>
      <c r="I93" s="200"/>
      <c r="J93" s="305"/>
      <c r="K93" s="305"/>
      <c r="L93" s="200"/>
      <c r="M93" s="200"/>
      <c r="N93" s="200"/>
      <c r="O93" s="200"/>
      <c r="P93" s="200"/>
      <c r="Q93" s="200"/>
      <c r="R93" s="200"/>
      <c r="T93" s="159">
        <f t="shared" si="3"/>
        <v>8</v>
      </c>
      <c r="U93" s="80"/>
      <c r="V93" s="253" t="s">
        <v>481</v>
      </c>
      <c r="W93" s="80"/>
      <c r="X93" s="80"/>
      <c r="Y93" s="163"/>
      <c r="Z93" s="70"/>
      <c r="AA93" s="79"/>
      <c r="AB93" s="79"/>
      <c r="AC93" s="310"/>
      <c r="AD93" s="263"/>
      <c r="AE93" s="79"/>
      <c r="AF93" s="79"/>
      <c r="AG93" s="155"/>
      <c r="AH93" s="156"/>
      <c r="AI93" s="79"/>
      <c r="AJ93" s="79"/>
      <c r="AK93" s="155"/>
      <c r="AL93" s="158"/>
      <c r="AM93" s="79"/>
      <c r="AN93" s="79"/>
      <c r="AO93" s="79"/>
      <c r="AP93" s="79"/>
      <c r="AQ93" s="155"/>
    </row>
    <row r="94" spans="1:43" x14ac:dyDescent="0.25">
      <c r="A94" s="202"/>
      <c r="C94" s="154"/>
      <c r="F94" s="200"/>
      <c r="H94" s="200"/>
      <c r="I94" s="200"/>
      <c r="J94" s="305"/>
      <c r="K94" s="305"/>
      <c r="L94" s="200"/>
      <c r="M94" s="200"/>
      <c r="N94" s="200"/>
      <c r="O94" s="200"/>
      <c r="P94" s="200"/>
      <c r="Q94" s="200"/>
      <c r="R94" s="200"/>
      <c r="T94" s="159">
        <f t="shared" si="3"/>
        <v>9</v>
      </c>
      <c r="U94" s="80"/>
      <c r="V94" s="82" t="s">
        <v>496</v>
      </c>
      <c r="W94" s="80"/>
      <c r="X94" s="80"/>
      <c r="Y94" s="163"/>
      <c r="Z94" s="70"/>
      <c r="AA94" s="79">
        <f t="shared" ref="AA94:AA95" si="4">H29</f>
        <v>25151023</v>
      </c>
      <c r="AB94" s="79"/>
      <c r="AC94" s="382">
        <f>CUR_TT_KWH</f>
        <v>4.2647999999999998E-2</v>
      </c>
      <c r="AD94" s="263"/>
      <c r="AE94" s="163">
        <f>ROUND((AA94*AC94),0)</f>
        <v>1072641</v>
      </c>
      <c r="AF94" s="163"/>
      <c r="AG94" s="197">
        <f>ROUND((AE94/AE$122)*100,1)</f>
        <v>8.6999999999999993</v>
      </c>
      <c r="AH94" s="198"/>
      <c r="AI94" s="163">
        <f>L29-AE94</f>
        <v>296933</v>
      </c>
      <c r="AJ94" s="163"/>
      <c r="AK94" s="172">
        <f>IF(AE94=0,"0.0 ",ROUND((AI94/AE94)*100,1))</f>
        <v>27.7</v>
      </c>
      <c r="AL94" s="199"/>
      <c r="AM94" s="163"/>
      <c r="AN94" s="163"/>
      <c r="AO94" s="163">
        <f>AE94+AM94</f>
        <v>1072641</v>
      </c>
      <c r="AP94" s="163"/>
      <c r="AQ94" s="172">
        <f>IF(AO94=0,"0.0 ",ROUND((AI94/AO94)*100,1))</f>
        <v>27.7</v>
      </c>
    </row>
    <row r="95" spans="1:43" x14ac:dyDescent="0.25">
      <c r="A95" s="202"/>
      <c r="C95" s="154"/>
      <c r="F95" s="200"/>
      <c r="H95" s="252"/>
      <c r="I95" s="252"/>
      <c r="J95" s="329"/>
      <c r="K95" s="329"/>
      <c r="L95" s="200"/>
      <c r="M95" s="200"/>
      <c r="N95" s="210"/>
      <c r="O95" s="210"/>
      <c r="P95" s="200"/>
      <c r="Q95" s="200"/>
      <c r="R95" s="200"/>
      <c r="T95" s="159">
        <f t="shared" si="3"/>
        <v>10</v>
      </c>
      <c r="U95" s="80"/>
      <c r="V95" s="82" t="s">
        <v>497</v>
      </c>
      <c r="W95" s="80"/>
      <c r="X95" s="80"/>
      <c r="Y95" s="167"/>
      <c r="Z95" s="70"/>
      <c r="AA95" s="167">
        <f t="shared" si="4"/>
        <v>45316087</v>
      </c>
      <c r="AB95" s="79"/>
      <c r="AC95" s="382">
        <f>CUR_TT_KWH</f>
        <v>4.2647999999999998E-2</v>
      </c>
      <c r="AD95" s="293"/>
      <c r="AE95" s="167">
        <f>ROUND((AA95*AC95),0)</f>
        <v>1932640</v>
      </c>
      <c r="AF95" s="79"/>
      <c r="AG95" s="166">
        <f>ROUND((AE95/AE$122)*100,1)</f>
        <v>15.7</v>
      </c>
      <c r="AH95" s="156"/>
      <c r="AI95" s="167">
        <f>L30-AE95</f>
        <v>88186</v>
      </c>
      <c r="AJ95" s="79"/>
      <c r="AK95" s="168">
        <f>IF(AE95=0,"0.0 ",ROUND((AI95/AE95)*100,1))</f>
        <v>4.5999999999999996</v>
      </c>
      <c r="AL95" s="158"/>
      <c r="AM95" s="167"/>
      <c r="AN95" s="79"/>
      <c r="AO95" s="167">
        <f>AE95+AM95</f>
        <v>1932640</v>
      </c>
      <c r="AP95" s="79"/>
      <c r="AQ95" s="157">
        <f>IF(AO95=0,"0.0 ",ROUND((AI95/AO95)*100,1))</f>
        <v>4.5999999999999996</v>
      </c>
    </row>
    <row r="96" spans="1:43" x14ac:dyDescent="0.25">
      <c r="A96" s="202"/>
      <c r="C96" s="154"/>
      <c r="F96" s="200"/>
      <c r="H96" s="252"/>
      <c r="I96" s="252"/>
      <c r="J96" s="329"/>
      <c r="K96" s="329"/>
      <c r="L96" s="200"/>
      <c r="M96" s="200"/>
      <c r="N96" s="210"/>
      <c r="O96" s="210"/>
      <c r="P96" s="200"/>
      <c r="Q96" s="200"/>
      <c r="R96" s="200"/>
      <c r="T96" s="159">
        <f t="shared" si="3"/>
        <v>11</v>
      </c>
      <c r="U96" s="80"/>
      <c r="V96" s="253" t="s">
        <v>164</v>
      </c>
      <c r="W96" s="80"/>
      <c r="X96" s="80"/>
      <c r="Y96" s="163"/>
      <c r="Z96" s="70"/>
      <c r="AA96" s="167">
        <f>H31</f>
        <v>70467110</v>
      </c>
      <c r="AB96" s="79"/>
      <c r="AC96" s="310"/>
      <c r="AD96" s="263"/>
      <c r="AE96" s="167">
        <f>AE94+AE95</f>
        <v>3005281</v>
      </c>
      <c r="AF96" s="79"/>
      <c r="AG96" s="166">
        <f>ROUND((AE96/AE$122)*100,1)</f>
        <v>24.4</v>
      </c>
      <c r="AH96" s="156"/>
      <c r="AI96" s="167">
        <f>SUM(AI94:AI95)</f>
        <v>385119</v>
      </c>
      <c r="AJ96" s="79"/>
      <c r="AK96" s="171">
        <f>IF(AE96=0,"0.0 ",ROUND((AI96/AE96)*100,1))</f>
        <v>12.8</v>
      </c>
      <c r="AL96" s="158"/>
      <c r="AM96" s="167"/>
      <c r="AN96" s="79"/>
      <c r="AO96" s="167">
        <f>AO94+AO95</f>
        <v>3005281</v>
      </c>
      <c r="AP96" s="79"/>
      <c r="AQ96" s="157">
        <f>IF(AO96=0,"0.0 ",ROUND((AI96/AO96)*100,1))</f>
        <v>12.8</v>
      </c>
    </row>
    <row r="97" spans="1:43" ht="20.100000000000001" customHeight="1" x14ac:dyDescent="0.25">
      <c r="A97" s="202"/>
      <c r="C97" s="154"/>
      <c r="F97" s="200"/>
      <c r="H97" s="200"/>
      <c r="I97" s="200"/>
      <c r="J97" s="213"/>
      <c r="K97" s="213"/>
      <c r="L97" s="200"/>
      <c r="M97" s="200"/>
      <c r="N97" s="210"/>
      <c r="O97" s="210"/>
      <c r="P97" s="200"/>
      <c r="Q97" s="200"/>
      <c r="R97" s="200"/>
      <c r="T97" s="159">
        <f t="shared" si="3"/>
        <v>12</v>
      </c>
      <c r="U97" s="80"/>
      <c r="V97" s="253" t="s">
        <v>58</v>
      </c>
      <c r="W97" s="80"/>
      <c r="X97" s="80"/>
      <c r="Y97" s="169">
        <f>F32</f>
        <v>52</v>
      </c>
      <c r="Z97" s="70"/>
      <c r="AA97" s="169">
        <f>H32</f>
        <v>70467110</v>
      </c>
      <c r="AB97" s="79"/>
      <c r="AC97" s="268"/>
      <c r="AD97" s="268"/>
      <c r="AE97" s="169">
        <f>AE86+AE91+AE96</f>
        <v>4244202</v>
      </c>
      <c r="AF97" s="79"/>
      <c r="AG97" s="166">
        <f>ROUND((AE97/AE$122)*100,1)</f>
        <v>34.5</v>
      </c>
      <c r="AH97" s="156"/>
      <c r="AI97" s="169">
        <f>AI86+AI91+AI96</f>
        <v>522370</v>
      </c>
      <c r="AJ97" s="79"/>
      <c r="AK97" s="171">
        <f>IF(AE97=0,"0.0 ",ROUND((AI97/AE97)*100,1))</f>
        <v>12.3</v>
      </c>
      <c r="AL97" s="156"/>
      <c r="AM97" s="342"/>
      <c r="AN97" s="79"/>
      <c r="AO97" s="169">
        <f>AO86+AO91+AO96</f>
        <v>4244202</v>
      </c>
      <c r="AP97" s="79"/>
      <c r="AQ97" s="157">
        <f>IF(AO97=0,"0.0 ",ROUND((AI97/AO97)*100,1))</f>
        <v>12.3</v>
      </c>
    </row>
    <row r="98" spans="1:43" x14ac:dyDescent="0.25">
      <c r="A98" s="202"/>
      <c r="C98" s="154"/>
      <c r="F98" s="200"/>
      <c r="H98" s="200"/>
      <c r="I98" s="200"/>
      <c r="J98" s="213"/>
      <c r="K98" s="213"/>
      <c r="L98" s="200"/>
      <c r="M98" s="200"/>
      <c r="N98" s="210"/>
      <c r="O98" s="210"/>
      <c r="P98" s="200"/>
      <c r="Q98" s="200"/>
      <c r="R98" s="200"/>
      <c r="T98" s="159"/>
      <c r="W98" s="80"/>
      <c r="X98" s="80"/>
      <c r="Y98" s="78"/>
      <c r="Z98" s="70"/>
      <c r="AA98" s="78"/>
      <c r="AB98" s="78"/>
      <c r="AC98" s="268"/>
      <c r="AD98" s="268"/>
      <c r="AE98" s="79"/>
      <c r="AF98" s="79"/>
      <c r="AG98" s="155"/>
      <c r="AH98" s="156"/>
      <c r="AI98" s="79"/>
      <c r="AJ98" s="79"/>
      <c r="AK98" s="164"/>
      <c r="AL98" s="70"/>
      <c r="AM98" s="79"/>
      <c r="AN98" s="79"/>
      <c r="AO98" s="79"/>
      <c r="AP98" s="79"/>
      <c r="AQ98" s="155"/>
    </row>
    <row r="99" spans="1:43" x14ac:dyDescent="0.25">
      <c r="A99" s="202"/>
      <c r="C99" s="154"/>
      <c r="F99" s="200"/>
      <c r="H99" s="252"/>
      <c r="I99" s="252"/>
      <c r="J99" s="320"/>
      <c r="K99" s="320"/>
      <c r="L99" s="200"/>
      <c r="M99" s="200"/>
      <c r="N99" s="210"/>
      <c r="O99" s="210"/>
      <c r="P99" s="200"/>
      <c r="Q99" s="200"/>
      <c r="R99" s="200"/>
      <c r="T99" s="159">
        <f t="shared" si="3"/>
        <v>13</v>
      </c>
      <c r="U99" s="80"/>
      <c r="V99" s="253" t="s">
        <v>59</v>
      </c>
      <c r="W99" s="80"/>
      <c r="X99" s="80"/>
      <c r="Y99" s="70"/>
      <c r="Z99" s="70"/>
      <c r="AA99" s="70"/>
      <c r="AB99" s="70"/>
      <c r="AC99" s="70"/>
      <c r="AD99" s="70"/>
      <c r="AE99" s="70"/>
      <c r="AF99" s="70"/>
      <c r="AG99" s="164"/>
      <c r="AH99" s="70"/>
      <c r="AI99" s="70"/>
      <c r="AJ99" s="70"/>
      <c r="AK99" s="164"/>
      <c r="AL99" s="70"/>
      <c r="AM99" s="70"/>
      <c r="AN99" s="70"/>
      <c r="AO99" s="70"/>
      <c r="AP99" s="70"/>
      <c r="AQ99" s="164"/>
    </row>
    <row r="100" spans="1:43" x14ac:dyDescent="0.25">
      <c r="F100" s="211"/>
      <c r="H100" s="211"/>
      <c r="I100" s="211"/>
      <c r="J100" s="305"/>
      <c r="K100" s="305"/>
      <c r="L100" s="211"/>
      <c r="M100" s="211"/>
      <c r="N100" s="211"/>
      <c r="O100" s="211"/>
      <c r="P100" s="211"/>
      <c r="Q100" s="211"/>
      <c r="R100" s="211"/>
      <c r="T100" s="159">
        <f t="shared" si="3"/>
        <v>14</v>
      </c>
      <c r="U100" s="80"/>
      <c r="V100" s="253" t="s">
        <v>64</v>
      </c>
      <c r="W100" s="80"/>
      <c r="X100" s="80"/>
      <c r="Y100" s="163">
        <f>F35</f>
        <v>104</v>
      </c>
      <c r="Z100" s="70"/>
      <c r="AA100" s="78"/>
      <c r="AB100" s="78"/>
      <c r="AC100" s="284">
        <f>AC86</f>
        <v>500</v>
      </c>
      <c r="AD100" s="284"/>
      <c r="AE100" s="167">
        <f>ROUND(Y100*AC100,0)</f>
        <v>52000</v>
      </c>
      <c r="AF100" s="79"/>
      <c r="AG100" s="166">
        <f>ROUND((AE100/AE$122)*100,1)</f>
        <v>0.4</v>
      </c>
      <c r="AH100" s="156"/>
      <c r="AI100" s="167">
        <f>L35-AE100</f>
        <v>0</v>
      </c>
      <c r="AJ100" s="79"/>
      <c r="AK100" s="168">
        <f>IF(AE100=0,"0.0 ",ROUND((AI100/AE100)*100,1))</f>
        <v>0</v>
      </c>
      <c r="AL100" s="158"/>
      <c r="AM100" s="379"/>
      <c r="AN100" s="302"/>
      <c r="AO100" s="167">
        <f>AE100+AM100</f>
        <v>52000</v>
      </c>
      <c r="AP100" s="79"/>
      <c r="AQ100" s="157">
        <f>IF(AO100=0,"0.0 ",ROUND((AI100/AO100)*100,1))</f>
        <v>0</v>
      </c>
    </row>
    <row r="101" spans="1:43" x14ac:dyDescent="0.25">
      <c r="F101" s="211"/>
      <c r="H101" s="211"/>
      <c r="I101" s="211"/>
      <c r="J101" s="305"/>
      <c r="K101" s="305"/>
      <c r="L101" s="211"/>
      <c r="M101" s="211"/>
      <c r="N101" s="211"/>
      <c r="O101" s="211"/>
      <c r="P101" s="211"/>
      <c r="Q101" s="211"/>
      <c r="R101" s="211"/>
      <c r="T101" s="159"/>
      <c r="U101" s="80"/>
      <c r="V101" s="82"/>
      <c r="W101" s="80"/>
      <c r="X101" s="80"/>
      <c r="Y101" s="163"/>
      <c r="Z101" s="70"/>
      <c r="AA101" s="78"/>
      <c r="AB101" s="78"/>
      <c r="AC101" s="284"/>
      <c r="AD101" s="284"/>
      <c r="AE101" s="163"/>
      <c r="AF101" s="79"/>
      <c r="AG101" s="197"/>
      <c r="AH101" s="156"/>
      <c r="AI101" s="163"/>
      <c r="AJ101" s="79"/>
      <c r="AK101" s="155"/>
      <c r="AL101" s="158"/>
      <c r="AM101" s="271"/>
      <c r="AN101" s="302"/>
      <c r="AO101" s="163"/>
      <c r="AP101" s="79"/>
      <c r="AQ101" s="155"/>
    </row>
    <row r="102" spans="1:43" x14ac:dyDescent="0.25">
      <c r="F102" s="211"/>
      <c r="H102" s="211"/>
      <c r="I102" s="211"/>
      <c r="J102" s="305"/>
      <c r="K102" s="305"/>
      <c r="L102" s="211"/>
      <c r="M102" s="211"/>
      <c r="N102" s="211"/>
      <c r="O102" s="211"/>
      <c r="P102" s="211"/>
      <c r="Q102" s="211"/>
      <c r="R102" s="211"/>
      <c r="S102" s="200"/>
      <c r="T102" s="159">
        <f t="shared" si="3"/>
        <v>15</v>
      </c>
      <c r="U102" s="80"/>
      <c r="V102" s="253" t="s">
        <v>65</v>
      </c>
      <c r="W102" s="80"/>
      <c r="X102" s="80"/>
      <c r="Y102" s="78"/>
      <c r="Z102" s="70"/>
      <c r="AA102" s="78"/>
      <c r="AB102" s="78"/>
      <c r="AC102" s="339"/>
      <c r="AD102" s="339"/>
      <c r="AE102" s="79"/>
      <c r="AF102" s="79"/>
      <c r="AG102" s="155"/>
      <c r="AH102" s="156"/>
      <c r="AI102" s="79"/>
      <c r="AJ102" s="79"/>
      <c r="AK102" s="155"/>
      <c r="AL102" s="156"/>
      <c r="AM102" s="79"/>
      <c r="AN102" s="79"/>
      <c r="AO102" s="79"/>
      <c r="AP102" s="79"/>
      <c r="AQ102" s="155"/>
    </row>
    <row r="103" spans="1:43" x14ac:dyDescent="0.25">
      <c r="A103" s="202"/>
      <c r="C103" s="154"/>
      <c r="F103" s="252"/>
      <c r="H103" s="330"/>
      <c r="I103" s="330"/>
      <c r="J103" s="305"/>
      <c r="K103" s="305"/>
      <c r="L103" s="200"/>
      <c r="M103" s="200"/>
      <c r="N103" s="210"/>
      <c r="O103" s="210"/>
      <c r="P103" s="200"/>
      <c r="Q103" s="200"/>
      <c r="R103" s="200"/>
      <c r="S103" s="200"/>
      <c r="T103" s="159">
        <f t="shared" si="3"/>
        <v>16</v>
      </c>
      <c r="U103" s="80"/>
      <c r="V103" s="82" t="s">
        <v>66</v>
      </c>
      <c r="W103" s="80"/>
      <c r="X103" s="80"/>
      <c r="Y103" s="230"/>
      <c r="Z103" s="70"/>
      <c r="AA103" s="79">
        <f>H38</f>
        <v>315418.80000000005</v>
      </c>
      <c r="AB103" s="79"/>
      <c r="AC103" s="283">
        <f>INPUT!C130</f>
        <v>6.24</v>
      </c>
      <c r="AD103" s="284"/>
      <c r="AE103" s="79">
        <f>ROUND(AA103*AC103,0)</f>
        <v>1968213</v>
      </c>
      <c r="AF103" s="79"/>
      <c r="AG103" s="197">
        <f>ROUND((AE103/AE$122)*100,1)</f>
        <v>16</v>
      </c>
      <c r="AH103" s="156"/>
      <c r="AI103" s="163">
        <f>L38-AE103</f>
        <v>223948</v>
      </c>
      <c r="AJ103" s="79"/>
      <c r="AK103" s="157">
        <f>IF(AE103=0,"0.0 ",ROUND((AI103/AE103)*100,1))</f>
        <v>11.4</v>
      </c>
      <c r="AL103" s="158"/>
      <c r="AM103" s="79"/>
      <c r="AN103" s="79"/>
      <c r="AO103" s="79">
        <f>AE103+AM103</f>
        <v>1968213</v>
      </c>
      <c r="AP103" s="79"/>
      <c r="AQ103" s="157">
        <f>IF(AO103=0,"0.0 ",ROUND((AI103/AO103)*100,1))</f>
        <v>11.4</v>
      </c>
    </row>
    <row r="104" spans="1:43" x14ac:dyDescent="0.25">
      <c r="T104" s="159">
        <f t="shared" si="3"/>
        <v>17</v>
      </c>
      <c r="U104" s="80"/>
      <c r="V104" s="82" t="s">
        <v>67</v>
      </c>
      <c r="W104" s="80"/>
      <c r="X104" s="80"/>
      <c r="Y104" s="230"/>
      <c r="Z104" s="70"/>
      <c r="AA104" s="167">
        <f>H39</f>
        <v>11327.7</v>
      </c>
      <c r="AB104" s="79"/>
      <c r="AC104" s="283">
        <f>INPUT!C131</f>
        <v>1.1499999999999999</v>
      </c>
      <c r="AD104" s="284"/>
      <c r="AE104" s="167">
        <f>ROUND(AA104*AC104,0)</f>
        <v>13027</v>
      </c>
      <c r="AF104" s="79"/>
      <c r="AG104" s="166">
        <f>ROUND((AE104/AE$122)*100,1)</f>
        <v>0.1</v>
      </c>
      <c r="AH104" s="156"/>
      <c r="AI104" s="167">
        <f>L39-AE104</f>
        <v>1472</v>
      </c>
      <c r="AJ104" s="79"/>
      <c r="AK104" s="168">
        <f>IF(AE104=0,"0.0 ",ROUND((AI104/AE104)*100,1))</f>
        <v>11.3</v>
      </c>
      <c r="AL104" s="158"/>
      <c r="AM104" s="167"/>
      <c r="AN104" s="79"/>
      <c r="AO104" s="167">
        <f>AE104+AM104</f>
        <v>13027</v>
      </c>
      <c r="AP104" s="79"/>
      <c r="AQ104" s="157">
        <f>IF(AO104=0,"0.0 ",ROUND((AI104/AO104)*100,1))</f>
        <v>11.3</v>
      </c>
    </row>
    <row r="105" spans="1:43" ht="20.100000000000001" customHeight="1" x14ac:dyDescent="0.25">
      <c r="A105" s="202"/>
      <c r="C105" s="154"/>
      <c r="F105" s="252"/>
      <c r="H105" s="252"/>
      <c r="I105" s="252"/>
      <c r="J105" s="300"/>
      <c r="K105" s="300"/>
      <c r="L105" s="200"/>
      <c r="M105" s="200"/>
      <c r="N105" s="210"/>
      <c r="O105" s="210"/>
      <c r="P105" s="202"/>
      <c r="Q105" s="202"/>
      <c r="R105" s="200"/>
      <c r="T105" s="159">
        <f t="shared" si="3"/>
        <v>18</v>
      </c>
      <c r="U105" s="80"/>
      <c r="V105" s="253" t="s">
        <v>68</v>
      </c>
      <c r="W105" s="80"/>
      <c r="X105" s="80"/>
      <c r="Y105" s="163"/>
      <c r="Z105" s="70"/>
      <c r="AA105" s="167">
        <f>H40</f>
        <v>326746.50000000006</v>
      </c>
      <c r="AB105" s="79"/>
      <c r="AC105" s="263"/>
      <c r="AD105" s="263"/>
      <c r="AE105" s="167">
        <f>AE103+AE104</f>
        <v>1981240</v>
      </c>
      <c r="AF105" s="79"/>
      <c r="AG105" s="166">
        <f>ROUND((AE105/AE$122)*100,1)</f>
        <v>16.100000000000001</v>
      </c>
      <c r="AH105" s="156"/>
      <c r="AI105" s="167">
        <f>SUM(AI103:AI104)</f>
        <v>225420</v>
      </c>
      <c r="AJ105" s="79"/>
      <c r="AK105" s="168">
        <f>IF(AE105=0,"0.0 ",ROUND((AI105/AE105)*100,1))</f>
        <v>11.4</v>
      </c>
      <c r="AL105" s="158"/>
      <c r="AM105" s="167"/>
      <c r="AN105" s="79"/>
      <c r="AO105" s="167">
        <f>AO103+AO104</f>
        <v>1981240</v>
      </c>
      <c r="AP105" s="79"/>
      <c r="AQ105" s="157">
        <f>IF(AO105=0,"0.0 ",ROUND((AI105/AO105)*100,1))</f>
        <v>11.4</v>
      </c>
    </row>
    <row r="106" spans="1:43" x14ac:dyDescent="0.25">
      <c r="A106" s="202"/>
      <c r="C106" s="154"/>
      <c r="F106" s="252"/>
      <c r="H106" s="252"/>
      <c r="I106" s="252"/>
      <c r="J106" s="300"/>
      <c r="K106" s="300"/>
      <c r="L106" s="200"/>
      <c r="M106" s="200"/>
      <c r="N106" s="210"/>
      <c r="O106" s="210"/>
      <c r="P106" s="202"/>
      <c r="Q106" s="202"/>
      <c r="R106" s="200"/>
      <c r="T106" s="159"/>
      <c r="U106" s="80"/>
      <c r="V106" s="82"/>
      <c r="W106" s="80"/>
      <c r="X106" s="80"/>
      <c r="Y106" s="163"/>
      <c r="Z106" s="70"/>
      <c r="AA106" s="163"/>
      <c r="AB106" s="79"/>
      <c r="AC106" s="263"/>
      <c r="AD106" s="263"/>
      <c r="AE106" s="163"/>
      <c r="AF106" s="79"/>
      <c r="AG106" s="197"/>
      <c r="AH106" s="156"/>
      <c r="AI106" s="163"/>
      <c r="AJ106" s="79"/>
      <c r="AK106" s="172"/>
      <c r="AL106" s="158"/>
      <c r="AM106" s="163"/>
      <c r="AN106" s="79"/>
      <c r="AO106" s="163"/>
      <c r="AP106" s="79"/>
      <c r="AQ106" s="157"/>
    </row>
    <row r="107" spans="1:43" x14ac:dyDescent="0.25">
      <c r="A107" s="202"/>
      <c r="C107" s="154"/>
      <c r="F107" s="252"/>
      <c r="H107" s="252"/>
      <c r="I107" s="252"/>
      <c r="J107" s="300"/>
      <c r="K107" s="300"/>
      <c r="L107" s="200"/>
      <c r="M107" s="200"/>
      <c r="N107" s="210"/>
      <c r="O107" s="210"/>
      <c r="P107" s="202"/>
      <c r="Q107" s="202"/>
      <c r="R107" s="200"/>
      <c r="T107" s="159">
        <f t="shared" si="3"/>
        <v>19</v>
      </c>
      <c r="U107" s="80"/>
      <c r="V107" s="253" t="s">
        <v>481</v>
      </c>
      <c r="W107" s="80"/>
      <c r="X107" s="80"/>
      <c r="Y107" s="163"/>
      <c r="Z107" s="70"/>
      <c r="AA107" s="79"/>
      <c r="AB107" s="79"/>
      <c r="AC107" s="263"/>
      <c r="AD107" s="263"/>
      <c r="AE107" s="79"/>
      <c r="AF107" s="79"/>
      <c r="AG107" s="155"/>
      <c r="AH107" s="156"/>
      <c r="AI107" s="79"/>
      <c r="AJ107" s="79"/>
      <c r="AK107" s="155"/>
      <c r="AL107" s="158"/>
      <c r="AM107" s="79"/>
      <c r="AN107" s="79"/>
      <c r="AO107" s="79"/>
      <c r="AP107" s="79"/>
      <c r="AQ107" s="155"/>
    </row>
    <row r="108" spans="1:43" x14ac:dyDescent="0.25">
      <c r="A108" s="202"/>
      <c r="C108" s="154"/>
      <c r="F108" s="252"/>
      <c r="H108" s="252"/>
      <c r="I108" s="252"/>
      <c r="J108" s="300"/>
      <c r="K108" s="300"/>
      <c r="L108" s="200"/>
      <c r="M108" s="200"/>
      <c r="N108" s="210"/>
      <c r="O108" s="210"/>
      <c r="P108" s="202"/>
      <c r="Q108" s="202"/>
      <c r="R108" s="200"/>
      <c r="T108" s="159">
        <f t="shared" si="3"/>
        <v>20</v>
      </c>
      <c r="U108" s="80"/>
      <c r="V108" s="82" t="s">
        <v>496</v>
      </c>
      <c r="W108" s="80"/>
      <c r="X108" s="80"/>
      <c r="Y108" s="163"/>
      <c r="Z108" s="70"/>
      <c r="AA108" s="163">
        <f>H43</f>
        <v>49796666</v>
      </c>
      <c r="AB108" s="163"/>
      <c r="AC108" s="382">
        <f>CUR_TT_KWH</f>
        <v>4.2647999999999998E-2</v>
      </c>
      <c r="AD108" s="383"/>
      <c r="AE108" s="163">
        <f>ROUND((AA108*AC108),0)</f>
        <v>2123728</v>
      </c>
      <c r="AF108" s="163"/>
      <c r="AG108" s="197">
        <f>ROUND((AE108/AE$122)*100,1)</f>
        <v>17.3</v>
      </c>
      <c r="AH108" s="198"/>
      <c r="AI108" s="163">
        <f>L43-AE108</f>
        <v>464852</v>
      </c>
      <c r="AJ108" s="163"/>
      <c r="AK108" s="172">
        <f>IF(AE108=0,"0.0 ",ROUND((AI108/AE108)*100,1))</f>
        <v>21.9</v>
      </c>
      <c r="AL108" s="199"/>
      <c r="AM108" s="163"/>
      <c r="AN108" s="163"/>
      <c r="AO108" s="163">
        <f>AE108+AM108</f>
        <v>2123728</v>
      </c>
      <c r="AP108" s="163"/>
      <c r="AQ108" s="172">
        <f>IF(AO108=0,"0.0 ",ROUND((AI108/AO108)*100,1))</f>
        <v>21.9</v>
      </c>
    </row>
    <row r="109" spans="1:43" x14ac:dyDescent="0.25">
      <c r="F109" s="211"/>
      <c r="H109" s="200"/>
      <c r="I109" s="200"/>
      <c r="J109" s="305"/>
      <c r="K109" s="305"/>
      <c r="L109" s="211"/>
      <c r="M109" s="211"/>
      <c r="N109" s="211"/>
      <c r="O109" s="211"/>
      <c r="P109" s="211"/>
      <c r="Q109" s="211"/>
      <c r="R109" s="211"/>
      <c r="T109" s="159">
        <f t="shared" si="3"/>
        <v>21</v>
      </c>
      <c r="U109" s="80"/>
      <c r="V109" s="82" t="s">
        <v>497</v>
      </c>
      <c r="W109" s="80"/>
      <c r="X109" s="80"/>
      <c r="Y109" s="167"/>
      <c r="Z109" s="70"/>
      <c r="AA109" s="167">
        <f>H44</f>
        <v>93005652</v>
      </c>
      <c r="AB109" s="79"/>
      <c r="AC109" s="382">
        <f>CUR_TT_KWH</f>
        <v>4.2647999999999998E-2</v>
      </c>
      <c r="AD109" s="293"/>
      <c r="AE109" s="167">
        <f>ROUND((AA109*AC109),0)</f>
        <v>3966505</v>
      </c>
      <c r="AF109" s="79"/>
      <c r="AG109" s="166">
        <f>ROUND((AE109/AE$122)*100,1)</f>
        <v>32.200000000000003</v>
      </c>
      <c r="AH109" s="156"/>
      <c r="AI109" s="167">
        <f>L44-AE109</f>
        <v>180989</v>
      </c>
      <c r="AJ109" s="79"/>
      <c r="AK109" s="168">
        <f>IF(AE109=0,"0.0 ",ROUND((AI109/AE109)*100,1))</f>
        <v>4.5999999999999996</v>
      </c>
      <c r="AL109" s="158"/>
      <c r="AM109" s="167"/>
      <c r="AN109" s="79"/>
      <c r="AO109" s="167">
        <f>AE109+AM109</f>
        <v>3966505</v>
      </c>
      <c r="AP109" s="79"/>
      <c r="AQ109" s="157">
        <f>IF(AO109=0,"0.0 ",ROUND((AI109/AO109)*100,1))</f>
        <v>4.5999999999999996</v>
      </c>
    </row>
    <row r="110" spans="1:43" x14ac:dyDescent="0.25">
      <c r="F110" s="211"/>
      <c r="H110" s="200"/>
      <c r="I110" s="200"/>
      <c r="J110" s="305"/>
      <c r="K110" s="305"/>
      <c r="L110" s="211"/>
      <c r="M110" s="211"/>
      <c r="N110" s="211"/>
      <c r="O110" s="211"/>
      <c r="P110" s="211"/>
      <c r="Q110" s="211"/>
      <c r="R110" s="211"/>
      <c r="T110" s="159">
        <f t="shared" si="3"/>
        <v>22</v>
      </c>
      <c r="U110" s="80"/>
      <c r="V110" s="253" t="s">
        <v>164</v>
      </c>
      <c r="W110" s="80"/>
      <c r="X110" s="80"/>
      <c r="Y110" s="163"/>
      <c r="Z110" s="70"/>
      <c r="AA110" s="167">
        <f>H45</f>
        <v>142802318</v>
      </c>
      <c r="AB110" s="79"/>
      <c r="AC110" s="310"/>
      <c r="AD110" s="263"/>
      <c r="AE110" s="167">
        <f>AE108+AE109</f>
        <v>6090233</v>
      </c>
      <c r="AF110" s="79"/>
      <c r="AG110" s="166">
        <f>ROUND((AE110/AE$122)*100,1)</f>
        <v>49.5</v>
      </c>
      <c r="AH110" s="156"/>
      <c r="AI110" s="167">
        <f>SUM(AI108:AI109)</f>
        <v>645841</v>
      </c>
      <c r="AJ110" s="79"/>
      <c r="AK110" s="171">
        <f>IF(AE110=0,"0.0 ",ROUND((AI110/AE110)*100,1))</f>
        <v>10.6</v>
      </c>
      <c r="AL110" s="158"/>
      <c r="AM110" s="167"/>
      <c r="AN110" s="79"/>
      <c r="AO110" s="167">
        <f>AO108+AO109</f>
        <v>6090233</v>
      </c>
      <c r="AP110" s="79"/>
      <c r="AQ110" s="157">
        <f>IF(AO110=0,"0.0 ",ROUND((AI110/AO110)*100,1))</f>
        <v>10.6</v>
      </c>
    </row>
    <row r="111" spans="1:43" ht="20.100000000000001" customHeight="1" x14ac:dyDescent="0.25">
      <c r="A111" s="202"/>
      <c r="C111" s="154"/>
      <c r="F111" s="252"/>
      <c r="H111" s="252"/>
      <c r="I111" s="252"/>
      <c r="J111" s="328"/>
      <c r="K111" s="328"/>
      <c r="L111" s="200"/>
      <c r="M111" s="200"/>
      <c r="N111" s="210"/>
      <c r="O111" s="210"/>
      <c r="P111" s="200"/>
      <c r="Q111" s="200"/>
      <c r="R111" s="200"/>
      <c r="S111" s="200"/>
      <c r="T111" s="159">
        <f t="shared" si="3"/>
        <v>23</v>
      </c>
      <c r="U111" s="80"/>
      <c r="V111" s="253" t="s">
        <v>60</v>
      </c>
      <c r="W111" s="80"/>
      <c r="X111" s="80"/>
      <c r="Y111" s="169">
        <f>F46</f>
        <v>104</v>
      </c>
      <c r="Z111" s="70"/>
      <c r="AA111" s="169">
        <f>H46</f>
        <v>142802318</v>
      </c>
      <c r="AB111" s="79"/>
      <c r="AC111" s="347"/>
      <c r="AD111" s="268"/>
      <c r="AE111" s="169">
        <f>AE100+AE105+AE110</f>
        <v>8123473</v>
      </c>
      <c r="AF111" s="79"/>
      <c r="AG111" s="166">
        <f>ROUND((AE111/AE$122)*100,1)</f>
        <v>66</v>
      </c>
      <c r="AH111" s="156"/>
      <c r="AI111" s="169">
        <f>AI100+AI105+AI110</f>
        <v>871261</v>
      </c>
      <c r="AJ111" s="79"/>
      <c r="AK111" s="171">
        <f>IF(AE111=0,"0.0 ",ROUND((AI111/AE111)*100,1))</f>
        <v>10.7</v>
      </c>
      <c r="AL111" s="156"/>
      <c r="AM111" s="342"/>
      <c r="AN111" s="79"/>
      <c r="AO111" s="169">
        <f>AO100+AO105+AO110</f>
        <v>8123473</v>
      </c>
      <c r="AP111" s="79"/>
      <c r="AQ111" s="157">
        <f>IF(AO111=0,"0.0 ",ROUND((AI111/AO111)*100,1))</f>
        <v>10.7</v>
      </c>
    </row>
    <row r="112" spans="1:43" ht="20.100000000000001" customHeight="1" x14ac:dyDescent="0.25">
      <c r="A112" s="202"/>
      <c r="C112" s="154"/>
      <c r="F112" s="252"/>
      <c r="H112" s="252"/>
      <c r="I112" s="252"/>
      <c r="J112" s="300"/>
      <c r="K112" s="300"/>
      <c r="L112" s="200"/>
      <c r="M112" s="200"/>
      <c r="N112" s="210"/>
      <c r="O112" s="210"/>
      <c r="P112" s="200"/>
      <c r="Q112" s="200"/>
      <c r="R112" s="200"/>
      <c r="T112" s="159">
        <f t="shared" si="3"/>
        <v>24</v>
      </c>
      <c r="U112" s="80"/>
      <c r="V112" s="265" t="s">
        <v>574</v>
      </c>
      <c r="W112" s="80"/>
      <c r="X112" s="80"/>
      <c r="Y112" s="384">
        <f>Y97+Y111</f>
        <v>156</v>
      </c>
      <c r="Z112" s="70"/>
      <c r="AA112" s="384">
        <f>AA97+AA111</f>
        <v>213269428</v>
      </c>
      <c r="AB112" s="70"/>
      <c r="AC112" s="385"/>
      <c r="AD112" s="70"/>
      <c r="AE112" s="384">
        <f>AE97+AE111</f>
        <v>12367675</v>
      </c>
      <c r="AF112" s="70"/>
      <c r="AG112" s="166">
        <f>ROUND((AE112/AE$122)*100,1)</f>
        <v>100.5</v>
      </c>
      <c r="AH112" s="70"/>
      <c r="AI112" s="384">
        <f>AI111+AI97</f>
        <v>1393631</v>
      </c>
      <c r="AJ112" s="70"/>
      <c r="AK112" s="171">
        <f>IF(AE112=0,"0.0 ",ROUND((AI112/AE112)*100,1))</f>
        <v>11.3</v>
      </c>
      <c r="AL112" s="70"/>
      <c r="AM112" s="386"/>
      <c r="AN112" s="70"/>
      <c r="AO112" s="384">
        <f>AO111+AO97</f>
        <v>12367675</v>
      </c>
      <c r="AP112" s="70"/>
      <c r="AQ112" s="157">
        <f>IF(AO112=0,"0.0 ",ROUND((AI112/AO112)*100,1))</f>
        <v>11.3</v>
      </c>
    </row>
    <row r="113" spans="1:43" x14ac:dyDescent="0.25">
      <c r="A113" s="202"/>
      <c r="C113" s="154"/>
      <c r="F113" s="252"/>
      <c r="H113" s="252"/>
      <c r="I113" s="252"/>
      <c r="J113" s="300"/>
      <c r="K113" s="300"/>
      <c r="L113" s="200"/>
      <c r="M113" s="200"/>
      <c r="N113" s="210"/>
      <c r="O113" s="210"/>
      <c r="P113" s="200"/>
      <c r="Q113" s="200"/>
      <c r="R113" s="200"/>
      <c r="T113" s="159"/>
      <c r="U113" s="80"/>
      <c r="V113" s="82"/>
      <c r="W113" s="80"/>
      <c r="X113" s="80"/>
      <c r="Y113" s="70"/>
      <c r="Z113" s="70"/>
      <c r="AA113" s="70"/>
      <c r="AB113" s="70"/>
      <c r="AC113" s="385"/>
      <c r="AD113" s="70"/>
      <c r="AE113" s="70"/>
      <c r="AF113" s="70"/>
      <c r="AG113" s="164"/>
      <c r="AH113" s="70"/>
      <c r="AI113" s="70"/>
      <c r="AJ113" s="70"/>
      <c r="AK113" s="164"/>
      <c r="AL113" s="70"/>
      <c r="AM113" s="70"/>
      <c r="AN113" s="70"/>
      <c r="AO113" s="70"/>
      <c r="AP113" s="70"/>
      <c r="AQ113" s="164"/>
    </row>
    <row r="114" spans="1:43" x14ac:dyDescent="0.25">
      <c r="A114" s="202"/>
      <c r="C114" s="154"/>
      <c r="F114" s="252"/>
      <c r="H114" s="252"/>
      <c r="I114" s="252"/>
      <c r="J114" s="300"/>
      <c r="K114" s="300"/>
      <c r="L114" s="200"/>
      <c r="M114" s="200"/>
      <c r="N114" s="210"/>
      <c r="O114" s="210"/>
      <c r="P114" s="200"/>
      <c r="Q114" s="200"/>
      <c r="R114" s="200"/>
      <c r="T114" s="159">
        <f t="shared" si="3"/>
        <v>25</v>
      </c>
      <c r="U114" s="80"/>
      <c r="V114" s="253" t="s">
        <v>553</v>
      </c>
      <c r="W114" s="80"/>
      <c r="X114" s="80"/>
      <c r="Y114" s="70"/>
      <c r="Z114" s="70"/>
      <c r="AA114" s="70"/>
      <c r="AB114" s="70"/>
      <c r="AC114" s="385"/>
      <c r="AD114" s="70"/>
      <c r="AE114" s="70"/>
      <c r="AF114" s="70"/>
      <c r="AG114" s="164"/>
      <c r="AH114" s="70"/>
      <c r="AI114" s="70"/>
      <c r="AJ114" s="70"/>
      <c r="AK114" s="164"/>
      <c r="AL114" s="70"/>
      <c r="AM114" s="70"/>
      <c r="AN114" s="70"/>
      <c r="AO114" s="70"/>
      <c r="AP114" s="70"/>
      <c r="AQ114" s="164"/>
    </row>
    <row r="115" spans="1:43" x14ac:dyDescent="0.25">
      <c r="A115" s="202"/>
      <c r="C115" s="154"/>
      <c r="F115" s="252"/>
      <c r="H115" s="252"/>
      <c r="I115" s="252"/>
      <c r="J115" s="300"/>
      <c r="K115" s="300"/>
      <c r="L115" s="200"/>
      <c r="M115" s="200"/>
      <c r="N115" s="210"/>
      <c r="O115" s="210"/>
      <c r="P115" s="200"/>
      <c r="Q115" s="200"/>
      <c r="R115" s="200"/>
      <c r="T115" s="159">
        <f t="shared" si="3"/>
        <v>26</v>
      </c>
      <c r="U115" s="80"/>
      <c r="V115" s="153" t="str">
        <f>C50</f>
        <v>DEMAND SIDE MANAGEMENT RIDER (DSMR)</v>
      </c>
      <c r="W115" s="80"/>
      <c r="X115" s="80"/>
      <c r="Y115" s="70"/>
      <c r="Z115" s="70"/>
      <c r="AA115" s="70"/>
      <c r="AB115" s="70"/>
      <c r="AC115" s="308">
        <f>DSM_TRANS</f>
        <v>1.83E-4</v>
      </c>
      <c r="AD115" s="70"/>
      <c r="AE115" s="161">
        <f>ROUND($AA$112*AC115,0)</f>
        <v>39028</v>
      </c>
      <c r="AF115" s="70"/>
      <c r="AG115" s="155">
        <f>ROUND((AE115/AE$122)*100,1)</f>
        <v>0.3</v>
      </c>
      <c r="AH115" s="70"/>
      <c r="AI115" s="163">
        <f>L50-AE115</f>
        <v>0</v>
      </c>
      <c r="AJ115" s="70"/>
      <c r="AK115" s="157">
        <f t="shared" ref="AK115:AK120" si="5">IF(AE115=0,"0.0 ",ROUND((AI115/AE115)*100,1))</f>
        <v>0</v>
      </c>
      <c r="AL115" s="70"/>
      <c r="AM115" s="161"/>
      <c r="AN115" s="161"/>
      <c r="AO115" s="79">
        <f t="shared" ref="AO115:AO119" si="6">AE115+AM115</f>
        <v>39028</v>
      </c>
      <c r="AP115" s="70"/>
      <c r="AQ115" s="157">
        <f t="shared" ref="AQ115:AQ120" si="7">IF(AO115=0,"0.0 ",ROUND((AI115/AO115)*100,1))</f>
        <v>0</v>
      </c>
    </row>
    <row r="116" spans="1:43" x14ac:dyDescent="0.25">
      <c r="A116" s="202"/>
      <c r="C116" s="154"/>
      <c r="F116" s="252"/>
      <c r="H116" s="252"/>
      <c r="I116" s="252"/>
      <c r="J116" s="300"/>
      <c r="K116" s="300"/>
      <c r="L116" s="200"/>
      <c r="M116" s="200"/>
      <c r="N116" s="210"/>
      <c r="O116" s="210"/>
      <c r="P116" s="200"/>
      <c r="Q116" s="200"/>
      <c r="R116" s="200"/>
      <c r="T116" s="159">
        <f t="shared" si="3"/>
        <v>27</v>
      </c>
      <c r="U116" s="80"/>
      <c r="V116" s="153" t="str">
        <f>C51</f>
        <v>ENVIRONMENTAL SURCHARGE MECHANISM RIDER (ESM)</v>
      </c>
      <c r="W116" s="80"/>
      <c r="X116" s="80"/>
      <c r="Y116" s="70"/>
      <c r="Z116" s="70"/>
      <c r="AA116" s="70"/>
      <c r="AB116" s="70"/>
      <c r="AC116" s="308">
        <f>CUR_ESM</f>
        <v>0</v>
      </c>
      <c r="AD116" s="70"/>
      <c r="AE116" s="161">
        <f>ROUND(AO112*AC116,0)</f>
        <v>0</v>
      </c>
      <c r="AF116" s="70"/>
      <c r="AG116" s="155">
        <f>ROUND((AE116/AE$122)*100,1)</f>
        <v>0</v>
      </c>
      <c r="AH116" s="70"/>
      <c r="AI116" s="163">
        <f>L51-AE116</f>
        <v>0</v>
      </c>
      <c r="AJ116" s="70"/>
      <c r="AK116" s="157" t="str">
        <f t="shared" ref="AK116" si="8">IF(AE116=0,"0.0 ",ROUND((AI116/AE116)*100,1))</f>
        <v xml:space="preserve">0.0 </v>
      </c>
      <c r="AL116" s="70"/>
      <c r="AM116" s="161"/>
      <c r="AN116" s="161"/>
      <c r="AO116" s="79">
        <f t="shared" ref="AO116" si="9">AE116+AM116</f>
        <v>0</v>
      </c>
      <c r="AP116" s="70"/>
      <c r="AQ116" s="157" t="str">
        <f t="shared" ref="AQ116" si="10">IF(AO116=0,"0.0 ",ROUND((AI116/AO116)*100,1))</f>
        <v xml:space="preserve">0.0 </v>
      </c>
    </row>
    <row r="117" spans="1:43" x14ac:dyDescent="0.25">
      <c r="A117" s="202"/>
      <c r="C117" s="154"/>
      <c r="F117" s="252"/>
      <c r="H117" s="252"/>
      <c r="I117" s="252"/>
      <c r="J117" s="300"/>
      <c r="K117" s="300"/>
      <c r="L117" s="200"/>
      <c r="M117" s="200"/>
      <c r="N117" s="210"/>
      <c r="O117" s="210"/>
      <c r="P117" s="200"/>
      <c r="Q117" s="200"/>
      <c r="R117" s="200"/>
      <c r="T117" s="159">
        <f t="shared" si="3"/>
        <v>28</v>
      </c>
      <c r="U117" s="80"/>
      <c r="V117" s="153" t="str">
        <f>C52</f>
        <v>FUEL ADJUSTMENT CLAUSE (FAC)</v>
      </c>
      <c r="W117" s="80"/>
      <c r="X117" s="80"/>
      <c r="Y117" s="70"/>
      <c r="Z117" s="70"/>
      <c r="AA117" s="70"/>
      <c r="AB117" s="70"/>
      <c r="AC117" s="308">
        <f>CUR_FAC</f>
        <v>1.0280000000000001E-3</v>
      </c>
      <c r="AD117" s="70"/>
      <c r="AE117" s="161"/>
      <c r="AF117" s="70"/>
      <c r="AG117" s="155"/>
      <c r="AH117" s="70"/>
      <c r="AI117" s="163"/>
      <c r="AJ117" s="70"/>
      <c r="AK117" s="157"/>
      <c r="AL117" s="70"/>
      <c r="AM117" s="161">
        <f>ROUND(AA112*CUR_FAC,0)</f>
        <v>219241</v>
      </c>
      <c r="AN117" s="161"/>
      <c r="AO117" s="79">
        <f t="shared" si="6"/>
        <v>219241</v>
      </c>
      <c r="AP117" s="70"/>
      <c r="AQ117" s="157">
        <f>IF(AO117=0,"0.0 ",ROUND(((R52-AO117)/AO117)*100,1))</f>
        <v>0</v>
      </c>
    </row>
    <row r="118" spans="1:43" x14ac:dyDescent="0.25">
      <c r="A118" s="202"/>
      <c r="C118" s="154"/>
      <c r="F118" s="252"/>
      <c r="H118" s="252"/>
      <c r="I118" s="252"/>
      <c r="J118" s="300"/>
      <c r="K118" s="300"/>
      <c r="L118" s="200"/>
      <c r="M118" s="200"/>
      <c r="N118" s="210"/>
      <c r="O118" s="210"/>
      <c r="P118" s="200"/>
      <c r="Q118" s="200"/>
      <c r="R118" s="200"/>
      <c r="T118" s="159">
        <f t="shared" si="3"/>
        <v>29</v>
      </c>
      <c r="U118" s="80"/>
      <c r="V118" s="153" t="str">
        <f>C53</f>
        <v>FERC TRANSMISSION COST RECOVERY RECONCILIATION (FTR)</v>
      </c>
      <c r="W118" s="80"/>
      <c r="X118" s="80"/>
      <c r="Y118" s="70"/>
      <c r="Z118" s="70"/>
      <c r="AA118" s="70"/>
      <c r="AB118" s="70"/>
      <c r="AC118" s="308">
        <f>CUR_FTR_TT</f>
        <v>0</v>
      </c>
      <c r="AD118" s="70"/>
      <c r="AE118" s="161">
        <f>ROUND(AA112*AC118,0)</f>
        <v>0</v>
      </c>
      <c r="AF118" s="70"/>
      <c r="AG118" s="155">
        <f>ROUND((AE118/AE$122)*100,1)</f>
        <v>0</v>
      </c>
      <c r="AH118" s="70"/>
      <c r="AI118" s="163">
        <f>L53-AE118</f>
        <v>0</v>
      </c>
      <c r="AJ118" s="70"/>
      <c r="AK118" s="157" t="str">
        <f t="shared" ref="AK118" si="11">IF(AE118=0,"0.0 ",ROUND((AI118/AE118)*100,1))</f>
        <v xml:space="preserve">0.0 </v>
      </c>
      <c r="AL118" s="70"/>
      <c r="AM118" s="161"/>
      <c r="AN118" s="161"/>
      <c r="AO118" s="79">
        <f t="shared" ref="AO118" si="12">AE118+AM118</f>
        <v>0</v>
      </c>
      <c r="AP118" s="70"/>
      <c r="AQ118" s="157" t="str">
        <f t="shared" ref="AQ118" si="13">IF(AO118=0,"0.0 ",ROUND((AI118/AO118)*100,1))</f>
        <v xml:space="preserve">0.0 </v>
      </c>
    </row>
    <row r="119" spans="1:43" x14ac:dyDescent="0.25">
      <c r="A119" s="202"/>
      <c r="C119" s="154"/>
      <c r="F119" s="252"/>
      <c r="H119" s="252"/>
      <c r="I119" s="252"/>
      <c r="J119" s="300"/>
      <c r="K119" s="300"/>
      <c r="L119" s="200"/>
      <c r="M119" s="200"/>
      <c r="N119" s="210"/>
      <c r="O119" s="210"/>
      <c r="P119" s="200"/>
      <c r="Q119" s="200"/>
      <c r="R119" s="200"/>
      <c r="T119" s="159">
        <f t="shared" si="3"/>
        <v>30</v>
      </c>
      <c r="U119" s="80"/>
      <c r="V119" s="153" t="str">
        <f>C54</f>
        <v>PROFIT SHARING MECHANISM (PSM)</v>
      </c>
      <c r="W119" s="80"/>
      <c r="X119" s="80"/>
      <c r="Y119" s="70"/>
      <c r="Z119" s="70"/>
      <c r="AA119" s="70"/>
      <c r="AB119" s="70"/>
      <c r="AC119" s="308">
        <f>RS_PSM</f>
        <v>-4.5600000000000003E-4</v>
      </c>
      <c r="AD119" s="70"/>
      <c r="AE119" s="203">
        <f>ROUND(AA112*RS_PSM,0)</f>
        <v>-97251</v>
      </c>
      <c r="AF119" s="70"/>
      <c r="AG119" s="166">
        <f>ROUND((AE119/AE$122)*100,1)</f>
        <v>-0.8</v>
      </c>
      <c r="AH119" s="70"/>
      <c r="AI119" s="167">
        <f>L54-AE119</f>
        <v>0</v>
      </c>
      <c r="AJ119" s="70"/>
      <c r="AK119" s="168">
        <f t="shared" si="5"/>
        <v>0</v>
      </c>
      <c r="AL119" s="70"/>
      <c r="AM119" s="203"/>
      <c r="AN119" s="161"/>
      <c r="AO119" s="167">
        <f t="shared" si="6"/>
        <v>-97251</v>
      </c>
      <c r="AP119" s="70"/>
      <c r="AQ119" s="157">
        <f t="shared" si="7"/>
        <v>0</v>
      </c>
    </row>
    <row r="120" spans="1:43" x14ac:dyDescent="0.25">
      <c r="A120" s="202"/>
      <c r="C120" s="154"/>
      <c r="F120" s="252"/>
      <c r="H120" s="252"/>
      <c r="I120" s="252"/>
      <c r="J120" s="300"/>
      <c r="K120" s="300"/>
      <c r="L120" s="200"/>
      <c r="M120" s="200"/>
      <c r="N120" s="210"/>
      <c r="O120" s="210"/>
      <c r="P120" s="200"/>
      <c r="Q120" s="200"/>
      <c r="R120" s="200"/>
      <c r="T120" s="159">
        <f t="shared" si="3"/>
        <v>31</v>
      </c>
      <c r="U120" s="80"/>
      <c r="V120" s="253" t="s">
        <v>557</v>
      </c>
      <c r="W120" s="80"/>
      <c r="X120" s="80"/>
      <c r="Y120" s="84"/>
      <c r="Z120" s="70"/>
      <c r="AA120" s="84"/>
      <c r="AB120" s="70"/>
      <c r="AC120" s="308"/>
      <c r="AD120" s="70"/>
      <c r="AE120" s="384">
        <f>SUM(AE115:AE119)</f>
        <v>-58223</v>
      </c>
      <c r="AF120" s="70"/>
      <c r="AG120" s="170">
        <f>ROUND((AE120/AE$122)*100,1)</f>
        <v>-0.5</v>
      </c>
      <c r="AH120" s="70"/>
      <c r="AI120" s="384">
        <f>SUM(AI115:AI119)</f>
        <v>0</v>
      </c>
      <c r="AJ120" s="70"/>
      <c r="AK120" s="171">
        <f t="shared" si="5"/>
        <v>0</v>
      </c>
      <c r="AL120" s="70"/>
      <c r="AM120" s="384">
        <f>SUM(AM115:AM119)</f>
        <v>219241</v>
      </c>
      <c r="AN120" s="161"/>
      <c r="AO120" s="384">
        <f>SUM(AO115:AO119)</f>
        <v>161018</v>
      </c>
      <c r="AP120" s="70"/>
      <c r="AQ120" s="157">
        <f t="shared" si="7"/>
        <v>0</v>
      </c>
    </row>
    <row r="121" spans="1:43" x14ac:dyDescent="0.25">
      <c r="A121" s="202"/>
      <c r="C121" s="154"/>
      <c r="F121" s="252"/>
      <c r="H121" s="252"/>
      <c r="I121" s="252"/>
      <c r="J121" s="300"/>
      <c r="K121" s="300"/>
      <c r="L121" s="200"/>
      <c r="M121" s="200"/>
      <c r="N121" s="210"/>
      <c r="O121" s="210"/>
      <c r="P121" s="200"/>
      <c r="Q121" s="200"/>
      <c r="R121" s="200"/>
      <c r="T121" s="159"/>
      <c r="U121" s="80"/>
      <c r="V121" s="82"/>
      <c r="W121" s="80"/>
      <c r="X121" s="80"/>
      <c r="Y121" s="70"/>
      <c r="Z121" s="70"/>
      <c r="AA121" s="70"/>
      <c r="AB121" s="70"/>
      <c r="AC121" s="70"/>
      <c r="AD121" s="70"/>
      <c r="AE121" s="70"/>
      <c r="AF121" s="70"/>
      <c r="AG121" s="164"/>
      <c r="AH121" s="70"/>
      <c r="AI121" s="70"/>
      <c r="AJ121" s="70"/>
      <c r="AK121" s="164"/>
      <c r="AL121" s="70"/>
      <c r="AM121" s="70"/>
      <c r="AN121" s="70"/>
      <c r="AO121" s="70"/>
      <c r="AP121" s="70"/>
      <c r="AQ121" s="164"/>
    </row>
    <row r="122" spans="1:43" ht="20.100000000000001" customHeight="1" thickBot="1" x14ac:dyDescent="0.3">
      <c r="F122" s="200"/>
      <c r="H122" s="211"/>
      <c r="I122" s="211"/>
      <c r="J122" s="305"/>
      <c r="K122" s="305"/>
      <c r="L122" s="211"/>
      <c r="M122" s="211"/>
      <c r="N122" s="211"/>
      <c r="O122" s="211"/>
      <c r="P122" s="211"/>
      <c r="Q122" s="211"/>
      <c r="R122" s="211"/>
      <c r="T122" s="159">
        <f t="shared" si="3"/>
        <v>32</v>
      </c>
      <c r="U122" s="80"/>
      <c r="V122" s="265" t="s">
        <v>575</v>
      </c>
      <c r="W122" s="80"/>
      <c r="X122" s="80"/>
      <c r="Y122" s="275">
        <f>Y112</f>
        <v>156</v>
      </c>
      <c r="Z122" s="70"/>
      <c r="AA122" s="275">
        <f>AA112</f>
        <v>213269428</v>
      </c>
      <c r="AB122" s="79"/>
      <c r="AC122" s="70"/>
      <c r="AD122" s="70"/>
      <c r="AE122" s="275">
        <f>AE112+AE120</f>
        <v>12309452</v>
      </c>
      <c r="AF122" s="79"/>
      <c r="AG122" s="291">
        <v>100</v>
      </c>
      <c r="AH122" s="156"/>
      <c r="AI122" s="275">
        <f>AI112+AI120</f>
        <v>1393631</v>
      </c>
      <c r="AJ122" s="79"/>
      <c r="AK122" s="364">
        <f>IF(AE122=0,"0.0 ",ROUND((AI122/AE122)*100,1))</f>
        <v>11.3</v>
      </c>
      <c r="AL122" s="156"/>
      <c r="AM122" s="275">
        <f>AM112+AM120</f>
        <v>219241</v>
      </c>
      <c r="AN122" s="78"/>
      <c r="AO122" s="275">
        <f>AO112+AO120</f>
        <v>12528693</v>
      </c>
      <c r="AP122" s="79"/>
      <c r="AQ122" s="157">
        <f>IF(AO122=0,"0.0 ",ROUND((AI122/AO122)*100,1))</f>
        <v>11.1</v>
      </c>
    </row>
    <row r="123" spans="1:43" ht="16.5" thickTop="1" x14ac:dyDescent="0.25">
      <c r="F123" s="200"/>
      <c r="H123" s="211"/>
      <c r="I123" s="211"/>
      <c r="J123" s="305"/>
      <c r="K123" s="305"/>
      <c r="L123" s="211"/>
      <c r="M123" s="211"/>
      <c r="N123" s="211"/>
      <c r="O123" s="211"/>
      <c r="P123" s="211"/>
      <c r="Q123" s="211"/>
      <c r="R123" s="211"/>
      <c r="T123" s="80"/>
      <c r="U123" s="80"/>
      <c r="V123" s="80"/>
      <c r="W123" s="80"/>
      <c r="X123" s="80"/>
      <c r="Y123" s="70"/>
      <c r="Z123" s="70"/>
      <c r="AA123" s="70"/>
      <c r="AB123" s="70"/>
      <c r="AC123" s="70"/>
      <c r="AD123" s="70"/>
      <c r="AE123" s="70"/>
      <c r="AF123" s="70"/>
      <c r="AG123" s="164"/>
      <c r="AH123" s="70"/>
      <c r="AI123" s="70"/>
      <c r="AJ123" s="70"/>
      <c r="AK123" s="164"/>
      <c r="AL123" s="70"/>
      <c r="AM123" s="70"/>
      <c r="AN123" s="70"/>
      <c r="AO123" s="70"/>
      <c r="AP123" s="70"/>
      <c r="AQ123" s="164"/>
    </row>
    <row r="124" spans="1:43" x14ac:dyDescent="0.25">
      <c r="A124" s="202"/>
      <c r="C124" s="154"/>
      <c r="F124" s="200"/>
      <c r="H124" s="200"/>
      <c r="I124" s="200"/>
      <c r="J124" s="305"/>
      <c r="K124" s="305"/>
      <c r="L124" s="200"/>
      <c r="M124" s="200"/>
      <c r="N124" s="200"/>
      <c r="O124" s="200"/>
      <c r="P124" s="200"/>
      <c r="Q124" s="200"/>
      <c r="R124" s="200"/>
      <c r="T124" s="80"/>
      <c r="U124" s="80"/>
      <c r="V124" s="173" t="s">
        <v>61</v>
      </c>
      <c r="W124" s="80"/>
      <c r="X124" s="80"/>
      <c r="Y124" s="80"/>
      <c r="Z124" s="80"/>
      <c r="AA124" s="80"/>
      <c r="AB124" s="80"/>
      <c r="AC124" s="80"/>
      <c r="AD124" s="80"/>
      <c r="AE124" s="189"/>
      <c r="AF124" s="189"/>
      <c r="AG124" s="296"/>
      <c r="AH124" s="189"/>
      <c r="AI124" s="80"/>
      <c r="AJ124" s="80"/>
      <c r="AK124" s="188"/>
      <c r="AL124" s="80"/>
      <c r="AM124" s="189"/>
      <c r="AN124" s="189"/>
      <c r="AO124" s="189"/>
      <c r="AP124" s="189"/>
      <c r="AQ124" s="188"/>
    </row>
    <row r="125" spans="1:43" x14ac:dyDescent="0.25">
      <c r="A125" s="202"/>
      <c r="C125" s="154"/>
      <c r="F125" s="200"/>
      <c r="H125" s="200"/>
      <c r="I125" s="200"/>
      <c r="J125" s="305"/>
      <c r="K125" s="305"/>
      <c r="L125" s="200"/>
      <c r="M125" s="200"/>
      <c r="N125" s="200"/>
      <c r="O125" s="200"/>
      <c r="P125" s="200"/>
      <c r="Q125" s="200"/>
      <c r="R125" s="200"/>
      <c r="T125" s="80"/>
      <c r="U125" s="80"/>
      <c r="V125" s="173" t="str">
        <f>"(2) REFLECTS FUEL COMPONENT OF "&amp;TEXT(CUR_FAC,"$0.000000;($0.000000)")&amp;"  PER KWH."</f>
        <v>(2) REFLECTS FUEL COMPONENT OF $0.001028  PER KWH.</v>
      </c>
      <c r="W125" s="80"/>
      <c r="X125" s="80"/>
      <c r="Y125" s="80"/>
      <c r="Z125" s="80"/>
      <c r="AA125" s="80"/>
      <c r="AB125" s="80"/>
      <c r="AC125" s="80"/>
      <c r="AD125" s="80"/>
      <c r="AE125" s="189"/>
      <c r="AF125" s="189"/>
      <c r="AG125" s="296"/>
      <c r="AH125" s="189"/>
      <c r="AI125" s="80"/>
      <c r="AJ125" s="80"/>
      <c r="AK125" s="188"/>
      <c r="AL125" s="80"/>
      <c r="AM125" s="189"/>
      <c r="AN125" s="189"/>
      <c r="AO125" s="189"/>
      <c r="AP125" s="189"/>
      <c r="AQ125" s="188"/>
    </row>
    <row r="126" spans="1:43" x14ac:dyDescent="0.25">
      <c r="A126" s="202"/>
      <c r="C126" s="154"/>
      <c r="F126" s="200"/>
      <c r="H126" s="252"/>
      <c r="I126" s="252"/>
      <c r="J126" s="329"/>
      <c r="K126" s="329"/>
      <c r="L126" s="200"/>
      <c r="M126" s="200"/>
      <c r="N126" s="210"/>
      <c r="O126" s="210"/>
      <c r="P126" s="200"/>
      <c r="Q126" s="200"/>
      <c r="R126" s="200"/>
      <c r="T126" s="82"/>
      <c r="U126" s="80"/>
      <c r="V126" s="173" t="str">
        <f>"(3) REFLECTS FUEL COST RECOVERY INCLUDED IN BASE RATES OF "&amp;TEXT(CUR_BASE_FUEL,"$0.000000;($0.000000)")&amp;"  PER KWH."</f>
        <v>(3) REFLECTS FUEL COST RECOVERY INCLUDED IN BASE RATES OF $0.023837  PER KWH.</v>
      </c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188"/>
      <c r="AH126" s="80"/>
      <c r="AI126" s="80"/>
      <c r="AJ126" s="80"/>
      <c r="AK126" s="188"/>
      <c r="AL126" s="80"/>
      <c r="AM126" s="80"/>
      <c r="AN126" s="80"/>
      <c r="AO126" s="80"/>
      <c r="AP126" s="80"/>
      <c r="AQ126" s="188"/>
    </row>
    <row r="127" spans="1:43" x14ac:dyDescent="0.25">
      <c r="A127" s="202"/>
      <c r="C127" s="154"/>
      <c r="H127" s="252"/>
      <c r="I127" s="252"/>
      <c r="J127" s="329"/>
      <c r="K127" s="329"/>
      <c r="L127" s="200"/>
      <c r="M127" s="200"/>
      <c r="N127" s="210"/>
      <c r="O127" s="210"/>
      <c r="P127" s="200"/>
      <c r="Q127" s="200"/>
      <c r="R127" s="200"/>
      <c r="T127" s="154"/>
      <c r="V127" s="252"/>
      <c r="Y127" s="252"/>
      <c r="Z127" s="328"/>
      <c r="AA127" s="200"/>
      <c r="AB127" s="200"/>
      <c r="AC127" s="210"/>
      <c r="AD127" s="210"/>
      <c r="AE127" s="200"/>
      <c r="AF127" s="200"/>
      <c r="AG127" s="209"/>
      <c r="AH127" s="210"/>
      <c r="AI127" s="200"/>
      <c r="AJ127" s="200"/>
      <c r="AK127" s="209"/>
      <c r="AL127" s="200"/>
      <c r="AM127" s="210"/>
      <c r="AN127" s="210"/>
    </row>
    <row r="128" spans="1:43" x14ac:dyDescent="0.25">
      <c r="F128" s="200"/>
      <c r="H128" s="200"/>
      <c r="I128" s="200"/>
      <c r="J128" s="305"/>
      <c r="K128" s="305"/>
      <c r="L128" s="211"/>
      <c r="M128" s="211"/>
      <c r="N128" s="211"/>
      <c r="O128" s="211"/>
      <c r="P128" s="211"/>
      <c r="Q128" s="211"/>
      <c r="R128" s="211"/>
      <c r="T128" s="154"/>
      <c r="V128" s="252"/>
      <c r="Y128" s="200"/>
      <c r="Z128" s="300"/>
      <c r="AA128" s="200"/>
      <c r="AB128" s="200"/>
      <c r="AC128" s="210"/>
      <c r="AD128" s="210"/>
      <c r="AE128" s="200"/>
      <c r="AF128" s="200"/>
      <c r="AG128" s="209"/>
      <c r="AH128" s="201"/>
      <c r="AI128" s="200"/>
      <c r="AJ128" s="200"/>
      <c r="AK128" s="209"/>
      <c r="AL128" s="200"/>
      <c r="AM128" s="210"/>
      <c r="AN128" s="210"/>
    </row>
    <row r="129" spans="1:40" x14ac:dyDescent="0.25">
      <c r="A129" s="202"/>
      <c r="C129" s="154"/>
      <c r="F129" s="200"/>
      <c r="H129" s="200"/>
      <c r="I129" s="200"/>
      <c r="J129" s="213"/>
      <c r="K129" s="213"/>
      <c r="L129" s="200"/>
      <c r="M129" s="200"/>
      <c r="N129" s="210"/>
      <c r="O129" s="210"/>
      <c r="P129" s="200"/>
      <c r="Q129" s="200"/>
      <c r="R129" s="200"/>
      <c r="T129" s="154"/>
      <c r="V129" s="252"/>
      <c r="Y129" s="200"/>
      <c r="Z129" s="300"/>
      <c r="AA129" s="200"/>
      <c r="AB129" s="200"/>
      <c r="AC129" s="210"/>
      <c r="AD129" s="210"/>
      <c r="AE129" s="200"/>
      <c r="AF129" s="200"/>
      <c r="AG129" s="209"/>
      <c r="AH129" s="201"/>
      <c r="AI129" s="200"/>
      <c r="AJ129" s="200"/>
      <c r="AK129" s="209"/>
      <c r="AL129" s="200"/>
      <c r="AM129" s="210"/>
      <c r="AN129" s="210"/>
    </row>
    <row r="130" spans="1:40" x14ac:dyDescent="0.25">
      <c r="F130" s="200"/>
      <c r="H130" s="200"/>
      <c r="I130" s="200"/>
      <c r="J130" s="305"/>
      <c r="K130" s="305"/>
      <c r="L130" s="211"/>
      <c r="M130" s="211"/>
      <c r="N130" s="211"/>
      <c r="O130" s="211"/>
      <c r="P130" s="211"/>
      <c r="Q130" s="211"/>
      <c r="R130" s="211"/>
      <c r="V130" s="200"/>
      <c r="Y130" s="211"/>
      <c r="Z130" s="305"/>
      <c r="AA130" s="211"/>
      <c r="AB130" s="211"/>
      <c r="AC130" s="211"/>
      <c r="AD130" s="211"/>
      <c r="AE130" s="211"/>
      <c r="AF130" s="211"/>
      <c r="AI130" s="211"/>
      <c r="AJ130" s="211"/>
      <c r="AK130" s="212"/>
      <c r="AL130" s="211"/>
      <c r="AM130" s="210"/>
      <c r="AN130" s="210"/>
    </row>
    <row r="131" spans="1:40" x14ac:dyDescent="0.25">
      <c r="A131" s="202"/>
      <c r="C131" s="154"/>
      <c r="F131" s="200"/>
      <c r="H131" s="200"/>
      <c r="I131" s="200"/>
      <c r="J131" s="213"/>
      <c r="K131" s="213"/>
      <c r="L131" s="200"/>
      <c r="M131" s="200"/>
      <c r="N131" s="210"/>
      <c r="O131" s="210"/>
      <c r="P131" s="200"/>
      <c r="Q131" s="200"/>
      <c r="R131" s="200"/>
      <c r="T131" s="154"/>
      <c r="V131" s="200"/>
      <c r="Y131" s="200"/>
      <c r="Z131" s="305"/>
      <c r="AA131" s="200"/>
      <c r="AB131" s="200"/>
      <c r="AC131" s="210"/>
      <c r="AD131" s="210"/>
      <c r="AE131" s="200"/>
      <c r="AF131" s="200"/>
      <c r="AG131" s="209"/>
      <c r="AH131" s="201"/>
      <c r="AI131" s="200"/>
      <c r="AJ131" s="200"/>
      <c r="AK131" s="209"/>
      <c r="AL131" s="200"/>
      <c r="AM131" s="210"/>
      <c r="AN131" s="210"/>
    </row>
    <row r="132" spans="1:40" x14ac:dyDescent="0.25">
      <c r="A132" s="202"/>
      <c r="C132" s="154"/>
      <c r="F132" s="252"/>
      <c r="H132" s="252"/>
      <c r="I132" s="252"/>
      <c r="J132" s="320"/>
      <c r="K132" s="320"/>
      <c r="L132" s="200"/>
      <c r="M132" s="200"/>
      <c r="N132" s="210"/>
      <c r="O132" s="210"/>
      <c r="P132" s="200"/>
      <c r="Q132" s="200"/>
      <c r="R132" s="200"/>
      <c r="V132" s="200"/>
      <c r="Y132" s="211"/>
      <c r="Z132" s="305"/>
      <c r="AA132" s="211"/>
      <c r="AB132" s="211"/>
      <c r="AC132" s="211"/>
      <c r="AD132" s="211"/>
      <c r="AE132" s="211"/>
      <c r="AF132" s="211"/>
      <c r="AI132" s="211"/>
      <c r="AJ132" s="211"/>
      <c r="AK132" s="212"/>
      <c r="AL132" s="211"/>
      <c r="AM132" s="210"/>
      <c r="AN132" s="210"/>
    </row>
    <row r="133" spans="1:40" x14ac:dyDescent="0.25">
      <c r="F133" s="211"/>
      <c r="H133" s="211"/>
      <c r="I133" s="211"/>
      <c r="J133" s="305"/>
      <c r="K133" s="305"/>
      <c r="L133" s="211"/>
      <c r="M133" s="211"/>
      <c r="N133" s="211"/>
      <c r="O133" s="211"/>
      <c r="P133" s="211"/>
      <c r="Q133" s="211"/>
      <c r="R133" s="211"/>
      <c r="T133" s="154"/>
      <c r="V133" s="200"/>
      <c r="Y133" s="200"/>
      <c r="Z133" s="305"/>
      <c r="AA133" s="200"/>
      <c r="AB133" s="200"/>
      <c r="AC133" s="200"/>
      <c r="AD133" s="200"/>
      <c r="AE133" s="200"/>
      <c r="AF133" s="200"/>
      <c r="AG133" s="209"/>
      <c r="AH133" s="201"/>
      <c r="AI133" s="200"/>
      <c r="AJ133" s="200"/>
      <c r="AK133" s="209"/>
      <c r="AL133" s="200"/>
      <c r="AM133" s="210"/>
      <c r="AN133" s="210"/>
    </row>
    <row r="134" spans="1:40" x14ac:dyDescent="0.25">
      <c r="A134" s="202"/>
      <c r="C134" s="154"/>
      <c r="F134" s="200"/>
      <c r="H134" s="200"/>
      <c r="I134" s="200"/>
      <c r="J134" s="305"/>
      <c r="K134" s="305"/>
      <c r="L134" s="200"/>
      <c r="M134" s="200"/>
      <c r="N134" s="210"/>
      <c r="O134" s="210"/>
      <c r="P134" s="200"/>
      <c r="Q134" s="200"/>
      <c r="R134" s="200"/>
      <c r="S134" s="200"/>
      <c r="T134" s="154"/>
      <c r="V134" s="200"/>
      <c r="Y134" s="200"/>
      <c r="Z134" s="329"/>
      <c r="AA134" s="200"/>
      <c r="AB134" s="200"/>
      <c r="AC134" s="210"/>
      <c r="AD134" s="210"/>
      <c r="AE134" s="200"/>
      <c r="AF134" s="200"/>
      <c r="AG134" s="209"/>
      <c r="AH134" s="201"/>
      <c r="AI134" s="200"/>
      <c r="AJ134" s="200"/>
      <c r="AK134" s="209"/>
      <c r="AL134" s="200"/>
      <c r="AM134" s="210"/>
      <c r="AN134" s="210"/>
    </row>
    <row r="135" spans="1:40" x14ac:dyDescent="0.25">
      <c r="F135" s="211"/>
      <c r="H135" s="211"/>
      <c r="I135" s="211"/>
      <c r="J135" s="305"/>
      <c r="K135" s="305"/>
      <c r="L135" s="211"/>
      <c r="M135" s="211"/>
      <c r="N135" s="211"/>
      <c r="O135" s="211"/>
      <c r="P135" s="211"/>
      <c r="Q135" s="211"/>
      <c r="R135" s="211"/>
      <c r="S135" s="200"/>
      <c r="T135" s="154"/>
      <c r="Y135" s="200"/>
      <c r="Z135" s="329"/>
      <c r="AA135" s="200"/>
      <c r="AB135" s="200"/>
      <c r="AC135" s="210"/>
      <c r="AD135" s="210"/>
      <c r="AE135" s="200"/>
      <c r="AF135" s="200"/>
      <c r="AG135" s="209"/>
      <c r="AH135" s="201"/>
      <c r="AI135" s="200"/>
      <c r="AJ135" s="200"/>
      <c r="AK135" s="209"/>
      <c r="AL135" s="200"/>
      <c r="AM135" s="210"/>
      <c r="AN135" s="210"/>
    </row>
    <row r="136" spans="1:40" x14ac:dyDescent="0.25">
      <c r="A136" s="202"/>
      <c r="C136" s="154"/>
      <c r="V136" s="200"/>
      <c r="Y136" s="200"/>
      <c r="Z136" s="305"/>
      <c r="AA136" s="211"/>
      <c r="AB136" s="211"/>
      <c r="AC136" s="211"/>
      <c r="AD136" s="211"/>
      <c r="AE136" s="211"/>
      <c r="AF136" s="211"/>
      <c r="AI136" s="211"/>
      <c r="AJ136" s="211"/>
      <c r="AK136" s="212"/>
      <c r="AL136" s="211"/>
      <c r="AM136" s="210"/>
      <c r="AN136" s="210"/>
    </row>
    <row r="137" spans="1:40" x14ac:dyDescent="0.25">
      <c r="A137" s="202"/>
      <c r="C137" s="154"/>
      <c r="F137" s="200"/>
      <c r="H137" s="200"/>
      <c r="I137" s="200"/>
      <c r="L137" s="200"/>
      <c r="M137" s="200"/>
      <c r="N137" s="210"/>
      <c r="O137" s="210"/>
      <c r="P137" s="252"/>
      <c r="Q137" s="252"/>
      <c r="R137" s="200"/>
      <c r="T137" s="154"/>
      <c r="V137" s="200"/>
      <c r="Y137" s="200"/>
      <c r="Z137" s="213"/>
      <c r="AA137" s="200"/>
      <c r="AB137" s="200"/>
      <c r="AC137" s="210"/>
      <c r="AD137" s="210"/>
      <c r="AE137" s="200"/>
      <c r="AF137" s="200"/>
      <c r="AG137" s="209"/>
      <c r="AH137" s="201"/>
      <c r="AI137" s="200"/>
      <c r="AJ137" s="200"/>
      <c r="AK137" s="209"/>
      <c r="AL137" s="200"/>
      <c r="AM137" s="210"/>
      <c r="AN137" s="210"/>
    </row>
    <row r="138" spans="1:40" x14ac:dyDescent="0.25">
      <c r="F138" s="211"/>
      <c r="H138" s="211"/>
      <c r="I138" s="211"/>
      <c r="J138" s="305"/>
      <c r="K138" s="305"/>
      <c r="L138" s="211"/>
      <c r="M138" s="211"/>
      <c r="N138" s="211"/>
      <c r="O138" s="211"/>
      <c r="P138" s="211"/>
      <c r="Q138" s="211"/>
      <c r="R138" s="211"/>
      <c r="V138" s="200"/>
      <c r="Y138" s="200"/>
      <c r="Z138" s="305"/>
      <c r="AA138" s="211"/>
      <c r="AB138" s="211"/>
      <c r="AC138" s="211"/>
      <c r="AD138" s="211"/>
      <c r="AE138" s="211"/>
      <c r="AF138" s="211"/>
      <c r="AI138" s="211"/>
      <c r="AJ138" s="211"/>
      <c r="AK138" s="212"/>
      <c r="AL138" s="211"/>
      <c r="AM138" s="210"/>
      <c r="AN138" s="210"/>
    </row>
    <row r="139" spans="1:40" x14ac:dyDescent="0.25">
      <c r="T139" s="154"/>
      <c r="V139" s="200"/>
      <c r="Y139" s="200"/>
      <c r="Z139" s="213"/>
      <c r="AA139" s="200"/>
      <c r="AB139" s="200"/>
      <c r="AC139" s="210"/>
      <c r="AD139" s="210"/>
      <c r="AE139" s="200"/>
      <c r="AF139" s="200"/>
      <c r="AG139" s="209"/>
      <c r="AH139" s="201"/>
      <c r="AI139" s="200"/>
      <c r="AJ139" s="200"/>
      <c r="AK139" s="209"/>
      <c r="AL139" s="200"/>
      <c r="AM139" s="210"/>
      <c r="AN139" s="210"/>
    </row>
    <row r="140" spans="1:40" x14ac:dyDescent="0.25">
      <c r="C140" s="154"/>
      <c r="L140" s="200"/>
      <c r="M140" s="200"/>
      <c r="N140" s="200"/>
      <c r="O140" s="200"/>
      <c r="P140" s="200"/>
      <c r="Q140" s="200"/>
      <c r="R140" s="200"/>
      <c r="S140" s="200"/>
      <c r="T140" s="154"/>
      <c r="V140" s="252"/>
      <c r="Y140" s="200"/>
      <c r="Z140" s="320"/>
      <c r="AA140" s="200"/>
      <c r="AB140" s="200"/>
      <c r="AC140" s="210"/>
      <c r="AD140" s="210"/>
      <c r="AE140" s="200"/>
      <c r="AF140" s="200"/>
      <c r="AG140" s="209"/>
      <c r="AH140" s="201"/>
      <c r="AI140" s="200"/>
      <c r="AJ140" s="200"/>
      <c r="AK140" s="209"/>
      <c r="AL140" s="200"/>
      <c r="AM140" s="210"/>
      <c r="AN140" s="210"/>
    </row>
    <row r="141" spans="1:40" x14ac:dyDescent="0.25">
      <c r="A141" s="154"/>
      <c r="V141" s="211"/>
      <c r="Y141" s="211"/>
      <c r="Z141" s="305"/>
      <c r="AA141" s="211"/>
      <c r="AB141" s="211"/>
      <c r="AC141" s="211"/>
      <c r="AD141" s="211"/>
      <c r="AE141" s="211"/>
      <c r="AF141" s="211"/>
      <c r="AI141" s="211"/>
      <c r="AJ141" s="211"/>
      <c r="AK141" s="212"/>
      <c r="AL141" s="211"/>
      <c r="AM141" s="210"/>
      <c r="AN141" s="210"/>
    </row>
    <row r="142" spans="1:40" x14ac:dyDescent="0.25">
      <c r="J142" s="202"/>
      <c r="K142" s="202"/>
      <c r="T142" s="154"/>
      <c r="V142" s="200"/>
      <c r="Y142" s="200"/>
      <c r="Z142" s="305"/>
      <c r="AA142" s="200"/>
      <c r="AB142" s="200"/>
      <c r="AC142" s="210"/>
      <c r="AD142" s="210"/>
      <c r="AE142" s="200"/>
      <c r="AF142" s="200"/>
      <c r="AG142" s="209"/>
      <c r="AH142" s="210"/>
      <c r="AI142" s="200"/>
      <c r="AJ142" s="200"/>
      <c r="AK142" s="209"/>
      <c r="AL142" s="200"/>
      <c r="AM142" s="210"/>
      <c r="AN142" s="210"/>
    </row>
    <row r="143" spans="1:40" x14ac:dyDescent="0.25">
      <c r="H143" s="154"/>
      <c r="I143" s="154"/>
      <c r="V143" s="211"/>
      <c r="Y143" s="211"/>
      <c r="Z143" s="305"/>
      <c r="AA143" s="211"/>
      <c r="AB143" s="211"/>
      <c r="AC143" s="211"/>
      <c r="AD143" s="211"/>
      <c r="AE143" s="211"/>
      <c r="AF143" s="211"/>
      <c r="AI143" s="211"/>
      <c r="AJ143" s="211"/>
      <c r="AK143" s="212"/>
      <c r="AL143" s="211"/>
      <c r="AM143" s="210"/>
      <c r="AN143" s="210"/>
    </row>
    <row r="144" spans="1:40" x14ac:dyDescent="0.25">
      <c r="J144" s="202"/>
      <c r="K144" s="202"/>
      <c r="T144" s="154"/>
    </row>
    <row r="145" spans="1:40" x14ac:dyDescent="0.25">
      <c r="L145" s="154"/>
      <c r="M145" s="154"/>
      <c r="AA145" s="154"/>
      <c r="AB145" s="154"/>
    </row>
    <row r="146" spans="1:40" x14ac:dyDescent="0.25">
      <c r="A146" s="202"/>
      <c r="R146" s="154"/>
      <c r="AK146" s="297"/>
      <c r="AL146" s="154"/>
    </row>
    <row r="147" spans="1:40" x14ac:dyDescent="0.25">
      <c r="A147" s="202"/>
      <c r="R147" s="154"/>
      <c r="AK147" s="297"/>
      <c r="AL147" s="154"/>
    </row>
    <row r="148" spans="1:40" x14ac:dyDescent="0.25">
      <c r="A148" s="154"/>
      <c r="R148" s="154"/>
      <c r="AK148" s="297"/>
      <c r="AL148" s="154"/>
    </row>
    <row r="149" spans="1:40" x14ac:dyDescent="0.25">
      <c r="L149" s="154"/>
      <c r="M149" s="154"/>
      <c r="R149" s="202"/>
      <c r="AA149" s="154"/>
      <c r="AB149" s="154"/>
      <c r="AK149" s="209"/>
      <c r="AL149" s="202"/>
    </row>
    <row r="150" spans="1:40" x14ac:dyDescent="0.2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208"/>
      <c r="AH150" s="102"/>
      <c r="AI150" s="102"/>
      <c r="AJ150" s="102"/>
      <c r="AK150" s="208"/>
      <c r="AL150" s="102"/>
      <c r="AM150" s="102"/>
      <c r="AN150" s="102"/>
    </row>
    <row r="151" spans="1:40" x14ac:dyDescent="0.25">
      <c r="L151" s="103"/>
      <c r="M151" s="103"/>
      <c r="N151" s="103"/>
      <c r="O151" s="103"/>
      <c r="R151" s="103"/>
      <c r="AA151" s="103"/>
      <c r="AB151" s="103"/>
      <c r="AC151" s="103"/>
      <c r="AD151" s="103"/>
      <c r="AE151" s="103"/>
      <c r="AF151" s="103"/>
      <c r="AG151" s="185"/>
      <c r="AH151" s="103"/>
      <c r="AK151" s="185"/>
      <c r="AL151" s="103"/>
      <c r="AM151" s="103"/>
      <c r="AN151" s="103"/>
    </row>
    <row r="152" spans="1:40" x14ac:dyDescent="0.25">
      <c r="L152" s="103"/>
      <c r="M152" s="103"/>
      <c r="N152" s="103"/>
      <c r="O152" s="103"/>
      <c r="R152" s="103"/>
      <c r="Z152" s="103"/>
      <c r="AA152" s="103"/>
      <c r="AB152" s="103"/>
      <c r="AC152" s="103"/>
      <c r="AD152" s="103"/>
      <c r="AE152" s="103"/>
      <c r="AF152" s="103"/>
      <c r="AG152" s="185"/>
      <c r="AH152" s="103"/>
      <c r="AK152" s="185"/>
      <c r="AL152" s="103"/>
      <c r="AM152" s="103"/>
      <c r="AN152" s="103"/>
    </row>
    <row r="153" spans="1:40" x14ac:dyDescent="0.25">
      <c r="A153" s="103"/>
      <c r="C153" s="103"/>
      <c r="D153" s="103"/>
      <c r="E153" s="103"/>
      <c r="F153" s="103"/>
      <c r="J153" s="103"/>
      <c r="K153" s="103"/>
      <c r="L153" s="103"/>
      <c r="M153" s="103"/>
      <c r="N153" s="103"/>
      <c r="O153" s="103"/>
      <c r="P153" s="103"/>
      <c r="Q153" s="103"/>
      <c r="R153" s="103"/>
      <c r="T153" s="103"/>
      <c r="U153" s="103"/>
      <c r="V153" s="103"/>
      <c r="Z153" s="103"/>
      <c r="AA153" s="103"/>
      <c r="AB153" s="103"/>
      <c r="AC153" s="103"/>
      <c r="AD153" s="103"/>
      <c r="AE153" s="103"/>
      <c r="AF153" s="103"/>
      <c r="AG153" s="185"/>
      <c r="AH153" s="103"/>
      <c r="AI153" s="103"/>
      <c r="AJ153" s="103"/>
      <c r="AK153" s="185"/>
      <c r="AL153" s="103"/>
      <c r="AM153" s="103"/>
      <c r="AN153" s="103"/>
    </row>
    <row r="154" spans="1:40" x14ac:dyDescent="0.25">
      <c r="A154" s="103"/>
      <c r="C154" s="103"/>
      <c r="D154" s="103"/>
      <c r="E154" s="103"/>
      <c r="F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T154" s="103"/>
      <c r="U154" s="103"/>
      <c r="V154" s="103"/>
      <c r="Y154" s="103"/>
      <c r="Z154" s="103"/>
      <c r="AA154" s="103"/>
      <c r="AB154" s="103"/>
      <c r="AC154" s="103"/>
      <c r="AD154" s="103"/>
      <c r="AE154" s="103"/>
      <c r="AF154" s="103"/>
      <c r="AG154" s="185"/>
      <c r="AH154" s="103"/>
      <c r="AI154" s="103"/>
      <c r="AJ154" s="103"/>
      <c r="AK154" s="185"/>
      <c r="AL154" s="103"/>
      <c r="AM154" s="103"/>
      <c r="AN154" s="103"/>
    </row>
    <row r="155" spans="1:40" x14ac:dyDescent="0.25">
      <c r="C155" s="103"/>
      <c r="D155" s="103"/>
      <c r="E155" s="103"/>
      <c r="F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T155" s="103"/>
      <c r="U155" s="103"/>
      <c r="V155" s="103"/>
      <c r="Y155" s="103"/>
      <c r="Z155" s="103"/>
      <c r="AA155" s="103"/>
      <c r="AB155" s="103"/>
      <c r="AC155" s="103"/>
      <c r="AD155" s="103"/>
      <c r="AE155" s="103"/>
      <c r="AF155" s="103"/>
      <c r="AG155" s="185"/>
      <c r="AH155" s="103"/>
      <c r="AI155" s="103"/>
      <c r="AJ155" s="103"/>
      <c r="AK155" s="185"/>
      <c r="AL155" s="103"/>
      <c r="AM155" s="103"/>
      <c r="AN155" s="103"/>
    </row>
    <row r="156" spans="1:40" x14ac:dyDescent="0.2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208"/>
      <c r="AH156" s="102"/>
      <c r="AI156" s="102"/>
      <c r="AJ156" s="102"/>
      <c r="AK156" s="208"/>
      <c r="AL156" s="102"/>
      <c r="AM156" s="102"/>
      <c r="AN156" s="102"/>
    </row>
    <row r="157" spans="1:40" x14ac:dyDescent="0.25"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Y157" s="103"/>
      <c r="Z157" s="103"/>
      <c r="AA157" s="103"/>
      <c r="AB157" s="103"/>
      <c r="AC157" s="103"/>
      <c r="AD157" s="103"/>
      <c r="AE157" s="103"/>
      <c r="AF157" s="103"/>
      <c r="AG157" s="185"/>
      <c r="AH157" s="103"/>
      <c r="AI157" s="103"/>
      <c r="AJ157" s="103"/>
      <c r="AK157" s="185"/>
      <c r="AL157" s="103"/>
      <c r="AM157" s="103"/>
      <c r="AN157" s="103"/>
    </row>
    <row r="158" spans="1:40" x14ac:dyDescent="0.25">
      <c r="A158" s="202"/>
      <c r="C158" s="154"/>
      <c r="D158" s="154"/>
      <c r="E158" s="154"/>
      <c r="T158" s="154"/>
      <c r="U158" s="154"/>
    </row>
    <row r="159" spans="1:40" x14ac:dyDescent="0.25">
      <c r="A159" s="202"/>
      <c r="D159" s="154"/>
      <c r="E159" s="154"/>
      <c r="U159" s="154"/>
    </row>
    <row r="161" spans="1:40" x14ac:dyDescent="0.25">
      <c r="A161" s="202"/>
      <c r="C161" s="154"/>
      <c r="F161" s="252"/>
      <c r="H161" s="252"/>
      <c r="I161" s="252"/>
      <c r="J161" s="300"/>
      <c r="K161" s="300"/>
      <c r="L161" s="200"/>
      <c r="M161" s="200"/>
      <c r="N161" s="210"/>
      <c r="O161" s="210"/>
      <c r="R161" s="200"/>
      <c r="T161" s="154"/>
      <c r="V161" s="200"/>
      <c r="Y161" s="252"/>
      <c r="Z161" s="300"/>
      <c r="AA161" s="200"/>
      <c r="AB161" s="200"/>
      <c r="AC161" s="210"/>
      <c r="AD161" s="210"/>
      <c r="AE161" s="200"/>
      <c r="AF161" s="200"/>
      <c r="AG161" s="325"/>
      <c r="AH161" s="326"/>
      <c r="AK161" s="209"/>
      <c r="AL161" s="200"/>
      <c r="AM161" s="327"/>
      <c r="AN161" s="327"/>
    </row>
    <row r="162" spans="1:40" x14ac:dyDescent="0.25">
      <c r="A162" s="202"/>
      <c r="C162" s="154"/>
      <c r="F162" s="252"/>
      <c r="H162" s="252"/>
      <c r="I162" s="252"/>
      <c r="J162" s="300"/>
      <c r="K162" s="300"/>
      <c r="L162" s="200"/>
      <c r="M162" s="200"/>
      <c r="N162" s="210"/>
      <c r="O162" s="210"/>
      <c r="P162" s="202"/>
      <c r="Q162" s="202"/>
      <c r="R162" s="200"/>
      <c r="T162" s="154"/>
      <c r="V162" s="200"/>
      <c r="Y162" s="252"/>
      <c r="Z162" s="300"/>
      <c r="AA162" s="200"/>
      <c r="AB162" s="200"/>
      <c r="AC162" s="210"/>
      <c r="AD162" s="210"/>
      <c r="AE162" s="200"/>
      <c r="AF162" s="200"/>
      <c r="AG162" s="209"/>
      <c r="AH162" s="201"/>
      <c r="AI162" s="202"/>
      <c r="AJ162" s="202"/>
      <c r="AK162" s="209"/>
      <c r="AL162" s="200"/>
      <c r="AM162" s="210"/>
      <c r="AN162" s="210"/>
    </row>
    <row r="163" spans="1:40" x14ac:dyDescent="0.25">
      <c r="F163" s="211"/>
      <c r="H163" s="200"/>
      <c r="I163" s="200"/>
      <c r="J163" s="305"/>
      <c r="K163" s="305"/>
      <c r="L163" s="211"/>
      <c r="M163" s="211"/>
      <c r="N163" s="211"/>
      <c r="O163" s="211"/>
      <c r="P163" s="211"/>
      <c r="Q163" s="211"/>
      <c r="R163" s="211"/>
      <c r="V163" s="211"/>
      <c r="Y163" s="200"/>
      <c r="Z163" s="305"/>
      <c r="AA163" s="211"/>
      <c r="AB163" s="211"/>
      <c r="AC163" s="211"/>
      <c r="AD163" s="211"/>
      <c r="AE163" s="211"/>
      <c r="AF163" s="211"/>
      <c r="AI163" s="211"/>
      <c r="AJ163" s="211"/>
      <c r="AK163" s="212"/>
      <c r="AL163" s="211"/>
      <c r="AM163" s="210"/>
      <c r="AN163" s="210"/>
    </row>
    <row r="164" spans="1:40" x14ac:dyDescent="0.25">
      <c r="A164" s="202"/>
      <c r="C164" s="154"/>
      <c r="F164" s="200"/>
      <c r="H164" s="200"/>
      <c r="I164" s="200"/>
      <c r="J164" s="305"/>
      <c r="K164" s="305"/>
      <c r="L164" s="200"/>
      <c r="M164" s="200"/>
      <c r="N164" s="210"/>
      <c r="O164" s="210"/>
      <c r="P164" s="200"/>
      <c r="Q164" s="200"/>
      <c r="R164" s="200"/>
      <c r="T164" s="154"/>
      <c r="V164" s="200"/>
      <c r="Y164" s="200"/>
      <c r="Z164" s="213"/>
      <c r="AA164" s="200"/>
      <c r="AB164" s="200"/>
      <c r="AC164" s="210"/>
      <c r="AD164" s="210"/>
      <c r="AE164" s="200"/>
      <c r="AF164" s="200"/>
      <c r="AG164" s="209"/>
      <c r="AH164" s="201"/>
      <c r="AI164" s="200"/>
      <c r="AJ164" s="200"/>
      <c r="AK164" s="209"/>
      <c r="AL164" s="200"/>
      <c r="AM164" s="210"/>
      <c r="AN164" s="210"/>
    </row>
    <row r="165" spans="1:40" x14ac:dyDescent="0.25">
      <c r="F165" s="211"/>
      <c r="H165" s="200"/>
      <c r="I165" s="200"/>
      <c r="J165" s="305"/>
      <c r="K165" s="305"/>
      <c r="L165" s="211"/>
      <c r="M165" s="211"/>
      <c r="N165" s="211"/>
      <c r="O165" s="211"/>
      <c r="P165" s="211"/>
      <c r="Q165" s="211"/>
      <c r="R165" s="211"/>
      <c r="V165" s="211"/>
      <c r="Y165" s="200"/>
      <c r="Z165" s="305"/>
      <c r="AA165" s="211"/>
      <c r="AB165" s="211"/>
      <c r="AC165" s="211"/>
      <c r="AD165" s="211"/>
      <c r="AE165" s="211"/>
      <c r="AF165" s="211"/>
      <c r="AI165" s="211"/>
      <c r="AJ165" s="211"/>
      <c r="AK165" s="212"/>
      <c r="AL165" s="211"/>
      <c r="AM165" s="210"/>
      <c r="AN165" s="210"/>
    </row>
    <row r="166" spans="1:40" x14ac:dyDescent="0.25">
      <c r="F166" s="200"/>
      <c r="H166" s="200"/>
      <c r="I166" s="200"/>
      <c r="J166" s="305"/>
      <c r="K166" s="305"/>
      <c r="L166" s="200"/>
      <c r="M166" s="200"/>
      <c r="N166" s="210"/>
      <c r="O166" s="210"/>
      <c r="P166" s="200"/>
      <c r="Q166" s="200"/>
      <c r="R166" s="200"/>
      <c r="V166" s="200"/>
      <c r="Y166" s="200"/>
      <c r="Z166" s="213"/>
      <c r="AA166" s="200"/>
      <c r="AB166" s="200"/>
      <c r="AC166" s="210"/>
      <c r="AD166" s="210"/>
      <c r="AE166" s="200"/>
      <c r="AF166" s="200"/>
      <c r="AG166" s="209"/>
      <c r="AH166" s="201"/>
      <c r="AI166" s="200"/>
      <c r="AJ166" s="200"/>
      <c r="AK166" s="209"/>
      <c r="AL166" s="200"/>
      <c r="AM166" s="210"/>
      <c r="AN166" s="210"/>
    </row>
    <row r="167" spans="1:40" x14ac:dyDescent="0.25">
      <c r="A167" s="202"/>
      <c r="C167" s="154"/>
      <c r="F167" s="252"/>
      <c r="H167" s="252"/>
      <c r="I167" s="252"/>
      <c r="J167" s="300"/>
      <c r="K167" s="300"/>
      <c r="L167" s="200"/>
      <c r="M167" s="200"/>
      <c r="N167" s="210"/>
      <c r="O167" s="210"/>
      <c r="P167" s="200"/>
      <c r="Q167" s="200"/>
      <c r="R167" s="200"/>
      <c r="T167" s="154"/>
      <c r="V167" s="252"/>
      <c r="Y167" s="200"/>
      <c r="Z167" s="300"/>
      <c r="AA167" s="200"/>
      <c r="AB167" s="200"/>
      <c r="AC167" s="210"/>
      <c r="AD167" s="210"/>
      <c r="AE167" s="200"/>
      <c r="AF167" s="200"/>
      <c r="AG167" s="325"/>
      <c r="AH167" s="326"/>
      <c r="AI167" s="200"/>
      <c r="AJ167" s="200"/>
      <c r="AK167" s="209"/>
      <c r="AL167" s="200"/>
      <c r="AM167" s="327"/>
      <c r="AN167" s="327"/>
    </row>
    <row r="168" spans="1:40" x14ac:dyDescent="0.25">
      <c r="A168" s="202"/>
      <c r="C168" s="154"/>
      <c r="F168" s="252"/>
      <c r="H168" s="252"/>
      <c r="I168" s="252"/>
      <c r="J168" s="300"/>
      <c r="K168" s="300"/>
      <c r="L168" s="200"/>
      <c r="M168" s="200"/>
      <c r="N168" s="210"/>
      <c r="O168" s="210"/>
      <c r="P168" s="200"/>
      <c r="Q168" s="200"/>
      <c r="R168" s="200"/>
      <c r="T168" s="154"/>
      <c r="V168" s="252"/>
      <c r="Y168" s="200"/>
      <c r="Z168" s="300"/>
      <c r="AA168" s="200"/>
      <c r="AB168" s="200"/>
      <c r="AC168" s="210"/>
      <c r="AD168" s="210"/>
      <c r="AE168" s="200"/>
      <c r="AF168" s="200"/>
      <c r="AG168" s="209"/>
      <c r="AH168" s="201"/>
      <c r="AI168" s="200"/>
      <c r="AJ168" s="200"/>
      <c r="AK168" s="209"/>
      <c r="AL168" s="200"/>
      <c r="AM168" s="210"/>
      <c r="AN168" s="210"/>
    </row>
    <row r="169" spans="1:40" x14ac:dyDescent="0.25">
      <c r="F169" s="200"/>
      <c r="H169" s="211"/>
      <c r="I169" s="211"/>
      <c r="J169" s="305"/>
      <c r="K169" s="305"/>
      <c r="L169" s="211"/>
      <c r="M169" s="211"/>
      <c r="N169" s="211"/>
      <c r="O169" s="211"/>
      <c r="P169" s="211"/>
      <c r="Q169" s="211"/>
      <c r="R169" s="211"/>
      <c r="V169" s="200"/>
      <c r="Y169" s="211"/>
      <c r="Z169" s="305"/>
      <c r="AA169" s="211"/>
      <c r="AB169" s="211"/>
      <c r="AC169" s="211"/>
      <c r="AD169" s="211"/>
      <c r="AE169" s="211"/>
      <c r="AF169" s="211"/>
      <c r="AI169" s="211"/>
      <c r="AJ169" s="211"/>
      <c r="AK169" s="212"/>
      <c r="AL169" s="211"/>
      <c r="AM169" s="210"/>
      <c r="AN169" s="210"/>
    </row>
    <row r="170" spans="1:40" x14ac:dyDescent="0.25">
      <c r="A170" s="202"/>
      <c r="C170" s="154"/>
      <c r="F170" s="200"/>
      <c r="H170" s="200"/>
      <c r="I170" s="200"/>
      <c r="J170" s="305"/>
      <c r="K170" s="305"/>
      <c r="L170" s="200"/>
      <c r="M170" s="200"/>
      <c r="N170" s="210"/>
      <c r="O170" s="210"/>
      <c r="P170" s="200"/>
      <c r="Q170" s="200"/>
      <c r="R170" s="200"/>
      <c r="T170" s="154"/>
      <c r="V170" s="200"/>
      <c r="Y170" s="200"/>
      <c r="Z170" s="305"/>
      <c r="AA170" s="200"/>
      <c r="AB170" s="200"/>
      <c r="AC170" s="210"/>
      <c r="AD170" s="210"/>
      <c r="AE170" s="200"/>
      <c r="AF170" s="200"/>
      <c r="AG170" s="209"/>
      <c r="AH170" s="201"/>
      <c r="AI170" s="200"/>
      <c r="AJ170" s="200"/>
      <c r="AK170" s="209"/>
      <c r="AL170" s="200"/>
      <c r="AM170" s="210"/>
      <c r="AN170" s="210"/>
    </row>
    <row r="171" spans="1:40" x14ac:dyDescent="0.25">
      <c r="F171" s="200"/>
      <c r="H171" s="211"/>
      <c r="I171" s="211"/>
      <c r="J171" s="305"/>
      <c r="K171" s="305"/>
      <c r="L171" s="211"/>
      <c r="M171" s="211"/>
      <c r="N171" s="211"/>
      <c r="O171" s="211"/>
      <c r="P171" s="211"/>
      <c r="Q171" s="211"/>
      <c r="R171" s="211"/>
      <c r="V171" s="200"/>
      <c r="Y171" s="211"/>
      <c r="Z171" s="305"/>
      <c r="AA171" s="211"/>
      <c r="AB171" s="211"/>
      <c r="AC171" s="211"/>
      <c r="AD171" s="211"/>
      <c r="AE171" s="211"/>
      <c r="AF171" s="211"/>
      <c r="AI171" s="211"/>
      <c r="AJ171" s="211"/>
      <c r="AK171" s="212"/>
      <c r="AL171" s="211"/>
      <c r="AM171" s="210"/>
      <c r="AN171" s="210"/>
    </row>
    <row r="172" spans="1:40" x14ac:dyDescent="0.25">
      <c r="F172" s="200"/>
      <c r="H172" s="200"/>
      <c r="I172" s="200"/>
      <c r="J172" s="305"/>
      <c r="K172" s="305"/>
      <c r="L172" s="200"/>
      <c r="M172" s="200"/>
      <c r="N172" s="200"/>
      <c r="O172" s="200"/>
      <c r="P172" s="200"/>
      <c r="Q172" s="200"/>
      <c r="R172" s="200"/>
      <c r="V172" s="200"/>
      <c r="Y172" s="200"/>
      <c r="Z172" s="305"/>
      <c r="AA172" s="200"/>
      <c r="AB172" s="200"/>
      <c r="AC172" s="200"/>
      <c r="AD172" s="200"/>
      <c r="AE172" s="200"/>
      <c r="AF172" s="200"/>
      <c r="AG172" s="209"/>
      <c r="AH172" s="201"/>
      <c r="AI172" s="200"/>
      <c r="AJ172" s="200"/>
      <c r="AK172" s="209"/>
      <c r="AL172" s="200"/>
      <c r="AM172" s="210"/>
      <c r="AN172" s="210"/>
    </row>
    <row r="173" spans="1:40" x14ac:dyDescent="0.25">
      <c r="A173" s="202"/>
      <c r="C173" s="154"/>
      <c r="F173" s="252"/>
      <c r="H173" s="252"/>
      <c r="I173" s="252"/>
      <c r="J173" s="320"/>
      <c r="K173" s="320"/>
      <c r="L173" s="200"/>
      <c r="M173" s="200"/>
      <c r="N173" s="210"/>
      <c r="O173" s="210"/>
      <c r="P173" s="252"/>
      <c r="Q173" s="252"/>
      <c r="R173" s="200"/>
      <c r="T173" s="154"/>
      <c r="V173" s="252"/>
      <c r="Y173" s="252"/>
      <c r="Z173" s="328"/>
      <c r="AA173" s="200"/>
      <c r="AB173" s="200"/>
      <c r="AC173" s="210"/>
      <c r="AD173" s="210"/>
      <c r="AE173" s="200"/>
      <c r="AF173" s="200"/>
      <c r="AG173" s="209"/>
      <c r="AH173" s="201"/>
      <c r="AI173" s="252"/>
      <c r="AJ173" s="252"/>
      <c r="AK173" s="209"/>
      <c r="AL173" s="200"/>
      <c r="AM173" s="210"/>
      <c r="AN173" s="210"/>
    </row>
    <row r="174" spans="1:40" x14ac:dyDescent="0.25">
      <c r="A174" s="202"/>
      <c r="C174" s="154"/>
      <c r="F174" s="252"/>
      <c r="H174" s="252"/>
      <c r="I174" s="252"/>
      <c r="J174" s="320"/>
      <c r="K174" s="320"/>
      <c r="L174" s="200"/>
      <c r="M174" s="200"/>
      <c r="N174" s="210"/>
      <c r="O174" s="210"/>
      <c r="P174" s="252"/>
      <c r="Q174" s="252"/>
      <c r="R174" s="200"/>
      <c r="T174" s="154"/>
      <c r="V174" s="252"/>
      <c r="Y174" s="200"/>
      <c r="Z174" s="304"/>
      <c r="AA174" s="200"/>
      <c r="AB174" s="200"/>
      <c r="AC174" s="210"/>
      <c r="AD174" s="210"/>
      <c r="AE174" s="200"/>
      <c r="AF174" s="200"/>
      <c r="AG174" s="209"/>
      <c r="AH174" s="201"/>
      <c r="AI174" s="252"/>
      <c r="AJ174" s="252"/>
      <c r="AK174" s="209"/>
      <c r="AL174" s="200"/>
      <c r="AM174" s="210"/>
      <c r="AN174" s="210"/>
    </row>
    <row r="175" spans="1:40" x14ac:dyDescent="0.25">
      <c r="A175" s="202"/>
      <c r="C175" s="154"/>
      <c r="F175" s="252"/>
      <c r="H175" s="252"/>
      <c r="I175" s="252"/>
      <c r="J175" s="320"/>
      <c r="K175" s="320"/>
      <c r="L175" s="200"/>
      <c r="M175" s="200"/>
      <c r="N175" s="210"/>
      <c r="O175" s="210"/>
      <c r="P175" s="252"/>
      <c r="Q175" s="252"/>
      <c r="R175" s="200"/>
      <c r="T175" s="154"/>
      <c r="V175" s="252"/>
      <c r="Y175" s="200"/>
      <c r="Z175" s="304"/>
      <c r="AA175" s="200"/>
      <c r="AB175" s="200"/>
      <c r="AC175" s="210"/>
      <c r="AD175" s="210"/>
      <c r="AE175" s="200"/>
      <c r="AF175" s="200"/>
      <c r="AG175" s="209"/>
      <c r="AH175" s="201"/>
      <c r="AI175" s="252"/>
      <c r="AJ175" s="252"/>
      <c r="AK175" s="209"/>
      <c r="AL175" s="200"/>
      <c r="AM175" s="210"/>
      <c r="AN175" s="210"/>
    </row>
    <row r="176" spans="1:40" x14ac:dyDescent="0.25">
      <c r="F176" s="211"/>
      <c r="H176" s="211"/>
      <c r="I176" s="211"/>
      <c r="J176" s="305"/>
      <c r="K176" s="305"/>
      <c r="L176" s="211"/>
      <c r="M176" s="211"/>
      <c r="N176" s="211"/>
      <c r="O176" s="211"/>
      <c r="P176" s="211"/>
      <c r="Q176" s="211"/>
      <c r="R176" s="211"/>
      <c r="V176" s="211"/>
      <c r="Y176" s="211"/>
      <c r="Z176" s="305"/>
      <c r="AA176" s="211"/>
      <c r="AB176" s="211"/>
      <c r="AC176" s="211"/>
      <c r="AD176" s="211"/>
      <c r="AE176" s="211"/>
      <c r="AF176" s="211"/>
      <c r="AI176" s="211"/>
      <c r="AJ176" s="211"/>
      <c r="AK176" s="212"/>
      <c r="AL176" s="211"/>
      <c r="AM176" s="210"/>
      <c r="AN176" s="210"/>
    </row>
    <row r="177" spans="1:40" x14ac:dyDescent="0.25">
      <c r="A177" s="202"/>
      <c r="C177" s="154"/>
      <c r="F177" s="200"/>
      <c r="H177" s="200"/>
      <c r="I177" s="200"/>
      <c r="J177" s="213"/>
      <c r="K177" s="213"/>
      <c r="L177" s="200"/>
      <c r="M177" s="200"/>
      <c r="N177" s="210"/>
      <c r="O177" s="210"/>
      <c r="P177" s="200"/>
      <c r="Q177" s="200"/>
      <c r="R177" s="200"/>
      <c r="T177" s="154"/>
      <c r="V177" s="200"/>
      <c r="Y177" s="200"/>
      <c r="Z177" s="213"/>
      <c r="AA177" s="200"/>
      <c r="AB177" s="200"/>
      <c r="AC177" s="210"/>
      <c r="AD177" s="210"/>
      <c r="AE177" s="200"/>
      <c r="AF177" s="200"/>
      <c r="AG177" s="209"/>
      <c r="AH177" s="201"/>
      <c r="AI177" s="200"/>
      <c r="AJ177" s="200"/>
      <c r="AK177" s="209"/>
      <c r="AL177" s="200"/>
      <c r="AM177" s="210"/>
      <c r="AN177" s="210"/>
    </row>
    <row r="178" spans="1:40" x14ac:dyDescent="0.25">
      <c r="F178" s="211"/>
      <c r="H178" s="211"/>
      <c r="I178" s="211"/>
      <c r="J178" s="305"/>
      <c r="K178" s="305"/>
      <c r="L178" s="211"/>
      <c r="M178" s="211"/>
      <c r="N178" s="211"/>
      <c r="O178" s="211"/>
      <c r="P178" s="211"/>
      <c r="Q178" s="211"/>
      <c r="R178" s="211"/>
      <c r="V178" s="211"/>
      <c r="Y178" s="211"/>
      <c r="Z178" s="305"/>
      <c r="AA178" s="211"/>
      <c r="AB178" s="211"/>
      <c r="AC178" s="211"/>
      <c r="AD178" s="211"/>
      <c r="AE178" s="211"/>
      <c r="AF178" s="211"/>
      <c r="AI178" s="211"/>
      <c r="AJ178" s="211"/>
      <c r="AK178" s="212"/>
      <c r="AL178" s="211"/>
      <c r="AM178" s="210"/>
      <c r="AN178" s="210"/>
    </row>
    <row r="179" spans="1:40" x14ac:dyDescent="0.25">
      <c r="A179" s="202"/>
      <c r="C179" s="154"/>
      <c r="F179" s="200"/>
      <c r="H179" s="200"/>
      <c r="I179" s="200"/>
      <c r="J179" s="213"/>
      <c r="K179" s="213"/>
      <c r="L179" s="200"/>
      <c r="M179" s="200"/>
      <c r="N179" s="210"/>
      <c r="O179" s="210"/>
      <c r="P179" s="200"/>
      <c r="Q179" s="200"/>
      <c r="R179" s="200"/>
      <c r="T179" s="154"/>
      <c r="V179" s="200"/>
      <c r="Y179" s="200"/>
      <c r="Z179" s="213"/>
      <c r="AA179" s="200"/>
      <c r="AB179" s="200"/>
      <c r="AC179" s="210"/>
      <c r="AD179" s="210"/>
      <c r="AE179" s="200"/>
      <c r="AF179" s="200"/>
      <c r="AG179" s="209"/>
      <c r="AH179" s="201"/>
      <c r="AI179" s="200"/>
      <c r="AJ179" s="200"/>
      <c r="AK179" s="209"/>
      <c r="AL179" s="200"/>
      <c r="AM179" s="210"/>
      <c r="AN179" s="210"/>
    </row>
    <row r="180" spans="1:40" x14ac:dyDescent="0.25">
      <c r="A180" s="202"/>
      <c r="C180" s="154"/>
      <c r="F180" s="200"/>
      <c r="H180" s="200"/>
      <c r="I180" s="200"/>
      <c r="J180" s="213"/>
      <c r="K180" s="213"/>
      <c r="L180" s="200"/>
      <c r="M180" s="200"/>
      <c r="N180" s="210"/>
      <c r="O180" s="210"/>
      <c r="P180" s="200"/>
      <c r="Q180" s="200"/>
      <c r="R180" s="200"/>
      <c r="T180" s="154"/>
      <c r="V180" s="200"/>
      <c r="Y180" s="200"/>
      <c r="Z180" s="213"/>
      <c r="AA180" s="200"/>
      <c r="AB180" s="200"/>
      <c r="AC180" s="210"/>
      <c r="AD180" s="210"/>
      <c r="AE180" s="200"/>
      <c r="AF180" s="200"/>
      <c r="AG180" s="209"/>
      <c r="AH180" s="201"/>
      <c r="AI180" s="200"/>
      <c r="AJ180" s="200"/>
      <c r="AK180" s="209"/>
      <c r="AL180" s="200"/>
      <c r="AM180" s="210"/>
      <c r="AN180" s="210"/>
    </row>
    <row r="181" spans="1:40" x14ac:dyDescent="0.25">
      <c r="F181" s="211"/>
      <c r="H181" s="211"/>
      <c r="I181" s="211"/>
      <c r="J181" s="305"/>
      <c r="K181" s="305"/>
      <c r="L181" s="211"/>
      <c r="M181" s="211"/>
      <c r="N181" s="211"/>
      <c r="O181" s="211"/>
      <c r="P181" s="211"/>
      <c r="Q181" s="211"/>
      <c r="R181" s="211"/>
      <c r="V181" s="211"/>
      <c r="Y181" s="211"/>
      <c r="Z181" s="305"/>
      <c r="AA181" s="211"/>
      <c r="AB181" s="211"/>
      <c r="AC181" s="211"/>
      <c r="AD181" s="211"/>
      <c r="AE181" s="211"/>
      <c r="AF181" s="211"/>
      <c r="AI181" s="211"/>
      <c r="AJ181" s="211"/>
      <c r="AK181" s="212"/>
      <c r="AL181" s="211"/>
      <c r="AM181" s="200"/>
      <c r="AN181" s="200"/>
    </row>
    <row r="182" spans="1:40" x14ac:dyDescent="0.25">
      <c r="F182" s="200"/>
      <c r="H182" s="200"/>
      <c r="I182" s="200"/>
      <c r="J182" s="213"/>
      <c r="K182" s="213"/>
      <c r="L182" s="200"/>
      <c r="M182" s="200"/>
      <c r="N182" s="200"/>
      <c r="O182" s="200"/>
      <c r="P182" s="200"/>
      <c r="Q182" s="200"/>
      <c r="R182" s="200"/>
      <c r="V182" s="200"/>
      <c r="Y182" s="200"/>
      <c r="Z182" s="213"/>
      <c r="AA182" s="200"/>
      <c r="AB182" s="200"/>
      <c r="AC182" s="200"/>
      <c r="AD182" s="200"/>
    </row>
    <row r="183" spans="1:40" x14ac:dyDescent="0.25">
      <c r="C183" s="154"/>
      <c r="F183" s="200"/>
      <c r="H183" s="200"/>
      <c r="I183" s="200"/>
      <c r="J183" s="213"/>
      <c r="K183" s="213"/>
      <c r="L183" s="200"/>
      <c r="M183" s="200"/>
      <c r="N183" s="200"/>
      <c r="O183" s="200"/>
      <c r="P183" s="200"/>
      <c r="Q183" s="200"/>
      <c r="R183" s="200"/>
      <c r="T183" s="154"/>
      <c r="V183" s="200"/>
      <c r="Y183" s="200"/>
      <c r="Z183" s="213"/>
      <c r="AA183" s="200"/>
      <c r="AB183" s="200"/>
      <c r="AC183" s="200"/>
      <c r="AD183" s="200"/>
    </row>
    <row r="184" spans="1:40" x14ac:dyDescent="0.25">
      <c r="A184" s="154"/>
    </row>
    <row r="185" spans="1:40" x14ac:dyDescent="0.25">
      <c r="J185" s="202"/>
      <c r="K185" s="202"/>
      <c r="Z185" s="202"/>
    </row>
    <row r="186" spans="1:40" x14ac:dyDescent="0.25">
      <c r="H186" s="154"/>
      <c r="I186" s="154"/>
      <c r="Y186" s="154"/>
    </row>
    <row r="187" spans="1:40" x14ac:dyDescent="0.25">
      <c r="J187" s="202"/>
      <c r="K187" s="202"/>
      <c r="Z187" s="202"/>
    </row>
    <row r="188" spans="1:40" x14ac:dyDescent="0.25">
      <c r="L188" s="154"/>
      <c r="M188" s="154"/>
      <c r="AA188" s="154"/>
      <c r="AB188" s="154"/>
    </row>
    <row r="189" spans="1:40" x14ac:dyDescent="0.25">
      <c r="A189" s="202"/>
      <c r="R189" s="154"/>
      <c r="AK189" s="297"/>
      <c r="AL189" s="154"/>
    </row>
    <row r="190" spans="1:40" x14ac:dyDescent="0.25">
      <c r="A190" s="202"/>
      <c r="R190" s="154"/>
      <c r="AK190" s="297"/>
      <c r="AL190" s="154"/>
    </row>
    <row r="191" spans="1:40" x14ac:dyDescent="0.25">
      <c r="A191" s="154"/>
      <c r="R191" s="154"/>
      <c r="AK191" s="297"/>
      <c r="AL191" s="154"/>
    </row>
    <row r="192" spans="1:40" x14ac:dyDescent="0.25">
      <c r="L192" s="154"/>
      <c r="M192" s="154"/>
      <c r="R192" s="202"/>
      <c r="AA192" s="154"/>
      <c r="AB192" s="154"/>
      <c r="AK192" s="209"/>
      <c r="AL192" s="202"/>
    </row>
    <row r="193" spans="1:40" x14ac:dyDescent="0.25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208"/>
      <c r="AH193" s="102"/>
      <c r="AI193" s="102"/>
      <c r="AJ193" s="102"/>
      <c r="AK193" s="208"/>
      <c r="AL193" s="102"/>
      <c r="AM193" s="102"/>
      <c r="AN193" s="102"/>
    </row>
    <row r="194" spans="1:40" x14ac:dyDescent="0.25">
      <c r="L194" s="103"/>
      <c r="M194" s="103"/>
      <c r="N194" s="103"/>
      <c r="O194" s="103"/>
      <c r="R194" s="103"/>
      <c r="AA194" s="103"/>
      <c r="AB194" s="103"/>
      <c r="AC194" s="103"/>
      <c r="AD194" s="103"/>
      <c r="AE194" s="103"/>
      <c r="AF194" s="103"/>
      <c r="AG194" s="185"/>
      <c r="AH194" s="103"/>
      <c r="AK194" s="185"/>
      <c r="AL194" s="103"/>
      <c r="AM194" s="103"/>
      <c r="AN194" s="103"/>
    </row>
    <row r="195" spans="1:40" x14ac:dyDescent="0.25">
      <c r="L195" s="103"/>
      <c r="M195" s="103"/>
      <c r="N195" s="103"/>
      <c r="O195" s="103"/>
      <c r="R195" s="103"/>
      <c r="Z195" s="103"/>
      <c r="AA195" s="103"/>
      <c r="AB195" s="103"/>
      <c r="AC195" s="103"/>
      <c r="AD195" s="103"/>
      <c r="AE195" s="103"/>
      <c r="AF195" s="103"/>
      <c r="AG195" s="185"/>
      <c r="AH195" s="103"/>
      <c r="AK195" s="185"/>
      <c r="AL195" s="103"/>
      <c r="AM195" s="103"/>
      <c r="AN195" s="103"/>
    </row>
    <row r="196" spans="1:40" x14ac:dyDescent="0.25">
      <c r="A196" s="103"/>
      <c r="C196" s="103"/>
      <c r="D196" s="103"/>
      <c r="E196" s="103"/>
      <c r="F196" s="103"/>
      <c r="J196" s="103"/>
      <c r="K196" s="103"/>
      <c r="L196" s="103"/>
      <c r="M196" s="103"/>
      <c r="N196" s="103"/>
      <c r="O196" s="103"/>
      <c r="P196" s="103"/>
      <c r="Q196" s="103"/>
      <c r="R196" s="103"/>
      <c r="T196" s="103"/>
      <c r="U196" s="103"/>
      <c r="V196" s="103"/>
      <c r="Z196" s="103"/>
      <c r="AA196" s="103"/>
      <c r="AB196" s="103"/>
      <c r="AC196" s="103"/>
      <c r="AD196" s="103"/>
      <c r="AE196" s="103"/>
      <c r="AF196" s="103"/>
      <c r="AG196" s="185"/>
      <c r="AH196" s="103"/>
      <c r="AI196" s="103"/>
      <c r="AJ196" s="103"/>
      <c r="AK196" s="185"/>
      <c r="AL196" s="103"/>
      <c r="AM196" s="103"/>
      <c r="AN196" s="103"/>
    </row>
    <row r="197" spans="1:40" x14ac:dyDescent="0.25">
      <c r="A197" s="103"/>
      <c r="C197" s="103"/>
      <c r="D197" s="103"/>
      <c r="E197" s="103"/>
      <c r="F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T197" s="103"/>
      <c r="U197" s="103"/>
      <c r="V197" s="103"/>
      <c r="Y197" s="103"/>
      <c r="Z197" s="103"/>
      <c r="AA197" s="103"/>
      <c r="AB197" s="103"/>
      <c r="AC197" s="103"/>
      <c r="AD197" s="103"/>
      <c r="AE197" s="103"/>
      <c r="AF197" s="103"/>
      <c r="AG197" s="185"/>
      <c r="AH197" s="103"/>
      <c r="AI197" s="103"/>
      <c r="AJ197" s="103"/>
      <c r="AK197" s="185"/>
      <c r="AL197" s="103"/>
      <c r="AM197" s="103"/>
      <c r="AN197" s="103"/>
    </row>
    <row r="198" spans="1:40" x14ac:dyDescent="0.25">
      <c r="C198" s="103"/>
      <c r="D198" s="103"/>
      <c r="E198" s="103"/>
      <c r="F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T198" s="103"/>
      <c r="U198" s="103"/>
      <c r="V198" s="103"/>
      <c r="Y198" s="103"/>
      <c r="Z198" s="103"/>
      <c r="AA198" s="103"/>
      <c r="AB198" s="103"/>
      <c r="AC198" s="103"/>
      <c r="AD198" s="103"/>
      <c r="AE198" s="103"/>
      <c r="AF198" s="103"/>
      <c r="AG198" s="185"/>
      <c r="AH198" s="103"/>
      <c r="AI198" s="103"/>
      <c r="AJ198" s="103"/>
      <c r="AK198" s="185"/>
      <c r="AL198" s="103"/>
      <c r="AM198" s="103"/>
      <c r="AN198" s="103"/>
    </row>
    <row r="199" spans="1:40" x14ac:dyDescent="0.25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208"/>
      <c r="AH199" s="102"/>
      <c r="AI199" s="102"/>
      <c r="AJ199" s="102"/>
      <c r="AK199" s="208"/>
      <c r="AL199" s="102"/>
      <c r="AM199" s="102"/>
      <c r="AN199" s="102"/>
    </row>
    <row r="200" spans="1:40" x14ac:dyDescent="0.25"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Y200" s="103"/>
      <c r="Z200" s="103"/>
      <c r="AA200" s="103"/>
      <c r="AB200" s="103"/>
      <c r="AC200" s="103"/>
      <c r="AD200" s="103"/>
      <c r="AE200" s="103"/>
      <c r="AF200" s="103"/>
      <c r="AG200" s="185"/>
      <c r="AH200" s="103"/>
      <c r="AI200" s="103"/>
      <c r="AJ200" s="103"/>
      <c r="AK200" s="185"/>
      <c r="AL200" s="103"/>
      <c r="AM200" s="103"/>
      <c r="AN200" s="103"/>
    </row>
    <row r="201" spans="1:40" x14ac:dyDescent="0.25">
      <c r="A201" s="202"/>
      <c r="C201" s="154"/>
      <c r="D201" s="154"/>
      <c r="E201" s="154"/>
      <c r="T201" s="154"/>
      <c r="U201" s="154"/>
    </row>
    <row r="203" spans="1:40" x14ac:dyDescent="0.25">
      <c r="A203" s="202"/>
      <c r="C203" s="154"/>
      <c r="F203" s="252"/>
      <c r="H203" s="317"/>
      <c r="I203" s="317"/>
      <c r="J203" s="300"/>
      <c r="K203" s="300"/>
      <c r="L203" s="200"/>
      <c r="M203" s="200"/>
      <c r="N203" s="202"/>
      <c r="O203" s="202"/>
      <c r="P203" s="202"/>
      <c r="Q203" s="202"/>
      <c r="R203" s="200"/>
      <c r="T203" s="154"/>
      <c r="V203" s="200"/>
      <c r="Y203" s="202"/>
      <c r="Z203" s="300"/>
      <c r="AA203" s="200"/>
      <c r="AB203" s="200"/>
      <c r="AC203" s="202"/>
      <c r="AD203" s="202"/>
      <c r="AE203" s="200"/>
      <c r="AF203" s="200"/>
      <c r="AG203" s="325"/>
      <c r="AH203" s="326"/>
      <c r="AI203" s="200"/>
      <c r="AJ203" s="200"/>
      <c r="AK203" s="209"/>
      <c r="AL203" s="200"/>
      <c r="AM203" s="327"/>
      <c r="AN203" s="327"/>
    </row>
    <row r="204" spans="1:40" x14ac:dyDescent="0.25">
      <c r="F204" s="252"/>
      <c r="H204" s="317"/>
      <c r="I204" s="317"/>
      <c r="J204" s="317"/>
      <c r="K204" s="317"/>
      <c r="R204" s="200"/>
      <c r="V204" s="200"/>
      <c r="Z204" s="317"/>
    </row>
    <row r="205" spans="1:40" x14ac:dyDescent="0.25">
      <c r="A205" s="202"/>
      <c r="C205" s="154"/>
      <c r="F205" s="252"/>
      <c r="H205" s="252"/>
      <c r="I205" s="252"/>
      <c r="J205" s="320"/>
      <c r="K205" s="320"/>
      <c r="L205" s="200"/>
      <c r="M205" s="200"/>
      <c r="N205" s="210"/>
      <c r="O205" s="210"/>
      <c r="P205" s="252"/>
      <c r="Q205" s="252"/>
      <c r="R205" s="200"/>
      <c r="T205" s="154"/>
      <c r="V205" s="200"/>
      <c r="Y205" s="200"/>
      <c r="Z205" s="304"/>
      <c r="AA205" s="200"/>
      <c r="AB205" s="200"/>
      <c r="AC205" s="210"/>
      <c r="AD205" s="210"/>
      <c r="AE205" s="200"/>
      <c r="AF205" s="200"/>
      <c r="AG205" s="209"/>
      <c r="AH205" s="201"/>
      <c r="AI205" s="252"/>
      <c r="AJ205" s="252"/>
      <c r="AK205" s="209"/>
      <c r="AL205" s="200"/>
      <c r="AM205" s="210"/>
      <c r="AN205" s="210"/>
    </row>
    <row r="206" spans="1:40" x14ac:dyDescent="0.25">
      <c r="F206" s="211"/>
      <c r="H206" s="211"/>
      <c r="I206" s="211"/>
      <c r="J206" s="305"/>
      <c r="K206" s="305"/>
      <c r="L206" s="211"/>
      <c r="M206" s="211"/>
      <c r="N206" s="211"/>
      <c r="O206" s="211"/>
      <c r="P206" s="211"/>
      <c r="Q206" s="211"/>
      <c r="R206" s="211"/>
      <c r="V206" s="211"/>
      <c r="Y206" s="211"/>
      <c r="Z206" s="305"/>
      <c r="AA206" s="211"/>
      <c r="AB206" s="211"/>
      <c r="AC206" s="211"/>
      <c r="AD206" s="211"/>
      <c r="AE206" s="211"/>
      <c r="AF206" s="211"/>
      <c r="AI206" s="211"/>
      <c r="AJ206" s="211"/>
      <c r="AK206" s="212"/>
      <c r="AL206" s="211"/>
    </row>
    <row r="207" spans="1:40" x14ac:dyDescent="0.25">
      <c r="A207" s="202"/>
      <c r="D207" s="154"/>
      <c r="E207" s="154"/>
      <c r="F207" s="200"/>
      <c r="H207" s="200"/>
      <c r="I207" s="200"/>
      <c r="J207" s="213"/>
      <c r="K207" s="213"/>
      <c r="L207" s="200"/>
      <c r="M207" s="200"/>
      <c r="N207" s="210"/>
      <c r="O207" s="210"/>
      <c r="P207" s="200"/>
      <c r="Q207" s="200"/>
      <c r="R207" s="200"/>
      <c r="U207" s="154"/>
      <c r="V207" s="200"/>
      <c r="Y207" s="200"/>
      <c r="Z207" s="213"/>
      <c r="AA207" s="200"/>
      <c r="AB207" s="200"/>
      <c r="AC207" s="210"/>
      <c r="AD207" s="210"/>
      <c r="AE207" s="200"/>
      <c r="AF207" s="200"/>
      <c r="AG207" s="209"/>
      <c r="AH207" s="201"/>
      <c r="AI207" s="200"/>
      <c r="AJ207" s="200"/>
      <c r="AK207" s="209"/>
      <c r="AL207" s="200"/>
      <c r="AM207" s="210"/>
      <c r="AN207" s="210"/>
    </row>
    <row r="208" spans="1:40" x14ac:dyDescent="0.25">
      <c r="F208" s="211"/>
      <c r="H208" s="211"/>
      <c r="I208" s="211"/>
      <c r="J208" s="305"/>
      <c r="K208" s="305"/>
      <c r="L208" s="211"/>
      <c r="M208" s="211"/>
      <c r="N208" s="211"/>
      <c r="O208" s="211"/>
      <c r="P208" s="211"/>
      <c r="Q208" s="211"/>
      <c r="R208" s="211"/>
      <c r="V208" s="211"/>
      <c r="Y208" s="211"/>
      <c r="Z208" s="305"/>
      <c r="AA208" s="211"/>
      <c r="AB208" s="211"/>
      <c r="AC208" s="211"/>
      <c r="AD208" s="211"/>
      <c r="AE208" s="211"/>
      <c r="AF208" s="211"/>
      <c r="AI208" s="211"/>
      <c r="AJ208" s="211"/>
      <c r="AK208" s="212"/>
      <c r="AL208" s="211"/>
    </row>
    <row r="209" spans="1:40" x14ac:dyDescent="0.25">
      <c r="R209" s="200"/>
    </row>
    <row r="210" spans="1:40" x14ac:dyDescent="0.25">
      <c r="R210" s="200"/>
    </row>
    <row r="211" spans="1:40" x14ac:dyDescent="0.25">
      <c r="R211" s="200"/>
    </row>
    <row r="212" spans="1:40" x14ac:dyDescent="0.25">
      <c r="A212" s="202"/>
      <c r="C212" s="154"/>
      <c r="D212" s="154"/>
      <c r="E212" s="154"/>
      <c r="H212" s="200"/>
      <c r="I212" s="200"/>
      <c r="J212" s="213"/>
      <c r="K212" s="213"/>
      <c r="L212" s="200"/>
      <c r="M212" s="200"/>
      <c r="N212" s="210"/>
      <c r="O212" s="210"/>
      <c r="P212" s="200"/>
      <c r="Q212" s="200"/>
      <c r="R212" s="200"/>
      <c r="T212" s="154"/>
      <c r="U212" s="154"/>
      <c r="Y212" s="200"/>
      <c r="Z212" s="213"/>
      <c r="AA212" s="200"/>
      <c r="AB212" s="200"/>
      <c r="AC212" s="210"/>
      <c r="AD212" s="210"/>
    </row>
    <row r="213" spans="1:40" x14ac:dyDescent="0.25">
      <c r="H213" s="200"/>
      <c r="I213" s="200"/>
      <c r="J213" s="213"/>
      <c r="K213" s="213"/>
      <c r="L213" s="200"/>
      <c r="M213" s="200"/>
      <c r="N213" s="210"/>
      <c r="O213" s="210"/>
      <c r="P213" s="200"/>
      <c r="Q213" s="200"/>
      <c r="R213" s="200"/>
      <c r="Y213" s="200"/>
      <c r="Z213" s="213"/>
      <c r="AA213" s="200"/>
      <c r="AB213" s="200"/>
      <c r="AC213" s="210"/>
      <c r="AD213" s="210"/>
    </row>
    <row r="214" spans="1:40" x14ac:dyDescent="0.25">
      <c r="A214" s="202"/>
      <c r="C214" s="154"/>
      <c r="F214" s="252"/>
      <c r="H214" s="252"/>
      <c r="I214" s="252"/>
      <c r="J214" s="214"/>
      <c r="K214" s="214"/>
      <c r="L214" s="252"/>
      <c r="M214" s="252"/>
      <c r="N214" s="210"/>
      <c r="O214" s="210"/>
      <c r="P214" s="200"/>
      <c r="Q214" s="200"/>
      <c r="R214" s="200"/>
      <c r="T214" s="154"/>
      <c r="V214" s="200"/>
      <c r="Y214" s="200"/>
      <c r="Z214" s="214"/>
      <c r="AA214" s="200"/>
      <c r="AB214" s="200"/>
      <c r="AC214" s="210"/>
      <c r="AD214" s="210"/>
      <c r="AE214" s="200"/>
      <c r="AF214" s="200"/>
      <c r="AG214" s="209"/>
      <c r="AH214" s="201"/>
      <c r="AI214" s="200"/>
      <c r="AJ214" s="200"/>
      <c r="AK214" s="209"/>
      <c r="AL214" s="200"/>
      <c r="AM214" s="210"/>
      <c r="AN214" s="210"/>
    </row>
    <row r="215" spans="1:40" x14ac:dyDescent="0.25">
      <c r="F215" s="252"/>
      <c r="H215" s="317"/>
      <c r="I215" s="317"/>
      <c r="J215" s="317"/>
      <c r="K215" s="317"/>
      <c r="R215" s="200"/>
      <c r="V215" s="200"/>
      <c r="Z215" s="317"/>
    </row>
    <row r="216" spans="1:40" x14ac:dyDescent="0.25">
      <c r="A216" s="202"/>
      <c r="C216" s="154"/>
      <c r="F216" s="252"/>
      <c r="H216" s="252"/>
      <c r="I216" s="252"/>
      <c r="J216" s="300"/>
      <c r="K216" s="300"/>
      <c r="L216" s="200"/>
      <c r="M216" s="200"/>
      <c r="N216" s="210"/>
      <c r="O216" s="210"/>
      <c r="P216" s="200"/>
      <c r="Q216" s="200"/>
      <c r="R216" s="200"/>
      <c r="T216" s="154"/>
      <c r="V216" s="200"/>
      <c r="Y216" s="200"/>
      <c r="Z216" s="300"/>
      <c r="AA216" s="200"/>
      <c r="AB216" s="200"/>
      <c r="AC216" s="210"/>
      <c r="AD216" s="210"/>
      <c r="AE216" s="200"/>
      <c r="AF216" s="200"/>
      <c r="AG216" s="209"/>
      <c r="AH216" s="201"/>
      <c r="AI216" s="200"/>
      <c r="AJ216" s="200"/>
      <c r="AK216" s="209"/>
      <c r="AL216" s="200"/>
      <c r="AM216" s="210"/>
      <c r="AN216" s="210"/>
    </row>
    <row r="217" spans="1:40" x14ac:dyDescent="0.25">
      <c r="F217" s="252"/>
      <c r="H217" s="317"/>
      <c r="I217" s="317"/>
      <c r="J217" s="317"/>
      <c r="K217" s="317"/>
      <c r="R217" s="200"/>
      <c r="V217" s="200"/>
      <c r="Z217" s="317"/>
    </row>
    <row r="218" spans="1:40" x14ac:dyDescent="0.25">
      <c r="A218" s="202"/>
      <c r="C218" s="154"/>
      <c r="F218" s="252"/>
      <c r="H218" s="252"/>
      <c r="I218" s="252"/>
      <c r="J218" s="320"/>
      <c r="K218" s="320"/>
      <c r="L218" s="200"/>
      <c r="M218" s="200"/>
      <c r="N218" s="210"/>
      <c r="O218" s="210"/>
      <c r="P218" s="200"/>
      <c r="Q218" s="200"/>
      <c r="R218" s="200"/>
      <c r="T218" s="154"/>
      <c r="V218" s="200"/>
      <c r="Y218" s="200"/>
      <c r="Z218" s="304"/>
      <c r="AA218" s="200"/>
      <c r="AB218" s="200"/>
      <c r="AC218" s="210"/>
      <c r="AD218" s="210"/>
      <c r="AE218" s="200"/>
      <c r="AF218" s="200"/>
      <c r="AG218" s="209"/>
      <c r="AH218" s="201"/>
      <c r="AI218" s="200"/>
      <c r="AJ218" s="200"/>
      <c r="AK218" s="209"/>
      <c r="AL218" s="200"/>
      <c r="AM218" s="210"/>
      <c r="AN218" s="210"/>
    </row>
    <row r="219" spans="1:40" x14ac:dyDescent="0.25">
      <c r="F219" s="211"/>
      <c r="H219" s="211"/>
      <c r="I219" s="211"/>
      <c r="J219" s="305"/>
      <c r="K219" s="305"/>
      <c r="L219" s="211"/>
      <c r="M219" s="211"/>
      <c r="N219" s="211"/>
      <c r="O219" s="211"/>
      <c r="P219" s="211"/>
      <c r="Q219" s="211"/>
      <c r="R219" s="211"/>
      <c r="S219" s="200"/>
      <c r="V219" s="211"/>
      <c r="Y219" s="211"/>
      <c r="Z219" s="305"/>
      <c r="AA219" s="211"/>
      <c r="AB219" s="211"/>
      <c r="AC219" s="211"/>
      <c r="AD219" s="211"/>
      <c r="AE219" s="211"/>
      <c r="AF219" s="211"/>
      <c r="AI219" s="211"/>
      <c r="AJ219" s="211"/>
      <c r="AK219" s="212"/>
      <c r="AL219" s="211"/>
    </row>
    <row r="220" spans="1:40" x14ac:dyDescent="0.25">
      <c r="A220" s="202"/>
      <c r="D220" s="154"/>
      <c r="E220" s="154"/>
      <c r="F220" s="200"/>
      <c r="H220" s="200"/>
      <c r="I220" s="200"/>
      <c r="J220" s="213"/>
      <c r="K220" s="213"/>
      <c r="L220" s="200"/>
      <c r="M220" s="200"/>
      <c r="N220" s="210"/>
      <c r="O220" s="210"/>
      <c r="P220" s="252"/>
      <c r="Q220" s="252"/>
      <c r="R220" s="200"/>
      <c r="S220" s="200"/>
      <c r="U220" s="154"/>
      <c r="V220" s="200"/>
      <c r="Y220" s="200"/>
      <c r="Z220" s="213"/>
      <c r="AA220" s="200"/>
      <c r="AB220" s="200"/>
      <c r="AC220" s="210"/>
      <c r="AD220" s="210"/>
      <c r="AE220" s="200"/>
      <c r="AF220" s="200"/>
      <c r="AG220" s="209"/>
      <c r="AH220" s="201"/>
      <c r="AI220" s="252"/>
      <c r="AJ220" s="252"/>
      <c r="AK220" s="209"/>
      <c r="AL220" s="200"/>
      <c r="AM220" s="210"/>
      <c r="AN220" s="210"/>
    </row>
    <row r="221" spans="1:40" x14ac:dyDescent="0.25">
      <c r="F221" s="211"/>
      <c r="H221" s="211"/>
      <c r="I221" s="211"/>
      <c r="J221" s="305"/>
      <c r="K221" s="305"/>
      <c r="L221" s="211"/>
      <c r="M221" s="211"/>
      <c r="N221" s="211"/>
      <c r="O221" s="211"/>
      <c r="P221" s="211"/>
      <c r="Q221" s="211"/>
      <c r="R221" s="211"/>
      <c r="S221" s="200"/>
      <c r="V221" s="211"/>
      <c r="Y221" s="211"/>
      <c r="Z221" s="305"/>
      <c r="AA221" s="211"/>
      <c r="AB221" s="211"/>
      <c r="AC221" s="211"/>
      <c r="AD221" s="211"/>
      <c r="AE221" s="211"/>
      <c r="AF221" s="211"/>
      <c r="AI221" s="211"/>
      <c r="AJ221" s="211"/>
      <c r="AK221" s="212"/>
      <c r="AL221" s="211"/>
    </row>
    <row r="222" spans="1:40" x14ac:dyDescent="0.25">
      <c r="R222" s="200"/>
    </row>
    <row r="223" spans="1:40" x14ac:dyDescent="0.25">
      <c r="F223" s="200"/>
      <c r="H223" s="200"/>
      <c r="I223" s="200"/>
      <c r="J223" s="213"/>
      <c r="K223" s="213"/>
      <c r="L223" s="200"/>
      <c r="M223" s="200"/>
      <c r="N223" s="200"/>
      <c r="O223" s="200"/>
      <c r="P223" s="200"/>
      <c r="Q223" s="200"/>
      <c r="R223" s="200"/>
      <c r="V223" s="200"/>
      <c r="Y223" s="200"/>
      <c r="Z223" s="213"/>
      <c r="AA223" s="200"/>
      <c r="AB223" s="200"/>
      <c r="AC223" s="200"/>
      <c r="AD223" s="200"/>
    </row>
    <row r="224" spans="1:40" x14ac:dyDescent="0.25">
      <c r="C224" s="154"/>
      <c r="F224" s="200"/>
      <c r="H224" s="200"/>
      <c r="I224" s="200"/>
      <c r="J224" s="213"/>
      <c r="K224" s="213"/>
      <c r="L224" s="200"/>
      <c r="M224" s="200"/>
      <c r="N224" s="200"/>
      <c r="O224" s="200"/>
      <c r="P224" s="200"/>
      <c r="Q224" s="200"/>
      <c r="R224" s="200"/>
      <c r="T224" s="154"/>
      <c r="V224" s="200"/>
      <c r="Y224" s="200"/>
      <c r="Z224" s="213"/>
      <c r="AA224" s="200"/>
      <c r="AB224" s="200"/>
      <c r="AC224" s="200"/>
      <c r="AD224" s="200"/>
    </row>
    <row r="225" spans="1:40" x14ac:dyDescent="0.25">
      <c r="C225" s="154"/>
      <c r="T225" s="154"/>
    </row>
    <row r="226" spans="1:40" x14ac:dyDescent="0.25">
      <c r="A226" s="154"/>
    </row>
    <row r="228" spans="1:40" x14ac:dyDescent="0.25">
      <c r="J228" s="202"/>
      <c r="K228" s="202"/>
      <c r="Z228" s="202"/>
    </row>
    <row r="229" spans="1:40" x14ac:dyDescent="0.25">
      <c r="H229" s="154"/>
      <c r="I229" s="154"/>
      <c r="Y229" s="154"/>
    </row>
    <row r="230" spans="1:40" x14ac:dyDescent="0.25">
      <c r="J230" s="202"/>
      <c r="K230" s="202"/>
      <c r="Z230" s="202"/>
    </row>
    <row r="231" spans="1:40" x14ac:dyDescent="0.25">
      <c r="L231" s="154"/>
      <c r="M231" s="154"/>
      <c r="AA231" s="154"/>
      <c r="AB231" s="154"/>
    </row>
    <row r="232" spans="1:40" x14ac:dyDescent="0.25">
      <c r="A232" s="202"/>
      <c r="R232" s="154"/>
      <c r="AK232" s="297"/>
      <c r="AL232" s="154"/>
    </row>
    <row r="233" spans="1:40" x14ac:dyDescent="0.25">
      <c r="A233" s="202"/>
      <c r="R233" s="154"/>
      <c r="AK233" s="297"/>
      <c r="AL233" s="154"/>
    </row>
    <row r="234" spans="1:40" x14ac:dyDescent="0.25">
      <c r="A234" s="154"/>
      <c r="R234" s="154"/>
      <c r="AK234" s="297"/>
      <c r="AL234" s="154"/>
    </row>
    <row r="235" spans="1:40" x14ac:dyDescent="0.25">
      <c r="L235" s="154"/>
      <c r="M235" s="154"/>
      <c r="R235" s="202"/>
      <c r="AA235" s="154"/>
      <c r="AB235" s="154"/>
      <c r="AK235" s="209"/>
      <c r="AL235" s="202"/>
    </row>
    <row r="236" spans="1:40" x14ac:dyDescent="0.25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208"/>
      <c r="AH236" s="102"/>
      <c r="AI236" s="102"/>
      <c r="AJ236" s="102"/>
      <c r="AK236" s="208"/>
      <c r="AL236" s="102"/>
      <c r="AM236" s="102"/>
      <c r="AN236" s="102"/>
    </row>
    <row r="237" spans="1:40" x14ac:dyDescent="0.25">
      <c r="L237" s="103"/>
      <c r="M237" s="103"/>
      <c r="N237" s="103"/>
      <c r="O237" s="103"/>
      <c r="R237" s="103"/>
      <c r="AA237" s="103"/>
      <c r="AB237" s="103"/>
      <c r="AC237" s="103"/>
      <c r="AD237" s="103"/>
      <c r="AE237" s="103"/>
      <c r="AF237" s="103"/>
      <c r="AG237" s="185"/>
      <c r="AH237" s="103"/>
      <c r="AK237" s="185"/>
      <c r="AL237" s="103"/>
      <c r="AM237" s="103"/>
      <c r="AN237" s="103"/>
    </row>
    <row r="238" spans="1:40" x14ac:dyDescent="0.25">
      <c r="L238" s="103"/>
      <c r="M238" s="103"/>
      <c r="N238" s="103"/>
      <c r="O238" s="103"/>
      <c r="R238" s="103"/>
      <c r="Z238" s="103"/>
      <c r="AA238" s="103"/>
      <c r="AB238" s="103"/>
      <c r="AC238" s="103"/>
      <c r="AD238" s="103"/>
      <c r="AE238" s="103"/>
      <c r="AF238" s="103"/>
      <c r="AG238" s="185"/>
      <c r="AH238" s="103"/>
      <c r="AK238" s="185"/>
      <c r="AL238" s="103"/>
      <c r="AM238" s="103"/>
      <c r="AN238" s="103"/>
    </row>
    <row r="239" spans="1:40" x14ac:dyDescent="0.25">
      <c r="A239" s="103"/>
      <c r="C239" s="103"/>
      <c r="D239" s="103"/>
      <c r="E239" s="103"/>
      <c r="F239" s="103"/>
      <c r="J239" s="103"/>
      <c r="K239" s="103"/>
      <c r="L239" s="103"/>
      <c r="M239" s="103"/>
      <c r="N239" s="103"/>
      <c r="O239" s="103"/>
      <c r="P239" s="103"/>
      <c r="Q239" s="103"/>
      <c r="R239" s="103"/>
      <c r="T239" s="103"/>
      <c r="U239" s="103"/>
      <c r="V239" s="103"/>
      <c r="Z239" s="103"/>
      <c r="AA239" s="103"/>
      <c r="AB239" s="103"/>
      <c r="AC239" s="103"/>
      <c r="AD239" s="103"/>
      <c r="AE239" s="103"/>
      <c r="AF239" s="103"/>
      <c r="AG239" s="185"/>
      <c r="AH239" s="103"/>
      <c r="AI239" s="103"/>
      <c r="AJ239" s="103"/>
      <c r="AK239" s="185"/>
      <c r="AL239" s="103"/>
      <c r="AM239" s="103"/>
      <c r="AN239" s="103"/>
    </row>
    <row r="240" spans="1:40" x14ac:dyDescent="0.25">
      <c r="A240" s="103"/>
      <c r="C240" s="103"/>
      <c r="D240" s="103"/>
      <c r="E240" s="103"/>
      <c r="F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T240" s="103"/>
      <c r="U240" s="103"/>
      <c r="V240" s="103"/>
      <c r="Y240" s="103"/>
      <c r="Z240" s="103"/>
      <c r="AA240" s="103"/>
      <c r="AB240" s="103"/>
      <c r="AC240" s="103"/>
      <c r="AD240" s="103"/>
      <c r="AE240" s="103"/>
      <c r="AF240" s="103"/>
      <c r="AG240" s="185"/>
      <c r="AH240" s="103"/>
      <c r="AI240" s="103"/>
      <c r="AJ240" s="103"/>
      <c r="AK240" s="185"/>
      <c r="AL240" s="103"/>
      <c r="AM240" s="103"/>
      <c r="AN240" s="103"/>
    </row>
    <row r="241" spans="1:40" x14ac:dyDescent="0.25">
      <c r="C241" s="103"/>
      <c r="D241" s="103"/>
      <c r="E241" s="103"/>
      <c r="F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T241" s="103"/>
      <c r="U241" s="103"/>
      <c r="V241" s="103"/>
      <c r="Y241" s="103"/>
      <c r="Z241" s="103"/>
      <c r="AA241" s="103"/>
      <c r="AB241" s="103"/>
      <c r="AC241" s="103"/>
      <c r="AD241" s="103"/>
      <c r="AE241" s="103"/>
      <c r="AF241" s="103"/>
      <c r="AG241" s="185"/>
      <c r="AH241" s="103"/>
      <c r="AI241" s="103"/>
      <c r="AJ241" s="103"/>
      <c r="AK241" s="185"/>
      <c r="AL241" s="103"/>
      <c r="AM241" s="103"/>
      <c r="AN241" s="103"/>
    </row>
    <row r="242" spans="1:40" x14ac:dyDescent="0.25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208"/>
      <c r="AH242" s="102"/>
      <c r="AI242" s="102"/>
      <c r="AJ242" s="102"/>
      <c r="AK242" s="208"/>
      <c r="AL242" s="102"/>
      <c r="AM242" s="102"/>
      <c r="AN242" s="102"/>
    </row>
    <row r="243" spans="1:40" x14ac:dyDescent="0.25"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Y243" s="103"/>
      <c r="Z243" s="103"/>
      <c r="AA243" s="103"/>
      <c r="AB243" s="103"/>
      <c r="AC243" s="103"/>
      <c r="AD243" s="103"/>
      <c r="AE243" s="103"/>
      <c r="AF243" s="103"/>
      <c r="AG243" s="185"/>
      <c r="AH243" s="103"/>
      <c r="AI243" s="103"/>
      <c r="AJ243" s="103"/>
      <c r="AK243" s="185"/>
      <c r="AL243" s="103"/>
      <c r="AM243" s="103"/>
      <c r="AN243" s="103"/>
    </row>
    <row r="244" spans="1:40" x14ac:dyDescent="0.25">
      <c r="A244" s="202"/>
      <c r="C244" s="154"/>
      <c r="D244" s="154"/>
      <c r="E244" s="154"/>
      <c r="T244" s="154"/>
      <c r="U244" s="154"/>
    </row>
    <row r="245" spans="1:40" x14ac:dyDescent="0.25">
      <c r="A245" s="202"/>
      <c r="D245" s="154"/>
      <c r="E245" s="154"/>
      <c r="U245" s="154"/>
    </row>
    <row r="247" spans="1:40" x14ac:dyDescent="0.25">
      <c r="A247" s="202"/>
      <c r="C247" s="154"/>
      <c r="F247" s="200"/>
      <c r="J247" s="215"/>
      <c r="K247" s="215"/>
      <c r="L247" s="200"/>
      <c r="M247" s="200"/>
      <c r="R247" s="200"/>
      <c r="T247" s="154"/>
      <c r="V247" s="200"/>
      <c r="Z247" s="215"/>
      <c r="AA247" s="200"/>
      <c r="AB247" s="200"/>
      <c r="AK247" s="209"/>
      <c r="AL247" s="200"/>
    </row>
    <row r="248" spans="1:40" x14ac:dyDescent="0.25">
      <c r="F248" s="200"/>
      <c r="R248" s="200"/>
      <c r="V248" s="200"/>
      <c r="AK248" s="209"/>
      <c r="AL248" s="200"/>
    </row>
    <row r="249" spans="1:40" x14ac:dyDescent="0.25">
      <c r="A249" s="202"/>
      <c r="C249" s="154"/>
      <c r="F249" s="252"/>
      <c r="H249" s="252"/>
      <c r="I249" s="252"/>
      <c r="J249" s="300"/>
      <c r="K249" s="300"/>
      <c r="L249" s="200"/>
      <c r="M249" s="200"/>
      <c r="N249" s="210"/>
      <c r="O249" s="210"/>
      <c r="P249" s="200"/>
      <c r="Q249" s="200"/>
      <c r="R249" s="200"/>
      <c r="T249" s="154"/>
      <c r="V249" s="200"/>
      <c r="Y249" s="200"/>
      <c r="Z249" s="300"/>
      <c r="AA249" s="200"/>
      <c r="AB249" s="200"/>
      <c r="AC249" s="210"/>
      <c r="AD249" s="210"/>
      <c r="AE249" s="200"/>
      <c r="AF249" s="200"/>
      <c r="AG249" s="209"/>
      <c r="AH249" s="201"/>
      <c r="AI249" s="200"/>
      <c r="AJ249" s="200"/>
      <c r="AK249" s="209"/>
      <c r="AL249" s="200"/>
      <c r="AM249" s="210"/>
      <c r="AN249" s="210"/>
    </row>
    <row r="250" spans="1:40" x14ac:dyDescent="0.25">
      <c r="A250" s="202"/>
      <c r="C250" s="154"/>
      <c r="F250" s="252"/>
      <c r="H250" s="317"/>
      <c r="I250" s="317"/>
      <c r="J250" s="300"/>
      <c r="K250" s="300"/>
      <c r="L250" s="200"/>
      <c r="M250" s="200"/>
      <c r="N250" s="210"/>
      <c r="O250" s="210"/>
      <c r="P250" s="200"/>
      <c r="Q250" s="200"/>
      <c r="R250" s="200"/>
      <c r="T250" s="154"/>
      <c r="V250" s="200"/>
      <c r="Y250" s="200"/>
      <c r="Z250" s="300"/>
      <c r="AA250" s="200"/>
      <c r="AB250" s="200"/>
      <c r="AC250" s="210"/>
      <c r="AD250" s="210"/>
      <c r="AE250" s="200"/>
      <c r="AF250" s="200"/>
      <c r="AG250" s="209"/>
      <c r="AH250" s="201"/>
      <c r="AI250" s="200"/>
      <c r="AJ250" s="200"/>
      <c r="AK250" s="209"/>
      <c r="AL250" s="200"/>
      <c r="AM250" s="210"/>
      <c r="AN250" s="210"/>
    </row>
    <row r="251" spans="1:40" x14ac:dyDescent="0.25">
      <c r="F251" s="211"/>
      <c r="H251" s="200"/>
      <c r="I251" s="200"/>
      <c r="J251" s="305"/>
      <c r="K251" s="305"/>
      <c r="L251" s="211"/>
      <c r="M251" s="211"/>
      <c r="N251" s="211"/>
      <c r="O251" s="211"/>
      <c r="P251" s="211"/>
      <c r="Q251" s="211"/>
      <c r="R251" s="211"/>
      <c r="V251" s="211"/>
      <c r="Y251" s="200"/>
      <c r="Z251" s="305"/>
      <c r="AA251" s="211"/>
      <c r="AB251" s="211"/>
      <c r="AC251" s="211"/>
      <c r="AD251" s="211"/>
      <c r="AE251" s="211"/>
      <c r="AF251" s="211"/>
      <c r="AI251" s="211"/>
      <c r="AJ251" s="211"/>
      <c r="AK251" s="212"/>
      <c r="AL251" s="211"/>
    </row>
    <row r="252" spans="1:40" x14ac:dyDescent="0.25">
      <c r="A252" s="202"/>
      <c r="C252" s="154"/>
      <c r="F252" s="200"/>
      <c r="H252" s="200"/>
      <c r="I252" s="200"/>
      <c r="J252" s="213"/>
      <c r="K252" s="213"/>
      <c r="L252" s="200"/>
      <c r="M252" s="200"/>
      <c r="N252" s="210"/>
      <c r="O252" s="210"/>
      <c r="P252" s="200"/>
      <c r="Q252" s="200"/>
      <c r="R252" s="200"/>
      <c r="T252" s="154"/>
      <c r="V252" s="200"/>
      <c r="Y252" s="200"/>
      <c r="Z252" s="213"/>
      <c r="AA252" s="200"/>
      <c r="AB252" s="200"/>
      <c r="AC252" s="210"/>
      <c r="AD252" s="210"/>
      <c r="AE252" s="200"/>
      <c r="AF252" s="200"/>
      <c r="AG252" s="209"/>
      <c r="AH252" s="201"/>
      <c r="AI252" s="200"/>
      <c r="AJ252" s="200"/>
      <c r="AK252" s="209"/>
      <c r="AL252" s="200"/>
      <c r="AM252" s="210"/>
      <c r="AN252" s="210"/>
    </row>
    <row r="253" spans="1:40" x14ac:dyDescent="0.25">
      <c r="F253" s="211"/>
      <c r="H253" s="200"/>
      <c r="I253" s="200"/>
      <c r="J253" s="305"/>
      <c r="K253" s="305"/>
      <c r="L253" s="211"/>
      <c r="M253" s="211"/>
      <c r="N253" s="211"/>
      <c r="O253" s="211"/>
      <c r="P253" s="211"/>
      <c r="Q253" s="211"/>
      <c r="R253" s="211"/>
      <c r="V253" s="211"/>
      <c r="Y253" s="200"/>
      <c r="Z253" s="305"/>
      <c r="AA253" s="211"/>
      <c r="AB253" s="211"/>
      <c r="AC253" s="211"/>
      <c r="AD253" s="211"/>
      <c r="AE253" s="211"/>
      <c r="AF253" s="211"/>
      <c r="AI253" s="211"/>
      <c r="AJ253" s="211"/>
      <c r="AK253" s="212"/>
      <c r="AL253" s="211"/>
    </row>
    <row r="254" spans="1:40" x14ac:dyDescent="0.25">
      <c r="F254" s="200"/>
      <c r="R254" s="200"/>
      <c r="V254" s="200"/>
      <c r="AK254" s="209"/>
      <c r="AL254" s="200"/>
    </row>
    <row r="255" spans="1:40" x14ac:dyDescent="0.25">
      <c r="A255" s="202"/>
      <c r="C255" s="154"/>
      <c r="F255" s="200"/>
      <c r="R255" s="200"/>
      <c r="T255" s="154"/>
      <c r="V255" s="200"/>
      <c r="AK255" s="209"/>
      <c r="AL255" s="200"/>
    </row>
    <row r="256" spans="1:40" x14ac:dyDescent="0.25">
      <c r="F256" s="200"/>
      <c r="R256" s="200"/>
      <c r="V256" s="200"/>
      <c r="AK256" s="209"/>
      <c r="AL256" s="200"/>
    </row>
    <row r="257" spans="1:40" x14ac:dyDescent="0.25">
      <c r="A257" s="202"/>
      <c r="C257" s="154"/>
      <c r="F257" s="200"/>
      <c r="H257" s="252"/>
      <c r="I257" s="252"/>
      <c r="J257" s="320"/>
      <c r="K257" s="320"/>
      <c r="L257" s="200"/>
      <c r="M257" s="200"/>
      <c r="N257" s="210"/>
      <c r="O257" s="210"/>
      <c r="P257" s="252"/>
      <c r="Q257" s="252"/>
      <c r="R257" s="200"/>
      <c r="T257" s="154"/>
      <c r="V257" s="200"/>
      <c r="Y257" s="200"/>
      <c r="Z257" s="304"/>
      <c r="AA257" s="200"/>
      <c r="AB257" s="200"/>
      <c r="AC257" s="210"/>
      <c r="AD257" s="210"/>
      <c r="AE257" s="200"/>
      <c r="AF257" s="200"/>
      <c r="AG257" s="209"/>
      <c r="AH257" s="201"/>
      <c r="AI257" s="252"/>
      <c r="AJ257" s="252"/>
      <c r="AK257" s="209"/>
      <c r="AL257" s="200"/>
      <c r="AM257" s="210"/>
      <c r="AN257" s="210"/>
    </row>
    <row r="258" spans="1:40" x14ac:dyDescent="0.25">
      <c r="H258" s="211"/>
      <c r="I258" s="211"/>
      <c r="J258" s="305"/>
      <c r="K258" s="305"/>
      <c r="L258" s="211"/>
      <c r="M258" s="211"/>
      <c r="N258" s="211"/>
      <c r="O258" s="211"/>
      <c r="P258" s="211"/>
      <c r="Q258" s="211"/>
      <c r="R258" s="211"/>
      <c r="V258" s="211"/>
      <c r="Y258" s="211"/>
      <c r="Z258" s="305"/>
      <c r="AA258" s="211"/>
      <c r="AB258" s="211"/>
      <c r="AC258" s="211"/>
      <c r="AD258" s="211"/>
      <c r="AE258" s="211"/>
      <c r="AF258" s="211"/>
      <c r="AI258" s="211"/>
      <c r="AJ258" s="211"/>
      <c r="AK258" s="212"/>
      <c r="AL258" s="211"/>
    </row>
    <row r="259" spans="1:40" x14ac:dyDescent="0.25">
      <c r="F259" s="211"/>
    </row>
    <row r="260" spans="1:40" x14ac:dyDescent="0.25">
      <c r="A260" s="202"/>
      <c r="C260" s="154"/>
      <c r="F260" s="200"/>
      <c r="H260" s="200"/>
      <c r="I260" s="200"/>
      <c r="J260" s="215"/>
      <c r="K260" s="215"/>
      <c r="L260" s="200"/>
      <c r="M260" s="200"/>
      <c r="N260" s="210"/>
      <c r="O260" s="210"/>
      <c r="P260" s="200"/>
      <c r="Q260" s="200"/>
      <c r="R260" s="200"/>
      <c r="T260" s="154"/>
      <c r="V260" s="200"/>
      <c r="Y260" s="200"/>
      <c r="Z260" s="215"/>
      <c r="AA260" s="200"/>
      <c r="AB260" s="200"/>
      <c r="AC260" s="210"/>
      <c r="AD260" s="210"/>
      <c r="AE260" s="200"/>
      <c r="AF260" s="200"/>
      <c r="AG260" s="209"/>
      <c r="AH260" s="201"/>
      <c r="AI260" s="200"/>
      <c r="AJ260" s="200"/>
      <c r="AK260" s="209"/>
      <c r="AL260" s="200"/>
      <c r="AM260" s="210"/>
      <c r="AN260" s="210"/>
    </row>
    <row r="261" spans="1:40" x14ac:dyDescent="0.25">
      <c r="F261" s="211"/>
      <c r="H261" s="211"/>
      <c r="I261" s="211"/>
      <c r="J261" s="305"/>
      <c r="K261" s="305"/>
      <c r="L261" s="211"/>
      <c r="M261" s="211"/>
      <c r="N261" s="211"/>
      <c r="O261" s="211"/>
      <c r="P261" s="211"/>
      <c r="Q261" s="211"/>
      <c r="R261" s="211"/>
      <c r="V261" s="211"/>
      <c r="Y261" s="211"/>
      <c r="Z261" s="305"/>
      <c r="AA261" s="211"/>
      <c r="AB261" s="211"/>
      <c r="AC261" s="211"/>
      <c r="AD261" s="211"/>
      <c r="AE261" s="211"/>
      <c r="AF261" s="211"/>
      <c r="AI261" s="211"/>
      <c r="AJ261" s="211"/>
      <c r="AK261" s="212"/>
      <c r="AL261" s="211"/>
    </row>
    <row r="262" spans="1:40" x14ac:dyDescent="0.25">
      <c r="R262" s="200"/>
      <c r="AG262" s="209"/>
      <c r="AH262" s="200"/>
    </row>
    <row r="263" spans="1:40" x14ac:dyDescent="0.25">
      <c r="F263" s="200"/>
      <c r="H263" s="200"/>
      <c r="I263" s="200"/>
      <c r="J263" s="213"/>
      <c r="K263" s="213"/>
      <c r="L263" s="200"/>
      <c r="M263" s="200"/>
      <c r="N263" s="200"/>
      <c r="O263" s="200"/>
      <c r="P263" s="200"/>
      <c r="Q263" s="200"/>
      <c r="R263" s="200"/>
      <c r="V263" s="200"/>
      <c r="Y263" s="200"/>
      <c r="Z263" s="213"/>
      <c r="AA263" s="200"/>
      <c r="AB263" s="200"/>
      <c r="AC263" s="200"/>
      <c r="AD263" s="200"/>
      <c r="AE263" s="200"/>
      <c r="AF263" s="200"/>
      <c r="AG263" s="209"/>
      <c r="AH263" s="200"/>
    </row>
    <row r="264" spans="1:40" x14ac:dyDescent="0.25">
      <c r="C264" s="154"/>
      <c r="F264" s="200"/>
      <c r="H264" s="200"/>
      <c r="I264" s="200"/>
      <c r="J264" s="213"/>
      <c r="K264" s="213"/>
      <c r="L264" s="200"/>
      <c r="M264" s="200"/>
      <c r="N264" s="200"/>
      <c r="O264" s="200"/>
      <c r="P264" s="200"/>
      <c r="Q264" s="200"/>
      <c r="R264" s="200"/>
      <c r="T264" s="154"/>
      <c r="V264" s="200"/>
      <c r="Y264" s="200"/>
      <c r="Z264" s="213"/>
      <c r="AA264" s="200"/>
      <c r="AB264" s="200"/>
      <c r="AC264" s="200"/>
      <c r="AD264" s="200"/>
      <c r="AE264" s="200"/>
      <c r="AF264" s="200"/>
      <c r="AG264" s="209"/>
      <c r="AH264" s="200"/>
    </row>
    <row r="265" spans="1:40" x14ac:dyDescent="0.25">
      <c r="A265" s="154"/>
    </row>
    <row r="267" spans="1:40" x14ac:dyDescent="0.25">
      <c r="J267" s="202"/>
      <c r="K267" s="202"/>
      <c r="Z267" s="202"/>
    </row>
    <row r="268" spans="1:40" x14ac:dyDescent="0.25">
      <c r="H268" s="154"/>
      <c r="I268" s="154"/>
      <c r="Y268" s="154"/>
    </row>
    <row r="269" spans="1:40" x14ac:dyDescent="0.25">
      <c r="J269" s="202"/>
      <c r="K269" s="202"/>
      <c r="Z269" s="202"/>
    </row>
    <row r="270" spans="1:40" x14ac:dyDescent="0.25">
      <c r="L270" s="154"/>
      <c r="M270" s="154"/>
      <c r="AA270" s="154"/>
      <c r="AB270" s="154"/>
    </row>
    <row r="271" spans="1:40" x14ac:dyDescent="0.25">
      <c r="A271" s="202"/>
      <c r="R271" s="154"/>
      <c r="AK271" s="297"/>
      <c r="AL271" s="154"/>
    </row>
    <row r="272" spans="1:40" x14ac:dyDescent="0.25">
      <c r="A272" s="202"/>
      <c r="R272" s="154"/>
      <c r="AK272" s="297"/>
      <c r="AL272" s="154"/>
    </row>
    <row r="273" spans="1:40" x14ac:dyDescent="0.25">
      <c r="A273" s="154"/>
      <c r="R273" s="154"/>
      <c r="AK273" s="297"/>
      <c r="AL273" s="154"/>
    </row>
    <row r="274" spans="1:40" x14ac:dyDescent="0.25">
      <c r="L274" s="154"/>
      <c r="M274" s="154"/>
      <c r="R274" s="202"/>
      <c r="AA274" s="154"/>
      <c r="AB274" s="154"/>
      <c r="AK274" s="209"/>
      <c r="AL274" s="202"/>
    </row>
    <row r="275" spans="1:40" x14ac:dyDescent="0.25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208"/>
      <c r="AH275" s="102"/>
      <c r="AI275" s="102"/>
      <c r="AJ275" s="102"/>
      <c r="AK275" s="208"/>
      <c r="AL275" s="102"/>
      <c r="AM275" s="102"/>
      <c r="AN275" s="102"/>
    </row>
    <row r="276" spans="1:40" x14ac:dyDescent="0.25">
      <c r="L276" s="103"/>
      <c r="M276" s="103"/>
      <c r="N276" s="103"/>
      <c r="O276" s="103"/>
      <c r="R276" s="103"/>
      <c r="AA276" s="103"/>
      <c r="AB276" s="103"/>
      <c r="AC276" s="103"/>
      <c r="AD276" s="103"/>
      <c r="AE276" s="103"/>
      <c r="AF276" s="103"/>
      <c r="AG276" s="185"/>
      <c r="AH276" s="103"/>
      <c r="AK276" s="185"/>
      <c r="AL276" s="103"/>
      <c r="AM276" s="103"/>
      <c r="AN276" s="103"/>
    </row>
    <row r="277" spans="1:40" x14ac:dyDescent="0.25">
      <c r="L277" s="103"/>
      <c r="M277" s="103"/>
      <c r="N277" s="103"/>
      <c r="O277" s="103"/>
      <c r="R277" s="103"/>
      <c r="Z277" s="103"/>
      <c r="AA277" s="103"/>
      <c r="AB277" s="103"/>
      <c r="AC277" s="103"/>
      <c r="AD277" s="103"/>
      <c r="AE277" s="103"/>
      <c r="AF277" s="103"/>
      <c r="AG277" s="185"/>
      <c r="AH277" s="103"/>
      <c r="AK277" s="185"/>
      <c r="AL277" s="103"/>
      <c r="AM277" s="103"/>
      <c r="AN277" s="103"/>
    </row>
    <row r="278" spans="1:40" x14ac:dyDescent="0.25">
      <c r="A278" s="103"/>
      <c r="C278" s="103"/>
      <c r="D278" s="103"/>
      <c r="E278" s="103"/>
      <c r="F278" s="103"/>
      <c r="J278" s="103"/>
      <c r="K278" s="103"/>
      <c r="L278" s="103"/>
      <c r="M278" s="103"/>
      <c r="N278" s="103"/>
      <c r="O278" s="103"/>
      <c r="P278" s="103"/>
      <c r="Q278" s="103"/>
      <c r="R278" s="103"/>
      <c r="T278" s="103"/>
      <c r="U278" s="103"/>
      <c r="V278" s="103"/>
      <c r="Z278" s="103"/>
      <c r="AA278" s="103"/>
      <c r="AB278" s="103"/>
      <c r="AC278" s="103"/>
      <c r="AD278" s="103"/>
      <c r="AE278" s="103"/>
      <c r="AF278" s="103"/>
      <c r="AG278" s="185"/>
      <c r="AH278" s="103"/>
      <c r="AI278" s="103"/>
      <c r="AJ278" s="103"/>
      <c r="AK278" s="185"/>
      <c r="AL278" s="103"/>
      <c r="AM278" s="103"/>
      <c r="AN278" s="103"/>
    </row>
    <row r="279" spans="1:40" x14ac:dyDescent="0.25">
      <c r="A279" s="103"/>
      <c r="C279" s="103"/>
      <c r="D279" s="103"/>
      <c r="E279" s="103"/>
      <c r="F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T279" s="103"/>
      <c r="U279" s="103"/>
      <c r="V279" s="103"/>
      <c r="Y279" s="103"/>
      <c r="Z279" s="103"/>
      <c r="AA279" s="103"/>
      <c r="AB279" s="103"/>
      <c r="AC279" s="103"/>
      <c r="AD279" s="103"/>
      <c r="AE279" s="103"/>
      <c r="AF279" s="103"/>
      <c r="AG279" s="185"/>
      <c r="AH279" s="103"/>
      <c r="AI279" s="103"/>
      <c r="AJ279" s="103"/>
      <c r="AK279" s="185"/>
      <c r="AL279" s="103"/>
      <c r="AM279" s="103"/>
      <c r="AN279" s="103"/>
    </row>
    <row r="280" spans="1:40" x14ac:dyDescent="0.25">
      <c r="C280" s="103"/>
      <c r="D280" s="103"/>
      <c r="E280" s="103"/>
      <c r="F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T280" s="103"/>
      <c r="U280" s="103"/>
      <c r="V280" s="103"/>
      <c r="Y280" s="103"/>
      <c r="Z280" s="103"/>
      <c r="AA280" s="103"/>
      <c r="AB280" s="103"/>
      <c r="AC280" s="103"/>
      <c r="AD280" s="103"/>
      <c r="AE280" s="103"/>
      <c r="AF280" s="103"/>
      <c r="AG280" s="185"/>
      <c r="AH280" s="103"/>
      <c r="AI280" s="103"/>
      <c r="AJ280" s="103"/>
      <c r="AK280" s="185"/>
      <c r="AL280" s="103"/>
      <c r="AM280" s="103"/>
      <c r="AN280" s="103"/>
    </row>
    <row r="281" spans="1:40" x14ac:dyDescent="0.2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208"/>
      <c r="AH281" s="102"/>
      <c r="AI281" s="102"/>
      <c r="AJ281" s="102"/>
      <c r="AK281" s="208"/>
      <c r="AL281" s="102"/>
      <c r="AM281" s="102"/>
      <c r="AN281" s="102"/>
    </row>
    <row r="282" spans="1:40" x14ac:dyDescent="0.25"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Y282" s="103"/>
      <c r="Z282" s="103"/>
      <c r="AA282" s="103"/>
      <c r="AB282" s="103"/>
      <c r="AC282" s="103"/>
      <c r="AD282" s="103"/>
      <c r="AE282" s="103"/>
      <c r="AF282" s="103"/>
      <c r="AG282" s="185"/>
      <c r="AH282" s="103"/>
      <c r="AI282" s="103"/>
      <c r="AJ282" s="103"/>
      <c r="AK282" s="185"/>
      <c r="AL282" s="103"/>
      <c r="AM282" s="103"/>
      <c r="AN282" s="103"/>
    </row>
    <row r="283" spans="1:40" x14ac:dyDescent="0.25">
      <c r="A283" s="202"/>
      <c r="C283" s="154"/>
      <c r="D283" s="154"/>
      <c r="E283" s="154"/>
      <c r="T283" s="154"/>
      <c r="U283" s="154"/>
    </row>
    <row r="284" spans="1:40" x14ac:dyDescent="0.25">
      <c r="A284" s="202"/>
      <c r="C284" s="154"/>
      <c r="T284" s="154"/>
    </row>
    <row r="286" spans="1:40" x14ac:dyDescent="0.25">
      <c r="A286" s="202"/>
      <c r="C286" s="154"/>
      <c r="F286" s="252"/>
      <c r="H286" s="252"/>
      <c r="I286" s="252"/>
      <c r="J286" s="300"/>
      <c r="K286" s="300"/>
      <c r="L286" s="200"/>
      <c r="M286" s="200"/>
      <c r="N286" s="210"/>
      <c r="O286" s="210"/>
      <c r="P286" s="202"/>
      <c r="Q286" s="202"/>
      <c r="R286" s="200"/>
      <c r="T286" s="154"/>
      <c r="V286" s="200"/>
      <c r="Y286" s="252"/>
      <c r="Z286" s="300"/>
      <c r="AA286" s="200"/>
      <c r="AB286" s="200"/>
      <c r="AC286" s="210"/>
      <c r="AD286" s="210"/>
      <c r="AE286" s="200"/>
      <c r="AF286" s="200"/>
      <c r="AG286" s="209"/>
      <c r="AH286" s="201"/>
      <c r="AI286" s="202"/>
      <c r="AJ286" s="202"/>
      <c r="AK286" s="209"/>
      <c r="AL286" s="200"/>
      <c r="AM286" s="210"/>
      <c r="AN286" s="210"/>
    </row>
    <row r="287" spans="1:40" x14ac:dyDescent="0.25">
      <c r="F287" s="211"/>
      <c r="H287" s="200"/>
      <c r="I287" s="200"/>
      <c r="J287" s="305"/>
      <c r="K287" s="305"/>
      <c r="L287" s="211"/>
      <c r="M287" s="211"/>
      <c r="N287" s="211"/>
      <c r="O287" s="211"/>
      <c r="P287" s="211"/>
      <c r="Q287" s="211"/>
      <c r="R287" s="211"/>
      <c r="V287" s="211"/>
      <c r="Y287" s="200"/>
      <c r="Z287" s="305"/>
      <c r="AA287" s="211"/>
      <c r="AB287" s="211"/>
      <c r="AC287" s="211"/>
      <c r="AD287" s="211"/>
      <c r="AE287" s="211"/>
      <c r="AF287" s="211"/>
      <c r="AI287" s="211"/>
      <c r="AJ287" s="211"/>
      <c r="AK287" s="212"/>
      <c r="AL287" s="211"/>
      <c r="AM287" s="210"/>
      <c r="AN287" s="210"/>
    </row>
    <row r="288" spans="1:40" x14ac:dyDescent="0.25">
      <c r="A288" s="202"/>
      <c r="C288" s="154"/>
      <c r="F288" s="252"/>
      <c r="H288" s="252"/>
      <c r="I288" s="252"/>
      <c r="J288" s="328"/>
      <c r="K288" s="328"/>
      <c r="L288" s="200"/>
      <c r="M288" s="200"/>
      <c r="N288" s="210"/>
      <c r="O288" s="210"/>
      <c r="P288" s="200"/>
      <c r="Q288" s="200"/>
      <c r="R288" s="200"/>
      <c r="S288" s="200"/>
      <c r="T288" s="154"/>
      <c r="V288" s="252"/>
      <c r="Y288" s="252"/>
      <c r="Z288" s="328"/>
      <c r="AA288" s="200"/>
      <c r="AB288" s="200"/>
      <c r="AC288" s="210"/>
      <c r="AD288" s="210"/>
      <c r="AE288" s="200"/>
      <c r="AF288" s="200"/>
      <c r="AG288" s="209"/>
      <c r="AH288" s="210"/>
      <c r="AI288" s="200"/>
      <c r="AJ288" s="200"/>
      <c r="AK288" s="209"/>
      <c r="AL288" s="200"/>
      <c r="AM288" s="210"/>
      <c r="AN288" s="210"/>
    </row>
    <row r="289" spans="1:40" x14ac:dyDescent="0.25">
      <c r="A289" s="202"/>
      <c r="C289" s="154"/>
      <c r="F289" s="252"/>
      <c r="H289" s="252"/>
      <c r="I289" s="252"/>
      <c r="J289" s="300"/>
      <c r="K289" s="300"/>
      <c r="L289" s="200"/>
      <c r="M289" s="200"/>
      <c r="N289" s="210"/>
      <c r="O289" s="210"/>
      <c r="P289" s="200"/>
      <c r="Q289" s="200"/>
      <c r="R289" s="200"/>
      <c r="T289" s="154"/>
      <c r="V289" s="252"/>
      <c r="Y289" s="200"/>
      <c r="Z289" s="300"/>
      <c r="AA289" s="200"/>
      <c r="AB289" s="200"/>
      <c r="AC289" s="210"/>
      <c r="AD289" s="210"/>
      <c r="AE289" s="200"/>
      <c r="AF289" s="200"/>
      <c r="AG289" s="209"/>
      <c r="AH289" s="201"/>
      <c r="AI289" s="200"/>
      <c r="AJ289" s="200"/>
      <c r="AK289" s="209"/>
      <c r="AL289" s="200"/>
      <c r="AM289" s="210"/>
      <c r="AN289" s="210"/>
    </row>
    <row r="290" spans="1:40" x14ac:dyDescent="0.25">
      <c r="A290" s="202"/>
      <c r="C290" s="154"/>
      <c r="F290" s="252"/>
      <c r="H290" s="252"/>
      <c r="I290" s="252"/>
      <c r="J290" s="300"/>
      <c r="K290" s="300"/>
      <c r="L290" s="200"/>
      <c r="M290" s="200"/>
      <c r="N290" s="210"/>
      <c r="O290" s="210"/>
      <c r="P290" s="200"/>
      <c r="Q290" s="200"/>
      <c r="R290" s="200"/>
      <c r="T290" s="154"/>
      <c r="V290" s="252"/>
      <c r="Y290" s="200"/>
      <c r="Z290" s="300"/>
      <c r="AA290" s="200"/>
      <c r="AB290" s="200"/>
      <c r="AC290" s="210"/>
      <c r="AD290" s="210"/>
      <c r="AE290" s="200"/>
      <c r="AF290" s="200"/>
      <c r="AG290" s="209"/>
      <c r="AH290" s="201"/>
      <c r="AI290" s="200"/>
      <c r="AJ290" s="200"/>
      <c r="AK290" s="209"/>
      <c r="AL290" s="200"/>
      <c r="AM290" s="210"/>
      <c r="AN290" s="210"/>
    </row>
    <row r="291" spans="1:40" x14ac:dyDescent="0.25">
      <c r="F291" s="211"/>
      <c r="H291" s="211"/>
      <c r="I291" s="211"/>
      <c r="J291" s="305"/>
      <c r="K291" s="305"/>
      <c r="L291" s="211"/>
      <c r="M291" s="211"/>
      <c r="N291" s="211"/>
      <c r="O291" s="211"/>
      <c r="P291" s="211"/>
      <c r="Q291" s="211"/>
      <c r="R291" s="211"/>
      <c r="V291" s="211"/>
      <c r="Y291" s="211"/>
      <c r="Z291" s="305"/>
      <c r="AA291" s="211"/>
      <c r="AB291" s="211"/>
      <c r="AC291" s="211"/>
      <c r="AD291" s="211"/>
      <c r="AE291" s="211"/>
      <c r="AF291" s="211"/>
      <c r="AI291" s="211"/>
      <c r="AJ291" s="211"/>
      <c r="AK291" s="212"/>
      <c r="AL291" s="211"/>
      <c r="AM291" s="210"/>
      <c r="AN291" s="210"/>
    </row>
    <row r="292" spans="1:40" x14ac:dyDescent="0.25">
      <c r="A292" s="202"/>
      <c r="C292" s="154"/>
      <c r="F292" s="200"/>
      <c r="H292" s="200"/>
      <c r="I292" s="200"/>
      <c r="J292" s="213"/>
      <c r="K292" s="213"/>
      <c r="L292" s="200"/>
      <c r="M292" s="200"/>
      <c r="N292" s="210"/>
      <c r="O292" s="210"/>
      <c r="P292" s="200"/>
      <c r="Q292" s="200"/>
      <c r="R292" s="200"/>
      <c r="T292" s="154"/>
      <c r="V292" s="200"/>
      <c r="Y292" s="200"/>
      <c r="Z292" s="213"/>
      <c r="AA292" s="200"/>
      <c r="AB292" s="200"/>
      <c r="AC292" s="210"/>
      <c r="AD292" s="210"/>
      <c r="AE292" s="200"/>
      <c r="AF292" s="200"/>
      <c r="AG292" s="209"/>
      <c r="AH292" s="201"/>
      <c r="AI292" s="200"/>
      <c r="AJ292" s="200"/>
      <c r="AK292" s="209"/>
      <c r="AL292" s="200"/>
      <c r="AM292" s="210"/>
      <c r="AN292" s="210"/>
    </row>
    <row r="293" spans="1:40" x14ac:dyDescent="0.25">
      <c r="F293" s="211"/>
      <c r="H293" s="211"/>
      <c r="I293" s="211"/>
      <c r="J293" s="305"/>
      <c r="K293" s="305"/>
      <c r="L293" s="211"/>
      <c r="M293" s="211"/>
      <c r="N293" s="211"/>
      <c r="O293" s="211"/>
      <c r="P293" s="211"/>
      <c r="Q293" s="211"/>
      <c r="R293" s="211"/>
      <c r="V293" s="211"/>
      <c r="Y293" s="211"/>
      <c r="Z293" s="305"/>
      <c r="AA293" s="211"/>
      <c r="AB293" s="211"/>
      <c r="AC293" s="211"/>
      <c r="AD293" s="211"/>
      <c r="AE293" s="211"/>
      <c r="AF293" s="211"/>
      <c r="AI293" s="211"/>
      <c r="AJ293" s="211"/>
      <c r="AK293" s="212"/>
      <c r="AL293" s="211"/>
      <c r="AM293" s="210"/>
      <c r="AN293" s="210"/>
    </row>
    <row r="294" spans="1:40" x14ac:dyDescent="0.25">
      <c r="A294" s="202"/>
      <c r="C294" s="154"/>
      <c r="F294" s="200"/>
      <c r="H294" s="200"/>
      <c r="I294" s="200"/>
      <c r="J294" s="213"/>
      <c r="K294" s="213"/>
      <c r="L294" s="200"/>
      <c r="M294" s="200"/>
      <c r="N294" s="210"/>
      <c r="O294" s="210"/>
      <c r="P294" s="200"/>
      <c r="Q294" s="200"/>
      <c r="R294" s="200"/>
      <c r="T294" s="154"/>
      <c r="V294" s="200"/>
      <c r="Y294" s="200"/>
      <c r="Z294" s="213"/>
      <c r="AA294" s="200"/>
      <c r="AB294" s="200"/>
      <c r="AC294" s="210"/>
      <c r="AD294" s="210"/>
      <c r="AE294" s="200"/>
      <c r="AF294" s="200"/>
      <c r="AG294" s="209"/>
      <c r="AH294" s="201"/>
      <c r="AI294" s="200"/>
      <c r="AJ294" s="200"/>
      <c r="AK294" s="209"/>
      <c r="AL294" s="200"/>
      <c r="AM294" s="210"/>
      <c r="AN294" s="210"/>
    </row>
    <row r="295" spans="1:40" x14ac:dyDescent="0.25">
      <c r="A295" s="202"/>
      <c r="C295" s="154"/>
      <c r="F295" s="200"/>
      <c r="H295" s="252"/>
      <c r="I295" s="252"/>
      <c r="J295" s="320"/>
      <c r="K295" s="320"/>
      <c r="L295" s="200"/>
      <c r="M295" s="200"/>
      <c r="N295" s="210"/>
      <c r="O295" s="210"/>
      <c r="P295" s="200"/>
      <c r="Q295" s="200"/>
      <c r="R295" s="200"/>
      <c r="T295" s="154"/>
      <c r="V295" s="200"/>
      <c r="Y295" s="200"/>
      <c r="Z295" s="304"/>
      <c r="AA295" s="200"/>
      <c r="AB295" s="200"/>
      <c r="AC295" s="210"/>
      <c r="AD295" s="210"/>
      <c r="AE295" s="200"/>
      <c r="AF295" s="200"/>
      <c r="AG295" s="209"/>
      <c r="AH295" s="201"/>
      <c r="AI295" s="200"/>
      <c r="AJ295" s="200"/>
      <c r="AK295" s="209"/>
      <c r="AL295" s="200"/>
      <c r="AM295" s="210"/>
      <c r="AN295" s="210"/>
    </row>
    <row r="296" spans="1:40" x14ac:dyDescent="0.25">
      <c r="H296" s="211"/>
      <c r="I296" s="211"/>
      <c r="J296" s="305"/>
      <c r="K296" s="305"/>
      <c r="L296" s="211"/>
      <c r="M296" s="211"/>
      <c r="N296" s="211"/>
      <c r="O296" s="211"/>
      <c r="P296" s="211"/>
      <c r="Q296" s="211"/>
      <c r="R296" s="211"/>
      <c r="V296" s="211"/>
      <c r="Y296" s="211"/>
      <c r="Z296" s="305"/>
      <c r="AA296" s="211"/>
      <c r="AB296" s="211"/>
      <c r="AC296" s="211"/>
      <c r="AD296" s="211"/>
      <c r="AE296" s="211"/>
      <c r="AF296" s="211"/>
      <c r="AI296" s="211"/>
      <c r="AJ296" s="211"/>
      <c r="AK296" s="212"/>
      <c r="AL296" s="211"/>
      <c r="AM296" s="210"/>
      <c r="AN296" s="210"/>
    </row>
    <row r="297" spans="1:40" x14ac:dyDescent="0.25">
      <c r="F297" s="211"/>
    </row>
    <row r="298" spans="1:40" x14ac:dyDescent="0.25">
      <c r="A298" s="202"/>
      <c r="C298" s="154"/>
      <c r="F298" s="200"/>
      <c r="H298" s="200"/>
      <c r="I298" s="200"/>
      <c r="J298" s="305"/>
      <c r="K298" s="305"/>
      <c r="L298" s="200"/>
      <c r="M298" s="200"/>
      <c r="N298" s="210"/>
      <c r="O298" s="210"/>
      <c r="P298" s="200"/>
      <c r="Q298" s="200"/>
      <c r="R298" s="200"/>
      <c r="S298" s="200"/>
      <c r="T298" s="154"/>
      <c r="V298" s="200"/>
      <c r="Y298" s="200"/>
      <c r="Z298" s="305"/>
      <c r="AA298" s="200"/>
      <c r="AB298" s="200"/>
      <c r="AC298" s="210"/>
      <c r="AD298" s="210"/>
      <c r="AE298" s="200"/>
      <c r="AF298" s="200"/>
      <c r="AG298" s="209"/>
      <c r="AH298" s="210"/>
      <c r="AI298" s="200"/>
      <c r="AJ298" s="200"/>
      <c r="AK298" s="209"/>
      <c r="AL298" s="200"/>
      <c r="AM298" s="210"/>
      <c r="AN298" s="210"/>
    </row>
    <row r="299" spans="1:40" x14ac:dyDescent="0.25">
      <c r="F299" s="211"/>
      <c r="H299" s="211"/>
      <c r="I299" s="211"/>
      <c r="J299" s="305"/>
      <c r="K299" s="305"/>
      <c r="L299" s="211"/>
      <c r="M299" s="211"/>
      <c r="N299" s="211"/>
      <c r="O299" s="211"/>
      <c r="P299" s="211"/>
      <c r="Q299" s="211"/>
      <c r="R299" s="211"/>
      <c r="S299" s="200"/>
      <c r="V299" s="211"/>
      <c r="Y299" s="211"/>
      <c r="Z299" s="305"/>
      <c r="AA299" s="211"/>
      <c r="AB299" s="211"/>
      <c r="AC299" s="211"/>
      <c r="AD299" s="211"/>
      <c r="AE299" s="211"/>
      <c r="AF299" s="211"/>
      <c r="AI299" s="211"/>
      <c r="AJ299" s="211"/>
      <c r="AK299" s="212"/>
      <c r="AL299" s="211"/>
      <c r="AM299" s="210"/>
      <c r="AN299" s="210"/>
    </row>
    <row r="300" spans="1:40" x14ac:dyDescent="0.25">
      <c r="A300" s="202"/>
      <c r="C300" s="154"/>
      <c r="H300" s="252"/>
      <c r="I300" s="252"/>
      <c r="J300" s="305"/>
      <c r="K300" s="305"/>
      <c r="L300" s="200"/>
      <c r="M300" s="200"/>
      <c r="N300" s="210"/>
      <c r="O300" s="210"/>
      <c r="P300" s="200"/>
      <c r="Q300" s="200"/>
      <c r="R300" s="200"/>
      <c r="S300" s="200"/>
      <c r="T300" s="154"/>
      <c r="V300" s="252"/>
      <c r="Y300" s="252"/>
      <c r="Z300" s="305"/>
      <c r="AA300" s="200"/>
      <c r="AB300" s="200"/>
      <c r="AC300" s="210"/>
      <c r="AD300" s="210"/>
      <c r="AE300" s="200"/>
      <c r="AF300" s="200"/>
      <c r="AI300" s="200"/>
      <c r="AJ300" s="200"/>
      <c r="AK300" s="209"/>
      <c r="AL300" s="200"/>
      <c r="AM300" s="210"/>
      <c r="AN300" s="210"/>
    </row>
    <row r="301" spans="1:40" x14ac:dyDescent="0.25">
      <c r="F301" s="252"/>
    </row>
    <row r="302" spans="1:40" x14ac:dyDescent="0.25">
      <c r="A302" s="202"/>
      <c r="C302" s="154"/>
      <c r="F302" s="252"/>
      <c r="H302" s="252"/>
      <c r="I302" s="252"/>
      <c r="J302" s="300"/>
      <c r="K302" s="300"/>
      <c r="L302" s="200"/>
      <c r="M302" s="200"/>
      <c r="N302" s="210"/>
      <c r="O302" s="210"/>
      <c r="P302" s="202"/>
      <c r="Q302" s="202"/>
      <c r="R302" s="200"/>
      <c r="T302" s="154"/>
      <c r="V302" s="200"/>
      <c r="Y302" s="252"/>
      <c r="Z302" s="300"/>
      <c r="AA302" s="200"/>
      <c r="AB302" s="200"/>
      <c r="AC302" s="210"/>
      <c r="AD302" s="210"/>
      <c r="AE302" s="200"/>
      <c r="AF302" s="200"/>
      <c r="AG302" s="209"/>
      <c r="AH302" s="201"/>
      <c r="AI302" s="202"/>
      <c r="AJ302" s="202"/>
      <c r="AK302" s="209"/>
      <c r="AL302" s="200"/>
      <c r="AM302" s="210"/>
      <c r="AN302" s="210"/>
    </row>
    <row r="303" spans="1:40" x14ac:dyDescent="0.25">
      <c r="F303" s="211"/>
      <c r="H303" s="200"/>
      <c r="I303" s="200"/>
      <c r="J303" s="305"/>
      <c r="K303" s="305"/>
      <c r="L303" s="211"/>
      <c r="M303" s="211"/>
      <c r="N303" s="211"/>
      <c r="O303" s="211"/>
      <c r="P303" s="211"/>
      <c r="Q303" s="211"/>
      <c r="R303" s="211"/>
      <c r="V303" s="211"/>
      <c r="Y303" s="200"/>
      <c r="Z303" s="305"/>
      <c r="AA303" s="211"/>
      <c r="AB303" s="211"/>
      <c r="AC303" s="211"/>
      <c r="AD303" s="211"/>
      <c r="AE303" s="211"/>
      <c r="AF303" s="211"/>
      <c r="AI303" s="211"/>
      <c r="AJ303" s="211"/>
      <c r="AK303" s="212"/>
      <c r="AL303" s="211"/>
      <c r="AM303" s="210"/>
      <c r="AN303" s="210"/>
    </row>
    <row r="304" spans="1:40" x14ac:dyDescent="0.25">
      <c r="A304" s="202"/>
      <c r="C304" s="154"/>
      <c r="F304" s="252"/>
      <c r="H304" s="252"/>
      <c r="I304" s="252"/>
      <c r="J304" s="328"/>
      <c r="K304" s="328"/>
      <c r="L304" s="200"/>
      <c r="M304" s="200"/>
      <c r="N304" s="210"/>
      <c r="O304" s="210"/>
      <c r="P304" s="200"/>
      <c r="Q304" s="200"/>
      <c r="R304" s="200"/>
      <c r="S304" s="200"/>
      <c r="T304" s="154"/>
      <c r="V304" s="252"/>
      <c r="Y304" s="252"/>
      <c r="Z304" s="328"/>
      <c r="AA304" s="200"/>
      <c r="AB304" s="200"/>
      <c r="AC304" s="210"/>
      <c r="AD304" s="210"/>
      <c r="AE304" s="200"/>
      <c r="AF304" s="200"/>
      <c r="AG304" s="209"/>
      <c r="AH304" s="210"/>
      <c r="AI304" s="200"/>
      <c r="AJ304" s="200"/>
      <c r="AK304" s="209"/>
      <c r="AL304" s="200"/>
      <c r="AM304" s="210"/>
      <c r="AN304" s="210"/>
    </row>
    <row r="305" spans="1:40" x14ac:dyDescent="0.25">
      <c r="A305" s="202"/>
      <c r="C305" s="154"/>
      <c r="F305" s="252"/>
      <c r="H305" s="252"/>
      <c r="I305" s="252"/>
      <c r="J305" s="300"/>
      <c r="K305" s="300"/>
      <c r="L305" s="200"/>
      <c r="M305" s="200"/>
      <c r="N305" s="210"/>
      <c r="O305" s="210"/>
      <c r="P305" s="200"/>
      <c r="Q305" s="200"/>
      <c r="R305" s="200"/>
      <c r="T305" s="154"/>
      <c r="V305" s="252"/>
      <c r="Y305" s="200"/>
      <c r="Z305" s="300"/>
      <c r="AA305" s="200"/>
      <c r="AB305" s="200"/>
      <c r="AC305" s="210"/>
      <c r="AD305" s="210"/>
      <c r="AE305" s="200"/>
      <c r="AF305" s="200"/>
      <c r="AG305" s="209"/>
      <c r="AH305" s="201"/>
      <c r="AI305" s="200"/>
      <c r="AJ305" s="200"/>
      <c r="AK305" s="209"/>
      <c r="AL305" s="200"/>
      <c r="AM305" s="210"/>
      <c r="AN305" s="210"/>
    </row>
    <row r="306" spans="1:40" x14ac:dyDescent="0.25">
      <c r="A306" s="202"/>
      <c r="C306" s="154"/>
      <c r="F306" s="252"/>
      <c r="H306" s="252"/>
      <c r="I306" s="252"/>
      <c r="J306" s="300"/>
      <c r="K306" s="300"/>
      <c r="L306" s="200"/>
      <c r="M306" s="200"/>
      <c r="N306" s="210"/>
      <c r="O306" s="210"/>
      <c r="P306" s="200"/>
      <c r="Q306" s="200"/>
      <c r="R306" s="200"/>
      <c r="T306" s="154"/>
      <c r="V306" s="252"/>
      <c r="Y306" s="200"/>
      <c r="Z306" s="300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F307" s="211"/>
      <c r="H307" s="211"/>
      <c r="I307" s="211"/>
      <c r="J307" s="305"/>
      <c r="K307" s="305"/>
      <c r="L307" s="211"/>
      <c r="M307" s="211"/>
      <c r="N307" s="211"/>
      <c r="O307" s="211"/>
      <c r="P307" s="211"/>
      <c r="Q307" s="211"/>
      <c r="R307" s="211"/>
      <c r="V307" s="211"/>
      <c r="Y307" s="211"/>
      <c r="Z307" s="305"/>
      <c r="AA307" s="211"/>
      <c r="AB307" s="211"/>
      <c r="AC307" s="211"/>
      <c r="AD307" s="211"/>
      <c r="AE307" s="211"/>
      <c r="AF307" s="211"/>
      <c r="AI307" s="211"/>
      <c r="AJ307" s="211"/>
      <c r="AK307" s="212"/>
      <c r="AL307" s="211"/>
      <c r="AM307" s="210"/>
      <c r="AN307" s="210"/>
    </row>
    <row r="308" spans="1:40" x14ac:dyDescent="0.25">
      <c r="A308" s="202"/>
      <c r="C308" s="154"/>
      <c r="F308" s="200"/>
      <c r="H308" s="200"/>
      <c r="I308" s="200"/>
      <c r="J308" s="213"/>
      <c r="K308" s="213"/>
      <c r="L308" s="200"/>
      <c r="M308" s="200"/>
      <c r="N308" s="210"/>
      <c r="O308" s="210"/>
      <c r="P308" s="200"/>
      <c r="Q308" s="200"/>
      <c r="R308" s="200"/>
      <c r="T308" s="154"/>
      <c r="V308" s="200"/>
      <c r="Y308" s="200"/>
      <c r="Z308" s="213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F309" s="211"/>
      <c r="H309" s="211"/>
      <c r="I309" s="211"/>
      <c r="J309" s="305"/>
      <c r="K309" s="305"/>
      <c r="L309" s="211"/>
      <c r="M309" s="211"/>
      <c r="N309" s="211"/>
      <c r="O309" s="211"/>
      <c r="P309" s="211"/>
      <c r="Q309" s="211"/>
      <c r="R309" s="211"/>
      <c r="V309" s="211"/>
      <c r="Y309" s="211"/>
      <c r="Z309" s="305"/>
      <c r="AA309" s="211"/>
      <c r="AB309" s="211"/>
      <c r="AC309" s="211"/>
      <c r="AD309" s="211"/>
      <c r="AE309" s="211"/>
      <c r="AF309" s="211"/>
      <c r="AI309" s="211"/>
      <c r="AJ309" s="211"/>
      <c r="AK309" s="212"/>
      <c r="AL309" s="211"/>
      <c r="AM309" s="210"/>
      <c r="AN309" s="210"/>
    </row>
    <row r="310" spans="1:40" x14ac:dyDescent="0.25">
      <c r="A310" s="202"/>
      <c r="C310" s="154"/>
      <c r="F310" s="200"/>
      <c r="H310" s="200"/>
      <c r="I310" s="200"/>
      <c r="J310" s="213"/>
      <c r="K310" s="213"/>
      <c r="L310" s="200"/>
      <c r="M310" s="200"/>
      <c r="N310" s="210"/>
      <c r="O310" s="210"/>
      <c r="P310" s="200"/>
      <c r="Q310" s="200"/>
      <c r="R310" s="200"/>
      <c r="T310" s="154"/>
      <c r="V310" s="200"/>
      <c r="Y310" s="200"/>
      <c r="Z310" s="213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A311" s="202"/>
      <c r="C311" s="154"/>
      <c r="F311" s="200"/>
      <c r="H311" s="252"/>
      <c r="I311" s="252"/>
      <c r="J311" s="320"/>
      <c r="K311" s="320"/>
      <c r="L311" s="200"/>
      <c r="M311" s="200"/>
      <c r="N311" s="210"/>
      <c r="O311" s="210"/>
      <c r="P311" s="200"/>
      <c r="Q311" s="200"/>
      <c r="R311" s="200"/>
      <c r="T311" s="154"/>
      <c r="V311" s="200"/>
      <c r="Y311" s="200"/>
      <c r="Z311" s="304"/>
      <c r="AA311" s="200"/>
      <c r="AB311" s="200"/>
      <c r="AC311" s="210"/>
      <c r="AD311" s="210"/>
      <c r="AE311" s="200"/>
      <c r="AF311" s="200"/>
      <c r="AG311" s="209"/>
      <c r="AH311" s="201"/>
      <c r="AI311" s="200"/>
      <c r="AJ311" s="200"/>
      <c r="AK311" s="209"/>
      <c r="AL311" s="200"/>
      <c r="AM311" s="210"/>
      <c r="AN311" s="210"/>
    </row>
    <row r="312" spans="1:40" x14ac:dyDescent="0.25">
      <c r="H312" s="211"/>
      <c r="I312" s="211"/>
      <c r="J312" s="305"/>
      <c r="K312" s="305"/>
      <c r="L312" s="211"/>
      <c r="M312" s="211"/>
      <c r="N312" s="211"/>
      <c r="O312" s="211"/>
      <c r="P312" s="211"/>
      <c r="Q312" s="211"/>
      <c r="R312" s="211"/>
      <c r="V312" s="211"/>
      <c r="Y312" s="211"/>
      <c r="Z312" s="305"/>
      <c r="AA312" s="211"/>
      <c r="AB312" s="211"/>
      <c r="AC312" s="211"/>
      <c r="AD312" s="211"/>
      <c r="AE312" s="211"/>
      <c r="AF312" s="211"/>
      <c r="AI312" s="211"/>
      <c r="AJ312" s="211"/>
      <c r="AK312" s="212"/>
      <c r="AL312" s="211"/>
      <c r="AM312" s="210"/>
      <c r="AN312" s="210"/>
    </row>
    <row r="313" spans="1:40" x14ac:dyDescent="0.25">
      <c r="F313" s="211"/>
    </row>
    <row r="314" spans="1:40" x14ac:dyDescent="0.25">
      <c r="A314" s="202"/>
      <c r="C314" s="154"/>
      <c r="F314" s="200"/>
      <c r="H314" s="200"/>
      <c r="I314" s="200"/>
      <c r="J314" s="305"/>
      <c r="K314" s="305"/>
      <c r="L314" s="200"/>
      <c r="M314" s="200"/>
      <c r="N314" s="210"/>
      <c r="O314" s="210"/>
      <c r="P314" s="200"/>
      <c r="Q314" s="200"/>
      <c r="R314" s="200"/>
      <c r="S314" s="200"/>
      <c r="T314" s="154"/>
      <c r="V314" s="200"/>
      <c r="Y314" s="200"/>
      <c r="Z314" s="305"/>
      <c r="AA314" s="200"/>
      <c r="AB314" s="200"/>
      <c r="AC314" s="210"/>
      <c r="AD314" s="210"/>
      <c r="AE314" s="200"/>
      <c r="AF314" s="200"/>
      <c r="AG314" s="209"/>
      <c r="AH314" s="210"/>
      <c r="AI314" s="200"/>
      <c r="AJ314" s="200"/>
      <c r="AK314" s="209"/>
      <c r="AL314" s="200"/>
      <c r="AM314" s="210"/>
      <c r="AN314" s="210"/>
    </row>
    <row r="315" spans="1:40" x14ac:dyDescent="0.25">
      <c r="F315" s="211"/>
      <c r="H315" s="211"/>
      <c r="I315" s="211"/>
      <c r="J315" s="305"/>
      <c r="K315" s="305"/>
      <c r="L315" s="211"/>
      <c r="M315" s="211"/>
      <c r="N315" s="211"/>
      <c r="O315" s="211"/>
      <c r="P315" s="211"/>
      <c r="Q315" s="211"/>
      <c r="R315" s="211"/>
      <c r="S315" s="200"/>
      <c r="V315" s="211"/>
      <c r="Y315" s="211"/>
      <c r="Z315" s="305"/>
      <c r="AA315" s="211"/>
      <c r="AB315" s="211"/>
      <c r="AC315" s="211"/>
      <c r="AD315" s="211"/>
      <c r="AE315" s="211"/>
      <c r="AF315" s="211"/>
      <c r="AI315" s="211"/>
      <c r="AJ315" s="211"/>
      <c r="AK315" s="212"/>
      <c r="AL315" s="211"/>
      <c r="AM315" s="210"/>
      <c r="AN315" s="210"/>
    </row>
    <row r="316" spans="1:40" x14ac:dyDescent="0.25">
      <c r="A316" s="202"/>
      <c r="C316" s="154"/>
      <c r="T316" s="154"/>
    </row>
    <row r="317" spans="1:40" x14ac:dyDescent="0.25">
      <c r="A317" s="202"/>
      <c r="C317" s="154"/>
      <c r="F317" s="200"/>
      <c r="H317" s="200"/>
      <c r="I317" s="200"/>
      <c r="L317" s="200"/>
      <c r="M317" s="200"/>
      <c r="N317" s="210"/>
      <c r="O317" s="210"/>
      <c r="P317" s="252"/>
      <c r="Q317" s="252"/>
      <c r="R317" s="200"/>
      <c r="T317" s="154"/>
      <c r="V317" s="200"/>
      <c r="Y317" s="200"/>
      <c r="AA317" s="200"/>
      <c r="AB317" s="200"/>
      <c r="AC317" s="210"/>
      <c r="AD317" s="210"/>
      <c r="AE317" s="200"/>
      <c r="AF317" s="200"/>
      <c r="AG317" s="209"/>
      <c r="AH317" s="210"/>
      <c r="AI317" s="252"/>
      <c r="AJ317" s="252"/>
      <c r="AK317" s="209"/>
      <c r="AL317" s="200"/>
      <c r="AM317" s="210"/>
      <c r="AN317" s="210"/>
    </row>
    <row r="318" spans="1:40" x14ac:dyDescent="0.25">
      <c r="H318" s="211"/>
      <c r="I318" s="211"/>
      <c r="J318" s="305"/>
      <c r="K318" s="305"/>
      <c r="L318" s="211"/>
      <c r="M318" s="211"/>
      <c r="N318" s="211"/>
      <c r="O318" s="211"/>
      <c r="P318" s="211"/>
      <c r="Q318" s="211"/>
      <c r="R318" s="211"/>
      <c r="V318" s="211"/>
      <c r="Y318" s="211"/>
      <c r="Z318" s="305"/>
      <c r="AA318" s="211"/>
      <c r="AB318" s="211"/>
      <c r="AC318" s="211"/>
      <c r="AD318" s="211"/>
      <c r="AE318" s="211"/>
      <c r="AF318" s="211"/>
      <c r="AI318" s="211"/>
      <c r="AJ318" s="211"/>
      <c r="AK318" s="212"/>
      <c r="AL318" s="211"/>
    </row>
    <row r="319" spans="1:40" x14ac:dyDescent="0.25">
      <c r="F319" s="211"/>
    </row>
    <row r="320" spans="1:40" x14ac:dyDescent="0.25">
      <c r="C320" s="154"/>
      <c r="L320" s="200"/>
      <c r="M320" s="200"/>
      <c r="N320" s="200"/>
      <c r="O320" s="200"/>
      <c r="P320" s="200"/>
      <c r="Q320" s="200"/>
      <c r="R320" s="200"/>
      <c r="S320" s="200"/>
      <c r="T320" s="154"/>
      <c r="AA320" s="200"/>
      <c r="AB320" s="200"/>
      <c r="AC320" s="200"/>
      <c r="AD320" s="200"/>
      <c r="AI320" s="200"/>
      <c r="AJ320" s="200"/>
      <c r="AK320" s="209"/>
      <c r="AL320" s="200"/>
    </row>
    <row r="321" spans="1:40" x14ac:dyDescent="0.25">
      <c r="A321" s="154"/>
    </row>
    <row r="322" spans="1:40" x14ac:dyDescent="0.25">
      <c r="J322" s="202"/>
      <c r="K322" s="202"/>
      <c r="Z322" s="202"/>
    </row>
    <row r="323" spans="1:40" x14ac:dyDescent="0.25">
      <c r="H323" s="154"/>
      <c r="I323" s="154"/>
      <c r="Y323" s="154"/>
    </row>
    <row r="324" spans="1:40" x14ac:dyDescent="0.25">
      <c r="J324" s="202"/>
      <c r="K324" s="202"/>
      <c r="Z324" s="202"/>
    </row>
    <row r="325" spans="1:40" x14ac:dyDescent="0.25">
      <c r="L325" s="154"/>
      <c r="M325" s="154"/>
      <c r="AA325" s="154"/>
      <c r="AB325" s="154"/>
    </row>
    <row r="326" spans="1:40" x14ac:dyDescent="0.25">
      <c r="A326" s="202"/>
      <c r="R326" s="154"/>
      <c r="AK326" s="297"/>
      <c r="AL326" s="154"/>
    </row>
    <row r="327" spans="1:40" x14ac:dyDescent="0.25">
      <c r="A327" s="202"/>
      <c r="R327" s="154"/>
      <c r="AK327" s="297"/>
      <c r="AL327" s="154"/>
    </row>
    <row r="328" spans="1:40" x14ac:dyDescent="0.25">
      <c r="A328" s="154"/>
      <c r="R328" s="154"/>
      <c r="AK328" s="297"/>
      <c r="AL328" s="154"/>
    </row>
    <row r="329" spans="1:40" x14ac:dyDescent="0.25">
      <c r="L329" s="154"/>
      <c r="M329" s="154"/>
      <c r="R329" s="202"/>
      <c r="AA329" s="154"/>
      <c r="AB329" s="154"/>
      <c r="AK329" s="209"/>
      <c r="AL329" s="202"/>
    </row>
    <row r="330" spans="1:40" x14ac:dyDescent="0.25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208"/>
      <c r="AH330" s="102"/>
      <c r="AI330" s="102"/>
      <c r="AJ330" s="102"/>
      <c r="AK330" s="208"/>
      <c r="AL330" s="102"/>
      <c r="AM330" s="102"/>
      <c r="AN330" s="102"/>
    </row>
    <row r="331" spans="1:40" x14ac:dyDescent="0.25">
      <c r="L331" s="103"/>
      <c r="M331" s="103"/>
      <c r="N331" s="103"/>
      <c r="O331" s="103"/>
      <c r="R331" s="103"/>
      <c r="AA331" s="103"/>
      <c r="AB331" s="103"/>
      <c r="AC331" s="103"/>
      <c r="AD331" s="103"/>
      <c r="AE331" s="103"/>
      <c r="AF331" s="103"/>
      <c r="AG331" s="185"/>
      <c r="AH331" s="103"/>
      <c r="AK331" s="185"/>
      <c r="AL331" s="103"/>
      <c r="AM331" s="103"/>
      <c r="AN331" s="103"/>
    </row>
    <row r="332" spans="1:40" x14ac:dyDescent="0.25">
      <c r="L332" s="103"/>
      <c r="M332" s="103"/>
      <c r="N332" s="103"/>
      <c r="O332" s="103"/>
      <c r="R332" s="103"/>
      <c r="Z332" s="103"/>
      <c r="AA332" s="103"/>
      <c r="AB332" s="103"/>
      <c r="AC332" s="103"/>
      <c r="AD332" s="103"/>
      <c r="AE332" s="103"/>
      <c r="AF332" s="103"/>
      <c r="AG332" s="185"/>
      <c r="AH332" s="103"/>
      <c r="AK332" s="185"/>
      <c r="AL332" s="103"/>
      <c r="AM332" s="103"/>
      <c r="AN332" s="103"/>
    </row>
    <row r="333" spans="1:40" x14ac:dyDescent="0.25">
      <c r="A333" s="103"/>
      <c r="C333" s="103"/>
      <c r="D333" s="103"/>
      <c r="E333" s="103"/>
      <c r="F333" s="103"/>
      <c r="J333" s="103"/>
      <c r="K333" s="103"/>
      <c r="L333" s="103"/>
      <c r="M333" s="103"/>
      <c r="N333" s="103"/>
      <c r="O333" s="103"/>
      <c r="P333" s="103"/>
      <c r="Q333" s="103"/>
      <c r="R333" s="103"/>
      <c r="T333" s="103"/>
      <c r="U333" s="103"/>
      <c r="V333" s="103"/>
      <c r="Z333" s="103"/>
      <c r="AA333" s="103"/>
      <c r="AB333" s="103"/>
      <c r="AC333" s="103"/>
      <c r="AD333" s="103"/>
      <c r="AE333" s="103"/>
      <c r="AF333" s="103"/>
      <c r="AG333" s="185"/>
      <c r="AH333" s="103"/>
      <c r="AI333" s="103"/>
      <c r="AJ333" s="103"/>
      <c r="AK333" s="185"/>
      <c r="AL333" s="103"/>
      <c r="AM333" s="103"/>
      <c r="AN333" s="103"/>
    </row>
    <row r="334" spans="1:40" x14ac:dyDescent="0.25">
      <c r="A334" s="103"/>
      <c r="C334" s="103"/>
      <c r="D334" s="103"/>
      <c r="E334" s="103"/>
      <c r="F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T334" s="103"/>
      <c r="U334" s="103"/>
      <c r="V334" s="103"/>
      <c r="Y334" s="103"/>
      <c r="Z334" s="103"/>
      <c r="AA334" s="103"/>
      <c r="AB334" s="103"/>
      <c r="AC334" s="103"/>
      <c r="AD334" s="103"/>
      <c r="AE334" s="103"/>
      <c r="AF334" s="103"/>
      <c r="AG334" s="185"/>
      <c r="AH334" s="103"/>
      <c r="AI334" s="103"/>
      <c r="AJ334" s="103"/>
      <c r="AK334" s="185"/>
      <c r="AL334" s="103"/>
      <c r="AM334" s="103"/>
      <c r="AN334" s="103"/>
    </row>
    <row r="335" spans="1:40" x14ac:dyDescent="0.25">
      <c r="C335" s="103"/>
      <c r="D335" s="103"/>
      <c r="E335" s="103"/>
      <c r="F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T335" s="103"/>
      <c r="U335" s="103"/>
      <c r="V335" s="103"/>
      <c r="Y335" s="103"/>
      <c r="Z335" s="103"/>
      <c r="AA335" s="103"/>
      <c r="AB335" s="103"/>
      <c r="AC335" s="103"/>
      <c r="AD335" s="103"/>
      <c r="AE335" s="103"/>
      <c r="AF335" s="103"/>
      <c r="AG335" s="185"/>
      <c r="AH335" s="103"/>
      <c r="AI335" s="103"/>
      <c r="AJ335" s="103"/>
      <c r="AK335" s="185"/>
      <c r="AL335" s="103"/>
      <c r="AM335" s="103"/>
      <c r="AN335" s="103"/>
    </row>
    <row r="336" spans="1:40" x14ac:dyDescent="0.2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208"/>
      <c r="AH336" s="102"/>
      <c r="AI336" s="102"/>
      <c r="AJ336" s="102"/>
      <c r="AK336" s="208"/>
      <c r="AL336" s="102"/>
      <c r="AM336" s="102"/>
      <c r="AN336" s="102"/>
    </row>
    <row r="337" spans="1:40" x14ac:dyDescent="0.25"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Y337" s="103"/>
      <c r="Z337" s="103"/>
      <c r="AA337" s="103"/>
      <c r="AB337" s="103"/>
      <c r="AC337" s="103"/>
      <c r="AD337" s="103"/>
      <c r="AE337" s="103"/>
      <c r="AF337" s="103"/>
      <c r="AG337" s="185"/>
      <c r="AH337" s="103"/>
      <c r="AI337" s="103"/>
      <c r="AJ337" s="103"/>
      <c r="AK337" s="185"/>
      <c r="AL337" s="103"/>
      <c r="AM337" s="103"/>
      <c r="AN337" s="103"/>
    </row>
    <row r="338" spans="1:40" x14ac:dyDescent="0.25">
      <c r="A338" s="202"/>
      <c r="C338" s="154"/>
      <c r="D338" s="154"/>
      <c r="E338" s="154"/>
      <c r="T338" s="154"/>
      <c r="U338" s="154"/>
    </row>
    <row r="339" spans="1:40" x14ac:dyDescent="0.25">
      <c r="D339" s="154"/>
      <c r="E339" s="154"/>
      <c r="U339" s="154"/>
    </row>
    <row r="341" spans="1:40" x14ac:dyDescent="0.25">
      <c r="A341" s="202"/>
      <c r="C341" s="154"/>
      <c r="T341" s="154"/>
    </row>
    <row r="342" spans="1:40" x14ac:dyDescent="0.25">
      <c r="A342" s="202"/>
      <c r="C342" s="154"/>
      <c r="F342" s="252"/>
      <c r="H342" s="252"/>
      <c r="I342" s="252"/>
      <c r="J342" s="329"/>
      <c r="K342" s="329"/>
      <c r="L342" s="200"/>
      <c r="M342" s="200"/>
      <c r="N342" s="210"/>
      <c r="O342" s="210"/>
      <c r="P342" s="200"/>
      <c r="Q342" s="200"/>
      <c r="R342" s="200"/>
      <c r="T342" s="154"/>
      <c r="V342" s="252"/>
      <c r="W342" s="200"/>
      <c r="X342" s="200"/>
      <c r="Y342" s="252"/>
      <c r="Z342" s="329"/>
      <c r="AA342" s="200"/>
      <c r="AB342" s="200"/>
      <c r="AC342" s="210"/>
      <c r="AD342" s="210"/>
      <c r="AE342" s="200"/>
      <c r="AF342" s="200"/>
      <c r="AG342" s="209"/>
      <c r="AH342" s="201"/>
      <c r="AI342" s="200"/>
      <c r="AJ342" s="200"/>
      <c r="AK342" s="209"/>
      <c r="AL342" s="200"/>
      <c r="AM342" s="210"/>
      <c r="AN342" s="210"/>
    </row>
    <row r="343" spans="1:40" x14ac:dyDescent="0.25">
      <c r="A343" s="202"/>
      <c r="C343" s="154"/>
      <c r="F343" s="200"/>
      <c r="H343" s="200"/>
      <c r="I343" s="200"/>
      <c r="J343" s="305"/>
      <c r="K343" s="305"/>
      <c r="L343" s="200"/>
      <c r="M343" s="200"/>
      <c r="N343" s="210"/>
      <c r="O343" s="210"/>
      <c r="P343" s="200"/>
      <c r="Q343" s="200"/>
      <c r="R343" s="200"/>
      <c r="T343" s="154"/>
      <c r="V343" s="252"/>
      <c r="W343" s="200"/>
      <c r="X343" s="200"/>
      <c r="Y343" s="252"/>
      <c r="Z343" s="305"/>
      <c r="AA343" s="200"/>
      <c r="AB343" s="200"/>
      <c r="AC343" s="210"/>
      <c r="AD343" s="210"/>
      <c r="AE343" s="200"/>
      <c r="AF343" s="200"/>
      <c r="AG343" s="209"/>
      <c r="AH343" s="201"/>
      <c r="AI343" s="200"/>
      <c r="AJ343" s="200"/>
      <c r="AK343" s="209"/>
      <c r="AL343" s="200"/>
      <c r="AM343" s="210"/>
      <c r="AN343" s="210"/>
    </row>
    <row r="344" spans="1:40" x14ac:dyDescent="0.25">
      <c r="A344" s="202"/>
      <c r="C344" s="154"/>
      <c r="F344" s="252"/>
      <c r="H344" s="252"/>
      <c r="I344" s="252"/>
      <c r="J344" s="329"/>
      <c r="K344" s="329"/>
      <c r="L344" s="200"/>
      <c r="M344" s="200"/>
      <c r="N344" s="210"/>
      <c r="O344" s="210"/>
      <c r="P344" s="200"/>
      <c r="Q344" s="200"/>
      <c r="R344" s="200"/>
      <c r="T344" s="154"/>
      <c r="V344" s="252"/>
      <c r="W344" s="200"/>
      <c r="X344" s="200"/>
      <c r="Y344" s="252"/>
      <c r="Z344" s="329"/>
      <c r="AA344" s="200"/>
      <c r="AB344" s="200"/>
      <c r="AC344" s="210"/>
      <c r="AD344" s="210"/>
      <c r="AE344" s="200"/>
      <c r="AF344" s="200"/>
      <c r="AG344" s="209"/>
      <c r="AH344" s="201"/>
      <c r="AI344" s="200"/>
      <c r="AJ344" s="200"/>
      <c r="AK344" s="209"/>
      <c r="AL344" s="200"/>
      <c r="AM344" s="210"/>
      <c r="AN344" s="210"/>
    </row>
    <row r="345" spans="1:40" x14ac:dyDescent="0.25">
      <c r="A345" s="202"/>
      <c r="C345" s="154"/>
      <c r="F345" s="252"/>
      <c r="H345" s="252"/>
      <c r="I345" s="252"/>
      <c r="J345" s="329"/>
      <c r="K345" s="329"/>
      <c r="L345" s="200"/>
      <c r="M345" s="200"/>
      <c r="N345" s="210"/>
      <c r="O345" s="210"/>
      <c r="P345" s="200"/>
      <c r="Q345" s="200"/>
      <c r="R345" s="200"/>
      <c r="T345" s="154"/>
      <c r="V345" s="252"/>
      <c r="W345" s="200"/>
      <c r="X345" s="200"/>
      <c r="Y345" s="252"/>
      <c r="Z345" s="329"/>
      <c r="AA345" s="200"/>
      <c r="AB345" s="200"/>
      <c r="AC345" s="210"/>
      <c r="AD345" s="210"/>
      <c r="AE345" s="200"/>
      <c r="AF345" s="200"/>
      <c r="AG345" s="209"/>
      <c r="AH345" s="201"/>
      <c r="AI345" s="200"/>
      <c r="AJ345" s="200"/>
      <c r="AK345" s="209"/>
      <c r="AL345" s="200"/>
      <c r="AM345" s="210"/>
      <c r="AN345" s="210"/>
    </row>
    <row r="346" spans="1:40" x14ac:dyDescent="0.25">
      <c r="A346" s="202"/>
      <c r="C346" s="154"/>
      <c r="F346" s="252"/>
      <c r="H346" s="252"/>
      <c r="I346" s="252"/>
      <c r="J346" s="329"/>
      <c r="K346" s="329"/>
      <c r="L346" s="200"/>
      <c r="M346" s="200"/>
      <c r="N346" s="210"/>
      <c r="O346" s="210"/>
      <c r="P346" s="200"/>
      <c r="Q346" s="200"/>
      <c r="R346" s="200"/>
      <c r="T346" s="154"/>
      <c r="V346" s="252"/>
      <c r="W346" s="200"/>
      <c r="X346" s="200"/>
      <c r="Y346" s="252"/>
      <c r="Z346" s="329"/>
      <c r="AA346" s="200"/>
      <c r="AB346" s="200"/>
      <c r="AC346" s="210"/>
      <c r="AD346" s="210"/>
      <c r="AE346" s="200"/>
      <c r="AF346" s="200"/>
      <c r="AG346" s="209"/>
      <c r="AH346" s="201"/>
      <c r="AI346" s="200"/>
      <c r="AJ346" s="200"/>
      <c r="AK346" s="209"/>
      <c r="AL346" s="200"/>
      <c r="AM346" s="210"/>
      <c r="AN346" s="210"/>
    </row>
    <row r="347" spans="1:40" x14ac:dyDescent="0.25">
      <c r="A347" s="202"/>
      <c r="C347" s="154"/>
      <c r="F347" s="200"/>
      <c r="H347" s="200"/>
      <c r="I347" s="200"/>
      <c r="J347" s="329"/>
      <c r="K347" s="329"/>
      <c r="L347" s="200"/>
      <c r="M347" s="200"/>
      <c r="N347" s="210"/>
      <c r="O347" s="210"/>
      <c r="P347" s="200"/>
      <c r="Q347" s="200"/>
      <c r="R347" s="200"/>
      <c r="T347" s="154"/>
      <c r="V347" s="252"/>
      <c r="W347" s="200"/>
      <c r="X347" s="200"/>
      <c r="Y347" s="252"/>
      <c r="Z347" s="329"/>
      <c r="AA347" s="200"/>
      <c r="AB347" s="200"/>
      <c r="AC347" s="210"/>
      <c r="AD347" s="210"/>
      <c r="AE347" s="200"/>
      <c r="AF347" s="200"/>
      <c r="AG347" s="209"/>
      <c r="AH347" s="201"/>
      <c r="AI347" s="200"/>
      <c r="AJ347" s="200"/>
      <c r="AK347" s="209"/>
      <c r="AL347" s="200"/>
      <c r="AM347" s="210"/>
      <c r="AN347" s="210"/>
    </row>
    <row r="348" spans="1:40" x14ac:dyDescent="0.25">
      <c r="A348" s="202"/>
      <c r="C348" s="154"/>
      <c r="F348" s="200"/>
      <c r="H348" s="200"/>
      <c r="I348" s="200"/>
      <c r="J348" s="329"/>
      <c r="K348" s="329"/>
      <c r="L348" s="200"/>
      <c r="M348" s="200"/>
      <c r="N348" s="210"/>
      <c r="O348" s="210"/>
      <c r="P348" s="200"/>
      <c r="Q348" s="200"/>
      <c r="R348" s="200"/>
      <c r="T348" s="154"/>
      <c r="V348" s="252"/>
      <c r="W348" s="200"/>
      <c r="X348" s="200"/>
      <c r="Y348" s="252"/>
      <c r="Z348" s="329"/>
      <c r="AA348" s="200"/>
      <c r="AB348" s="200"/>
      <c r="AC348" s="210"/>
      <c r="AD348" s="210"/>
      <c r="AE348" s="200"/>
      <c r="AF348" s="200"/>
      <c r="AG348" s="209"/>
      <c r="AH348" s="201"/>
      <c r="AI348" s="200"/>
      <c r="AJ348" s="200"/>
      <c r="AK348" s="209"/>
      <c r="AL348" s="200"/>
      <c r="AM348" s="210"/>
      <c r="AN348" s="210"/>
    </row>
    <row r="349" spans="1:40" x14ac:dyDescent="0.25">
      <c r="F349" s="331"/>
      <c r="H349" s="332"/>
      <c r="I349" s="332"/>
      <c r="J349" s="329"/>
      <c r="K349" s="329"/>
      <c r="L349" s="331"/>
      <c r="M349" s="331"/>
      <c r="N349" s="211"/>
      <c r="O349" s="211"/>
      <c r="P349" s="331"/>
      <c r="Q349" s="331"/>
      <c r="R349" s="331"/>
      <c r="V349" s="331"/>
      <c r="W349" s="200"/>
      <c r="X349" s="200"/>
      <c r="Y349" s="331"/>
      <c r="Z349" s="329"/>
      <c r="AA349" s="331"/>
      <c r="AB349" s="331"/>
      <c r="AC349" s="333"/>
      <c r="AD349" s="333"/>
      <c r="AE349" s="331"/>
      <c r="AF349" s="331"/>
      <c r="AG349" s="209"/>
      <c r="AH349" s="201"/>
      <c r="AI349" s="331"/>
      <c r="AJ349" s="331"/>
      <c r="AK349" s="208"/>
      <c r="AL349" s="331"/>
      <c r="AM349" s="210"/>
      <c r="AN349" s="210"/>
    </row>
    <row r="350" spans="1:40" x14ac:dyDescent="0.25">
      <c r="A350" s="202"/>
      <c r="C350" s="154"/>
      <c r="F350" s="200"/>
      <c r="H350" s="200"/>
      <c r="I350" s="200"/>
      <c r="J350" s="329"/>
      <c r="K350" s="329"/>
      <c r="L350" s="200"/>
      <c r="M350" s="200"/>
      <c r="N350" s="201"/>
      <c r="O350" s="201"/>
      <c r="P350" s="200"/>
      <c r="Q350" s="200"/>
      <c r="R350" s="200"/>
      <c r="T350" s="103"/>
      <c r="V350" s="200"/>
      <c r="W350" s="200"/>
      <c r="X350" s="200"/>
      <c r="Y350" s="200"/>
      <c r="Z350" s="329"/>
      <c r="AA350" s="200"/>
      <c r="AB350" s="200"/>
      <c r="AC350" s="201"/>
      <c r="AD350" s="201"/>
      <c r="AE350" s="200"/>
      <c r="AF350" s="200"/>
      <c r="AG350" s="209"/>
      <c r="AH350" s="201"/>
      <c r="AI350" s="200"/>
      <c r="AJ350" s="200"/>
      <c r="AK350" s="209"/>
      <c r="AL350" s="200"/>
      <c r="AM350" s="210"/>
      <c r="AN350" s="210"/>
    </row>
    <row r="351" spans="1:40" x14ac:dyDescent="0.25">
      <c r="F351" s="102"/>
      <c r="H351" s="102"/>
      <c r="I351" s="102"/>
      <c r="L351" s="102"/>
      <c r="M351" s="102"/>
      <c r="N351" s="333"/>
      <c r="O351" s="333"/>
      <c r="P351" s="331"/>
      <c r="Q351" s="331"/>
      <c r="R351" s="331"/>
      <c r="V351" s="331"/>
      <c r="Y351" s="331"/>
      <c r="Z351" s="305"/>
      <c r="AA351" s="331"/>
      <c r="AB351" s="331"/>
      <c r="AC351" s="331"/>
      <c r="AD351" s="331"/>
      <c r="AE351" s="331"/>
      <c r="AF351" s="331"/>
      <c r="AI351" s="331"/>
      <c r="AJ351" s="331"/>
      <c r="AK351" s="208"/>
      <c r="AL351" s="331"/>
      <c r="AM351" s="333"/>
      <c r="AN351" s="333"/>
    </row>
    <row r="352" spans="1:40" x14ac:dyDescent="0.25">
      <c r="AI352" s="202"/>
      <c r="AJ352" s="202"/>
    </row>
    <row r="356" spans="1:40" x14ac:dyDescent="0.25">
      <c r="N356" s="200"/>
      <c r="O356" s="200"/>
      <c r="P356" s="200"/>
      <c r="Q356" s="200"/>
      <c r="R356" s="200"/>
      <c r="V356" s="200"/>
      <c r="Y356" s="200"/>
      <c r="Z356" s="213"/>
      <c r="AA356" s="200"/>
      <c r="AB356" s="200"/>
      <c r="AC356" s="210"/>
      <c r="AD356" s="21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A357" s="202"/>
      <c r="C357" s="154"/>
      <c r="D357" s="154"/>
      <c r="E357" s="154"/>
      <c r="J357" s="334"/>
      <c r="K357" s="334"/>
      <c r="T357" s="154"/>
      <c r="U357" s="154"/>
      <c r="Z357" s="334"/>
      <c r="AE357" s="200"/>
      <c r="AF357" s="200"/>
      <c r="AI357" s="200"/>
      <c r="AJ357" s="200"/>
      <c r="AK357" s="209"/>
      <c r="AL357" s="200"/>
      <c r="AM357" s="210"/>
      <c r="AN357" s="210"/>
    </row>
    <row r="358" spans="1:40" x14ac:dyDescent="0.25">
      <c r="D358" s="154"/>
      <c r="E358" s="154"/>
      <c r="F358" s="200"/>
      <c r="H358" s="200"/>
      <c r="I358" s="200"/>
      <c r="J358" s="329"/>
      <c r="K358" s="329"/>
      <c r="L358" s="200"/>
      <c r="M358" s="200"/>
      <c r="N358" s="210"/>
      <c r="O358" s="210"/>
      <c r="P358" s="200"/>
      <c r="Q358" s="200"/>
      <c r="R358" s="200"/>
      <c r="U358" s="154"/>
      <c r="V358" s="200"/>
      <c r="Y358" s="200"/>
      <c r="Z358" s="329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F359" s="200"/>
      <c r="H359" s="200"/>
      <c r="I359" s="200"/>
      <c r="J359" s="305"/>
      <c r="K359" s="305"/>
      <c r="L359" s="200"/>
      <c r="M359" s="200"/>
      <c r="N359" s="200"/>
      <c r="O359" s="200"/>
      <c r="P359" s="200"/>
      <c r="Q359" s="200"/>
      <c r="R359" s="200"/>
      <c r="V359" s="200"/>
      <c r="Y359" s="200"/>
      <c r="Z359" s="305"/>
      <c r="AA359" s="200"/>
      <c r="AB359" s="200"/>
      <c r="AC359" s="200"/>
      <c r="AD359" s="200"/>
      <c r="AE359" s="200"/>
      <c r="AF359" s="200"/>
      <c r="AG359" s="209"/>
      <c r="AH359" s="201"/>
      <c r="AI359" s="252"/>
      <c r="AJ359" s="252"/>
      <c r="AK359" s="209"/>
      <c r="AL359" s="200"/>
      <c r="AM359" s="210"/>
      <c r="AN359" s="210"/>
    </row>
    <row r="360" spans="1:40" x14ac:dyDescent="0.25">
      <c r="A360" s="202"/>
      <c r="C360" s="154"/>
      <c r="F360" s="252"/>
      <c r="H360" s="252"/>
      <c r="I360" s="252"/>
      <c r="J360" s="304"/>
      <c r="K360" s="304"/>
      <c r="L360" s="200"/>
      <c r="M360" s="200"/>
      <c r="N360" s="210"/>
      <c r="O360" s="210"/>
      <c r="P360" s="200"/>
      <c r="Q360" s="200"/>
      <c r="R360" s="200"/>
      <c r="T360" s="154"/>
      <c r="V360" s="252"/>
      <c r="Y360" s="252"/>
      <c r="Z360" s="304"/>
      <c r="AA360" s="200"/>
      <c r="AB360" s="200"/>
      <c r="AC360" s="210"/>
      <c r="AD360" s="210"/>
      <c r="AE360" s="200"/>
      <c r="AF360" s="200"/>
      <c r="AG360" s="209"/>
      <c r="AH360" s="201"/>
      <c r="AI360" s="200"/>
      <c r="AJ360" s="200"/>
      <c r="AK360" s="209"/>
      <c r="AL360" s="200"/>
      <c r="AM360" s="210"/>
      <c r="AN360" s="210"/>
    </row>
    <row r="361" spans="1:40" x14ac:dyDescent="0.25">
      <c r="F361" s="102"/>
      <c r="H361" s="102"/>
      <c r="I361" s="102"/>
      <c r="L361" s="102"/>
      <c r="M361" s="102"/>
      <c r="N361" s="102"/>
      <c r="O361" s="102"/>
      <c r="P361" s="102"/>
      <c r="Q361" s="102"/>
      <c r="R361" s="102"/>
      <c r="V361" s="102"/>
      <c r="Y361" s="102"/>
      <c r="AA361" s="102"/>
      <c r="AB361" s="102"/>
      <c r="AC361" s="102"/>
      <c r="AD361" s="102"/>
      <c r="AE361" s="102"/>
      <c r="AF361" s="102"/>
      <c r="AG361" s="208"/>
      <c r="AH361" s="102"/>
      <c r="AI361" s="102"/>
      <c r="AJ361" s="102"/>
      <c r="AK361" s="208"/>
      <c r="AL361" s="102"/>
      <c r="AM361" s="102"/>
      <c r="AN361" s="102"/>
    </row>
    <row r="362" spans="1:40" x14ac:dyDescent="0.25">
      <c r="A362" s="202"/>
      <c r="C362" s="103"/>
      <c r="F362" s="252"/>
      <c r="H362" s="252"/>
      <c r="I362" s="252"/>
      <c r="J362" s="300"/>
      <c r="K362" s="300"/>
      <c r="L362" s="252"/>
      <c r="M362" s="252"/>
      <c r="N362" s="210"/>
      <c r="O362" s="210"/>
      <c r="P362" s="252"/>
      <c r="Q362" s="252"/>
      <c r="R362" s="252"/>
      <c r="T362" s="103"/>
      <c r="V362" s="200"/>
      <c r="Y362" s="200"/>
      <c r="Z362" s="213"/>
      <c r="AA362" s="200"/>
      <c r="AB362" s="200"/>
      <c r="AC362" s="210"/>
      <c r="AD362" s="210"/>
      <c r="AE362" s="202"/>
      <c r="AF362" s="202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F363" s="331"/>
      <c r="H363" s="331"/>
      <c r="I363" s="331"/>
      <c r="J363" s="305"/>
      <c r="K363" s="305"/>
      <c r="L363" s="331"/>
      <c r="M363" s="331"/>
      <c r="N363" s="331"/>
      <c r="O363" s="331"/>
      <c r="P363" s="331"/>
      <c r="Q363" s="331"/>
      <c r="R363" s="331"/>
      <c r="V363" s="102"/>
      <c r="Y363" s="102"/>
      <c r="AA363" s="102"/>
      <c r="AB363" s="102"/>
      <c r="AC363" s="102"/>
      <c r="AD363" s="102"/>
      <c r="AE363" s="102"/>
      <c r="AF363" s="102"/>
      <c r="AG363" s="208"/>
      <c r="AH363" s="102"/>
      <c r="AI363" s="102"/>
      <c r="AJ363" s="102"/>
      <c r="AK363" s="208"/>
      <c r="AL363" s="102"/>
      <c r="AM363" s="102"/>
      <c r="AN363" s="102"/>
    </row>
    <row r="364" spans="1:40" x14ac:dyDescent="0.25">
      <c r="F364" s="252"/>
      <c r="H364" s="252"/>
      <c r="I364" s="252"/>
      <c r="J364" s="328"/>
      <c r="K364" s="328"/>
      <c r="L364" s="200"/>
      <c r="M364" s="200"/>
      <c r="N364" s="210"/>
      <c r="O364" s="210"/>
      <c r="P364" s="200"/>
      <c r="Q364" s="200"/>
      <c r="R364" s="200"/>
    </row>
    <row r="365" spans="1:40" x14ac:dyDescent="0.25">
      <c r="A365" s="154"/>
      <c r="F365" s="252"/>
      <c r="H365" s="252"/>
      <c r="I365" s="252"/>
      <c r="J365" s="300"/>
      <c r="K365" s="300"/>
      <c r="L365" s="200"/>
      <c r="M365" s="200"/>
      <c r="N365" s="210"/>
      <c r="O365" s="210"/>
      <c r="P365" s="200"/>
      <c r="Q365" s="200"/>
      <c r="R365" s="200"/>
    </row>
    <row r="366" spans="1:40" x14ac:dyDescent="0.25">
      <c r="F366" s="252"/>
      <c r="H366" s="252"/>
      <c r="I366" s="252"/>
      <c r="J366" s="300"/>
      <c r="K366" s="300"/>
      <c r="L366" s="200"/>
      <c r="M366" s="200"/>
      <c r="N366" s="210"/>
      <c r="O366" s="210"/>
      <c r="P366" s="200"/>
      <c r="Q366" s="200"/>
      <c r="R366" s="200"/>
    </row>
    <row r="367" spans="1:40" x14ac:dyDescent="0.25">
      <c r="A367" s="154"/>
    </row>
    <row r="369" spans="1:40" x14ac:dyDescent="0.25">
      <c r="J369" s="202"/>
      <c r="K369" s="202"/>
      <c r="Z369" s="202"/>
    </row>
    <row r="370" spans="1:40" x14ac:dyDescent="0.25">
      <c r="H370" s="154"/>
      <c r="I370" s="154"/>
      <c r="Y370" s="154"/>
    </row>
    <row r="371" spans="1:40" x14ac:dyDescent="0.25">
      <c r="J371" s="202"/>
      <c r="K371" s="202"/>
      <c r="Z371" s="202"/>
    </row>
    <row r="372" spans="1:40" x14ac:dyDescent="0.25">
      <c r="L372" s="154"/>
      <c r="M372" s="154"/>
      <c r="AA372" s="154"/>
      <c r="AB372" s="154"/>
    </row>
    <row r="373" spans="1:40" x14ac:dyDescent="0.25">
      <c r="A373" s="202"/>
      <c r="R373" s="154"/>
      <c r="AK373" s="297"/>
      <c r="AL373" s="154"/>
    </row>
    <row r="374" spans="1:40" x14ac:dyDescent="0.25">
      <c r="A374" s="202"/>
      <c r="R374" s="154"/>
      <c r="AK374" s="297"/>
      <c r="AL374" s="154"/>
    </row>
    <row r="375" spans="1:40" x14ac:dyDescent="0.25">
      <c r="A375" s="154"/>
      <c r="R375" s="154"/>
      <c r="AK375" s="297"/>
      <c r="AL375" s="154"/>
    </row>
    <row r="376" spans="1:40" x14ac:dyDescent="0.25">
      <c r="L376" s="154"/>
      <c r="M376" s="154"/>
      <c r="R376" s="202"/>
      <c r="AA376" s="154"/>
      <c r="AB376" s="154"/>
      <c r="AK376" s="209"/>
      <c r="AL376" s="202"/>
    </row>
    <row r="377" spans="1:40" x14ac:dyDescent="0.25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208"/>
      <c r="AH377" s="102"/>
      <c r="AI377" s="102"/>
      <c r="AJ377" s="102"/>
      <c r="AK377" s="208"/>
      <c r="AL377" s="102"/>
      <c r="AM377" s="102"/>
      <c r="AN377" s="102"/>
    </row>
    <row r="378" spans="1:40" x14ac:dyDescent="0.25">
      <c r="L378" s="103"/>
      <c r="M378" s="103"/>
      <c r="N378" s="103"/>
      <c r="O378" s="103"/>
      <c r="R378" s="103"/>
      <c r="AA378" s="103"/>
      <c r="AB378" s="103"/>
      <c r="AC378" s="103"/>
      <c r="AD378" s="103"/>
      <c r="AE378" s="103"/>
      <c r="AF378" s="103"/>
      <c r="AG378" s="185"/>
      <c r="AH378" s="103"/>
      <c r="AK378" s="185"/>
      <c r="AL378" s="103"/>
      <c r="AM378" s="103"/>
      <c r="AN378" s="103"/>
    </row>
    <row r="379" spans="1:40" x14ac:dyDescent="0.25">
      <c r="L379" s="103"/>
      <c r="M379" s="103"/>
      <c r="N379" s="103"/>
      <c r="O379" s="103"/>
      <c r="R379" s="103"/>
      <c r="Z379" s="103"/>
      <c r="AA379" s="103"/>
      <c r="AB379" s="103"/>
      <c r="AC379" s="103"/>
      <c r="AD379" s="103"/>
      <c r="AE379" s="103"/>
      <c r="AF379" s="103"/>
      <c r="AG379" s="185"/>
      <c r="AH379" s="103"/>
      <c r="AK379" s="185"/>
      <c r="AL379" s="103"/>
      <c r="AM379" s="103"/>
      <c r="AN379" s="103"/>
    </row>
    <row r="380" spans="1:40" x14ac:dyDescent="0.25">
      <c r="A380" s="103"/>
      <c r="C380" s="103"/>
      <c r="D380" s="103"/>
      <c r="E380" s="103"/>
      <c r="F380" s="103"/>
      <c r="J380" s="103"/>
      <c r="K380" s="103"/>
      <c r="L380" s="103"/>
      <c r="M380" s="103"/>
      <c r="N380" s="103"/>
      <c r="O380" s="103"/>
      <c r="P380" s="103"/>
      <c r="Q380" s="103"/>
      <c r="R380" s="103"/>
      <c r="T380" s="103"/>
      <c r="U380" s="103"/>
      <c r="V380" s="103"/>
      <c r="Z380" s="103"/>
      <c r="AA380" s="103"/>
      <c r="AB380" s="103"/>
      <c r="AC380" s="103"/>
      <c r="AD380" s="103"/>
      <c r="AE380" s="103"/>
      <c r="AF380" s="103"/>
      <c r="AG380" s="185"/>
      <c r="AH380" s="103"/>
      <c r="AI380" s="103"/>
      <c r="AJ380" s="103"/>
      <c r="AK380" s="185"/>
      <c r="AL380" s="103"/>
      <c r="AM380" s="103"/>
      <c r="AN380" s="103"/>
    </row>
    <row r="381" spans="1:40" x14ac:dyDescent="0.25">
      <c r="A381" s="103"/>
      <c r="C381" s="103"/>
      <c r="D381" s="103"/>
      <c r="E381" s="103"/>
      <c r="F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T381" s="103"/>
      <c r="U381" s="103"/>
      <c r="V381" s="103"/>
      <c r="Y381" s="103"/>
      <c r="Z381" s="103"/>
      <c r="AA381" s="103"/>
      <c r="AB381" s="103"/>
      <c r="AC381" s="103"/>
      <c r="AD381" s="103"/>
      <c r="AE381" s="103"/>
      <c r="AF381" s="103"/>
      <c r="AG381" s="185"/>
      <c r="AH381" s="103"/>
      <c r="AI381" s="103"/>
      <c r="AJ381" s="103"/>
      <c r="AK381" s="185"/>
      <c r="AL381" s="103"/>
      <c r="AM381" s="103"/>
      <c r="AN381" s="103"/>
    </row>
    <row r="382" spans="1:40" x14ac:dyDescent="0.25">
      <c r="C382" s="103"/>
      <c r="D382" s="103"/>
      <c r="E382" s="103"/>
      <c r="F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T382" s="103"/>
      <c r="U382" s="103"/>
      <c r="V382" s="103"/>
      <c r="Y382" s="103"/>
      <c r="Z382" s="103"/>
      <c r="AA382" s="103"/>
      <c r="AB382" s="103"/>
      <c r="AC382" s="103"/>
      <c r="AD382" s="103"/>
      <c r="AE382" s="103"/>
      <c r="AF382" s="103"/>
      <c r="AG382" s="185"/>
      <c r="AH382" s="103"/>
      <c r="AI382" s="103"/>
      <c r="AJ382" s="103"/>
      <c r="AK382" s="185"/>
      <c r="AL382" s="103"/>
      <c r="AM382" s="103"/>
      <c r="AN382" s="103"/>
    </row>
    <row r="383" spans="1:40" x14ac:dyDescent="0.25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208"/>
      <c r="AH383" s="102"/>
      <c r="AI383" s="102"/>
      <c r="AJ383" s="102"/>
      <c r="AK383" s="208"/>
      <c r="AL383" s="102"/>
      <c r="AM383" s="102"/>
      <c r="AN383" s="102"/>
    </row>
    <row r="384" spans="1:40" x14ac:dyDescent="0.25"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Y384" s="103"/>
      <c r="Z384" s="103"/>
      <c r="AA384" s="103"/>
      <c r="AB384" s="103"/>
      <c r="AC384" s="103"/>
      <c r="AD384" s="103"/>
      <c r="AE384" s="103"/>
      <c r="AF384" s="103"/>
      <c r="AG384" s="185"/>
      <c r="AH384" s="103"/>
      <c r="AI384" s="103"/>
      <c r="AJ384" s="103"/>
      <c r="AK384" s="185"/>
      <c r="AL384" s="103"/>
      <c r="AM384" s="103"/>
      <c r="AN384" s="103"/>
    </row>
    <row r="385" spans="1:40" x14ac:dyDescent="0.25">
      <c r="A385" s="202"/>
      <c r="C385" s="154"/>
      <c r="D385" s="154"/>
      <c r="E385" s="154"/>
      <c r="T385" s="154"/>
      <c r="U385" s="154"/>
    </row>
    <row r="387" spans="1:40" x14ac:dyDescent="0.25">
      <c r="A387" s="202"/>
      <c r="C387" s="154"/>
      <c r="T387" s="154"/>
    </row>
    <row r="388" spans="1:40" x14ac:dyDescent="0.25">
      <c r="A388" s="202"/>
      <c r="C388" s="154"/>
      <c r="F388" s="252"/>
      <c r="H388" s="252"/>
      <c r="I388" s="252"/>
      <c r="J388" s="305"/>
      <c r="K388" s="305"/>
      <c r="L388" s="200"/>
      <c r="M388" s="200"/>
      <c r="N388" s="210"/>
      <c r="O388" s="210"/>
      <c r="P388" s="200"/>
      <c r="Q388" s="200"/>
      <c r="R388" s="200"/>
      <c r="T388" s="154"/>
      <c r="V388" s="252"/>
      <c r="Y388" s="252"/>
      <c r="Z388" s="305"/>
      <c r="AA388" s="200"/>
      <c r="AB388" s="200"/>
      <c r="AC388" s="210"/>
      <c r="AD388" s="210"/>
      <c r="AE388" s="200"/>
      <c r="AF388" s="200"/>
      <c r="AG388" s="209"/>
      <c r="AH388" s="201"/>
      <c r="AI388" s="200"/>
      <c r="AJ388" s="200"/>
      <c r="AK388" s="209"/>
      <c r="AL388" s="200"/>
      <c r="AM388" s="210"/>
      <c r="AN388" s="210"/>
    </row>
    <row r="389" spans="1:40" x14ac:dyDescent="0.25">
      <c r="A389" s="202"/>
      <c r="C389" s="154"/>
      <c r="T389" s="154"/>
    </row>
    <row r="390" spans="1:40" x14ac:dyDescent="0.25">
      <c r="A390" s="202"/>
      <c r="C390" s="154"/>
      <c r="F390" s="252"/>
      <c r="H390" s="252"/>
      <c r="I390" s="252"/>
      <c r="J390" s="329"/>
      <c r="K390" s="329"/>
      <c r="L390" s="200"/>
      <c r="M390" s="200"/>
      <c r="N390" s="210"/>
      <c r="O390" s="210"/>
      <c r="P390" s="200"/>
      <c r="Q390" s="200"/>
      <c r="R390" s="200"/>
      <c r="T390" s="154"/>
      <c r="V390" s="200"/>
      <c r="Y390" s="200"/>
      <c r="Z390" s="329"/>
      <c r="AA390" s="200"/>
      <c r="AB390" s="200"/>
      <c r="AC390" s="210"/>
      <c r="AD390" s="210"/>
      <c r="AE390" s="200"/>
      <c r="AF390" s="200"/>
      <c r="AG390" s="209"/>
      <c r="AH390" s="201"/>
      <c r="AI390" s="200"/>
      <c r="AJ390" s="200"/>
      <c r="AK390" s="209"/>
      <c r="AL390" s="200"/>
      <c r="AM390" s="210"/>
      <c r="AN390" s="210"/>
    </row>
    <row r="391" spans="1:40" x14ac:dyDescent="0.25">
      <c r="A391" s="202"/>
      <c r="C391" s="154"/>
      <c r="F391" s="252"/>
      <c r="H391" s="252"/>
      <c r="I391" s="252"/>
      <c r="J391" s="329"/>
      <c r="K391" s="329"/>
      <c r="L391" s="200"/>
      <c r="M391" s="200"/>
      <c r="N391" s="210"/>
      <c r="O391" s="210"/>
      <c r="P391" s="200"/>
      <c r="Q391" s="200"/>
      <c r="R391" s="200"/>
      <c r="T391" s="154"/>
      <c r="V391" s="200"/>
      <c r="Y391" s="200"/>
      <c r="Z391" s="329"/>
      <c r="AA391" s="200"/>
      <c r="AB391" s="200"/>
      <c r="AC391" s="210"/>
      <c r="AD391" s="210"/>
      <c r="AE391" s="200"/>
      <c r="AF391" s="200"/>
      <c r="AG391" s="209"/>
      <c r="AH391" s="201"/>
      <c r="AI391" s="200"/>
      <c r="AJ391" s="200"/>
      <c r="AK391" s="209"/>
      <c r="AL391" s="200"/>
      <c r="AM391" s="210"/>
      <c r="AN391" s="210"/>
    </row>
    <row r="392" spans="1:40" x14ac:dyDescent="0.25">
      <c r="A392" s="202"/>
      <c r="C392" s="154"/>
      <c r="F392" s="252"/>
      <c r="H392" s="252"/>
      <c r="I392" s="252"/>
      <c r="J392" s="329"/>
      <c r="K392" s="329"/>
      <c r="L392" s="200"/>
      <c r="M392" s="200"/>
      <c r="N392" s="210"/>
      <c r="O392" s="210"/>
      <c r="P392" s="200"/>
      <c r="Q392" s="200"/>
      <c r="R392" s="200"/>
      <c r="T392" s="154"/>
      <c r="V392" s="200"/>
      <c r="Y392" s="200"/>
      <c r="Z392" s="329"/>
      <c r="AA392" s="200"/>
      <c r="AB392" s="200"/>
      <c r="AC392" s="210"/>
      <c r="AD392" s="21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A393" s="202"/>
      <c r="C393" s="154"/>
      <c r="F393" s="252"/>
      <c r="H393" s="252"/>
      <c r="I393" s="252"/>
      <c r="J393" s="329"/>
      <c r="K393" s="329"/>
      <c r="L393" s="200"/>
      <c r="M393" s="200"/>
      <c r="N393" s="210"/>
      <c r="O393" s="210"/>
      <c r="P393" s="200"/>
      <c r="Q393" s="200"/>
      <c r="R393" s="200"/>
      <c r="T393" s="154"/>
      <c r="V393" s="200"/>
      <c r="Y393" s="200"/>
      <c r="Z393" s="329"/>
      <c r="AA393" s="200"/>
      <c r="AB393" s="200"/>
      <c r="AC393" s="210"/>
      <c r="AD393" s="210"/>
      <c r="AE393" s="200"/>
      <c r="AF393" s="200"/>
      <c r="AG393" s="209"/>
      <c r="AH393" s="201"/>
      <c r="AI393" s="200"/>
      <c r="AJ393" s="200"/>
      <c r="AK393" s="209"/>
      <c r="AL393" s="200"/>
      <c r="AM393" s="210"/>
      <c r="AN393" s="210"/>
    </row>
    <row r="394" spans="1:40" x14ac:dyDescent="0.25">
      <c r="A394" s="202"/>
      <c r="C394" s="154"/>
      <c r="J394" s="334"/>
      <c r="K394" s="334"/>
      <c r="T394" s="154"/>
      <c r="Z394" s="334"/>
    </row>
    <row r="395" spans="1:40" x14ac:dyDescent="0.25">
      <c r="A395" s="202"/>
      <c r="C395" s="154"/>
      <c r="F395" s="252"/>
      <c r="H395" s="252"/>
      <c r="I395" s="252"/>
      <c r="J395" s="329"/>
      <c r="K395" s="329"/>
      <c r="L395" s="200"/>
      <c r="M395" s="200"/>
      <c r="N395" s="210"/>
      <c r="O395" s="210"/>
      <c r="P395" s="200"/>
      <c r="Q395" s="200"/>
      <c r="R395" s="200"/>
      <c r="T395" s="154"/>
      <c r="V395" s="200"/>
      <c r="Y395" s="200"/>
      <c r="Z395" s="329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A396" s="202"/>
      <c r="C396" s="154"/>
      <c r="F396" s="252"/>
      <c r="H396" s="252"/>
      <c r="I396" s="252"/>
      <c r="J396" s="329"/>
      <c r="K396" s="329"/>
      <c r="L396" s="200"/>
      <c r="M396" s="200"/>
      <c r="N396" s="210"/>
      <c r="O396" s="210"/>
      <c r="P396" s="200"/>
      <c r="Q396" s="200"/>
      <c r="R396" s="200"/>
      <c r="T396" s="154"/>
      <c r="V396" s="200"/>
      <c r="Y396" s="200"/>
      <c r="Z396" s="329"/>
      <c r="AA396" s="200"/>
      <c r="AB396" s="200"/>
      <c r="AC396" s="210"/>
      <c r="AD396" s="210"/>
      <c r="AE396" s="200"/>
      <c r="AF396" s="200"/>
      <c r="AG396" s="209"/>
      <c r="AH396" s="201"/>
      <c r="AI396" s="200"/>
      <c r="AJ396" s="200"/>
      <c r="AK396" s="209"/>
      <c r="AL396" s="200"/>
      <c r="AM396" s="210"/>
      <c r="AN396" s="210"/>
    </row>
    <row r="397" spans="1:40" x14ac:dyDescent="0.25">
      <c r="A397" s="202"/>
      <c r="C397" s="154"/>
      <c r="F397" s="252"/>
      <c r="H397" s="252"/>
      <c r="I397" s="252"/>
      <c r="J397" s="329"/>
      <c r="K397" s="329"/>
      <c r="L397" s="200"/>
      <c r="M397" s="200"/>
      <c r="N397" s="210"/>
      <c r="O397" s="210"/>
      <c r="P397" s="200"/>
      <c r="Q397" s="200"/>
      <c r="R397" s="200"/>
      <c r="T397" s="154"/>
      <c r="V397" s="200"/>
      <c r="Y397" s="200"/>
      <c r="Z397" s="329"/>
      <c r="AA397" s="200"/>
      <c r="AB397" s="200"/>
      <c r="AC397" s="210"/>
      <c r="AD397" s="210"/>
      <c r="AE397" s="200"/>
      <c r="AF397" s="200"/>
      <c r="AG397" s="209"/>
      <c r="AH397" s="201"/>
      <c r="AI397" s="200"/>
      <c r="AJ397" s="200"/>
      <c r="AK397" s="209"/>
      <c r="AL397" s="200"/>
      <c r="AM397" s="210"/>
      <c r="AN397" s="210"/>
    </row>
    <row r="398" spans="1:40" x14ac:dyDescent="0.25">
      <c r="A398" s="202"/>
      <c r="C398" s="154"/>
      <c r="J398" s="334"/>
      <c r="K398" s="334"/>
      <c r="T398" s="154"/>
      <c r="Z398" s="334"/>
    </row>
    <row r="399" spans="1:40" x14ac:dyDescent="0.25">
      <c r="A399" s="202"/>
      <c r="C399" s="154"/>
      <c r="F399" s="252"/>
      <c r="H399" s="252"/>
      <c r="I399" s="252"/>
      <c r="J399" s="329"/>
      <c r="K399" s="329"/>
      <c r="L399" s="200"/>
      <c r="M399" s="200"/>
      <c r="N399" s="210"/>
      <c r="O399" s="210"/>
      <c r="P399" s="200"/>
      <c r="Q399" s="200"/>
      <c r="R399" s="200"/>
      <c r="T399" s="154"/>
      <c r="V399" s="200"/>
      <c r="Y399" s="200"/>
      <c r="Z399" s="329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A400" s="202"/>
      <c r="C400" s="154"/>
      <c r="F400" s="252"/>
      <c r="H400" s="252"/>
      <c r="I400" s="252"/>
      <c r="J400" s="329"/>
      <c r="K400" s="329"/>
      <c r="L400" s="200"/>
      <c r="M400" s="200"/>
      <c r="N400" s="210"/>
      <c r="O400" s="210"/>
      <c r="P400" s="200"/>
      <c r="Q400" s="200"/>
      <c r="R400" s="200"/>
      <c r="T400" s="154"/>
      <c r="V400" s="200"/>
      <c r="Y400" s="200"/>
      <c r="Z400" s="329"/>
      <c r="AA400" s="200"/>
      <c r="AB400" s="200"/>
      <c r="AC400" s="210"/>
      <c r="AD400" s="210"/>
      <c r="AE400" s="200"/>
      <c r="AF400" s="200"/>
      <c r="AG400" s="209"/>
      <c r="AH400" s="201"/>
      <c r="AI400" s="200"/>
      <c r="AJ400" s="200"/>
      <c r="AK400" s="209"/>
      <c r="AL400" s="200"/>
      <c r="AM400" s="210"/>
      <c r="AN400" s="210"/>
    </row>
    <row r="401" spans="1:40" x14ac:dyDescent="0.25">
      <c r="A401" s="202"/>
      <c r="C401" s="154"/>
      <c r="J401" s="334"/>
      <c r="K401" s="334"/>
      <c r="T401" s="154"/>
      <c r="Z401" s="334"/>
    </row>
    <row r="402" spans="1:40" x14ac:dyDescent="0.25">
      <c r="A402" s="202"/>
      <c r="C402" s="154"/>
      <c r="F402" s="252"/>
      <c r="H402" s="252"/>
      <c r="I402" s="252"/>
      <c r="J402" s="329"/>
      <c r="K402" s="329"/>
      <c r="L402" s="200"/>
      <c r="M402" s="200"/>
      <c r="N402" s="210"/>
      <c r="O402" s="210"/>
      <c r="P402" s="200"/>
      <c r="Q402" s="200"/>
      <c r="R402" s="200"/>
      <c r="T402" s="154"/>
      <c r="V402" s="200"/>
      <c r="Y402" s="200"/>
      <c r="Z402" s="329"/>
      <c r="AA402" s="200"/>
      <c r="AB402" s="200"/>
      <c r="AC402" s="210"/>
      <c r="AD402" s="210"/>
      <c r="AE402" s="200"/>
      <c r="AF402" s="200"/>
      <c r="AG402" s="209"/>
      <c r="AH402" s="201"/>
      <c r="AI402" s="200"/>
      <c r="AJ402" s="200"/>
      <c r="AK402" s="209"/>
      <c r="AL402" s="200"/>
      <c r="AM402" s="210"/>
      <c r="AN402" s="210"/>
    </row>
    <row r="403" spans="1:40" x14ac:dyDescent="0.25">
      <c r="A403" s="202"/>
      <c r="C403" s="154"/>
      <c r="F403" s="252"/>
      <c r="H403" s="252"/>
      <c r="I403" s="252"/>
      <c r="J403" s="329"/>
      <c r="K403" s="329"/>
      <c r="L403" s="200"/>
      <c r="M403" s="200"/>
      <c r="N403" s="210"/>
      <c r="O403" s="210"/>
      <c r="P403" s="200"/>
      <c r="Q403" s="200"/>
      <c r="R403" s="200"/>
      <c r="T403" s="154"/>
      <c r="V403" s="200"/>
      <c r="Y403" s="200"/>
      <c r="Z403" s="329"/>
      <c r="AA403" s="200"/>
      <c r="AB403" s="200"/>
      <c r="AC403" s="210"/>
      <c r="AD403" s="210"/>
      <c r="AE403" s="200"/>
      <c r="AF403" s="200"/>
      <c r="AG403" s="209"/>
      <c r="AH403" s="201"/>
      <c r="AI403" s="200"/>
      <c r="AJ403" s="200"/>
      <c r="AK403" s="209"/>
      <c r="AL403" s="200"/>
      <c r="AM403" s="210"/>
      <c r="AN403" s="210"/>
    </row>
    <row r="404" spans="1:40" x14ac:dyDescent="0.25">
      <c r="A404" s="202"/>
      <c r="C404" s="154"/>
      <c r="F404" s="252"/>
      <c r="H404" s="252"/>
      <c r="I404" s="252"/>
      <c r="J404" s="329"/>
      <c r="K404" s="329"/>
      <c r="L404" s="200"/>
      <c r="M404" s="200"/>
      <c r="N404" s="210"/>
      <c r="O404" s="210"/>
      <c r="P404" s="200"/>
      <c r="Q404" s="200"/>
      <c r="R404" s="200"/>
      <c r="T404" s="154"/>
      <c r="V404" s="200"/>
      <c r="Y404" s="200"/>
      <c r="Z404" s="329"/>
      <c r="AA404" s="200"/>
      <c r="AB404" s="200"/>
      <c r="AC404" s="210"/>
      <c r="AD404" s="210"/>
      <c r="AE404" s="200"/>
      <c r="AF404" s="200"/>
      <c r="AG404" s="209"/>
      <c r="AH404" s="201"/>
      <c r="AI404" s="200"/>
      <c r="AJ404" s="200"/>
      <c r="AK404" s="209"/>
      <c r="AL404" s="200"/>
      <c r="AM404" s="210"/>
      <c r="AN404" s="210"/>
    </row>
    <row r="405" spans="1:40" x14ac:dyDescent="0.25">
      <c r="F405" s="211"/>
      <c r="H405" s="211"/>
      <c r="I405" s="211"/>
      <c r="J405" s="329"/>
      <c r="K405" s="329"/>
      <c r="L405" s="211"/>
      <c r="M405" s="211"/>
      <c r="N405" s="211"/>
      <c r="O405" s="211"/>
      <c r="P405" s="211"/>
      <c r="Q405" s="211"/>
      <c r="R405" s="211"/>
      <c r="V405" s="211"/>
      <c r="Y405" s="211"/>
      <c r="Z405" s="329"/>
      <c r="AA405" s="211"/>
      <c r="AB405" s="211"/>
      <c r="AC405" s="211"/>
      <c r="AD405" s="211"/>
      <c r="AE405" s="211"/>
      <c r="AF405" s="211"/>
      <c r="AI405" s="211"/>
      <c r="AJ405" s="211"/>
      <c r="AK405" s="212"/>
      <c r="AL405" s="211"/>
    </row>
    <row r="406" spans="1:40" x14ac:dyDescent="0.25">
      <c r="A406" s="202"/>
      <c r="C406" s="103"/>
      <c r="F406" s="200"/>
      <c r="H406" s="200"/>
      <c r="I406" s="200"/>
      <c r="J406" s="334"/>
      <c r="K406" s="334"/>
      <c r="L406" s="200"/>
      <c r="M406" s="200"/>
      <c r="N406" s="201"/>
      <c r="O406" s="201"/>
      <c r="P406" s="200"/>
      <c r="Q406" s="200"/>
      <c r="R406" s="200"/>
      <c r="T406" s="103"/>
      <c r="V406" s="200"/>
      <c r="Y406" s="200"/>
      <c r="Z406" s="334"/>
      <c r="AA406" s="200"/>
      <c r="AB406" s="200"/>
      <c r="AC406" s="200"/>
      <c r="AD406" s="200"/>
      <c r="AE406" s="200"/>
      <c r="AF406" s="200"/>
      <c r="AG406" s="209"/>
      <c r="AH406" s="201"/>
      <c r="AI406" s="200"/>
      <c r="AJ406" s="200"/>
      <c r="AK406" s="209"/>
      <c r="AL406" s="200"/>
      <c r="AM406" s="210"/>
      <c r="AN406" s="210"/>
    </row>
    <row r="407" spans="1:40" x14ac:dyDescent="0.25">
      <c r="F407" s="211"/>
      <c r="H407" s="211"/>
      <c r="I407" s="211"/>
      <c r="J407" s="329"/>
      <c r="K407" s="329"/>
      <c r="L407" s="211"/>
      <c r="M407" s="211"/>
      <c r="N407" s="211"/>
      <c r="O407" s="211"/>
      <c r="P407" s="211"/>
      <c r="Q407" s="211"/>
      <c r="R407" s="211"/>
      <c r="V407" s="211"/>
      <c r="Y407" s="211"/>
      <c r="Z407" s="329"/>
      <c r="AA407" s="211"/>
      <c r="AB407" s="211"/>
      <c r="AC407" s="211"/>
      <c r="AD407" s="211"/>
      <c r="AE407" s="211"/>
      <c r="AF407" s="211"/>
      <c r="AI407" s="211"/>
      <c r="AJ407" s="211"/>
      <c r="AK407" s="212"/>
      <c r="AL407" s="211"/>
    </row>
    <row r="408" spans="1:40" x14ac:dyDescent="0.25">
      <c r="A408" s="202"/>
      <c r="C408" s="154"/>
      <c r="J408" s="334"/>
      <c r="K408" s="334"/>
      <c r="T408" s="154"/>
      <c r="Z408" s="334"/>
    </row>
    <row r="409" spans="1:40" x14ac:dyDescent="0.25">
      <c r="A409" s="202"/>
      <c r="C409" s="154"/>
      <c r="J409" s="334"/>
      <c r="K409" s="334"/>
      <c r="T409" s="154"/>
      <c r="Z409" s="334"/>
    </row>
    <row r="410" spans="1:40" x14ac:dyDescent="0.25">
      <c r="A410" s="202"/>
      <c r="C410" s="154"/>
      <c r="F410" s="252"/>
      <c r="H410" s="252"/>
      <c r="I410" s="252"/>
      <c r="J410" s="329"/>
      <c r="K410" s="329"/>
      <c r="L410" s="200"/>
      <c r="M410" s="200"/>
      <c r="N410" s="210"/>
      <c r="O410" s="210"/>
      <c r="P410" s="200"/>
      <c r="Q410" s="200"/>
      <c r="R410" s="200"/>
      <c r="T410" s="154"/>
      <c r="V410" s="200"/>
      <c r="Y410" s="200"/>
      <c r="Z410" s="329"/>
      <c r="AA410" s="200"/>
      <c r="AB410" s="200"/>
      <c r="AC410" s="210"/>
      <c r="AD410" s="210"/>
      <c r="AE410" s="200"/>
      <c r="AF410" s="200"/>
      <c r="AG410" s="209"/>
      <c r="AH410" s="201"/>
      <c r="AI410" s="200"/>
      <c r="AJ410" s="200"/>
      <c r="AK410" s="209"/>
      <c r="AL410" s="200"/>
      <c r="AM410" s="210"/>
      <c r="AN410" s="210"/>
    </row>
    <row r="411" spans="1:40" x14ac:dyDescent="0.25">
      <c r="A411" s="202"/>
      <c r="C411" s="154"/>
      <c r="F411" s="252"/>
      <c r="H411" s="252"/>
      <c r="I411" s="252"/>
      <c r="J411" s="329"/>
      <c r="K411" s="329"/>
      <c r="L411" s="200"/>
      <c r="M411" s="200"/>
      <c r="N411" s="210"/>
      <c r="O411" s="210"/>
      <c r="P411" s="200"/>
      <c r="Q411" s="200"/>
      <c r="R411" s="200"/>
      <c r="T411" s="154"/>
      <c r="V411" s="200"/>
      <c r="Y411" s="200"/>
      <c r="Z411" s="329"/>
      <c r="AA411" s="200"/>
      <c r="AB411" s="200"/>
      <c r="AC411" s="210"/>
      <c r="AD411" s="210"/>
      <c r="AE411" s="200"/>
      <c r="AF411" s="200"/>
      <c r="AG411" s="209"/>
      <c r="AH411" s="201"/>
      <c r="AI411" s="200"/>
      <c r="AJ411" s="200"/>
      <c r="AK411" s="209"/>
      <c r="AL411" s="200"/>
      <c r="AM411" s="210"/>
      <c r="AN411" s="210"/>
    </row>
    <row r="412" spans="1:40" x14ac:dyDescent="0.25">
      <c r="A412" s="202"/>
      <c r="C412" s="154"/>
      <c r="F412" s="252"/>
      <c r="H412" s="252"/>
      <c r="I412" s="252"/>
      <c r="J412" s="329"/>
      <c r="K412" s="329"/>
      <c r="L412" s="200"/>
      <c r="M412" s="200"/>
      <c r="N412" s="210"/>
      <c r="O412" s="210"/>
      <c r="P412" s="200"/>
      <c r="Q412" s="200"/>
      <c r="R412" s="200"/>
      <c r="T412" s="154"/>
      <c r="V412" s="200"/>
      <c r="Y412" s="200"/>
      <c r="Z412" s="329"/>
      <c r="AA412" s="200"/>
      <c r="AB412" s="200"/>
      <c r="AC412" s="210"/>
      <c r="AD412" s="210"/>
      <c r="AE412" s="200"/>
      <c r="AF412" s="200"/>
      <c r="AG412" s="209"/>
      <c r="AH412" s="201"/>
      <c r="AI412" s="200"/>
      <c r="AJ412" s="200"/>
      <c r="AK412" s="209"/>
      <c r="AL412" s="200"/>
      <c r="AM412" s="210"/>
      <c r="AN412" s="210"/>
    </row>
    <row r="413" spans="1:40" x14ac:dyDescent="0.25">
      <c r="A413" s="202"/>
      <c r="C413" s="154"/>
      <c r="F413" s="252"/>
      <c r="H413" s="252"/>
      <c r="I413" s="252"/>
      <c r="J413" s="329"/>
      <c r="K413" s="329"/>
      <c r="L413" s="200"/>
      <c r="M413" s="200"/>
      <c r="N413" s="210"/>
      <c r="O413" s="210"/>
      <c r="P413" s="200"/>
      <c r="Q413" s="200"/>
      <c r="R413" s="200"/>
      <c r="T413" s="154"/>
      <c r="V413" s="200"/>
      <c r="Y413" s="200"/>
      <c r="Z413" s="329"/>
      <c r="AA413" s="200"/>
      <c r="AB413" s="200"/>
      <c r="AC413" s="210"/>
      <c r="AD413" s="210"/>
      <c r="AE413" s="200"/>
      <c r="AF413" s="200"/>
      <c r="AG413" s="209"/>
      <c r="AH413" s="201"/>
      <c r="AI413" s="200"/>
      <c r="AJ413" s="200"/>
      <c r="AK413" s="209"/>
      <c r="AL413" s="200"/>
      <c r="AM413" s="210"/>
      <c r="AN413" s="210"/>
    </row>
    <row r="414" spans="1:40" x14ac:dyDescent="0.25">
      <c r="A414" s="202"/>
      <c r="C414" s="154"/>
      <c r="F414" s="252"/>
      <c r="H414" s="252"/>
      <c r="I414" s="252"/>
      <c r="J414" s="329"/>
      <c r="K414" s="329"/>
      <c r="L414" s="200"/>
      <c r="M414" s="200"/>
      <c r="N414" s="210"/>
      <c r="O414" s="210"/>
      <c r="P414" s="200"/>
      <c r="Q414" s="200"/>
      <c r="R414" s="200"/>
      <c r="T414" s="154"/>
      <c r="V414" s="200"/>
      <c r="Y414" s="200"/>
      <c r="Z414" s="329"/>
      <c r="AA414" s="200"/>
      <c r="AB414" s="200"/>
      <c r="AC414" s="210"/>
      <c r="AD414" s="210"/>
      <c r="AE414" s="200"/>
      <c r="AF414" s="200"/>
      <c r="AG414" s="209"/>
      <c r="AH414" s="201"/>
      <c r="AI414" s="200"/>
      <c r="AJ414" s="200"/>
      <c r="AK414" s="209"/>
      <c r="AL414" s="200"/>
      <c r="AM414" s="210"/>
      <c r="AN414" s="210"/>
    </row>
    <row r="415" spans="1:40" x14ac:dyDescent="0.25">
      <c r="A415" s="202"/>
      <c r="C415" s="154"/>
      <c r="F415" s="252"/>
      <c r="H415" s="252"/>
      <c r="I415" s="252"/>
      <c r="J415" s="329"/>
      <c r="K415" s="329"/>
      <c r="L415" s="200"/>
      <c r="M415" s="200"/>
      <c r="N415" s="210"/>
      <c r="O415" s="210"/>
      <c r="P415" s="200"/>
      <c r="Q415" s="200"/>
      <c r="R415" s="200"/>
      <c r="T415" s="154"/>
      <c r="V415" s="200"/>
      <c r="Y415" s="200"/>
      <c r="Z415" s="329"/>
      <c r="AA415" s="200"/>
      <c r="AB415" s="200"/>
      <c r="AC415" s="210"/>
      <c r="AD415" s="210"/>
      <c r="AE415" s="200"/>
      <c r="AF415" s="200"/>
      <c r="AG415" s="209"/>
      <c r="AH415" s="201"/>
      <c r="AI415" s="200"/>
      <c r="AJ415" s="200"/>
      <c r="AK415" s="209"/>
      <c r="AL415" s="200"/>
      <c r="AM415" s="210"/>
      <c r="AN415" s="210"/>
    </row>
    <row r="416" spans="1:40" x14ac:dyDescent="0.25">
      <c r="A416" s="202"/>
      <c r="C416" s="154"/>
      <c r="F416" s="252"/>
      <c r="H416" s="252"/>
      <c r="I416" s="252"/>
      <c r="J416" s="329"/>
      <c r="K416" s="329"/>
      <c r="L416" s="200"/>
      <c r="M416" s="200"/>
      <c r="N416" s="210"/>
      <c r="O416" s="210"/>
      <c r="P416" s="200"/>
      <c r="Q416" s="200"/>
      <c r="R416" s="200"/>
      <c r="T416" s="154"/>
      <c r="V416" s="200"/>
      <c r="Y416" s="200"/>
      <c r="Z416" s="329"/>
      <c r="AA416" s="200"/>
      <c r="AB416" s="200"/>
      <c r="AC416" s="210"/>
      <c r="AD416" s="210"/>
      <c r="AE416" s="200"/>
      <c r="AF416" s="200"/>
      <c r="AG416" s="209"/>
      <c r="AH416" s="201"/>
      <c r="AI416" s="200"/>
      <c r="AJ416" s="200"/>
      <c r="AK416" s="209"/>
      <c r="AL416" s="200"/>
      <c r="AM416" s="210"/>
      <c r="AN416" s="210"/>
    </row>
    <row r="417" spans="1:40" x14ac:dyDescent="0.25">
      <c r="A417" s="202"/>
      <c r="C417" s="154"/>
      <c r="J417" s="334"/>
      <c r="K417" s="334"/>
      <c r="T417" s="154"/>
      <c r="Z417" s="334"/>
    </row>
    <row r="418" spans="1:40" x14ac:dyDescent="0.25">
      <c r="A418" s="202"/>
      <c r="C418" s="154"/>
      <c r="F418" s="252"/>
      <c r="H418" s="252"/>
      <c r="I418" s="252"/>
      <c r="J418" s="329"/>
      <c r="K418" s="329"/>
      <c r="L418" s="200"/>
      <c r="M418" s="200"/>
      <c r="N418" s="210"/>
      <c r="O418" s="210"/>
      <c r="P418" s="200"/>
      <c r="Q418" s="200"/>
      <c r="R418" s="200"/>
      <c r="T418" s="154"/>
      <c r="V418" s="200"/>
      <c r="Y418" s="200"/>
      <c r="Z418" s="329"/>
      <c r="AA418" s="200"/>
      <c r="AB418" s="200"/>
      <c r="AC418" s="210"/>
      <c r="AD418" s="210"/>
      <c r="AE418" s="200"/>
      <c r="AF418" s="200"/>
      <c r="AG418" s="209"/>
      <c r="AH418" s="201"/>
      <c r="AI418" s="200"/>
      <c r="AJ418" s="200"/>
      <c r="AK418" s="209"/>
      <c r="AL418" s="200"/>
      <c r="AM418" s="210"/>
      <c r="AN418" s="210"/>
    </row>
    <row r="419" spans="1:40" x14ac:dyDescent="0.25">
      <c r="A419" s="202"/>
      <c r="C419" s="154"/>
      <c r="F419" s="252"/>
      <c r="H419" s="252"/>
      <c r="I419" s="252"/>
      <c r="J419" s="329"/>
      <c r="K419" s="329"/>
      <c r="L419" s="200"/>
      <c r="M419" s="200"/>
      <c r="N419" s="210"/>
      <c r="O419" s="210"/>
      <c r="P419" s="200"/>
      <c r="Q419" s="200"/>
      <c r="R419" s="200"/>
      <c r="T419" s="154"/>
      <c r="V419" s="200"/>
      <c r="Y419" s="200"/>
      <c r="Z419" s="329"/>
      <c r="AA419" s="200"/>
      <c r="AB419" s="200"/>
      <c r="AC419" s="210"/>
      <c r="AD419" s="210"/>
      <c r="AE419" s="200"/>
      <c r="AF419" s="200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A420" s="202"/>
      <c r="C420" s="154"/>
      <c r="F420" s="252"/>
      <c r="H420" s="252"/>
      <c r="I420" s="252"/>
      <c r="J420" s="329"/>
      <c r="K420" s="329"/>
      <c r="L420" s="200"/>
      <c r="M420" s="200"/>
      <c r="N420" s="210"/>
      <c r="O420" s="210"/>
      <c r="P420" s="200"/>
      <c r="Q420" s="200"/>
      <c r="R420" s="200"/>
      <c r="T420" s="154"/>
      <c r="V420" s="200"/>
      <c r="Y420" s="200"/>
      <c r="Z420" s="329"/>
      <c r="AA420" s="200"/>
      <c r="AB420" s="200"/>
      <c r="AC420" s="210"/>
      <c r="AD420" s="210"/>
      <c r="AE420" s="200"/>
      <c r="AF420" s="200"/>
      <c r="AG420" s="209"/>
      <c r="AH420" s="201"/>
      <c r="AI420" s="200"/>
      <c r="AJ420" s="200"/>
      <c r="AK420" s="209"/>
      <c r="AL420" s="200"/>
      <c r="AM420" s="210"/>
      <c r="AN420" s="210"/>
    </row>
    <row r="421" spans="1:40" x14ac:dyDescent="0.25">
      <c r="A421" s="202"/>
      <c r="C421" s="154"/>
      <c r="F421" s="252"/>
      <c r="H421" s="252"/>
      <c r="I421" s="252"/>
      <c r="J421" s="329"/>
      <c r="K421" s="329"/>
      <c r="L421" s="200"/>
      <c r="M421" s="200"/>
      <c r="N421" s="210"/>
      <c r="O421" s="210"/>
      <c r="P421" s="200"/>
      <c r="Q421" s="200"/>
      <c r="R421" s="200"/>
      <c r="T421" s="154"/>
      <c r="V421" s="200"/>
      <c r="Y421" s="200"/>
      <c r="Z421" s="329"/>
      <c r="AA421" s="200"/>
      <c r="AB421" s="200"/>
      <c r="AC421" s="210"/>
      <c r="AD421" s="210"/>
      <c r="AE421" s="200"/>
      <c r="AF421" s="200"/>
      <c r="AG421" s="209"/>
      <c r="AH421" s="201"/>
      <c r="AI421" s="200"/>
      <c r="AJ421" s="200"/>
      <c r="AK421" s="209"/>
      <c r="AL421" s="200"/>
      <c r="AM421" s="210"/>
      <c r="AN421" s="210"/>
    </row>
    <row r="422" spans="1:40" x14ac:dyDescent="0.25">
      <c r="A422" s="202"/>
      <c r="C422" s="154"/>
      <c r="J422" s="334"/>
      <c r="K422" s="334"/>
      <c r="T422" s="154"/>
      <c r="Z422" s="334"/>
    </row>
    <row r="423" spans="1:40" x14ac:dyDescent="0.25">
      <c r="A423" s="202"/>
      <c r="C423" s="154"/>
      <c r="F423" s="252"/>
      <c r="H423" s="252"/>
      <c r="I423" s="252"/>
      <c r="J423" s="329"/>
      <c r="K423" s="329"/>
      <c r="L423" s="200"/>
      <c r="M423" s="200"/>
      <c r="N423" s="210"/>
      <c r="O423" s="210"/>
      <c r="P423" s="200"/>
      <c r="Q423" s="200"/>
      <c r="R423" s="200"/>
      <c r="T423" s="154"/>
      <c r="V423" s="200"/>
      <c r="Y423" s="200"/>
      <c r="Z423" s="329"/>
      <c r="AA423" s="200"/>
      <c r="AB423" s="200"/>
      <c r="AC423" s="210"/>
      <c r="AD423" s="210"/>
      <c r="AE423" s="200"/>
      <c r="AF423" s="200"/>
      <c r="AG423" s="209"/>
      <c r="AH423" s="201"/>
      <c r="AI423" s="200"/>
      <c r="AJ423" s="200"/>
      <c r="AK423" s="209"/>
      <c r="AL423" s="200"/>
      <c r="AM423" s="210"/>
      <c r="AN423" s="210"/>
    </row>
    <row r="424" spans="1:40" x14ac:dyDescent="0.25">
      <c r="A424" s="202"/>
      <c r="C424" s="154"/>
      <c r="F424" s="252"/>
      <c r="H424" s="252"/>
      <c r="I424" s="252"/>
      <c r="J424" s="329"/>
      <c r="K424" s="329"/>
      <c r="L424" s="200"/>
      <c r="M424" s="200"/>
      <c r="N424" s="210"/>
      <c r="O424" s="210"/>
      <c r="P424" s="200"/>
      <c r="Q424" s="200"/>
      <c r="R424" s="200"/>
      <c r="T424" s="154"/>
      <c r="V424" s="200"/>
      <c r="Y424" s="200"/>
      <c r="Z424" s="329"/>
      <c r="AA424" s="200"/>
      <c r="AB424" s="200"/>
      <c r="AC424" s="210"/>
      <c r="AD424" s="210"/>
      <c r="AE424" s="200"/>
      <c r="AF424" s="200"/>
      <c r="AG424" s="209"/>
      <c r="AH424" s="201"/>
      <c r="AI424" s="200"/>
      <c r="AJ424" s="200"/>
      <c r="AK424" s="209"/>
      <c r="AL424" s="200"/>
      <c r="AM424" s="210"/>
      <c r="AN424" s="210"/>
    </row>
    <row r="425" spans="1:40" x14ac:dyDescent="0.25">
      <c r="A425" s="202"/>
      <c r="C425" s="154"/>
      <c r="F425" s="252"/>
      <c r="H425" s="252"/>
      <c r="I425" s="252"/>
      <c r="J425" s="329"/>
      <c r="K425" s="329"/>
      <c r="L425" s="200"/>
      <c r="M425" s="200"/>
      <c r="N425" s="210"/>
      <c r="O425" s="210"/>
      <c r="P425" s="200"/>
      <c r="Q425" s="200"/>
      <c r="R425" s="200"/>
      <c r="T425" s="154"/>
      <c r="V425" s="200"/>
      <c r="Y425" s="200"/>
      <c r="Z425" s="329"/>
      <c r="AA425" s="200"/>
      <c r="AB425" s="200"/>
      <c r="AC425" s="210"/>
      <c r="AD425" s="210"/>
      <c r="AE425" s="200"/>
      <c r="AF425" s="200"/>
      <c r="AG425" s="209"/>
      <c r="AH425" s="201"/>
      <c r="AI425" s="200"/>
      <c r="AJ425" s="200"/>
      <c r="AK425" s="209"/>
      <c r="AL425" s="200"/>
      <c r="AM425" s="210"/>
      <c r="AN425" s="210"/>
    </row>
    <row r="426" spans="1:40" x14ac:dyDescent="0.25">
      <c r="A426" s="202"/>
      <c r="C426" s="154"/>
      <c r="F426" s="252"/>
      <c r="H426" s="252"/>
      <c r="I426" s="252"/>
      <c r="J426" s="329"/>
      <c r="K426" s="329"/>
      <c r="L426" s="200"/>
      <c r="M426" s="200"/>
      <c r="N426" s="210"/>
      <c r="O426" s="210"/>
      <c r="P426" s="200"/>
      <c r="Q426" s="200"/>
      <c r="R426" s="200"/>
      <c r="T426" s="154"/>
      <c r="V426" s="200"/>
      <c r="Y426" s="200"/>
      <c r="Z426" s="329"/>
      <c r="AA426" s="200"/>
      <c r="AB426" s="200"/>
      <c r="AC426" s="210"/>
      <c r="AD426" s="210"/>
      <c r="AE426" s="200"/>
      <c r="AF426" s="200"/>
      <c r="AG426" s="209"/>
      <c r="AH426" s="201"/>
      <c r="AI426" s="200"/>
      <c r="AJ426" s="200"/>
      <c r="AK426" s="209"/>
      <c r="AL426" s="200"/>
      <c r="AM426" s="210"/>
      <c r="AN426" s="210"/>
    </row>
    <row r="427" spans="1:40" x14ac:dyDescent="0.25">
      <c r="A427" s="202"/>
      <c r="C427" s="154"/>
      <c r="F427" s="252"/>
      <c r="H427" s="252"/>
      <c r="I427" s="252"/>
      <c r="J427" s="329"/>
      <c r="K427" s="329"/>
      <c r="L427" s="200"/>
      <c r="M427" s="200"/>
      <c r="N427" s="210"/>
      <c r="O427" s="210"/>
      <c r="P427" s="200"/>
      <c r="Q427" s="200"/>
      <c r="R427" s="200"/>
      <c r="T427" s="154"/>
      <c r="V427" s="200"/>
      <c r="Y427" s="200"/>
      <c r="Z427" s="329"/>
      <c r="AA427" s="200"/>
      <c r="AB427" s="200"/>
      <c r="AC427" s="210"/>
      <c r="AD427" s="210"/>
      <c r="AE427" s="200"/>
      <c r="AF427" s="200"/>
      <c r="AG427" s="209"/>
      <c r="AH427" s="201"/>
      <c r="AI427" s="200"/>
      <c r="AJ427" s="200"/>
      <c r="AK427" s="209"/>
      <c r="AL427" s="200"/>
      <c r="AM427" s="210"/>
      <c r="AN427" s="210"/>
    </row>
    <row r="428" spans="1:40" x14ac:dyDescent="0.25">
      <c r="F428" s="211"/>
      <c r="H428" s="211"/>
      <c r="I428" s="211"/>
      <c r="J428" s="305"/>
      <c r="K428" s="305"/>
      <c r="L428" s="211"/>
      <c r="M428" s="211"/>
      <c r="N428" s="211"/>
      <c r="O428" s="211"/>
      <c r="P428" s="211"/>
      <c r="Q428" s="211"/>
      <c r="R428" s="211"/>
      <c r="V428" s="211"/>
      <c r="Y428" s="211"/>
      <c r="Z428" s="329"/>
      <c r="AA428" s="211"/>
      <c r="AB428" s="211"/>
      <c r="AC428" s="211"/>
      <c r="AD428" s="211"/>
      <c r="AE428" s="211"/>
      <c r="AF428" s="211"/>
      <c r="AI428" s="211"/>
      <c r="AJ428" s="211"/>
      <c r="AK428" s="212"/>
      <c r="AL428" s="211"/>
    </row>
    <row r="429" spans="1:40" x14ac:dyDescent="0.25">
      <c r="A429" s="202"/>
      <c r="C429" s="154"/>
      <c r="F429" s="200"/>
      <c r="H429" s="200"/>
      <c r="I429" s="200"/>
      <c r="L429" s="200"/>
      <c r="M429" s="200"/>
      <c r="N429" s="201"/>
      <c r="O429" s="201"/>
      <c r="P429" s="200"/>
      <c r="Q429" s="200"/>
      <c r="R429" s="200"/>
      <c r="T429" s="154"/>
      <c r="V429" s="200"/>
      <c r="Y429" s="200"/>
      <c r="AA429" s="200"/>
      <c r="AB429" s="200"/>
      <c r="AC429" s="210"/>
      <c r="AD429" s="210"/>
      <c r="AE429" s="200"/>
      <c r="AF429" s="200"/>
      <c r="AG429" s="209"/>
      <c r="AH429" s="201"/>
      <c r="AI429" s="200"/>
      <c r="AJ429" s="200"/>
      <c r="AK429" s="209"/>
      <c r="AL429" s="200"/>
      <c r="AM429" s="210"/>
      <c r="AN429" s="210"/>
    </row>
    <row r="430" spans="1:40" x14ac:dyDescent="0.25">
      <c r="F430" s="211"/>
      <c r="H430" s="211"/>
      <c r="I430" s="211"/>
      <c r="J430" s="305"/>
      <c r="K430" s="305"/>
      <c r="L430" s="211"/>
      <c r="M430" s="211"/>
      <c r="N430" s="211"/>
      <c r="O430" s="211"/>
      <c r="P430" s="211"/>
      <c r="Q430" s="211"/>
      <c r="R430" s="211"/>
      <c r="V430" s="211"/>
      <c r="Y430" s="211"/>
      <c r="Z430" s="305"/>
      <c r="AA430" s="211"/>
      <c r="AB430" s="211"/>
      <c r="AC430" s="211"/>
      <c r="AD430" s="211"/>
      <c r="AE430" s="211"/>
      <c r="AF430" s="211"/>
      <c r="AI430" s="211"/>
      <c r="AJ430" s="211"/>
      <c r="AK430" s="212"/>
      <c r="AL430" s="211"/>
    </row>
    <row r="431" spans="1:40" x14ac:dyDescent="0.25">
      <c r="A431" s="202"/>
      <c r="C431" s="154"/>
      <c r="T431" s="154"/>
    </row>
    <row r="432" spans="1:40" x14ac:dyDescent="0.25">
      <c r="A432" s="202"/>
      <c r="C432" s="154"/>
      <c r="F432" s="252"/>
      <c r="H432" s="252"/>
      <c r="I432" s="252"/>
      <c r="J432" s="300"/>
      <c r="K432" s="300"/>
      <c r="L432" s="200"/>
      <c r="M432" s="200"/>
      <c r="N432" s="210"/>
      <c r="O432" s="210"/>
      <c r="P432" s="200"/>
      <c r="Q432" s="200"/>
      <c r="R432" s="200"/>
      <c r="T432" s="154"/>
      <c r="V432" s="200"/>
      <c r="Y432" s="200"/>
      <c r="Z432" s="300"/>
      <c r="AA432" s="200"/>
      <c r="AB432" s="200"/>
      <c r="AC432" s="210"/>
      <c r="AD432" s="210"/>
      <c r="AE432" s="200"/>
      <c r="AF432" s="200"/>
      <c r="AG432" s="209"/>
      <c r="AH432" s="201"/>
      <c r="AI432" s="200"/>
      <c r="AJ432" s="200"/>
      <c r="AK432" s="209"/>
      <c r="AL432" s="200"/>
      <c r="AM432" s="210"/>
      <c r="AN432" s="210"/>
    </row>
    <row r="433" spans="1:40" x14ac:dyDescent="0.25">
      <c r="A433" s="202"/>
      <c r="C433" s="154"/>
      <c r="F433" s="252"/>
      <c r="H433" s="252"/>
      <c r="I433" s="252"/>
      <c r="J433" s="300"/>
      <c r="K433" s="300"/>
      <c r="L433" s="200"/>
      <c r="M433" s="200"/>
      <c r="N433" s="210"/>
      <c r="O433" s="210"/>
      <c r="P433" s="200"/>
      <c r="Q433" s="200"/>
      <c r="R433" s="200"/>
      <c r="T433" s="154"/>
      <c r="V433" s="200"/>
      <c r="Y433" s="200"/>
      <c r="Z433" s="300"/>
      <c r="AA433" s="200"/>
      <c r="AB433" s="200"/>
      <c r="AC433" s="210"/>
      <c r="AD433" s="210"/>
      <c r="AE433" s="200"/>
      <c r="AF433" s="200"/>
      <c r="AG433" s="209"/>
      <c r="AH433" s="201"/>
      <c r="AI433" s="200"/>
      <c r="AJ433" s="200"/>
      <c r="AK433" s="209"/>
      <c r="AL433" s="200"/>
      <c r="AM433" s="210"/>
      <c r="AN433" s="210"/>
    </row>
    <row r="434" spans="1:40" x14ac:dyDescent="0.25">
      <c r="F434" s="211"/>
      <c r="H434" s="200"/>
      <c r="I434" s="200"/>
      <c r="J434" s="305"/>
      <c r="K434" s="305"/>
      <c r="L434" s="211"/>
      <c r="M434" s="211"/>
      <c r="N434" s="211"/>
      <c r="O434" s="211"/>
      <c r="P434" s="211"/>
      <c r="Q434" s="211"/>
      <c r="R434" s="211"/>
      <c r="V434" s="211"/>
      <c r="Y434" s="200"/>
      <c r="Z434" s="305"/>
      <c r="AA434" s="211"/>
      <c r="AB434" s="211"/>
      <c r="AC434" s="211"/>
      <c r="AD434" s="211"/>
      <c r="AE434" s="211"/>
      <c r="AF434" s="211"/>
      <c r="AI434" s="211"/>
      <c r="AJ434" s="211"/>
      <c r="AK434" s="212"/>
      <c r="AL434" s="211"/>
    </row>
    <row r="435" spans="1:40" x14ac:dyDescent="0.25">
      <c r="F435" s="200"/>
      <c r="H435" s="200"/>
      <c r="I435" s="200"/>
      <c r="J435" s="305"/>
      <c r="K435" s="305"/>
      <c r="L435" s="200"/>
      <c r="M435" s="200"/>
      <c r="N435" s="200"/>
      <c r="O435" s="200"/>
      <c r="P435" s="200"/>
      <c r="Q435" s="200"/>
      <c r="R435" s="200"/>
      <c r="V435" s="200"/>
      <c r="Y435" s="200"/>
      <c r="Z435" s="305"/>
      <c r="AA435" s="200"/>
      <c r="AB435" s="200"/>
      <c r="AC435" s="200"/>
      <c r="AD435" s="200"/>
      <c r="AE435" s="200"/>
      <c r="AF435" s="200"/>
      <c r="AI435" s="200"/>
      <c r="AJ435" s="200"/>
      <c r="AK435" s="209"/>
      <c r="AL435" s="200"/>
    </row>
    <row r="436" spans="1:40" x14ac:dyDescent="0.25">
      <c r="A436" s="202"/>
      <c r="C436" s="154"/>
      <c r="F436" s="200"/>
      <c r="H436" s="200"/>
      <c r="I436" s="200"/>
      <c r="L436" s="200"/>
      <c r="M436" s="200"/>
      <c r="N436" s="210"/>
      <c r="O436" s="210"/>
      <c r="P436" s="200"/>
      <c r="Q436" s="200"/>
      <c r="R436" s="200"/>
      <c r="T436" s="154"/>
      <c r="V436" s="200"/>
      <c r="Y436" s="200"/>
      <c r="AA436" s="200"/>
      <c r="AB436" s="200"/>
      <c r="AC436" s="210"/>
      <c r="AD436" s="210"/>
      <c r="AE436" s="200"/>
      <c r="AF436" s="200"/>
      <c r="AG436" s="209"/>
      <c r="AH436" s="201"/>
      <c r="AI436" s="252"/>
      <c r="AJ436" s="252"/>
      <c r="AK436" s="209"/>
      <c r="AL436" s="200"/>
      <c r="AM436" s="210"/>
      <c r="AN436" s="210"/>
    </row>
    <row r="437" spans="1:40" x14ac:dyDescent="0.25">
      <c r="H437" s="211"/>
      <c r="I437" s="211"/>
      <c r="J437" s="305"/>
      <c r="K437" s="305"/>
      <c r="L437" s="211"/>
      <c r="M437" s="211"/>
      <c r="N437" s="211"/>
      <c r="O437" s="211"/>
      <c r="P437" s="211"/>
      <c r="Q437" s="211"/>
      <c r="R437" s="211"/>
      <c r="V437" s="211"/>
      <c r="Y437" s="211"/>
      <c r="Z437" s="305"/>
      <c r="AA437" s="211"/>
      <c r="AB437" s="211"/>
      <c r="AC437" s="211"/>
      <c r="AD437" s="211"/>
      <c r="AE437" s="211"/>
      <c r="AF437" s="211"/>
      <c r="AI437" s="211"/>
      <c r="AJ437" s="211"/>
      <c r="AK437" s="212"/>
      <c r="AL437" s="211"/>
    </row>
    <row r="438" spans="1:40" x14ac:dyDescent="0.25">
      <c r="F438" s="211"/>
    </row>
    <row r="439" spans="1:40" x14ac:dyDescent="0.25">
      <c r="A439" s="154"/>
      <c r="T439" s="154"/>
    </row>
    <row r="440" spans="1:40" x14ac:dyDescent="0.25">
      <c r="A440" s="154"/>
      <c r="T440" s="154"/>
    </row>
    <row r="441" spans="1:40" x14ac:dyDescent="0.25">
      <c r="A441" s="154"/>
      <c r="T441" s="154"/>
    </row>
    <row r="442" spans="1:40" x14ac:dyDescent="0.25">
      <c r="A442" s="154"/>
      <c r="T442" s="154"/>
    </row>
    <row r="443" spans="1:40" x14ac:dyDescent="0.25">
      <c r="A443" s="154"/>
      <c r="T443" s="154"/>
    </row>
    <row r="444" spans="1:40" x14ac:dyDescent="0.25">
      <c r="A444" s="154"/>
      <c r="T444" s="154"/>
    </row>
    <row r="445" spans="1:40" x14ac:dyDescent="0.25">
      <c r="A445" s="154"/>
      <c r="T445" s="154"/>
    </row>
    <row r="446" spans="1:40" x14ac:dyDescent="0.25">
      <c r="A446" s="154"/>
      <c r="T446" s="154"/>
    </row>
    <row r="447" spans="1:40" x14ac:dyDescent="0.25">
      <c r="A447" s="154"/>
      <c r="T447" s="154"/>
    </row>
    <row r="449" spans="1:40" x14ac:dyDescent="0.25">
      <c r="A449" s="154"/>
    </row>
    <row r="450" spans="1:40" x14ac:dyDescent="0.25">
      <c r="J450" s="202"/>
      <c r="K450" s="202"/>
      <c r="Z450" s="202"/>
    </row>
    <row r="451" spans="1:40" x14ac:dyDescent="0.25">
      <c r="H451" s="154"/>
      <c r="I451" s="154"/>
      <c r="Y451" s="154"/>
    </row>
    <row r="452" spans="1:40" x14ac:dyDescent="0.25">
      <c r="J452" s="202"/>
      <c r="K452" s="202"/>
      <c r="Z452" s="202"/>
    </row>
    <row r="453" spans="1:40" x14ac:dyDescent="0.25">
      <c r="L453" s="154"/>
      <c r="M453" s="154"/>
      <c r="AA453" s="154"/>
      <c r="AB453" s="154"/>
    </row>
    <row r="454" spans="1:40" x14ac:dyDescent="0.25">
      <c r="A454" s="202"/>
      <c r="R454" s="154"/>
      <c r="AK454" s="297"/>
      <c r="AL454" s="154"/>
    </row>
    <row r="455" spans="1:40" x14ac:dyDescent="0.25">
      <c r="A455" s="202"/>
      <c r="R455" s="154"/>
      <c r="AK455" s="297"/>
      <c r="AL455" s="154"/>
    </row>
    <row r="456" spans="1:40" x14ac:dyDescent="0.25">
      <c r="A456" s="154"/>
      <c r="R456" s="154"/>
      <c r="AK456" s="297"/>
      <c r="AL456" s="154"/>
    </row>
    <row r="457" spans="1:40" x14ac:dyDescent="0.25">
      <c r="L457" s="154"/>
      <c r="M457" s="154"/>
      <c r="R457" s="202"/>
      <c r="AA457" s="154"/>
      <c r="AB457" s="154"/>
      <c r="AK457" s="209"/>
      <c r="AL457" s="202"/>
    </row>
    <row r="458" spans="1:40" x14ac:dyDescent="0.2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208"/>
      <c r="AH458" s="102"/>
      <c r="AI458" s="102"/>
      <c r="AJ458" s="102"/>
      <c r="AK458" s="208"/>
      <c r="AL458" s="102"/>
      <c r="AM458" s="102"/>
      <c r="AN458" s="102"/>
    </row>
    <row r="459" spans="1:40" x14ac:dyDescent="0.25">
      <c r="L459" s="103"/>
      <c r="M459" s="103"/>
      <c r="N459" s="103"/>
      <c r="O459" s="103"/>
      <c r="R459" s="103"/>
      <c r="AA459" s="103"/>
      <c r="AB459" s="103"/>
      <c r="AC459" s="103"/>
      <c r="AD459" s="103"/>
      <c r="AE459" s="103"/>
      <c r="AF459" s="103"/>
      <c r="AG459" s="185"/>
      <c r="AH459" s="103"/>
      <c r="AK459" s="185"/>
      <c r="AL459" s="103"/>
      <c r="AM459" s="103"/>
      <c r="AN459" s="103"/>
    </row>
    <row r="460" spans="1:40" x14ac:dyDescent="0.25">
      <c r="L460" s="103"/>
      <c r="M460" s="103"/>
      <c r="N460" s="103"/>
      <c r="O460" s="103"/>
      <c r="R460" s="103"/>
      <c r="Z460" s="103"/>
      <c r="AA460" s="103"/>
      <c r="AB460" s="103"/>
      <c r="AC460" s="103"/>
      <c r="AD460" s="103"/>
      <c r="AE460" s="103"/>
      <c r="AF460" s="103"/>
      <c r="AG460" s="185"/>
      <c r="AH460" s="103"/>
      <c r="AK460" s="185"/>
      <c r="AL460" s="103"/>
      <c r="AM460" s="103"/>
      <c r="AN460" s="103"/>
    </row>
    <row r="461" spans="1:40" x14ac:dyDescent="0.25">
      <c r="A461" s="103"/>
      <c r="C461" s="103"/>
      <c r="D461" s="103"/>
      <c r="E461" s="103"/>
      <c r="F461" s="103"/>
      <c r="J461" s="103"/>
      <c r="K461" s="103"/>
      <c r="L461" s="103"/>
      <c r="M461" s="103"/>
      <c r="N461" s="103"/>
      <c r="O461" s="103"/>
      <c r="P461" s="103"/>
      <c r="Q461" s="103"/>
      <c r="R461" s="103"/>
      <c r="T461" s="103"/>
      <c r="U461" s="103"/>
      <c r="V461" s="103"/>
      <c r="Z461" s="103"/>
      <c r="AA461" s="103"/>
      <c r="AB461" s="103"/>
      <c r="AC461" s="103"/>
      <c r="AD461" s="103"/>
      <c r="AE461" s="103"/>
      <c r="AF461" s="103"/>
      <c r="AG461" s="185"/>
      <c r="AH461" s="103"/>
      <c r="AI461" s="103"/>
      <c r="AJ461" s="103"/>
      <c r="AK461" s="185"/>
      <c r="AL461" s="103"/>
      <c r="AM461" s="103"/>
      <c r="AN461" s="103"/>
    </row>
    <row r="462" spans="1:40" x14ac:dyDescent="0.25">
      <c r="A462" s="103"/>
      <c r="C462" s="103"/>
      <c r="D462" s="103"/>
      <c r="E462" s="103"/>
      <c r="F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T462" s="103"/>
      <c r="U462" s="103"/>
      <c r="V462" s="103"/>
      <c r="Y462" s="103"/>
      <c r="Z462" s="103"/>
      <c r="AA462" s="103"/>
      <c r="AB462" s="103"/>
      <c r="AC462" s="103"/>
      <c r="AD462" s="103"/>
      <c r="AE462" s="103"/>
      <c r="AF462" s="103"/>
      <c r="AG462" s="185"/>
      <c r="AH462" s="103"/>
      <c r="AI462" s="103"/>
      <c r="AJ462" s="103"/>
      <c r="AK462" s="185"/>
      <c r="AL462" s="103"/>
      <c r="AM462" s="103"/>
      <c r="AN462" s="103"/>
    </row>
    <row r="463" spans="1:40" x14ac:dyDescent="0.25">
      <c r="C463" s="103"/>
      <c r="D463" s="103"/>
      <c r="E463" s="103"/>
      <c r="F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T463" s="103"/>
      <c r="U463" s="103"/>
      <c r="V463" s="103"/>
      <c r="Y463" s="103"/>
      <c r="Z463" s="103"/>
      <c r="AA463" s="103"/>
      <c r="AB463" s="103"/>
      <c r="AC463" s="103"/>
      <c r="AD463" s="103"/>
      <c r="AE463" s="103"/>
      <c r="AF463" s="103"/>
      <c r="AG463" s="185"/>
      <c r="AH463" s="103"/>
      <c r="AI463" s="103"/>
      <c r="AJ463" s="103"/>
      <c r="AK463" s="185"/>
      <c r="AL463" s="103"/>
      <c r="AM463" s="103"/>
      <c r="AN463" s="103"/>
    </row>
    <row r="464" spans="1:40" x14ac:dyDescent="0.2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208"/>
      <c r="AH464" s="102"/>
      <c r="AI464" s="102"/>
      <c r="AJ464" s="102"/>
      <c r="AK464" s="208"/>
      <c r="AL464" s="102"/>
      <c r="AM464" s="102"/>
      <c r="AN464" s="102"/>
    </row>
    <row r="465" spans="1:40" x14ac:dyDescent="0.25"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Y465" s="103"/>
      <c r="Z465" s="103"/>
      <c r="AA465" s="103"/>
      <c r="AB465" s="103"/>
      <c r="AC465" s="103"/>
      <c r="AD465" s="103"/>
      <c r="AE465" s="103"/>
      <c r="AF465" s="103"/>
      <c r="AG465" s="185"/>
      <c r="AH465" s="103"/>
      <c r="AI465" s="103"/>
      <c r="AJ465" s="103"/>
      <c r="AK465" s="185"/>
      <c r="AL465" s="103"/>
      <c r="AM465" s="103"/>
      <c r="AN465" s="103"/>
    </row>
    <row r="466" spans="1:40" x14ac:dyDescent="0.25">
      <c r="A466" s="202"/>
      <c r="C466" s="154"/>
      <c r="D466" s="154"/>
      <c r="E466" s="154"/>
      <c r="T466" s="154"/>
      <c r="U466" s="154"/>
    </row>
    <row r="467" spans="1:40" x14ac:dyDescent="0.25">
      <c r="A467" s="202"/>
      <c r="D467" s="154"/>
      <c r="E467" s="154"/>
      <c r="U467" s="154"/>
    </row>
    <row r="469" spans="1:40" x14ac:dyDescent="0.25">
      <c r="A469" s="202"/>
      <c r="C469" s="154"/>
      <c r="F469" s="200"/>
      <c r="J469" s="215"/>
      <c r="K469" s="215"/>
      <c r="L469" s="200"/>
      <c r="M469" s="200"/>
      <c r="R469" s="200"/>
      <c r="T469" s="154"/>
      <c r="V469" s="200"/>
      <c r="Z469" s="215"/>
      <c r="AA469" s="200"/>
      <c r="AB469" s="200"/>
      <c r="AG469" s="209"/>
      <c r="AH469" s="200"/>
      <c r="AK469" s="209"/>
      <c r="AL469" s="200"/>
    </row>
    <row r="470" spans="1:40" x14ac:dyDescent="0.25">
      <c r="A470" s="202"/>
      <c r="C470" s="154"/>
      <c r="F470" s="200"/>
      <c r="R470" s="200"/>
      <c r="T470" s="154"/>
      <c r="V470" s="200"/>
      <c r="AG470" s="209"/>
      <c r="AH470" s="200"/>
      <c r="AK470" s="209"/>
      <c r="AL470" s="200"/>
    </row>
    <row r="471" spans="1:40" x14ac:dyDescent="0.25">
      <c r="AI471" s="200"/>
      <c r="AJ471" s="200"/>
      <c r="AK471" s="209"/>
      <c r="AL471" s="200"/>
      <c r="AM471" s="210"/>
      <c r="AN471" s="210"/>
    </row>
    <row r="472" spans="1:40" x14ac:dyDescent="0.25">
      <c r="A472" s="202"/>
      <c r="C472" s="154"/>
      <c r="F472" s="252"/>
      <c r="H472" s="252"/>
      <c r="I472" s="252"/>
      <c r="J472" s="328"/>
      <c r="K472" s="328"/>
      <c r="L472" s="200"/>
      <c r="M472" s="200"/>
      <c r="N472" s="210"/>
      <c r="O472" s="210"/>
      <c r="P472" s="200"/>
      <c r="Q472" s="200"/>
      <c r="R472" s="200"/>
      <c r="T472" s="154"/>
      <c r="V472" s="200"/>
      <c r="Y472" s="200"/>
      <c r="Z472" s="328"/>
      <c r="AA472" s="200"/>
      <c r="AB472" s="200"/>
      <c r="AC472" s="210"/>
      <c r="AD472" s="210"/>
      <c r="AE472" s="200"/>
      <c r="AF472" s="200"/>
      <c r="AG472" s="209"/>
      <c r="AH472" s="201"/>
      <c r="AI472" s="200"/>
      <c r="AJ472" s="200"/>
      <c r="AK472" s="209"/>
      <c r="AL472" s="200"/>
      <c r="AM472" s="210"/>
      <c r="AN472" s="210"/>
    </row>
    <row r="473" spans="1:40" x14ac:dyDescent="0.25">
      <c r="F473" s="200"/>
      <c r="H473" s="200"/>
      <c r="I473" s="200"/>
      <c r="J473" s="213"/>
      <c r="K473" s="213"/>
      <c r="L473" s="200"/>
      <c r="M473" s="200"/>
      <c r="P473" s="200"/>
      <c r="Q473" s="200"/>
      <c r="R473" s="200"/>
      <c r="V473" s="200"/>
      <c r="Y473" s="200"/>
      <c r="Z473" s="213"/>
      <c r="AA473" s="200"/>
      <c r="AB473" s="200"/>
      <c r="AI473" s="200"/>
      <c r="AJ473" s="200"/>
      <c r="AK473" s="209"/>
      <c r="AL473" s="200"/>
      <c r="AM473" s="210"/>
      <c r="AN473" s="210"/>
    </row>
    <row r="474" spans="1:40" x14ac:dyDescent="0.25">
      <c r="F474" s="200"/>
      <c r="R474" s="200"/>
      <c r="V474" s="200"/>
      <c r="AK474" s="209"/>
      <c r="AL474" s="200"/>
      <c r="AM474" s="210"/>
      <c r="AN474" s="210"/>
    </row>
    <row r="475" spans="1:40" x14ac:dyDescent="0.25">
      <c r="A475" s="202"/>
      <c r="C475" s="154"/>
      <c r="F475" s="200"/>
      <c r="J475" s="215"/>
      <c r="K475" s="215"/>
      <c r="L475" s="200"/>
      <c r="M475" s="200"/>
      <c r="N475" s="210"/>
      <c r="O475" s="210"/>
      <c r="R475" s="200"/>
      <c r="T475" s="154"/>
      <c r="V475" s="200"/>
      <c r="Z475" s="215"/>
      <c r="AA475" s="200"/>
      <c r="AB475" s="200"/>
      <c r="AC475" s="210"/>
      <c r="AD475" s="210"/>
      <c r="AK475" s="209"/>
      <c r="AL475" s="200"/>
      <c r="AM475" s="210"/>
      <c r="AN475" s="210"/>
    </row>
    <row r="476" spans="1:40" x14ac:dyDescent="0.25">
      <c r="A476" s="202"/>
      <c r="C476" s="154"/>
      <c r="F476" s="200"/>
      <c r="H476" s="200"/>
      <c r="I476" s="200"/>
      <c r="J476" s="215"/>
      <c r="K476" s="215"/>
      <c r="L476" s="200"/>
      <c r="M476" s="200"/>
      <c r="N476" s="210"/>
      <c r="O476" s="210"/>
      <c r="P476" s="200"/>
      <c r="Q476" s="200"/>
      <c r="R476" s="200"/>
      <c r="T476" s="154"/>
      <c r="V476" s="200"/>
      <c r="Y476" s="200"/>
      <c r="Z476" s="215"/>
      <c r="AA476" s="200"/>
      <c r="AB476" s="200"/>
      <c r="AC476" s="210"/>
      <c r="AD476" s="210"/>
      <c r="AI476" s="200"/>
      <c r="AJ476" s="200"/>
      <c r="AK476" s="209"/>
      <c r="AL476" s="200"/>
      <c r="AM476" s="210"/>
      <c r="AN476" s="210"/>
    </row>
    <row r="477" spans="1:40" x14ac:dyDescent="0.25">
      <c r="A477" s="202"/>
      <c r="C477" s="154"/>
      <c r="T477" s="154"/>
      <c r="AM477" s="210"/>
      <c r="AN477" s="210"/>
    </row>
    <row r="478" spans="1:40" x14ac:dyDescent="0.25">
      <c r="A478" s="202"/>
      <c r="C478" s="154"/>
      <c r="T478" s="154"/>
      <c r="AM478" s="210"/>
      <c r="AN478" s="210"/>
    </row>
    <row r="479" spans="1:40" x14ac:dyDescent="0.25">
      <c r="AM479" s="210"/>
      <c r="AN479" s="210"/>
    </row>
    <row r="480" spans="1:40" x14ac:dyDescent="0.25">
      <c r="A480" s="202"/>
      <c r="C480" s="154"/>
      <c r="F480" s="252"/>
      <c r="H480" s="252"/>
      <c r="I480" s="252"/>
      <c r="J480" s="328"/>
      <c r="K480" s="328"/>
      <c r="L480" s="200"/>
      <c r="M480" s="200"/>
      <c r="N480" s="210"/>
      <c r="O480" s="210"/>
      <c r="P480" s="200"/>
      <c r="Q480" s="200"/>
      <c r="R480" s="200"/>
      <c r="T480" s="154"/>
      <c r="V480" s="200"/>
      <c r="Y480" s="200"/>
      <c r="Z480" s="328"/>
      <c r="AA480" s="200"/>
      <c r="AB480" s="200"/>
      <c r="AC480" s="210"/>
      <c r="AD480" s="210"/>
      <c r="AE480" s="200"/>
      <c r="AF480" s="200"/>
      <c r="AG480" s="209"/>
      <c r="AH480" s="201"/>
      <c r="AI480" s="200"/>
      <c r="AJ480" s="200"/>
      <c r="AK480" s="209"/>
      <c r="AL480" s="200"/>
      <c r="AM480" s="210"/>
      <c r="AN480" s="210"/>
    </row>
    <row r="481" spans="1:40" x14ac:dyDescent="0.25">
      <c r="F481" s="211"/>
      <c r="H481" s="211"/>
      <c r="I481" s="211"/>
      <c r="J481" s="305"/>
      <c r="K481" s="305"/>
      <c r="L481" s="211"/>
      <c r="M481" s="211"/>
      <c r="N481" s="211"/>
      <c r="O481" s="211"/>
      <c r="P481" s="211"/>
      <c r="Q481" s="211"/>
      <c r="R481" s="211"/>
      <c r="V481" s="211"/>
      <c r="Y481" s="211"/>
      <c r="Z481" s="305"/>
      <c r="AA481" s="211"/>
      <c r="AB481" s="211"/>
      <c r="AC481" s="211"/>
      <c r="AD481" s="211"/>
      <c r="AE481" s="211"/>
      <c r="AF481" s="211"/>
      <c r="AI481" s="211"/>
      <c r="AJ481" s="211"/>
      <c r="AK481" s="212"/>
      <c r="AL481" s="211"/>
      <c r="AM481" s="210"/>
      <c r="AN481" s="210"/>
    </row>
    <row r="482" spans="1:40" x14ac:dyDescent="0.25">
      <c r="H482" s="200"/>
      <c r="I482" s="200"/>
      <c r="Y482" s="200"/>
      <c r="AM482" s="210"/>
      <c r="AN482" s="210"/>
    </row>
    <row r="483" spans="1:40" x14ac:dyDescent="0.25">
      <c r="A483" s="202"/>
      <c r="C483" s="154"/>
      <c r="F483" s="200"/>
      <c r="H483" s="200"/>
      <c r="I483" s="200"/>
      <c r="L483" s="200"/>
      <c r="M483" s="200"/>
      <c r="N483" s="210"/>
      <c r="O483" s="210"/>
      <c r="P483" s="252"/>
      <c r="Q483" s="252"/>
      <c r="R483" s="200"/>
      <c r="T483" s="154"/>
      <c r="V483" s="200"/>
      <c r="Y483" s="200"/>
      <c r="AA483" s="200"/>
      <c r="AB483" s="200"/>
      <c r="AC483" s="210"/>
      <c r="AD483" s="210"/>
      <c r="AE483" s="200"/>
      <c r="AF483" s="200"/>
      <c r="AG483" s="209"/>
      <c r="AH483" s="201"/>
      <c r="AI483" s="252"/>
      <c r="AJ483" s="252"/>
      <c r="AK483" s="209"/>
      <c r="AL483" s="200"/>
      <c r="AM483" s="210"/>
      <c r="AN483" s="210"/>
    </row>
    <row r="484" spans="1:40" x14ac:dyDescent="0.25">
      <c r="H484" s="211"/>
      <c r="I484" s="211"/>
      <c r="J484" s="305"/>
      <c r="K484" s="305"/>
      <c r="L484" s="211"/>
      <c r="M484" s="211"/>
      <c r="N484" s="211"/>
      <c r="O484" s="211"/>
      <c r="P484" s="211"/>
      <c r="Q484" s="211"/>
      <c r="R484" s="211"/>
      <c r="V484" s="211"/>
      <c r="Y484" s="211"/>
      <c r="Z484" s="305"/>
      <c r="AA484" s="211"/>
      <c r="AB484" s="211"/>
      <c r="AC484" s="211"/>
      <c r="AD484" s="211"/>
      <c r="AE484" s="211"/>
      <c r="AF484" s="211"/>
      <c r="AI484" s="211"/>
      <c r="AJ484" s="211"/>
      <c r="AK484" s="212"/>
      <c r="AL484" s="211"/>
      <c r="AM484" s="210"/>
      <c r="AN484" s="210"/>
    </row>
    <row r="485" spans="1:40" x14ac:dyDescent="0.25">
      <c r="F485" s="211"/>
    </row>
    <row r="486" spans="1:40" x14ac:dyDescent="0.25">
      <c r="F486" s="200"/>
      <c r="H486" s="200"/>
      <c r="I486" s="200"/>
      <c r="J486" s="213"/>
      <c r="K486" s="213"/>
      <c r="L486" s="200"/>
      <c r="M486" s="200"/>
      <c r="N486" s="200"/>
      <c r="O486" s="200"/>
      <c r="P486" s="200"/>
      <c r="Q486" s="200"/>
      <c r="R486" s="200"/>
      <c r="V486" s="200"/>
      <c r="Y486" s="200"/>
      <c r="Z486" s="213"/>
      <c r="AA486" s="200"/>
      <c r="AB486" s="200"/>
      <c r="AC486" s="200"/>
      <c r="AD486" s="200"/>
      <c r="AE486" s="200"/>
      <c r="AF486" s="200"/>
      <c r="AG486" s="209"/>
      <c r="AH486" s="200"/>
      <c r="AI486" s="200"/>
      <c r="AJ486" s="200"/>
      <c r="AK486" s="209"/>
      <c r="AL486" s="200"/>
    </row>
    <row r="487" spans="1:40" x14ac:dyDescent="0.25">
      <c r="A487" s="154"/>
    </row>
    <row r="488" spans="1:40" x14ac:dyDescent="0.25">
      <c r="J488" s="202"/>
      <c r="K488" s="202"/>
      <c r="Z488" s="202"/>
    </row>
    <row r="489" spans="1:40" x14ac:dyDescent="0.25">
      <c r="H489" s="154"/>
      <c r="I489" s="154"/>
      <c r="Y489" s="154"/>
    </row>
    <row r="490" spans="1:40" x14ac:dyDescent="0.25">
      <c r="J490" s="202"/>
      <c r="K490" s="202"/>
      <c r="Z490" s="202"/>
    </row>
    <row r="491" spans="1:40" x14ac:dyDescent="0.25">
      <c r="L491" s="154"/>
      <c r="M491" s="154"/>
      <c r="AA491" s="154"/>
      <c r="AB491" s="154"/>
    </row>
    <row r="492" spans="1:40" x14ac:dyDescent="0.25">
      <c r="A492" s="202"/>
      <c r="R492" s="154"/>
      <c r="AK492" s="297"/>
      <c r="AL492" s="154"/>
    </row>
    <row r="493" spans="1:40" x14ac:dyDescent="0.25">
      <c r="A493" s="202"/>
      <c r="R493" s="154"/>
      <c r="AK493" s="297"/>
      <c r="AL493" s="154"/>
    </row>
    <row r="494" spans="1:40" x14ac:dyDescent="0.25">
      <c r="A494" s="154"/>
      <c r="R494" s="154"/>
      <c r="AK494" s="297"/>
      <c r="AL494" s="154"/>
    </row>
    <row r="495" spans="1:40" x14ac:dyDescent="0.25">
      <c r="L495" s="154"/>
      <c r="M495" s="154"/>
      <c r="R495" s="202"/>
      <c r="AA495" s="154"/>
      <c r="AB495" s="154"/>
      <c r="AK495" s="209"/>
      <c r="AL495" s="202"/>
    </row>
    <row r="496" spans="1:40" x14ac:dyDescent="0.25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208"/>
      <c r="AH496" s="102"/>
      <c r="AI496" s="102"/>
      <c r="AJ496" s="102"/>
      <c r="AK496" s="208"/>
      <c r="AL496" s="102"/>
      <c r="AM496" s="102"/>
      <c r="AN496" s="102"/>
    </row>
    <row r="497" spans="1:40" x14ac:dyDescent="0.25">
      <c r="L497" s="103"/>
      <c r="M497" s="103"/>
      <c r="N497" s="103"/>
      <c r="O497" s="103"/>
      <c r="R497" s="103"/>
      <c r="AA497" s="103"/>
      <c r="AB497" s="103"/>
      <c r="AC497" s="103"/>
      <c r="AD497" s="103"/>
      <c r="AE497" s="103"/>
      <c r="AF497" s="103"/>
      <c r="AG497" s="185"/>
      <c r="AH497" s="103"/>
      <c r="AK497" s="185"/>
      <c r="AL497" s="103"/>
      <c r="AM497" s="103"/>
      <c r="AN497" s="103"/>
    </row>
    <row r="498" spans="1:40" x14ac:dyDescent="0.25">
      <c r="L498" s="103"/>
      <c r="M498" s="103"/>
      <c r="N498" s="103"/>
      <c r="O498" s="103"/>
      <c r="R498" s="103"/>
      <c r="Z498" s="103"/>
      <c r="AA498" s="103"/>
      <c r="AB498" s="103"/>
      <c r="AC498" s="103"/>
      <c r="AD498" s="103"/>
      <c r="AE498" s="103"/>
      <c r="AF498" s="103"/>
      <c r="AG498" s="185"/>
      <c r="AH498" s="103"/>
      <c r="AK498" s="185"/>
      <c r="AL498" s="103"/>
      <c r="AM498" s="103"/>
      <c r="AN498" s="103"/>
    </row>
    <row r="499" spans="1:40" x14ac:dyDescent="0.25">
      <c r="A499" s="103"/>
      <c r="C499" s="103"/>
      <c r="D499" s="103"/>
      <c r="E499" s="103"/>
      <c r="F499" s="103"/>
      <c r="J499" s="103"/>
      <c r="K499" s="103"/>
      <c r="L499" s="103"/>
      <c r="M499" s="103"/>
      <c r="N499" s="103"/>
      <c r="O499" s="103"/>
      <c r="P499" s="103"/>
      <c r="Q499" s="103"/>
      <c r="R499" s="103"/>
      <c r="T499" s="103"/>
      <c r="U499" s="103"/>
      <c r="V499" s="103"/>
      <c r="Z499" s="103"/>
      <c r="AA499" s="103"/>
      <c r="AB499" s="103"/>
      <c r="AC499" s="103"/>
      <c r="AD499" s="103"/>
      <c r="AE499" s="103"/>
      <c r="AF499" s="103"/>
      <c r="AG499" s="185"/>
      <c r="AH499" s="103"/>
      <c r="AI499" s="103"/>
      <c r="AJ499" s="103"/>
      <c r="AK499" s="185"/>
      <c r="AL499" s="103"/>
      <c r="AM499" s="103"/>
      <c r="AN499" s="103"/>
    </row>
    <row r="500" spans="1:40" x14ac:dyDescent="0.25">
      <c r="A500" s="103"/>
      <c r="C500" s="103"/>
      <c r="D500" s="103"/>
      <c r="E500" s="103"/>
      <c r="F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T500" s="103"/>
      <c r="U500" s="103"/>
      <c r="V500" s="103"/>
      <c r="Y500" s="103"/>
      <c r="Z500" s="103"/>
      <c r="AA500" s="103"/>
      <c r="AB500" s="103"/>
      <c r="AC500" s="103"/>
      <c r="AD500" s="103"/>
      <c r="AE500" s="103"/>
      <c r="AF500" s="103"/>
      <c r="AG500" s="185"/>
      <c r="AH500" s="103"/>
      <c r="AI500" s="103"/>
      <c r="AJ500" s="103"/>
      <c r="AK500" s="185"/>
      <c r="AL500" s="103"/>
      <c r="AM500" s="103"/>
      <c r="AN500" s="103"/>
    </row>
    <row r="501" spans="1:40" x14ac:dyDescent="0.25">
      <c r="C501" s="103"/>
      <c r="D501" s="103"/>
      <c r="E501" s="103"/>
      <c r="F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T501" s="103"/>
      <c r="U501" s="103"/>
      <c r="V501" s="103"/>
      <c r="Y501" s="103"/>
      <c r="Z501" s="103"/>
      <c r="AA501" s="103"/>
      <c r="AB501" s="103"/>
      <c r="AC501" s="103"/>
      <c r="AD501" s="103"/>
      <c r="AE501" s="103"/>
      <c r="AF501" s="103"/>
      <c r="AG501" s="185"/>
      <c r="AH501" s="103"/>
      <c r="AI501" s="103"/>
      <c r="AJ501" s="103"/>
      <c r="AK501" s="185"/>
      <c r="AL501" s="103"/>
      <c r="AM501" s="103"/>
      <c r="AN501" s="103"/>
    </row>
    <row r="502" spans="1:40" x14ac:dyDescent="0.25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208"/>
      <c r="AH502" s="102"/>
      <c r="AI502" s="102"/>
      <c r="AJ502" s="102"/>
      <c r="AK502" s="208"/>
      <c r="AL502" s="102"/>
      <c r="AM502" s="102"/>
      <c r="AN502" s="102"/>
    </row>
    <row r="503" spans="1:40" x14ac:dyDescent="0.25"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Y503" s="103"/>
      <c r="Z503" s="103"/>
      <c r="AA503" s="103"/>
      <c r="AB503" s="103"/>
      <c r="AC503" s="103"/>
      <c r="AD503" s="103"/>
      <c r="AE503" s="103"/>
      <c r="AF503" s="103"/>
      <c r="AG503" s="185"/>
      <c r="AH503" s="103"/>
      <c r="AI503" s="103"/>
      <c r="AJ503" s="103"/>
      <c r="AK503" s="185"/>
      <c r="AL503" s="103"/>
      <c r="AM503" s="103"/>
      <c r="AN503" s="103"/>
    </row>
    <row r="504" spans="1:40" x14ac:dyDescent="0.25">
      <c r="A504" s="202"/>
      <c r="C504" s="154"/>
      <c r="D504" s="154"/>
      <c r="E504" s="154"/>
      <c r="T504" s="154"/>
      <c r="U504" s="154"/>
      <c r="V504" s="200"/>
      <c r="W504" s="200"/>
      <c r="X504" s="200"/>
      <c r="Y504" s="200"/>
      <c r="Z504" s="328"/>
    </row>
    <row r="506" spans="1:40" x14ac:dyDescent="0.25">
      <c r="A506" s="202"/>
      <c r="C506" s="154"/>
      <c r="T506" s="154"/>
      <c r="V506" s="200"/>
      <c r="W506" s="200"/>
      <c r="X506" s="200"/>
      <c r="Y506" s="200"/>
      <c r="Z506" s="328"/>
    </row>
    <row r="507" spans="1:40" x14ac:dyDescent="0.25">
      <c r="A507" s="202"/>
      <c r="C507" s="154"/>
      <c r="F507" s="252"/>
      <c r="H507" s="252"/>
      <c r="I507" s="252"/>
      <c r="J507" s="329"/>
      <c r="K507" s="329"/>
      <c r="L507" s="200"/>
      <c r="M507" s="200"/>
      <c r="N507" s="210"/>
      <c r="O507" s="210"/>
      <c r="P507" s="200"/>
      <c r="Q507" s="200"/>
      <c r="R507" s="200"/>
      <c r="T507" s="154"/>
      <c r="V507" s="200"/>
      <c r="W507" s="200"/>
      <c r="X507" s="200"/>
      <c r="Y507" s="200"/>
      <c r="Z507" s="329"/>
      <c r="AA507" s="200"/>
      <c r="AB507" s="200"/>
      <c r="AC507" s="210"/>
      <c r="AD507" s="210"/>
      <c r="AE507" s="200"/>
      <c r="AF507" s="200"/>
      <c r="AG507" s="209"/>
      <c r="AH507" s="201"/>
      <c r="AI507" s="200"/>
      <c r="AJ507" s="200"/>
      <c r="AK507" s="209"/>
      <c r="AL507" s="200"/>
      <c r="AM507" s="210"/>
      <c r="AN507" s="210"/>
    </row>
    <row r="508" spans="1:40" x14ac:dyDescent="0.25">
      <c r="A508" s="202"/>
      <c r="C508" s="154"/>
      <c r="F508" s="252"/>
      <c r="H508" s="252"/>
      <c r="I508" s="252"/>
      <c r="J508" s="329"/>
      <c r="K508" s="329"/>
      <c r="L508" s="200"/>
      <c r="M508" s="200"/>
      <c r="N508" s="210"/>
      <c r="O508" s="210"/>
      <c r="P508" s="200"/>
      <c r="Q508" s="200"/>
      <c r="R508" s="200"/>
      <c r="T508" s="154"/>
      <c r="V508" s="200"/>
      <c r="W508" s="200"/>
      <c r="X508" s="200"/>
      <c r="Y508" s="200"/>
      <c r="Z508" s="329"/>
      <c r="AA508" s="200"/>
      <c r="AB508" s="200"/>
      <c r="AC508" s="210"/>
      <c r="AD508" s="210"/>
      <c r="AE508" s="200"/>
      <c r="AF508" s="200"/>
      <c r="AG508" s="209"/>
      <c r="AH508" s="201"/>
      <c r="AI508" s="200"/>
      <c r="AJ508" s="200"/>
      <c r="AK508" s="209"/>
      <c r="AL508" s="200"/>
      <c r="AM508" s="210"/>
      <c r="AN508" s="210"/>
    </row>
    <row r="509" spans="1:40" x14ac:dyDescent="0.25">
      <c r="A509" s="202"/>
      <c r="C509" s="154"/>
      <c r="F509" s="252"/>
      <c r="H509" s="252"/>
      <c r="I509" s="252"/>
      <c r="J509" s="329"/>
      <c r="K509" s="329"/>
      <c r="L509" s="200"/>
      <c r="M509" s="200"/>
      <c r="N509" s="210"/>
      <c r="O509" s="210"/>
      <c r="P509" s="200"/>
      <c r="Q509" s="200"/>
      <c r="R509" s="200"/>
      <c r="T509" s="154"/>
      <c r="V509" s="200"/>
      <c r="W509" s="200"/>
      <c r="X509" s="200"/>
      <c r="Y509" s="200"/>
      <c r="Z509" s="329"/>
      <c r="AA509" s="200"/>
      <c r="AB509" s="200"/>
      <c r="AC509" s="210"/>
      <c r="AD509" s="210"/>
      <c r="AE509" s="200"/>
      <c r="AF509" s="200"/>
      <c r="AG509" s="209"/>
      <c r="AH509" s="201"/>
      <c r="AI509" s="200"/>
      <c r="AJ509" s="200"/>
      <c r="AK509" s="209"/>
      <c r="AL509" s="200"/>
      <c r="AM509" s="210"/>
      <c r="AN509" s="210"/>
    </row>
    <row r="510" spans="1:40" x14ac:dyDescent="0.25">
      <c r="A510" s="202"/>
      <c r="C510" s="154"/>
      <c r="F510" s="252"/>
      <c r="H510" s="252"/>
      <c r="I510" s="252"/>
      <c r="J510" s="329"/>
      <c r="K510" s="329"/>
      <c r="L510" s="200"/>
      <c r="M510" s="200"/>
      <c r="N510" s="210"/>
      <c r="O510" s="210"/>
      <c r="P510" s="200"/>
      <c r="Q510" s="200"/>
      <c r="R510" s="200"/>
      <c r="T510" s="154"/>
      <c r="V510" s="200"/>
      <c r="W510" s="200"/>
      <c r="X510" s="200"/>
      <c r="Y510" s="200"/>
      <c r="Z510" s="329"/>
      <c r="AA510" s="200"/>
      <c r="AB510" s="200"/>
      <c r="AC510" s="210"/>
      <c r="AD510" s="210"/>
      <c r="AE510" s="200"/>
      <c r="AF510" s="200"/>
      <c r="AG510" s="209"/>
      <c r="AH510" s="201"/>
      <c r="AI510" s="200"/>
      <c r="AJ510" s="200"/>
      <c r="AK510" s="209"/>
      <c r="AL510" s="200"/>
      <c r="AM510" s="210"/>
      <c r="AN510" s="210"/>
    </row>
    <row r="511" spans="1:40" x14ac:dyDescent="0.25">
      <c r="J511" s="334"/>
      <c r="K511" s="334"/>
      <c r="V511" s="200"/>
      <c r="W511" s="200"/>
      <c r="X511" s="200"/>
      <c r="Y511" s="200"/>
      <c r="Z511" s="329"/>
    </row>
    <row r="512" spans="1:40" x14ac:dyDescent="0.25">
      <c r="A512" s="202"/>
      <c r="C512" s="154"/>
      <c r="F512" s="252"/>
      <c r="H512" s="252"/>
      <c r="I512" s="252"/>
      <c r="J512" s="329"/>
      <c r="K512" s="329"/>
      <c r="L512" s="200"/>
      <c r="M512" s="200"/>
      <c r="N512" s="210"/>
      <c r="O512" s="210"/>
      <c r="P512" s="200"/>
      <c r="Q512" s="200"/>
      <c r="R512" s="200"/>
      <c r="T512" s="154"/>
      <c r="V512" s="200"/>
      <c r="W512" s="200"/>
      <c r="X512" s="200"/>
      <c r="Y512" s="200"/>
      <c r="Z512" s="329"/>
      <c r="AA512" s="200"/>
      <c r="AB512" s="200"/>
      <c r="AC512" s="210"/>
      <c r="AD512" s="210"/>
      <c r="AE512" s="200"/>
      <c r="AF512" s="200"/>
      <c r="AG512" s="209"/>
      <c r="AH512" s="201"/>
      <c r="AI512" s="200"/>
      <c r="AJ512" s="200"/>
      <c r="AK512" s="209"/>
      <c r="AL512" s="200"/>
      <c r="AM512" s="201"/>
      <c r="AN512" s="201"/>
    </row>
    <row r="513" spans="1:40" x14ac:dyDescent="0.25">
      <c r="A513" s="202"/>
      <c r="C513" s="154"/>
      <c r="J513" s="334"/>
      <c r="K513" s="334"/>
      <c r="T513" s="154"/>
      <c r="V513" s="200"/>
      <c r="W513" s="200"/>
      <c r="X513" s="200"/>
      <c r="Y513" s="200"/>
      <c r="Z513" s="329"/>
    </row>
    <row r="514" spans="1:40" x14ac:dyDescent="0.25">
      <c r="A514" s="202"/>
      <c r="C514" s="154"/>
      <c r="F514" s="252"/>
      <c r="H514" s="252"/>
      <c r="I514" s="252"/>
      <c r="J514" s="329"/>
      <c r="K514" s="329"/>
      <c r="L514" s="200"/>
      <c r="M514" s="200"/>
      <c r="N514" s="210"/>
      <c r="O514" s="210"/>
      <c r="P514" s="200"/>
      <c r="Q514" s="200"/>
      <c r="R514" s="200"/>
      <c r="T514" s="154"/>
      <c r="V514" s="200"/>
      <c r="W514" s="200"/>
      <c r="X514" s="200"/>
      <c r="Y514" s="200"/>
      <c r="Z514" s="329"/>
      <c r="AA514" s="200"/>
      <c r="AB514" s="200"/>
      <c r="AC514" s="210"/>
      <c r="AD514" s="210"/>
      <c r="AE514" s="200"/>
      <c r="AF514" s="200"/>
      <c r="AG514" s="209"/>
      <c r="AH514" s="201"/>
      <c r="AI514" s="200"/>
      <c r="AJ514" s="200"/>
      <c r="AK514" s="209"/>
      <c r="AL514" s="200"/>
      <c r="AM514" s="201"/>
      <c r="AN514" s="201"/>
    </row>
    <row r="515" spans="1:40" x14ac:dyDescent="0.25">
      <c r="J515" s="334"/>
      <c r="K515" s="334"/>
      <c r="Z515" s="334"/>
    </row>
    <row r="516" spans="1:40" x14ac:dyDescent="0.25">
      <c r="A516" s="202"/>
      <c r="C516" s="154"/>
      <c r="J516" s="334"/>
      <c r="K516" s="334"/>
      <c r="T516" s="154"/>
      <c r="V516" s="200"/>
      <c r="W516" s="200"/>
      <c r="X516" s="200"/>
      <c r="Y516" s="200"/>
      <c r="Z516" s="329"/>
    </row>
    <row r="517" spans="1:40" x14ac:dyDescent="0.25">
      <c r="A517" s="202"/>
      <c r="C517" s="154"/>
      <c r="F517" s="252"/>
      <c r="H517" s="252"/>
      <c r="I517" s="252"/>
      <c r="J517" s="329"/>
      <c r="K517" s="329"/>
      <c r="L517" s="200"/>
      <c r="M517" s="200"/>
      <c r="N517" s="210"/>
      <c r="O517" s="210"/>
      <c r="P517" s="200"/>
      <c r="Q517" s="200"/>
      <c r="R517" s="200"/>
      <c r="T517" s="154"/>
      <c r="V517" s="200"/>
      <c r="W517" s="200"/>
      <c r="X517" s="200"/>
      <c r="Y517" s="200"/>
      <c r="Z517" s="329"/>
      <c r="AA517" s="200"/>
      <c r="AB517" s="200"/>
      <c r="AC517" s="210"/>
      <c r="AD517" s="210"/>
      <c r="AE517" s="200"/>
      <c r="AF517" s="200"/>
      <c r="AG517" s="209"/>
      <c r="AH517" s="201"/>
      <c r="AI517" s="200"/>
      <c r="AJ517" s="200"/>
      <c r="AK517" s="209"/>
      <c r="AL517" s="200"/>
      <c r="AM517" s="201"/>
      <c r="AN517" s="201"/>
    </row>
    <row r="518" spans="1:40" x14ac:dyDescent="0.25">
      <c r="A518" s="202"/>
      <c r="C518" s="154"/>
      <c r="F518" s="252"/>
      <c r="H518" s="252"/>
      <c r="I518" s="252"/>
      <c r="J518" s="329"/>
      <c r="K518" s="329"/>
      <c r="L518" s="200"/>
      <c r="M518" s="200"/>
      <c r="N518" s="210"/>
      <c r="O518" s="210"/>
      <c r="P518" s="200"/>
      <c r="Q518" s="200"/>
      <c r="R518" s="200"/>
      <c r="T518" s="154"/>
      <c r="V518" s="200"/>
      <c r="W518" s="200"/>
      <c r="X518" s="200"/>
      <c r="Y518" s="200"/>
      <c r="Z518" s="329"/>
      <c r="AA518" s="200"/>
      <c r="AB518" s="200"/>
      <c r="AC518" s="210"/>
      <c r="AD518" s="210"/>
      <c r="AE518" s="200"/>
      <c r="AF518" s="200"/>
      <c r="AG518" s="209"/>
      <c r="AH518" s="201"/>
      <c r="AI518" s="200"/>
      <c r="AJ518" s="200"/>
      <c r="AK518" s="209"/>
      <c r="AL518" s="200"/>
      <c r="AM518" s="201"/>
      <c r="AN518" s="201"/>
    </row>
    <row r="519" spans="1:40" x14ac:dyDescent="0.25">
      <c r="F519" s="211"/>
      <c r="H519" s="211"/>
      <c r="I519" s="211"/>
      <c r="J519" s="329"/>
      <c r="K519" s="329"/>
      <c r="L519" s="211"/>
      <c r="M519" s="211"/>
      <c r="N519" s="211"/>
      <c r="O519" s="211"/>
      <c r="P519" s="211"/>
      <c r="Q519" s="211"/>
      <c r="R519" s="211"/>
      <c r="V519" s="211"/>
      <c r="Y519" s="211"/>
      <c r="Z519" s="305"/>
      <c r="AA519" s="211"/>
      <c r="AB519" s="211"/>
      <c r="AC519" s="211"/>
      <c r="AD519" s="211"/>
      <c r="AE519" s="211"/>
      <c r="AF519" s="211"/>
      <c r="AI519" s="211"/>
      <c r="AJ519" s="211"/>
      <c r="AK519" s="212"/>
      <c r="AL519" s="211"/>
    </row>
    <row r="520" spans="1:40" x14ac:dyDescent="0.25">
      <c r="A520" s="202"/>
      <c r="C520" s="154"/>
      <c r="F520" s="200"/>
      <c r="H520" s="200"/>
      <c r="I520" s="200"/>
      <c r="L520" s="200"/>
      <c r="M520" s="200"/>
      <c r="N520" s="210"/>
      <c r="O520" s="210"/>
      <c r="P520" s="252"/>
      <c r="Q520" s="252"/>
      <c r="R520" s="200"/>
      <c r="T520" s="154"/>
      <c r="V520" s="200"/>
      <c r="W520" s="200"/>
      <c r="X520" s="200"/>
      <c r="Y520" s="200"/>
      <c r="Z520" s="328"/>
      <c r="AA520" s="200"/>
      <c r="AB520" s="200"/>
      <c r="AC520" s="210"/>
      <c r="AD520" s="210"/>
      <c r="AE520" s="200"/>
      <c r="AF520" s="200"/>
      <c r="AG520" s="209"/>
      <c r="AH520" s="201"/>
      <c r="AI520" s="252"/>
      <c r="AJ520" s="252"/>
      <c r="AK520" s="209"/>
      <c r="AL520" s="200"/>
      <c r="AM520" s="201"/>
      <c r="AN520" s="201"/>
    </row>
    <row r="521" spans="1:40" x14ac:dyDescent="0.25">
      <c r="H521" s="211"/>
      <c r="I521" s="211"/>
      <c r="J521" s="305"/>
      <c r="K521" s="305"/>
      <c r="L521" s="211"/>
      <c r="M521" s="211"/>
      <c r="N521" s="211"/>
      <c r="O521" s="211"/>
      <c r="P521" s="211"/>
      <c r="Q521" s="211"/>
      <c r="R521" s="211"/>
      <c r="V521" s="211"/>
      <c r="Y521" s="211"/>
      <c r="Z521" s="305"/>
      <c r="AA521" s="211"/>
      <c r="AB521" s="211"/>
      <c r="AC521" s="211"/>
      <c r="AD521" s="211"/>
      <c r="AE521" s="211"/>
      <c r="AF521" s="211"/>
      <c r="AI521" s="211"/>
      <c r="AJ521" s="211"/>
      <c r="AK521" s="212"/>
      <c r="AL521" s="211"/>
    </row>
    <row r="522" spans="1:40" x14ac:dyDescent="0.25">
      <c r="F522" s="211"/>
    </row>
    <row r="523" spans="1:40" x14ac:dyDescent="0.25">
      <c r="C523" s="202"/>
      <c r="T523" s="202"/>
    </row>
    <row r="524" spans="1:40" x14ac:dyDescent="0.25">
      <c r="A524" s="154"/>
    </row>
    <row r="525" spans="1:40" x14ac:dyDescent="0.25">
      <c r="J525" s="202"/>
      <c r="K525" s="202"/>
      <c r="Z525" s="202"/>
    </row>
    <row r="526" spans="1:40" x14ac:dyDescent="0.25">
      <c r="H526" s="154"/>
      <c r="I526" s="154"/>
      <c r="Y526" s="154"/>
    </row>
    <row r="527" spans="1:40" x14ac:dyDescent="0.25">
      <c r="J527" s="202"/>
      <c r="K527" s="202"/>
      <c r="Z527" s="202"/>
    </row>
    <row r="528" spans="1:40" x14ac:dyDescent="0.25">
      <c r="L528" s="154"/>
      <c r="M528" s="154"/>
      <c r="AA528" s="154"/>
      <c r="AB528" s="154"/>
    </row>
    <row r="529" spans="1:40" x14ac:dyDescent="0.25">
      <c r="A529" s="202"/>
      <c r="R529" s="154"/>
      <c r="AK529" s="297"/>
      <c r="AL529" s="154"/>
    </row>
    <row r="530" spans="1:40" x14ac:dyDescent="0.25">
      <c r="A530" s="202"/>
      <c r="R530" s="154"/>
      <c r="AK530" s="297"/>
      <c r="AL530" s="154"/>
    </row>
    <row r="531" spans="1:40" x14ac:dyDescent="0.25">
      <c r="A531" s="154"/>
      <c r="R531" s="154"/>
      <c r="AK531" s="297"/>
      <c r="AL531" s="154"/>
    </row>
    <row r="532" spans="1:40" x14ac:dyDescent="0.25">
      <c r="L532" s="154"/>
      <c r="M532" s="154"/>
      <c r="R532" s="202"/>
      <c r="AA532" s="154"/>
      <c r="AB532" s="154"/>
      <c r="AK532" s="209"/>
      <c r="AL532" s="202"/>
    </row>
    <row r="533" spans="1:40" x14ac:dyDescent="0.25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208"/>
      <c r="AH533" s="102"/>
      <c r="AI533" s="102"/>
      <c r="AJ533" s="102"/>
      <c r="AK533" s="208"/>
      <c r="AL533" s="102"/>
      <c r="AM533" s="102"/>
      <c r="AN533" s="102"/>
    </row>
    <row r="534" spans="1:40" x14ac:dyDescent="0.25">
      <c r="L534" s="103"/>
      <c r="M534" s="103"/>
      <c r="N534" s="103"/>
      <c r="O534" s="103"/>
      <c r="R534" s="103"/>
      <c r="AA534" s="103"/>
      <c r="AB534" s="103"/>
      <c r="AC534" s="103"/>
      <c r="AD534" s="103"/>
      <c r="AE534" s="103"/>
      <c r="AF534" s="103"/>
      <c r="AG534" s="185"/>
      <c r="AH534" s="103"/>
      <c r="AK534" s="185"/>
      <c r="AL534" s="103"/>
      <c r="AM534" s="103"/>
      <c r="AN534" s="103"/>
    </row>
    <row r="535" spans="1:40" x14ac:dyDescent="0.25">
      <c r="L535" s="103"/>
      <c r="M535" s="103"/>
      <c r="N535" s="103"/>
      <c r="O535" s="103"/>
      <c r="R535" s="103"/>
      <c r="Z535" s="103"/>
      <c r="AA535" s="103"/>
      <c r="AB535" s="103"/>
      <c r="AC535" s="103"/>
      <c r="AD535" s="103"/>
      <c r="AE535" s="103"/>
      <c r="AF535" s="103"/>
      <c r="AG535" s="185"/>
      <c r="AH535" s="103"/>
      <c r="AK535" s="185"/>
      <c r="AL535" s="103"/>
      <c r="AM535" s="103"/>
      <c r="AN535" s="103"/>
    </row>
    <row r="536" spans="1:40" x14ac:dyDescent="0.25">
      <c r="A536" s="103"/>
      <c r="C536" s="103"/>
      <c r="D536" s="103"/>
      <c r="E536" s="103"/>
      <c r="F536" s="103"/>
      <c r="J536" s="103"/>
      <c r="K536" s="103"/>
      <c r="L536" s="103"/>
      <c r="M536" s="103"/>
      <c r="N536" s="103"/>
      <c r="O536" s="103"/>
      <c r="P536" s="103"/>
      <c r="Q536" s="103"/>
      <c r="R536" s="103"/>
      <c r="T536" s="103"/>
      <c r="U536" s="103"/>
      <c r="V536" s="103"/>
      <c r="Z536" s="103"/>
      <c r="AA536" s="103"/>
      <c r="AB536" s="103"/>
      <c r="AC536" s="103"/>
      <c r="AD536" s="103"/>
      <c r="AE536" s="103"/>
      <c r="AF536" s="103"/>
      <c r="AG536" s="185"/>
      <c r="AH536" s="103"/>
      <c r="AI536" s="103"/>
      <c r="AJ536" s="103"/>
      <c r="AK536" s="185"/>
      <c r="AL536" s="103"/>
      <c r="AM536" s="103"/>
      <c r="AN536" s="103"/>
    </row>
    <row r="537" spans="1:40" x14ac:dyDescent="0.25">
      <c r="A537" s="103"/>
      <c r="C537" s="103"/>
      <c r="D537" s="103"/>
      <c r="E537" s="103"/>
      <c r="F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T537" s="103"/>
      <c r="U537" s="103"/>
      <c r="V537" s="103"/>
      <c r="Y537" s="103"/>
      <c r="Z537" s="103"/>
      <c r="AA537" s="103"/>
      <c r="AB537" s="103"/>
      <c r="AC537" s="103"/>
      <c r="AD537" s="103"/>
      <c r="AE537" s="103"/>
      <c r="AF537" s="103"/>
      <c r="AG537" s="185"/>
      <c r="AH537" s="103"/>
      <c r="AI537" s="103"/>
      <c r="AJ537" s="103"/>
      <c r="AK537" s="185"/>
      <c r="AL537" s="103"/>
      <c r="AM537" s="103"/>
      <c r="AN537" s="103"/>
    </row>
    <row r="538" spans="1:40" x14ac:dyDescent="0.25">
      <c r="C538" s="103"/>
      <c r="D538" s="103"/>
      <c r="E538" s="103"/>
      <c r="F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T538" s="103"/>
      <c r="U538" s="103"/>
      <c r="V538" s="103"/>
      <c r="Y538" s="103"/>
      <c r="Z538" s="103"/>
      <c r="AA538" s="103"/>
      <c r="AB538" s="103"/>
      <c r="AC538" s="103"/>
      <c r="AD538" s="103"/>
      <c r="AE538" s="103"/>
      <c r="AF538" s="103"/>
      <c r="AG538" s="185"/>
      <c r="AH538" s="103"/>
      <c r="AI538" s="103"/>
      <c r="AJ538" s="103"/>
      <c r="AK538" s="185"/>
      <c r="AL538" s="103"/>
      <c r="AM538" s="103"/>
      <c r="AN538" s="103"/>
    </row>
    <row r="539" spans="1:40" x14ac:dyDescent="0.25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208"/>
      <c r="AH539" s="102"/>
      <c r="AI539" s="102"/>
      <c r="AJ539" s="102"/>
      <c r="AK539" s="208"/>
      <c r="AL539" s="102"/>
      <c r="AM539" s="102"/>
      <c r="AN539" s="102"/>
    </row>
    <row r="540" spans="1:40" x14ac:dyDescent="0.25"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Y540" s="103"/>
      <c r="Z540" s="103"/>
      <c r="AA540" s="103"/>
      <c r="AB540" s="103"/>
      <c r="AC540" s="103"/>
      <c r="AD540" s="103"/>
      <c r="AE540" s="103"/>
      <c r="AF540" s="103"/>
      <c r="AG540" s="185"/>
      <c r="AH540" s="103"/>
      <c r="AI540" s="103"/>
      <c r="AJ540" s="103"/>
      <c r="AK540" s="185"/>
      <c r="AL540" s="103"/>
      <c r="AM540" s="103"/>
      <c r="AN540" s="103"/>
    </row>
    <row r="541" spans="1:40" x14ac:dyDescent="0.25">
      <c r="A541" s="202"/>
      <c r="C541" s="154"/>
      <c r="D541" s="154"/>
      <c r="E541" s="154"/>
      <c r="T541" s="154"/>
      <c r="U541" s="154"/>
    </row>
    <row r="543" spans="1:40" x14ac:dyDescent="0.25">
      <c r="A543" s="202"/>
      <c r="C543" s="154"/>
      <c r="T543" s="154"/>
    </row>
    <row r="544" spans="1:40" x14ac:dyDescent="0.25">
      <c r="A544" s="202"/>
      <c r="C544" s="154"/>
      <c r="T544" s="154"/>
    </row>
    <row r="545" spans="1:40" x14ac:dyDescent="0.25">
      <c r="A545" s="202"/>
      <c r="C545" s="154"/>
      <c r="F545" s="252"/>
      <c r="H545" s="252"/>
      <c r="I545" s="252"/>
      <c r="J545" s="329"/>
      <c r="K545" s="329"/>
      <c r="L545" s="200"/>
      <c r="M545" s="200"/>
      <c r="N545" s="210"/>
      <c r="O545" s="210"/>
      <c r="P545" s="200"/>
      <c r="Q545" s="200"/>
      <c r="R545" s="200"/>
      <c r="T545" s="154"/>
      <c r="V545" s="200"/>
      <c r="W545" s="200"/>
      <c r="X545" s="200"/>
      <c r="Y545" s="200"/>
      <c r="Z545" s="329"/>
      <c r="AA545" s="200"/>
      <c r="AB545" s="200"/>
      <c r="AC545" s="210"/>
      <c r="AD545" s="210"/>
      <c r="AE545" s="200"/>
      <c r="AF545" s="200"/>
      <c r="AG545" s="209"/>
      <c r="AH545" s="201"/>
      <c r="AI545" s="200"/>
      <c r="AJ545" s="200"/>
      <c r="AK545" s="209"/>
      <c r="AL545" s="200"/>
      <c r="AM545" s="201"/>
      <c r="AN545" s="201"/>
    </row>
    <row r="546" spans="1:40" x14ac:dyDescent="0.25">
      <c r="A546" s="202"/>
      <c r="C546" s="154"/>
      <c r="F546" s="200"/>
      <c r="H546" s="200"/>
      <c r="I546" s="200"/>
      <c r="J546" s="334"/>
      <c r="K546" s="334"/>
      <c r="L546" s="200"/>
      <c r="M546" s="200"/>
      <c r="N546" s="210"/>
      <c r="O546" s="210"/>
      <c r="P546" s="200"/>
      <c r="Q546" s="200"/>
      <c r="R546" s="200"/>
      <c r="T546" s="154"/>
      <c r="V546" s="200"/>
      <c r="W546" s="200"/>
      <c r="X546" s="200"/>
      <c r="Y546" s="200"/>
      <c r="Z546" s="334"/>
      <c r="AA546" s="200"/>
      <c r="AB546" s="200"/>
      <c r="AC546" s="210"/>
      <c r="AD546" s="210"/>
      <c r="AE546" s="200"/>
      <c r="AF546" s="200"/>
      <c r="AG546" s="209"/>
      <c r="AH546" s="201"/>
      <c r="AI546" s="200"/>
      <c r="AJ546" s="200"/>
      <c r="AK546" s="209"/>
      <c r="AL546" s="200"/>
      <c r="AM546" s="201"/>
      <c r="AN546" s="201"/>
    </row>
    <row r="547" spans="1:40" x14ac:dyDescent="0.25">
      <c r="A547" s="202"/>
      <c r="C547" s="154"/>
      <c r="F547" s="200"/>
      <c r="H547" s="200"/>
      <c r="I547" s="200"/>
      <c r="J547" s="334"/>
      <c r="K547" s="334"/>
      <c r="L547" s="200"/>
      <c r="M547" s="200"/>
      <c r="N547" s="210"/>
      <c r="O547" s="210"/>
      <c r="P547" s="200"/>
      <c r="Q547" s="200"/>
      <c r="R547" s="200"/>
      <c r="T547" s="154"/>
      <c r="V547" s="200"/>
      <c r="W547" s="200"/>
      <c r="X547" s="200"/>
      <c r="Y547" s="200"/>
      <c r="Z547" s="334"/>
      <c r="AA547" s="200"/>
      <c r="AB547" s="200"/>
      <c r="AC547" s="210"/>
      <c r="AD547" s="210"/>
      <c r="AE547" s="200"/>
      <c r="AF547" s="200"/>
      <c r="AG547" s="209"/>
      <c r="AH547" s="201"/>
      <c r="AI547" s="200"/>
      <c r="AJ547" s="200"/>
      <c r="AK547" s="209"/>
      <c r="AL547" s="200"/>
      <c r="AM547" s="201"/>
      <c r="AN547" s="201"/>
    </row>
    <row r="548" spans="1:40" x14ac:dyDescent="0.25">
      <c r="A548" s="202"/>
      <c r="C548" s="154"/>
      <c r="F548" s="200"/>
      <c r="H548" s="200"/>
      <c r="I548" s="200"/>
      <c r="J548" s="334"/>
      <c r="K548" s="334"/>
      <c r="T548" s="154"/>
      <c r="V548" s="200"/>
      <c r="Z548" s="334"/>
    </row>
    <row r="549" spans="1:40" x14ac:dyDescent="0.25">
      <c r="A549" s="202"/>
      <c r="C549" s="154"/>
      <c r="F549" s="252"/>
      <c r="H549" s="252"/>
      <c r="I549" s="252"/>
      <c r="J549" s="329"/>
      <c r="K549" s="329"/>
      <c r="L549" s="200"/>
      <c r="M549" s="200"/>
      <c r="N549" s="210"/>
      <c r="O549" s="210"/>
      <c r="P549" s="200"/>
      <c r="Q549" s="200"/>
      <c r="R549" s="200"/>
      <c r="T549" s="154"/>
      <c r="V549" s="200"/>
      <c r="W549" s="200"/>
      <c r="X549" s="200"/>
      <c r="Y549" s="200"/>
      <c r="Z549" s="329"/>
      <c r="AA549" s="200"/>
      <c r="AB549" s="200"/>
      <c r="AC549" s="210"/>
      <c r="AD549" s="210"/>
      <c r="AE549" s="200"/>
      <c r="AF549" s="200"/>
      <c r="AG549" s="209"/>
      <c r="AH549" s="201"/>
      <c r="AI549" s="200"/>
      <c r="AJ549" s="200"/>
      <c r="AK549" s="209"/>
      <c r="AL549" s="200"/>
      <c r="AM549" s="201"/>
      <c r="AN549" s="201"/>
    </row>
    <row r="550" spans="1:40" x14ac:dyDescent="0.25">
      <c r="A550" s="202"/>
      <c r="C550" s="154"/>
      <c r="F550" s="200"/>
      <c r="H550" s="200"/>
      <c r="I550" s="200"/>
      <c r="J550" s="334"/>
      <c r="K550" s="334"/>
      <c r="T550" s="154"/>
      <c r="V550" s="200"/>
      <c r="W550" s="200"/>
      <c r="X550" s="200"/>
      <c r="Y550" s="200"/>
      <c r="Z550" s="334"/>
      <c r="AC550" s="210"/>
      <c r="AD550" s="210"/>
      <c r="AE550" s="200"/>
      <c r="AF550" s="200"/>
      <c r="AG550" s="209"/>
      <c r="AH550" s="201"/>
      <c r="AI550" s="200"/>
      <c r="AJ550" s="200"/>
      <c r="AK550" s="209"/>
      <c r="AL550" s="200"/>
      <c r="AM550" s="201"/>
      <c r="AN550" s="201"/>
    </row>
    <row r="551" spans="1:40" x14ac:dyDescent="0.25">
      <c r="A551" s="202"/>
      <c r="C551" s="154"/>
      <c r="F551" s="252"/>
      <c r="H551" s="252"/>
      <c r="I551" s="252"/>
      <c r="J551" s="329"/>
      <c r="K551" s="329"/>
      <c r="L551" s="200"/>
      <c r="M551" s="200"/>
      <c r="N551" s="210"/>
      <c r="O551" s="210"/>
      <c r="P551" s="200"/>
      <c r="Q551" s="200"/>
      <c r="R551" s="200"/>
      <c r="T551" s="154"/>
      <c r="V551" s="200"/>
      <c r="W551" s="200"/>
      <c r="X551" s="200"/>
      <c r="Y551" s="200"/>
      <c r="Z551" s="329"/>
      <c r="AA551" s="200"/>
      <c r="AB551" s="200"/>
      <c r="AC551" s="210"/>
      <c r="AD551" s="210"/>
      <c r="AE551" s="200"/>
      <c r="AF551" s="200"/>
      <c r="AG551" s="209"/>
      <c r="AH551" s="201"/>
      <c r="AI551" s="200"/>
      <c r="AJ551" s="200"/>
      <c r="AK551" s="209"/>
      <c r="AL551" s="200"/>
      <c r="AM551" s="201"/>
      <c r="AN551" s="201"/>
    </row>
    <row r="552" spans="1:40" x14ac:dyDescent="0.25">
      <c r="A552" s="202"/>
      <c r="C552" s="154"/>
      <c r="F552" s="200"/>
      <c r="H552" s="200"/>
      <c r="I552" s="200"/>
      <c r="J552" s="334"/>
      <c r="K552" s="334"/>
      <c r="L552" s="200"/>
      <c r="M552" s="200"/>
      <c r="N552" s="210"/>
      <c r="O552" s="210"/>
      <c r="P552" s="200"/>
      <c r="Q552" s="200"/>
      <c r="R552" s="200"/>
      <c r="T552" s="154"/>
      <c r="V552" s="200"/>
      <c r="W552" s="200"/>
      <c r="X552" s="200"/>
      <c r="Y552" s="200"/>
      <c r="Z552" s="334"/>
      <c r="AA552" s="200"/>
      <c r="AB552" s="200"/>
      <c r="AC552" s="210"/>
      <c r="AD552" s="210"/>
      <c r="AE552" s="200"/>
      <c r="AF552" s="200"/>
      <c r="AG552" s="209"/>
      <c r="AH552" s="201"/>
      <c r="AI552" s="200"/>
      <c r="AJ552" s="200"/>
      <c r="AK552" s="209"/>
      <c r="AL552" s="200"/>
      <c r="AM552" s="201"/>
      <c r="AN552" s="201"/>
    </row>
    <row r="553" spans="1:40" x14ac:dyDescent="0.25">
      <c r="F553" s="200"/>
      <c r="H553" s="200"/>
      <c r="I553" s="200"/>
      <c r="J553" s="334"/>
      <c r="K553" s="334"/>
      <c r="Z553" s="334"/>
    </row>
    <row r="554" spans="1:40" x14ac:dyDescent="0.25">
      <c r="A554" s="202"/>
      <c r="C554" s="154"/>
      <c r="F554" s="200"/>
      <c r="H554" s="252"/>
      <c r="I554" s="252"/>
      <c r="J554" s="329"/>
      <c r="K554" s="329"/>
      <c r="L554" s="200"/>
      <c r="M554" s="200"/>
      <c r="N554" s="210"/>
      <c r="O554" s="210"/>
      <c r="P554" s="200"/>
      <c r="Q554" s="200"/>
      <c r="R554" s="200"/>
      <c r="T554" s="154"/>
      <c r="V554" s="200"/>
      <c r="W554" s="200"/>
      <c r="X554" s="200"/>
      <c r="Y554" s="200"/>
      <c r="Z554" s="329"/>
      <c r="AA554" s="200"/>
      <c r="AB554" s="200"/>
      <c r="AC554" s="210"/>
      <c r="AD554" s="210"/>
      <c r="AE554" s="200"/>
      <c r="AF554" s="200"/>
      <c r="AG554" s="209"/>
      <c r="AH554" s="201"/>
      <c r="AI554" s="200"/>
      <c r="AJ554" s="200"/>
      <c r="AK554" s="209"/>
      <c r="AL554" s="200"/>
      <c r="AM554" s="201"/>
      <c r="AN554" s="201"/>
    </row>
    <row r="555" spans="1:40" x14ac:dyDescent="0.25">
      <c r="F555" s="211"/>
      <c r="H555" s="211"/>
      <c r="I555" s="211"/>
      <c r="J555" s="329"/>
      <c r="K555" s="329"/>
      <c r="L555" s="211"/>
      <c r="M555" s="211"/>
      <c r="N555" s="211"/>
      <c r="O555" s="211"/>
      <c r="P555" s="211"/>
      <c r="Q555" s="211"/>
      <c r="R555" s="211"/>
      <c r="V555" s="211"/>
      <c r="Y555" s="211"/>
      <c r="Z555" s="329"/>
      <c r="AA555" s="211"/>
      <c r="AB555" s="211"/>
      <c r="AC555" s="211"/>
      <c r="AD555" s="211"/>
      <c r="AE555" s="211"/>
      <c r="AF555" s="211"/>
      <c r="AI555" s="211"/>
      <c r="AJ555" s="211"/>
      <c r="AK555" s="212"/>
      <c r="AL555" s="211"/>
    </row>
    <row r="556" spans="1:40" x14ac:dyDescent="0.25">
      <c r="A556" s="202"/>
      <c r="C556" s="154"/>
      <c r="F556" s="200"/>
      <c r="H556" s="200"/>
      <c r="I556" s="200"/>
      <c r="J556" s="334"/>
      <c r="K556" s="334"/>
      <c r="L556" s="200"/>
      <c r="M556" s="200"/>
      <c r="N556" s="202"/>
      <c r="O556" s="202"/>
      <c r="P556" s="200"/>
      <c r="Q556" s="200"/>
      <c r="R556" s="200"/>
      <c r="T556" s="154"/>
      <c r="V556" s="200"/>
      <c r="Y556" s="200"/>
      <c r="Z556" s="334"/>
      <c r="AA556" s="200"/>
      <c r="AB556" s="200"/>
      <c r="AC556" s="201"/>
      <c r="AD556" s="201"/>
      <c r="AE556" s="200"/>
      <c r="AF556" s="200"/>
      <c r="AG556" s="209"/>
      <c r="AH556" s="201"/>
      <c r="AI556" s="200"/>
      <c r="AJ556" s="200"/>
      <c r="AK556" s="209"/>
      <c r="AL556" s="200"/>
      <c r="AM556" s="201"/>
      <c r="AN556" s="201"/>
    </row>
    <row r="557" spans="1:40" x14ac:dyDescent="0.25">
      <c r="F557" s="211"/>
      <c r="H557" s="211"/>
      <c r="I557" s="211"/>
      <c r="J557" s="329"/>
      <c r="K557" s="329"/>
      <c r="L557" s="211"/>
      <c r="M557" s="211"/>
      <c r="N557" s="211"/>
      <c r="O557" s="211"/>
      <c r="P557" s="211"/>
      <c r="Q557" s="211"/>
      <c r="R557" s="211"/>
      <c r="V557" s="211"/>
      <c r="Y557" s="211"/>
      <c r="Z557" s="329"/>
      <c r="AA557" s="211"/>
      <c r="AB557" s="211"/>
      <c r="AC557" s="211"/>
      <c r="AD557" s="211"/>
      <c r="AE557" s="211"/>
      <c r="AF557" s="211"/>
      <c r="AI557" s="211"/>
      <c r="AJ557" s="211"/>
      <c r="AK557" s="212"/>
      <c r="AL557" s="211"/>
    </row>
    <row r="558" spans="1:40" x14ac:dyDescent="0.25">
      <c r="J558" s="334"/>
      <c r="K558" s="334"/>
      <c r="Z558" s="334"/>
    </row>
    <row r="559" spans="1:40" x14ac:dyDescent="0.25">
      <c r="A559" s="202"/>
      <c r="C559" s="154"/>
      <c r="J559" s="334"/>
      <c r="K559" s="334"/>
      <c r="T559" s="154"/>
      <c r="Z559" s="334"/>
    </row>
    <row r="560" spans="1:40" x14ac:dyDescent="0.25">
      <c r="A560" s="202"/>
      <c r="C560" s="154"/>
      <c r="J560" s="334"/>
      <c r="K560" s="334"/>
      <c r="T560" s="154"/>
      <c r="Z560" s="334"/>
    </row>
    <row r="561" spans="1:40" x14ac:dyDescent="0.25">
      <c r="A561" s="202"/>
      <c r="C561" s="154"/>
      <c r="F561" s="252"/>
      <c r="H561" s="252"/>
      <c r="I561" s="252"/>
      <c r="J561" s="329"/>
      <c r="K561" s="329"/>
      <c r="L561" s="200"/>
      <c r="M561" s="200"/>
      <c r="N561" s="210"/>
      <c r="O561" s="210"/>
      <c r="P561" s="200"/>
      <c r="Q561" s="200"/>
      <c r="R561" s="200"/>
      <c r="T561" s="154"/>
      <c r="V561" s="200"/>
      <c r="W561" s="200"/>
      <c r="X561" s="200"/>
      <c r="Y561" s="200"/>
      <c r="Z561" s="329"/>
      <c r="AA561" s="200"/>
      <c r="AB561" s="200"/>
      <c r="AC561" s="210"/>
      <c r="AD561" s="210"/>
      <c r="AE561" s="200"/>
      <c r="AF561" s="200"/>
      <c r="AG561" s="209"/>
      <c r="AH561" s="201"/>
      <c r="AI561" s="200"/>
      <c r="AJ561" s="200"/>
      <c r="AK561" s="209"/>
      <c r="AL561" s="200"/>
      <c r="AM561" s="201"/>
      <c r="AN561" s="201"/>
    </row>
    <row r="562" spans="1:40" x14ac:dyDescent="0.25">
      <c r="A562" s="202"/>
      <c r="C562" s="154"/>
      <c r="J562" s="334"/>
      <c r="K562" s="334"/>
      <c r="T562" s="154"/>
      <c r="Z562" s="334"/>
    </row>
    <row r="563" spans="1:40" x14ac:dyDescent="0.25">
      <c r="A563" s="202"/>
      <c r="C563" s="154"/>
      <c r="F563" s="252"/>
      <c r="H563" s="252"/>
      <c r="I563" s="252"/>
      <c r="J563" s="329"/>
      <c r="K563" s="329"/>
      <c r="L563" s="200"/>
      <c r="M563" s="200"/>
      <c r="N563" s="210"/>
      <c r="O563" s="210"/>
      <c r="P563" s="200"/>
      <c r="Q563" s="200"/>
      <c r="R563" s="200"/>
      <c r="T563" s="154"/>
      <c r="V563" s="200"/>
      <c r="W563" s="200"/>
      <c r="X563" s="200"/>
      <c r="Y563" s="200"/>
      <c r="Z563" s="329"/>
      <c r="AA563" s="200"/>
      <c r="AB563" s="200"/>
      <c r="AC563" s="210"/>
      <c r="AD563" s="210"/>
      <c r="AE563" s="200"/>
      <c r="AF563" s="200"/>
      <c r="AG563" s="209"/>
      <c r="AH563" s="201"/>
      <c r="AI563" s="200"/>
      <c r="AJ563" s="200"/>
      <c r="AK563" s="209"/>
      <c r="AL563" s="200"/>
      <c r="AM563" s="201"/>
      <c r="AN563" s="201"/>
    </row>
    <row r="564" spans="1:40" x14ac:dyDescent="0.25">
      <c r="F564" s="211"/>
      <c r="H564" s="211"/>
      <c r="I564" s="211"/>
      <c r="J564" s="329"/>
      <c r="K564" s="329"/>
      <c r="L564" s="211"/>
      <c r="M564" s="211"/>
      <c r="N564" s="211"/>
      <c r="O564" s="211"/>
      <c r="P564" s="211"/>
      <c r="Q564" s="211"/>
      <c r="R564" s="211"/>
      <c r="V564" s="211"/>
      <c r="Y564" s="211"/>
      <c r="Z564" s="329"/>
      <c r="AA564" s="211"/>
      <c r="AB564" s="211"/>
      <c r="AC564" s="211"/>
      <c r="AD564" s="211"/>
      <c r="AE564" s="211"/>
      <c r="AF564" s="211"/>
      <c r="AI564" s="211"/>
      <c r="AJ564" s="211"/>
      <c r="AK564" s="212"/>
      <c r="AL564" s="211"/>
    </row>
    <row r="565" spans="1:40" x14ac:dyDescent="0.25">
      <c r="A565" s="202"/>
      <c r="C565" s="154"/>
      <c r="F565" s="200"/>
      <c r="H565" s="200"/>
      <c r="I565" s="200"/>
      <c r="J565" s="334"/>
      <c r="K565" s="334"/>
      <c r="L565" s="200"/>
      <c r="M565" s="200"/>
      <c r="N565" s="201"/>
      <c r="O565" s="201"/>
      <c r="P565" s="200"/>
      <c r="Q565" s="200"/>
      <c r="R565" s="200"/>
      <c r="T565" s="154"/>
      <c r="V565" s="200"/>
      <c r="Y565" s="200"/>
      <c r="Z565" s="334"/>
      <c r="AA565" s="200"/>
      <c r="AB565" s="200"/>
      <c r="AC565" s="201"/>
      <c r="AD565" s="201"/>
      <c r="AE565" s="200"/>
      <c r="AF565" s="200"/>
      <c r="AG565" s="209"/>
      <c r="AH565" s="201"/>
      <c r="AI565" s="200"/>
      <c r="AJ565" s="200"/>
      <c r="AK565" s="209"/>
      <c r="AL565" s="200"/>
      <c r="AM565" s="201"/>
      <c r="AN565" s="201"/>
    </row>
    <row r="566" spans="1:40" x14ac:dyDescent="0.25">
      <c r="F566" s="211"/>
      <c r="H566" s="211"/>
      <c r="I566" s="211"/>
      <c r="J566" s="329"/>
      <c r="K566" s="329"/>
      <c r="L566" s="211"/>
      <c r="M566" s="211"/>
      <c r="N566" s="211"/>
      <c r="O566" s="211"/>
      <c r="P566" s="211"/>
      <c r="Q566" s="211"/>
      <c r="R566" s="211"/>
      <c r="V566" s="211"/>
      <c r="Y566" s="211"/>
      <c r="Z566" s="305"/>
      <c r="AA566" s="211"/>
      <c r="AB566" s="211"/>
      <c r="AC566" s="211"/>
      <c r="AD566" s="211"/>
      <c r="AE566" s="211"/>
      <c r="AF566" s="211"/>
      <c r="AI566" s="211"/>
      <c r="AJ566" s="211"/>
      <c r="AK566" s="212"/>
      <c r="AL566" s="211"/>
    </row>
    <row r="567" spans="1:40" x14ac:dyDescent="0.25">
      <c r="J567" s="334"/>
      <c r="K567" s="334"/>
    </row>
    <row r="568" spans="1:40" x14ac:dyDescent="0.25">
      <c r="A568" s="202"/>
      <c r="C568" s="154"/>
      <c r="F568" s="200"/>
      <c r="H568" s="200"/>
      <c r="I568" s="200"/>
      <c r="J568" s="334"/>
      <c r="K568" s="334"/>
      <c r="L568" s="200"/>
      <c r="M568" s="200"/>
      <c r="N568" s="210"/>
      <c r="O568" s="210"/>
      <c r="P568" s="252"/>
      <c r="Q568" s="252"/>
      <c r="R568" s="200"/>
      <c r="T568" s="154"/>
      <c r="V568" s="200"/>
      <c r="Y568" s="200"/>
      <c r="AA568" s="200"/>
      <c r="AB568" s="200"/>
      <c r="AC568" s="201"/>
      <c r="AD568" s="201"/>
      <c r="AE568" s="200"/>
      <c r="AF568" s="200"/>
      <c r="AG568" s="209"/>
      <c r="AH568" s="201"/>
      <c r="AI568" s="252"/>
      <c r="AJ568" s="252"/>
      <c r="AK568" s="209"/>
      <c r="AL568" s="200"/>
      <c r="AM568" s="201"/>
      <c r="AN568" s="201"/>
    </row>
    <row r="569" spans="1:40" x14ac:dyDescent="0.25">
      <c r="H569" s="211"/>
      <c r="I569" s="211"/>
      <c r="J569" s="329"/>
      <c r="K569" s="329"/>
      <c r="L569" s="211"/>
      <c r="M569" s="211"/>
      <c r="N569" s="211"/>
      <c r="O569" s="211"/>
      <c r="P569" s="211"/>
      <c r="Q569" s="211"/>
      <c r="R569" s="211"/>
      <c r="V569" s="211"/>
      <c r="Y569" s="211"/>
      <c r="Z569" s="305"/>
      <c r="AA569" s="211"/>
      <c r="AB569" s="211"/>
      <c r="AC569" s="211"/>
      <c r="AD569" s="211"/>
      <c r="AE569" s="211"/>
      <c r="AF569" s="211"/>
      <c r="AI569" s="211"/>
      <c r="AJ569" s="211"/>
      <c r="AK569" s="212"/>
      <c r="AL569" s="211"/>
    </row>
    <row r="570" spans="1:40" x14ac:dyDescent="0.25">
      <c r="F570" s="211"/>
    </row>
    <row r="571" spans="1:40" x14ac:dyDescent="0.25">
      <c r="C571" s="202"/>
      <c r="T571" s="202"/>
    </row>
    <row r="572" spans="1:40" x14ac:dyDescent="0.25">
      <c r="A572" s="154"/>
    </row>
    <row r="573" spans="1:40" x14ac:dyDescent="0.25">
      <c r="J573" s="202"/>
      <c r="K573" s="202"/>
      <c r="Z573" s="202"/>
    </row>
    <row r="574" spans="1:40" x14ac:dyDescent="0.25">
      <c r="H574" s="154"/>
      <c r="I574" s="154"/>
      <c r="Y574" s="154"/>
    </row>
    <row r="575" spans="1:40" x14ac:dyDescent="0.25">
      <c r="J575" s="202"/>
      <c r="K575" s="202"/>
      <c r="Z575" s="202"/>
    </row>
    <row r="576" spans="1:40" x14ac:dyDescent="0.25">
      <c r="L576" s="154"/>
      <c r="M576" s="154"/>
      <c r="AA576" s="154"/>
      <c r="AB576" s="154"/>
    </row>
    <row r="577" spans="1:40" x14ac:dyDescent="0.25">
      <c r="A577" s="202"/>
      <c r="R577" s="154"/>
      <c r="AK577" s="297"/>
      <c r="AL577" s="154"/>
    </row>
    <row r="578" spans="1:40" x14ac:dyDescent="0.25">
      <c r="A578" s="202"/>
      <c r="R578" s="154"/>
      <c r="AK578" s="297"/>
      <c r="AL578" s="154"/>
    </row>
    <row r="579" spans="1:40" x14ac:dyDescent="0.25">
      <c r="A579" s="154"/>
      <c r="R579" s="154"/>
      <c r="AK579" s="297"/>
      <c r="AL579" s="154"/>
    </row>
    <row r="580" spans="1:40" x14ac:dyDescent="0.25">
      <c r="L580" s="154"/>
      <c r="M580" s="154"/>
      <c r="R580" s="202"/>
      <c r="AA580" s="154"/>
      <c r="AB580" s="154"/>
      <c r="AK580" s="209"/>
      <c r="AL580" s="202"/>
    </row>
    <row r="581" spans="1:40" x14ac:dyDescent="0.2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208"/>
      <c r="AH581" s="102"/>
      <c r="AI581" s="102"/>
      <c r="AJ581" s="102"/>
      <c r="AK581" s="208"/>
      <c r="AL581" s="102"/>
      <c r="AM581" s="102"/>
      <c r="AN581" s="102"/>
    </row>
    <row r="582" spans="1:40" x14ac:dyDescent="0.25">
      <c r="L582" s="103"/>
      <c r="M582" s="103"/>
      <c r="N582" s="103"/>
      <c r="O582" s="103"/>
      <c r="R582" s="103"/>
      <c r="AA582" s="103"/>
      <c r="AB582" s="103"/>
      <c r="AC582" s="103"/>
      <c r="AD582" s="103"/>
      <c r="AE582" s="103"/>
      <c r="AF582" s="103"/>
      <c r="AG582" s="185"/>
      <c r="AH582" s="103"/>
      <c r="AK582" s="185"/>
      <c r="AL582" s="103"/>
      <c r="AM582" s="103"/>
      <c r="AN582" s="103"/>
    </row>
    <row r="583" spans="1:40" x14ac:dyDescent="0.25">
      <c r="L583" s="103"/>
      <c r="M583" s="103"/>
      <c r="N583" s="103"/>
      <c r="O583" s="103"/>
      <c r="R583" s="103"/>
      <c r="Z583" s="103"/>
      <c r="AA583" s="103"/>
      <c r="AB583" s="103"/>
      <c r="AC583" s="103"/>
      <c r="AD583" s="103"/>
      <c r="AE583" s="103"/>
      <c r="AF583" s="103"/>
      <c r="AG583" s="185"/>
      <c r="AH583" s="103"/>
      <c r="AK583" s="185"/>
      <c r="AL583" s="103"/>
      <c r="AM583" s="103"/>
      <c r="AN583" s="103"/>
    </row>
    <row r="584" spans="1:40" x14ac:dyDescent="0.25">
      <c r="A584" s="103"/>
      <c r="C584" s="103"/>
      <c r="D584" s="103"/>
      <c r="E584" s="103"/>
      <c r="F584" s="103"/>
      <c r="J584" s="103"/>
      <c r="K584" s="103"/>
      <c r="L584" s="103"/>
      <c r="M584" s="103"/>
      <c r="N584" s="103"/>
      <c r="O584" s="103"/>
      <c r="P584" s="103"/>
      <c r="Q584" s="103"/>
      <c r="R584" s="103"/>
      <c r="T584" s="103"/>
      <c r="U584" s="103"/>
      <c r="V584" s="103"/>
      <c r="Z584" s="103"/>
      <c r="AA584" s="103"/>
      <c r="AB584" s="103"/>
      <c r="AC584" s="103"/>
      <c r="AD584" s="103"/>
      <c r="AE584" s="103"/>
      <c r="AF584" s="103"/>
      <c r="AG584" s="185"/>
      <c r="AH584" s="103"/>
      <c r="AI584" s="103"/>
      <c r="AJ584" s="103"/>
      <c r="AK584" s="185"/>
      <c r="AL584" s="103"/>
      <c r="AM584" s="103"/>
      <c r="AN584" s="103"/>
    </row>
    <row r="585" spans="1:40" x14ac:dyDescent="0.25">
      <c r="A585" s="103"/>
      <c r="C585" s="103"/>
      <c r="D585" s="103"/>
      <c r="E585" s="103"/>
      <c r="F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T585" s="103"/>
      <c r="U585" s="103"/>
      <c r="V585" s="103"/>
      <c r="Y585" s="103"/>
      <c r="Z585" s="103"/>
      <c r="AA585" s="103"/>
      <c r="AB585" s="103"/>
      <c r="AC585" s="103"/>
      <c r="AD585" s="103"/>
      <c r="AE585" s="103"/>
      <c r="AF585" s="103"/>
      <c r="AG585" s="185"/>
      <c r="AH585" s="103"/>
      <c r="AI585" s="103"/>
      <c r="AJ585" s="103"/>
      <c r="AK585" s="185"/>
      <c r="AL585" s="103"/>
      <c r="AM585" s="103"/>
      <c r="AN585" s="103"/>
    </row>
    <row r="586" spans="1:40" x14ac:dyDescent="0.25">
      <c r="C586" s="103"/>
      <c r="D586" s="103"/>
      <c r="E586" s="103"/>
      <c r="F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T586" s="103"/>
      <c r="U586" s="103"/>
      <c r="V586" s="103"/>
      <c r="Y586" s="103"/>
      <c r="Z586" s="103"/>
      <c r="AA586" s="103"/>
      <c r="AB586" s="103"/>
      <c r="AC586" s="103"/>
      <c r="AD586" s="103"/>
      <c r="AE586" s="103"/>
      <c r="AF586" s="103"/>
      <c r="AG586" s="185"/>
      <c r="AH586" s="103"/>
      <c r="AI586" s="103"/>
      <c r="AJ586" s="103"/>
      <c r="AK586" s="185"/>
      <c r="AL586" s="103"/>
      <c r="AM586" s="103"/>
      <c r="AN586" s="103"/>
    </row>
    <row r="587" spans="1:40" x14ac:dyDescent="0.2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208"/>
      <c r="AH587" s="102"/>
      <c r="AI587" s="102"/>
      <c r="AJ587" s="102"/>
      <c r="AK587" s="208"/>
      <c r="AL587" s="102"/>
      <c r="AM587" s="102"/>
      <c r="AN587" s="102"/>
    </row>
    <row r="588" spans="1:40" x14ac:dyDescent="0.25"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Y588" s="103"/>
      <c r="Z588" s="103"/>
      <c r="AA588" s="103"/>
      <c r="AB588" s="103"/>
      <c r="AC588" s="103"/>
      <c r="AD588" s="103"/>
      <c r="AE588" s="103"/>
      <c r="AF588" s="103"/>
      <c r="AG588" s="185"/>
      <c r="AH588" s="103"/>
      <c r="AI588" s="103"/>
      <c r="AJ588" s="103"/>
      <c r="AK588" s="185"/>
      <c r="AL588" s="103"/>
      <c r="AM588" s="103"/>
      <c r="AN588" s="103"/>
    </row>
    <row r="589" spans="1:40" x14ac:dyDescent="0.25">
      <c r="A589" s="202"/>
      <c r="C589" s="154"/>
      <c r="D589" s="154"/>
      <c r="E589" s="154"/>
      <c r="T589" s="154"/>
      <c r="U589" s="154"/>
    </row>
    <row r="591" spans="1:40" x14ac:dyDescent="0.25">
      <c r="A591" s="202"/>
      <c r="C591" s="154"/>
      <c r="D591" s="154"/>
      <c r="E591" s="154"/>
      <c r="T591" s="154"/>
      <c r="U591" s="154"/>
    </row>
    <row r="592" spans="1:40" x14ac:dyDescent="0.25">
      <c r="A592" s="202"/>
      <c r="C592" s="154"/>
      <c r="T592" s="154"/>
    </row>
    <row r="593" spans="1:40" x14ac:dyDescent="0.25">
      <c r="A593" s="202"/>
      <c r="C593" s="154"/>
      <c r="T593" s="154"/>
    </row>
    <row r="594" spans="1:40" x14ac:dyDescent="0.25">
      <c r="A594" s="202"/>
      <c r="C594" s="154"/>
      <c r="H594" s="252"/>
      <c r="I594" s="252"/>
      <c r="J594" s="329"/>
      <c r="K594" s="329"/>
      <c r="L594" s="200"/>
      <c r="M594" s="200"/>
      <c r="N594" s="210"/>
      <c r="O594" s="210"/>
      <c r="P594" s="200"/>
      <c r="Q594" s="200"/>
      <c r="R594" s="200"/>
      <c r="T594" s="154"/>
      <c r="V594" s="200"/>
      <c r="W594" s="200"/>
      <c r="X594" s="200"/>
      <c r="Y594" s="200"/>
      <c r="Z594" s="329"/>
      <c r="AA594" s="200"/>
      <c r="AB594" s="200"/>
      <c r="AC594" s="210"/>
      <c r="AD594" s="210"/>
      <c r="AE594" s="200"/>
      <c r="AF594" s="200"/>
      <c r="AG594" s="209"/>
      <c r="AH594" s="201"/>
      <c r="AI594" s="200"/>
      <c r="AJ594" s="200"/>
      <c r="AK594" s="209"/>
      <c r="AL594" s="200"/>
      <c r="AM594" s="210"/>
      <c r="AN594" s="210"/>
    </row>
    <row r="595" spans="1:40" x14ac:dyDescent="0.25">
      <c r="A595" s="202"/>
      <c r="C595" s="154"/>
      <c r="F595" s="252"/>
      <c r="J595" s="334"/>
      <c r="K595" s="334"/>
      <c r="T595" s="154"/>
      <c r="V595" s="200"/>
      <c r="W595" s="200"/>
      <c r="X595" s="200"/>
      <c r="Y595" s="200"/>
      <c r="Z595" s="329"/>
    </row>
    <row r="596" spans="1:40" x14ac:dyDescent="0.25">
      <c r="A596" s="202"/>
      <c r="C596" s="154"/>
      <c r="H596" s="252"/>
      <c r="I596" s="252"/>
      <c r="J596" s="329"/>
      <c r="K596" s="329"/>
      <c r="L596" s="200"/>
      <c r="M596" s="200"/>
      <c r="N596" s="210"/>
      <c r="O596" s="210"/>
      <c r="P596" s="200"/>
      <c r="Q596" s="200"/>
      <c r="R596" s="200"/>
      <c r="T596" s="154"/>
      <c r="V596" s="200"/>
      <c r="W596" s="200"/>
      <c r="X596" s="200"/>
      <c r="Y596" s="200"/>
      <c r="Z596" s="329"/>
      <c r="AA596" s="200"/>
      <c r="AB596" s="200"/>
      <c r="AC596" s="210"/>
      <c r="AD596" s="210"/>
      <c r="AE596" s="200"/>
      <c r="AF596" s="200"/>
      <c r="AG596" s="209"/>
      <c r="AH596" s="201"/>
      <c r="AI596" s="200"/>
      <c r="AJ596" s="200"/>
      <c r="AK596" s="209"/>
      <c r="AL596" s="200"/>
      <c r="AM596" s="210"/>
      <c r="AN596" s="210"/>
    </row>
    <row r="597" spans="1:40" x14ac:dyDescent="0.25">
      <c r="A597" s="202"/>
      <c r="C597" s="154"/>
      <c r="F597" s="252"/>
      <c r="J597" s="334"/>
      <c r="K597" s="334"/>
      <c r="T597" s="154"/>
      <c r="V597" s="200"/>
      <c r="W597" s="200"/>
      <c r="X597" s="200"/>
      <c r="Y597" s="200"/>
      <c r="Z597" s="329"/>
    </row>
    <row r="598" spans="1:40" x14ac:dyDescent="0.25">
      <c r="A598" s="202"/>
      <c r="C598" s="154"/>
      <c r="H598" s="252"/>
      <c r="I598" s="252"/>
      <c r="J598" s="329"/>
      <c r="K598" s="329"/>
      <c r="L598" s="200"/>
      <c r="M598" s="200"/>
      <c r="N598" s="210"/>
      <c r="O598" s="210"/>
      <c r="P598" s="200"/>
      <c r="Q598" s="200"/>
      <c r="R598" s="200"/>
      <c r="T598" s="154"/>
      <c r="V598" s="200"/>
      <c r="W598" s="200"/>
      <c r="X598" s="200"/>
      <c r="Y598" s="200"/>
      <c r="Z598" s="329"/>
      <c r="AA598" s="200"/>
      <c r="AB598" s="200"/>
      <c r="AC598" s="210"/>
      <c r="AD598" s="210"/>
      <c r="AE598" s="200"/>
      <c r="AF598" s="200"/>
      <c r="AG598" s="209"/>
      <c r="AH598" s="201"/>
      <c r="AI598" s="200"/>
      <c r="AJ598" s="200"/>
      <c r="AK598" s="209"/>
      <c r="AL598" s="200"/>
      <c r="AM598" s="210"/>
      <c r="AN598" s="210"/>
    </row>
    <row r="599" spans="1:40" x14ac:dyDescent="0.25">
      <c r="A599" s="202"/>
      <c r="C599" s="154"/>
      <c r="F599" s="252"/>
      <c r="J599" s="334"/>
      <c r="K599" s="334"/>
      <c r="T599" s="154"/>
      <c r="V599" s="200"/>
      <c r="W599" s="200"/>
      <c r="X599" s="200"/>
      <c r="Y599" s="200"/>
      <c r="Z599" s="329"/>
    </row>
    <row r="600" spans="1:40" x14ac:dyDescent="0.25">
      <c r="A600" s="202"/>
      <c r="C600" s="154"/>
      <c r="H600" s="252"/>
      <c r="I600" s="252"/>
      <c r="J600" s="329"/>
      <c r="K600" s="329"/>
      <c r="L600" s="200"/>
      <c r="M600" s="200"/>
      <c r="N600" s="210"/>
      <c r="O600" s="210"/>
      <c r="P600" s="200"/>
      <c r="Q600" s="200"/>
      <c r="R600" s="200"/>
      <c r="T600" s="154"/>
      <c r="V600" s="200"/>
      <c r="W600" s="200"/>
      <c r="X600" s="200"/>
      <c r="Y600" s="200"/>
      <c r="Z600" s="329"/>
      <c r="AA600" s="200"/>
      <c r="AB600" s="200"/>
      <c r="AC600" s="210"/>
      <c r="AD600" s="210"/>
      <c r="AE600" s="200"/>
      <c r="AF600" s="200"/>
      <c r="AG600" s="209"/>
      <c r="AH600" s="201"/>
      <c r="AI600" s="200"/>
      <c r="AJ600" s="200"/>
      <c r="AK600" s="209"/>
      <c r="AL600" s="200"/>
      <c r="AM600" s="210"/>
      <c r="AN600" s="210"/>
    </row>
    <row r="601" spans="1:40" x14ac:dyDescent="0.25">
      <c r="A601" s="202"/>
      <c r="C601" s="154"/>
      <c r="F601" s="252"/>
      <c r="J601" s="334"/>
      <c r="K601" s="334"/>
      <c r="T601" s="154"/>
      <c r="V601" s="200"/>
      <c r="W601" s="200"/>
      <c r="X601" s="200"/>
      <c r="Y601" s="200"/>
      <c r="Z601" s="329"/>
    </row>
    <row r="602" spans="1:40" x14ac:dyDescent="0.25">
      <c r="A602" s="202"/>
      <c r="C602" s="154"/>
      <c r="H602" s="252"/>
      <c r="I602" s="252"/>
      <c r="J602" s="329"/>
      <c r="K602" s="329"/>
      <c r="L602" s="200"/>
      <c r="M602" s="200"/>
      <c r="N602" s="210"/>
      <c r="O602" s="210"/>
      <c r="P602" s="200"/>
      <c r="Q602" s="200"/>
      <c r="R602" s="200"/>
      <c r="T602" s="154"/>
      <c r="V602" s="200"/>
      <c r="W602" s="200"/>
      <c r="X602" s="200"/>
      <c r="Y602" s="200"/>
      <c r="Z602" s="329"/>
      <c r="AA602" s="200"/>
      <c r="AB602" s="200"/>
      <c r="AC602" s="210"/>
      <c r="AD602" s="210"/>
      <c r="AE602" s="200"/>
      <c r="AF602" s="200"/>
      <c r="AG602" s="209"/>
      <c r="AH602" s="201"/>
      <c r="AI602" s="200"/>
      <c r="AJ602" s="200"/>
      <c r="AK602" s="209"/>
      <c r="AL602" s="200"/>
      <c r="AM602" s="210"/>
      <c r="AN602" s="210"/>
    </row>
    <row r="603" spans="1:40" x14ac:dyDescent="0.25">
      <c r="A603" s="202"/>
      <c r="C603" s="154"/>
      <c r="F603" s="252"/>
      <c r="J603" s="334"/>
      <c r="K603" s="334"/>
      <c r="T603" s="154"/>
      <c r="V603" s="200"/>
      <c r="W603" s="200"/>
      <c r="X603" s="200"/>
      <c r="Y603" s="200"/>
      <c r="Z603" s="329"/>
    </row>
    <row r="604" spans="1:40" x14ac:dyDescent="0.25">
      <c r="A604" s="202"/>
      <c r="C604" s="154"/>
      <c r="H604" s="252"/>
      <c r="I604" s="252"/>
      <c r="J604" s="329"/>
      <c r="K604" s="329"/>
      <c r="L604" s="200"/>
      <c r="M604" s="200"/>
      <c r="N604" s="210"/>
      <c r="O604" s="210"/>
      <c r="P604" s="200"/>
      <c r="Q604" s="200"/>
      <c r="R604" s="200"/>
      <c r="T604" s="154"/>
      <c r="V604" s="200"/>
      <c r="W604" s="200"/>
      <c r="X604" s="200"/>
      <c r="Y604" s="200"/>
      <c r="Z604" s="329"/>
      <c r="AA604" s="200"/>
      <c r="AB604" s="200"/>
      <c r="AC604" s="210"/>
      <c r="AD604" s="210"/>
      <c r="AE604" s="200"/>
      <c r="AF604" s="200"/>
      <c r="AG604" s="209"/>
      <c r="AH604" s="201"/>
      <c r="AI604" s="200"/>
      <c r="AJ604" s="200"/>
      <c r="AK604" s="209"/>
      <c r="AL604" s="200"/>
      <c r="AM604" s="210"/>
      <c r="AN604" s="210"/>
    </row>
    <row r="605" spans="1:40" x14ac:dyDescent="0.25">
      <c r="F605" s="252"/>
      <c r="H605" s="211"/>
      <c r="I605" s="211"/>
      <c r="J605" s="329"/>
      <c r="K605" s="329"/>
      <c r="L605" s="211"/>
      <c r="M605" s="211"/>
      <c r="N605" s="211"/>
      <c r="O605" s="211"/>
      <c r="P605" s="211"/>
      <c r="Q605" s="211"/>
      <c r="R605" s="211"/>
      <c r="V605" s="211"/>
      <c r="Y605" s="211"/>
      <c r="Z605" s="329"/>
      <c r="AA605" s="211"/>
      <c r="AB605" s="211"/>
      <c r="AC605" s="211"/>
      <c r="AD605" s="211"/>
      <c r="AE605" s="211"/>
      <c r="AF605" s="211"/>
      <c r="AI605" s="211"/>
      <c r="AJ605" s="211"/>
      <c r="AK605" s="212"/>
      <c r="AL605" s="211"/>
      <c r="AM605" s="210"/>
      <c r="AN605" s="210"/>
    </row>
    <row r="606" spans="1:40" x14ac:dyDescent="0.25">
      <c r="A606" s="202"/>
      <c r="C606" s="154"/>
      <c r="F606" s="211"/>
      <c r="H606" s="200"/>
      <c r="I606" s="200"/>
      <c r="J606" s="334"/>
      <c r="K606" s="334"/>
      <c r="L606" s="200"/>
      <c r="M606" s="200"/>
      <c r="N606" s="210"/>
      <c r="O606" s="210"/>
      <c r="P606" s="252"/>
      <c r="Q606" s="252"/>
      <c r="R606" s="200"/>
      <c r="T606" s="154"/>
      <c r="V606" s="200"/>
      <c r="W606" s="200"/>
      <c r="X606" s="200"/>
      <c r="Y606" s="200"/>
      <c r="Z606" s="329"/>
      <c r="AA606" s="200"/>
      <c r="AB606" s="200"/>
      <c r="AC606" s="210"/>
      <c r="AD606" s="210"/>
      <c r="AE606" s="200"/>
      <c r="AF606" s="200"/>
      <c r="AG606" s="209"/>
      <c r="AH606" s="201"/>
      <c r="AI606" s="252"/>
      <c r="AJ606" s="252"/>
      <c r="AK606" s="209"/>
      <c r="AL606" s="200"/>
      <c r="AM606" s="210"/>
      <c r="AN606" s="210"/>
    </row>
    <row r="607" spans="1:40" x14ac:dyDescent="0.25">
      <c r="F607" s="200"/>
      <c r="H607" s="211"/>
      <c r="I607" s="211"/>
      <c r="J607" s="329"/>
      <c r="K607" s="329"/>
      <c r="L607" s="211"/>
      <c r="M607" s="211"/>
      <c r="N607" s="211"/>
      <c r="O607" s="211"/>
      <c r="P607" s="211"/>
      <c r="Q607" s="211"/>
      <c r="R607" s="211"/>
      <c r="V607" s="211"/>
      <c r="Y607" s="211"/>
      <c r="Z607" s="329"/>
      <c r="AA607" s="211"/>
      <c r="AB607" s="211"/>
      <c r="AC607" s="211"/>
      <c r="AD607" s="211"/>
      <c r="AE607" s="211"/>
      <c r="AF607" s="211"/>
      <c r="AI607" s="211"/>
      <c r="AJ607" s="211"/>
      <c r="AK607" s="212"/>
      <c r="AL607" s="211"/>
    </row>
    <row r="608" spans="1:40" x14ac:dyDescent="0.25">
      <c r="A608" s="202"/>
      <c r="C608" s="154"/>
      <c r="D608" s="154"/>
      <c r="E608" s="154"/>
      <c r="F608" s="211"/>
      <c r="J608" s="334"/>
      <c r="K608" s="334"/>
      <c r="T608" s="154"/>
      <c r="U608" s="154"/>
      <c r="V608" s="200"/>
      <c r="W608" s="200"/>
      <c r="X608" s="200"/>
      <c r="Y608" s="200"/>
      <c r="Z608" s="329"/>
    </row>
    <row r="609" spans="1:40" x14ac:dyDescent="0.25">
      <c r="A609" s="202"/>
      <c r="C609" s="154"/>
      <c r="J609" s="334"/>
      <c r="K609" s="334"/>
      <c r="T609" s="154"/>
      <c r="V609" s="200"/>
      <c r="W609" s="200"/>
      <c r="X609" s="200"/>
      <c r="Y609" s="200"/>
      <c r="Z609" s="329"/>
    </row>
    <row r="610" spans="1:40" x14ac:dyDescent="0.25">
      <c r="A610" s="202"/>
      <c r="C610" s="154"/>
      <c r="J610" s="334"/>
      <c r="K610" s="334"/>
      <c r="T610" s="154"/>
      <c r="V610" s="200"/>
      <c r="W610" s="200"/>
      <c r="X610" s="200"/>
      <c r="Y610" s="200"/>
      <c r="Z610" s="329"/>
    </row>
    <row r="611" spans="1:40" x14ac:dyDescent="0.25">
      <c r="A611" s="202"/>
      <c r="C611" s="154"/>
      <c r="H611" s="252"/>
      <c r="I611" s="252"/>
      <c r="J611" s="329"/>
      <c r="K611" s="329"/>
      <c r="L611" s="200"/>
      <c r="M611" s="200"/>
      <c r="N611" s="210"/>
      <c r="O611" s="210"/>
      <c r="P611" s="200"/>
      <c r="Q611" s="200"/>
      <c r="R611" s="200"/>
      <c r="T611" s="154"/>
      <c r="V611" s="200"/>
      <c r="W611" s="200"/>
      <c r="X611" s="200"/>
      <c r="Y611" s="200"/>
      <c r="Z611" s="329"/>
      <c r="AA611" s="200"/>
      <c r="AB611" s="200"/>
      <c r="AC611" s="210"/>
      <c r="AD611" s="210"/>
      <c r="AE611" s="200"/>
      <c r="AF611" s="200"/>
      <c r="AG611" s="209"/>
      <c r="AH611" s="201"/>
      <c r="AI611" s="200"/>
      <c r="AJ611" s="200"/>
      <c r="AK611" s="209"/>
      <c r="AL611" s="200"/>
      <c r="AM611" s="210"/>
      <c r="AN611" s="210"/>
    </row>
    <row r="612" spans="1:40" x14ac:dyDescent="0.25">
      <c r="A612" s="202"/>
      <c r="C612" s="154"/>
      <c r="F612" s="252"/>
      <c r="J612" s="334"/>
      <c r="K612" s="334"/>
      <c r="T612" s="154"/>
      <c r="V612" s="200"/>
      <c r="W612" s="200"/>
      <c r="X612" s="200"/>
      <c r="Y612" s="200"/>
      <c r="Z612" s="329"/>
    </row>
    <row r="613" spans="1:40" x14ac:dyDescent="0.25">
      <c r="A613" s="202"/>
      <c r="C613" s="154"/>
      <c r="H613" s="252"/>
      <c r="I613" s="252"/>
      <c r="J613" s="329"/>
      <c r="K613" s="329"/>
      <c r="L613" s="200"/>
      <c r="M613" s="200"/>
      <c r="N613" s="210"/>
      <c r="O613" s="210"/>
      <c r="P613" s="200"/>
      <c r="Q613" s="200"/>
      <c r="R613" s="200"/>
      <c r="T613" s="154"/>
      <c r="V613" s="200"/>
      <c r="W613" s="200"/>
      <c r="X613" s="200"/>
      <c r="Y613" s="200"/>
      <c r="Z613" s="329"/>
      <c r="AA613" s="200"/>
      <c r="AB613" s="200"/>
      <c r="AC613" s="210"/>
      <c r="AD613" s="210"/>
      <c r="AE613" s="200"/>
      <c r="AF613" s="200"/>
      <c r="AG613" s="209"/>
      <c r="AH613" s="201"/>
      <c r="AI613" s="200"/>
      <c r="AJ613" s="200"/>
      <c r="AK613" s="209"/>
      <c r="AL613" s="200"/>
      <c r="AM613" s="210"/>
      <c r="AN613" s="210"/>
    </row>
    <row r="614" spans="1:40" x14ac:dyDescent="0.25">
      <c r="F614" s="252"/>
      <c r="H614" s="211"/>
      <c r="I614" s="211"/>
      <c r="J614" s="329"/>
      <c r="K614" s="329"/>
      <c r="L614" s="211"/>
      <c r="M614" s="211"/>
      <c r="N614" s="211"/>
      <c r="O614" s="211"/>
      <c r="P614" s="211"/>
      <c r="Q614" s="211"/>
      <c r="R614" s="211"/>
      <c r="V614" s="211"/>
      <c r="Y614" s="211"/>
      <c r="Z614" s="305"/>
      <c r="AA614" s="211"/>
      <c r="AB614" s="211"/>
      <c r="AC614" s="211"/>
      <c r="AD614" s="211"/>
      <c r="AE614" s="211"/>
      <c r="AF614" s="211"/>
      <c r="AI614" s="211"/>
      <c r="AJ614" s="211"/>
      <c r="AK614" s="212"/>
      <c r="AL614" s="211"/>
    </row>
    <row r="615" spans="1:40" x14ac:dyDescent="0.25">
      <c r="A615" s="202"/>
      <c r="C615" s="154"/>
      <c r="F615" s="211"/>
      <c r="H615" s="200"/>
      <c r="I615" s="200"/>
      <c r="L615" s="200"/>
      <c r="M615" s="200"/>
      <c r="N615" s="210"/>
      <c r="O615" s="210"/>
      <c r="P615" s="252"/>
      <c r="Q615" s="252"/>
      <c r="R615" s="200"/>
      <c r="T615" s="154"/>
      <c r="V615" s="200"/>
      <c r="W615" s="200"/>
      <c r="X615" s="200"/>
      <c r="Y615" s="200"/>
      <c r="Z615" s="328"/>
      <c r="AA615" s="200"/>
      <c r="AB615" s="200"/>
      <c r="AC615" s="210"/>
      <c r="AD615" s="210"/>
      <c r="AE615" s="200"/>
      <c r="AF615" s="200"/>
      <c r="AG615" s="209"/>
      <c r="AH615" s="201"/>
      <c r="AI615" s="252"/>
      <c r="AJ615" s="252"/>
      <c r="AK615" s="209"/>
      <c r="AL615" s="200"/>
      <c r="AM615" s="210"/>
      <c r="AN615" s="210"/>
    </row>
    <row r="616" spans="1:40" x14ac:dyDescent="0.25">
      <c r="F616" s="200"/>
      <c r="H616" s="211"/>
      <c r="I616" s="211"/>
      <c r="J616" s="305"/>
      <c r="K616" s="305"/>
      <c r="L616" s="211"/>
      <c r="M616" s="211"/>
      <c r="N616" s="211"/>
      <c r="O616" s="211"/>
      <c r="P616" s="211"/>
      <c r="Q616" s="211"/>
      <c r="R616" s="211"/>
      <c r="V616" s="211"/>
      <c r="Y616" s="211"/>
      <c r="Z616" s="305"/>
      <c r="AA616" s="211"/>
      <c r="AB616" s="211"/>
      <c r="AC616" s="211"/>
      <c r="AD616" s="211"/>
      <c r="AE616" s="211"/>
      <c r="AF616" s="211"/>
      <c r="AI616" s="211"/>
      <c r="AJ616" s="211"/>
      <c r="AK616" s="212"/>
      <c r="AL616" s="211"/>
    </row>
    <row r="617" spans="1:40" x14ac:dyDescent="0.25">
      <c r="A617" s="202"/>
      <c r="C617" s="154"/>
      <c r="D617" s="154"/>
      <c r="E617" s="154"/>
      <c r="F617" s="211"/>
      <c r="T617" s="154"/>
      <c r="U617" s="154"/>
      <c r="V617" s="200"/>
      <c r="W617" s="200"/>
      <c r="X617" s="200"/>
      <c r="Y617" s="200"/>
      <c r="Z617" s="328"/>
    </row>
    <row r="618" spans="1:40" x14ac:dyDescent="0.25">
      <c r="A618" s="202"/>
      <c r="C618" s="154"/>
      <c r="T618" s="154"/>
      <c r="V618" s="200"/>
      <c r="W618" s="200"/>
      <c r="X618" s="200"/>
      <c r="Y618" s="200"/>
      <c r="Z618" s="328"/>
    </row>
    <row r="619" spans="1:40" x14ac:dyDescent="0.25">
      <c r="A619" s="202"/>
      <c r="C619" s="154"/>
      <c r="H619" s="252"/>
      <c r="I619" s="252"/>
      <c r="J619" s="328"/>
      <c r="K619" s="328"/>
      <c r="L619" s="200"/>
      <c r="M619" s="200"/>
      <c r="N619" s="210"/>
      <c r="O619" s="210"/>
      <c r="P619" s="200"/>
      <c r="Q619" s="200"/>
      <c r="R619" s="200"/>
      <c r="T619" s="154"/>
      <c r="V619" s="200"/>
      <c r="W619" s="200"/>
      <c r="X619" s="200"/>
      <c r="Y619" s="200"/>
      <c r="Z619" s="328"/>
      <c r="AA619" s="200"/>
      <c r="AB619" s="200"/>
      <c r="AC619" s="210"/>
      <c r="AD619" s="210"/>
      <c r="AE619" s="200"/>
      <c r="AF619" s="200"/>
      <c r="AG619" s="209"/>
      <c r="AH619" s="201"/>
      <c r="AI619" s="200"/>
      <c r="AJ619" s="200"/>
      <c r="AK619" s="209"/>
      <c r="AL619" s="200"/>
      <c r="AM619" s="210"/>
      <c r="AN619" s="210"/>
    </row>
    <row r="620" spans="1:40" x14ac:dyDescent="0.25">
      <c r="A620" s="202"/>
      <c r="C620" s="154"/>
      <c r="F620" s="252"/>
      <c r="T620" s="154"/>
      <c r="V620" s="200"/>
      <c r="W620" s="200"/>
      <c r="X620" s="200"/>
      <c r="Y620" s="200"/>
      <c r="Z620" s="328"/>
    </row>
    <row r="621" spans="1:40" x14ac:dyDescent="0.25">
      <c r="A621" s="202"/>
      <c r="C621" s="154"/>
      <c r="H621" s="252"/>
      <c r="I621" s="252"/>
      <c r="J621" s="328"/>
      <c r="K621" s="328"/>
      <c r="L621" s="200"/>
      <c r="M621" s="200"/>
      <c r="N621" s="210"/>
      <c r="O621" s="210"/>
      <c r="P621" s="200"/>
      <c r="Q621" s="200"/>
      <c r="R621" s="200"/>
      <c r="T621" s="154"/>
      <c r="V621" s="200"/>
      <c r="W621" s="200"/>
      <c r="X621" s="200"/>
      <c r="Y621" s="200"/>
      <c r="Z621" s="328"/>
      <c r="AA621" s="200"/>
      <c r="AB621" s="200"/>
      <c r="AC621" s="210"/>
      <c r="AD621" s="210"/>
      <c r="AE621" s="200"/>
      <c r="AF621" s="200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A622" s="202"/>
      <c r="C622" s="154"/>
      <c r="F622" s="252"/>
      <c r="T622" s="154"/>
      <c r="V622" s="200"/>
      <c r="W622" s="200"/>
      <c r="X622" s="200"/>
      <c r="Y622" s="200"/>
      <c r="Z622" s="328"/>
    </row>
    <row r="623" spans="1:40" x14ac:dyDescent="0.25">
      <c r="A623" s="202"/>
      <c r="C623" s="154"/>
      <c r="H623" s="252"/>
      <c r="I623" s="252"/>
      <c r="J623" s="328"/>
      <c r="K623" s="328"/>
      <c r="L623" s="200"/>
      <c r="M623" s="200"/>
      <c r="N623" s="210"/>
      <c r="O623" s="210"/>
      <c r="P623" s="200"/>
      <c r="Q623" s="200"/>
      <c r="R623" s="200"/>
      <c r="T623" s="154"/>
      <c r="V623" s="200"/>
      <c r="W623" s="200"/>
      <c r="X623" s="200"/>
      <c r="Y623" s="200"/>
      <c r="Z623" s="328"/>
      <c r="AA623" s="200"/>
      <c r="AB623" s="200"/>
      <c r="AC623" s="210"/>
      <c r="AD623" s="210"/>
      <c r="AE623" s="200"/>
      <c r="AF623" s="200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A624" s="202"/>
      <c r="C624" s="154"/>
      <c r="F624" s="252"/>
      <c r="T624" s="154"/>
      <c r="V624" s="200"/>
      <c r="W624" s="200"/>
      <c r="X624" s="200"/>
      <c r="Y624" s="200"/>
      <c r="Z624" s="328"/>
    </row>
    <row r="625" spans="1:40" x14ac:dyDescent="0.25">
      <c r="A625" s="202"/>
      <c r="C625" s="154"/>
      <c r="H625" s="252"/>
      <c r="I625" s="252"/>
      <c r="J625" s="328"/>
      <c r="K625" s="328"/>
      <c r="L625" s="200"/>
      <c r="M625" s="200"/>
      <c r="N625" s="210"/>
      <c r="O625" s="210"/>
      <c r="P625" s="200"/>
      <c r="Q625" s="200"/>
      <c r="R625" s="200"/>
      <c r="T625" s="154"/>
      <c r="V625" s="200"/>
      <c r="W625" s="200"/>
      <c r="X625" s="200"/>
      <c r="Y625" s="200"/>
      <c r="Z625" s="328"/>
      <c r="AA625" s="200"/>
      <c r="AB625" s="200"/>
      <c r="AC625" s="210"/>
      <c r="AD625" s="210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F626" s="252"/>
      <c r="H626" s="211"/>
      <c r="I626" s="211"/>
      <c r="J626" s="305"/>
      <c r="K626" s="305"/>
      <c r="L626" s="211"/>
      <c r="M626" s="211"/>
      <c r="N626" s="211"/>
      <c r="O626" s="211"/>
      <c r="P626" s="211"/>
      <c r="Q626" s="211"/>
      <c r="R626" s="211"/>
      <c r="V626" s="211"/>
      <c r="Y626" s="211"/>
      <c r="Z626" s="305"/>
      <c r="AA626" s="211"/>
      <c r="AB626" s="211"/>
      <c r="AC626" s="211"/>
      <c r="AD626" s="211"/>
      <c r="AE626" s="211"/>
      <c r="AF626" s="211"/>
      <c r="AI626" s="211"/>
      <c r="AJ626" s="211"/>
      <c r="AK626" s="212"/>
      <c r="AL626" s="211"/>
    </row>
    <row r="627" spans="1:40" x14ac:dyDescent="0.25">
      <c r="A627" s="202"/>
      <c r="C627" s="154"/>
      <c r="F627" s="211"/>
      <c r="H627" s="200"/>
      <c r="I627" s="200"/>
      <c r="L627" s="200"/>
      <c r="M627" s="200"/>
      <c r="N627" s="210"/>
      <c r="O627" s="210"/>
      <c r="P627" s="252"/>
      <c r="Q627" s="252"/>
      <c r="R627" s="200"/>
      <c r="T627" s="154"/>
      <c r="V627" s="200"/>
      <c r="W627" s="200"/>
      <c r="X627" s="200"/>
      <c r="Y627" s="200"/>
      <c r="Z627" s="328"/>
      <c r="AA627" s="200"/>
      <c r="AB627" s="200"/>
      <c r="AC627" s="210"/>
      <c r="AD627" s="210"/>
      <c r="AE627" s="200"/>
      <c r="AF627" s="200"/>
      <c r="AG627" s="209"/>
      <c r="AH627" s="201"/>
      <c r="AI627" s="252"/>
      <c r="AJ627" s="252"/>
      <c r="AK627" s="209"/>
      <c r="AL627" s="200"/>
      <c r="AM627" s="210"/>
      <c r="AN627" s="210"/>
    </row>
    <row r="628" spans="1:40" x14ac:dyDescent="0.25">
      <c r="F628" s="200"/>
      <c r="H628" s="211"/>
      <c r="I628" s="211"/>
      <c r="J628" s="305"/>
      <c r="K628" s="305"/>
      <c r="L628" s="211"/>
      <c r="M628" s="211"/>
      <c r="N628" s="211"/>
      <c r="O628" s="211"/>
      <c r="P628" s="211"/>
      <c r="Q628" s="211"/>
      <c r="R628" s="211"/>
      <c r="V628" s="211"/>
      <c r="Y628" s="211"/>
      <c r="Z628" s="305"/>
      <c r="AA628" s="211"/>
      <c r="AB628" s="211"/>
      <c r="AC628" s="211"/>
      <c r="AD628" s="211"/>
      <c r="AE628" s="211"/>
      <c r="AF628" s="211"/>
      <c r="AI628" s="211"/>
      <c r="AJ628" s="211"/>
      <c r="AK628" s="212"/>
      <c r="AL628" s="211"/>
    </row>
    <row r="629" spans="1:40" x14ac:dyDescent="0.25">
      <c r="A629" s="202"/>
      <c r="C629" s="154"/>
      <c r="F629" s="211"/>
      <c r="H629" s="200"/>
      <c r="I629" s="200"/>
      <c r="L629" s="200"/>
      <c r="M629" s="200"/>
      <c r="N629" s="210"/>
      <c r="O629" s="210"/>
      <c r="P629" s="200"/>
      <c r="Q629" s="200"/>
      <c r="R629" s="200"/>
      <c r="T629" s="154"/>
      <c r="V629" s="200"/>
      <c r="W629" s="200"/>
      <c r="X629" s="200"/>
      <c r="Y629" s="200"/>
      <c r="AA629" s="200"/>
      <c r="AB629" s="200"/>
      <c r="AC629" s="210"/>
      <c r="AD629" s="210"/>
      <c r="AE629" s="200"/>
      <c r="AF629" s="200"/>
      <c r="AG629" s="209"/>
      <c r="AH629" s="201"/>
      <c r="AI629" s="200"/>
      <c r="AJ629" s="200"/>
      <c r="AK629" s="209"/>
      <c r="AL629" s="200"/>
      <c r="AM629" s="201"/>
      <c r="AN629" s="201"/>
    </row>
    <row r="630" spans="1:40" x14ac:dyDescent="0.25">
      <c r="F630" s="200"/>
      <c r="H630" s="211"/>
      <c r="I630" s="211"/>
      <c r="J630" s="305"/>
      <c r="K630" s="305"/>
      <c r="L630" s="211"/>
      <c r="M630" s="211"/>
      <c r="N630" s="211"/>
      <c r="O630" s="211"/>
      <c r="P630" s="211"/>
      <c r="Q630" s="211"/>
      <c r="R630" s="211"/>
      <c r="V630" s="211"/>
      <c r="Y630" s="211"/>
      <c r="Z630" s="305"/>
      <c r="AA630" s="211"/>
      <c r="AB630" s="211"/>
      <c r="AC630" s="211"/>
      <c r="AD630" s="211"/>
      <c r="AE630" s="211"/>
      <c r="AF630" s="211"/>
      <c r="AI630" s="211"/>
      <c r="AJ630" s="211"/>
      <c r="AK630" s="212"/>
      <c r="AL630" s="211"/>
    </row>
    <row r="632" spans="1:40" x14ac:dyDescent="0.25">
      <c r="C632" s="202"/>
      <c r="F632" s="211"/>
      <c r="T632" s="202"/>
    </row>
    <row r="633" spans="1:40" x14ac:dyDescent="0.25">
      <c r="A633" s="154"/>
    </row>
    <row r="634" spans="1:40" x14ac:dyDescent="0.25">
      <c r="J634" s="202"/>
      <c r="K634" s="202"/>
      <c r="Z634" s="202"/>
    </row>
    <row r="635" spans="1:40" x14ac:dyDescent="0.25">
      <c r="H635" s="154"/>
      <c r="I635" s="154"/>
      <c r="Y635" s="154"/>
    </row>
    <row r="636" spans="1:40" x14ac:dyDescent="0.25">
      <c r="J636" s="202"/>
      <c r="K636" s="202"/>
      <c r="Z636" s="202"/>
    </row>
    <row r="637" spans="1:40" x14ac:dyDescent="0.25">
      <c r="L637" s="154"/>
      <c r="M637" s="154"/>
      <c r="AA637" s="154"/>
      <c r="AB637" s="154"/>
    </row>
    <row r="638" spans="1:40" x14ac:dyDescent="0.25">
      <c r="A638" s="202"/>
      <c r="R638" s="154"/>
      <c r="AK638" s="297"/>
      <c r="AL638" s="154"/>
    </row>
    <row r="639" spans="1:40" x14ac:dyDescent="0.25">
      <c r="A639" s="202"/>
      <c r="R639" s="154"/>
      <c r="AK639" s="297"/>
      <c r="AL639" s="154"/>
    </row>
    <row r="640" spans="1:40" x14ac:dyDescent="0.25">
      <c r="A640" s="154"/>
      <c r="R640" s="154"/>
      <c r="AK640" s="297"/>
      <c r="AL640" s="154"/>
    </row>
    <row r="641" spans="1:40" x14ac:dyDescent="0.25">
      <c r="L641" s="154"/>
      <c r="M641" s="154"/>
      <c r="R641" s="202"/>
      <c r="AA641" s="154"/>
      <c r="AB641" s="154"/>
      <c r="AK641" s="209"/>
      <c r="AL641" s="202"/>
    </row>
    <row r="642" spans="1:40" x14ac:dyDescent="0.25">
      <c r="A642" s="102"/>
      <c r="B642" s="102"/>
      <c r="C642" s="102"/>
      <c r="D642" s="102"/>
      <c r="E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208"/>
      <c r="AH642" s="102"/>
      <c r="AI642" s="102"/>
      <c r="AJ642" s="102"/>
      <c r="AK642" s="208"/>
      <c r="AL642" s="102"/>
      <c r="AM642" s="102"/>
      <c r="AN642" s="102"/>
    </row>
    <row r="643" spans="1:40" x14ac:dyDescent="0.25">
      <c r="F643" s="102"/>
      <c r="L643" s="103"/>
      <c r="M643" s="103"/>
      <c r="N643" s="103"/>
      <c r="O643" s="103"/>
      <c r="R643" s="103"/>
      <c r="AA643" s="103"/>
      <c r="AB643" s="103"/>
      <c r="AC643" s="103"/>
      <c r="AD643" s="103"/>
      <c r="AE643" s="103"/>
      <c r="AF643" s="103"/>
      <c r="AG643" s="185"/>
      <c r="AH643" s="103"/>
      <c r="AK643" s="185"/>
      <c r="AL643" s="103"/>
      <c r="AM643" s="103"/>
      <c r="AN643" s="103"/>
    </row>
    <row r="644" spans="1:40" x14ac:dyDescent="0.25">
      <c r="L644" s="103"/>
      <c r="M644" s="103"/>
      <c r="N644" s="103"/>
      <c r="O644" s="103"/>
      <c r="R644" s="103"/>
      <c r="Z644" s="103"/>
      <c r="AA644" s="103"/>
      <c r="AB644" s="103"/>
      <c r="AC644" s="103"/>
      <c r="AD644" s="103"/>
      <c r="AE644" s="103"/>
      <c r="AF644" s="103"/>
      <c r="AG644" s="185"/>
      <c r="AH644" s="103"/>
      <c r="AK644" s="185"/>
      <c r="AL644" s="103"/>
      <c r="AM644" s="103"/>
      <c r="AN644" s="103"/>
    </row>
    <row r="645" spans="1:40" x14ac:dyDescent="0.25">
      <c r="A645" s="103"/>
      <c r="C645" s="103"/>
      <c r="D645" s="103"/>
      <c r="E645" s="103"/>
      <c r="J645" s="103"/>
      <c r="K645" s="103"/>
      <c r="L645" s="103"/>
      <c r="M645" s="103"/>
      <c r="N645" s="103"/>
      <c r="O645" s="103"/>
      <c r="P645" s="103"/>
      <c r="Q645" s="103"/>
      <c r="R645" s="103"/>
      <c r="T645" s="103"/>
      <c r="U645" s="103"/>
      <c r="V645" s="103"/>
      <c r="Z645" s="103"/>
      <c r="AA645" s="103"/>
      <c r="AB645" s="103"/>
      <c r="AC645" s="103"/>
      <c r="AD645" s="103"/>
      <c r="AE645" s="103"/>
      <c r="AF645" s="103"/>
      <c r="AG645" s="185"/>
      <c r="AH645" s="103"/>
      <c r="AI645" s="103"/>
      <c r="AJ645" s="103"/>
      <c r="AK645" s="185"/>
      <c r="AL645" s="103"/>
      <c r="AM645" s="103"/>
      <c r="AN645" s="103"/>
    </row>
    <row r="646" spans="1:40" x14ac:dyDescent="0.25">
      <c r="A646" s="103"/>
      <c r="C646" s="103"/>
      <c r="D646" s="103"/>
      <c r="E646" s="103"/>
      <c r="F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T646" s="103"/>
      <c r="U646" s="103"/>
      <c r="V646" s="103"/>
      <c r="Y646" s="103"/>
      <c r="Z646" s="103"/>
      <c r="AA646" s="103"/>
      <c r="AB646" s="103"/>
      <c r="AC646" s="103"/>
      <c r="AD646" s="103"/>
      <c r="AE646" s="103"/>
      <c r="AF646" s="103"/>
      <c r="AG646" s="185"/>
      <c r="AH646" s="103"/>
      <c r="AI646" s="103"/>
      <c r="AJ646" s="103"/>
      <c r="AK646" s="185"/>
      <c r="AL646" s="103"/>
      <c r="AM646" s="103"/>
      <c r="AN646" s="103"/>
    </row>
    <row r="647" spans="1:40" x14ac:dyDescent="0.25">
      <c r="C647" s="103"/>
      <c r="D647" s="103"/>
      <c r="E647" s="103"/>
      <c r="F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T647" s="103"/>
      <c r="U647" s="103"/>
      <c r="V647" s="103"/>
      <c r="Y647" s="103"/>
      <c r="Z647" s="103"/>
      <c r="AA647" s="103"/>
      <c r="AB647" s="103"/>
      <c r="AC647" s="103"/>
      <c r="AD647" s="103"/>
      <c r="AE647" s="103"/>
      <c r="AF647" s="103"/>
      <c r="AG647" s="185"/>
      <c r="AH647" s="103"/>
      <c r="AI647" s="103"/>
      <c r="AJ647" s="103"/>
      <c r="AK647" s="185"/>
      <c r="AL647" s="103"/>
      <c r="AM647" s="103"/>
      <c r="AN647" s="103"/>
    </row>
    <row r="648" spans="1:40" x14ac:dyDescent="0.25">
      <c r="A648" s="102"/>
      <c r="B648" s="102"/>
      <c r="C648" s="102"/>
      <c r="D648" s="102"/>
      <c r="E648" s="102"/>
      <c r="F648" s="103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208"/>
      <c r="AH648" s="102"/>
      <c r="AI648" s="102"/>
      <c r="AJ648" s="102"/>
      <c r="AK648" s="208"/>
      <c r="AL648" s="102"/>
      <c r="AM648" s="102"/>
      <c r="AN648" s="102"/>
    </row>
    <row r="649" spans="1:40" x14ac:dyDescent="0.25">
      <c r="F649" s="102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Y649" s="103"/>
      <c r="Z649" s="103"/>
      <c r="AA649" s="103"/>
      <c r="AB649" s="103"/>
      <c r="AC649" s="103"/>
      <c r="AD649" s="103"/>
      <c r="AE649" s="103"/>
      <c r="AF649" s="103"/>
      <c r="AG649" s="185"/>
      <c r="AH649" s="103"/>
      <c r="AI649" s="103"/>
      <c r="AJ649" s="103"/>
      <c r="AK649" s="185"/>
      <c r="AL649" s="103"/>
      <c r="AM649" s="103"/>
      <c r="AN649" s="103"/>
    </row>
    <row r="650" spans="1:40" x14ac:dyDescent="0.25">
      <c r="A650" s="202"/>
      <c r="C650" s="154"/>
      <c r="D650" s="154"/>
      <c r="E650" s="154"/>
      <c r="H650" s="200"/>
      <c r="I650" s="200"/>
      <c r="J650" s="213"/>
      <c r="K650" s="213"/>
      <c r="L650" s="200"/>
      <c r="M650" s="200"/>
      <c r="N650" s="213"/>
      <c r="O650" s="213"/>
      <c r="P650" s="200"/>
      <c r="Q650" s="200"/>
      <c r="R650" s="200"/>
      <c r="T650" s="154"/>
      <c r="U650" s="154"/>
      <c r="V650" s="200"/>
      <c r="Y650" s="200"/>
      <c r="Z650" s="213"/>
      <c r="AA650" s="200"/>
      <c r="AB650" s="200"/>
      <c r="AC650" s="213"/>
      <c r="AD650" s="213"/>
      <c r="AE650" s="200"/>
      <c r="AF650" s="200"/>
      <c r="AG650" s="209"/>
      <c r="AH650" s="201"/>
      <c r="AI650" s="200"/>
      <c r="AJ650" s="200"/>
      <c r="AK650" s="209"/>
      <c r="AL650" s="200"/>
      <c r="AM650" s="210"/>
      <c r="AN650" s="210"/>
    </row>
    <row r="651" spans="1:40" x14ac:dyDescent="0.25">
      <c r="F651" s="200"/>
      <c r="H651" s="211"/>
      <c r="I651" s="211"/>
      <c r="J651" s="305"/>
      <c r="K651" s="305"/>
      <c r="L651" s="211"/>
      <c r="M651" s="211"/>
      <c r="N651" s="211"/>
      <c r="O651" s="211"/>
      <c r="P651" s="211"/>
      <c r="Q651" s="211"/>
      <c r="R651" s="211"/>
      <c r="V651" s="211"/>
      <c r="Y651" s="211"/>
      <c r="Z651" s="305"/>
      <c r="AA651" s="211"/>
      <c r="AB651" s="211"/>
      <c r="AC651" s="211"/>
      <c r="AD651" s="211"/>
      <c r="AE651" s="211"/>
      <c r="AF651" s="211"/>
      <c r="AI651" s="211"/>
      <c r="AJ651" s="211"/>
      <c r="AK651" s="212"/>
      <c r="AL651" s="211"/>
      <c r="AM651" s="210"/>
      <c r="AN651" s="210"/>
    </row>
    <row r="652" spans="1:40" x14ac:dyDescent="0.25">
      <c r="A652" s="202"/>
      <c r="C652" s="154"/>
      <c r="F652" s="211"/>
      <c r="H652" s="200"/>
      <c r="I652" s="200"/>
      <c r="J652" s="213"/>
      <c r="K652" s="213"/>
      <c r="L652" s="200"/>
      <c r="M652" s="200"/>
      <c r="N652" s="213"/>
      <c r="O652" s="213"/>
      <c r="P652" s="200"/>
      <c r="Q652" s="200"/>
      <c r="R652" s="200"/>
      <c r="T652" s="154"/>
      <c r="V652" s="200"/>
      <c r="Y652" s="200"/>
      <c r="Z652" s="213"/>
      <c r="AA652" s="200"/>
      <c r="AB652" s="200"/>
      <c r="AC652" s="213"/>
      <c r="AD652" s="213"/>
      <c r="AE652" s="200"/>
      <c r="AF652" s="200"/>
      <c r="AG652" s="209"/>
      <c r="AH652" s="201"/>
      <c r="AI652" s="200"/>
      <c r="AJ652" s="200"/>
      <c r="AK652" s="209"/>
      <c r="AL652" s="200"/>
      <c r="AM652" s="210"/>
      <c r="AN652" s="210"/>
    </row>
    <row r="653" spans="1:40" x14ac:dyDescent="0.25">
      <c r="F653" s="200"/>
      <c r="H653" s="200"/>
      <c r="I653" s="200"/>
      <c r="J653" s="213"/>
      <c r="K653" s="213"/>
      <c r="L653" s="200"/>
      <c r="M653" s="200"/>
      <c r="N653" s="213"/>
      <c r="O653" s="213"/>
      <c r="P653" s="200"/>
      <c r="Q653" s="200"/>
      <c r="R653" s="200"/>
      <c r="V653" s="200"/>
      <c r="Y653" s="200"/>
      <c r="Z653" s="213"/>
      <c r="AA653" s="200"/>
      <c r="AB653" s="200"/>
      <c r="AC653" s="213"/>
      <c r="AD653" s="213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C654" s="154"/>
      <c r="D654" s="154"/>
      <c r="E654" s="154"/>
      <c r="F654" s="200"/>
      <c r="H654" s="200"/>
      <c r="I654" s="200"/>
      <c r="J654" s="213"/>
      <c r="K654" s="213"/>
      <c r="L654" s="200"/>
      <c r="M654" s="200"/>
      <c r="N654" s="213"/>
      <c r="O654" s="213"/>
      <c r="P654" s="200"/>
      <c r="Q654" s="200"/>
      <c r="R654" s="200"/>
      <c r="T654" s="154"/>
      <c r="U654" s="154"/>
      <c r="V654" s="200"/>
      <c r="Y654" s="200"/>
      <c r="Z654" s="213"/>
      <c r="AA654" s="200"/>
      <c r="AB654" s="200"/>
      <c r="AC654" s="213"/>
      <c r="AD654" s="213"/>
      <c r="AE654" s="200"/>
      <c r="AF654" s="200"/>
      <c r="AG654" s="209"/>
      <c r="AH654" s="201"/>
      <c r="AI654" s="200"/>
      <c r="AJ654" s="200"/>
      <c r="AK654" s="209"/>
      <c r="AL654" s="200"/>
      <c r="AM654" s="210"/>
      <c r="AN654" s="210"/>
    </row>
    <row r="655" spans="1:40" x14ac:dyDescent="0.25">
      <c r="A655" s="202"/>
      <c r="C655" s="154"/>
      <c r="D655" s="154"/>
      <c r="E655" s="154"/>
      <c r="F655" s="200"/>
      <c r="H655" s="200"/>
      <c r="I655" s="200"/>
      <c r="J655" s="213"/>
      <c r="K655" s="213"/>
      <c r="L655" s="200"/>
      <c r="M655" s="200"/>
      <c r="N655" s="213"/>
      <c r="O655" s="213"/>
      <c r="P655" s="200"/>
      <c r="Q655" s="200"/>
      <c r="R655" s="200"/>
      <c r="T655" s="154"/>
      <c r="U655" s="154"/>
      <c r="V655" s="200"/>
      <c r="Y655" s="200"/>
      <c r="Z655" s="213"/>
      <c r="AA655" s="200"/>
      <c r="AB655" s="200"/>
      <c r="AC655" s="213"/>
      <c r="AD655" s="213"/>
      <c r="AE655" s="200"/>
      <c r="AF655" s="200"/>
      <c r="AG655" s="209"/>
      <c r="AH655" s="201"/>
      <c r="AI655" s="200"/>
      <c r="AJ655" s="200"/>
      <c r="AK655" s="209"/>
      <c r="AL655" s="200"/>
      <c r="AM655" s="210"/>
      <c r="AN655" s="210"/>
    </row>
    <row r="656" spans="1:40" x14ac:dyDescent="0.25">
      <c r="A656" s="202"/>
      <c r="C656" s="154"/>
      <c r="D656" s="154"/>
      <c r="E656" s="154"/>
      <c r="F656" s="200"/>
      <c r="H656" s="200"/>
      <c r="I656" s="200"/>
      <c r="J656" s="213"/>
      <c r="K656" s="213"/>
      <c r="L656" s="200"/>
      <c r="M656" s="200"/>
      <c r="N656" s="213"/>
      <c r="O656" s="213"/>
      <c r="P656" s="200"/>
      <c r="Q656" s="200"/>
      <c r="R656" s="200"/>
      <c r="T656" s="154"/>
      <c r="U656" s="154"/>
      <c r="V656" s="200"/>
      <c r="Y656" s="200"/>
      <c r="Z656" s="213"/>
      <c r="AA656" s="200"/>
      <c r="AB656" s="200"/>
      <c r="AC656" s="213"/>
      <c r="AD656" s="213"/>
      <c r="AE656" s="200"/>
      <c r="AF656" s="200"/>
      <c r="AG656" s="209"/>
      <c r="AH656" s="201"/>
      <c r="AI656" s="200"/>
      <c r="AJ656" s="200"/>
      <c r="AK656" s="209"/>
      <c r="AL656" s="200"/>
      <c r="AM656" s="210"/>
      <c r="AN656" s="210"/>
    </row>
    <row r="657" spans="1:40" x14ac:dyDescent="0.25">
      <c r="A657" s="202"/>
      <c r="C657" s="154"/>
      <c r="D657" s="154"/>
      <c r="E657" s="154"/>
      <c r="F657" s="200"/>
      <c r="H657" s="200"/>
      <c r="I657" s="200"/>
      <c r="J657" s="213"/>
      <c r="K657" s="213"/>
      <c r="L657" s="200"/>
      <c r="M657" s="200"/>
      <c r="N657" s="213"/>
      <c r="O657" s="213"/>
      <c r="P657" s="200"/>
      <c r="Q657" s="200"/>
      <c r="R657" s="200"/>
      <c r="T657" s="154"/>
      <c r="U657" s="154"/>
      <c r="V657" s="200"/>
      <c r="Y657" s="200"/>
      <c r="Z657" s="213"/>
      <c r="AA657" s="200"/>
      <c r="AB657" s="200"/>
      <c r="AC657" s="213"/>
      <c r="AD657" s="213"/>
      <c r="AE657" s="200"/>
      <c r="AF657" s="200"/>
      <c r="AG657" s="209"/>
      <c r="AH657" s="201"/>
      <c r="AI657" s="200"/>
      <c r="AJ657" s="200"/>
      <c r="AK657" s="209"/>
      <c r="AL657" s="200"/>
      <c r="AM657" s="210"/>
      <c r="AN657" s="210"/>
    </row>
    <row r="658" spans="1:40" x14ac:dyDescent="0.25">
      <c r="A658" s="202"/>
      <c r="C658" s="154"/>
      <c r="D658" s="154"/>
      <c r="E658" s="154"/>
      <c r="F658" s="200"/>
      <c r="H658" s="200"/>
      <c r="I658" s="200"/>
      <c r="J658" s="213"/>
      <c r="K658" s="213"/>
      <c r="L658" s="200"/>
      <c r="M658" s="200"/>
      <c r="N658" s="213"/>
      <c r="O658" s="213"/>
      <c r="P658" s="200"/>
      <c r="Q658" s="200"/>
      <c r="R658" s="200"/>
      <c r="T658" s="154"/>
      <c r="U658" s="154"/>
      <c r="V658" s="200"/>
      <c r="Y658" s="200"/>
      <c r="Z658" s="213"/>
      <c r="AA658" s="200"/>
      <c r="AB658" s="200"/>
      <c r="AC658" s="213"/>
      <c r="AD658" s="213"/>
      <c r="AE658" s="200"/>
      <c r="AF658" s="200"/>
      <c r="AG658" s="209"/>
      <c r="AH658" s="201"/>
      <c r="AI658" s="200"/>
      <c r="AJ658" s="200"/>
      <c r="AK658" s="209"/>
      <c r="AL658" s="200"/>
      <c r="AM658" s="210"/>
      <c r="AN658" s="210"/>
    </row>
    <row r="659" spans="1:40" x14ac:dyDescent="0.25">
      <c r="A659" s="202"/>
      <c r="C659" s="154"/>
      <c r="D659" s="154"/>
      <c r="E659" s="154"/>
      <c r="F659" s="200"/>
      <c r="H659" s="200"/>
      <c r="I659" s="200"/>
      <c r="J659" s="213"/>
      <c r="K659" s="213"/>
      <c r="L659" s="200"/>
      <c r="M659" s="200"/>
      <c r="N659" s="213"/>
      <c r="O659" s="213"/>
      <c r="P659" s="200"/>
      <c r="Q659" s="200"/>
      <c r="R659" s="200"/>
      <c r="T659" s="154"/>
      <c r="U659" s="154"/>
      <c r="V659" s="200"/>
      <c r="Y659" s="200"/>
      <c r="Z659" s="213"/>
      <c r="AA659" s="200"/>
      <c r="AB659" s="200"/>
      <c r="AC659" s="213"/>
      <c r="AD659" s="213"/>
      <c r="AE659" s="200"/>
      <c r="AF659" s="200"/>
      <c r="AG659" s="209"/>
      <c r="AH659" s="201"/>
      <c r="AI659" s="200"/>
      <c r="AJ659" s="200"/>
      <c r="AK659" s="209"/>
      <c r="AL659" s="200"/>
      <c r="AM659" s="210"/>
      <c r="AN659" s="210"/>
    </row>
    <row r="660" spans="1:40" x14ac:dyDescent="0.25">
      <c r="F660" s="200"/>
      <c r="H660" s="211"/>
      <c r="I660" s="211"/>
      <c r="J660" s="305"/>
      <c r="K660" s="305"/>
      <c r="L660" s="211"/>
      <c r="M660" s="211"/>
      <c r="N660" s="211"/>
      <c r="O660" s="211"/>
      <c r="P660" s="211"/>
      <c r="Q660" s="211"/>
      <c r="R660" s="211"/>
      <c r="V660" s="211"/>
      <c r="Y660" s="211"/>
      <c r="Z660" s="305"/>
      <c r="AA660" s="211"/>
      <c r="AB660" s="211"/>
      <c r="AC660" s="211"/>
      <c r="AD660" s="211"/>
      <c r="AE660" s="211"/>
      <c r="AF660" s="211"/>
      <c r="AI660" s="211"/>
      <c r="AJ660" s="211"/>
      <c r="AK660" s="212"/>
      <c r="AL660" s="211"/>
      <c r="AM660" s="210"/>
      <c r="AN660" s="210"/>
    </row>
    <row r="661" spans="1:40" x14ac:dyDescent="0.25">
      <c r="A661" s="202"/>
      <c r="C661" s="154"/>
      <c r="F661" s="211"/>
      <c r="H661" s="200"/>
      <c r="I661" s="200"/>
      <c r="J661" s="213"/>
      <c r="K661" s="213"/>
      <c r="L661" s="200"/>
      <c r="M661" s="200"/>
      <c r="N661" s="213"/>
      <c r="O661" s="213"/>
      <c r="P661" s="200"/>
      <c r="Q661" s="200"/>
      <c r="R661" s="200"/>
      <c r="T661" s="154"/>
      <c r="V661" s="200"/>
      <c r="Y661" s="200"/>
      <c r="Z661" s="213"/>
      <c r="AA661" s="200"/>
      <c r="AB661" s="200"/>
      <c r="AC661" s="213"/>
      <c r="AD661" s="213"/>
      <c r="AE661" s="200"/>
      <c r="AF661" s="200"/>
      <c r="AG661" s="209"/>
      <c r="AH661" s="201"/>
      <c r="AI661" s="200"/>
      <c r="AJ661" s="200"/>
      <c r="AK661" s="209"/>
      <c r="AL661" s="200"/>
      <c r="AM661" s="210"/>
      <c r="AN661" s="210"/>
    </row>
    <row r="662" spans="1:40" x14ac:dyDescent="0.25">
      <c r="F662" s="200"/>
      <c r="H662" s="200"/>
      <c r="I662" s="200"/>
      <c r="J662" s="213"/>
      <c r="K662" s="213"/>
      <c r="L662" s="200"/>
      <c r="M662" s="200"/>
      <c r="N662" s="213"/>
      <c r="O662" s="213"/>
      <c r="P662" s="200"/>
      <c r="Q662" s="200"/>
      <c r="R662" s="200"/>
      <c r="V662" s="200"/>
      <c r="Y662" s="200"/>
      <c r="Z662" s="213"/>
      <c r="AA662" s="200"/>
      <c r="AB662" s="200"/>
      <c r="AC662" s="213"/>
      <c r="AD662" s="213"/>
      <c r="AG662" s="209"/>
      <c r="AH662" s="201"/>
      <c r="AI662" s="200"/>
      <c r="AJ662" s="200"/>
      <c r="AK662" s="209"/>
      <c r="AL662" s="200"/>
      <c r="AM662" s="210"/>
      <c r="AN662" s="210"/>
    </row>
    <row r="663" spans="1:40" x14ac:dyDescent="0.25">
      <c r="A663" s="202"/>
      <c r="C663" s="154"/>
      <c r="D663" s="154"/>
      <c r="E663" s="154"/>
      <c r="F663" s="200"/>
      <c r="H663" s="200"/>
      <c r="I663" s="200"/>
      <c r="J663" s="213"/>
      <c r="K663" s="213"/>
      <c r="L663" s="200"/>
      <c r="M663" s="200"/>
      <c r="N663" s="213"/>
      <c r="O663" s="213"/>
      <c r="P663" s="200"/>
      <c r="Q663" s="200"/>
      <c r="R663" s="200"/>
      <c r="T663" s="154"/>
      <c r="U663" s="154"/>
      <c r="V663" s="200"/>
      <c r="Y663" s="200"/>
      <c r="Z663" s="213"/>
      <c r="AA663" s="200"/>
      <c r="AB663" s="200"/>
      <c r="AC663" s="213"/>
      <c r="AD663" s="213"/>
      <c r="AE663" s="200"/>
      <c r="AF663" s="200"/>
      <c r="AG663" s="209"/>
      <c r="AH663" s="201"/>
      <c r="AI663" s="200"/>
      <c r="AJ663" s="200"/>
      <c r="AK663" s="209"/>
      <c r="AL663" s="200"/>
      <c r="AM663" s="210"/>
      <c r="AN663" s="210"/>
    </row>
    <row r="664" spans="1:40" x14ac:dyDescent="0.25">
      <c r="F664" s="200"/>
      <c r="H664" s="211"/>
      <c r="I664" s="211"/>
      <c r="J664" s="305"/>
      <c r="K664" s="305"/>
      <c r="L664" s="211"/>
      <c r="M664" s="211"/>
      <c r="N664" s="211"/>
      <c r="O664" s="211"/>
      <c r="P664" s="211"/>
      <c r="Q664" s="211"/>
      <c r="R664" s="211"/>
      <c r="V664" s="211"/>
      <c r="Y664" s="211"/>
      <c r="Z664" s="305"/>
      <c r="AA664" s="211"/>
      <c r="AB664" s="211"/>
      <c r="AC664" s="211"/>
      <c r="AD664" s="211"/>
      <c r="AE664" s="211"/>
      <c r="AF664" s="211"/>
      <c r="AI664" s="211"/>
      <c r="AJ664" s="211"/>
      <c r="AK664" s="212"/>
      <c r="AL664" s="211"/>
      <c r="AM664" s="210"/>
      <c r="AN664" s="210"/>
    </row>
    <row r="665" spans="1:40" x14ac:dyDescent="0.25">
      <c r="A665" s="202"/>
      <c r="C665" s="154"/>
      <c r="F665" s="211"/>
      <c r="H665" s="200"/>
      <c r="I665" s="200"/>
      <c r="J665" s="213"/>
      <c r="K665" s="213"/>
      <c r="L665" s="200"/>
      <c r="M665" s="200"/>
      <c r="N665" s="213"/>
      <c r="O665" s="213"/>
      <c r="P665" s="200"/>
      <c r="Q665" s="200"/>
      <c r="R665" s="200"/>
      <c r="T665" s="154"/>
      <c r="V665" s="200"/>
      <c r="Y665" s="200"/>
      <c r="Z665" s="213"/>
      <c r="AA665" s="200"/>
      <c r="AB665" s="200"/>
      <c r="AC665" s="213"/>
      <c r="AD665" s="213"/>
      <c r="AE665" s="200"/>
      <c r="AF665" s="200"/>
      <c r="AG665" s="209"/>
      <c r="AH665" s="201"/>
      <c r="AI665" s="200"/>
      <c r="AJ665" s="200"/>
      <c r="AK665" s="209"/>
      <c r="AL665" s="200"/>
      <c r="AM665" s="210"/>
      <c r="AN665" s="210"/>
    </row>
    <row r="666" spans="1:40" x14ac:dyDescent="0.25">
      <c r="F666" s="200"/>
      <c r="H666" s="200"/>
      <c r="I666" s="200"/>
      <c r="J666" s="213"/>
      <c r="K666" s="213"/>
      <c r="L666" s="200"/>
      <c r="M666" s="200"/>
      <c r="N666" s="213"/>
      <c r="O666" s="213"/>
      <c r="P666" s="200"/>
      <c r="Q666" s="200"/>
      <c r="R666" s="200"/>
      <c r="V666" s="200"/>
      <c r="Y666" s="200"/>
      <c r="Z666" s="213"/>
      <c r="AA666" s="200"/>
      <c r="AB666" s="200"/>
      <c r="AC666" s="213"/>
      <c r="AD666" s="213"/>
      <c r="AG666" s="209"/>
      <c r="AH666" s="201"/>
      <c r="AI666" s="200"/>
      <c r="AJ666" s="200"/>
      <c r="AK666" s="209"/>
      <c r="AL666" s="200"/>
      <c r="AM666" s="210"/>
      <c r="AN666" s="210"/>
    </row>
    <row r="667" spans="1:40" x14ac:dyDescent="0.25">
      <c r="A667" s="202"/>
      <c r="C667" s="154"/>
      <c r="D667" s="154"/>
      <c r="E667" s="154"/>
      <c r="F667" s="200"/>
      <c r="H667" s="200"/>
      <c r="I667" s="200"/>
      <c r="J667" s="213"/>
      <c r="K667" s="213"/>
      <c r="L667" s="200"/>
      <c r="M667" s="200"/>
      <c r="N667" s="213"/>
      <c r="O667" s="213"/>
      <c r="P667" s="200"/>
      <c r="Q667" s="200"/>
      <c r="R667" s="200"/>
      <c r="T667" s="154"/>
      <c r="U667" s="154"/>
      <c r="V667" s="200"/>
      <c r="Y667" s="200"/>
      <c r="Z667" s="213"/>
      <c r="AA667" s="200"/>
      <c r="AB667" s="200"/>
      <c r="AC667" s="213"/>
      <c r="AD667" s="213"/>
      <c r="AE667" s="200"/>
      <c r="AF667" s="200"/>
      <c r="AG667" s="209"/>
      <c r="AH667" s="201"/>
      <c r="AI667" s="200"/>
      <c r="AJ667" s="200"/>
      <c r="AK667" s="209"/>
      <c r="AL667" s="200"/>
      <c r="AM667" s="210"/>
      <c r="AN667" s="210"/>
    </row>
    <row r="668" spans="1:40" x14ac:dyDescent="0.25">
      <c r="A668" s="202"/>
      <c r="C668" s="154"/>
      <c r="D668" s="154"/>
      <c r="E668" s="154"/>
      <c r="F668" s="200"/>
      <c r="G668" s="200"/>
      <c r="H668" s="200"/>
      <c r="I668" s="200"/>
      <c r="J668" s="213"/>
      <c r="K668" s="213"/>
      <c r="L668" s="200"/>
      <c r="M668" s="200"/>
      <c r="N668" s="213"/>
      <c r="O668" s="213"/>
      <c r="P668" s="200"/>
      <c r="Q668" s="200"/>
      <c r="R668" s="200"/>
      <c r="T668" s="154"/>
      <c r="U668" s="154"/>
      <c r="V668" s="200"/>
      <c r="W668" s="200"/>
      <c r="X668" s="200"/>
      <c r="Y668" s="200"/>
      <c r="Z668" s="213"/>
      <c r="AA668" s="200"/>
      <c r="AB668" s="200"/>
      <c r="AC668" s="213"/>
      <c r="AD668" s="213"/>
      <c r="AE668" s="200"/>
      <c r="AF668" s="200"/>
      <c r="AG668" s="209"/>
      <c r="AH668" s="201"/>
      <c r="AI668" s="200"/>
      <c r="AJ668" s="200"/>
      <c r="AK668" s="209"/>
      <c r="AL668" s="200"/>
      <c r="AM668" s="210"/>
      <c r="AN668" s="210"/>
    </row>
    <row r="669" spans="1:40" x14ac:dyDescent="0.25">
      <c r="A669" s="202"/>
      <c r="C669" s="154"/>
      <c r="D669" s="154"/>
      <c r="E669" s="154"/>
      <c r="F669" s="200"/>
      <c r="G669" s="200"/>
      <c r="H669" s="200"/>
      <c r="I669" s="200"/>
      <c r="J669" s="213"/>
      <c r="K669" s="213"/>
      <c r="L669" s="200"/>
      <c r="M669" s="200"/>
      <c r="N669" s="213"/>
      <c r="O669" s="213"/>
      <c r="P669" s="200"/>
      <c r="Q669" s="200"/>
      <c r="R669" s="200"/>
      <c r="T669" s="154"/>
      <c r="U669" s="154"/>
      <c r="V669" s="200"/>
      <c r="W669" s="200"/>
      <c r="X669" s="200"/>
      <c r="Y669" s="200"/>
      <c r="Z669" s="213"/>
      <c r="AA669" s="200"/>
      <c r="AB669" s="200"/>
      <c r="AC669" s="213"/>
      <c r="AD669" s="213"/>
      <c r="AE669" s="200"/>
      <c r="AF669" s="200"/>
      <c r="AG669" s="209"/>
      <c r="AH669" s="201"/>
      <c r="AI669" s="200"/>
      <c r="AJ669" s="200"/>
      <c r="AK669" s="209"/>
      <c r="AL669" s="200"/>
      <c r="AM669" s="210"/>
      <c r="AN669" s="210"/>
    </row>
    <row r="670" spans="1:40" x14ac:dyDescent="0.25">
      <c r="A670" s="202"/>
      <c r="C670" s="154"/>
      <c r="D670" s="154"/>
      <c r="E670" s="154"/>
      <c r="F670" s="200"/>
      <c r="H670" s="200"/>
      <c r="I670" s="200"/>
      <c r="J670" s="213"/>
      <c r="K670" s="213"/>
      <c r="L670" s="200"/>
      <c r="M670" s="200"/>
      <c r="N670" s="213"/>
      <c r="O670" s="213"/>
      <c r="P670" s="200"/>
      <c r="Q670" s="200"/>
      <c r="R670" s="200"/>
      <c r="T670" s="154"/>
      <c r="U670" s="154"/>
      <c r="V670" s="200"/>
      <c r="Y670" s="200"/>
      <c r="Z670" s="213"/>
      <c r="AA670" s="200"/>
      <c r="AB670" s="200"/>
      <c r="AC670" s="213"/>
      <c r="AD670" s="213"/>
      <c r="AE670" s="200"/>
      <c r="AF670" s="200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A671" s="202"/>
      <c r="C671" s="154"/>
      <c r="D671" s="154"/>
      <c r="E671" s="154"/>
      <c r="F671" s="200"/>
      <c r="H671" s="200"/>
      <c r="I671" s="200"/>
      <c r="J671" s="213"/>
      <c r="K671" s="213"/>
      <c r="L671" s="200"/>
      <c r="M671" s="200"/>
      <c r="N671" s="213"/>
      <c r="O671" s="213"/>
      <c r="P671" s="200"/>
      <c r="Q671" s="200"/>
      <c r="R671" s="200"/>
      <c r="T671" s="154"/>
      <c r="U671" s="154"/>
      <c r="V671" s="200"/>
      <c r="Y671" s="200"/>
      <c r="Z671" s="213"/>
      <c r="AA671" s="200"/>
      <c r="AB671" s="200"/>
      <c r="AC671" s="213"/>
      <c r="AD671" s="213"/>
      <c r="AE671" s="200"/>
      <c r="AF671" s="200"/>
      <c r="AG671" s="209"/>
      <c r="AH671" s="201"/>
      <c r="AI671" s="200"/>
      <c r="AJ671" s="200"/>
      <c r="AK671" s="209"/>
      <c r="AL671" s="200"/>
      <c r="AM671" s="210"/>
      <c r="AN671" s="210"/>
    </row>
    <row r="672" spans="1:40" x14ac:dyDescent="0.25">
      <c r="A672" s="202"/>
      <c r="C672" s="154"/>
      <c r="D672" s="154"/>
      <c r="E672" s="154"/>
      <c r="F672" s="200"/>
      <c r="H672" s="200"/>
      <c r="I672" s="200"/>
      <c r="J672" s="213"/>
      <c r="K672" s="213"/>
      <c r="L672" s="200"/>
      <c r="M672" s="200"/>
      <c r="N672" s="213"/>
      <c r="O672" s="213"/>
      <c r="P672" s="200"/>
      <c r="Q672" s="200"/>
      <c r="R672" s="200"/>
      <c r="T672" s="154"/>
      <c r="U672" s="154"/>
      <c r="V672" s="200"/>
      <c r="Y672" s="200"/>
      <c r="Z672" s="213"/>
      <c r="AA672" s="200"/>
      <c r="AB672" s="200"/>
      <c r="AC672" s="213"/>
      <c r="AD672" s="213"/>
      <c r="AE672" s="200"/>
      <c r="AF672" s="200"/>
      <c r="AG672" s="209"/>
      <c r="AH672" s="201"/>
      <c r="AI672" s="200"/>
      <c r="AJ672" s="200"/>
      <c r="AK672" s="209"/>
      <c r="AL672" s="200"/>
      <c r="AM672" s="210"/>
      <c r="AN672" s="210"/>
    </row>
    <row r="673" spans="1:40" x14ac:dyDescent="0.25">
      <c r="A673" s="202"/>
      <c r="C673" s="154"/>
      <c r="D673" s="154"/>
      <c r="E673" s="154"/>
      <c r="F673" s="200"/>
      <c r="H673" s="200"/>
      <c r="I673" s="200"/>
      <c r="J673" s="213"/>
      <c r="K673" s="213"/>
      <c r="L673" s="200"/>
      <c r="M673" s="200"/>
      <c r="N673" s="213"/>
      <c r="O673" s="213"/>
      <c r="P673" s="200"/>
      <c r="Q673" s="200"/>
      <c r="R673" s="200"/>
      <c r="T673" s="154"/>
      <c r="U673" s="154"/>
      <c r="V673" s="200"/>
      <c r="Y673" s="200"/>
      <c r="Z673" s="213"/>
      <c r="AA673" s="200"/>
      <c r="AB673" s="200"/>
      <c r="AC673" s="213"/>
      <c r="AD673" s="213"/>
      <c r="AE673" s="200"/>
      <c r="AF673" s="200"/>
      <c r="AG673" s="209"/>
      <c r="AH673" s="201"/>
      <c r="AI673" s="200"/>
      <c r="AJ673" s="200"/>
      <c r="AK673" s="209"/>
      <c r="AL673" s="200"/>
      <c r="AM673" s="210"/>
      <c r="AN673" s="210"/>
    </row>
    <row r="674" spans="1:40" x14ac:dyDescent="0.25">
      <c r="F674" s="200"/>
      <c r="H674" s="211"/>
      <c r="I674" s="211"/>
      <c r="J674" s="305"/>
      <c r="K674" s="305"/>
      <c r="L674" s="211"/>
      <c r="M674" s="211"/>
      <c r="N674" s="211"/>
      <c r="O674" s="211"/>
      <c r="P674" s="211"/>
      <c r="Q674" s="211"/>
      <c r="R674" s="211"/>
      <c r="V674" s="211"/>
      <c r="Y674" s="211"/>
      <c r="Z674" s="305"/>
      <c r="AA674" s="211"/>
      <c r="AB674" s="211"/>
      <c r="AC674" s="211"/>
      <c r="AD674" s="211"/>
      <c r="AE674" s="211"/>
      <c r="AF674" s="211"/>
      <c r="AI674" s="211"/>
      <c r="AJ674" s="211"/>
      <c r="AK674" s="212"/>
      <c r="AL674" s="211"/>
      <c r="AM674" s="210"/>
      <c r="AN674" s="210"/>
    </row>
    <row r="675" spans="1:40" x14ac:dyDescent="0.25">
      <c r="A675" s="202"/>
      <c r="C675" s="154"/>
      <c r="F675" s="211"/>
      <c r="H675" s="200"/>
      <c r="I675" s="200"/>
      <c r="J675" s="213"/>
      <c r="K675" s="213"/>
      <c r="L675" s="200"/>
      <c r="M675" s="200"/>
      <c r="N675" s="213"/>
      <c r="O675" s="213"/>
      <c r="P675" s="200"/>
      <c r="Q675" s="200"/>
      <c r="R675" s="200"/>
      <c r="T675" s="154"/>
      <c r="V675" s="200"/>
      <c r="Y675" s="200"/>
      <c r="Z675" s="213"/>
      <c r="AA675" s="200"/>
      <c r="AB675" s="200"/>
      <c r="AC675" s="213"/>
      <c r="AD675" s="213"/>
      <c r="AE675" s="200"/>
      <c r="AF675" s="200"/>
      <c r="AG675" s="209"/>
      <c r="AH675" s="201"/>
      <c r="AI675" s="200"/>
      <c r="AJ675" s="200"/>
      <c r="AK675" s="209"/>
      <c r="AL675" s="200"/>
      <c r="AM675" s="210"/>
      <c r="AN675" s="210"/>
    </row>
    <row r="676" spans="1:40" x14ac:dyDescent="0.25">
      <c r="F676" s="200"/>
      <c r="V676" s="200"/>
      <c r="Y676" s="200"/>
      <c r="Z676" s="305"/>
      <c r="AA676" s="200"/>
      <c r="AB676" s="200"/>
      <c r="AC676" s="200"/>
      <c r="AD676" s="200"/>
      <c r="AE676" s="200"/>
      <c r="AF676" s="200"/>
      <c r="AI676" s="200"/>
      <c r="AJ676" s="200"/>
      <c r="AK676" s="209"/>
      <c r="AL676" s="200"/>
      <c r="AM676" s="210"/>
      <c r="AN676" s="210"/>
    </row>
    <row r="677" spans="1:40" x14ac:dyDescent="0.25">
      <c r="A677" s="202"/>
      <c r="C677" s="154"/>
      <c r="D677" s="154"/>
      <c r="E677" s="154"/>
      <c r="L677" s="200"/>
      <c r="M677" s="200"/>
      <c r="N677" s="213"/>
      <c r="O677" s="213"/>
      <c r="P677" s="202"/>
      <c r="Q677" s="202"/>
      <c r="R677" s="200"/>
      <c r="T677" s="154"/>
      <c r="U677" s="154"/>
      <c r="AA677" s="200"/>
      <c r="AB677" s="200"/>
      <c r="AC677" s="213"/>
      <c r="AD677" s="213"/>
      <c r="AE677" s="200"/>
      <c r="AF677" s="200"/>
      <c r="AG677" s="209"/>
      <c r="AH677" s="201"/>
      <c r="AI677" s="202"/>
      <c r="AJ677" s="202"/>
      <c r="AK677" s="209"/>
      <c r="AL677" s="200"/>
      <c r="AM677" s="210"/>
      <c r="AN677" s="210"/>
    </row>
    <row r="678" spans="1:40" x14ac:dyDescent="0.25">
      <c r="A678" s="202"/>
      <c r="D678" s="154"/>
      <c r="E678" s="154"/>
      <c r="H678" s="252"/>
      <c r="I678" s="252"/>
      <c r="J678" s="213"/>
      <c r="K678" s="213"/>
      <c r="L678" s="200"/>
      <c r="M678" s="200"/>
      <c r="N678" s="213"/>
      <c r="O678" s="213"/>
      <c r="P678" s="252"/>
      <c r="Q678" s="252"/>
      <c r="R678" s="200"/>
      <c r="U678" s="154"/>
      <c r="V678" s="200"/>
      <c r="Y678" s="200"/>
      <c r="Z678" s="213"/>
      <c r="AA678" s="200"/>
      <c r="AB678" s="200"/>
      <c r="AC678" s="213"/>
      <c r="AD678" s="213"/>
      <c r="AE678" s="200"/>
      <c r="AF678" s="200"/>
      <c r="AG678" s="209"/>
      <c r="AH678" s="201"/>
      <c r="AI678" s="200"/>
      <c r="AJ678" s="200"/>
      <c r="AK678" s="209"/>
      <c r="AL678" s="200"/>
      <c r="AM678" s="210"/>
      <c r="AN678" s="210"/>
    </row>
    <row r="679" spans="1:40" x14ac:dyDescent="0.25">
      <c r="F679" s="252"/>
      <c r="H679" s="211"/>
      <c r="I679" s="211"/>
      <c r="J679" s="305"/>
      <c r="K679" s="305"/>
      <c r="L679" s="211"/>
      <c r="M679" s="211"/>
      <c r="N679" s="211"/>
      <c r="O679" s="211"/>
      <c r="P679" s="211"/>
      <c r="Q679" s="211"/>
      <c r="R679" s="211"/>
      <c r="V679" s="211"/>
      <c r="Y679" s="211"/>
      <c r="Z679" s="305"/>
      <c r="AA679" s="211"/>
      <c r="AB679" s="211"/>
      <c r="AC679" s="211"/>
      <c r="AD679" s="211"/>
      <c r="AE679" s="211"/>
      <c r="AF679" s="211"/>
      <c r="AI679" s="211"/>
      <c r="AJ679" s="211"/>
      <c r="AK679" s="212"/>
      <c r="AL679" s="211"/>
      <c r="AM679" s="210"/>
      <c r="AN679" s="210"/>
    </row>
    <row r="680" spans="1:40" x14ac:dyDescent="0.25">
      <c r="A680" s="202"/>
      <c r="C680" s="154"/>
      <c r="F680" s="211"/>
      <c r="H680" s="200"/>
      <c r="I680" s="200"/>
      <c r="J680" s="213"/>
      <c r="K680" s="213"/>
      <c r="L680" s="200"/>
      <c r="M680" s="200"/>
      <c r="N680" s="213"/>
      <c r="O680" s="213"/>
      <c r="P680" s="200"/>
      <c r="Q680" s="200"/>
      <c r="R680" s="200"/>
      <c r="T680" s="154"/>
      <c r="V680" s="200"/>
      <c r="Y680" s="200"/>
      <c r="Z680" s="213"/>
      <c r="AA680" s="200"/>
      <c r="AB680" s="200"/>
      <c r="AC680" s="213"/>
      <c r="AD680" s="213"/>
      <c r="AE680" s="200"/>
      <c r="AF680" s="200"/>
      <c r="AG680" s="209"/>
      <c r="AH680" s="201"/>
      <c r="AI680" s="200"/>
      <c r="AJ680" s="200"/>
      <c r="AK680" s="209"/>
      <c r="AL680" s="200"/>
      <c r="AM680" s="210"/>
      <c r="AN680" s="210"/>
    </row>
    <row r="681" spans="1:40" x14ac:dyDescent="0.25">
      <c r="F681" s="200"/>
      <c r="H681" s="200"/>
      <c r="I681" s="200"/>
      <c r="J681" s="213"/>
      <c r="K681" s="213"/>
      <c r="L681" s="200"/>
      <c r="M681" s="200"/>
      <c r="N681" s="213"/>
      <c r="O681" s="213"/>
      <c r="P681" s="200"/>
      <c r="Q681" s="200"/>
      <c r="R681" s="200"/>
      <c r="V681" s="200"/>
      <c r="Y681" s="200"/>
      <c r="Z681" s="213"/>
      <c r="AA681" s="200"/>
      <c r="AB681" s="200"/>
      <c r="AC681" s="213"/>
      <c r="AD681" s="213"/>
      <c r="AG681" s="209"/>
      <c r="AH681" s="201"/>
      <c r="AI681" s="200"/>
      <c r="AJ681" s="200"/>
      <c r="AK681" s="209"/>
      <c r="AL681" s="200"/>
      <c r="AM681" s="210"/>
      <c r="AN681" s="210"/>
    </row>
    <row r="682" spans="1:40" x14ac:dyDescent="0.25">
      <c r="A682" s="202"/>
      <c r="D682" s="154"/>
      <c r="E682" s="154"/>
      <c r="F682" s="200"/>
      <c r="H682" s="200"/>
      <c r="I682" s="200"/>
      <c r="J682" s="213"/>
      <c r="K682" s="213"/>
      <c r="L682" s="252"/>
      <c r="M682" s="252"/>
      <c r="N682" s="213"/>
      <c r="O682" s="213"/>
      <c r="P682" s="200"/>
      <c r="Q682" s="200"/>
      <c r="R682" s="200"/>
      <c r="U682" s="154"/>
      <c r="V682" s="200"/>
      <c r="Y682" s="200"/>
      <c r="Z682" s="213"/>
      <c r="AA682" s="252"/>
      <c r="AB682" s="252"/>
      <c r="AC682" s="213"/>
      <c r="AD682" s="213"/>
      <c r="AE682" s="200"/>
      <c r="AF682" s="200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A683" s="202"/>
      <c r="D683" s="154"/>
      <c r="E683" s="154"/>
      <c r="F683" s="200"/>
      <c r="H683" s="200"/>
      <c r="I683" s="200"/>
      <c r="J683" s="213"/>
      <c r="K683" s="213"/>
      <c r="L683" s="252"/>
      <c r="M683" s="252"/>
      <c r="N683" s="213"/>
      <c r="O683" s="213"/>
      <c r="P683" s="200"/>
      <c r="Q683" s="200"/>
      <c r="R683" s="200"/>
      <c r="U683" s="154"/>
      <c r="V683" s="200"/>
      <c r="Y683" s="200"/>
      <c r="Z683" s="213"/>
      <c r="AA683" s="252"/>
      <c r="AB683" s="252"/>
      <c r="AC683" s="213"/>
      <c r="AD683" s="213"/>
      <c r="AE683" s="200"/>
      <c r="AF683" s="200"/>
      <c r="AG683" s="209"/>
      <c r="AH683" s="201"/>
      <c r="AI683" s="200"/>
      <c r="AJ683" s="200"/>
      <c r="AK683" s="209"/>
      <c r="AL683" s="200"/>
      <c r="AM683" s="210"/>
      <c r="AN683" s="210"/>
    </row>
    <row r="684" spans="1:40" x14ac:dyDescent="0.25">
      <c r="A684" s="202"/>
      <c r="D684" s="154"/>
      <c r="E684" s="154"/>
      <c r="F684" s="200"/>
      <c r="H684" s="200"/>
      <c r="I684" s="200"/>
      <c r="J684" s="213"/>
      <c r="K684" s="213"/>
      <c r="L684" s="252"/>
      <c r="M684" s="252"/>
      <c r="N684" s="213"/>
      <c r="O684" s="213"/>
      <c r="P684" s="200"/>
      <c r="Q684" s="200"/>
      <c r="R684" s="200"/>
      <c r="U684" s="154"/>
      <c r="V684" s="200"/>
      <c r="Y684" s="200"/>
      <c r="Z684" s="213"/>
      <c r="AA684" s="252"/>
      <c r="AB684" s="252"/>
      <c r="AC684" s="213"/>
      <c r="AD684" s="213"/>
      <c r="AE684" s="200"/>
      <c r="AF684" s="200"/>
      <c r="AG684" s="209"/>
      <c r="AH684" s="201"/>
      <c r="AI684" s="200"/>
      <c r="AJ684" s="200"/>
      <c r="AK684" s="209"/>
      <c r="AL684" s="200"/>
      <c r="AM684" s="210"/>
      <c r="AN684" s="210"/>
    </row>
    <row r="685" spans="1:40" x14ac:dyDescent="0.25">
      <c r="F685" s="200"/>
      <c r="H685" s="211"/>
      <c r="I685" s="211"/>
      <c r="J685" s="305"/>
      <c r="K685" s="305"/>
      <c r="L685" s="211"/>
      <c r="M685" s="211"/>
      <c r="N685" s="211"/>
      <c r="O685" s="211"/>
      <c r="P685" s="211"/>
      <c r="Q685" s="211"/>
      <c r="R685" s="211"/>
      <c r="V685" s="211"/>
      <c r="Y685" s="211"/>
      <c r="Z685" s="305"/>
      <c r="AA685" s="211"/>
      <c r="AB685" s="211"/>
      <c r="AC685" s="211"/>
      <c r="AD685" s="211"/>
      <c r="AE685" s="211"/>
      <c r="AF685" s="211"/>
      <c r="AI685" s="211"/>
      <c r="AJ685" s="211"/>
      <c r="AK685" s="212"/>
      <c r="AL685" s="211"/>
      <c r="AM685" s="210"/>
      <c r="AN685" s="210"/>
    </row>
    <row r="686" spans="1:40" x14ac:dyDescent="0.25">
      <c r="A686" s="202"/>
      <c r="C686" s="154"/>
      <c r="F686" s="211"/>
      <c r="H686" s="200"/>
      <c r="I686" s="200"/>
      <c r="J686" s="213"/>
      <c r="K686" s="213"/>
      <c r="L686" s="200"/>
      <c r="M686" s="200"/>
      <c r="N686" s="213"/>
      <c r="O686" s="213"/>
      <c r="P686" s="200"/>
      <c r="Q686" s="200"/>
      <c r="R686" s="200"/>
      <c r="T686" s="154"/>
      <c r="V686" s="200"/>
      <c r="Y686" s="200"/>
      <c r="Z686" s="213"/>
      <c r="AA686" s="200"/>
      <c r="AB686" s="200"/>
      <c r="AC686" s="213"/>
      <c r="AD686" s="213"/>
      <c r="AE686" s="200"/>
      <c r="AF686" s="200"/>
      <c r="AG686" s="209"/>
      <c r="AH686" s="201"/>
      <c r="AI686" s="200"/>
      <c r="AJ686" s="200"/>
      <c r="AK686" s="209"/>
      <c r="AL686" s="200"/>
      <c r="AM686" s="210"/>
      <c r="AN686" s="210"/>
    </row>
    <row r="687" spans="1:40" x14ac:dyDescent="0.25">
      <c r="F687" s="200"/>
      <c r="H687" s="200"/>
      <c r="I687" s="200"/>
      <c r="J687" s="213"/>
      <c r="K687" s="213"/>
      <c r="L687" s="200"/>
      <c r="M687" s="200"/>
      <c r="N687" s="213"/>
      <c r="O687" s="213"/>
      <c r="P687" s="200"/>
      <c r="Q687" s="200"/>
      <c r="R687" s="200"/>
      <c r="V687" s="200"/>
      <c r="Y687" s="200"/>
      <c r="Z687" s="213"/>
      <c r="AA687" s="200"/>
      <c r="AB687" s="200"/>
      <c r="AC687" s="213"/>
      <c r="AD687" s="213"/>
      <c r="AG687" s="209"/>
      <c r="AH687" s="201"/>
      <c r="AI687" s="200"/>
      <c r="AJ687" s="200"/>
      <c r="AK687" s="209"/>
      <c r="AL687" s="200"/>
      <c r="AM687" s="210"/>
      <c r="AN687" s="210"/>
    </row>
    <row r="688" spans="1:40" x14ac:dyDescent="0.25">
      <c r="A688" s="202"/>
      <c r="C688" s="154"/>
      <c r="F688" s="200"/>
      <c r="H688" s="200"/>
      <c r="I688" s="200"/>
      <c r="J688" s="213"/>
      <c r="K688" s="213"/>
      <c r="L688" s="200"/>
      <c r="M688" s="200"/>
      <c r="N688" s="213"/>
      <c r="O688" s="213"/>
      <c r="P688" s="200"/>
      <c r="Q688" s="200"/>
      <c r="R688" s="200"/>
      <c r="T688" s="154"/>
      <c r="V688" s="200"/>
      <c r="Y688" s="200"/>
      <c r="Z688" s="213"/>
      <c r="AA688" s="200"/>
      <c r="AB688" s="200"/>
      <c r="AC688" s="213"/>
      <c r="AD688" s="213"/>
      <c r="AE688" s="200"/>
      <c r="AF688" s="200"/>
      <c r="AG688" s="209"/>
      <c r="AH688" s="201"/>
      <c r="AI688" s="200"/>
      <c r="AJ688" s="200"/>
      <c r="AK688" s="209"/>
      <c r="AL688" s="200"/>
      <c r="AM688" s="210"/>
      <c r="AN688" s="210"/>
    </row>
    <row r="689" spans="1:38" x14ac:dyDescent="0.25">
      <c r="F689" s="200"/>
      <c r="H689" s="211"/>
      <c r="I689" s="211"/>
      <c r="J689" s="305"/>
      <c r="K689" s="305"/>
      <c r="L689" s="211"/>
      <c r="M689" s="211"/>
      <c r="N689" s="211"/>
      <c r="O689" s="211"/>
      <c r="P689" s="211"/>
      <c r="Q689" s="211"/>
      <c r="R689" s="211"/>
      <c r="V689" s="211"/>
      <c r="Y689" s="211"/>
      <c r="Z689" s="305"/>
      <c r="AA689" s="211"/>
      <c r="AB689" s="211"/>
      <c r="AC689" s="211"/>
      <c r="AD689" s="211"/>
      <c r="AE689" s="211"/>
      <c r="AF689" s="211"/>
      <c r="AI689" s="211"/>
      <c r="AJ689" s="211"/>
      <c r="AK689" s="212"/>
      <c r="AL689" s="211"/>
    </row>
    <row r="691" spans="1:38" x14ac:dyDescent="0.25">
      <c r="C691" s="154"/>
      <c r="F691" s="211"/>
      <c r="L691" s="200"/>
      <c r="M691" s="200"/>
      <c r="P691" s="200"/>
      <c r="Q691" s="200"/>
      <c r="R691" s="200"/>
      <c r="T691" s="154"/>
    </row>
    <row r="692" spans="1:38" x14ac:dyDescent="0.25">
      <c r="A692" s="154"/>
      <c r="L692" s="200"/>
      <c r="M692" s="200"/>
      <c r="P692" s="200"/>
      <c r="Q692" s="200"/>
      <c r="R692" s="200"/>
    </row>
    <row r="693" spans="1:38" x14ac:dyDescent="0.25">
      <c r="L693" s="200"/>
      <c r="M693" s="200"/>
      <c r="P693" s="200"/>
      <c r="Q693" s="200"/>
      <c r="R693" s="200"/>
    </row>
    <row r="694" spans="1:38" x14ac:dyDescent="0.25">
      <c r="L694" s="200"/>
      <c r="M694" s="200"/>
      <c r="P694" s="200"/>
      <c r="Q694" s="200"/>
      <c r="R694" s="200"/>
    </row>
    <row r="695" spans="1:38" x14ac:dyDescent="0.25">
      <c r="L695" s="200"/>
      <c r="M695" s="200"/>
      <c r="P695" s="200"/>
      <c r="Q695" s="200"/>
      <c r="R695" s="200"/>
    </row>
    <row r="696" spans="1:38" x14ac:dyDescent="0.25">
      <c r="L696" s="200"/>
      <c r="M696" s="200"/>
      <c r="P696" s="200"/>
      <c r="Q696" s="200"/>
      <c r="R696" s="200"/>
    </row>
    <row r="697" spans="1:38" x14ac:dyDescent="0.25">
      <c r="L697" s="200"/>
      <c r="M697" s="200"/>
      <c r="P697" s="200"/>
      <c r="Q697" s="200"/>
      <c r="R697" s="200"/>
    </row>
    <row r="730" spans="49:49" x14ac:dyDescent="0.25">
      <c r="AW730" s="200"/>
    </row>
    <row r="731" spans="49:49" x14ac:dyDescent="0.25">
      <c r="AW731" s="200"/>
    </row>
    <row r="732" spans="49:49" x14ac:dyDescent="0.25">
      <c r="AW732" s="200"/>
    </row>
    <row r="733" spans="49:49" x14ac:dyDescent="0.25">
      <c r="AW733" s="200"/>
    </row>
    <row r="734" spans="49:49" x14ac:dyDescent="0.25">
      <c r="AW734" s="200"/>
    </row>
    <row r="735" spans="49:49" x14ac:dyDescent="0.25">
      <c r="AW735" s="200"/>
    </row>
    <row r="738" spans="49:49" x14ac:dyDescent="0.25">
      <c r="AW738" s="200"/>
    </row>
    <row r="739" spans="49:49" x14ac:dyDescent="0.25">
      <c r="AW739" s="200"/>
    </row>
    <row r="740" spans="49:49" x14ac:dyDescent="0.25">
      <c r="AW740" s="200"/>
    </row>
    <row r="741" spans="49:49" x14ac:dyDescent="0.25">
      <c r="AW741" s="200"/>
    </row>
    <row r="742" spans="49:49" x14ac:dyDescent="0.25">
      <c r="AW742" s="200"/>
    </row>
    <row r="743" spans="49:49" x14ac:dyDescent="0.25">
      <c r="AW743" s="200"/>
    </row>
    <row r="744" spans="49:49" x14ac:dyDescent="0.25">
      <c r="AW744" s="200"/>
    </row>
    <row r="745" spans="49:49" x14ac:dyDescent="0.25">
      <c r="AW745" s="200"/>
    </row>
    <row r="748" spans="49:49" x14ac:dyDescent="0.25">
      <c r="AW748" s="200"/>
    </row>
    <row r="749" spans="49:49" x14ac:dyDescent="0.25">
      <c r="AW749" s="200"/>
    </row>
    <row r="752" spans="49:49" x14ac:dyDescent="0.25">
      <c r="AW752" s="200"/>
    </row>
    <row r="753" spans="45:56" x14ac:dyDescent="0.25">
      <c r="AW753" s="200"/>
    </row>
    <row r="754" spans="45:56" x14ac:dyDescent="0.25">
      <c r="AW754" s="200"/>
    </row>
    <row r="755" spans="45:56" x14ac:dyDescent="0.25">
      <c r="AW755" s="200"/>
    </row>
    <row r="761" spans="45:56" x14ac:dyDescent="0.25">
      <c r="AY761" s="202"/>
    </row>
    <row r="762" spans="45:56" x14ac:dyDescent="0.25">
      <c r="AY762" s="202"/>
    </row>
    <row r="763" spans="45:56" x14ac:dyDescent="0.25">
      <c r="AY763" s="154"/>
    </row>
    <row r="764" spans="45:56" x14ac:dyDescent="0.25">
      <c r="AY764" s="154"/>
    </row>
    <row r="765" spans="45:56" x14ac:dyDescent="0.25">
      <c r="AS765" s="202"/>
      <c r="BD765" s="154"/>
    </row>
    <row r="766" spans="45:56" x14ac:dyDescent="0.25">
      <c r="AS766" s="202"/>
      <c r="BD766" s="154"/>
    </row>
    <row r="767" spans="45:56" x14ac:dyDescent="0.25">
      <c r="AS767" s="154"/>
      <c r="BD767" s="154"/>
    </row>
    <row r="768" spans="45:56" x14ac:dyDescent="0.25">
      <c r="BD768" s="202"/>
    </row>
    <row r="769" spans="45:69" x14ac:dyDescent="0.25"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</row>
    <row r="770" spans="45:69" x14ac:dyDescent="0.25">
      <c r="AX770" s="154"/>
    </row>
    <row r="771" spans="45:69" x14ac:dyDescent="0.25">
      <c r="AX771" s="102"/>
      <c r="AY771" s="102"/>
      <c r="AZ771" s="102"/>
      <c r="BA771" s="102"/>
      <c r="BC771" s="103"/>
      <c r="BD771" s="103"/>
    </row>
    <row r="772" spans="45:69" x14ac:dyDescent="0.25">
      <c r="AV772" s="103"/>
      <c r="AW772" s="103"/>
      <c r="AZ772" s="103"/>
      <c r="BA772" s="103"/>
      <c r="BC772" s="103"/>
      <c r="BD772" s="103"/>
      <c r="BE772" s="103"/>
      <c r="BG772" s="102"/>
      <c r="BH772" s="154"/>
      <c r="BK772" s="102"/>
      <c r="BM772" s="102"/>
      <c r="BN772" s="154"/>
      <c r="BQ772" s="102"/>
    </row>
    <row r="773" spans="45:69" x14ac:dyDescent="0.25"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H773" s="103"/>
      <c r="BI773" s="103"/>
      <c r="BJ773" s="103"/>
      <c r="BN773" s="103"/>
      <c r="BO773" s="103"/>
      <c r="BP773" s="103"/>
    </row>
    <row r="774" spans="45:69" x14ac:dyDescent="0.25">
      <c r="AS774" s="103"/>
      <c r="AU774" s="154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G774" s="103"/>
      <c r="BH774" s="103"/>
      <c r="BI774" s="103"/>
      <c r="BJ774" s="103"/>
      <c r="BK774" s="103"/>
      <c r="BM774" s="103"/>
      <c r="BN774" s="103"/>
      <c r="BO774" s="103"/>
      <c r="BP774" s="103"/>
      <c r="BQ774" s="103"/>
    </row>
    <row r="775" spans="45:69" x14ac:dyDescent="0.25">
      <c r="AS775" s="103"/>
      <c r="AU775" s="154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G775" s="103"/>
      <c r="BH775" s="103"/>
      <c r="BI775" s="103"/>
      <c r="BJ775" s="103"/>
      <c r="BK775" s="103"/>
      <c r="BM775" s="103"/>
      <c r="BN775" s="103"/>
      <c r="BO775" s="103"/>
      <c r="BP775" s="103"/>
      <c r="BQ775" s="103"/>
    </row>
    <row r="776" spans="45:69" x14ac:dyDescent="0.25"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G776" s="102"/>
      <c r="BH776" s="102"/>
      <c r="BI776" s="102"/>
      <c r="BJ776" s="102"/>
      <c r="BK776" s="102"/>
      <c r="BM776" s="102"/>
      <c r="BN776" s="102"/>
      <c r="BO776" s="102"/>
      <c r="BP776" s="102"/>
      <c r="BQ776" s="102"/>
    </row>
    <row r="777" spans="45:69" x14ac:dyDescent="0.25"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</row>
    <row r="778" spans="45:69" x14ac:dyDescent="0.25">
      <c r="AS778" s="202"/>
      <c r="AU778" s="154"/>
      <c r="AV778" s="103"/>
      <c r="AY778" s="213"/>
    </row>
    <row r="779" spans="45:69" x14ac:dyDescent="0.25">
      <c r="AS779" s="202"/>
      <c r="AV779" s="103"/>
      <c r="AW779" s="200"/>
      <c r="AX779" s="334"/>
      <c r="AY779" s="334"/>
      <c r="AZ779" s="334"/>
      <c r="BA779" s="210"/>
      <c r="BB779" s="334"/>
      <c r="BC779" s="213"/>
      <c r="BD779" s="213"/>
      <c r="BE779" s="210"/>
      <c r="BG779" s="334"/>
      <c r="BH779" s="334"/>
      <c r="BI779" s="334"/>
      <c r="BJ779" s="334"/>
      <c r="BK779" s="334"/>
      <c r="BM779" s="334"/>
      <c r="BN779" s="334"/>
      <c r="BO779" s="334"/>
      <c r="BP779" s="334"/>
      <c r="BQ779" s="334"/>
    </row>
    <row r="780" spans="45:69" x14ac:dyDescent="0.25">
      <c r="AS780" s="202"/>
      <c r="AV780" s="103"/>
      <c r="AW780" s="200"/>
      <c r="AX780" s="334"/>
      <c r="AY780" s="334"/>
      <c r="AZ780" s="334"/>
      <c r="BA780" s="210"/>
      <c r="BB780" s="334"/>
      <c r="BC780" s="213"/>
      <c r="BD780" s="213"/>
      <c r="BE780" s="210"/>
      <c r="BG780" s="334"/>
      <c r="BH780" s="334"/>
      <c r="BI780" s="334"/>
      <c r="BJ780" s="334"/>
      <c r="BK780" s="334"/>
      <c r="BM780" s="334"/>
      <c r="BN780" s="334"/>
      <c r="BO780" s="334"/>
      <c r="BP780" s="334"/>
      <c r="BQ780" s="334"/>
    </row>
    <row r="781" spans="45:69" x14ac:dyDescent="0.25">
      <c r="AS781" s="202"/>
      <c r="AV781" s="103"/>
      <c r="AW781" s="200"/>
      <c r="AX781" s="334"/>
      <c r="AY781" s="334"/>
      <c r="AZ781" s="334"/>
      <c r="BA781" s="210"/>
      <c r="BB781" s="334"/>
      <c r="BC781" s="213"/>
      <c r="BD781" s="213"/>
      <c r="BE781" s="210"/>
      <c r="BG781" s="334"/>
      <c r="BH781" s="334"/>
      <c r="BI781" s="334"/>
      <c r="BJ781" s="334"/>
      <c r="BK781" s="334"/>
      <c r="BM781" s="334"/>
      <c r="BN781" s="334"/>
      <c r="BO781" s="334"/>
      <c r="BP781" s="334"/>
      <c r="BQ781" s="334"/>
    </row>
    <row r="782" spans="45:69" x14ac:dyDescent="0.25">
      <c r="AS782" s="202"/>
      <c r="AV782" s="103"/>
      <c r="AW782" s="200"/>
      <c r="AX782" s="334"/>
      <c r="AY782" s="334"/>
      <c r="AZ782" s="334"/>
      <c r="BA782" s="210"/>
      <c r="BB782" s="334"/>
      <c r="BC782" s="213"/>
      <c r="BD782" s="213"/>
      <c r="BE782" s="210"/>
      <c r="BG782" s="334"/>
      <c r="BH782" s="334"/>
      <c r="BI782" s="334"/>
      <c r="BJ782" s="334"/>
      <c r="BK782" s="334"/>
      <c r="BM782" s="334"/>
      <c r="BN782" s="334"/>
      <c r="BO782" s="334"/>
      <c r="BP782" s="334"/>
      <c r="BQ782" s="334"/>
    </row>
    <row r="783" spans="45:69" x14ac:dyDescent="0.25">
      <c r="AS783" s="202"/>
      <c r="AV783" s="103"/>
      <c r="AW783" s="200"/>
      <c r="AX783" s="334"/>
      <c r="AY783" s="334"/>
      <c r="AZ783" s="334"/>
      <c r="BA783" s="210"/>
      <c r="BB783" s="334"/>
      <c r="BC783" s="213"/>
      <c r="BD783" s="213"/>
      <c r="BE783" s="210"/>
      <c r="BG783" s="334"/>
      <c r="BH783" s="334"/>
      <c r="BI783" s="334"/>
      <c r="BJ783" s="334"/>
      <c r="BK783" s="334"/>
      <c r="BM783" s="334"/>
      <c r="BN783" s="334"/>
      <c r="BO783" s="334"/>
      <c r="BP783" s="334"/>
      <c r="BQ783" s="334"/>
    </row>
    <row r="784" spans="45:69" x14ac:dyDescent="0.25">
      <c r="AS784" s="202"/>
      <c r="AV784" s="103"/>
      <c r="AW784" s="200"/>
      <c r="AX784" s="334"/>
      <c r="AY784" s="334"/>
      <c r="AZ784" s="334"/>
      <c r="BA784" s="210"/>
      <c r="BB784" s="334"/>
      <c r="BC784" s="213"/>
      <c r="BD784" s="213"/>
      <c r="BE784" s="210"/>
      <c r="BG784" s="334"/>
      <c r="BH784" s="334"/>
      <c r="BI784" s="334"/>
      <c r="BJ784" s="334"/>
      <c r="BK784" s="334"/>
      <c r="BM784" s="334"/>
      <c r="BN784" s="334"/>
      <c r="BO784" s="334"/>
      <c r="BP784" s="334"/>
      <c r="BQ784" s="334"/>
    </row>
    <row r="785" spans="45:69" x14ac:dyDescent="0.25">
      <c r="AS785" s="202"/>
      <c r="AV785" s="103"/>
      <c r="AW785" s="200"/>
      <c r="AX785" s="334"/>
      <c r="AY785" s="334"/>
      <c r="AZ785" s="334"/>
      <c r="BA785" s="210"/>
      <c r="BB785" s="334"/>
      <c r="BC785" s="213"/>
      <c r="BD785" s="213"/>
      <c r="BE785" s="210"/>
      <c r="BG785" s="334"/>
      <c r="BH785" s="334"/>
      <c r="BI785" s="334"/>
      <c r="BJ785" s="334"/>
      <c r="BK785" s="334"/>
      <c r="BM785" s="334"/>
      <c r="BN785" s="334"/>
      <c r="BO785" s="334"/>
      <c r="BP785" s="334"/>
      <c r="BQ785" s="334"/>
    </row>
    <row r="786" spans="45:69" x14ac:dyDescent="0.25">
      <c r="AY786" s="213"/>
      <c r="AZ786" s="334"/>
      <c r="BA786" s="210"/>
      <c r="BB786" s="334"/>
      <c r="BC786" s="213"/>
      <c r="BD786" s="213"/>
      <c r="BE786" s="210"/>
      <c r="BK786" s="334"/>
      <c r="BQ786" s="334"/>
    </row>
    <row r="787" spans="45:69" x14ac:dyDescent="0.25">
      <c r="AS787" s="202"/>
      <c r="AV787" s="103"/>
      <c r="AY787" s="213"/>
      <c r="AZ787" s="334"/>
      <c r="BA787" s="210"/>
      <c r="BB787" s="334"/>
      <c r="BC787" s="213"/>
      <c r="BD787" s="213"/>
      <c r="BE787" s="210"/>
      <c r="BK787" s="334"/>
      <c r="BQ787" s="334"/>
    </row>
    <row r="788" spans="45:69" x14ac:dyDescent="0.25">
      <c r="AS788" s="202"/>
      <c r="AV788" s="103"/>
      <c r="AW788" s="200"/>
      <c r="AX788" s="334"/>
      <c r="AY788" s="334"/>
      <c r="AZ788" s="334"/>
      <c r="BA788" s="210"/>
      <c r="BB788" s="334"/>
      <c r="BC788" s="213"/>
      <c r="BD788" s="213"/>
      <c r="BE788" s="210"/>
      <c r="BG788" s="334"/>
      <c r="BH788" s="334"/>
      <c r="BI788" s="334"/>
      <c r="BJ788" s="334"/>
      <c r="BK788" s="334"/>
      <c r="BM788" s="334"/>
      <c r="BN788" s="334"/>
      <c r="BO788" s="334"/>
      <c r="BP788" s="334"/>
      <c r="BQ788" s="334"/>
    </row>
    <row r="789" spans="45:69" x14ac:dyDescent="0.25">
      <c r="AS789" s="202"/>
      <c r="AV789" s="103"/>
      <c r="AW789" s="200"/>
      <c r="AX789" s="334"/>
      <c r="AY789" s="334"/>
      <c r="AZ789" s="334"/>
      <c r="BA789" s="210"/>
      <c r="BB789" s="334"/>
      <c r="BC789" s="213"/>
      <c r="BD789" s="213"/>
      <c r="BE789" s="210"/>
      <c r="BG789" s="334"/>
      <c r="BH789" s="334"/>
      <c r="BI789" s="334"/>
      <c r="BJ789" s="334"/>
      <c r="BK789" s="334"/>
      <c r="BM789" s="334"/>
      <c r="BN789" s="334"/>
      <c r="BO789" s="334"/>
      <c r="BP789" s="334"/>
      <c r="BQ789" s="334"/>
    </row>
    <row r="790" spans="45:69" x14ac:dyDescent="0.25">
      <c r="AS790" s="202"/>
      <c r="AV790" s="103"/>
      <c r="AW790" s="200"/>
      <c r="AX790" s="334"/>
      <c r="AY790" s="334"/>
      <c r="AZ790" s="334"/>
      <c r="BA790" s="210"/>
      <c r="BB790" s="334"/>
      <c r="BC790" s="213"/>
      <c r="BD790" s="213"/>
      <c r="BE790" s="210"/>
      <c r="BG790" s="334"/>
      <c r="BH790" s="334"/>
      <c r="BI790" s="334"/>
      <c r="BJ790" s="334"/>
      <c r="BK790" s="334"/>
      <c r="BM790" s="334"/>
      <c r="BN790" s="334"/>
      <c r="BO790" s="334"/>
      <c r="BP790" s="334"/>
      <c r="BQ790" s="334"/>
    </row>
    <row r="791" spans="45:69" x14ac:dyDescent="0.25">
      <c r="AS791" s="202"/>
      <c r="AV791" s="103"/>
      <c r="AW791" s="200"/>
      <c r="AX791" s="334"/>
      <c r="AY791" s="334"/>
      <c r="AZ791" s="334"/>
      <c r="BA791" s="210"/>
      <c r="BB791" s="334"/>
      <c r="BC791" s="213"/>
      <c r="BD791" s="213"/>
      <c r="BE791" s="210"/>
      <c r="BG791" s="334"/>
      <c r="BH791" s="334"/>
      <c r="BI791" s="334"/>
      <c r="BJ791" s="334"/>
      <c r="BK791" s="334"/>
      <c r="BM791" s="334"/>
      <c r="BN791" s="334"/>
      <c r="BO791" s="334"/>
      <c r="BP791" s="334"/>
      <c r="BQ791" s="334"/>
    </row>
    <row r="792" spans="45:69" x14ac:dyDescent="0.25">
      <c r="AS792" s="202"/>
      <c r="AV792" s="103"/>
      <c r="AW792" s="200"/>
      <c r="AX792" s="334"/>
      <c r="AY792" s="334"/>
      <c r="AZ792" s="334"/>
      <c r="BA792" s="210"/>
      <c r="BB792" s="334"/>
      <c r="BC792" s="213"/>
      <c r="BD792" s="213"/>
      <c r="BE792" s="210"/>
      <c r="BG792" s="334"/>
      <c r="BH792" s="334"/>
      <c r="BI792" s="334"/>
      <c r="BJ792" s="334"/>
      <c r="BK792" s="334"/>
      <c r="BM792" s="334"/>
      <c r="BN792" s="334"/>
      <c r="BO792" s="334"/>
      <c r="BP792" s="334"/>
      <c r="BQ792" s="334"/>
    </row>
    <row r="793" spans="45:69" x14ac:dyDescent="0.25">
      <c r="AS793" s="202"/>
      <c r="AV793" s="103"/>
      <c r="AW793" s="200"/>
      <c r="AX793" s="334"/>
      <c r="AY793" s="334"/>
      <c r="AZ793" s="334"/>
      <c r="BA793" s="210"/>
      <c r="BB793" s="334"/>
      <c r="BC793" s="213"/>
      <c r="BD793" s="213"/>
      <c r="BE793" s="210"/>
      <c r="BG793" s="334"/>
      <c r="BH793" s="334"/>
      <c r="BI793" s="334"/>
      <c r="BJ793" s="334"/>
      <c r="BK793" s="334"/>
      <c r="BM793" s="334"/>
      <c r="BN793" s="334"/>
      <c r="BO793" s="334"/>
      <c r="BP793" s="334"/>
      <c r="BQ793" s="334"/>
    </row>
    <row r="794" spans="45:69" x14ac:dyDescent="0.25">
      <c r="AS794" s="202"/>
      <c r="AV794" s="103"/>
      <c r="AW794" s="200"/>
      <c r="AX794" s="334"/>
      <c r="AY794" s="334"/>
      <c r="AZ794" s="334"/>
      <c r="BA794" s="210"/>
      <c r="BB794" s="334"/>
      <c r="BC794" s="213"/>
      <c r="BD794" s="213"/>
      <c r="BE794" s="210"/>
      <c r="BG794" s="334"/>
      <c r="BH794" s="334"/>
      <c r="BI794" s="334"/>
      <c r="BJ794" s="334"/>
      <c r="BK794" s="334"/>
      <c r="BM794" s="334"/>
      <c r="BN794" s="334"/>
      <c r="BO794" s="334"/>
      <c r="BP794" s="334"/>
      <c r="BQ794" s="334"/>
    </row>
    <row r="795" spans="45:69" x14ac:dyDescent="0.25">
      <c r="AS795" s="202"/>
      <c r="AV795" s="103"/>
      <c r="AW795" s="200"/>
      <c r="AX795" s="334"/>
      <c r="AY795" s="334"/>
      <c r="AZ795" s="334"/>
      <c r="BA795" s="210"/>
      <c r="BB795" s="334"/>
      <c r="BC795" s="213"/>
      <c r="BD795" s="213"/>
      <c r="BE795" s="210"/>
      <c r="BG795" s="334"/>
      <c r="BH795" s="334"/>
      <c r="BI795" s="334"/>
      <c r="BJ795" s="334"/>
      <c r="BK795" s="334"/>
      <c r="BM795" s="334"/>
      <c r="BN795" s="334"/>
      <c r="BO795" s="334"/>
      <c r="BP795" s="334"/>
      <c r="BQ795" s="334"/>
    </row>
    <row r="796" spans="45:69" x14ac:dyDescent="0.25">
      <c r="AY796" s="213"/>
      <c r="AZ796" s="334"/>
      <c r="BA796" s="210"/>
      <c r="BB796" s="334"/>
      <c r="BC796" s="213"/>
      <c r="BD796" s="213"/>
      <c r="BE796" s="210"/>
      <c r="BK796" s="334"/>
      <c r="BQ796" s="334"/>
    </row>
    <row r="797" spans="45:69" x14ac:dyDescent="0.25">
      <c r="AU797" s="154"/>
      <c r="AZ797" s="334"/>
      <c r="BB797" s="334"/>
      <c r="BG797" s="334"/>
      <c r="BH797" s="334"/>
      <c r="BJ797" s="334"/>
      <c r="BK797" s="334"/>
    </row>
    <row r="798" spans="45:69" x14ac:dyDescent="0.25">
      <c r="AZ798" s="334"/>
      <c r="BB798" s="334"/>
    </row>
    <row r="799" spans="45:69" x14ac:dyDescent="0.25">
      <c r="AS799" s="154"/>
      <c r="AZ799" s="334"/>
      <c r="BB799" s="334"/>
      <c r="BI799" s="334"/>
    </row>
    <row r="800" spans="45:69" x14ac:dyDescent="0.25">
      <c r="AY800" s="202"/>
      <c r="AZ800" s="334"/>
      <c r="BB800" s="334"/>
    </row>
    <row r="801" spans="45:75" x14ac:dyDescent="0.25">
      <c r="AY801" s="334"/>
      <c r="BB801" s="334"/>
    </row>
    <row r="802" spans="45:75" x14ac:dyDescent="0.25">
      <c r="AY802" s="154"/>
      <c r="AZ802" s="334"/>
      <c r="BB802" s="334"/>
    </row>
    <row r="803" spans="45:75" x14ac:dyDescent="0.25">
      <c r="AY803" s="154"/>
      <c r="AZ803" s="334"/>
      <c r="BB803" s="334"/>
    </row>
    <row r="804" spans="45:75" x14ac:dyDescent="0.25">
      <c r="AS804" s="202"/>
      <c r="AZ804" s="334"/>
      <c r="BB804" s="334"/>
      <c r="BD804" s="154"/>
    </row>
    <row r="805" spans="45:75" x14ac:dyDescent="0.25">
      <c r="AS805" s="202"/>
      <c r="AZ805" s="334"/>
      <c r="BB805" s="334"/>
      <c r="BD805" s="154"/>
    </row>
    <row r="806" spans="45:75" x14ac:dyDescent="0.25">
      <c r="AS806" s="154"/>
      <c r="AZ806" s="334"/>
      <c r="BB806" s="334"/>
      <c r="BD806" s="154"/>
    </row>
    <row r="807" spans="45:75" x14ac:dyDescent="0.25">
      <c r="AZ807" s="334"/>
      <c r="BB807" s="334"/>
      <c r="BD807" s="202"/>
    </row>
    <row r="808" spans="45:75" x14ac:dyDescent="0.25">
      <c r="AS808" s="102"/>
      <c r="AT808" s="102"/>
      <c r="AU808" s="102"/>
      <c r="AV808" s="102"/>
      <c r="AW808" s="102"/>
      <c r="AX808" s="102"/>
      <c r="AY808" s="102"/>
      <c r="AZ808" s="335"/>
      <c r="BA808" s="102"/>
      <c r="BB808" s="335"/>
      <c r="BC808" s="102"/>
      <c r="BD808" s="102"/>
      <c r="BE808" s="102"/>
    </row>
    <row r="809" spans="45:75" x14ac:dyDescent="0.25">
      <c r="AX809" s="154"/>
      <c r="AZ809" s="334"/>
      <c r="BB809" s="334"/>
    </row>
    <row r="810" spans="45:75" x14ac:dyDescent="0.25">
      <c r="AX810" s="102"/>
      <c r="AY810" s="102"/>
      <c r="AZ810" s="335"/>
      <c r="BA810" s="102"/>
      <c r="BB810" s="334"/>
      <c r="BC810" s="103"/>
      <c r="BD810" s="103"/>
    </row>
    <row r="811" spans="45:75" x14ac:dyDescent="0.25">
      <c r="AV811" s="103"/>
      <c r="AW811" s="103"/>
      <c r="AZ811" s="336"/>
      <c r="BA811" s="103"/>
      <c r="BB811" s="334"/>
      <c r="BC811" s="103"/>
      <c r="BD811" s="103"/>
      <c r="BE811" s="103"/>
      <c r="BG811" s="102"/>
      <c r="BH811" s="102"/>
      <c r="BI811" s="154"/>
      <c r="BM811" s="102"/>
      <c r="BN811" s="102"/>
      <c r="BP811" s="102"/>
      <c r="BQ811" s="102"/>
      <c r="BR811" s="154"/>
      <c r="BV811" s="102"/>
      <c r="BW811" s="102"/>
    </row>
    <row r="812" spans="45:75" x14ac:dyDescent="0.25">
      <c r="AV812" s="103"/>
      <c r="AW812" s="103"/>
      <c r="AX812" s="103"/>
      <c r="AY812" s="103"/>
      <c r="AZ812" s="336"/>
      <c r="BA812" s="103"/>
      <c r="BB812" s="336"/>
      <c r="BC812" s="103"/>
      <c r="BD812" s="103"/>
      <c r="BE812" s="103"/>
      <c r="BH812" s="103"/>
      <c r="BI812" s="103"/>
      <c r="BJ812" s="103"/>
      <c r="BK812" s="103"/>
      <c r="BL812" s="103"/>
      <c r="BM812" s="103"/>
      <c r="BQ812" s="103"/>
      <c r="BR812" s="103"/>
      <c r="BS812" s="103"/>
      <c r="BT812" s="103"/>
      <c r="BU812" s="103"/>
      <c r="BV812" s="103"/>
    </row>
    <row r="813" spans="45:75" x14ac:dyDescent="0.25">
      <c r="AS813" s="103"/>
      <c r="AU813" s="154"/>
      <c r="AV813" s="103"/>
      <c r="AW813" s="103"/>
      <c r="AX813" s="103"/>
      <c r="AY813" s="103"/>
      <c r="AZ813" s="336"/>
      <c r="BA813" s="103"/>
      <c r="BB813" s="336"/>
      <c r="BC813" s="103"/>
      <c r="BD813" s="103"/>
      <c r="BE813" s="103"/>
      <c r="BG813" s="103"/>
      <c r="BH813" s="103"/>
      <c r="BI813" s="103"/>
      <c r="BJ813" s="103"/>
      <c r="BK813" s="103"/>
      <c r="BL813" s="103"/>
      <c r="BM813" s="103"/>
      <c r="BN813" s="103"/>
      <c r="BP813" s="103"/>
      <c r="BQ813" s="103"/>
      <c r="BR813" s="103"/>
      <c r="BS813" s="103"/>
      <c r="BT813" s="103"/>
      <c r="BU813" s="103"/>
      <c r="BV813" s="103"/>
      <c r="BW813" s="103"/>
    </row>
    <row r="814" spans="45:75" x14ac:dyDescent="0.25">
      <c r="AS814" s="103"/>
      <c r="AU814" s="154"/>
      <c r="AV814" s="103"/>
      <c r="AW814" s="103"/>
      <c r="AX814" s="103"/>
      <c r="AY814" s="103"/>
      <c r="AZ814" s="336"/>
      <c r="BA814" s="103"/>
      <c r="BB814" s="336"/>
      <c r="BC814" s="103"/>
      <c r="BD814" s="103"/>
      <c r="BE814" s="103"/>
      <c r="BG814" s="103"/>
      <c r="BH814" s="103"/>
      <c r="BI814" s="103"/>
      <c r="BJ814" s="103"/>
      <c r="BK814" s="103"/>
      <c r="BL814" s="103"/>
      <c r="BM814" s="103"/>
      <c r="BN814" s="103"/>
      <c r="BP814" s="103"/>
      <c r="BQ814" s="103"/>
      <c r="BR814" s="103"/>
      <c r="BS814" s="103"/>
      <c r="BT814" s="103"/>
      <c r="BU814" s="103"/>
      <c r="BV814" s="103"/>
      <c r="BW814" s="103"/>
    </row>
    <row r="815" spans="45:75" x14ac:dyDescent="0.25">
      <c r="AS815" s="102"/>
      <c r="AT815" s="102"/>
      <c r="AU815" s="102"/>
      <c r="AV815" s="102"/>
      <c r="AW815" s="102"/>
      <c r="AX815" s="102"/>
      <c r="AY815" s="102"/>
      <c r="AZ815" s="335"/>
      <c r="BA815" s="102"/>
      <c r="BB815" s="335"/>
      <c r="BC815" s="102"/>
      <c r="BD815" s="102"/>
      <c r="BE815" s="102"/>
      <c r="BG815" s="102"/>
      <c r="BH815" s="102"/>
      <c r="BI815" s="102"/>
      <c r="BJ815" s="102"/>
      <c r="BK815" s="102"/>
      <c r="BL815" s="102"/>
      <c r="BM815" s="102"/>
      <c r="BN815" s="102"/>
      <c r="BP815" s="102"/>
      <c r="BQ815" s="102"/>
      <c r="BR815" s="102"/>
      <c r="BS815" s="102"/>
      <c r="BT815" s="102"/>
      <c r="BU815" s="102"/>
      <c r="BV815" s="102"/>
      <c r="BW815" s="102"/>
    </row>
    <row r="816" spans="45:75" x14ac:dyDescent="0.25">
      <c r="AV816" s="103"/>
      <c r="AW816" s="103"/>
      <c r="AX816" s="103"/>
      <c r="AY816" s="103"/>
      <c r="AZ816" s="336"/>
      <c r="BA816" s="103"/>
      <c r="BB816" s="336"/>
      <c r="BC816" s="103"/>
      <c r="BD816" s="103"/>
      <c r="BE816" s="103"/>
      <c r="BG816" s="334"/>
      <c r="BH816" s="334"/>
      <c r="BI816" s="334"/>
      <c r="BJ816" s="334"/>
      <c r="BK816" s="334"/>
      <c r="BL816" s="334"/>
      <c r="BM816" s="334"/>
      <c r="BN816" s="334"/>
      <c r="BO816" s="334"/>
      <c r="BP816" s="334"/>
      <c r="BQ816" s="334"/>
      <c r="BR816" s="334"/>
      <c r="BS816" s="334"/>
      <c r="BT816" s="334"/>
      <c r="BU816" s="334"/>
      <c r="BV816" s="334"/>
      <c r="BW816" s="334"/>
    </row>
    <row r="817" spans="45:75" x14ac:dyDescent="0.25">
      <c r="AS817" s="202"/>
      <c r="AU817" s="154"/>
      <c r="AV817" s="202"/>
      <c r="AW817" s="200"/>
      <c r="AX817" s="334"/>
      <c r="AY817" s="334"/>
      <c r="AZ817" s="334"/>
      <c r="BA817" s="201"/>
      <c r="BB817" s="334"/>
      <c r="BC817" s="334"/>
      <c r="BD817" s="334"/>
      <c r="BE817" s="201"/>
      <c r="BG817" s="334"/>
      <c r="BH817" s="334"/>
      <c r="BI817" s="334"/>
      <c r="BJ817" s="334"/>
      <c r="BK817" s="334"/>
      <c r="BL817" s="334"/>
      <c r="BM817" s="334"/>
      <c r="BN817" s="334"/>
      <c r="BO817" s="334"/>
      <c r="BP817" s="334"/>
      <c r="BQ817" s="334"/>
      <c r="BR817" s="334"/>
      <c r="BS817" s="334"/>
      <c r="BT817" s="334"/>
      <c r="BU817" s="334"/>
      <c r="BV817" s="334"/>
      <c r="BW817" s="334"/>
    </row>
    <row r="818" spans="45:75" x14ac:dyDescent="0.25">
      <c r="AS818" s="202"/>
      <c r="AV818" s="202"/>
      <c r="AW818" s="200"/>
      <c r="AX818" s="334"/>
      <c r="AY818" s="334"/>
      <c r="AZ818" s="334"/>
      <c r="BA818" s="201"/>
      <c r="BB818" s="334"/>
      <c r="BC818" s="334"/>
      <c r="BD818" s="334"/>
      <c r="BE818" s="201"/>
      <c r="BG818" s="334"/>
      <c r="BH818" s="334"/>
      <c r="BI818" s="334"/>
      <c r="BJ818" s="334"/>
      <c r="BK818" s="334"/>
      <c r="BL818" s="334"/>
      <c r="BM818" s="334"/>
      <c r="BN818" s="334"/>
      <c r="BO818" s="334"/>
      <c r="BP818" s="334"/>
      <c r="BQ818" s="334"/>
      <c r="BR818" s="334"/>
      <c r="BS818" s="334"/>
      <c r="BT818" s="334"/>
      <c r="BU818" s="334"/>
      <c r="BV818" s="334"/>
      <c r="BW818" s="334"/>
    </row>
    <row r="819" spans="45:75" x14ac:dyDescent="0.25">
      <c r="AS819" s="202"/>
      <c r="AV819" s="202"/>
      <c r="AW819" s="200"/>
      <c r="AX819" s="334"/>
      <c r="AY819" s="334"/>
      <c r="AZ819" s="334"/>
      <c r="BA819" s="201"/>
      <c r="BB819" s="334"/>
      <c r="BC819" s="334"/>
      <c r="BD819" s="334"/>
      <c r="BE819" s="201"/>
      <c r="BG819" s="334"/>
      <c r="BH819" s="334"/>
      <c r="BI819" s="334"/>
      <c r="BJ819" s="334"/>
      <c r="BK819" s="334"/>
      <c r="BL819" s="334"/>
      <c r="BM819" s="334"/>
      <c r="BN819" s="334"/>
      <c r="BO819" s="334"/>
      <c r="BP819" s="334"/>
      <c r="BQ819" s="334"/>
      <c r="BR819" s="334"/>
      <c r="BS819" s="334"/>
      <c r="BT819" s="334"/>
      <c r="BU819" s="334"/>
      <c r="BV819" s="334"/>
      <c r="BW819" s="334"/>
    </row>
    <row r="820" spans="45:75" x14ac:dyDescent="0.25">
      <c r="AS820" s="202"/>
      <c r="AV820" s="202"/>
      <c r="AW820" s="200"/>
      <c r="AX820" s="334"/>
      <c r="AY820" s="334"/>
      <c r="AZ820" s="334"/>
      <c r="BA820" s="201"/>
      <c r="BB820" s="334"/>
      <c r="BC820" s="334"/>
      <c r="BD820" s="334"/>
      <c r="BE820" s="201"/>
      <c r="BG820" s="334"/>
      <c r="BH820" s="334"/>
      <c r="BI820" s="334"/>
      <c r="BJ820" s="334"/>
      <c r="BK820" s="334"/>
      <c r="BL820" s="334"/>
      <c r="BM820" s="334"/>
      <c r="BN820" s="334"/>
      <c r="BO820" s="334"/>
      <c r="BP820" s="334"/>
      <c r="BQ820" s="334"/>
      <c r="BR820" s="334"/>
      <c r="BS820" s="334"/>
      <c r="BT820" s="334"/>
      <c r="BU820" s="334"/>
      <c r="BV820" s="334"/>
      <c r="BW820" s="334"/>
    </row>
    <row r="821" spans="45:75" x14ac:dyDescent="0.25">
      <c r="AS821" s="202"/>
      <c r="AV821" s="202"/>
      <c r="AW821" s="200"/>
      <c r="AX821" s="334"/>
      <c r="AY821" s="334"/>
      <c r="AZ821" s="334"/>
      <c r="BA821" s="201"/>
      <c r="BB821" s="334"/>
      <c r="BC821" s="334"/>
      <c r="BD821" s="334"/>
      <c r="BE821" s="201"/>
      <c r="BG821" s="334"/>
      <c r="BH821" s="334"/>
      <c r="BI821" s="334"/>
      <c r="BJ821" s="334"/>
      <c r="BK821" s="334"/>
      <c r="BL821" s="334"/>
      <c r="BM821" s="334"/>
      <c r="BN821" s="334"/>
      <c r="BO821" s="334"/>
      <c r="BP821" s="334"/>
      <c r="BQ821" s="334"/>
      <c r="BR821" s="334"/>
      <c r="BS821" s="334"/>
      <c r="BT821" s="334"/>
      <c r="BU821" s="334"/>
      <c r="BV821" s="334"/>
      <c r="BW821" s="334"/>
    </row>
    <row r="822" spans="45:75" x14ac:dyDescent="0.25">
      <c r="AS822" s="202"/>
      <c r="AV822" s="202"/>
      <c r="AW822" s="200"/>
      <c r="AX822" s="334"/>
      <c r="AY822" s="334"/>
      <c r="AZ822" s="334"/>
      <c r="BA822" s="201"/>
      <c r="BB822" s="334"/>
      <c r="BC822" s="334"/>
      <c r="BD822" s="334"/>
      <c r="BE822" s="201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  <c r="BR822" s="334"/>
      <c r="BS822" s="334"/>
      <c r="BT822" s="334"/>
      <c r="BU822" s="334"/>
      <c r="BV822" s="334"/>
      <c r="BW822" s="334"/>
    </row>
    <row r="823" spans="45:75" x14ac:dyDescent="0.25">
      <c r="AS823" s="202"/>
      <c r="AV823" s="202"/>
      <c r="AW823" s="200"/>
      <c r="AX823" s="334"/>
      <c r="AY823" s="334"/>
      <c r="AZ823" s="334"/>
      <c r="BA823" s="201"/>
      <c r="BB823" s="334"/>
      <c r="BC823" s="334"/>
      <c r="BD823" s="334"/>
      <c r="BE823" s="201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  <c r="BT823" s="334"/>
      <c r="BU823" s="334"/>
      <c r="BV823" s="334"/>
      <c r="BW823" s="334"/>
    </row>
    <row r="824" spans="45:75" x14ac:dyDescent="0.25">
      <c r="AS824" s="202"/>
      <c r="AV824" s="202"/>
      <c r="AW824" s="200"/>
      <c r="AX824" s="334"/>
      <c r="AY824" s="334"/>
      <c r="AZ824" s="334"/>
      <c r="BA824" s="201"/>
      <c r="BB824" s="334"/>
      <c r="BC824" s="334"/>
      <c r="BD824" s="334"/>
      <c r="BE824" s="201"/>
      <c r="BG824" s="334"/>
      <c r="BH824" s="334"/>
      <c r="BI824" s="334"/>
      <c r="BJ824" s="334"/>
      <c r="BK824" s="334"/>
      <c r="BL824" s="334"/>
      <c r="BM824" s="334"/>
      <c r="BN824" s="334"/>
      <c r="BO824" s="334"/>
      <c r="BP824" s="334"/>
      <c r="BQ824" s="334"/>
      <c r="BR824" s="334"/>
      <c r="BS824" s="334"/>
      <c r="BT824" s="334"/>
      <c r="BU824" s="334"/>
      <c r="BV824" s="334"/>
      <c r="BW824" s="334"/>
    </row>
    <row r="825" spans="45:75" x14ac:dyDescent="0.25">
      <c r="AS825" s="202"/>
      <c r="AV825" s="202"/>
      <c r="AW825" s="200"/>
      <c r="AX825" s="334"/>
      <c r="AY825" s="334"/>
      <c r="AZ825" s="334"/>
      <c r="BA825" s="201"/>
      <c r="BB825" s="334"/>
      <c r="BC825" s="334"/>
      <c r="BD825" s="334"/>
      <c r="BE825" s="201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  <c r="BR825" s="334"/>
      <c r="BS825" s="334"/>
      <c r="BT825" s="334"/>
      <c r="BU825" s="334"/>
      <c r="BV825" s="334"/>
      <c r="BW825" s="334"/>
    </row>
    <row r="826" spans="45:75" x14ac:dyDescent="0.25">
      <c r="AS826" s="202"/>
      <c r="AV826" s="202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  <c r="BT826" s="334"/>
      <c r="BU826" s="334"/>
      <c r="BV826" s="334"/>
      <c r="BW826" s="334"/>
    </row>
    <row r="827" spans="45:75" x14ac:dyDescent="0.25">
      <c r="AS827" s="202"/>
      <c r="AV827" s="202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  <c r="BT827" s="334"/>
      <c r="BU827" s="334"/>
      <c r="BV827" s="334"/>
      <c r="BW827" s="334"/>
    </row>
    <row r="828" spans="45:75" x14ac:dyDescent="0.25">
      <c r="AS828" s="202"/>
      <c r="AV828" s="202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  <c r="BT828" s="334"/>
      <c r="BU828" s="334"/>
      <c r="BV828" s="334"/>
      <c r="BW828" s="334"/>
    </row>
    <row r="829" spans="45:75" x14ac:dyDescent="0.25">
      <c r="AS829" s="202"/>
      <c r="AV829" s="202"/>
      <c r="AW829" s="200"/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  <c r="BT829" s="334"/>
      <c r="BU829" s="334"/>
      <c r="BV829" s="334"/>
      <c r="BW829" s="334"/>
    </row>
    <row r="830" spans="45:75" x14ac:dyDescent="0.25">
      <c r="AS830" s="202"/>
      <c r="AV830" s="202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  <c r="BT830" s="334"/>
      <c r="BU830" s="334"/>
      <c r="BV830" s="334"/>
      <c r="BW830" s="334"/>
    </row>
    <row r="831" spans="45:75" x14ac:dyDescent="0.25">
      <c r="AS831" s="202"/>
      <c r="AV831" s="202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  <c r="BT831" s="334"/>
      <c r="BU831" s="334"/>
      <c r="BV831" s="334"/>
      <c r="BW831" s="334"/>
    </row>
    <row r="832" spans="45:75" x14ac:dyDescent="0.25">
      <c r="AS832" s="202"/>
      <c r="AV832" s="202"/>
      <c r="AW832" s="200"/>
      <c r="AX832" s="334"/>
      <c r="AY832" s="334"/>
      <c r="AZ832" s="334"/>
      <c r="BA832" s="201"/>
      <c r="BB832" s="334"/>
      <c r="BC832" s="334"/>
      <c r="BD832" s="334"/>
      <c r="BE832" s="201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  <c r="BT832" s="334"/>
      <c r="BU832" s="334"/>
      <c r="BV832" s="334"/>
      <c r="BW832" s="334"/>
    </row>
    <row r="833" spans="45:75" x14ac:dyDescent="0.25">
      <c r="AS833" s="202"/>
      <c r="AV833" s="202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  <c r="BT833" s="334"/>
      <c r="BU833" s="334"/>
      <c r="BV833" s="334"/>
      <c r="BW833" s="334"/>
    </row>
    <row r="834" spans="45:75" x14ac:dyDescent="0.25">
      <c r="AS834" s="202"/>
      <c r="AV834" s="202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  <c r="BT834" s="334"/>
      <c r="BU834" s="334"/>
      <c r="BV834" s="334"/>
      <c r="BW834" s="334"/>
    </row>
    <row r="835" spans="45:75" x14ac:dyDescent="0.25">
      <c r="AS835" s="202"/>
      <c r="AV835" s="202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  <c r="BT835" s="334"/>
      <c r="BU835" s="334"/>
      <c r="BV835" s="334"/>
      <c r="BW835" s="334"/>
    </row>
    <row r="836" spans="45:75" x14ac:dyDescent="0.25">
      <c r="AS836" s="202"/>
      <c r="AV836" s="202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  <c r="BT836" s="334"/>
      <c r="BU836" s="334"/>
      <c r="BV836" s="334"/>
      <c r="BW836" s="334"/>
    </row>
    <row r="837" spans="45:75" x14ac:dyDescent="0.25">
      <c r="AS837" s="202"/>
      <c r="AV837" s="202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  <c r="BT837" s="334"/>
      <c r="BU837" s="334"/>
      <c r="BV837" s="334"/>
      <c r="BW837" s="334"/>
    </row>
    <row r="838" spans="45:75" x14ac:dyDescent="0.25"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102"/>
      <c r="BH838" s="102"/>
      <c r="BI838" s="154"/>
      <c r="BM838" s="102"/>
      <c r="BN838" s="102"/>
      <c r="BO838" s="334"/>
      <c r="BP838" s="102"/>
      <c r="BQ838" s="102"/>
      <c r="BR838" s="154"/>
      <c r="BV838" s="102"/>
      <c r="BW838" s="102"/>
    </row>
    <row r="839" spans="45:75" x14ac:dyDescent="0.25">
      <c r="AS839" s="202"/>
      <c r="AU839" s="154"/>
      <c r="AV839" s="103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6"/>
      <c r="BH839" s="334"/>
      <c r="BI839" s="334"/>
      <c r="BJ839" s="334"/>
      <c r="BK839" s="336"/>
      <c r="BL839" s="337"/>
      <c r="BM839" s="334"/>
      <c r="BN839" s="336"/>
      <c r="BO839" s="334"/>
      <c r="BP839" s="336"/>
      <c r="BQ839" s="334"/>
      <c r="BR839" s="334"/>
      <c r="BS839" s="334"/>
      <c r="BT839" s="336"/>
      <c r="BU839" s="337"/>
      <c r="BV839" s="334"/>
      <c r="BW839" s="336"/>
    </row>
    <row r="840" spans="45:75" x14ac:dyDescent="0.25">
      <c r="AS840" s="202"/>
      <c r="AV840" s="103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7"/>
      <c r="BM840" s="334"/>
      <c r="BN840" s="334"/>
      <c r="BO840" s="334"/>
      <c r="BP840" s="334"/>
      <c r="BQ840" s="334"/>
      <c r="BR840" s="334"/>
      <c r="BS840" s="334"/>
      <c r="BT840" s="334"/>
      <c r="BU840" s="337"/>
      <c r="BV840" s="334"/>
      <c r="BW840" s="334"/>
    </row>
    <row r="841" spans="45:75" x14ac:dyDescent="0.25">
      <c r="AS841" s="202"/>
      <c r="AV841" s="103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7"/>
      <c r="BM841" s="334"/>
      <c r="BN841" s="334"/>
      <c r="BO841" s="334"/>
      <c r="BP841" s="334"/>
      <c r="BQ841" s="334"/>
      <c r="BR841" s="334"/>
      <c r="BS841" s="334"/>
      <c r="BT841" s="334"/>
      <c r="BU841" s="337"/>
      <c r="BV841" s="334"/>
      <c r="BW841" s="334"/>
    </row>
    <row r="842" spans="45:75" x14ac:dyDescent="0.25">
      <c r="AS842" s="202"/>
      <c r="AV842" s="103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7"/>
      <c r="BM842" s="334"/>
      <c r="BN842" s="334"/>
      <c r="BO842" s="334"/>
      <c r="BP842" s="334"/>
      <c r="BQ842" s="334"/>
      <c r="BR842" s="334"/>
      <c r="BS842" s="334"/>
      <c r="BT842" s="334"/>
      <c r="BU842" s="337"/>
      <c r="BV842" s="334"/>
      <c r="BW842" s="334"/>
    </row>
    <row r="843" spans="45:75" x14ac:dyDescent="0.25"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  <c r="BT843" s="334"/>
      <c r="BU843" s="334"/>
      <c r="BV843" s="334"/>
    </row>
    <row r="844" spans="45:75" x14ac:dyDescent="0.25">
      <c r="AU844" s="154"/>
    </row>
    <row r="845" spans="45:75" x14ac:dyDescent="0.25">
      <c r="AU845" s="15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  <c r="BT845" s="334"/>
      <c r="BU845" s="334"/>
      <c r="BV845" s="334"/>
    </row>
    <row r="846" spans="45:75" x14ac:dyDescent="0.25">
      <c r="AS846" s="154"/>
      <c r="AZ846" s="334"/>
      <c r="BB846" s="334"/>
    </row>
    <row r="847" spans="45:75" x14ac:dyDescent="0.25">
      <c r="AY847" s="202"/>
      <c r="AZ847" s="334"/>
      <c r="BB847" s="334"/>
      <c r="BO847" s="334"/>
      <c r="BP847" s="334"/>
      <c r="BQ847" s="334"/>
      <c r="BR847" s="334"/>
      <c r="BS847" s="334"/>
      <c r="BT847" s="334"/>
      <c r="BU847" s="334"/>
      <c r="BV847" s="334"/>
    </row>
    <row r="848" spans="45:75" x14ac:dyDescent="0.25">
      <c r="AY848" s="334"/>
      <c r="AZ848" s="334"/>
      <c r="BB848" s="334"/>
      <c r="BO848" s="334"/>
      <c r="BP848" s="334"/>
      <c r="BQ848" s="334"/>
      <c r="BR848" s="334"/>
      <c r="BS848" s="334"/>
      <c r="BT848" s="334"/>
      <c r="BU848" s="334"/>
      <c r="BV848" s="334"/>
    </row>
    <row r="849" spans="45:74" x14ac:dyDescent="0.25">
      <c r="AY849" s="154"/>
      <c r="AZ849" s="334"/>
      <c r="BB849" s="334"/>
      <c r="BO849" s="334"/>
      <c r="BP849" s="334"/>
      <c r="BQ849" s="334"/>
      <c r="BR849" s="334"/>
      <c r="BS849" s="334"/>
      <c r="BT849" s="334"/>
      <c r="BU849" s="334"/>
      <c r="BV849" s="334"/>
    </row>
    <row r="850" spans="45:74" x14ac:dyDescent="0.25">
      <c r="AY850" s="154"/>
      <c r="AZ850" s="334"/>
      <c r="BB850" s="334"/>
      <c r="BO850" s="334"/>
      <c r="BP850" s="334"/>
      <c r="BQ850" s="334"/>
      <c r="BR850" s="334"/>
      <c r="BS850" s="334"/>
      <c r="BT850" s="334"/>
      <c r="BU850" s="334"/>
      <c r="BV850" s="334"/>
    </row>
    <row r="851" spans="45:74" x14ac:dyDescent="0.25">
      <c r="AS851" s="202"/>
      <c r="AZ851" s="334"/>
      <c r="BB851" s="334"/>
      <c r="BD851" s="154"/>
      <c r="BO851" s="334"/>
      <c r="BP851" s="334"/>
      <c r="BQ851" s="334"/>
      <c r="BR851" s="334"/>
      <c r="BS851" s="334"/>
      <c r="BT851" s="334"/>
      <c r="BU851" s="334"/>
      <c r="BV851" s="334"/>
    </row>
    <row r="852" spans="45:74" x14ac:dyDescent="0.25">
      <c r="AS852" s="202"/>
      <c r="AZ852" s="334"/>
      <c r="BB852" s="334"/>
      <c r="BD852" s="154"/>
      <c r="BO852" s="334"/>
      <c r="BP852" s="334"/>
      <c r="BQ852" s="334"/>
      <c r="BR852" s="334"/>
      <c r="BS852" s="334"/>
      <c r="BT852" s="334"/>
      <c r="BU852" s="334"/>
      <c r="BV852" s="334"/>
    </row>
    <row r="853" spans="45:74" x14ac:dyDescent="0.25">
      <c r="AS853" s="154"/>
      <c r="AZ853" s="334"/>
      <c r="BB853" s="334"/>
      <c r="BD853" s="154"/>
      <c r="BO853" s="334"/>
      <c r="BP853" s="334"/>
      <c r="BQ853" s="334"/>
      <c r="BR853" s="334"/>
      <c r="BS853" s="334"/>
      <c r="BT853" s="334"/>
      <c r="BU853" s="334"/>
      <c r="BV853" s="334"/>
    </row>
    <row r="854" spans="45:74" x14ac:dyDescent="0.25">
      <c r="AZ854" s="334"/>
      <c r="BB854" s="334"/>
      <c r="BD854" s="202"/>
      <c r="BO854" s="334"/>
      <c r="BP854" s="334"/>
      <c r="BQ854" s="334"/>
      <c r="BR854" s="334"/>
      <c r="BS854" s="334"/>
      <c r="BT854" s="334"/>
      <c r="BU854" s="334"/>
      <c r="BV854" s="334"/>
    </row>
    <row r="855" spans="45:74" x14ac:dyDescent="0.25">
      <c r="AS855" s="102"/>
      <c r="AT855" s="102"/>
      <c r="AU855" s="102"/>
      <c r="AV855" s="102"/>
      <c r="AW855" s="102"/>
      <c r="AX855" s="102"/>
      <c r="AY855" s="102"/>
      <c r="AZ855" s="335"/>
      <c r="BA855" s="102"/>
      <c r="BB855" s="335"/>
      <c r="BC855" s="102"/>
      <c r="BD855" s="102"/>
      <c r="BE855" s="102"/>
      <c r="BO855" s="334"/>
      <c r="BP855" s="334"/>
      <c r="BQ855" s="334"/>
      <c r="BR855" s="334"/>
      <c r="BS855" s="334"/>
      <c r="BT855" s="334"/>
      <c r="BU855" s="334"/>
      <c r="BV855" s="334"/>
    </row>
    <row r="856" spans="45:74" x14ac:dyDescent="0.25">
      <c r="AX856" s="154"/>
      <c r="AZ856" s="334"/>
      <c r="BB856" s="334"/>
      <c r="BO856" s="334"/>
      <c r="BP856" s="334"/>
      <c r="BQ856" s="334"/>
      <c r="BR856" s="334"/>
      <c r="BS856" s="334"/>
      <c r="BT856" s="334"/>
      <c r="BU856" s="334"/>
      <c r="BV856" s="334"/>
    </row>
    <row r="857" spans="45:74" x14ac:dyDescent="0.25">
      <c r="AX857" s="102"/>
      <c r="AY857" s="102"/>
      <c r="AZ857" s="335"/>
      <c r="BA857" s="102"/>
      <c r="BB857" s="334"/>
      <c r="BC857" s="103"/>
      <c r="BD857" s="103"/>
      <c r="BO857" s="334"/>
      <c r="BP857" s="334"/>
      <c r="BQ857" s="334"/>
      <c r="BR857" s="334"/>
      <c r="BS857" s="334"/>
      <c r="BT857" s="334"/>
      <c r="BU857" s="334"/>
      <c r="BV857" s="334"/>
    </row>
    <row r="858" spans="45:74" x14ac:dyDescent="0.25">
      <c r="AV858" s="103"/>
      <c r="AW858" s="103"/>
      <c r="AZ858" s="336"/>
      <c r="BA858" s="103"/>
      <c r="BB858" s="334"/>
      <c r="BC858" s="103"/>
      <c r="BD858" s="103"/>
      <c r="BE858" s="103"/>
      <c r="BG858" s="102"/>
      <c r="BH858" s="154"/>
      <c r="BK858" s="102"/>
      <c r="BM858" s="102"/>
      <c r="BN858" s="154"/>
      <c r="BQ858" s="102"/>
    </row>
    <row r="859" spans="45:74" x14ac:dyDescent="0.25">
      <c r="AV859" s="103"/>
      <c r="AW859" s="103"/>
      <c r="AX859" s="103"/>
      <c r="AY859" s="103"/>
      <c r="AZ859" s="336"/>
      <c r="BA859" s="103"/>
      <c r="BB859" s="336"/>
      <c r="BC859" s="103"/>
      <c r="BD859" s="103"/>
      <c r="BE859" s="103"/>
      <c r="BH859" s="103"/>
      <c r="BI859" s="103"/>
      <c r="BN859" s="103"/>
      <c r="BO859" s="103"/>
    </row>
    <row r="860" spans="45:74" x14ac:dyDescent="0.25">
      <c r="AS860" s="103"/>
      <c r="AU860" s="154"/>
      <c r="AV860" s="103"/>
      <c r="AW860" s="103"/>
      <c r="AX860" s="103"/>
      <c r="AY860" s="103"/>
      <c r="AZ860" s="336"/>
      <c r="BA860" s="103"/>
      <c r="BB860" s="336"/>
      <c r="BC860" s="103"/>
      <c r="BD860" s="103"/>
      <c r="BE860" s="103"/>
      <c r="BG860" s="103"/>
      <c r="BH860" s="103"/>
      <c r="BI860" s="103"/>
      <c r="BJ860" s="103"/>
      <c r="BK860" s="103"/>
      <c r="BM860" s="103"/>
      <c r="BN860" s="103"/>
      <c r="BO860" s="103"/>
      <c r="BP860" s="103"/>
      <c r="BQ860" s="103"/>
    </row>
    <row r="861" spans="45:74" x14ac:dyDescent="0.25">
      <c r="AS861" s="103"/>
      <c r="AU861" s="154"/>
      <c r="AV861" s="103"/>
      <c r="AW861" s="103"/>
      <c r="AX861" s="103"/>
      <c r="AY861" s="103"/>
      <c r="AZ861" s="336"/>
      <c r="BA861" s="103"/>
      <c r="BB861" s="336"/>
      <c r="BC861" s="103"/>
      <c r="BD861" s="103"/>
      <c r="BE861" s="103"/>
      <c r="BG861" s="103"/>
      <c r="BH861" s="103"/>
      <c r="BI861" s="103"/>
      <c r="BJ861" s="103"/>
      <c r="BK861" s="103"/>
      <c r="BM861" s="103"/>
      <c r="BN861" s="103"/>
      <c r="BO861" s="103"/>
      <c r="BP861" s="103"/>
      <c r="BQ861" s="103"/>
    </row>
    <row r="862" spans="45:74" x14ac:dyDescent="0.25">
      <c r="AS862" s="102"/>
      <c r="AT862" s="102"/>
      <c r="AU862" s="102"/>
      <c r="AV862" s="102"/>
      <c r="AW862" s="102"/>
      <c r="AX862" s="102"/>
      <c r="AY862" s="102"/>
      <c r="AZ862" s="335"/>
      <c r="BA862" s="102"/>
      <c r="BB862" s="335"/>
      <c r="BC862" s="102"/>
      <c r="BD862" s="102"/>
      <c r="BE862" s="102"/>
      <c r="BG862" s="102"/>
      <c r="BH862" s="102"/>
      <c r="BI862" s="102"/>
      <c r="BJ862" s="102"/>
      <c r="BK862" s="102"/>
      <c r="BM862" s="102"/>
      <c r="BN862" s="102"/>
      <c r="BO862" s="102"/>
      <c r="BP862" s="102"/>
      <c r="BQ862" s="102"/>
    </row>
    <row r="863" spans="45:74" x14ac:dyDescent="0.25">
      <c r="AV863" s="103"/>
      <c r="AW863" s="103"/>
      <c r="AX863" s="103"/>
      <c r="AY863" s="103"/>
      <c r="AZ863" s="336"/>
      <c r="BA863" s="103"/>
      <c r="BB863" s="336"/>
      <c r="BC863" s="103"/>
      <c r="BD863" s="103"/>
      <c r="BE863" s="103"/>
      <c r="BG863" s="334"/>
      <c r="BH863" s="334"/>
      <c r="BI863" s="334"/>
      <c r="BJ863" s="334"/>
      <c r="BK863" s="334"/>
      <c r="BL863" s="334"/>
      <c r="BM863" s="334"/>
      <c r="BN863" s="334"/>
      <c r="BO863" s="334"/>
      <c r="BP863" s="334"/>
      <c r="BQ863" s="334"/>
    </row>
    <row r="864" spans="45:74" x14ac:dyDescent="0.25">
      <c r="AS864" s="202"/>
      <c r="AT864" s="154"/>
      <c r="AV864" s="200"/>
      <c r="AW864" s="200"/>
      <c r="AX864" s="334"/>
      <c r="AY864" s="334"/>
      <c r="AZ864" s="334"/>
      <c r="BA864" s="201"/>
      <c r="BB864" s="334"/>
      <c r="BC864" s="334"/>
      <c r="BD864" s="334"/>
      <c r="BE864" s="201"/>
      <c r="BG864" s="334"/>
      <c r="BH864" s="334"/>
      <c r="BI864" s="334"/>
      <c r="BJ864" s="334"/>
      <c r="BK864" s="334"/>
      <c r="BL864" s="334"/>
      <c r="BM864" s="334"/>
      <c r="BN864" s="334"/>
      <c r="BO864" s="334"/>
      <c r="BP864" s="334"/>
      <c r="BQ864" s="334"/>
      <c r="BR864" s="334"/>
      <c r="BS864" s="334"/>
    </row>
    <row r="865" spans="45:71" x14ac:dyDescent="0.25">
      <c r="AS865" s="202"/>
      <c r="AV865" s="200"/>
      <c r="AW865" s="200"/>
      <c r="AX865" s="334"/>
      <c r="AY865" s="334"/>
      <c r="AZ865" s="334"/>
      <c r="BA865" s="201"/>
      <c r="BB865" s="334"/>
      <c r="BC865" s="334"/>
      <c r="BD865" s="334"/>
      <c r="BE865" s="201"/>
      <c r="BG865" s="334"/>
      <c r="BH865" s="334"/>
      <c r="BI865" s="334"/>
      <c r="BJ865" s="334"/>
      <c r="BK865" s="334"/>
      <c r="BL865" s="334"/>
      <c r="BM865" s="334"/>
      <c r="BN865" s="334"/>
      <c r="BO865" s="334"/>
      <c r="BP865" s="334"/>
      <c r="BQ865" s="334"/>
      <c r="BR865" s="334"/>
      <c r="BS865" s="334"/>
    </row>
    <row r="866" spans="45:71" x14ac:dyDescent="0.25">
      <c r="AS866" s="202"/>
      <c r="AV866" s="200"/>
      <c r="AW866" s="200"/>
      <c r="AX866" s="334"/>
      <c r="AY866" s="334"/>
      <c r="AZ866" s="334"/>
      <c r="BA866" s="201"/>
      <c r="BB866" s="334"/>
      <c r="BC866" s="334"/>
      <c r="BD866" s="334"/>
      <c r="BE866" s="201"/>
      <c r="BG866" s="334"/>
      <c r="BH866" s="334"/>
      <c r="BI866" s="334"/>
      <c r="BJ866" s="334"/>
      <c r="BK866" s="334"/>
      <c r="BL866" s="334"/>
      <c r="BM866" s="334"/>
      <c r="BN866" s="334"/>
      <c r="BO866" s="334"/>
      <c r="BP866" s="334"/>
      <c r="BQ866" s="334"/>
      <c r="BR866" s="334"/>
      <c r="BS866" s="334"/>
    </row>
    <row r="867" spans="45:71" x14ac:dyDescent="0.25">
      <c r="AS867" s="202"/>
      <c r="AV867" s="200"/>
      <c r="AW867" s="200"/>
      <c r="AX867" s="334"/>
      <c r="AY867" s="334"/>
      <c r="AZ867" s="334"/>
      <c r="BA867" s="201"/>
      <c r="BB867" s="334"/>
      <c r="BC867" s="334"/>
      <c r="BD867" s="334"/>
      <c r="BE867" s="201"/>
      <c r="BG867" s="334"/>
      <c r="BH867" s="334"/>
      <c r="BI867" s="334"/>
      <c r="BJ867" s="334"/>
      <c r="BK867" s="334"/>
      <c r="BL867" s="334"/>
      <c r="BM867" s="334"/>
      <c r="BN867" s="334"/>
      <c r="BO867" s="334"/>
      <c r="BP867" s="334"/>
      <c r="BQ867" s="334"/>
      <c r="BR867" s="334"/>
      <c r="BS867" s="334"/>
    </row>
    <row r="868" spans="45:71" x14ac:dyDescent="0.25">
      <c r="AS868" s="202"/>
      <c r="AV868" s="200"/>
      <c r="AW868" s="200"/>
      <c r="AX868" s="334"/>
      <c r="AY868" s="334"/>
      <c r="AZ868" s="334"/>
      <c r="BA868" s="201"/>
      <c r="BB868" s="334"/>
      <c r="BC868" s="334"/>
      <c r="BD868" s="334"/>
      <c r="BE868" s="201"/>
      <c r="BG868" s="334"/>
      <c r="BH868" s="334"/>
      <c r="BI868" s="334"/>
      <c r="BJ868" s="334"/>
      <c r="BK868" s="334"/>
      <c r="BL868" s="334"/>
      <c r="BM868" s="334"/>
      <c r="BN868" s="334"/>
      <c r="BO868" s="334"/>
      <c r="BP868" s="334"/>
      <c r="BQ868" s="334"/>
      <c r="BR868" s="334"/>
      <c r="BS868" s="334"/>
    </row>
    <row r="869" spans="45:71" x14ac:dyDescent="0.25">
      <c r="AS869" s="202"/>
      <c r="AV869" s="200"/>
      <c r="AW869" s="200"/>
      <c r="AX869" s="334"/>
      <c r="AY869" s="334"/>
      <c r="AZ869" s="334"/>
      <c r="BA869" s="201"/>
      <c r="BB869" s="334"/>
      <c r="BC869" s="334"/>
      <c r="BD869" s="334"/>
      <c r="BE869" s="201"/>
      <c r="BG869" s="334"/>
      <c r="BH869" s="334"/>
      <c r="BI869" s="334"/>
      <c r="BJ869" s="334"/>
      <c r="BK869" s="334"/>
      <c r="BL869" s="334"/>
      <c r="BM869" s="334"/>
      <c r="BN869" s="334"/>
      <c r="BO869" s="334"/>
      <c r="BP869" s="334"/>
      <c r="BQ869" s="334"/>
      <c r="BR869" s="334"/>
      <c r="BS869" s="334"/>
    </row>
    <row r="870" spans="45:71" x14ac:dyDescent="0.25">
      <c r="AS870" s="202"/>
      <c r="AV870" s="200"/>
      <c r="AW870" s="200"/>
      <c r="AX870" s="334"/>
      <c r="AY870" s="334"/>
      <c r="AZ870" s="334"/>
      <c r="BA870" s="201"/>
      <c r="BB870" s="334"/>
      <c r="BC870" s="334"/>
      <c r="BD870" s="334"/>
      <c r="BE870" s="201"/>
      <c r="BG870" s="334"/>
      <c r="BH870" s="334"/>
      <c r="BI870" s="334"/>
      <c r="BJ870" s="334"/>
      <c r="BK870" s="334"/>
      <c r="BL870" s="334"/>
      <c r="BM870" s="334"/>
      <c r="BN870" s="334"/>
      <c r="BO870" s="334"/>
      <c r="BP870" s="334"/>
      <c r="BQ870" s="334"/>
      <c r="BR870" s="334"/>
      <c r="BS870" s="334"/>
    </row>
    <row r="871" spans="45:71" x14ac:dyDescent="0.25">
      <c r="AS871" s="202"/>
      <c r="AV871" s="200"/>
      <c r="AW871" s="200"/>
      <c r="AX871" s="334"/>
      <c r="AY871" s="334"/>
      <c r="AZ871" s="334"/>
      <c r="BA871" s="201"/>
      <c r="BB871" s="334"/>
      <c r="BC871" s="334"/>
      <c r="BD871" s="334"/>
      <c r="BE871" s="201"/>
      <c r="BG871" s="334"/>
      <c r="BH871" s="334"/>
      <c r="BI871" s="334"/>
      <c r="BJ871" s="334"/>
      <c r="BK871" s="334"/>
      <c r="BL871" s="334"/>
      <c r="BM871" s="334"/>
      <c r="BN871" s="334"/>
      <c r="BO871" s="334"/>
      <c r="BP871" s="334"/>
      <c r="BQ871" s="334"/>
      <c r="BR871" s="334"/>
      <c r="BS871" s="334"/>
    </row>
    <row r="872" spans="45:71" x14ac:dyDescent="0.25">
      <c r="AS872" s="202"/>
      <c r="AV872" s="200"/>
      <c r="AW872" s="200"/>
      <c r="AX872" s="334"/>
      <c r="AY872" s="334"/>
      <c r="AZ872" s="334"/>
      <c r="BA872" s="201"/>
      <c r="BB872" s="334"/>
      <c r="BC872" s="334"/>
      <c r="BD872" s="334"/>
      <c r="BE872" s="201"/>
      <c r="BG872" s="334"/>
      <c r="BH872" s="334"/>
      <c r="BI872" s="334"/>
      <c r="BJ872" s="334"/>
      <c r="BK872" s="334"/>
      <c r="BL872" s="334"/>
      <c r="BM872" s="334"/>
      <c r="BN872" s="334"/>
      <c r="BO872" s="334"/>
      <c r="BP872" s="334"/>
      <c r="BQ872" s="334"/>
      <c r="BR872" s="334"/>
      <c r="BS872" s="334"/>
    </row>
    <row r="873" spans="45:71" x14ac:dyDescent="0.25">
      <c r="AS873" s="202"/>
      <c r="AV873" s="200"/>
      <c r="AW873" s="200"/>
      <c r="AX873" s="334"/>
      <c r="AY873" s="334"/>
      <c r="AZ873" s="334"/>
      <c r="BA873" s="201"/>
      <c r="BB873" s="334"/>
      <c r="BC873" s="334"/>
      <c r="BD873" s="334"/>
      <c r="BE873" s="201"/>
      <c r="BG873" s="334"/>
      <c r="BH873" s="334"/>
      <c r="BI873" s="334"/>
      <c r="BJ873" s="334"/>
      <c r="BK873" s="334"/>
      <c r="BL873" s="334"/>
      <c r="BM873" s="334"/>
      <c r="BN873" s="334"/>
      <c r="BO873" s="334"/>
      <c r="BP873" s="334"/>
      <c r="BQ873" s="334"/>
      <c r="BR873" s="334"/>
      <c r="BS873" s="334"/>
    </row>
    <row r="874" spans="45:71" x14ac:dyDescent="0.25">
      <c r="AS874" s="202"/>
      <c r="AV874" s="200"/>
      <c r="AW874" s="200"/>
      <c r="AX874" s="334"/>
      <c r="AY874" s="334"/>
      <c r="AZ874" s="334"/>
      <c r="BA874" s="201"/>
      <c r="BB874" s="334"/>
      <c r="BC874" s="334"/>
      <c r="BD874" s="334"/>
      <c r="BE874" s="201"/>
      <c r="BG874" s="334"/>
      <c r="BH874" s="334"/>
      <c r="BI874" s="334"/>
      <c r="BJ874" s="334"/>
      <c r="BK874" s="334"/>
      <c r="BL874" s="334"/>
      <c r="BM874" s="334"/>
      <c r="BN874" s="334"/>
      <c r="BO874" s="334"/>
      <c r="BP874" s="334"/>
      <c r="BQ874" s="334"/>
      <c r="BR874" s="334"/>
      <c r="BS874" s="334"/>
    </row>
    <row r="875" spans="45:71" x14ac:dyDescent="0.25">
      <c r="AS875" s="202"/>
      <c r="AV875" s="200"/>
      <c r="AW875" s="200"/>
      <c r="AX875" s="334"/>
      <c r="AY875" s="334"/>
      <c r="AZ875" s="334"/>
      <c r="BA875" s="201"/>
      <c r="BB875" s="334"/>
      <c r="BC875" s="334"/>
      <c r="BD875" s="334"/>
      <c r="BE875" s="201"/>
      <c r="BG875" s="334"/>
      <c r="BH875" s="334"/>
      <c r="BI875" s="334"/>
      <c r="BJ875" s="334"/>
      <c r="BK875" s="334"/>
      <c r="BL875" s="334"/>
      <c r="BM875" s="334"/>
      <c r="BN875" s="334"/>
      <c r="BO875" s="334"/>
      <c r="BP875" s="334"/>
      <c r="BQ875" s="334"/>
      <c r="BR875" s="334"/>
      <c r="BS875" s="334"/>
    </row>
    <row r="876" spans="45:71" x14ac:dyDescent="0.25">
      <c r="AS876" s="202"/>
      <c r="AV876" s="200"/>
      <c r="AW876" s="200"/>
      <c r="AX876" s="334"/>
      <c r="AY876" s="334"/>
      <c r="AZ876" s="334"/>
      <c r="BA876" s="201"/>
      <c r="BB876" s="334"/>
      <c r="BC876" s="334"/>
      <c r="BD876" s="334"/>
      <c r="BE876" s="201"/>
      <c r="BG876" s="334"/>
      <c r="BH876" s="334"/>
      <c r="BI876" s="334"/>
      <c r="BJ876" s="334"/>
      <c r="BK876" s="334"/>
      <c r="BL876" s="334"/>
      <c r="BM876" s="334"/>
      <c r="BN876" s="334"/>
      <c r="BO876" s="334"/>
      <c r="BP876" s="334"/>
      <c r="BQ876" s="334"/>
      <c r="BR876" s="334"/>
      <c r="BS876" s="334"/>
    </row>
    <row r="877" spans="45:71" x14ac:dyDescent="0.25">
      <c r="AS877" s="202"/>
      <c r="AV877" s="200"/>
      <c r="AW877" s="200"/>
      <c r="AX877" s="334"/>
      <c r="AY877" s="334"/>
      <c r="AZ877" s="334"/>
      <c r="BA877" s="201"/>
      <c r="BB877" s="334"/>
      <c r="BC877" s="334"/>
      <c r="BD877" s="334"/>
      <c r="BE877" s="201"/>
      <c r="BG877" s="334"/>
      <c r="BH877" s="334"/>
      <c r="BI877" s="334"/>
      <c r="BJ877" s="334"/>
      <c r="BK877" s="334"/>
      <c r="BL877" s="334"/>
      <c r="BM877" s="334"/>
      <c r="BN877" s="334"/>
      <c r="BO877" s="334"/>
      <c r="BP877" s="334"/>
      <c r="BQ877" s="334"/>
      <c r="BR877" s="334"/>
      <c r="BS877" s="334"/>
    </row>
    <row r="878" spans="45:71" x14ac:dyDescent="0.25">
      <c r="AS878" s="202"/>
      <c r="AV878" s="200"/>
      <c r="AW878" s="200"/>
      <c r="AX878" s="334"/>
      <c r="AY878" s="334"/>
      <c r="AZ878" s="334"/>
      <c r="BA878" s="201"/>
      <c r="BB878" s="334"/>
      <c r="BC878" s="334"/>
      <c r="BD878" s="334"/>
      <c r="BE878" s="201"/>
      <c r="BG878" s="334"/>
      <c r="BH878" s="334"/>
      <c r="BI878" s="334"/>
      <c r="BJ878" s="334"/>
      <c r="BK878" s="334"/>
      <c r="BL878" s="334"/>
      <c r="BM878" s="334"/>
      <c r="BN878" s="334"/>
      <c r="BO878" s="334"/>
      <c r="BP878" s="334"/>
      <c r="BQ878" s="334"/>
      <c r="BR878" s="334"/>
      <c r="BS878" s="334"/>
    </row>
    <row r="879" spans="45:71" x14ac:dyDescent="0.25">
      <c r="AS879" s="202"/>
      <c r="AV879" s="200"/>
      <c r="AW879" s="200"/>
      <c r="AX879" s="334"/>
      <c r="AY879" s="334"/>
      <c r="AZ879" s="334"/>
      <c r="BA879" s="201"/>
      <c r="BB879" s="334"/>
      <c r="BC879" s="334"/>
      <c r="BD879" s="334"/>
      <c r="BE879" s="201"/>
      <c r="BG879" s="334"/>
      <c r="BH879" s="334"/>
      <c r="BI879" s="334"/>
      <c r="BJ879" s="334"/>
      <c r="BK879" s="334"/>
      <c r="BL879" s="334"/>
      <c r="BM879" s="334"/>
      <c r="BN879" s="334"/>
      <c r="BO879" s="334"/>
      <c r="BP879" s="334"/>
      <c r="BQ879" s="334"/>
      <c r="BR879" s="334"/>
      <c r="BS879" s="334"/>
    </row>
    <row r="880" spans="45:71" x14ac:dyDescent="0.25">
      <c r="AS880" s="202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  <c r="BG880" s="334"/>
      <c r="BH880" s="334"/>
      <c r="BI880" s="334"/>
      <c r="BJ880" s="334"/>
      <c r="BK880" s="334"/>
      <c r="BL880" s="334"/>
      <c r="BM880" s="334"/>
      <c r="BN880" s="334"/>
      <c r="BO880" s="334"/>
      <c r="BP880" s="334"/>
      <c r="BQ880" s="334"/>
      <c r="BR880" s="334"/>
      <c r="BS880" s="334"/>
    </row>
    <row r="881" spans="45:71" x14ac:dyDescent="0.25">
      <c r="AS881" s="202"/>
      <c r="AV881" s="200"/>
      <c r="AW881" s="200"/>
      <c r="AX881" s="334"/>
      <c r="AY881" s="334"/>
      <c r="AZ881" s="334"/>
      <c r="BA881" s="201"/>
      <c r="BB881" s="334"/>
      <c r="BC881" s="334"/>
      <c r="BD881" s="334"/>
      <c r="BE881" s="201"/>
      <c r="BG881" s="334"/>
      <c r="BH881" s="334"/>
      <c r="BI881" s="334"/>
      <c r="BJ881" s="334"/>
      <c r="BK881" s="334"/>
      <c r="BL881" s="334"/>
      <c r="BM881" s="334"/>
      <c r="BN881" s="334"/>
      <c r="BO881" s="334"/>
      <c r="BP881" s="334"/>
      <c r="BQ881" s="334"/>
      <c r="BR881" s="334"/>
      <c r="BS881" s="334"/>
    </row>
    <row r="882" spans="45:71" x14ac:dyDescent="0.25">
      <c r="AZ882" s="334"/>
      <c r="BB882" s="334"/>
      <c r="BC882" s="334"/>
      <c r="BD882" s="334"/>
      <c r="BG882" s="334"/>
      <c r="BH882" s="334"/>
      <c r="BI882" s="334"/>
      <c r="BJ882" s="334"/>
      <c r="BK882" s="334"/>
      <c r="BL882" s="334"/>
      <c r="BM882" s="334"/>
      <c r="BN882" s="334"/>
      <c r="BO882" s="334"/>
      <c r="BP882" s="334"/>
      <c r="BQ882" s="334"/>
      <c r="BR882" s="334"/>
      <c r="BS882" s="334"/>
    </row>
    <row r="883" spans="45:71" x14ac:dyDescent="0.25">
      <c r="AS883" s="202"/>
      <c r="AT883" s="154"/>
      <c r="AV883" s="200"/>
      <c r="AW883" s="200"/>
      <c r="AX883" s="334"/>
      <c r="AY883" s="334"/>
      <c r="AZ883" s="334"/>
      <c r="BA883" s="201"/>
      <c r="BB883" s="334"/>
      <c r="BC883" s="334"/>
      <c r="BD883" s="334"/>
      <c r="BE883" s="201"/>
    </row>
    <row r="884" spans="45:71" x14ac:dyDescent="0.25">
      <c r="AS884" s="202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</row>
    <row r="885" spans="45:71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</row>
    <row r="886" spans="45:71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</row>
    <row r="887" spans="45:71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</row>
    <row r="888" spans="45:71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</row>
    <row r="889" spans="45:71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71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71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71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</row>
    <row r="893" spans="45:71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4" spans="45:71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</row>
    <row r="895" spans="45:71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</row>
    <row r="896" spans="45:71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</row>
    <row r="897" spans="45:57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</row>
    <row r="898" spans="45:57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</row>
    <row r="899" spans="45:57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</row>
    <row r="900" spans="45:57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57" x14ac:dyDescent="0.25">
      <c r="BB901" s="334"/>
    </row>
    <row r="902" spans="45:57" x14ac:dyDescent="0.25">
      <c r="AU902" s="154"/>
      <c r="BB902" s="334"/>
    </row>
    <row r="903" spans="45:57" x14ac:dyDescent="0.25">
      <c r="AU903" s="154"/>
    </row>
    <row r="904" spans="45:57" x14ac:dyDescent="0.25">
      <c r="AU904" s="154"/>
      <c r="BB904" s="334"/>
    </row>
    <row r="905" spans="45:57" x14ac:dyDescent="0.25">
      <c r="AS905" s="154"/>
      <c r="AZ905" s="334"/>
      <c r="BB905" s="334"/>
    </row>
    <row r="906" spans="45:57" x14ac:dyDescent="0.25">
      <c r="AY906" s="202"/>
      <c r="AZ906" s="334"/>
      <c r="BB906" s="334"/>
    </row>
    <row r="907" spans="45:57" x14ac:dyDescent="0.25">
      <c r="AY907" s="334"/>
      <c r="AZ907" s="334"/>
      <c r="BB907" s="334"/>
    </row>
    <row r="908" spans="45:57" x14ac:dyDescent="0.25">
      <c r="AY908" s="154"/>
      <c r="AZ908" s="334"/>
      <c r="BB908" s="334"/>
    </row>
    <row r="909" spans="45:57" x14ac:dyDescent="0.25">
      <c r="AY909" s="154"/>
      <c r="AZ909" s="334"/>
      <c r="BB909" s="334"/>
    </row>
    <row r="910" spans="45:57" x14ac:dyDescent="0.25">
      <c r="AS910" s="202"/>
      <c r="AZ910" s="334"/>
      <c r="BB910" s="334"/>
      <c r="BD910" s="154"/>
    </row>
    <row r="911" spans="45:57" x14ac:dyDescent="0.25">
      <c r="AS911" s="202"/>
      <c r="AZ911" s="334"/>
      <c r="BB911" s="334"/>
      <c r="BD911" s="154"/>
    </row>
    <row r="912" spans="45:57" x14ac:dyDescent="0.25">
      <c r="AS912" s="154"/>
      <c r="AZ912" s="334"/>
      <c r="BB912" s="334"/>
      <c r="BD912" s="154"/>
    </row>
    <row r="913" spans="45:57" x14ac:dyDescent="0.25">
      <c r="AZ913" s="334"/>
      <c r="BB913" s="334"/>
      <c r="BD913" s="202"/>
    </row>
    <row r="914" spans="45:57" x14ac:dyDescent="0.25">
      <c r="AS914" s="102"/>
      <c r="AT914" s="102"/>
      <c r="AU914" s="102"/>
      <c r="AV914" s="102"/>
      <c r="AW914" s="102"/>
      <c r="AX914" s="102"/>
      <c r="AY914" s="102"/>
      <c r="AZ914" s="335"/>
      <c r="BA914" s="102"/>
      <c r="BB914" s="335"/>
      <c r="BC914" s="102"/>
      <c r="BD914" s="102"/>
      <c r="BE914" s="102"/>
    </row>
    <row r="915" spans="45:57" x14ac:dyDescent="0.25">
      <c r="AX915" s="154"/>
      <c r="AZ915" s="334"/>
      <c r="BB915" s="334"/>
    </row>
    <row r="916" spans="45:57" x14ac:dyDescent="0.25">
      <c r="AX916" s="102"/>
      <c r="AY916" s="102"/>
      <c r="AZ916" s="335"/>
      <c r="BA916" s="102"/>
      <c r="BB916" s="334"/>
      <c r="BC916" s="103"/>
      <c r="BD916" s="103"/>
    </row>
    <row r="917" spans="45:57" x14ac:dyDescent="0.25">
      <c r="AV917" s="103"/>
      <c r="AW917" s="103"/>
      <c r="AZ917" s="336"/>
      <c r="BA917" s="103"/>
      <c r="BB917" s="334"/>
      <c r="BC917" s="103"/>
      <c r="BD917" s="103"/>
      <c r="BE917" s="103"/>
    </row>
    <row r="918" spans="45:57" x14ac:dyDescent="0.25">
      <c r="AV918" s="103"/>
      <c r="AW918" s="103"/>
      <c r="AX918" s="103"/>
      <c r="AY918" s="103"/>
      <c r="AZ918" s="336"/>
      <c r="BA918" s="103"/>
      <c r="BB918" s="336"/>
      <c r="BC918" s="103"/>
      <c r="BD918" s="103"/>
      <c r="BE918" s="103"/>
    </row>
    <row r="919" spans="45:57" x14ac:dyDescent="0.25">
      <c r="AS919" s="103"/>
      <c r="AU919" s="154"/>
      <c r="AV919" s="103"/>
      <c r="AW919" s="103"/>
      <c r="AX919" s="103"/>
      <c r="AY919" s="103"/>
      <c r="AZ919" s="336"/>
      <c r="BA919" s="103"/>
      <c r="BB919" s="336"/>
      <c r="BC919" s="103"/>
      <c r="BD919" s="103"/>
      <c r="BE919" s="103"/>
    </row>
    <row r="920" spans="45:57" x14ac:dyDescent="0.25">
      <c r="AS920" s="103"/>
      <c r="AU920" s="154"/>
      <c r="AV920" s="103"/>
      <c r="AW920" s="103"/>
      <c r="AX920" s="103"/>
      <c r="AY920" s="103"/>
      <c r="AZ920" s="336"/>
      <c r="BA920" s="103"/>
      <c r="BB920" s="336"/>
      <c r="BC920" s="103"/>
      <c r="BD920" s="103"/>
      <c r="BE920" s="103"/>
    </row>
    <row r="921" spans="45:57" x14ac:dyDescent="0.25">
      <c r="AS921" s="102"/>
      <c r="AT921" s="102"/>
      <c r="AU921" s="102"/>
      <c r="AV921" s="102"/>
      <c r="AW921" s="102"/>
      <c r="AX921" s="102"/>
      <c r="AY921" s="102"/>
      <c r="AZ921" s="335"/>
      <c r="BA921" s="102"/>
      <c r="BB921" s="335"/>
      <c r="BC921" s="102"/>
      <c r="BD921" s="102"/>
      <c r="BE921" s="102"/>
    </row>
    <row r="922" spans="45:57" x14ac:dyDescent="0.25">
      <c r="AV922" s="103"/>
      <c r="AW922" s="103"/>
      <c r="AX922" s="103"/>
      <c r="AY922" s="103"/>
      <c r="AZ922" s="336"/>
      <c r="BA922" s="103"/>
      <c r="BB922" s="336"/>
      <c r="BC922" s="103"/>
      <c r="BD922" s="103"/>
      <c r="BE922" s="103"/>
    </row>
    <row r="923" spans="45:57" x14ac:dyDescent="0.25">
      <c r="AS923" s="202"/>
      <c r="AT923" s="154"/>
      <c r="AV923" s="200"/>
      <c r="AW923" s="200"/>
      <c r="AX923" s="334"/>
      <c r="AY923" s="334"/>
      <c r="AZ923" s="334"/>
      <c r="BA923" s="201"/>
      <c r="BB923" s="334"/>
      <c r="BC923" s="334"/>
      <c r="BD923" s="334"/>
      <c r="BE923" s="201"/>
    </row>
    <row r="924" spans="45:57" x14ac:dyDescent="0.25">
      <c r="AS924" s="202"/>
      <c r="AV924" s="200"/>
      <c r="AW924" s="200"/>
      <c r="AX924" s="334"/>
      <c r="AY924" s="334"/>
      <c r="AZ924" s="334"/>
      <c r="BA924" s="201"/>
      <c r="BB924" s="334"/>
      <c r="BC924" s="334"/>
      <c r="BD924" s="334"/>
      <c r="BE924" s="201"/>
    </row>
    <row r="925" spans="45:57" x14ac:dyDescent="0.25">
      <c r="AS925" s="202"/>
      <c r="AV925" s="200"/>
      <c r="AW925" s="200"/>
      <c r="AX925" s="334"/>
      <c r="AY925" s="334"/>
      <c r="AZ925" s="334"/>
      <c r="BA925" s="201"/>
      <c r="BB925" s="334"/>
      <c r="BC925" s="334"/>
      <c r="BD925" s="334"/>
      <c r="BE925" s="201"/>
    </row>
    <row r="926" spans="45:57" x14ac:dyDescent="0.25">
      <c r="AS926" s="202"/>
      <c r="AV926" s="200"/>
      <c r="AW926" s="200"/>
      <c r="AX926" s="334"/>
      <c r="AY926" s="334"/>
      <c r="AZ926" s="334"/>
      <c r="BA926" s="201"/>
      <c r="BB926" s="334"/>
      <c r="BC926" s="334"/>
      <c r="BD926" s="334"/>
      <c r="BE926" s="201"/>
    </row>
    <row r="927" spans="45:57" x14ac:dyDescent="0.25">
      <c r="AS927" s="202"/>
      <c r="AV927" s="200"/>
      <c r="AW927" s="200"/>
      <c r="AX927" s="334"/>
      <c r="AY927" s="334"/>
      <c r="AZ927" s="334"/>
      <c r="BA927" s="201"/>
      <c r="BB927" s="334"/>
      <c r="BC927" s="334"/>
      <c r="BD927" s="334"/>
      <c r="BE927" s="201"/>
    </row>
    <row r="928" spans="45:57" x14ac:dyDescent="0.25">
      <c r="AS928" s="202"/>
      <c r="AV928" s="200"/>
      <c r="AW928" s="200"/>
      <c r="AX928" s="334"/>
      <c r="AY928" s="334"/>
      <c r="AZ928" s="334"/>
      <c r="BA928" s="201"/>
      <c r="BB928" s="334"/>
      <c r="BC928" s="334"/>
      <c r="BD928" s="334"/>
      <c r="BE928" s="201"/>
    </row>
    <row r="929" spans="45:57" x14ac:dyDescent="0.25">
      <c r="AS929" s="202"/>
      <c r="AV929" s="200"/>
      <c r="AW929" s="200"/>
      <c r="AX929" s="334"/>
      <c r="AY929" s="334"/>
      <c r="AZ929" s="334"/>
      <c r="BA929" s="201"/>
      <c r="BB929" s="334"/>
      <c r="BC929" s="334"/>
      <c r="BD929" s="334"/>
      <c r="BE929" s="201"/>
    </row>
    <row r="930" spans="45:57" x14ac:dyDescent="0.25">
      <c r="AS930" s="202"/>
      <c r="AV930" s="200"/>
      <c r="AW930" s="200"/>
      <c r="AX930" s="334"/>
      <c r="AY930" s="334"/>
      <c r="AZ930" s="334"/>
      <c r="BA930" s="201"/>
      <c r="BB930" s="334"/>
      <c r="BC930" s="334"/>
      <c r="BD930" s="334"/>
      <c r="BE930" s="201"/>
    </row>
    <row r="931" spans="45:57" x14ac:dyDescent="0.25">
      <c r="AS931" s="202"/>
      <c r="AV931" s="200"/>
      <c r="AW931" s="200"/>
      <c r="AX931" s="334"/>
      <c r="AY931" s="334"/>
      <c r="AZ931" s="334"/>
      <c r="BA931" s="201"/>
      <c r="BB931" s="334"/>
      <c r="BC931" s="334"/>
      <c r="BD931" s="334"/>
      <c r="BE931" s="201"/>
    </row>
    <row r="932" spans="45:57" x14ac:dyDescent="0.25">
      <c r="AS932" s="202"/>
      <c r="AV932" s="200"/>
      <c r="AW932" s="200"/>
      <c r="AX932" s="334"/>
      <c r="AY932" s="334"/>
      <c r="AZ932" s="334"/>
      <c r="BA932" s="201"/>
      <c r="BB932" s="334"/>
      <c r="BC932" s="334"/>
      <c r="BD932" s="334"/>
      <c r="BE932" s="201"/>
    </row>
    <row r="933" spans="45:57" x14ac:dyDescent="0.25">
      <c r="AV933" s="200"/>
      <c r="AW933" s="200"/>
      <c r="BB933" s="334"/>
    </row>
    <row r="934" spans="45:57" x14ac:dyDescent="0.25">
      <c r="AS934" s="202"/>
      <c r="AT934" s="154"/>
      <c r="AV934" s="200"/>
      <c r="AW934" s="200"/>
      <c r="AX934" s="334"/>
      <c r="AY934" s="334"/>
      <c r="AZ934" s="334"/>
      <c r="BA934" s="201"/>
      <c r="BB934" s="334"/>
      <c r="BC934" s="334"/>
      <c r="BD934" s="334"/>
      <c r="BE934" s="201"/>
    </row>
    <row r="935" spans="45:57" x14ac:dyDescent="0.25">
      <c r="AS935" s="202"/>
      <c r="AV935" s="200"/>
      <c r="AW935" s="200"/>
      <c r="AX935" s="334"/>
      <c r="AY935" s="334"/>
      <c r="AZ935" s="334"/>
      <c r="BA935" s="201"/>
      <c r="BB935" s="334"/>
      <c r="BC935" s="334"/>
      <c r="BD935" s="334"/>
      <c r="BE935" s="201"/>
    </row>
    <row r="936" spans="45:57" x14ac:dyDescent="0.25">
      <c r="AS936" s="202"/>
      <c r="AV936" s="200"/>
      <c r="AW936" s="200"/>
      <c r="AX936" s="334"/>
      <c r="AY936" s="334"/>
      <c r="AZ936" s="334"/>
      <c r="BA936" s="201"/>
      <c r="BB936" s="334"/>
      <c r="BC936" s="334"/>
      <c r="BD936" s="334"/>
      <c r="BE936" s="201"/>
    </row>
    <row r="937" spans="45:57" x14ac:dyDescent="0.25">
      <c r="AS937" s="202"/>
      <c r="AV937" s="200"/>
      <c r="AW937" s="200"/>
      <c r="AX937" s="334"/>
      <c r="AY937" s="334"/>
      <c r="AZ937" s="334"/>
      <c r="BA937" s="201"/>
      <c r="BB937" s="334"/>
      <c r="BC937" s="334"/>
      <c r="BD937" s="334"/>
      <c r="BE937" s="201"/>
    </row>
    <row r="938" spans="45:57" x14ac:dyDescent="0.25">
      <c r="AS938" s="202"/>
      <c r="AV938" s="200"/>
      <c r="AW938" s="200"/>
      <c r="AX938" s="334"/>
      <c r="AY938" s="334"/>
      <c r="AZ938" s="334"/>
      <c r="BA938" s="201"/>
      <c r="BB938" s="334"/>
      <c r="BC938" s="334"/>
      <c r="BD938" s="334"/>
      <c r="BE938" s="201"/>
    </row>
    <row r="939" spans="45:57" x14ac:dyDescent="0.25">
      <c r="AS939" s="202"/>
      <c r="AV939" s="200"/>
      <c r="AW939" s="200"/>
      <c r="AX939" s="334"/>
      <c r="AY939" s="334"/>
      <c r="AZ939" s="334"/>
      <c r="BA939" s="201"/>
      <c r="BB939" s="334"/>
      <c r="BC939" s="334"/>
      <c r="BD939" s="334"/>
      <c r="BE939" s="201"/>
    </row>
    <row r="940" spans="45:57" x14ac:dyDescent="0.25">
      <c r="AS940" s="202"/>
      <c r="AV940" s="200"/>
      <c r="AW940" s="200"/>
      <c r="AX940" s="334"/>
      <c r="AY940" s="334"/>
      <c r="AZ940" s="334"/>
      <c r="BA940" s="201"/>
      <c r="BB940" s="334"/>
      <c r="BC940" s="334"/>
      <c r="BD940" s="334"/>
      <c r="BE940" s="201"/>
    </row>
    <row r="941" spans="45:57" x14ac:dyDescent="0.25">
      <c r="AS941" s="202"/>
      <c r="AV941" s="200"/>
      <c r="AW941" s="200"/>
      <c r="AX941" s="334"/>
      <c r="AY941" s="334"/>
      <c r="AZ941" s="334"/>
      <c r="BA941" s="201"/>
      <c r="BB941" s="334"/>
      <c r="BC941" s="334"/>
      <c r="BD941" s="334"/>
      <c r="BE941" s="201"/>
    </row>
    <row r="942" spans="45:57" x14ac:dyDescent="0.25">
      <c r="AS942" s="202"/>
      <c r="AV942" s="200"/>
      <c r="AW942" s="200"/>
      <c r="AX942" s="334"/>
      <c r="AY942" s="334"/>
      <c r="AZ942" s="334"/>
      <c r="BA942" s="201"/>
      <c r="BB942" s="334"/>
      <c r="BC942" s="334"/>
      <c r="BD942" s="334"/>
      <c r="BE942" s="201"/>
    </row>
    <row r="943" spans="45:57" x14ac:dyDescent="0.25">
      <c r="AS943" s="202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5" spans="45:47" x14ac:dyDescent="0.25">
      <c r="AU945" s="154"/>
    </row>
    <row r="946" spans="45:47" x14ac:dyDescent="0.25">
      <c r="AU946" s="154"/>
    </row>
    <row r="947" spans="45:47" x14ac:dyDescent="0.25">
      <c r="AU947" s="154"/>
    </row>
    <row r="948" spans="45:47" x14ac:dyDescent="0.25">
      <c r="AS948" s="154"/>
    </row>
    <row r="969" spans="52:71" x14ac:dyDescent="0.25">
      <c r="AZ969" s="334"/>
      <c r="BB969" s="334"/>
      <c r="BC969" s="334"/>
      <c r="BD969" s="334"/>
      <c r="BG969" s="334"/>
      <c r="BH969" s="334"/>
      <c r="BI969" s="334"/>
      <c r="BJ969" s="334"/>
      <c r="BK969" s="334"/>
      <c r="BL969" s="334"/>
      <c r="BM969" s="334"/>
      <c r="BN969" s="334"/>
      <c r="BO969" s="334"/>
      <c r="BP969" s="334"/>
      <c r="BQ969" s="334"/>
      <c r="BR969" s="334"/>
      <c r="BS969" s="334"/>
    </row>
    <row r="970" spans="52:71" x14ac:dyDescent="0.25">
      <c r="AZ970" s="334"/>
      <c r="BB970" s="334"/>
      <c r="BC970" s="334"/>
      <c r="BD970" s="334"/>
      <c r="BG970" s="334"/>
      <c r="BH970" s="334"/>
      <c r="BI970" s="334"/>
      <c r="BJ970" s="334"/>
      <c r="BK970" s="334"/>
      <c r="BL970" s="334"/>
      <c r="BM970" s="334"/>
      <c r="BN970" s="334"/>
      <c r="BO970" s="334"/>
      <c r="BP970" s="334"/>
      <c r="BQ970" s="334"/>
      <c r="BR970" s="334"/>
      <c r="BS970" s="334"/>
    </row>
    <row r="971" spans="52:71" x14ac:dyDescent="0.25">
      <c r="AZ971" s="334"/>
      <c r="BB971" s="334"/>
      <c r="BC971" s="334"/>
      <c r="BD971" s="334"/>
      <c r="BG971" s="334"/>
      <c r="BH971" s="334"/>
      <c r="BI971" s="334"/>
      <c r="BJ971" s="334"/>
      <c r="BK971" s="334"/>
      <c r="BL971" s="334"/>
      <c r="BM971" s="334"/>
      <c r="BN971" s="334"/>
      <c r="BO971" s="334"/>
      <c r="BP971" s="334"/>
      <c r="BQ971" s="334"/>
      <c r="BR971" s="334"/>
      <c r="BS971" s="334"/>
    </row>
    <row r="972" spans="52:71" x14ac:dyDescent="0.25">
      <c r="AZ972" s="334"/>
      <c r="BB972" s="334"/>
      <c r="BC972" s="334"/>
      <c r="BD972" s="334"/>
      <c r="BG972" s="334"/>
      <c r="BH972" s="334"/>
      <c r="BI972" s="334"/>
      <c r="BJ972" s="334"/>
      <c r="BK972" s="334"/>
      <c r="BL972" s="334"/>
      <c r="BM972" s="334"/>
      <c r="BN972" s="334"/>
      <c r="BO972" s="334"/>
      <c r="BP972" s="334"/>
      <c r="BQ972" s="334"/>
      <c r="BR972" s="334"/>
      <c r="BS972" s="334"/>
    </row>
    <row r="973" spans="52:71" x14ac:dyDescent="0.25">
      <c r="AZ973" s="334"/>
      <c r="BB973" s="334"/>
      <c r="BC973" s="334"/>
      <c r="BD973" s="334"/>
      <c r="BG973" s="334"/>
      <c r="BH973" s="334"/>
      <c r="BI973" s="334"/>
      <c r="BJ973" s="334"/>
      <c r="BK973" s="334"/>
      <c r="BL973" s="334"/>
      <c r="BM973" s="334"/>
      <c r="BN973" s="334"/>
      <c r="BO973" s="334"/>
      <c r="BP973" s="334"/>
      <c r="BQ973" s="334"/>
      <c r="BR973" s="334"/>
      <c r="BS973" s="334"/>
    </row>
    <row r="974" spans="52:71" x14ac:dyDescent="0.25">
      <c r="AZ974" s="334"/>
      <c r="BB974" s="334"/>
      <c r="BC974" s="334"/>
      <c r="BD974" s="334"/>
      <c r="BG974" s="334"/>
      <c r="BH974" s="334"/>
      <c r="BI974" s="334"/>
      <c r="BJ974" s="334"/>
      <c r="BK974" s="334"/>
      <c r="BL974" s="334"/>
      <c r="BM974" s="334"/>
      <c r="BN974" s="334"/>
      <c r="BO974" s="334"/>
      <c r="BP974" s="334"/>
      <c r="BQ974" s="334"/>
      <c r="BR974" s="334"/>
      <c r="BS974" s="334"/>
    </row>
    <row r="975" spans="52:71" x14ac:dyDescent="0.25">
      <c r="AZ975" s="334"/>
      <c r="BB975" s="334"/>
      <c r="BC975" s="334"/>
      <c r="BD975" s="334"/>
      <c r="BG975" s="334"/>
      <c r="BH975" s="334"/>
      <c r="BI975" s="334"/>
      <c r="BJ975" s="334"/>
      <c r="BK975" s="334"/>
      <c r="BL975" s="334"/>
      <c r="BM975" s="334"/>
      <c r="BN975" s="334"/>
      <c r="BO975" s="334"/>
      <c r="BP975" s="334"/>
      <c r="BQ975" s="334"/>
      <c r="BR975" s="334"/>
      <c r="BS975" s="334"/>
    </row>
    <row r="976" spans="52:71" x14ac:dyDescent="0.25">
      <c r="AZ976" s="334"/>
      <c r="BB976" s="334"/>
      <c r="BC976" s="334"/>
      <c r="BD976" s="334"/>
      <c r="BG976" s="334"/>
      <c r="BH976" s="334"/>
      <c r="BI976" s="334"/>
      <c r="BJ976" s="334"/>
      <c r="BK976" s="334"/>
      <c r="BL976" s="334"/>
      <c r="BM976" s="334"/>
      <c r="BN976" s="334"/>
      <c r="BO976" s="334"/>
      <c r="BP976" s="334"/>
      <c r="BQ976" s="334"/>
      <c r="BR976" s="334"/>
      <c r="BS976" s="334"/>
    </row>
    <row r="977" spans="52:71" x14ac:dyDescent="0.25">
      <c r="AZ977" s="334"/>
      <c r="BB977" s="334"/>
      <c r="BC977" s="334"/>
      <c r="BD977" s="334"/>
      <c r="BG977" s="334"/>
      <c r="BH977" s="334"/>
      <c r="BI977" s="334"/>
      <c r="BJ977" s="334"/>
      <c r="BK977" s="334"/>
      <c r="BL977" s="334"/>
      <c r="BM977" s="334"/>
      <c r="BN977" s="334"/>
      <c r="BO977" s="334"/>
      <c r="BP977" s="334"/>
      <c r="BQ977" s="334"/>
      <c r="BR977" s="334"/>
      <c r="BS977" s="334"/>
    </row>
    <row r="978" spans="52:71" x14ac:dyDescent="0.25">
      <c r="AZ978" s="334"/>
      <c r="BB978" s="334"/>
      <c r="BC978" s="334"/>
      <c r="BD978" s="334"/>
      <c r="BG978" s="334"/>
      <c r="BH978" s="334"/>
      <c r="BI978" s="334"/>
      <c r="BJ978" s="334"/>
      <c r="BK978" s="334"/>
      <c r="BL978" s="334"/>
      <c r="BM978" s="334"/>
      <c r="BN978" s="334"/>
      <c r="BO978" s="334"/>
      <c r="BP978" s="334"/>
      <c r="BQ978" s="334"/>
      <c r="BR978" s="334"/>
      <c r="BS978" s="334"/>
    </row>
    <row r="979" spans="52:71" x14ac:dyDescent="0.25">
      <c r="AZ979" s="334"/>
      <c r="BB979" s="334"/>
      <c r="BC979" s="334"/>
      <c r="BD979" s="334"/>
      <c r="BG979" s="334"/>
      <c r="BH979" s="334"/>
      <c r="BI979" s="334"/>
      <c r="BJ979" s="334"/>
      <c r="BK979" s="334"/>
      <c r="BL979" s="334"/>
      <c r="BM979" s="334"/>
      <c r="BN979" s="334"/>
      <c r="BO979" s="334"/>
      <c r="BP979" s="334"/>
      <c r="BQ979" s="334"/>
      <c r="BR979" s="334"/>
      <c r="BS979" s="334"/>
    </row>
    <row r="980" spans="52:71" x14ac:dyDescent="0.25">
      <c r="AZ980" s="334"/>
      <c r="BB980" s="334"/>
      <c r="BC980" s="334"/>
      <c r="BD980" s="334"/>
      <c r="BG980" s="334"/>
      <c r="BH980" s="334"/>
      <c r="BI980" s="334"/>
      <c r="BJ980" s="334"/>
      <c r="BK980" s="334"/>
      <c r="BL980" s="334"/>
      <c r="BM980" s="334"/>
      <c r="BN980" s="334"/>
      <c r="BO980" s="334"/>
      <c r="BP980" s="334"/>
      <c r="BQ980" s="334"/>
      <c r="BR980" s="334"/>
      <c r="BS980" s="334"/>
    </row>
    <row r="981" spans="52:71" x14ac:dyDescent="0.25">
      <c r="AZ981" s="334"/>
      <c r="BG981" s="334"/>
      <c r="BH981" s="334"/>
      <c r="BI981" s="334"/>
      <c r="BJ981" s="334"/>
      <c r="BK981" s="334"/>
      <c r="BL981" s="334"/>
      <c r="BM981" s="334"/>
      <c r="BN981" s="334"/>
      <c r="BO981" s="334"/>
      <c r="BP981" s="334"/>
      <c r="BQ981" s="334"/>
      <c r="BR981" s="334"/>
      <c r="BS981" s="334"/>
    </row>
    <row r="982" spans="52:71" x14ac:dyDescent="0.25">
      <c r="AZ982" s="334"/>
      <c r="BG982" s="334"/>
      <c r="BH982" s="334"/>
      <c r="BI982" s="334"/>
      <c r="BJ982" s="334"/>
      <c r="BK982" s="334"/>
      <c r="BL982" s="334"/>
      <c r="BM982" s="334"/>
      <c r="BN982" s="334"/>
      <c r="BO982" s="334"/>
      <c r="BP982" s="334"/>
      <c r="BQ982" s="334"/>
      <c r="BR982" s="334"/>
      <c r="BS982" s="334"/>
    </row>
    <row r="983" spans="52:71" x14ac:dyDescent="0.25">
      <c r="AZ983" s="334"/>
      <c r="BG983" s="334"/>
      <c r="BH983" s="334"/>
      <c r="BI983" s="334"/>
      <c r="BJ983" s="334"/>
      <c r="BK983" s="334"/>
      <c r="BL983" s="334"/>
      <c r="BM983" s="334"/>
      <c r="BN983" s="334"/>
      <c r="BO983" s="334"/>
      <c r="BP983" s="334"/>
      <c r="BQ983" s="334"/>
      <c r="BR983" s="334"/>
      <c r="BS983" s="334"/>
    </row>
    <row r="984" spans="52:71" x14ac:dyDescent="0.25">
      <c r="AZ984" s="334"/>
      <c r="BG984" s="334"/>
      <c r="BH984" s="334"/>
      <c r="BI984" s="334"/>
      <c r="BJ984" s="334"/>
      <c r="BK984" s="334"/>
      <c r="BL984" s="334"/>
      <c r="BM984" s="334"/>
      <c r="BN984" s="334"/>
      <c r="BO984" s="334"/>
      <c r="BP984" s="334"/>
      <c r="BQ984" s="334"/>
      <c r="BR984" s="334"/>
      <c r="BS984" s="334"/>
    </row>
    <row r="985" spans="52:71" x14ac:dyDescent="0.25">
      <c r="AZ985" s="334"/>
      <c r="BG985" s="334"/>
      <c r="BH985" s="334"/>
      <c r="BI985" s="334"/>
      <c r="BJ985" s="334"/>
      <c r="BK985" s="334"/>
      <c r="BL985" s="334"/>
      <c r="BM985" s="334"/>
      <c r="BN985" s="334"/>
      <c r="BO985" s="334"/>
      <c r="BP985" s="334"/>
      <c r="BQ985" s="334"/>
      <c r="BR985" s="334"/>
      <c r="BS985" s="334"/>
    </row>
    <row r="986" spans="52:71" x14ac:dyDescent="0.25">
      <c r="AZ986" s="334"/>
      <c r="BG986" s="334"/>
      <c r="BH986" s="334"/>
      <c r="BI986" s="334"/>
      <c r="BJ986" s="334"/>
      <c r="BK986" s="334"/>
      <c r="BL986" s="334"/>
      <c r="BM986" s="334"/>
      <c r="BN986" s="334"/>
      <c r="BO986" s="334"/>
      <c r="BP986" s="334"/>
      <c r="BQ986" s="334"/>
      <c r="BR986" s="334"/>
      <c r="BS986" s="334"/>
    </row>
    <row r="987" spans="52:71" x14ac:dyDescent="0.25">
      <c r="AZ987" s="334"/>
      <c r="BG987" s="334"/>
      <c r="BH987" s="334"/>
      <c r="BI987" s="334"/>
      <c r="BJ987" s="334"/>
      <c r="BK987" s="334"/>
      <c r="BL987" s="334"/>
      <c r="BM987" s="334"/>
      <c r="BN987" s="334"/>
      <c r="BO987" s="334"/>
      <c r="BP987" s="334"/>
      <c r="BQ987" s="334"/>
      <c r="BR987" s="334"/>
      <c r="BS987" s="334"/>
    </row>
    <row r="988" spans="52:71" x14ac:dyDescent="0.25">
      <c r="AZ988" s="334"/>
    </row>
    <row r="989" spans="52:71" x14ac:dyDescent="0.25">
      <c r="AZ989" s="334"/>
    </row>
    <row r="1003" spans="1:28" x14ac:dyDescent="0.25">
      <c r="A1003" s="154"/>
    </row>
    <row r="1006" spans="1:28" x14ac:dyDescent="0.25">
      <c r="Y1006" s="154"/>
    </row>
    <row r="1007" spans="1:28" x14ac:dyDescent="0.25">
      <c r="A1007" s="154"/>
      <c r="H1007" s="154"/>
      <c r="I1007" s="154"/>
    </row>
    <row r="1008" spans="1:28" x14ac:dyDescent="0.25">
      <c r="A1008" s="154"/>
      <c r="V1008" s="103"/>
      <c r="AA1008" s="103"/>
      <c r="AB1008" s="103"/>
    </row>
    <row r="1009" spans="1:28" x14ac:dyDescent="0.25">
      <c r="A1009" s="154"/>
      <c r="V1009" s="102"/>
      <c r="AA1009" s="102"/>
      <c r="AB1009" s="102"/>
    </row>
    <row r="1010" spans="1:28" x14ac:dyDescent="0.25">
      <c r="A1010" s="154"/>
      <c r="U1010" s="154"/>
      <c r="AA1010" s="103"/>
      <c r="AB1010" s="103"/>
    </row>
    <row r="1011" spans="1:28" x14ac:dyDescent="0.25">
      <c r="A1011" s="154"/>
    </row>
    <row r="1012" spans="1:28" x14ac:dyDescent="0.25">
      <c r="A1012" s="154"/>
      <c r="U1012" s="154"/>
      <c r="AA1012" s="103"/>
      <c r="AB1012" s="103"/>
    </row>
    <row r="1013" spans="1:28" x14ac:dyDescent="0.25">
      <c r="A1013" s="154"/>
    </row>
    <row r="1014" spans="1:28" x14ac:dyDescent="0.25">
      <c r="A1014" s="154"/>
      <c r="U1014" s="154"/>
      <c r="V1014" s="338"/>
      <c r="AA1014" s="103"/>
      <c r="AB1014" s="103"/>
    </row>
    <row r="1015" spans="1:28" x14ac:dyDescent="0.25">
      <c r="A1015" s="154"/>
    </row>
    <row r="1016" spans="1:28" x14ac:dyDescent="0.25">
      <c r="A1016" s="154"/>
      <c r="U1016" s="154"/>
      <c r="AA1016" s="103"/>
      <c r="AB1016" s="103"/>
    </row>
    <row r="1017" spans="1:28" x14ac:dyDescent="0.25">
      <c r="A1017" s="154"/>
    </row>
    <row r="1018" spans="1:28" x14ac:dyDescent="0.25">
      <c r="A1018" s="154"/>
      <c r="U1018" s="154"/>
      <c r="AA1018" s="103"/>
      <c r="AB1018" s="103"/>
    </row>
    <row r="1019" spans="1:28" x14ac:dyDescent="0.25">
      <c r="A1019" s="154"/>
    </row>
    <row r="1020" spans="1:28" x14ac:dyDescent="0.25">
      <c r="A1020" s="154"/>
    </row>
    <row r="1021" spans="1:28" x14ac:dyDescent="0.25">
      <c r="A1021" s="154"/>
    </row>
    <row r="1022" spans="1:28" x14ac:dyDescent="0.25">
      <c r="A1022" s="154"/>
    </row>
    <row r="1023" spans="1:28" x14ac:dyDescent="0.25">
      <c r="A1023" s="154"/>
    </row>
    <row r="1024" spans="1:28" x14ac:dyDescent="0.25">
      <c r="A1024" s="154"/>
    </row>
    <row r="1025" spans="1:9" x14ac:dyDescent="0.25">
      <c r="A1025" s="154"/>
    </row>
    <row r="1026" spans="1:9" x14ac:dyDescent="0.25">
      <c r="A1026" s="154"/>
    </row>
    <row r="1027" spans="1:9" x14ac:dyDescent="0.25">
      <c r="A1027" s="154"/>
    </row>
    <row r="1028" spans="1:9" x14ac:dyDescent="0.25">
      <c r="A1028" s="154"/>
    </row>
    <row r="1029" spans="1:9" x14ac:dyDescent="0.25">
      <c r="A1029" s="154"/>
      <c r="H1029" s="154"/>
      <c r="I1029" s="154"/>
    </row>
    <row r="1032" spans="1:9" x14ac:dyDescent="0.25">
      <c r="A1032" s="154"/>
    </row>
    <row r="1035" spans="1:9" x14ac:dyDescent="0.25">
      <c r="A1035" s="154"/>
    </row>
    <row r="1038" spans="1:9" x14ac:dyDescent="0.25">
      <c r="A1038" s="154"/>
    </row>
    <row r="1039" spans="1:9" x14ac:dyDescent="0.25">
      <c r="A1039" s="154"/>
    </row>
    <row r="1040" spans="1:9" x14ac:dyDescent="0.25">
      <c r="A1040" s="154"/>
    </row>
    <row r="1041" spans="1:1" x14ac:dyDescent="0.25">
      <c r="A1041" s="154"/>
    </row>
    <row r="1042" spans="1:1" x14ac:dyDescent="0.25">
      <c r="A1042" s="154"/>
    </row>
    <row r="1043" spans="1:1" x14ac:dyDescent="0.25">
      <c r="A1043" s="154"/>
    </row>
    <row r="1044" spans="1:1" x14ac:dyDescent="0.25">
      <c r="A1044" s="154"/>
    </row>
    <row r="1045" spans="1:1" x14ac:dyDescent="0.25">
      <c r="A1045" s="154"/>
    </row>
    <row r="1046" spans="1:1" x14ac:dyDescent="0.25">
      <c r="A1046" s="154"/>
    </row>
    <row r="1047" spans="1:1" x14ac:dyDescent="0.25">
      <c r="A1047" s="154"/>
    </row>
    <row r="1048" spans="1:1" x14ac:dyDescent="0.25">
      <c r="A1048" s="154"/>
    </row>
    <row r="1049" spans="1:1" x14ac:dyDescent="0.25">
      <c r="A1049" s="154"/>
    </row>
    <row r="1050" spans="1:1" x14ac:dyDescent="0.25">
      <c r="A1050" s="154"/>
    </row>
    <row r="1051" spans="1:1" x14ac:dyDescent="0.25">
      <c r="A1051" s="154"/>
    </row>
    <row r="1052" spans="1:1" x14ac:dyDescent="0.25">
      <c r="A1052" s="154"/>
    </row>
    <row r="1053" spans="1:1" x14ac:dyDescent="0.25">
      <c r="A1053" s="154"/>
    </row>
    <row r="1054" spans="1:1" x14ac:dyDescent="0.25">
      <c r="A1054" s="154"/>
    </row>
    <row r="1055" spans="1:1" x14ac:dyDescent="0.25">
      <c r="A1055" s="154"/>
    </row>
    <row r="1056" spans="1:1" x14ac:dyDescent="0.25">
      <c r="A1056" s="154"/>
    </row>
    <row r="1057" spans="1:1" x14ac:dyDescent="0.25">
      <c r="A1057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  <row r="1068" spans="1:1" x14ac:dyDescent="0.25">
      <c r="A1068" s="154"/>
    </row>
    <row r="1069" spans="1:1" x14ac:dyDescent="0.25">
      <c r="A1069" s="154"/>
    </row>
    <row r="1070" spans="1:1" x14ac:dyDescent="0.25">
      <c r="A1070" s="154"/>
    </row>
    <row r="1071" spans="1:1" x14ac:dyDescent="0.25">
      <c r="A1071" s="154"/>
    </row>
    <row r="1072" spans="1:1" x14ac:dyDescent="0.25">
      <c r="A1072" s="154"/>
    </row>
    <row r="1077" spans="1:1" x14ac:dyDescent="0.25">
      <c r="A1077" s="154"/>
    </row>
    <row r="1078" spans="1:1" x14ac:dyDescent="0.25">
      <c r="A1078" s="154"/>
    </row>
    <row r="1081" spans="1:1" x14ac:dyDescent="0.25">
      <c r="A1081" s="154"/>
    </row>
    <row r="1083" spans="1:1" x14ac:dyDescent="0.25">
      <c r="A1083" s="154"/>
    </row>
    <row r="1085" spans="1:1" x14ac:dyDescent="0.25">
      <c r="A1085" s="154"/>
    </row>
    <row r="1087" spans="1:1" x14ac:dyDescent="0.25">
      <c r="A1087" s="154"/>
    </row>
    <row r="1090" spans="1:1" x14ac:dyDescent="0.25">
      <c r="A1090" s="154"/>
    </row>
    <row r="1091" spans="1:1" x14ac:dyDescent="0.25">
      <c r="A1091" s="154"/>
    </row>
    <row r="1092" spans="1:1" x14ac:dyDescent="0.25">
      <c r="A1092" s="154"/>
    </row>
    <row r="1093" spans="1:1" x14ac:dyDescent="0.25">
      <c r="A1093" s="154"/>
    </row>
    <row r="1094" spans="1:1" x14ac:dyDescent="0.25">
      <c r="A1094" s="154"/>
    </row>
    <row r="1095" spans="1:1" x14ac:dyDescent="0.25">
      <c r="A1095" s="154"/>
    </row>
    <row r="1096" spans="1:1" x14ac:dyDescent="0.25">
      <c r="A1096" s="154"/>
    </row>
    <row r="1097" spans="1:1" x14ac:dyDescent="0.25">
      <c r="A1097" s="1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3"/>
      <headerFooter alignWithMargins="0"/>
    </customSheetView>
    <customSheetView guid="{2431C9E5-7CC2-4B8D-99C3-962247B1DBF5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8"/>
      <headerFooter alignWithMargins="0"/>
    </customSheetView>
    <customSheetView guid="{0BC1F393-8A13-47D5-BC6C-0C99615B5AB9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A4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81"/>
  <dimension ref="A1:BW1047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" style="101" customWidth="1"/>
    <col min="2" max="2" width="0.6640625" style="101" customWidth="1"/>
    <col min="3" max="3" width="8.6640625" style="101" customWidth="1"/>
    <col min="4" max="4" width="40.109375" style="101" customWidth="1"/>
    <col min="5" max="5" width="0.7773437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3.664062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2.77734375" style="101" customWidth="1"/>
    <col min="17" max="17" width="0.5546875" style="101" customWidth="1"/>
    <col min="18" max="18" width="20" style="101" customWidth="1"/>
    <col min="19" max="19" width="6.6640625" style="101" customWidth="1"/>
    <col min="20" max="20" width="5.109375" style="101" customWidth="1"/>
    <col min="21" max="21" width="0.5546875" style="101" customWidth="1"/>
    <col min="22" max="22" width="7.44140625" style="101" customWidth="1"/>
    <col min="23" max="23" width="40.6640625" style="101" customWidth="1"/>
    <col min="24" max="24" width="0.777343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44140625" style="101" customWidth="1"/>
    <col min="29" max="29" width="12.21875" style="101" customWidth="1"/>
    <col min="30" max="30" width="0.3320312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664062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758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9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51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412</v>
      </c>
      <c r="D20" s="387" t="s">
        <v>473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85"/>
      <c r="Q20" s="85"/>
      <c r="R20" s="85"/>
      <c r="T20" s="154"/>
      <c r="U20" s="154"/>
    </row>
    <row r="21" spans="1:40" x14ac:dyDescent="0.25">
      <c r="A21" s="159">
        <v>2</v>
      </c>
      <c r="B21" s="80"/>
      <c r="C21" s="253"/>
      <c r="D21" s="258" t="s">
        <v>154</v>
      </c>
      <c r="E21" s="8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85"/>
      <c r="Q21" s="85"/>
      <c r="R21" s="85"/>
      <c r="T21" s="154"/>
    </row>
    <row r="22" spans="1:40" ht="21.75" customHeight="1" x14ac:dyDescent="0.25">
      <c r="A22" s="159"/>
      <c r="B22" s="80"/>
      <c r="C22" s="82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85"/>
      <c r="Q22" s="85"/>
      <c r="R22" s="85"/>
      <c r="T22" s="154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85"/>
      <c r="Q23" s="85"/>
      <c r="R23" s="85"/>
      <c r="S23" s="200"/>
      <c r="T23" s="154"/>
      <c r="V23" s="200"/>
      <c r="Y23" s="200"/>
      <c r="Z23" s="300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159">
        <v>4</v>
      </c>
      <c r="B24" s="80"/>
      <c r="C24" s="82" t="s">
        <v>417</v>
      </c>
      <c r="D24" s="80"/>
      <c r="E24" s="80"/>
      <c r="F24" s="225">
        <v>0</v>
      </c>
      <c r="G24" s="70"/>
      <c r="H24" s="78"/>
      <c r="I24" s="70"/>
      <c r="J24" s="283">
        <f>INPUT!D136</f>
        <v>0</v>
      </c>
      <c r="K24" s="70"/>
      <c r="L24" s="79">
        <f>ROUND(+F24*J24,0)</f>
        <v>0</v>
      </c>
      <c r="M24" s="70"/>
      <c r="N24" s="341">
        <v>0</v>
      </c>
      <c r="O24" s="70"/>
      <c r="P24" s="79"/>
      <c r="Q24" s="271"/>
      <c r="R24" s="79">
        <f>L24+P24</f>
        <v>0</v>
      </c>
      <c r="S24" s="200"/>
      <c r="T24" s="154"/>
      <c r="V24" s="200"/>
      <c r="Y24" s="200"/>
      <c r="Z24" s="304"/>
      <c r="AA24" s="200"/>
      <c r="AB24" s="200"/>
      <c r="AC24" s="210"/>
      <c r="AD24" s="210"/>
      <c r="AE24" s="200"/>
      <c r="AF24" s="200"/>
      <c r="AG24" s="209"/>
      <c r="AH24" s="210"/>
      <c r="AI24" s="200"/>
      <c r="AJ24" s="200"/>
      <c r="AK24" s="209"/>
      <c r="AL24" s="200"/>
      <c r="AM24" s="210"/>
      <c r="AN24" s="210"/>
    </row>
    <row r="25" spans="1:40" ht="20.100000000000001" customHeight="1" x14ac:dyDescent="0.25">
      <c r="A25" s="159">
        <v>5</v>
      </c>
      <c r="B25" s="80"/>
      <c r="C25" s="253" t="s">
        <v>158</v>
      </c>
      <c r="D25" s="80"/>
      <c r="E25" s="80"/>
      <c r="F25" s="163"/>
      <c r="G25" s="70"/>
      <c r="H25" s="79"/>
      <c r="I25" s="70"/>
      <c r="J25" s="388"/>
      <c r="K25" s="70"/>
      <c r="L25" s="169">
        <f>SUM(L24:L24)</f>
        <v>0</v>
      </c>
      <c r="M25" s="70"/>
      <c r="N25" s="303">
        <v>0</v>
      </c>
      <c r="O25" s="70"/>
      <c r="P25" s="169"/>
      <c r="Q25" s="163"/>
      <c r="R25" s="169">
        <f>SUM(R24:R24)</f>
        <v>0</v>
      </c>
      <c r="S25" s="200"/>
      <c r="V25" s="211"/>
      <c r="Y25" s="211"/>
      <c r="Z25" s="305"/>
      <c r="AA25" s="211"/>
      <c r="AB25" s="211"/>
      <c r="AC25" s="211"/>
      <c r="AD25" s="211"/>
      <c r="AE25" s="211"/>
      <c r="AF25" s="211"/>
      <c r="AI25" s="211"/>
      <c r="AJ25" s="211"/>
      <c r="AK25" s="212"/>
      <c r="AL25" s="211"/>
      <c r="AM25" s="210"/>
      <c r="AN25" s="210"/>
    </row>
    <row r="26" spans="1:40" ht="19.5" customHeight="1" x14ac:dyDescent="0.25">
      <c r="A26" s="159"/>
      <c r="B26" s="80"/>
      <c r="C26" s="82"/>
      <c r="D26" s="80"/>
      <c r="E26" s="80"/>
      <c r="F26" s="163"/>
      <c r="G26" s="70"/>
      <c r="H26" s="79"/>
      <c r="I26" s="70"/>
      <c r="J26" s="388"/>
      <c r="K26" s="70"/>
      <c r="L26" s="163"/>
      <c r="M26" s="70"/>
      <c r="N26" s="198"/>
      <c r="O26" s="70"/>
      <c r="P26" s="163"/>
      <c r="Q26" s="163"/>
      <c r="R26" s="163"/>
      <c r="S26" s="200"/>
      <c r="V26" s="211"/>
      <c r="Y26" s="211"/>
      <c r="Z26" s="305"/>
      <c r="AA26" s="211"/>
      <c r="AB26" s="211"/>
      <c r="AC26" s="211"/>
      <c r="AD26" s="211"/>
      <c r="AE26" s="211"/>
      <c r="AF26" s="211"/>
      <c r="AI26" s="211"/>
      <c r="AJ26" s="211"/>
      <c r="AK26" s="212"/>
      <c r="AL26" s="211"/>
      <c r="AM26" s="210"/>
      <c r="AN26" s="210"/>
    </row>
    <row r="27" spans="1:40" x14ac:dyDescent="0.25">
      <c r="A27" s="159">
        <v>6</v>
      </c>
      <c r="B27" s="80"/>
      <c r="C27" s="253" t="s">
        <v>481</v>
      </c>
      <c r="D27" s="80"/>
      <c r="E27" s="80"/>
      <c r="F27" s="79"/>
      <c r="G27" s="70"/>
      <c r="H27" s="79"/>
      <c r="I27" s="70"/>
      <c r="J27" s="310"/>
      <c r="K27" s="70"/>
      <c r="L27" s="79"/>
      <c r="M27" s="70"/>
      <c r="N27" s="156"/>
      <c r="O27" s="70"/>
      <c r="P27" s="79"/>
      <c r="Q27" s="163"/>
      <c r="R27" s="79"/>
      <c r="Y27" s="154"/>
    </row>
    <row r="28" spans="1:40" x14ac:dyDescent="0.25">
      <c r="A28" s="159">
        <v>7</v>
      </c>
      <c r="B28" s="80"/>
      <c r="C28" s="82" t="s">
        <v>494</v>
      </c>
      <c r="D28" s="80"/>
      <c r="E28" s="80"/>
      <c r="F28" s="78"/>
      <c r="G28" s="70"/>
      <c r="H28" s="225">
        <v>0</v>
      </c>
      <c r="I28" s="78"/>
      <c r="J28" s="295">
        <f>INPUT!D140</f>
        <v>0</v>
      </c>
      <c r="K28" s="289"/>
      <c r="L28" s="79">
        <f>ROUND((H28*J28),0)</f>
        <v>0</v>
      </c>
      <c r="M28" s="79"/>
      <c r="N28" s="156">
        <v>0</v>
      </c>
      <c r="O28" s="156"/>
      <c r="P28" s="78"/>
      <c r="Q28" s="78"/>
      <c r="R28" s="79">
        <f>L28+P28</f>
        <v>0</v>
      </c>
      <c r="S28" s="200"/>
      <c r="T28" s="154"/>
      <c r="V28" s="252"/>
      <c r="Y28" s="200"/>
      <c r="Z28" s="304"/>
      <c r="AA28" s="200"/>
      <c r="AB28" s="200"/>
      <c r="AC28" s="210"/>
      <c r="AD28" s="210"/>
      <c r="AE28" s="200"/>
      <c r="AF28" s="200"/>
      <c r="AG28" s="209"/>
      <c r="AH28" s="210"/>
      <c r="AI28" s="200"/>
      <c r="AJ28" s="200"/>
      <c r="AK28" s="209"/>
      <c r="AL28" s="200"/>
      <c r="AM28" s="210"/>
      <c r="AN28" s="210"/>
    </row>
    <row r="29" spans="1:40" x14ac:dyDescent="0.25">
      <c r="A29" s="159">
        <v>8</v>
      </c>
      <c r="B29" s="80"/>
      <c r="C29" s="82" t="s">
        <v>419</v>
      </c>
      <c r="D29" s="80"/>
      <c r="E29" s="80"/>
      <c r="F29" s="78"/>
      <c r="G29" s="70"/>
      <c r="H29" s="78">
        <f>H28</f>
        <v>0</v>
      </c>
      <c r="I29" s="78"/>
      <c r="J29" s="295">
        <f>INPUT!D144</f>
        <v>0</v>
      </c>
      <c r="K29" s="289"/>
      <c r="L29" s="79">
        <f>ROUND((H29*J29),0)</f>
        <v>0</v>
      </c>
      <c r="M29" s="79"/>
      <c r="N29" s="156">
        <v>0</v>
      </c>
      <c r="O29" s="156"/>
      <c r="P29" s="230"/>
      <c r="Q29" s="78"/>
      <c r="R29" s="79">
        <f>L29+P29</f>
        <v>0</v>
      </c>
      <c r="S29" s="200"/>
      <c r="V29" s="211"/>
      <c r="Y29" s="211"/>
      <c r="Z29" s="305"/>
      <c r="AA29" s="211"/>
      <c r="AB29" s="211"/>
      <c r="AC29" s="211"/>
      <c r="AD29" s="211"/>
      <c r="AE29" s="211"/>
      <c r="AF29" s="211"/>
      <c r="AI29" s="211"/>
      <c r="AJ29" s="211"/>
      <c r="AK29" s="212"/>
      <c r="AL29" s="211"/>
      <c r="AM29" s="210"/>
      <c r="AN29" s="210"/>
    </row>
    <row r="30" spans="1:40" ht="20.100000000000001" customHeight="1" x14ac:dyDescent="0.25">
      <c r="A30" s="159">
        <v>9</v>
      </c>
      <c r="B30" s="80"/>
      <c r="C30" s="82" t="s">
        <v>480</v>
      </c>
      <c r="D30" s="80"/>
      <c r="E30" s="80"/>
      <c r="F30" s="78"/>
      <c r="G30" s="70"/>
      <c r="H30" s="78">
        <f>H29</f>
        <v>0</v>
      </c>
      <c r="I30" s="78"/>
      <c r="J30" s="295">
        <f>INPUT!D148</f>
        <v>0</v>
      </c>
      <c r="K30" s="289"/>
      <c r="L30" s="79">
        <f>ROUND((H30*J30),0)</f>
        <v>0</v>
      </c>
      <c r="M30" s="79"/>
      <c r="N30" s="156">
        <v>0</v>
      </c>
      <c r="O30" s="156"/>
      <c r="P30" s="200">
        <f>ROUND(-H30*(CUR_FAC+CUR_BASE_FUEL),0)</f>
        <v>0</v>
      </c>
      <c r="Q30" s="78"/>
      <c r="R30" s="79">
        <f>L30+P30</f>
        <v>0</v>
      </c>
      <c r="S30" s="200"/>
      <c r="V30" s="211"/>
      <c r="Y30" s="211"/>
      <c r="Z30" s="305"/>
      <c r="AA30" s="211"/>
      <c r="AB30" s="211"/>
      <c r="AC30" s="211"/>
      <c r="AD30" s="211"/>
      <c r="AE30" s="211"/>
      <c r="AF30" s="211"/>
      <c r="AI30" s="211"/>
      <c r="AJ30" s="211"/>
      <c r="AK30" s="212"/>
      <c r="AL30" s="211"/>
      <c r="AM30" s="210"/>
      <c r="AN30" s="210"/>
    </row>
    <row r="31" spans="1:40" ht="20.100000000000001" customHeight="1" x14ac:dyDescent="0.25">
      <c r="A31" s="159">
        <v>10</v>
      </c>
      <c r="B31" s="80"/>
      <c r="C31" s="253" t="s">
        <v>164</v>
      </c>
      <c r="D31" s="80"/>
      <c r="E31" s="80"/>
      <c r="F31" s="167"/>
      <c r="G31" s="70"/>
      <c r="H31" s="169">
        <f>H28</f>
        <v>0</v>
      </c>
      <c r="I31" s="79"/>
      <c r="J31" s="307"/>
      <c r="K31" s="263"/>
      <c r="L31" s="169">
        <f>SUM(L28:L30)</f>
        <v>0</v>
      </c>
      <c r="M31" s="79"/>
      <c r="N31" s="303">
        <v>0</v>
      </c>
      <c r="O31" s="156"/>
      <c r="P31" s="126">
        <f>P30</f>
        <v>0</v>
      </c>
      <c r="Q31" s="79"/>
      <c r="R31" s="169">
        <f>SUM(R28:R30)</f>
        <v>0</v>
      </c>
      <c r="S31" s="200"/>
      <c r="V31" s="211"/>
      <c r="Y31" s="211"/>
      <c r="Z31" s="305"/>
      <c r="AA31" s="211"/>
      <c r="AB31" s="211"/>
      <c r="AC31" s="211"/>
      <c r="AD31" s="211"/>
      <c r="AE31" s="211"/>
      <c r="AF31" s="211"/>
      <c r="AI31" s="211"/>
      <c r="AJ31" s="211"/>
      <c r="AK31" s="212"/>
      <c r="AL31" s="211"/>
    </row>
    <row r="32" spans="1:40" ht="20.100000000000001" customHeight="1" x14ac:dyDescent="0.25">
      <c r="A32" s="159">
        <v>11</v>
      </c>
      <c r="B32" s="80"/>
      <c r="C32" s="265" t="s">
        <v>576</v>
      </c>
      <c r="D32" s="80"/>
      <c r="E32" s="80"/>
      <c r="F32" s="169">
        <f>F24</f>
        <v>0</v>
      </c>
      <c r="G32" s="70"/>
      <c r="H32" s="169">
        <f>H31</f>
        <v>0</v>
      </c>
      <c r="I32" s="79"/>
      <c r="J32" s="307"/>
      <c r="K32" s="263"/>
      <c r="L32" s="169">
        <f>L31+L25</f>
        <v>0</v>
      </c>
      <c r="M32" s="79"/>
      <c r="N32" s="341">
        <v>0</v>
      </c>
      <c r="O32" s="156"/>
      <c r="P32" s="126">
        <f>P31</f>
        <v>0</v>
      </c>
      <c r="Q32" s="79"/>
      <c r="R32" s="169">
        <f>R25+R31</f>
        <v>0</v>
      </c>
      <c r="S32" s="200"/>
      <c r="V32" s="211"/>
      <c r="Y32" s="211"/>
      <c r="Z32" s="305"/>
      <c r="AA32" s="211"/>
      <c r="AB32" s="211"/>
      <c r="AC32" s="211"/>
      <c r="AD32" s="211"/>
      <c r="AE32" s="211"/>
      <c r="AF32" s="211"/>
      <c r="AI32" s="211"/>
      <c r="AJ32" s="211"/>
      <c r="AK32" s="212"/>
      <c r="AL32" s="211"/>
    </row>
    <row r="33" spans="1:43" ht="15.75" customHeight="1" x14ac:dyDescent="0.25">
      <c r="A33" s="159"/>
      <c r="B33" s="80"/>
      <c r="C33" s="82"/>
      <c r="D33" s="80"/>
      <c r="E33" s="80"/>
      <c r="F33" s="163"/>
      <c r="G33" s="70"/>
      <c r="H33" s="163"/>
      <c r="I33" s="79"/>
      <c r="J33" s="307"/>
      <c r="K33" s="263"/>
      <c r="L33" s="163"/>
      <c r="M33" s="79"/>
      <c r="N33" s="198"/>
      <c r="O33" s="156"/>
      <c r="P33" s="230"/>
      <c r="Q33" s="79"/>
      <c r="R33" s="163"/>
      <c r="S33" s="200"/>
      <c r="V33" s="211"/>
      <c r="Y33" s="211"/>
      <c r="Z33" s="305"/>
      <c r="AA33" s="211"/>
      <c r="AB33" s="211"/>
      <c r="AC33" s="211"/>
      <c r="AD33" s="211"/>
      <c r="AE33" s="211"/>
      <c r="AF33" s="211"/>
      <c r="AI33" s="211"/>
      <c r="AJ33" s="211"/>
      <c r="AK33" s="212"/>
      <c r="AL33" s="211"/>
    </row>
    <row r="34" spans="1:43" ht="15.75" customHeight="1" x14ac:dyDescent="0.25">
      <c r="A34" s="159">
        <v>12</v>
      </c>
      <c r="B34" s="80"/>
      <c r="C34" s="253" t="s">
        <v>553</v>
      </c>
      <c r="D34" s="80"/>
      <c r="E34" s="80"/>
      <c r="F34" s="163"/>
      <c r="G34" s="70"/>
      <c r="H34" s="163"/>
      <c r="I34" s="79"/>
      <c r="J34" s="307"/>
      <c r="K34" s="263"/>
      <c r="L34" s="163"/>
      <c r="M34" s="79"/>
      <c r="N34" s="198"/>
      <c r="O34" s="156"/>
      <c r="P34" s="230"/>
      <c r="Q34" s="79"/>
      <c r="R34" s="163"/>
      <c r="S34" s="200"/>
      <c r="V34" s="211"/>
      <c r="Y34" s="211"/>
      <c r="Z34" s="305"/>
      <c r="AA34" s="211"/>
      <c r="AB34" s="211"/>
      <c r="AC34" s="211"/>
      <c r="AD34" s="211"/>
      <c r="AE34" s="211"/>
      <c r="AF34" s="211"/>
      <c r="AI34" s="211"/>
      <c r="AJ34" s="211"/>
      <c r="AK34" s="212"/>
      <c r="AL34" s="211"/>
    </row>
    <row r="35" spans="1:43" ht="15.75" customHeight="1" x14ac:dyDescent="0.25">
      <c r="A35" s="159">
        <v>13</v>
      </c>
      <c r="B35" s="80"/>
      <c r="C35" s="153" t="s">
        <v>556</v>
      </c>
      <c r="D35" s="80"/>
      <c r="E35" s="80"/>
      <c r="F35" s="163"/>
      <c r="G35" s="70"/>
      <c r="H35" s="163"/>
      <c r="I35" s="79"/>
      <c r="J35" s="295">
        <f>PRO_DSM_DIST</f>
        <v>2.5760000000000002E-3</v>
      </c>
      <c r="K35" s="263"/>
      <c r="L35" s="163">
        <f>ROUND(H32*PRO_DSM_DIST,0)</f>
        <v>0</v>
      </c>
      <c r="M35" s="79"/>
      <c r="N35" s="197">
        <v>0</v>
      </c>
      <c r="O35" s="156"/>
      <c r="P35" s="230"/>
      <c r="Q35" s="79"/>
      <c r="R35" s="79">
        <f t="shared" ref="R35:R36" si="0">L35+P35</f>
        <v>0</v>
      </c>
      <c r="S35" s="200"/>
      <c r="V35" s="211"/>
      <c r="Y35" s="211"/>
      <c r="Z35" s="305"/>
      <c r="AA35" s="211"/>
      <c r="AB35" s="211"/>
      <c r="AC35" s="211"/>
      <c r="AD35" s="211"/>
      <c r="AE35" s="211"/>
      <c r="AF35" s="211"/>
      <c r="AI35" s="211"/>
      <c r="AJ35" s="211"/>
      <c r="AK35" s="212"/>
      <c r="AL35" s="211"/>
    </row>
    <row r="36" spans="1:43" ht="15.75" customHeight="1" x14ac:dyDescent="0.25">
      <c r="A36" s="159">
        <v>14</v>
      </c>
      <c r="B36" s="80"/>
      <c r="C36" s="153" t="s">
        <v>555</v>
      </c>
      <c r="D36" s="80"/>
      <c r="E36" s="80"/>
      <c r="F36" s="163"/>
      <c r="G36" s="70"/>
      <c r="H36" s="163"/>
      <c r="I36" s="79"/>
      <c r="J36" s="295">
        <f>PRO_PSM</f>
        <v>-4.5600000000000003E-4</v>
      </c>
      <c r="K36" s="263"/>
      <c r="L36" s="167">
        <f>ROUND(H32*PRO_PSM,0)</f>
        <v>0</v>
      </c>
      <c r="M36" s="79"/>
      <c r="N36" s="166">
        <v>0</v>
      </c>
      <c r="O36" s="156"/>
      <c r="P36" s="286"/>
      <c r="Q36" s="79"/>
      <c r="R36" s="79">
        <f t="shared" si="0"/>
        <v>0</v>
      </c>
      <c r="S36" s="200"/>
      <c r="V36" s="211"/>
      <c r="Y36" s="211"/>
      <c r="Z36" s="305"/>
      <c r="AA36" s="211"/>
      <c r="AB36" s="211"/>
      <c r="AC36" s="211"/>
      <c r="AD36" s="211"/>
      <c r="AE36" s="211"/>
      <c r="AF36" s="211"/>
      <c r="AI36" s="211"/>
      <c r="AJ36" s="211"/>
      <c r="AK36" s="212"/>
      <c r="AL36" s="211"/>
    </row>
    <row r="37" spans="1:43" ht="20.100000000000001" customHeight="1" x14ac:dyDescent="0.25">
      <c r="A37" s="159">
        <v>15</v>
      </c>
      <c r="B37" s="80"/>
      <c r="C37" s="253" t="s">
        <v>557</v>
      </c>
      <c r="D37" s="80"/>
      <c r="E37" s="80"/>
      <c r="F37" s="167"/>
      <c r="G37" s="70"/>
      <c r="H37" s="167"/>
      <c r="I37" s="79"/>
      <c r="J37" s="263"/>
      <c r="K37" s="263"/>
      <c r="L37" s="169">
        <f>SUM(L35:L36)</f>
        <v>0</v>
      </c>
      <c r="M37" s="79"/>
      <c r="N37" s="170">
        <v>0</v>
      </c>
      <c r="O37" s="156"/>
      <c r="P37" s="169">
        <f>SUM(P35:P36)</f>
        <v>0</v>
      </c>
      <c r="Q37" s="79"/>
      <c r="R37" s="169">
        <f>SUM(R35:R36)</f>
        <v>0</v>
      </c>
      <c r="S37" s="200"/>
      <c r="V37" s="211"/>
      <c r="Y37" s="211"/>
      <c r="Z37" s="305"/>
      <c r="AA37" s="211"/>
      <c r="AB37" s="211"/>
      <c r="AC37" s="211"/>
      <c r="AD37" s="211"/>
      <c r="AE37" s="211"/>
      <c r="AF37" s="211"/>
      <c r="AI37" s="211"/>
      <c r="AJ37" s="211"/>
      <c r="AK37" s="212"/>
      <c r="AL37" s="211"/>
    </row>
    <row r="38" spans="1:43" ht="15.75" customHeight="1" x14ac:dyDescent="0.25">
      <c r="A38" s="159"/>
      <c r="B38" s="80"/>
      <c r="C38" s="253"/>
      <c r="D38" s="80"/>
      <c r="E38" s="80"/>
      <c r="F38" s="163"/>
      <c r="G38" s="70"/>
      <c r="H38" s="163"/>
      <c r="I38" s="79"/>
      <c r="J38" s="263"/>
      <c r="K38" s="263"/>
      <c r="L38" s="163"/>
      <c r="M38" s="79"/>
      <c r="N38" s="198"/>
      <c r="O38" s="156"/>
      <c r="P38" s="230"/>
      <c r="Q38" s="79"/>
      <c r="R38" s="163"/>
      <c r="S38" s="200"/>
      <c r="V38" s="211"/>
      <c r="Y38" s="211"/>
      <c r="Z38" s="305"/>
      <c r="AA38" s="211"/>
      <c r="AB38" s="211"/>
      <c r="AC38" s="211"/>
      <c r="AD38" s="211"/>
      <c r="AE38" s="211"/>
      <c r="AF38" s="211"/>
      <c r="AI38" s="211"/>
      <c r="AJ38" s="211"/>
      <c r="AK38" s="212"/>
      <c r="AL38" s="211"/>
    </row>
    <row r="39" spans="1:43" ht="20.100000000000001" customHeight="1" thickBot="1" x14ac:dyDescent="0.3">
      <c r="A39" s="159">
        <v>16</v>
      </c>
      <c r="B39" s="80"/>
      <c r="C39" s="265" t="s">
        <v>577</v>
      </c>
      <c r="D39" s="80"/>
      <c r="E39" s="80"/>
      <c r="F39" s="275">
        <f>F32</f>
        <v>0</v>
      </c>
      <c r="G39" s="70"/>
      <c r="H39" s="275">
        <f>H32</f>
        <v>0</v>
      </c>
      <c r="I39" s="70"/>
      <c r="J39" s="70"/>
      <c r="K39" s="70"/>
      <c r="L39" s="275">
        <f>L37+L32</f>
        <v>0</v>
      </c>
      <c r="M39" s="70"/>
      <c r="N39" s="309">
        <v>100</v>
      </c>
      <c r="O39" s="70"/>
      <c r="P39" s="275">
        <f>P37+P32</f>
        <v>0</v>
      </c>
      <c r="Q39" s="230"/>
      <c r="R39" s="275">
        <f>R37+R32</f>
        <v>0</v>
      </c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188"/>
      <c r="AH39" s="80"/>
      <c r="AI39" s="80"/>
      <c r="AJ39" s="80"/>
      <c r="AK39" s="188"/>
      <c r="AL39" s="80"/>
      <c r="AM39" s="80"/>
      <c r="AN39" s="80"/>
      <c r="AO39" s="80"/>
      <c r="AP39" s="80"/>
      <c r="AQ39" s="188"/>
    </row>
    <row r="40" spans="1:43" ht="16.5" thickTop="1" x14ac:dyDescent="0.25">
      <c r="A40" s="80"/>
      <c r="B40" s="80"/>
      <c r="C40" s="80"/>
      <c r="D40" s="80"/>
      <c r="E40" s="8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346"/>
      <c r="R40" s="7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188"/>
      <c r="AH40" s="80"/>
      <c r="AI40" s="80"/>
      <c r="AJ40" s="80"/>
      <c r="AK40" s="188"/>
      <c r="AL40" s="80"/>
      <c r="AM40" s="80"/>
      <c r="AN40" s="80"/>
      <c r="AO40" s="80"/>
      <c r="AP40" s="80"/>
      <c r="AQ40" s="188"/>
    </row>
    <row r="41" spans="1:43" x14ac:dyDescent="0.25">
      <c r="A41" s="80"/>
      <c r="B41" s="80"/>
      <c r="C41" s="173" t="s">
        <v>61</v>
      </c>
      <c r="D41" s="80"/>
      <c r="E41" s="80"/>
      <c r="F41" s="80"/>
      <c r="G41" s="80"/>
      <c r="H41" s="80"/>
      <c r="I41" s="80"/>
      <c r="J41" s="80"/>
      <c r="K41" s="80"/>
      <c r="L41" s="189"/>
      <c r="M41" s="80"/>
      <c r="N41" s="189"/>
      <c r="O41" s="80"/>
      <c r="P41" s="189"/>
      <c r="Q41" s="200"/>
      <c r="R41" s="189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188"/>
      <c r="AH41" s="80"/>
      <c r="AI41" s="80"/>
      <c r="AJ41" s="80"/>
      <c r="AK41" s="188"/>
      <c r="AL41" s="80"/>
      <c r="AM41" s="80"/>
      <c r="AN41" s="80"/>
      <c r="AO41" s="80"/>
      <c r="AP41" s="80"/>
      <c r="AQ41" s="188"/>
    </row>
    <row r="42" spans="1:43" x14ac:dyDescent="0.25">
      <c r="C42" s="82"/>
      <c r="F42" s="211">
        <v>0</v>
      </c>
      <c r="H42" s="211">
        <v>0</v>
      </c>
      <c r="I42" s="80"/>
      <c r="J42" s="211"/>
      <c r="K42" s="80"/>
      <c r="L42" s="305"/>
      <c r="M42" s="80"/>
      <c r="N42" s="305"/>
      <c r="O42" s="80"/>
      <c r="P42" s="211"/>
      <c r="Q42" s="211"/>
      <c r="R42" s="211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188"/>
      <c r="AH42" s="80"/>
      <c r="AI42" s="80"/>
      <c r="AJ42" s="80"/>
      <c r="AK42" s="188"/>
      <c r="AL42" s="80"/>
      <c r="AM42" s="80"/>
      <c r="AN42" s="80"/>
      <c r="AO42" s="80"/>
      <c r="AP42" s="80"/>
      <c r="AQ42" s="188"/>
    </row>
    <row r="43" spans="1:43" x14ac:dyDescent="0.25">
      <c r="A43" s="202"/>
      <c r="C43" s="154"/>
      <c r="F43" s="200"/>
      <c r="H43" s="200"/>
      <c r="I43" s="80"/>
      <c r="J43" s="200"/>
      <c r="K43" s="80"/>
      <c r="L43" s="213"/>
      <c r="M43" s="80"/>
      <c r="N43" s="213"/>
      <c r="O43" s="80"/>
      <c r="P43" s="200"/>
      <c r="Q43" s="200"/>
      <c r="R43" s="20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188"/>
      <c r="AH43" s="80"/>
      <c r="AI43" s="80"/>
      <c r="AJ43" s="80"/>
      <c r="AK43" s="188"/>
      <c r="AL43" s="80"/>
      <c r="AM43" s="80"/>
      <c r="AN43" s="80"/>
      <c r="AO43" s="80"/>
      <c r="AP43" s="80"/>
      <c r="AQ43" s="188"/>
    </row>
    <row r="44" spans="1:43" x14ac:dyDescent="0.25">
      <c r="A44" s="202"/>
      <c r="C44" s="154"/>
      <c r="F44" s="200"/>
      <c r="H44" s="200"/>
      <c r="I44" s="80"/>
      <c r="J44" s="200"/>
      <c r="K44" s="80"/>
      <c r="L44" s="213"/>
      <c r="M44" s="80"/>
      <c r="N44" s="213"/>
      <c r="O44" s="80"/>
      <c r="P44" s="200"/>
      <c r="Q44" s="200"/>
      <c r="R44" s="20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188"/>
      <c r="AH44" s="80"/>
      <c r="AI44" s="80"/>
      <c r="AJ44" s="80"/>
      <c r="AK44" s="188"/>
      <c r="AL44" s="80"/>
      <c r="AM44" s="80"/>
      <c r="AN44" s="80"/>
      <c r="AO44" s="80"/>
      <c r="AP44" s="80"/>
      <c r="AQ44" s="188"/>
    </row>
    <row r="45" spans="1:43" x14ac:dyDescent="0.25">
      <c r="F45" s="200"/>
      <c r="H45" s="200"/>
      <c r="I45" s="80"/>
      <c r="J45" s="200"/>
      <c r="K45" s="80"/>
      <c r="L45" s="213"/>
      <c r="M45" s="80"/>
      <c r="N45" s="213"/>
      <c r="O45" s="80"/>
      <c r="P45" s="200"/>
      <c r="Q45" s="200"/>
      <c r="R45" s="20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188"/>
      <c r="AH45" s="80"/>
      <c r="AI45" s="80"/>
      <c r="AJ45" s="80"/>
      <c r="AK45" s="188"/>
      <c r="AL45" s="80"/>
      <c r="AM45" s="80"/>
      <c r="AN45" s="80"/>
      <c r="AO45" s="80"/>
      <c r="AP45" s="80"/>
      <c r="AQ45" s="188"/>
    </row>
    <row r="46" spans="1:43" x14ac:dyDescent="0.25">
      <c r="A46" s="154"/>
      <c r="F46" s="200"/>
      <c r="H46" s="200"/>
      <c r="I46" s="80"/>
      <c r="J46" s="200"/>
      <c r="K46" s="80"/>
      <c r="L46" s="213"/>
      <c r="M46" s="80"/>
      <c r="N46" s="213"/>
      <c r="O46" s="80"/>
      <c r="P46" s="200"/>
      <c r="Q46" s="200"/>
      <c r="R46" s="200"/>
      <c r="T46" s="150" t="str">
        <f>NAME</f>
        <v>DUKE ENERGY KENTUCKY, INC.</v>
      </c>
      <c r="U46" s="150"/>
      <c r="V46" s="150"/>
      <c r="W46" s="150"/>
      <c r="X46" s="150"/>
      <c r="Y46" s="150"/>
      <c r="Z46" s="150"/>
      <c r="AA46" s="150"/>
      <c r="AB46" s="150"/>
      <c r="AC46" s="187"/>
      <c r="AD46" s="187"/>
      <c r="AE46" s="150"/>
      <c r="AF46" s="100"/>
      <c r="AG46" s="190"/>
      <c r="AH46" s="100"/>
      <c r="AI46" s="150"/>
      <c r="AJ46" s="150"/>
      <c r="AK46" s="190"/>
      <c r="AL46" s="150"/>
      <c r="AM46" s="150"/>
      <c r="AN46" s="100"/>
      <c r="AO46" s="150"/>
      <c r="AP46" s="150"/>
      <c r="AQ46" s="190"/>
    </row>
    <row r="47" spans="1:43" x14ac:dyDescent="0.25">
      <c r="A47" s="154"/>
      <c r="F47" s="200"/>
      <c r="H47" s="200"/>
      <c r="I47" s="80"/>
      <c r="J47" s="200"/>
      <c r="K47" s="80"/>
      <c r="L47" s="213"/>
      <c r="M47" s="80"/>
      <c r="N47" s="213"/>
      <c r="O47" s="80"/>
      <c r="P47" s="200"/>
      <c r="Q47" s="200"/>
      <c r="R47" s="200"/>
      <c r="T47" s="150" t="str">
        <f>CASE_NO</f>
        <v>CASE NO.   2017-00321</v>
      </c>
      <c r="U47" s="150"/>
      <c r="V47" s="150"/>
      <c r="W47" s="150"/>
      <c r="X47" s="150"/>
      <c r="Y47" s="150"/>
      <c r="Z47" s="150"/>
      <c r="AA47" s="150"/>
      <c r="AB47" s="150"/>
      <c r="AC47" s="187"/>
      <c r="AD47" s="187"/>
      <c r="AE47" s="150"/>
      <c r="AF47" s="100"/>
      <c r="AG47" s="190"/>
      <c r="AH47" s="100"/>
      <c r="AI47" s="150"/>
      <c r="AJ47" s="150"/>
      <c r="AK47" s="190"/>
      <c r="AL47" s="150"/>
      <c r="AM47" s="150"/>
      <c r="AN47" s="100"/>
      <c r="AO47" s="150"/>
      <c r="AP47" s="150"/>
      <c r="AQ47" s="190"/>
    </row>
    <row r="48" spans="1:43" x14ac:dyDescent="0.25">
      <c r="I48" s="80"/>
      <c r="K48" s="80"/>
      <c r="M48" s="80"/>
      <c r="O48" s="80"/>
      <c r="T48" s="187" t="str">
        <f>TITLE</f>
        <v>ANNUALIZED BASE YEAR REVENUES AT PROPOSED VS. MOST CURRENT RATES</v>
      </c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00"/>
      <c r="AG48" s="190"/>
      <c r="AH48" s="100"/>
      <c r="AI48" s="150"/>
      <c r="AJ48" s="150"/>
      <c r="AK48" s="190"/>
      <c r="AL48" s="150"/>
      <c r="AM48" s="150"/>
      <c r="AN48" s="100"/>
      <c r="AO48" s="150"/>
      <c r="AP48" s="150"/>
      <c r="AQ48" s="190"/>
    </row>
    <row r="49" spans="1:43" x14ac:dyDescent="0.25">
      <c r="I49" s="80"/>
      <c r="K49" s="80"/>
      <c r="M49" s="80"/>
      <c r="O49" s="80"/>
      <c r="T49" s="150" t="str">
        <f>DATE</f>
        <v>FOR THE TWELVE MONTHS ENDED November 30, 2017</v>
      </c>
      <c r="U49" s="150"/>
      <c r="V49" s="150"/>
      <c r="W49" s="150"/>
      <c r="X49" s="150"/>
      <c r="Y49" s="150"/>
      <c r="Z49" s="150"/>
      <c r="AA49" s="150"/>
      <c r="AB49" s="150"/>
      <c r="AC49" s="187"/>
      <c r="AD49" s="187"/>
      <c r="AE49" s="150"/>
      <c r="AF49" s="100"/>
      <c r="AG49" s="190"/>
      <c r="AH49" s="100"/>
      <c r="AI49" s="150"/>
      <c r="AJ49" s="150"/>
      <c r="AK49" s="190"/>
      <c r="AL49" s="150"/>
      <c r="AM49" s="150"/>
      <c r="AN49" s="100"/>
      <c r="AO49" s="150"/>
      <c r="AP49" s="150"/>
      <c r="AQ49" s="190"/>
    </row>
    <row r="50" spans="1:43" x14ac:dyDescent="0.25">
      <c r="I50" s="80"/>
      <c r="K50" s="80"/>
      <c r="M50" s="80"/>
      <c r="O50" s="80"/>
      <c r="P50" s="200"/>
      <c r="Q50" s="200"/>
      <c r="R50" s="200"/>
      <c r="T50" s="150" t="str">
        <f>SERVICE</f>
        <v>(ELECTRIC SERVICE)</v>
      </c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87"/>
      <c r="AF50" s="312"/>
      <c r="AG50" s="190"/>
      <c r="AH50" s="100"/>
      <c r="AI50" s="150"/>
      <c r="AJ50" s="150"/>
      <c r="AK50" s="190"/>
      <c r="AL50" s="150"/>
      <c r="AM50" s="150"/>
      <c r="AN50" s="100"/>
      <c r="AO50" s="150"/>
      <c r="AP50" s="150"/>
      <c r="AQ50" s="190"/>
    </row>
    <row r="51" spans="1:43" x14ac:dyDescent="0.25">
      <c r="I51" s="80"/>
      <c r="K51" s="80"/>
      <c r="M51" s="80"/>
      <c r="O51" s="80"/>
      <c r="T51" s="159" t="str">
        <f>DATA_PERIOD</f>
        <v>DATA: __X__ BASE PERIOD   ____FORECASTED PERIOD</v>
      </c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G51" s="188"/>
      <c r="AI51" s="80"/>
      <c r="AJ51" s="80"/>
      <c r="AK51" s="188"/>
      <c r="AL51" s="80"/>
      <c r="AM51" s="80"/>
      <c r="AO51" s="82" t="s">
        <v>179</v>
      </c>
      <c r="AP51" s="82"/>
      <c r="AQ51" s="188"/>
    </row>
    <row r="52" spans="1:43" x14ac:dyDescent="0.25">
      <c r="I52" s="80"/>
      <c r="K52" s="80"/>
      <c r="L52" s="202"/>
      <c r="M52" s="80"/>
      <c r="N52" s="202"/>
      <c r="O52" s="80"/>
      <c r="T52" s="159" t="str">
        <f>TYPE</f>
        <v>TYPE OF FILING: _X_ ORIGINAL   ___UPDATED  ___ REVISED</v>
      </c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G52" s="188"/>
      <c r="AI52" s="80"/>
      <c r="AJ52" s="80"/>
      <c r="AK52" s="188"/>
      <c r="AL52" s="80"/>
      <c r="AM52" s="80"/>
      <c r="AO52" s="81" t="str">
        <f>R7</f>
        <v>PAGE  xx  OF  22</v>
      </c>
      <c r="AP52" s="82"/>
      <c r="AQ52" s="188"/>
    </row>
    <row r="53" spans="1:43" x14ac:dyDescent="0.25">
      <c r="H53" s="154"/>
      <c r="I53" s="80"/>
      <c r="J53" s="154"/>
      <c r="K53" s="80"/>
      <c r="M53" s="80"/>
      <c r="O53" s="80"/>
      <c r="T53" s="82" t="s">
        <v>192</v>
      </c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G53" s="188"/>
      <c r="AI53" s="80"/>
      <c r="AJ53" s="80"/>
      <c r="AK53" s="188"/>
      <c r="AL53" s="80"/>
      <c r="AM53" s="80"/>
      <c r="AO53" s="82" t="s">
        <v>3</v>
      </c>
      <c r="AP53" s="82"/>
      <c r="AQ53" s="188"/>
    </row>
    <row r="54" spans="1:43" x14ac:dyDescent="0.25">
      <c r="I54" s="80"/>
      <c r="K54" s="80"/>
      <c r="L54" s="202"/>
      <c r="M54" s="80"/>
      <c r="N54" s="202"/>
      <c r="O54" s="80"/>
      <c r="T54" s="253" t="str">
        <f>TIME</f>
        <v>6 Months Actual and 6 Months Projected</v>
      </c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G54" s="188"/>
      <c r="AI54" s="80"/>
      <c r="AJ54" s="80"/>
      <c r="AK54" s="188"/>
      <c r="AL54" s="80"/>
      <c r="AM54" s="80"/>
      <c r="AO54" s="159" t="str">
        <f>WIT</f>
        <v>B. L. SAILERS</v>
      </c>
      <c r="AP54" s="159"/>
      <c r="AQ54" s="188"/>
    </row>
    <row r="55" spans="1:43" x14ac:dyDescent="0.25">
      <c r="I55" s="80"/>
      <c r="K55" s="80"/>
      <c r="L55" s="202"/>
      <c r="M55" s="80"/>
      <c r="N55" s="202"/>
      <c r="O55" s="80"/>
      <c r="T55" s="253" t="str">
        <f>INPUT!B5</f>
        <v>6 Months Actual Ending May 31, 2017</v>
      </c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G55" s="188"/>
      <c r="AI55" s="80"/>
      <c r="AJ55" s="80"/>
      <c r="AK55" s="188"/>
      <c r="AL55" s="80"/>
      <c r="AM55" s="80"/>
      <c r="AO55" s="159"/>
      <c r="AP55" s="159"/>
      <c r="AQ55" s="188"/>
    </row>
    <row r="56" spans="1:43" x14ac:dyDescent="0.25">
      <c r="I56" s="80"/>
      <c r="K56" s="80"/>
      <c r="M56" s="80"/>
      <c r="O56" s="80"/>
      <c r="P56" s="154"/>
      <c r="T56" s="187" t="s">
        <v>152</v>
      </c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00"/>
      <c r="AG56" s="190"/>
      <c r="AH56" s="100"/>
      <c r="AI56" s="150"/>
      <c r="AJ56" s="150"/>
      <c r="AK56" s="190"/>
      <c r="AL56" s="150"/>
      <c r="AM56" s="150"/>
      <c r="AN56" s="100"/>
      <c r="AO56" s="150"/>
      <c r="AP56" s="150"/>
      <c r="AQ56" s="190"/>
    </row>
    <row r="57" spans="1:43" x14ac:dyDescent="0.25">
      <c r="A57" s="202"/>
      <c r="I57" s="80"/>
      <c r="K57" s="80"/>
      <c r="M57" s="80"/>
      <c r="R57" s="1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5"/>
      <c r="AH57" s="254"/>
      <c r="AI57" s="254"/>
      <c r="AJ57" s="254"/>
      <c r="AK57" s="255"/>
      <c r="AL57" s="254"/>
      <c r="AM57" s="254"/>
      <c r="AN57" s="254"/>
      <c r="AO57" s="254"/>
      <c r="AP57" s="254"/>
      <c r="AQ57" s="255"/>
    </row>
    <row r="58" spans="1:43" ht="18" customHeight="1" x14ac:dyDescent="0.25">
      <c r="A58" s="202"/>
      <c r="I58" s="80"/>
      <c r="K58" s="80"/>
      <c r="M58" s="80"/>
      <c r="R58" s="154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3" t="s">
        <v>8</v>
      </c>
      <c r="AF58" s="103"/>
      <c r="AG58" s="195" t="s">
        <v>7</v>
      </c>
      <c r="AH58" s="103"/>
      <c r="AI58" s="83" t="s">
        <v>9</v>
      </c>
      <c r="AJ58" s="83"/>
      <c r="AK58" s="195" t="s">
        <v>10</v>
      </c>
      <c r="AL58" s="83"/>
      <c r="AM58" s="80"/>
      <c r="AO58" s="83" t="s">
        <v>8</v>
      </c>
      <c r="AP58" s="83"/>
      <c r="AQ58" s="195" t="s">
        <v>11</v>
      </c>
    </row>
    <row r="59" spans="1:43" x14ac:dyDescent="0.25">
      <c r="A59" s="154"/>
      <c r="I59" s="80"/>
      <c r="K59" s="80"/>
      <c r="M59" s="80"/>
      <c r="R59" s="154"/>
      <c r="T59" s="80"/>
      <c r="U59" s="80"/>
      <c r="V59" s="80"/>
      <c r="W59" s="80"/>
      <c r="X59" s="80"/>
      <c r="Y59" s="80"/>
      <c r="Z59" s="80"/>
      <c r="AA59" s="80"/>
      <c r="AB59" s="80"/>
      <c r="AC59" s="83" t="s">
        <v>14</v>
      </c>
      <c r="AD59" s="83"/>
      <c r="AE59" s="83" t="s">
        <v>12</v>
      </c>
      <c r="AF59" s="103"/>
      <c r="AG59" s="195" t="s">
        <v>13</v>
      </c>
      <c r="AH59" s="103"/>
      <c r="AI59" s="83" t="s">
        <v>15</v>
      </c>
      <c r="AJ59" s="83"/>
      <c r="AK59" s="195" t="s">
        <v>16</v>
      </c>
      <c r="AL59" s="83"/>
      <c r="AM59" s="80"/>
      <c r="AO59" s="83" t="s">
        <v>11</v>
      </c>
      <c r="AP59" s="83"/>
      <c r="AQ59" s="195" t="s">
        <v>9</v>
      </c>
    </row>
    <row r="60" spans="1:43" x14ac:dyDescent="0.25">
      <c r="I60" s="80"/>
      <c r="K60" s="80"/>
      <c r="M60" s="80"/>
      <c r="O60" s="154"/>
      <c r="R60" s="202"/>
      <c r="T60" s="83" t="s">
        <v>17</v>
      </c>
      <c r="U60" s="80"/>
      <c r="V60" s="83" t="s">
        <v>18</v>
      </c>
      <c r="W60" s="83" t="s">
        <v>19</v>
      </c>
      <c r="X60" s="83"/>
      <c r="Y60" s="83" t="s">
        <v>20</v>
      </c>
      <c r="Z60" s="80"/>
      <c r="AA60" s="80"/>
      <c r="AB60" s="80"/>
      <c r="AC60" s="83" t="s">
        <v>8</v>
      </c>
      <c r="AD60" s="83"/>
      <c r="AE60" s="83" t="s">
        <v>21</v>
      </c>
      <c r="AF60" s="103"/>
      <c r="AG60" s="195" t="s">
        <v>21</v>
      </c>
      <c r="AH60" s="103"/>
      <c r="AI60" s="83" t="s">
        <v>22</v>
      </c>
      <c r="AJ60" s="83"/>
      <c r="AK60" s="195" t="s">
        <v>22</v>
      </c>
      <c r="AL60" s="83"/>
      <c r="AM60" s="83" t="s">
        <v>21</v>
      </c>
      <c r="AN60" s="103"/>
      <c r="AO60" s="83" t="s">
        <v>9</v>
      </c>
      <c r="AP60" s="83"/>
      <c r="AQ60" s="195" t="s">
        <v>23</v>
      </c>
    </row>
    <row r="61" spans="1:43" x14ac:dyDescent="0.25">
      <c r="A61" s="102"/>
      <c r="B61" s="102"/>
      <c r="C61" s="102"/>
      <c r="D61" s="102"/>
      <c r="E61" s="102"/>
      <c r="F61" s="102"/>
      <c r="G61" s="102"/>
      <c r="H61" s="102"/>
      <c r="I61" s="80"/>
      <c r="J61" s="102"/>
      <c r="K61" s="80"/>
      <c r="L61" s="102"/>
      <c r="M61" s="80"/>
      <c r="N61" s="102"/>
      <c r="O61" s="102"/>
      <c r="P61" s="102"/>
      <c r="Q61" s="102"/>
      <c r="R61" s="102"/>
      <c r="T61" s="83" t="s">
        <v>24</v>
      </c>
      <c r="U61" s="80"/>
      <c r="V61" s="83" t="s">
        <v>25</v>
      </c>
      <c r="W61" s="83" t="s">
        <v>26</v>
      </c>
      <c r="X61" s="83"/>
      <c r="Y61" s="83" t="s">
        <v>27</v>
      </c>
      <c r="Z61" s="80"/>
      <c r="AA61" s="83" t="s">
        <v>28</v>
      </c>
      <c r="AB61" s="83"/>
      <c r="AC61" s="83" t="s">
        <v>29</v>
      </c>
      <c r="AD61" s="83"/>
      <c r="AE61" s="83" t="s">
        <v>9</v>
      </c>
      <c r="AF61" s="103"/>
      <c r="AG61" s="195" t="s">
        <v>9</v>
      </c>
      <c r="AH61" s="103"/>
      <c r="AI61" s="256" t="s">
        <v>31</v>
      </c>
      <c r="AJ61" s="256"/>
      <c r="AK61" s="257" t="s">
        <v>32</v>
      </c>
      <c r="AL61" s="83"/>
      <c r="AM61" s="83" t="s">
        <v>475</v>
      </c>
      <c r="AN61" s="103"/>
      <c r="AO61" s="256" t="s">
        <v>33</v>
      </c>
      <c r="AP61" s="256"/>
      <c r="AQ61" s="257" t="s">
        <v>34</v>
      </c>
    </row>
    <row r="62" spans="1:43" x14ac:dyDescent="0.25">
      <c r="I62" s="80"/>
      <c r="K62" s="80"/>
      <c r="M62" s="80"/>
      <c r="O62" s="103"/>
      <c r="P62" s="103"/>
      <c r="R62" s="103"/>
      <c r="T62" s="80"/>
      <c r="U62" s="80"/>
      <c r="V62" s="256" t="s">
        <v>35</v>
      </c>
      <c r="W62" s="256" t="s">
        <v>36</v>
      </c>
      <c r="X62" s="256"/>
      <c r="Y62" s="256" t="s">
        <v>37</v>
      </c>
      <c r="Z62" s="258"/>
      <c r="AA62" s="256" t="s">
        <v>38</v>
      </c>
      <c r="AB62" s="256"/>
      <c r="AC62" s="256" t="s">
        <v>44</v>
      </c>
      <c r="AD62" s="256"/>
      <c r="AE62" s="256" t="s">
        <v>45</v>
      </c>
      <c r="AF62" s="313"/>
      <c r="AG62" s="257" t="s">
        <v>46</v>
      </c>
      <c r="AH62" s="313"/>
      <c r="AI62" s="256" t="s">
        <v>47</v>
      </c>
      <c r="AJ62" s="256"/>
      <c r="AK62" s="257" t="s">
        <v>48</v>
      </c>
      <c r="AL62" s="256"/>
      <c r="AM62" s="256" t="s">
        <v>42</v>
      </c>
      <c r="AN62" s="313"/>
      <c r="AO62" s="256" t="s">
        <v>49</v>
      </c>
      <c r="AP62" s="256"/>
      <c r="AQ62" s="257" t="s">
        <v>50</v>
      </c>
    </row>
    <row r="63" spans="1:43" x14ac:dyDescent="0.25">
      <c r="I63" s="80"/>
      <c r="K63" s="80"/>
      <c r="M63" s="80"/>
      <c r="O63" s="103"/>
      <c r="P63" s="103"/>
      <c r="R63" s="103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5"/>
      <c r="AH63" s="254"/>
      <c r="AI63" s="254"/>
      <c r="AJ63" s="254"/>
      <c r="AK63" s="255"/>
      <c r="AL63" s="254"/>
      <c r="AM63" s="254"/>
      <c r="AN63" s="254"/>
      <c r="AO63" s="254"/>
      <c r="AP63" s="254"/>
      <c r="AQ63" s="255"/>
    </row>
    <row r="64" spans="1:43" ht="17.100000000000001" customHeight="1" x14ac:dyDescent="0.25">
      <c r="A64" s="103"/>
      <c r="C64" s="103"/>
      <c r="D64" s="103"/>
      <c r="E64" s="103"/>
      <c r="F64" s="103"/>
      <c r="I64" s="80"/>
      <c r="K64" s="80"/>
      <c r="L64" s="103"/>
      <c r="M64" s="80"/>
      <c r="N64" s="103"/>
      <c r="O64" s="103"/>
      <c r="P64" s="103"/>
      <c r="Q64" s="103"/>
      <c r="R64" s="103"/>
      <c r="T64" s="80"/>
      <c r="U64" s="80"/>
      <c r="V64" s="80"/>
      <c r="W64" s="80"/>
      <c r="X64" s="80"/>
      <c r="Y64" s="80"/>
      <c r="Z64" s="80"/>
      <c r="AA64" s="260" t="s">
        <v>51</v>
      </c>
      <c r="AB64" s="259"/>
      <c r="AC64" s="260" t="s">
        <v>418</v>
      </c>
      <c r="AD64" s="259"/>
      <c r="AE64" s="259" t="s">
        <v>52</v>
      </c>
      <c r="AF64" s="314"/>
      <c r="AG64" s="261" t="s">
        <v>53</v>
      </c>
      <c r="AH64" s="314"/>
      <c r="AI64" s="259" t="s">
        <v>52</v>
      </c>
      <c r="AJ64" s="259"/>
      <c r="AK64" s="261" t="s">
        <v>53</v>
      </c>
      <c r="AL64" s="259"/>
      <c r="AM64" s="259" t="s">
        <v>52</v>
      </c>
      <c r="AN64" s="314"/>
      <c r="AO64" s="259" t="s">
        <v>52</v>
      </c>
      <c r="AP64" s="259"/>
      <c r="AQ64" s="261" t="s">
        <v>53</v>
      </c>
    </row>
    <row r="65" spans="1:43" x14ac:dyDescent="0.25">
      <c r="A65" s="103"/>
      <c r="C65" s="103"/>
      <c r="D65" s="103"/>
      <c r="E65" s="103"/>
      <c r="F65" s="103"/>
      <c r="H65" s="103"/>
      <c r="I65" s="80"/>
      <c r="J65" s="103"/>
      <c r="K65" s="80"/>
      <c r="L65" s="103"/>
      <c r="M65" s="80"/>
      <c r="N65" s="103"/>
      <c r="O65" s="103"/>
      <c r="P65" s="103"/>
      <c r="Q65" s="103"/>
      <c r="R65" s="103"/>
      <c r="T65" s="159">
        <v>1</v>
      </c>
      <c r="U65" s="80"/>
      <c r="V65" s="253" t="s">
        <v>412</v>
      </c>
      <c r="W65" s="387" t="s">
        <v>473</v>
      </c>
      <c r="X65" s="82"/>
      <c r="Y65" s="70"/>
      <c r="Z65" s="70"/>
      <c r="AA65" s="70"/>
      <c r="AB65" s="70"/>
      <c r="AC65" s="70"/>
      <c r="AD65" s="70"/>
      <c r="AE65" s="70"/>
      <c r="AF65" s="70"/>
      <c r="AG65" s="164"/>
      <c r="AH65" s="70"/>
      <c r="AI65" s="70"/>
      <c r="AJ65" s="70"/>
      <c r="AK65" s="164"/>
      <c r="AL65" s="70"/>
      <c r="AM65" s="70"/>
      <c r="AN65" s="70"/>
      <c r="AO65" s="85"/>
      <c r="AP65" s="85"/>
      <c r="AQ65" s="351"/>
    </row>
    <row r="66" spans="1:43" x14ac:dyDescent="0.25">
      <c r="C66" s="103"/>
      <c r="D66" s="103"/>
      <c r="E66" s="103"/>
      <c r="F66" s="103"/>
      <c r="H66" s="103"/>
      <c r="I66" s="80"/>
      <c r="J66" s="103"/>
      <c r="K66" s="80"/>
      <c r="L66" s="103"/>
      <c r="M66" s="80"/>
      <c r="N66" s="103"/>
      <c r="O66" s="103"/>
      <c r="P66" s="103"/>
      <c r="Q66" s="103"/>
      <c r="R66" s="103"/>
      <c r="T66" s="159">
        <v>2</v>
      </c>
      <c r="U66" s="80"/>
      <c r="V66" s="253"/>
      <c r="W66" s="258" t="s">
        <v>154</v>
      </c>
      <c r="X66" s="80"/>
      <c r="Y66" s="70"/>
      <c r="Z66" s="70"/>
      <c r="AA66" s="70"/>
      <c r="AB66" s="70"/>
      <c r="AC66" s="70"/>
      <c r="AD66" s="70"/>
      <c r="AE66" s="70"/>
      <c r="AF66" s="70"/>
      <c r="AG66" s="164"/>
      <c r="AH66" s="70"/>
      <c r="AI66" s="70"/>
      <c r="AJ66" s="70"/>
      <c r="AK66" s="164"/>
      <c r="AL66" s="70"/>
      <c r="AM66" s="70"/>
      <c r="AN66" s="70"/>
      <c r="AO66" s="85"/>
      <c r="AP66" s="85"/>
      <c r="AQ66" s="351"/>
    </row>
    <row r="67" spans="1:43" ht="18.75" customHeight="1" x14ac:dyDescent="0.25">
      <c r="C67" s="103"/>
      <c r="D67" s="103"/>
      <c r="E67" s="103"/>
      <c r="F67" s="103"/>
      <c r="H67" s="103"/>
      <c r="I67" s="80"/>
      <c r="J67" s="103"/>
      <c r="K67" s="80"/>
      <c r="L67" s="103"/>
      <c r="M67" s="80"/>
      <c r="N67" s="103"/>
      <c r="O67" s="103"/>
      <c r="P67" s="103"/>
      <c r="Q67" s="103"/>
      <c r="R67" s="103"/>
      <c r="T67" s="159"/>
      <c r="U67" s="80"/>
      <c r="V67" s="82"/>
      <c r="W67" s="80"/>
      <c r="X67" s="80"/>
      <c r="Y67" s="70"/>
      <c r="Z67" s="70"/>
      <c r="AA67" s="70"/>
      <c r="AB67" s="70"/>
      <c r="AC67" s="70"/>
      <c r="AD67" s="70"/>
      <c r="AE67" s="70"/>
      <c r="AF67" s="70"/>
      <c r="AG67" s="164"/>
      <c r="AH67" s="70"/>
      <c r="AI67" s="70"/>
      <c r="AJ67" s="70"/>
      <c r="AK67" s="164"/>
      <c r="AL67" s="70"/>
      <c r="AM67" s="70"/>
      <c r="AN67" s="70"/>
      <c r="AO67" s="85"/>
      <c r="AP67" s="85"/>
      <c r="AQ67" s="351"/>
    </row>
    <row r="68" spans="1:43" x14ac:dyDescent="0.25">
      <c r="H68" s="103"/>
      <c r="I68" s="80"/>
      <c r="J68" s="103"/>
      <c r="K68" s="80"/>
      <c r="L68" s="103"/>
      <c r="M68" s="80"/>
      <c r="N68" s="103"/>
      <c r="O68" s="103"/>
      <c r="P68" s="103"/>
      <c r="Q68" s="103"/>
      <c r="R68" s="103"/>
      <c r="T68" s="159">
        <v>3</v>
      </c>
      <c r="U68" s="80"/>
      <c r="V68" s="253" t="s">
        <v>155</v>
      </c>
      <c r="W68" s="80"/>
      <c r="X68" s="80"/>
      <c r="Y68" s="70"/>
      <c r="Z68" s="70"/>
      <c r="AA68" s="70"/>
      <c r="AB68" s="70"/>
      <c r="AC68" s="70"/>
      <c r="AD68" s="70"/>
      <c r="AE68" s="70"/>
      <c r="AF68" s="70"/>
      <c r="AG68" s="164"/>
      <c r="AH68" s="70"/>
      <c r="AI68" s="70"/>
      <c r="AJ68" s="70"/>
      <c r="AK68" s="164"/>
      <c r="AL68" s="70"/>
      <c r="AM68" s="70"/>
      <c r="AN68" s="70"/>
      <c r="AO68" s="85"/>
      <c r="AP68" s="85"/>
      <c r="AQ68" s="351"/>
    </row>
    <row r="69" spans="1:43" x14ac:dyDescent="0.25">
      <c r="I69" s="80"/>
      <c r="K69" s="80"/>
      <c r="M69" s="80"/>
      <c r="T69" s="159">
        <v>4</v>
      </c>
      <c r="U69" s="80"/>
      <c r="V69" s="82" t="s">
        <v>417</v>
      </c>
      <c r="W69" s="80"/>
      <c r="X69" s="80"/>
      <c r="Y69" s="163">
        <f>F24</f>
        <v>0</v>
      </c>
      <c r="Z69" s="70"/>
      <c r="AA69" s="78"/>
      <c r="AB69" s="78"/>
      <c r="AC69" s="283">
        <f>INPUT!C136</f>
        <v>283</v>
      </c>
      <c r="AD69" s="284"/>
      <c r="AE69" s="79">
        <f>ROUND(+Y69*AC69,0)</f>
        <v>0</v>
      </c>
      <c r="AF69" s="70"/>
      <c r="AG69" s="166">
        <v>0</v>
      </c>
      <c r="AH69" s="70"/>
      <c r="AI69" s="79">
        <f>L24-AE69</f>
        <v>0</v>
      </c>
      <c r="AJ69" s="79"/>
      <c r="AK69" s="166">
        <f>IF(AE69=0,0,ROUND((AI69/AE69)*100,1))</f>
        <v>0</v>
      </c>
      <c r="AL69" s="158"/>
      <c r="AM69" s="79"/>
      <c r="AN69" s="70"/>
      <c r="AO69" s="79">
        <f>AE69+AM69</f>
        <v>0</v>
      </c>
      <c r="AP69" s="70"/>
      <c r="AQ69" s="155">
        <v>0</v>
      </c>
    </row>
    <row r="70" spans="1:43" ht="20.100000000000001" customHeight="1" x14ac:dyDescent="0.25">
      <c r="A70" s="202"/>
      <c r="C70" s="154"/>
      <c r="F70" s="252"/>
      <c r="H70" s="252"/>
      <c r="I70" s="80"/>
      <c r="J70" s="252"/>
      <c r="K70" s="80"/>
      <c r="L70" s="300"/>
      <c r="M70" s="80"/>
      <c r="N70" s="300"/>
      <c r="O70" s="200"/>
      <c r="P70" s="210"/>
      <c r="Q70" s="202"/>
      <c r="R70" s="200"/>
      <c r="T70" s="159">
        <v>5</v>
      </c>
      <c r="U70" s="80"/>
      <c r="V70" s="253" t="s">
        <v>158</v>
      </c>
      <c r="W70" s="80"/>
      <c r="X70" s="80"/>
      <c r="Y70" s="163"/>
      <c r="Z70" s="70"/>
      <c r="AA70" s="79"/>
      <c r="AB70" s="79"/>
      <c r="AC70" s="310"/>
      <c r="AD70" s="263"/>
      <c r="AE70" s="169">
        <f>SUM(AE69:AE69)</f>
        <v>0</v>
      </c>
      <c r="AF70" s="70"/>
      <c r="AG70" s="166">
        <v>0</v>
      </c>
      <c r="AH70" s="70"/>
      <c r="AI70" s="169">
        <f>SUM(AI69:AI69)</f>
        <v>0</v>
      </c>
      <c r="AJ70" s="163"/>
      <c r="AK70" s="170">
        <f>IF(AE70=0,0,ROUND((AI70/AE70)*100,1))</f>
        <v>0</v>
      </c>
      <c r="AL70" s="158"/>
      <c r="AM70" s="169"/>
      <c r="AN70" s="70"/>
      <c r="AO70" s="169">
        <f>SUM(AO69:AO69)</f>
        <v>0</v>
      </c>
      <c r="AP70" s="70"/>
      <c r="AQ70" s="155">
        <v>0</v>
      </c>
    </row>
    <row r="71" spans="1:43" ht="24.75" customHeight="1" x14ac:dyDescent="0.25">
      <c r="A71" s="202"/>
      <c r="C71" s="154"/>
      <c r="F71" s="252"/>
      <c r="H71" s="252"/>
      <c r="I71" s="80"/>
      <c r="J71" s="252"/>
      <c r="K71" s="80"/>
      <c r="L71" s="300"/>
      <c r="M71" s="80"/>
      <c r="N71" s="300"/>
      <c r="O71" s="200"/>
      <c r="P71" s="210"/>
      <c r="Q71" s="202"/>
      <c r="R71" s="200"/>
      <c r="T71" s="159"/>
      <c r="U71" s="80"/>
      <c r="V71" s="82"/>
      <c r="W71" s="80"/>
      <c r="X71" s="80"/>
      <c r="Y71" s="163"/>
      <c r="Z71" s="70"/>
      <c r="AA71" s="79"/>
      <c r="AB71" s="79"/>
      <c r="AC71" s="310"/>
      <c r="AD71" s="263"/>
      <c r="AE71" s="163"/>
      <c r="AF71" s="70"/>
      <c r="AG71" s="197"/>
      <c r="AH71" s="70"/>
      <c r="AI71" s="163"/>
      <c r="AJ71" s="163"/>
      <c r="AK71" s="197"/>
      <c r="AL71" s="158"/>
      <c r="AM71" s="163"/>
      <c r="AN71" s="70"/>
      <c r="AO71" s="163"/>
      <c r="AP71" s="70"/>
      <c r="AQ71" s="155"/>
    </row>
    <row r="72" spans="1:43" x14ac:dyDescent="0.25">
      <c r="A72" s="202"/>
      <c r="C72" s="154"/>
      <c r="H72" s="252"/>
      <c r="I72" s="80"/>
      <c r="J72" s="252"/>
      <c r="K72" s="80"/>
      <c r="L72" s="329"/>
      <c r="M72" s="80"/>
      <c r="N72" s="329"/>
      <c r="O72" s="200"/>
      <c r="P72" s="210"/>
      <c r="Q72" s="200"/>
      <c r="R72" s="200"/>
      <c r="T72" s="159">
        <v>6</v>
      </c>
      <c r="U72" s="80"/>
      <c r="V72" s="253" t="s">
        <v>69</v>
      </c>
      <c r="W72" s="80"/>
      <c r="X72" s="80"/>
      <c r="Y72" s="79"/>
      <c r="Z72" s="70"/>
      <c r="AA72" s="79"/>
      <c r="AB72" s="79"/>
      <c r="AC72" s="310"/>
      <c r="AD72" s="263"/>
      <c r="AE72" s="79"/>
      <c r="AF72" s="70"/>
      <c r="AG72" s="155"/>
      <c r="AH72" s="70"/>
      <c r="AI72" s="79"/>
      <c r="AJ72" s="79"/>
      <c r="AK72" s="155"/>
      <c r="AL72" s="158"/>
      <c r="AM72" s="79"/>
      <c r="AN72" s="70"/>
      <c r="AO72" s="79"/>
      <c r="AP72" s="70"/>
      <c r="AQ72" s="155"/>
    </row>
    <row r="73" spans="1:43" x14ac:dyDescent="0.25">
      <c r="A73" s="202"/>
      <c r="C73" s="154"/>
      <c r="H73" s="252"/>
      <c r="I73" s="80"/>
      <c r="J73" s="252"/>
      <c r="K73" s="80"/>
      <c r="L73" s="329"/>
      <c r="M73" s="80"/>
      <c r="N73" s="329"/>
      <c r="O73" s="200"/>
      <c r="P73" s="210"/>
      <c r="Q73" s="200"/>
      <c r="R73" s="200"/>
      <c r="T73" s="159">
        <v>7</v>
      </c>
      <c r="U73" s="80"/>
      <c r="V73" s="82" t="s">
        <v>494</v>
      </c>
      <c r="W73" s="80"/>
      <c r="X73" s="80"/>
      <c r="Y73" s="79"/>
      <c r="Z73" s="70"/>
      <c r="AA73" s="79">
        <f>H28</f>
        <v>0</v>
      </c>
      <c r="AB73" s="79"/>
      <c r="AC73" s="295">
        <f>INPUT!C140</f>
        <v>5.5399999999999998E-3</v>
      </c>
      <c r="AD73" s="263"/>
      <c r="AE73" s="163">
        <f>ROUND((+AA73*AC73),0)</f>
        <v>0</v>
      </c>
      <c r="AF73" s="85"/>
      <c r="AG73" s="197">
        <v>0</v>
      </c>
      <c r="AH73" s="85"/>
      <c r="AI73" s="163">
        <f>L28-AE73</f>
        <v>0</v>
      </c>
      <c r="AJ73" s="163"/>
      <c r="AK73" s="197">
        <f>IF(AE73=0,0,ROUND((AI73/AE73)*100,1))</f>
        <v>0</v>
      </c>
      <c r="AL73" s="199"/>
      <c r="AM73" s="163"/>
      <c r="AN73" s="85"/>
      <c r="AO73" s="163">
        <f>AE73+AM73</f>
        <v>0</v>
      </c>
      <c r="AP73" s="70"/>
      <c r="AQ73" s="155">
        <v>0</v>
      </c>
    </row>
    <row r="74" spans="1:43" x14ac:dyDescent="0.25">
      <c r="F74" s="200"/>
      <c r="H74" s="200"/>
      <c r="I74" s="80"/>
      <c r="J74" s="200"/>
      <c r="K74" s="80"/>
      <c r="L74" s="305"/>
      <c r="M74" s="80"/>
      <c r="N74" s="305"/>
      <c r="O74" s="211"/>
      <c r="P74" s="211"/>
      <c r="Q74" s="211"/>
      <c r="R74" s="211"/>
      <c r="T74" s="159">
        <v>8</v>
      </c>
      <c r="U74" s="80"/>
      <c r="V74" s="82" t="s">
        <v>419</v>
      </c>
      <c r="W74" s="80"/>
      <c r="X74" s="80"/>
      <c r="Y74" s="78"/>
      <c r="Z74" s="70"/>
      <c r="AA74" s="163">
        <f>H29</f>
        <v>0</v>
      </c>
      <c r="AB74" s="163"/>
      <c r="AC74" s="295">
        <f>INPUT!C144</f>
        <v>7.3999999999999999E-4</v>
      </c>
      <c r="AD74" s="357"/>
      <c r="AE74" s="163">
        <f>ROUND((+AA74*AC74),0)</f>
        <v>0</v>
      </c>
      <c r="AF74" s="85"/>
      <c r="AG74" s="197">
        <v>0</v>
      </c>
      <c r="AH74" s="85"/>
      <c r="AI74" s="163">
        <f>L29-AE74</f>
        <v>0</v>
      </c>
      <c r="AJ74" s="163"/>
      <c r="AK74" s="197">
        <f>IF(AE74=0,0,ROUND((AI74/AE74)*100,1))</f>
        <v>0</v>
      </c>
      <c r="AL74" s="199"/>
      <c r="AM74" s="163"/>
      <c r="AN74" s="85"/>
      <c r="AO74" s="163">
        <f>AE74+AM74</f>
        <v>0</v>
      </c>
      <c r="AP74" s="85"/>
      <c r="AQ74" s="197">
        <v>0</v>
      </c>
    </row>
    <row r="75" spans="1:43" x14ac:dyDescent="0.25">
      <c r="F75" s="200"/>
      <c r="H75" s="200"/>
      <c r="I75" s="80"/>
      <c r="J75" s="200"/>
      <c r="K75" s="80"/>
      <c r="L75" s="305"/>
      <c r="M75" s="80"/>
      <c r="N75" s="305"/>
      <c r="O75" s="211"/>
      <c r="P75" s="211"/>
      <c r="Q75" s="211"/>
      <c r="R75" s="211"/>
      <c r="T75" s="159">
        <v>9</v>
      </c>
      <c r="U75" s="80"/>
      <c r="V75" s="82" t="s">
        <v>480</v>
      </c>
      <c r="W75" s="80"/>
      <c r="X75" s="80"/>
      <c r="Y75" s="78"/>
      <c r="Z75" s="70"/>
      <c r="AA75" s="163">
        <f>H30</f>
        <v>0</v>
      </c>
      <c r="AB75" s="163"/>
      <c r="AC75" s="295">
        <f>INPUT!C148</f>
        <v>5.0457000000000002E-2</v>
      </c>
      <c r="AD75" s="357"/>
      <c r="AE75" s="163">
        <f>ROUND((+AA75*AC75),0)</f>
        <v>0</v>
      </c>
      <c r="AF75" s="85"/>
      <c r="AG75" s="166">
        <v>0</v>
      </c>
      <c r="AH75" s="85"/>
      <c r="AI75" s="163">
        <f>L30-AE75</f>
        <v>0</v>
      </c>
      <c r="AJ75" s="163"/>
      <c r="AK75" s="166">
        <f>IF(AE75=0,0,ROUND((AI75/AE75)*100,1))</f>
        <v>0</v>
      </c>
      <c r="AL75" s="199"/>
      <c r="AM75" s="200">
        <f>ROUND(-AA75*(CUR_FAC+CUR_BASE_FUEL),0)</f>
        <v>0</v>
      </c>
      <c r="AN75" s="85"/>
      <c r="AO75" s="163">
        <f>AE75+AM75</f>
        <v>0</v>
      </c>
      <c r="AP75" s="85"/>
      <c r="AQ75" s="197">
        <v>0</v>
      </c>
    </row>
    <row r="76" spans="1:43" ht="20.100000000000001" customHeight="1" x14ac:dyDescent="0.25">
      <c r="F76" s="200"/>
      <c r="H76" s="200"/>
      <c r="I76" s="80"/>
      <c r="J76" s="200"/>
      <c r="K76" s="80"/>
      <c r="L76" s="305"/>
      <c r="M76" s="80"/>
      <c r="N76" s="305"/>
      <c r="O76" s="211"/>
      <c r="P76" s="211"/>
      <c r="Q76" s="211"/>
      <c r="R76" s="211"/>
      <c r="T76" s="159">
        <v>10</v>
      </c>
      <c r="U76" s="80"/>
      <c r="V76" s="253" t="s">
        <v>164</v>
      </c>
      <c r="W76" s="80"/>
      <c r="X76" s="80"/>
      <c r="Y76" s="167"/>
      <c r="Z76" s="70"/>
      <c r="AA76" s="169">
        <f>H31</f>
        <v>0</v>
      </c>
      <c r="AB76" s="163"/>
      <c r="AC76" s="347"/>
      <c r="AD76" s="268"/>
      <c r="AE76" s="169">
        <f>SUM(AE73:AE75)</f>
        <v>0</v>
      </c>
      <c r="AF76" s="70"/>
      <c r="AG76" s="166">
        <v>0</v>
      </c>
      <c r="AH76" s="70"/>
      <c r="AI76" s="169">
        <f>SUM(AI73:AI75)</f>
        <v>0</v>
      </c>
      <c r="AJ76" s="163"/>
      <c r="AK76" s="170">
        <f>IF(AE76=0,0,ROUND((AI76/AE76)*100,1))</f>
        <v>0</v>
      </c>
      <c r="AL76" s="158"/>
      <c r="AM76" s="169">
        <f>AM75</f>
        <v>0</v>
      </c>
      <c r="AN76" s="70"/>
      <c r="AO76" s="169">
        <f>SUM(AO73:AO75)</f>
        <v>0</v>
      </c>
      <c r="AP76" s="70"/>
      <c r="AQ76" s="197">
        <v>0</v>
      </c>
    </row>
    <row r="77" spans="1:43" ht="20.100000000000001" customHeight="1" x14ac:dyDescent="0.25">
      <c r="F77" s="200"/>
      <c r="H77" s="200"/>
      <c r="I77" s="80"/>
      <c r="J77" s="200"/>
      <c r="K77" s="80"/>
      <c r="L77" s="305"/>
      <c r="M77" s="80"/>
      <c r="N77" s="305"/>
      <c r="O77" s="211"/>
      <c r="P77" s="211"/>
      <c r="Q77" s="211"/>
      <c r="R77" s="211"/>
      <c r="T77" s="159">
        <v>11</v>
      </c>
      <c r="U77" s="80"/>
      <c r="V77" s="265" t="s">
        <v>576</v>
      </c>
      <c r="W77" s="80"/>
      <c r="X77" s="80"/>
      <c r="Y77" s="169">
        <f>Y69</f>
        <v>0</v>
      </c>
      <c r="Z77" s="70"/>
      <c r="AA77" s="169">
        <f>AA76</f>
        <v>0</v>
      </c>
      <c r="AB77" s="163"/>
      <c r="AC77" s="347"/>
      <c r="AD77" s="268"/>
      <c r="AE77" s="169">
        <f>AE70+AE76</f>
        <v>0</v>
      </c>
      <c r="AF77" s="70"/>
      <c r="AG77" s="170">
        <v>0</v>
      </c>
      <c r="AH77" s="70"/>
      <c r="AI77" s="169">
        <f>AI70+AI76</f>
        <v>0</v>
      </c>
      <c r="AJ77" s="163"/>
      <c r="AK77" s="170">
        <f>IF(AE77=0,0,ROUND((AI77/AE77)*100,1))</f>
        <v>0</v>
      </c>
      <c r="AL77" s="158"/>
      <c r="AM77" s="169">
        <f>AM76+AM70</f>
        <v>0</v>
      </c>
      <c r="AN77" s="70"/>
      <c r="AO77" s="169">
        <f>AO76+AO70</f>
        <v>0</v>
      </c>
      <c r="AP77" s="70"/>
      <c r="AQ77" s="197">
        <v>0</v>
      </c>
    </row>
    <row r="78" spans="1:43" ht="15.75" customHeight="1" x14ac:dyDescent="0.25">
      <c r="F78" s="200"/>
      <c r="H78" s="200"/>
      <c r="I78" s="80"/>
      <c r="J78" s="200"/>
      <c r="K78" s="80"/>
      <c r="L78" s="305"/>
      <c r="M78" s="80"/>
      <c r="N78" s="305"/>
      <c r="O78" s="211"/>
      <c r="P78" s="211"/>
      <c r="Q78" s="211"/>
      <c r="R78" s="211"/>
      <c r="T78" s="159"/>
      <c r="U78" s="80"/>
      <c r="V78" s="82"/>
      <c r="W78" s="80"/>
      <c r="X78" s="80"/>
      <c r="Y78" s="163"/>
      <c r="Z78" s="70"/>
      <c r="AA78" s="163"/>
      <c r="AB78" s="163"/>
      <c r="AC78" s="347"/>
      <c r="AD78" s="268"/>
      <c r="AE78" s="163"/>
      <c r="AF78" s="70"/>
      <c r="AG78" s="197"/>
      <c r="AH78" s="70"/>
      <c r="AI78" s="163"/>
      <c r="AJ78" s="163"/>
      <c r="AK78" s="197"/>
      <c r="AL78" s="158"/>
      <c r="AM78" s="163"/>
      <c r="AN78" s="70"/>
      <c r="AO78" s="163"/>
      <c r="AP78" s="70"/>
      <c r="AQ78" s="155"/>
    </row>
    <row r="79" spans="1:43" ht="15.75" customHeight="1" x14ac:dyDescent="0.25">
      <c r="F79" s="200"/>
      <c r="H79" s="200"/>
      <c r="I79" s="80"/>
      <c r="J79" s="200"/>
      <c r="K79" s="80"/>
      <c r="L79" s="305"/>
      <c r="M79" s="80"/>
      <c r="N79" s="305"/>
      <c r="O79" s="211"/>
      <c r="P79" s="211"/>
      <c r="Q79" s="211"/>
      <c r="R79" s="211"/>
      <c r="T79" s="159">
        <v>12</v>
      </c>
      <c r="U79" s="80"/>
      <c r="V79" s="253" t="s">
        <v>553</v>
      </c>
      <c r="W79" s="80"/>
      <c r="X79" s="80"/>
      <c r="Y79" s="163"/>
      <c r="Z79" s="70"/>
      <c r="AA79" s="163"/>
      <c r="AB79" s="163"/>
      <c r="AC79" s="347"/>
      <c r="AD79" s="268"/>
      <c r="AE79" s="163"/>
      <c r="AF79" s="70"/>
      <c r="AG79" s="197"/>
      <c r="AH79" s="70"/>
      <c r="AI79" s="163"/>
      <c r="AJ79" s="163"/>
      <c r="AK79" s="197"/>
      <c r="AL79" s="158"/>
      <c r="AM79" s="163"/>
      <c r="AN79" s="70"/>
      <c r="AO79" s="163"/>
      <c r="AP79" s="70"/>
      <c r="AQ79" s="155"/>
    </row>
    <row r="80" spans="1:43" ht="15.75" customHeight="1" x14ac:dyDescent="0.25">
      <c r="F80" s="200"/>
      <c r="H80" s="200"/>
      <c r="I80" s="80"/>
      <c r="J80" s="200"/>
      <c r="K80" s="80"/>
      <c r="L80" s="305"/>
      <c r="M80" s="80"/>
      <c r="N80" s="305"/>
      <c r="O80" s="211"/>
      <c r="P80" s="211"/>
      <c r="Q80" s="211"/>
      <c r="R80" s="211"/>
      <c r="T80" s="159">
        <v>13</v>
      </c>
      <c r="U80" s="80"/>
      <c r="V80" s="153" t="s">
        <v>556</v>
      </c>
      <c r="W80" s="80"/>
      <c r="X80" s="80"/>
      <c r="Y80" s="163"/>
      <c r="Z80" s="70"/>
      <c r="AA80" s="163"/>
      <c r="AB80" s="163"/>
      <c r="AC80" s="295">
        <f>DSM_DIST</f>
        <v>2.5760000000000002E-3</v>
      </c>
      <c r="AD80" s="268"/>
      <c r="AE80" s="163">
        <f>ROUND(AA77*DSM_DIST,0)</f>
        <v>0</v>
      </c>
      <c r="AF80" s="70"/>
      <c r="AG80" s="197">
        <v>0</v>
      </c>
      <c r="AH80" s="70"/>
      <c r="AI80" s="163">
        <f>L35-AE80</f>
        <v>0</v>
      </c>
      <c r="AJ80" s="163"/>
      <c r="AK80" s="197">
        <f t="shared" ref="AK80:AK82" si="1">IF(AE80=0,0,ROUND((AI80/AE80)*100,1))</f>
        <v>0</v>
      </c>
      <c r="AL80" s="158"/>
      <c r="AM80" s="163"/>
      <c r="AN80" s="70"/>
      <c r="AO80" s="163">
        <f t="shared" ref="AO80:AO81" si="2">AE80+AM80</f>
        <v>0</v>
      </c>
      <c r="AP80" s="70"/>
      <c r="AQ80" s="197">
        <v>0</v>
      </c>
    </row>
    <row r="81" spans="1:43" ht="15.75" customHeight="1" x14ac:dyDescent="0.25">
      <c r="F81" s="200"/>
      <c r="H81" s="200"/>
      <c r="I81" s="80"/>
      <c r="J81" s="200"/>
      <c r="K81" s="80"/>
      <c r="L81" s="305"/>
      <c r="M81" s="80"/>
      <c r="N81" s="305"/>
      <c r="O81" s="211"/>
      <c r="P81" s="211"/>
      <c r="Q81" s="211"/>
      <c r="R81" s="211"/>
      <c r="T81" s="159">
        <v>14</v>
      </c>
      <c r="U81" s="80"/>
      <c r="V81" s="153" t="s">
        <v>555</v>
      </c>
      <c r="W81" s="80"/>
      <c r="X81" s="80"/>
      <c r="Y81" s="163"/>
      <c r="Z81" s="70"/>
      <c r="AA81" s="163"/>
      <c r="AB81" s="163"/>
      <c r="AC81" s="295">
        <f>RS_PSM</f>
        <v>-4.5600000000000003E-4</v>
      </c>
      <c r="AD81" s="268"/>
      <c r="AE81" s="167">
        <f>ROUND(AA77*RS_PSM,0)</f>
        <v>0</v>
      </c>
      <c r="AF81" s="70"/>
      <c r="AG81" s="166">
        <v>0</v>
      </c>
      <c r="AH81" s="70"/>
      <c r="AI81" s="167">
        <f>L36-AE81</f>
        <v>0</v>
      </c>
      <c r="AJ81" s="163"/>
      <c r="AK81" s="166">
        <f t="shared" si="1"/>
        <v>0</v>
      </c>
      <c r="AL81" s="158"/>
      <c r="AM81" s="167"/>
      <c r="AN81" s="70"/>
      <c r="AO81" s="167">
        <f t="shared" si="2"/>
        <v>0</v>
      </c>
      <c r="AP81" s="70"/>
      <c r="AQ81" s="197">
        <v>0</v>
      </c>
    </row>
    <row r="82" spans="1:43" ht="20.100000000000001" customHeight="1" x14ac:dyDescent="0.25">
      <c r="F82" s="200"/>
      <c r="H82" s="200"/>
      <c r="I82" s="80"/>
      <c r="J82" s="200"/>
      <c r="K82" s="80"/>
      <c r="L82" s="305"/>
      <c r="M82" s="80"/>
      <c r="N82" s="305"/>
      <c r="O82" s="211"/>
      <c r="P82" s="211"/>
      <c r="Q82" s="211"/>
      <c r="R82" s="211"/>
      <c r="T82" s="159">
        <v>15</v>
      </c>
      <c r="U82" s="80"/>
      <c r="V82" s="253" t="s">
        <v>557</v>
      </c>
      <c r="W82" s="80"/>
      <c r="X82" s="80"/>
      <c r="Y82" s="167"/>
      <c r="Z82" s="70"/>
      <c r="AA82" s="167"/>
      <c r="AB82" s="163"/>
      <c r="AC82" s="268"/>
      <c r="AD82" s="268"/>
      <c r="AE82" s="169">
        <f>SUM(AE80:AE81)</f>
        <v>0</v>
      </c>
      <c r="AF82" s="70"/>
      <c r="AG82" s="170">
        <v>0</v>
      </c>
      <c r="AH82" s="70"/>
      <c r="AI82" s="169">
        <f>SUM(AI80:AI81)</f>
        <v>0</v>
      </c>
      <c r="AJ82" s="163"/>
      <c r="AK82" s="170">
        <f t="shared" si="1"/>
        <v>0</v>
      </c>
      <c r="AL82" s="158"/>
      <c r="AM82" s="169"/>
      <c r="AN82" s="70"/>
      <c r="AO82" s="169">
        <f>SUM(AO80:AO81)</f>
        <v>0</v>
      </c>
      <c r="AP82" s="70"/>
      <c r="AQ82" s="197">
        <v>0</v>
      </c>
    </row>
    <row r="83" spans="1:43" ht="15.75" customHeight="1" x14ac:dyDescent="0.25">
      <c r="F83" s="200"/>
      <c r="H83" s="200"/>
      <c r="I83" s="80"/>
      <c r="J83" s="200"/>
      <c r="K83" s="80"/>
      <c r="L83" s="305"/>
      <c r="M83" s="80"/>
      <c r="N83" s="305"/>
      <c r="O83" s="211"/>
      <c r="P83" s="211"/>
      <c r="Q83" s="211"/>
      <c r="R83" s="211"/>
      <c r="T83" s="159"/>
      <c r="U83" s="80"/>
      <c r="V83" s="253"/>
      <c r="W83" s="80"/>
      <c r="X83" s="80"/>
      <c r="Y83" s="163"/>
      <c r="Z83" s="70"/>
      <c r="AA83" s="163"/>
      <c r="AB83" s="163"/>
      <c r="AC83" s="268"/>
      <c r="AD83" s="268"/>
      <c r="AE83" s="163"/>
      <c r="AF83" s="70"/>
      <c r="AG83" s="197"/>
      <c r="AH83" s="70"/>
      <c r="AI83" s="163"/>
      <c r="AJ83" s="163"/>
      <c r="AK83" s="197"/>
      <c r="AL83" s="158"/>
      <c r="AM83" s="163"/>
      <c r="AN83" s="70"/>
      <c r="AO83" s="163"/>
      <c r="AP83" s="70"/>
      <c r="AQ83" s="155"/>
    </row>
    <row r="84" spans="1:43" ht="20.100000000000001" customHeight="1" thickBot="1" x14ac:dyDescent="0.3">
      <c r="F84" s="211"/>
      <c r="H84" s="211"/>
      <c r="I84" s="80"/>
      <c r="J84" s="211"/>
      <c r="K84" s="80"/>
      <c r="L84" s="305"/>
      <c r="M84" s="80"/>
      <c r="N84" s="305"/>
      <c r="O84" s="211"/>
      <c r="P84" s="211"/>
      <c r="Q84" s="211"/>
      <c r="R84" s="211"/>
      <c r="T84" s="159">
        <v>16</v>
      </c>
      <c r="U84" s="80"/>
      <c r="V84" s="265" t="s">
        <v>577</v>
      </c>
      <c r="W84" s="80"/>
      <c r="X84" s="80"/>
      <c r="Y84" s="275">
        <f>F39</f>
        <v>0</v>
      </c>
      <c r="Z84" s="70"/>
      <c r="AA84" s="275">
        <f>H39</f>
        <v>0</v>
      </c>
      <c r="AB84" s="163"/>
      <c r="AC84" s="70"/>
      <c r="AD84" s="70"/>
      <c r="AE84" s="275">
        <f>AE82+AE77</f>
        <v>0</v>
      </c>
      <c r="AF84" s="70"/>
      <c r="AG84" s="291">
        <v>100</v>
      </c>
      <c r="AH84" s="70"/>
      <c r="AI84" s="275">
        <f>AI82+AI77</f>
        <v>0</v>
      </c>
      <c r="AJ84" s="163"/>
      <c r="AK84" s="291">
        <f>IF(AE84=0,0,ROUND((AI84/AE84)*100,1))</f>
        <v>0</v>
      </c>
      <c r="AL84" s="158"/>
      <c r="AM84" s="369">
        <f>AM82+AM77</f>
        <v>0</v>
      </c>
      <c r="AN84" s="70"/>
      <c r="AO84" s="275">
        <f>AO70+AO76</f>
        <v>0</v>
      </c>
      <c r="AP84" s="70"/>
      <c r="AQ84" s="197">
        <v>0</v>
      </c>
    </row>
    <row r="85" spans="1:43" ht="16.5" thickTop="1" x14ac:dyDescent="0.25">
      <c r="F85" s="211"/>
      <c r="H85" s="211"/>
      <c r="I85" s="80"/>
      <c r="J85" s="211"/>
      <c r="K85" s="305"/>
      <c r="L85" s="305"/>
      <c r="M85" s="80"/>
      <c r="N85" s="211"/>
      <c r="O85" s="211"/>
      <c r="P85" s="211"/>
      <c r="Q85" s="211"/>
      <c r="R85" s="211"/>
      <c r="S85" s="200"/>
      <c r="T85" s="80"/>
      <c r="U85" s="80"/>
      <c r="V85" s="80"/>
      <c r="W85" s="80"/>
      <c r="X85" s="80"/>
      <c r="Y85" s="70"/>
      <c r="Z85" s="70"/>
      <c r="AA85" s="70"/>
      <c r="AB85" s="70"/>
      <c r="AC85" s="70"/>
      <c r="AD85" s="70"/>
      <c r="AE85" s="70"/>
      <c r="AF85" s="70"/>
      <c r="AG85" s="164"/>
      <c r="AH85" s="70"/>
      <c r="AI85" s="70"/>
      <c r="AJ85" s="70"/>
      <c r="AK85" s="164"/>
      <c r="AL85" s="70"/>
      <c r="AM85" s="70"/>
      <c r="AN85" s="70"/>
      <c r="AO85" s="70"/>
      <c r="AP85" s="70"/>
      <c r="AQ85" s="164"/>
    </row>
    <row r="86" spans="1:43" x14ac:dyDescent="0.25">
      <c r="A86" s="202"/>
      <c r="C86" s="154"/>
      <c r="I86" s="80"/>
      <c r="M86" s="80"/>
      <c r="T86" s="80"/>
      <c r="U86" s="80"/>
      <c r="V86" s="173" t="s">
        <v>61</v>
      </c>
      <c r="W86" s="80"/>
      <c r="X86" s="80"/>
      <c r="Y86" s="80"/>
      <c r="Z86" s="80"/>
      <c r="AA86" s="80"/>
      <c r="AB86" s="80"/>
      <c r="AC86" s="80"/>
      <c r="AD86" s="80"/>
      <c r="AE86" s="189"/>
      <c r="AF86" s="189"/>
      <c r="AG86" s="188"/>
      <c r="AH86" s="80"/>
      <c r="AI86" s="80"/>
      <c r="AJ86" s="80"/>
      <c r="AK86" s="188"/>
      <c r="AL86" s="80"/>
      <c r="AM86" s="189"/>
      <c r="AN86" s="80"/>
      <c r="AO86" s="189"/>
      <c r="AP86" s="80"/>
      <c r="AQ86" s="188"/>
    </row>
    <row r="87" spans="1:43" x14ac:dyDescent="0.25">
      <c r="A87" s="202"/>
      <c r="C87" s="154"/>
      <c r="F87" s="200"/>
      <c r="H87" s="200"/>
      <c r="I87" s="80"/>
      <c r="J87" s="200"/>
      <c r="M87" s="80"/>
      <c r="N87" s="200"/>
      <c r="O87" s="200"/>
      <c r="P87" s="210"/>
      <c r="Q87" s="252"/>
      <c r="R87" s="200"/>
      <c r="T87" s="154"/>
      <c r="V87" s="82"/>
      <c r="Y87" s="200"/>
      <c r="Z87" s="329"/>
      <c r="AA87" s="200"/>
      <c r="AB87" s="200"/>
      <c r="AC87" s="210"/>
      <c r="AD87" s="210"/>
      <c r="AE87" s="200"/>
      <c r="AF87" s="200"/>
      <c r="AG87" s="209"/>
      <c r="AH87" s="80"/>
      <c r="AI87" s="201"/>
      <c r="AJ87" s="201"/>
      <c r="AK87" s="209"/>
      <c r="AL87" s="200"/>
      <c r="AM87" s="80"/>
      <c r="AN87" s="80"/>
      <c r="AO87" s="210"/>
      <c r="AP87" s="80"/>
      <c r="AQ87" s="209"/>
    </row>
    <row r="88" spans="1:43" x14ac:dyDescent="0.25">
      <c r="F88" s="211"/>
      <c r="H88" s="211"/>
      <c r="I88" s="80"/>
      <c r="J88" s="211"/>
      <c r="K88" s="305"/>
      <c r="L88" s="305"/>
      <c r="M88" s="80"/>
      <c r="N88" s="211"/>
      <c r="O88" s="211"/>
      <c r="P88" s="211"/>
      <c r="Q88" s="211"/>
      <c r="R88" s="211"/>
      <c r="V88" s="200"/>
      <c r="Y88" s="200"/>
      <c r="Z88" s="305"/>
      <c r="AA88" s="211"/>
      <c r="AB88" s="211"/>
      <c r="AC88" s="211"/>
      <c r="AD88" s="211"/>
      <c r="AE88" s="211"/>
      <c r="AF88" s="211"/>
      <c r="AH88" s="80"/>
      <c r="AK88" s="212"/>
      <c r="AL88" s="211"/>
      <c r="AM88" s="80"/>
      <c r="AN88" s="80"/>
      <c r="AO88" s="210"/>
      <c r="AP88" s="80"/>
      <c r="AQ88" s="212"/>
    </row>
    <row r="89" spans="1:43" x14ac:dyDescent="0.25">
      <c r="I89" s="80"/>
      <c r="M89" s="80"/>
      <c r="T89" s="154"/>
      <c r="V89" s="200"/>
      <c r="Y89" s="200"/>
      <c r="Z89" s="213"/>
      <c r="AA89" s="200"/>
      <c r="AB89" s="200"/>
      <c r="AC89" s="210"/>
      <c r="AD89" s="210"/>
      <c r="AE89" s="200"/>
      <c r="AF89" s="200"/>
      <c r="AG89" s="209"/>
      <c r="AH89" s="80"/>
      <c r="AI89" s="201"/>
      <c r="AJ89" s="201"/>
      <c r="AK89" s="209"/>
      <c r="AL89" s="200"/>
      <c r="AM89" s="80"/>
      <c r="AN89" s="80"/>
      <c r="AO89" s="210"/>
      <c r="AP89" s="80"/>
      <c r="AQ89" s="209"/>
    </row>
    <row r="90" spans="1:43" x14ac:dyDescent="0.25">
      <c r="C90" s="154"/>
      <c r="I90" s="80"/>
      <c r="M90" s="80"/>
      <c r="N90" s="200"/>
      <c r="O90" s="200"/>
      <c r="P90" s="200"/>
      <c r="Q90" s="200"/>
      <c r="R90" s="200"/>
      <c r="S90" s="200"/>
      <c r="V90" s="200"/>
      <c r="Y90" s="200"/>
      <c r="Z90" s="305"/>
      <c r="AA90" s="211"/>
      <c r="AB90" s="211"/>
      <c r="AC90" s="211"/>
      <c r="AD90" s="211"/>
      <c r="AE90" s="211"/>
      <c r="AF90" s="211"/>
      <c r="AH90" s="80"/>
      <c r="AK90" s="212"/>
      <c r="AL90" s="211"/>
      <c r="AM90" s="80"/>
      <c r="AN90" s="80"/>
      <c r="AO90" s="210"/>
      <c r="AP90" s="80"/>
      <c r="AQ90" s="212"/>
    </row>
    <row r="91" spans="1:43" x14ac:dyDescent="0.25">
      <c r="A91" s="154"/>
      <c r="I91" s="80"/>
      <c r="M91" s="80"/>
      <c r="T91" s="154"/>
      <c r="V91" s="200"/>
      <c r="Y91" s="200"/>
      <c r="Z91" s="213"/>
      <c r="AA91" s="200"/>
      <c r="AB91" s="200"/>
      <c r="AC91" s="210"/>
      <c r="AD91" s="210"/>
      <c r="AE91" s="200"/>
      <c r="AF91" s="200"/>
      <c r="AG91" s="209"/>
      <c r="AH91" s="80"/>
      <c r="AI91" s="201"/>
      <c r="AJ91" s="201"/>
      <c r="AK91" s="209"/>
      <c r="AL91" s="200"/>
      <c r="AM91" s="80"/>
      <c r="AN91" s="80"/>
      <c r="AO91" s="210"/>
      <c r="AP91" s="80"/>
      <c r="AQ91" s="209"/>
    </row>
    <row r="92" spans="1:43" x14ac:dyDescent="0.25">
      <c r="I92" s="80"/>
      <c r="K92" s="202"/>
      <c r="L92" s="202"/>
      <c r="M92" s="80"/>
      <c r="T92" s="154"/>
      <c r="V92" s="252"/>
      <c r="Y92" s="200"/>
      <c r="Z92" s="320"/>
      <c r="AA92" s="200"/>
      <c r="AB92" s="200"/>
      <c r="AC92" s="210"/>
      <c r="AD92" s="210"/>
      <c r="AE92" s="200"/>
      <c r="AF92" s="200"/>
      <c r="AG92" s="209"/>
      <c r="AH92" s="80"/>
      <c r="AI92" s="201"/>
      <c r="AJ92" s="201"/>
      <c r="AK92" s="209"/>
      <c r="AL92" s="200"/>
      <c r="AM92" s="80"/>
      <c r="AN92" s="80"/>
      <c r="AO92" s="210"/>
      <c r="AP92" s="80"/>
      <c r="AQ92" s="209"/>
    </row>
    <row r="93" spans="1:43" x14ac:dyDescent="0.25">
      <c r="H93" s="154"/>
      <c r="I93" s="80"/>
      <c r="J93" s="154"/>
      <c r="M93" s="80"/>
      <c r="V93" s="211"/>
      <c r="Y93" s="211"/>
      <c r="Z93" s="305"/>
      <c r="AA93" s="211"/>
      <c r="AB93" s="211"/>
      <c r="AC93" s="211"/>
      <c r="AD93" s="211"/>
      <c r="AE93" s="211"/>
      <c r="AF93" s="211"/>
      <c r="AH93" s="80"/>
      <c r="AK93" s="212"/>
      <c r="AL93" s="211"/>
      <c r="AM93" s="80"/>
      <c r="AN93" s="80"/>
      <c r="AO93" s="210"/>
      <c r="AP93" s="80"/>
      <c r="AQ93" s="212"/>
    </row>
    <row r="94" spans="1:43" x14ac:dyDescent="0.25">
      <c r="I94" s="80"/>
      <c r="K94" s="202"/>
      <c r="L94" s="202"/>
      <c r="M94" s="80"/>
      <c r="T94" s="154"/>
      <c r="V94" s="200"/>
      <c r="Y94" s="200"/>
      <c r="Z94" s="305"/>
      <c r="AA94" s="200"/>
      <c r="AB94" s="200"/>
      <c r="AC94" s="210"/>
      <c r="AD94" s="210"/>
      <c r="AE94" s="200"/>
      <c r="AF94" s="200"/>
      <c r="AG94" s="209"/>
      <c r="AH94" s="80"/>
      <c r="AI94" s="210"/>
      <c r="AJ94" s="210"/>
      <c r="AK94" s="209"/>
      <c r="AL94" s="200"/>
      <c r="AM94" s="80"/>
      <c r="AN94" s="80"/>
      <c r="AO94" s="210"/>
      <c r="AP94" s="80"/>
      <c r="AQ94" s="209"/>
    </row>
    <row r="95" spans="1:43" x14ac:dyDescent="0.25">
      <c r="I95" s="80"/>
      <c r="M95" s="154"/>
      <c r="N95" s="154"/>
      <c r="V95" s="211"/>
      <c r="Y95" s="211"/>
      <c r="Z95" s="305"/>
      <c r="AA95" s="211"/>
      <c r="AB95" s="211"/>
      <c r="AC95" s="211"/>
      <c r="AD95" s="211"/>
      <c r="AE95" s="211"/>
      <c r="AF95" s="211"/>
      <c r="AH95" s="80"/>
      <c r="AK95" s="212"/>
      <c r="AL95" s="211"/>
      <c r="AM95" s="80"/>
      <c r="AN95" s="80"/>
      <c r="AO95" s="210"/>
      <c r="AP95" s="80"/>
      <c r="AQ95" s="212"/>
    </row>
    <row r="96" spans="1:43" x14ac:dyDescent="0.25">
      <c r="A96" s="202"/>
      <c r="I96" s="80"/>
      <c r="R96" s="154"/>
      <c r="T96" s="154"/>
      <c r="V96" s="252"/>
      <c r="Y96" s="252"/>
      <c r="Z96" s="305"/>
      <c r="AA96" s="200"/>
      <c r="AB96" s="200"/>
      <c r="AC96" s="210"/>
      <c r="AD96" s="210"/>
      <c r="AE96" s="200"/>
      <c r="AF96" s="200"/>
      <c r="AH96" s="80"/>
      <c r="AK96" s="209"/>
      <c r="AL96" s="200"/>
      <c r="AM96" s="80"/>
      <c r="AN96" s="80"/>
      <c r="AO96" s="210"/>
      <c r="AP96" s="80"/>
      <c r="AQ96" s="209"/>
    </row>
    <row r="97" spans="1:43" x14ac:dyDescent="0.25">
      <c r="A97" s="202"/>
      <c r="I97" s="80"/>
      <c r="R97" s="154"/>
      <c r="AH97" s="80"/>
      <c r="AM97" s="80"/>
      <c r="AN97" s="80"/>
      <c r="AP97" s="80"/>
    </row>
    <row r="98" spans="1:43" x14ac:dyDescent="0.25">
      <c r="A98" s="154"/>
      <c r="I98" s="80"/>
      <c r="R98" s="154"/>
      <c r="T98" s="154"/>
      <c r="AH98" s="80"/>
      <c r="AM98" s="80"/>
      <c r="AN98" s="80"/>
      <c r="AP98" s="80"/>
    </row>
    <row r="99" spans="1:43" x14ac:dyDescent="0.25">
      <c r="I99" s="80"/>
      <c r="M99" s="154"/>
      <c r="N99" s="154"/>
      <c r="R99" s="202"/>
      <c r="T99" s="154"/>
      <c r="V99" s="200"/>
      <c r="Y99" s="252"/>
      <c r="Z99" s="300"/>
      <c r="AA99" s="200"/>
      <c r="AB99" s="200"/>
      <c r="AC99" s="210"/>
      <c r="AD99" s="210"/>
      <c r="AE99" s="200"/>
      <c r="AF99" s="200"/>
      <c r="AG99" s="325"/>
      <c r="AH99" s="80"/>
      <c r="AI99" s="326"/>
      <c r="AJ99" s="326"/>
      <c r="AK99" s="209"/>
      <c r="AL99" s="202"/>
      <c r="AM99" s="80"/>
      <c r="AN99" s="80"/>
      <c r="AO99" s="327"/>
      <c r="AP99" s="80"/>
      <c r="AQ99" s="209"/>
    </row>
    <row r="100" spans="1:43" x14ac:dyDescent="0.25">
      <c r="A100" s="102"/>
      <c r="B100" s="102"/>
      <c r="C100" s="102"/>
      <c r="D100" s="102"/>
      <c r="E100" s="102"/>
      <c r="F100" s="102"/>
      <c r="G100" s="102"/>
      <c r="H100" s="102"/>
      <c r="I100" s="80"/>
      <c r="J100" s="102"/>
      <c r="K100" s="102"/>
      <c r="L100" s="102"/>
      <c r="M100" s="102"/>
      <c r="N100" s="102"/>
      <c r="O100" s="102"/>
      <c r="P100" s="102"/>
      <c r="Q100" s="102"/>
      <c r="R100" s="102"/>
      <c r="T100" s="154"/>
      <c r="V100" s="200"/>
      <c r="Y100" s="252"/>
      <c r="Z100" s="300"/>
      <c r="AA100" s="200"/>
      <c r="AB100" s="200"/>
      <c r="AC100" s="210"/>
      <c r="AD100" s="210"/>
      <c r="AE100" s="200"/>
      <c r="AF100" s="200"/>
      <c r="AG100" s="209"/>
      <c r="AH100" s="80"/>
      <c r="AI100" s="201"/>
      <c r="AJ100" s="201"/>
      <c r="AK100" s="209"/>
      <c r="AL100" s="202"/>
      <c r="AM100" s="80"/>
      <c r="AN100" s="80"/>
      <c r="AO100" s="210"/>
      <c r="AP100" s="80"/>
      <c r="AQ100" s="209"/>
    </row>
    <row r="101" spans="1:43" x14ac:dyDescent="0.25">
      <c r="I101" s="80"/>
      <c r="M101" s="103"/>
      <c r="N101" s="103"/>
      <c r="O101" s="103"/>
      <c r="P101" s="103"/>
      <c r="R101" s="103"/>
      <c r="T101" s="154"/>
      <c r="V101" s="200"/>
      <c r="Y101" s="252"/>
      <c r="Z101" s="300"/>
      <c r="AA101" s="200"/>
      <c r="AB101" s="200"/>
      <c r="AC101" s="210"/>
      <c r="AD101" s="210"/>
      <c r="AE101" s="200"/>
      <c r="AF101" s="200"/>
      <c r="AG101" s="209"/>
      <c r="AH101" s="80"/>
      <c r="AI101" s="201"/>
      <c r="AJ101" s="201"/>
      <c r="AK101" s="209"/>
      <c r="AL101" s="202"/>
      <c r="AM101" s="80"/>
      <c r="AN101" s="80"/>
      <c r="AO101" s="210"/>
      <c r="AP101" s="80"/>
      <c r="AQ101" s="209"/>
    </row>
    <row r="102" spans="1:43" x14ac:dyDescent="0.25">
      <c r="I102" s="80"/>
      <c r="M102" s="103"/>
      <c r="N102" s="103"/>
      <c r="O102" s="103"/>
      <c r="P102" s="103"/>
      <c r="R102" s="103"/>
      <c r="V102" s="211"/>
      <c r="Y102" s="200"/>
      <c r="Z102" s="305"/>
      <c r="AA102" s="211"/>
      <c r="AB102" s="211"/>
      <c r="AC102" s="211"/>
      <c r="AD102" s="211"/>
      <c r="AE102" s="211"/>
      <c r="AF102" s="211"/>
      <c r="AH102" s="80"/>
      <c r="AK102" s="212"/>
      <c r="AL102" s="211"/>
      <c r="AM102" s="80"/>
      <c r="AN102" s="80"/>
      <c r="AO102" s="210"/>
      <c r="AP102" s="80"/>
      <c r="AQ102" s="212"/>
    </row>
    <row r="103" spans="1:43" x14ac:dyDescent="0.25">
      <c r="A103" s="103"/>
      <c r="C103" s="103"/>
      <c r="D103" s="103"/>
      <c r="E103" s="103"/>
      <c r="F103" s="103"/>
      <c r="I103" s="80"/>
      <c r="K103" s="103"/>
      <c r="L103" s="103"/>
      <c r="M103" s="103"/>
      <c r="N103" s="103"/>
      <c r="O103" s="103"/>
      <c r="P103" s="103"/>
      <c r="Q103" s="103"/>
      <c r="R103" s="103"/>
      <c r="T103" s="154"/>
      <c r="V103" s="200"/>
      <c r="Y103" s="200"/>
      <c r="Z103" s="305"/>
      <c r="AA103" s="200"/>
      <c r="AB103" s="200"/>
      <c r="AC103" s="210"/>
      <c r="AD103" s="210"/>
      <c r="AE103" s="200"/>
      <c r="AF103" s="200"/>
      <c r="AG103" s="209"/>
      <c r="AH103" s="80"/>
      <c r="AI103" s="201"/>
      <c r="AJ103" s="201"/>
      <c r="AK103" s="209"/>
      <c r="AL103" s="200"/>
      <c r="AM103" s="80"/>
      <c r="AN103" s="80"/>
      <c r="AO103" s="210"/>
      <c r="AP103" s="80"/>
      <c r="AQ103" s="209"/>
    </row>
    <row r="104" spans="1:43" x14ac:dyDescent="0.25">
      <c r="A104" s="103"/>
      <c r="C104" s="103"/>
      <c r="D104" s="103"/>
      <c r="E104" s="103"/>
      <c r="F104" s="103"/>
      <c r="H104" s="103"/>
      <c r="I104" s="80"/>
      <c r="J104" s="103"/>
      <c r="K104" s="103"/>
      <c r="L104" s="103"/>
      <c r="M104" s="103"/>
      <c r="N104" s="103"/>
      <c r="O104" s="103"/>
      <c r="P104" s="103"/>
      <c r="Q104" s="103"/>
      <c r="R104" s="103"/>
      <c r="V104" s="211"/>
      <c r="Y104" s="200"/>
      <c r="Z104" s="305"/>
      <c r="AA104" s="211"/>
      <c r="AB104" s="211"/>
      <c r="AC104" s="211"/>
      <c r="AD104" s="211"/>
      <c r="AE104" s="211"/>
      <c r="AF104" s="211"/>
      <c r="AH104" s="80"/>
      <c r="AK104" s="212"/>
      <c r="AL104" s="211"/>
      <c r="AM104" s="80"/>
      <c r="AN104" s="80"/>
      <c r="AO104" s="210"/>
      <c r="AP104" s="80"/>
      <c r="AQ104" s="212"/>
    </row>
    <row r="105" spans="1:43" x14ac:dyDescent="0.25">
      <c r="C105" s="103"/>
      <c r="D105" s="103"/>
      <c r="E105" s="103"/>
      <c r="F105" s="103"/>
      <c r="H105" s="103"/>
      <c r="I105" s="80"/>
      <c r="J105" s="103"/>
      <c r="K105" s="103"/>
      <c r="L105" s="103"/>
      <c r="M105" s="103"/>
      <c r="N105" s="103"/>
      <c r="O105" s="103"/>
      <c r="P105" s="103"/>
      <c r="Q105" s="103"/>
      <c r="R105" s="103"/>
      <c r="T105" s="154"/>
      <c r="V105" s="252"/>
      <c r="Y105" s="252"/>
      <c r="Z105" s="328"/>
      <c r="AA105" s="200"/>
      <c r="AB105" s="200"/>
      <c r="AC105" s="210"/>
      <c r="AD105" s="210"/>
      <c r="AE105" s="200"/>
      <c r="AF105" s="200"/>
      <c r="AG105" s="209"/>
      <c r="AH105" s="80"/>
      <c r="AI105" s="210"/>
      <c r="AJ105" s="210"/>
      <c r="AK105" s="209"/>
      <c r="AL105" s="200"/>
      <c r="AM105" s="80"/>
      <c r="AN105" s="80"/>
      <c r="AO105" s="210"/>
      <c r="AP105" s="80"/>
      <c r="AQ105" s="209"/>
    </row>
    <row r="106" spans="1:43" x14ac:dyDescent="0.25">
      <c r="A106" s="102"/>
      <c r="B106" s="102"/>
      <c r="C106" s="102"/>
      <c r="D106" s="102"/>
      <c r="E106" s="102"/>
      <c r="F106" s="102"/>
      <c r="G106" s="102"/>
      <c r="H106" s="102"/>
      <c r="I106" s="80"/>
      <c r="J106" s="102"/>
      <c r="K106" s="102"/>
      <c r="L106" s="102"/>
      <c r="M106" s="102"/>
      <c r="N106" s="102"/>
      <c r="O106" s="102"/>
      <c r="P106" s="102"/>
      <c r="Q106" s="102"/>
      <c r="R106" s="102"/>
      <c r="T106" s="154"/>
      <c r="V106" s="252"/>
      <c r="Y106" s="200"/>
      <c r="Z106" s="300"/>
      <c r="AA106" s="200"/>
      <c r="AB106" s="200"/>
      <c r="AC106" s="210"/>
      <c r="AD106" s="210"/>
      <c r="AE106" s="200"/>
      <c r="AF106" s="200"/>
      <c r="AG106" s="209"/>
      <c r="AH106" s="80"/>
      <c r="AI106" s="201"/>
      <c r="AJ106" s="201"/>
      <c r="AK106" s="209"/>
      <c r="AL106" s="200"/>
      <c r="AM106" s="80"/>
      <c r="AN106" s="80"/>
      <c r="AO106" s="210"/>
      <c r="AP106" s="80"/>
      <c r="AQ106" s="209"/>
    </row>
    <row r="107" spans="1:43" x14ac:dyDescent="0.25">
      <c r="H107" s="103"/>
      <c r="I107" s="80"/>
      <c r="J107" s="103"/>
      <c r="K107" s="103"/>
      <c r="L107" s="103"/>
      <c r="M107" s="103"/>
      <c r="N107" s="103"/>
      <c r="O107" s="103"/>
      <c r="P107" s="103"/>
      <c r="Q107" s="103"/>
      <c r="R107" s="103"/>
      <c r="T107" s="154"/>
      <c r="V107" s="252"/>
      <c r="Y107" s="200"/>
      <c r="Z107" s="300"/>
      <c r="AA107" s="200"/>
      <c r="AB107" s="200"/>
      <c r="AC107" s="210"/>
      <c r="AD107" s="210"/>
      <c r="AE107" s="200"/>
      <c r="AF107" s="200"/>
      <c r="AG107" s="209"/>
      <c r="AH107" s="80"/>
      <c r="AI107" s="201"/>
      <c r="AJ107" s="201"/>
      <c r="AK107" s="209"/>
      <c r="AL107" s="200"/>
      <c r="AM107" s="80"/>
      <c r="AN107" s="80"/>
      <c r="AO107" s="210"/>
      <c r="AP107" s="80"/>
      <c r="AQ107" s="209"/>
    </row>
    <row r="108" spans="1:43" x14ac:dyDescent="0.25">
      <c r="A108" s="202"/>
      <c r="C108" s="154"/>
      <c r="D108" s="154"/>
      <c r="E108" s="154"/>
      <c r="I108" s="80"/>
      <c r="V108" s="200"/>
      <c r="Y108" s="211"/>
      <c r="Z108" s="305"/>
      <c r="AA108" s="211"/>
      <c r="AB108" s="211"/>
      <c r="AC108" s="211"/>
      <c r="AD108" s="211"/>
      <c r="AE108" s="211"/>
      <c r="AF108" s="211"/>
      <c r="AH108" s="80"/>
      <c r="AK108" s="212"/>
      <c r="AL108" s="211"/>
      <c r="AM108" s="80"/>
      <c r="AN108" s="80"/>
      <c r="AO108" s="210"/>
      <c r="AP108" s="80"/>
      <c r="AQ108" s="212"/>
    </row>
    <row r="109" spans="1:43" x14ac:dyDescent="0.25">
      <c r="A109" s="202"/>
      <c r="D109" s="154"/>
      <c r="E109" s="154"/>
      <c r="I109" s="80"/>
      <c r="T109" s="154"/>
      <c r="V109" s="200"/>
      <c r="Y109" s="200"/>
      <c r="Z109" s="305"/>
      <c r="AA109" s="200"/>
      <c r="AB109" s="200"/>
      <c r="AC109" s="210"/>
      <c r="AD109" s="210"/>
      <c r="AE109" s="200"/>
      <c r="AF109" s="200"/>
      <c r="AG109" s="209"/>
      <c r="AH109" s="80"/>
      <c r="AI109" s="201"/>
      <c r="AJ109" s="201"/>
      <c r="AK109" s="209"/>
      <c r="AL109" s="200"/>
      <c r="AM109" s="80"/>
      <c r="AN109" s="80"/>
      <c r="AO109" s="210"/>
      <c r="AP109" s="80"/>
      <c r="AQ109" s="209"/>
    </row>
    <row r="110" spans="1:43" x14ac:dyDescent="0.25">
      <c r="I110" s="80"/>
      <c r="V110" s="200"/>
      <c r="Y110" s="211"/>
      <c r="Z110" s="305"/>
      <c r="AA110" s="211"/>
      <c r="AB110" s="211"/>
      <c r="AC110" s="211"/>
      <c r="AD110" s="211"/>
      <c r="AE110" s="211"/>
      <c r="AF110" s="211"/>
      <c r="AH110" s="80"/>
      <c r="AK110" s="212"/>
      <c r="AL110" s="211"/>
      <c r="AM110" s="80"/>
      <c r="AN110" s="80"/>
      <c r="AO110" s="210"/>
      <c r="AP110" s="80"/>
      <c r="AQ110" s="212"/>
    </row>
    <row r="111" spans="1:43" x14ac:dyDescent="0.25">
      <c r="A111" s="202"/>
      <c r="C111" s="154"/>
      <c r="F111" s="252"/>
      <c r="H111" s="252"/>
      <c r="I111" s="80"/>
      <c r="J111" s="252"/>
      <c r="K111" s="300"/>
      <c r="L111" s="300"/>
      <c r="M111" s="200"/>
      <c r="N111" s="200"/>
      <c r="O111" s="210"/>
      <c r="P111" s="210"/>
      <c r="R111" s="200"/>
      <c r="T111" s="154"/>
      <c r="V111" s="200"/>
      <c r="Y111" s="200"/>
      <c r="Z111" s="305"/>
      <c r="AA111" s="200"/>
      <c r="AB111" s="200"/>
      <c r="AC111" s="200"/>
      <c r="AD111" s="200"/>
      <c r="AE111" s="200"/>
      <c r="AF111" s="200"/>
      <c r="AG111" s="209"/>
      <c r="AH111" s="80"/>
      <c r="AI111" s="201"/>
      <c r="AJ111" s="201"/>
      <c r="AK111" s="209"/>
      <c r="AL111" s="200"/>
      <c r="AM111" s="80"/>
      <c r="AN111" s="80"/>
      <c r="AO111" s="210"/>
      <c r="AP111" s="80"/>
      <c r="AQ111" s="209"/>
    </row>
    <row r="112" spans="1:43" x14ac:dyDescent="0.25">
      <c r="A112" s="202"/>
      <c r="C112" s="154"/>
      <c r="F112" s="252"/>
      <c r="H112" s="252"/>
      <c r="I112" s="80"/>
      <c r="J112" s="252"/>
      <c r="K112" s="300"/>
      <c r="L112" s="300"/>
      <c r="M112" s="200"/>
      <c r="N112" s="200"/>
      <c r="O112" s="210"/>
      <c r="P112" s="210"/>
      <c r="Q112" s="202"/>
      <c r="R112" s="200"/>
      <c r="T112" s="154"/>
      <c r="V112" s="200"/>
      <c r="Y112" s="200"/>
      <c r="Z112" s="329"/>
      <c r="AA112" s="200"/>
      <c r="AB112" s="200"/>
      <c r="AC112" s="210"/>
      <c r="AD112" s="210"/>
      <c r="AE112" s="200"/>
      <c r="AF112" s="200"/>
      <c r="AG112" s="209"/>
      <c r="AH112" s="80"/>
      <c r="AI112" s="201"/>
      <c r="AJ112" s="201"/>
      <c r="AK112" s="209"/>
      <c r="AL112" s="200"/>
      <c r="AM112" s="80"/>
      <c r="AN112" s="80"/>
      <c r="AO112" s="210"/>
      <c r="AP112" s="80"/>
      <c r="AQ112" s="209"/>
    </row>
    <row r="113" spans="1:43" x14ac:dyDescent="0.25">
      <c r="F113" s="211"/>
      <c r="H113" s="200"/>
      <c r="I113" s="80"/>
      <c r="J113" s="200"/>
      <c r="K113" s="305"/>
      <c r="L113" s="305"/>
      <c r="M113" s="211"/>
      <c r="N113" s="211"/>
      <c r="O113" s="211"/>
      <c r="P113" s="211"/>
      <c r="Q113" s="211"/>
      <c r="R113" s="211"/>
      <c r="T113" s="154"/>
      <c r="Y113" s="200"/>
      <c r="Z113" s="329"/>
      <c r="AA113" s="200"/>
      <c r="AB113" s="200"/>
      <c r="AC113" s="210"/>
      <c r="AD113" s="210"/>
      <c r="AE113" s="200"/>
      <c r="AF113" s="200"/>
      <c r="AG113" s="209"/>
      <c r="AH113" s="80"/>
      <c r="AI113" s="201"/>
      <c r="AJ113" s="201"/>
      <c r="AK113" s="209"/>
      <c r="AL113" s="200"/>
      <c r="AM113" s="80"/>
      <c r="AN113" s="80"/>
      <c r="AO113" s="210"/>
      <c r="AP113" s="80"/>
      <c r="AQ113" s="209"/>
    </row>
    <row r="114" spans="1:43" x14ac:dyDescent="0.25">
      <c r="A114" s="202"/>
      <c r="C114" s="154"/>
      <c r="F114" s="200"/>
      <c r="H114" s="200"/>
      <c r="I114" s="80"/>
      <c r="J114" s="200"/>
      <c r="K114" s="305"/>
      <c r="L114" s="305"/>
      <c r="M114" s="200"/>
      <c r="N114" s="200"/>
      <c r="O114" s="210"/>
      <c r="P114" s="210"/>
      <c r="Q114" s="200"/>
      <c r="R114" s="200"/>
      <c r="V114" s="200"/>
      <c r="Y114" s="200"/>
      <c r="Z114" s="305"/>
      <c r="AA114" s="211"/>
      <c r="AB114" s="211"/>
      <c r="AC114" s="211"/>
      <c r="AD114" s="211"/>
      <c r="AE114" s="211"/>
      <c r="AF114" s="211"/>
      <c r="AH114" s="80"/>
      <c r="AK114" s="212"/>
      <c r="AL114" s="211"/>
      <c r="AM114" s="80"/>
      <c r="AN114" s="80"/>
      <c r="AO114" s="210"/>
      <c r="AP114" s="80"/>
      <c r="AQ114" s="212"/>
    </row>
    <row r="115" spans="1:43" x14ac:dyDescent="0.25">
      <c r="F115" s="211"/>
      <c r="H115" s="200"/>
      <c r="I115" s="80"/>
      <c r="J115" s="200"/>
      <c r="K115" s="305"/>
      <c r="L115" s="305"/>
      <c r="M115" s="211"/>
      <c r="N115" s="211"/>
      <c r="O115" s="211"/>
      <c r="P115" s="211"/>
      <c r="Q115" s="211"/>
      <c r="R115" s="211"/>
      <c r="T115" s="154"/>
      <c r="V115" s="200"/>
      <c r="Y115" s="200"/>
      <c r="Z115" s="213"/>
      <c r="AA115" s="200"/>
      <c r="AB115" s="200"/>
      <c r="AC115" s="210"/>
      <c r="AD115" s="210"/>
      <c r="AE115" s="200"/>
      <c r="AF115" s="200"/>
      <c r="AG115" s="209"/>
      <c r="AH115" s="80"/>
      <c r="AI115" s="201"/>
      <c r="AJ115" s="201"/>
      <c r="AK115" s="209"/>
      <c r="AL115" s="200"/>
      <c r="AM115" s="80"/>
      <c r="AN115" s="80"/>
      <c r="AO115" s="210"/>
      <c r="AP115" s="80"/>
      <c r="AQ115" s="209"/>
    </row>
    <row r="116" spans="1:43" x14ac:dyDescent="0.25">
      <c r="F116" s="200"/>
      <c r="H116" s="200"/>
      <c r="I116" s="80"/>
      <c r="J116" s="200"/>
      <c r="K116" s="305"/>
      <c r="L116" s="305"/>
      <c r="M116" s="200"/>
      <c r="N116" s="200"/>
      <c r="O116" s="210"/>
      <c r="P116" s="210"/>
      <c r="Q116" s="200"/>
      <c r="R116" s="200"/>
      <c r="V116" s="200"/>
      <c r="Y116" s="200"/>
      <c r="Z116" s="305"/>
      <c r="AA116" s="211"/>
      <c r="AB116" s="211"/>
      <c r="AC116" s="211"/>
      <c r="AD116" s="211"/>
      <c r="AE116" s="211"/>
      <c r="AF116" s="211"/>
      <c r="AH116" s="80"/>
      <c r="AK116" s="212"/>
      <c r="AL116" s="211"/>
      <c r="AM116" s="80"/>
      <c r="AN116" s="80"/>
      <c r="AO116" s="210"/>
      <c r="AP116" s="80"/>
      <c r="AQ116" s="212"/>
    </row>
    <row r="117" spans="1:43" x14ac:dyDescent="0.25">
      <c r="A117" s="202"/>
      <c r="C117" s="154"/>
      <c r="F117" s="252"/>
      <c r="H117" s="252"/>
      <c r="I117" s="80"/>
      <c r="J117" s="252"/>
      <c r="K117" s="300"/>
      <c r="L117" s="300"/>
      <c r="M117" s="200"/>
      <c r="N117" s="200"/>
      <c r="O117" s="210"/>
      <c r="P117" s="210"/>
      <c r="Q117" s="200"/>
      <c r="R117" s="200"/>
      <c r="T117" s="154"/>
      <c r="V117" s="200"/>
      <c r="Y117" s="200"/>
      <c r="Z117" s="213"/>
      <c r="AA117" s="200"/>
      <c r="AB117" s="200"/>
      <c r="AC117" s="210"/>
      <c r="AD117" s="210"/>
      <c r="AE117" s="200"/>
      <c r="AF117" s="200"/>
      <c r="AG117" s="209"/>
      <c r="AH117" s="80"/>
      <c r="AI117" s="201"/>
      <c r="AJ117" s="201"/>
      <c r="AK117" s="209"/>
      <c r="AL117" s="200"/>
      <c r="AM117" s="80"/>
      <c r="AN117" s="80"/>
      <c r="AO117" s="210"/>
      <c r="AP117" s="80"/>
      <c r="AQ117" s="209"/>
    </row>
    <row r="118" spans="1:43" x14ac:dyDescent="0.25">
      <c r="A118" s="202"/>
      <c r="C118" s="154"/>
      <c r="F118" s="252"/>
      <c r="H118" s="252"/>
      <c r="I118" s="80"/>
      <c r="J118" s="252"/>
      <c r="K118" s="300"/>
      <c r="L118" s="300"/>
      <c r="M118" s="200"/>
      <c r="N118" s="200"/>
      <c r="O118" s="210"/>
      <c r="P118" s="210"/>
      <c r="Q118" s="200"/>
      <c r="R118" s="200"/>
      <c r="T118" s="154"/>
      <c r="V118" s="252"/>
      <c r="Y118" s="200"/>
      <c r="Z118" s="320"/>
      <c r="AA118" s="200"/>
      <c r="AB118" s="200"/>
      <c r="AC118" s="210"/>
      <c r="AD118" s="210"/>
      <c r="AE118" s="200"/>
      <c r="AF118" s="200"/>
      <c r="AG118" s="209"/>
      <c r="AH118" s="80"/>
      <c r="AI118" s="201"/>
      <c r="AJ118" s="201"/>
      <c r="AK118" s="209"/>
      <c r="AL118" s="200"/>
      <c r="AM118" s="80"/>
      <c r="AN118" s="80"/>
      <c r="AO118" s="210"/>
      <c r="AP118" s="80"/>
      <c r="AQ118" s="209"/>
    </row>
    <row r="119" spans="1:43" x14ac:dyDescent="0.25">
      <c r="F119" s="200"/>
      <c r="H119" s="211"/>
      <c r="I119" s="80"/>
      <c r="J119" s="211"/>
      <c r="K119" s="305"/>
      <c r="L119" s="305"/>
      <c r="M119" s="211"/>
      <c r="N119" s="211"/>
      <c r="O119" s="211"/>
      <c r="P119" s="211"/>
      <c r="Q119" s="211"/>
      <c r="R119" s="211"/>
      <c r="V119" s="211"/>
      <c r="Y119" s="211"/>
      <c r="Z119" s="305"/>
      <c r="AA119" s="211"/>
      <c r="AB119" s="211"/>
      <c r="AC119" s="211"/>
      <c r="AD119" s="211"/>
      <c r="AE119" s="211"/>
      <c r="AF119" s="211"/>
      <c r="AH119" s="80"/>
      <c r="AK119" s="212"/>
      <c r="AL119" s="211"/>
      <c r="AM119" s="80"/>
      <c r="AN119" s="80"/>
      <c r="AO119" s="210"/>
      <c r="AP119" s="80"/>
      <c r="AQ119" s="212"/>
    </row>
    <row r="120" spans="1:43" x14ac:dyDescent="0.25">
      <c r="A120" s="202"/>
      <c r="C120" s="154"/>
      <c r="F120" s="200"/>
      <c r="H120" s="200"/>
      <c r="I120" s="80"/>
      <c r="J120" s="200"/>
      <c r="K120" s="305"/>
      <c r="L120" s="305"/>
      <c r="M120" s="200"/>
      <c r="N120" s="200"/>
      <c r="O120" s="210"/>
      <c r="P120" s="210"/>
      <c r="Q120" s="200"/>
      <c r="R120" s="200"/>
      <c r="T120" s="154"/>
      <c r="V120" s="200"/>
      <c r="Y120" s="200"/>
      <c r="Z120" s="305"/>
      <c r="AA120" s="200"/>
      <c r="AB120" s="200"/>
      <c r="AC120" s="210"/>
      <c r="AD120" s="210"/>
      <c r="AE120" s="200"/>
      <c r="AF120" s="200"/>
      <c r="AG120" s="209"/>
      <c r="AH120" s="80"/>
      <c r="AI120" s="210"/>
      <c r="AJ120" s="210"/>
      <c r="AK120" s="209"/>
      <c r="AL120" s="200"/>
      <c r="AM120" s="80"/>
      <c r="AN120" s="80"/>
      <c r="AO120" s="210"/>
      <c r="AP120" s="80"/>
      <c r="AQ120" s="209"/>
    </row>
    <row r="121" spans="1:43" x14ac:dyDescent="0.25">
      <c r="F121" s="200"/>
      <c r="H121" s="211"/>
      <c r="I121" s="80"/>
      <c r="J121" s="211"/>
      <c r="K121" s="305"/>
      <c r="L121" s="305"/>
      <c r="M121" s="211"/>
      <c r="N121" s="211"/>
      <c r="O121" s="211"/>
      <c r="P121" s="211"/>
      <c r="Q121" s="211"/>
      <c r="R121" s="211"/>
      <c r="V121" s="211"/>
      <c r="Y121" s="211"/>
      <c r="Z121" s="305"/>
      <c r="AA121" s="211"/>
      <c r="AB121" s="211"/>
      <c r="AC121" s="211"/>
      <c r="AD121" s="211"/>
      <c r="AE121" s="211"/>
      <c r="AF121" s="211"/>
      <c r="AH121" s="80"/>
      <c r="AK121" s="212"/>
      <c r="AL121" s="211"/>
      <c r="AM121" s="80"/>
      <c r="AN121" s="80"/>
      <c r="AO121" s="210"/>
      <c r="AP121" s="80"/>
      <c r="AQ121" s="212"/>
    </row>
    <row r="122" spans="1:43" x14ac:dyDescent="0.25">
      <c r="F122" s="200"/>
      <c r="H122" s="200"/>
      <c r="I122" s="80"/>
      <c r="J122" s="200"/>
      <c r="K122" s="305"/>
      <c r="L122" s="305"/>
      <c r="M122" s="200"/>
      <c r="N122" s="200"/>
      <c r="O122" s="200"/>
      <c r="P122" s="200"/>
      <c r="Q122" s="200"/>
      <c r="R122" s="200"/>
      <c r="T122" s="154"/>
      <c r="AH122" s="80"/>
      <c r="AM122" s="80"/>
      <c r="AN122" s="80"/>
      <c r="AP122" s="80"/>
    </row>
    <row r="123" spans="1:43" x14ac:dyDescent="0.25">
      <c r="A123" s="202"/>
      <c r="C123" s="154"/>
      <c r="F123" s="252"/>
      <c r="H123" s="252"/>
      <c r="I123" s="80"/>
      <c r="J123" s="252"/>
      <c r="K123" s="320"/>
      <c r="L123" s="320"/>
      <c r="M123" s="200"/>
      <c r="N123" s="200"/>
      <c r="O123" s="210"/>
      <c r="P123" s="210"/>
      <c r="Q123" s="252"/>
      <c r="R123" s="200"/>
      <c r="T123" s="154"/>
      <c r="V123" s="200"/>
      <c r="Y123" s="200"/>
      <c r="AA123" s="200"/>
      <c r="AB123" s="200"/>
      <c r="AC123" s="210"/>
      <c r="AD123" s="210"/>
      <c r="AE123" s="200"/>
      <c r="AF123" s="200"/>
      <c r="AG123" s="209"/>
      <c r="AH123" s="80"/>
      <c r="AI123" s="210"/>
      <c r="AJ123" s="210"/>
      <c r="AK123" s="325"/>
      <c r="AL123" s="252"/>
      <c r="AM123" s="80"/>
      <c r="AN123" s="80"/>
      <c r="AO123" s="210"/>
      <c r="AP123" s="80"/>
      <c r="AQ123" s="209"/>
    </row>
    <row r="124" spans="1:43" x14ac:dyDescent="0.25">
      <c r="A124" s="202"/>
      <c r="C124" s="154"/>
      <c r="F124" s="252"/>
      <c r="H124" s="252"/>
      <c r="I124" s="80"/>
      <c r="J124" s="252"/>
      <c r="K124" s="320"/>
      <c r="L124" s="320"/>
      <c r="M124" s="200"/>
      <c r="N124" s="200"/>
      <c r="O124" s="210"/>
      <c r="P124" s="210"/>
      <c r="Q124" s="252"/>
      <c r="R124" s="200"/>
      <c r="V124" s="211"/>
      <c r="Y124" s="211"/>
      <c r="Z124" s="305"/>
      <c r="AA124" s="211"/>
      <c r="AB124" s="211"/>
      <c r="AC124" s="211"/>
      <c r="AD124" s="211"/>
      <c r="AE124" s="211"/>
      <c r="AF124" s="211"/>
      <c r="AH124" s="80"/>
      <c r="AK124" s="212"/>
      <c r="AL124" s="211"/>
      <c r="AM124" s="80"/>
      <c r="AN124" s="80"/>
      <c r="AP124" s="80"/>
      <c r="AQ124" s="212"/>
    </row>
    <row r="125" spans="1:43" x14ac:dyDescent="0.25">
      <c r="A125" s="202"/>
      <c r="C125" s="154"/>
      <c r="F125" s="252"/>
      <c r="H125" s="252"/>
      <c r="I125" s="80"/>
      <c r="J125" s="252"/>
      <c r="K125" s="320"/>
      <c r="L125" s="320"/>
      <c r="M125" s="200"/>
      <c r="N125" s="200"/>
      <c r="O125" s="210"/>
      <c r="P125" s="210"/>
      <c r="Q125" s="252"/>
      <c r="R125" s="200"/>
      <c r="AM125" s="80"/>
      <c r="AN125" s="80"/>
      <c r="AP125" s="80"/>
    </row>
    <row r="126" spans="1:43" x14ac:dyDescent="0.25">
      <c r="F126" s="211"/>
      <c r="H126" s="211"/>
      <c r="I126" s="80"/>
      <c r="J126" s="211"/>
      <c r="K126" s="305"/>
      <c r="L126" s="305"/>
      <c r="M126" s="211"/>
      <c r="N126" s="211"/>
      <c r="O126" s="211"/>
      <c r="P126" s="211"/>
      <c r="Q126" s="211"/>
      <c r="R126" s="211"/>
      <c r="T126" s="154"/>
      <c r="AA126" s="200"/>
      <c r="AB126" s="200"/>
      <c r="AC126" s="200"/>
      <c r="AD126" s="200"/>
      <c r="AI126" s="200"/>
      <c r="AJ126" s="200"/>
      <c r="AK126" s="209"/>
      <c r="AL126" s="200"/>
      <c r="AM126" s="80"/>
      <c r="AN126" s="80"/>
      <c r="AP126" s="80"/>
    </row>
    <row r="127" spans="1:43" x14ac:dyDescent="0.25">
      <c r="A127" s="202"/>
      <c r="C127" s="154"/>
      <c r="F127" s="200"/>
      <c r="H127" s="200"/>
      <c r="I127" s="80"/>
      <c r="J127" s="200"/>
      <c r="K127" s="213"/>
      <c r="L127" s="213"/>
      <c r="M127" s="200"/>
      <c r="N127" s="200"/>
      <c r="O127" s="210"/>
      <c r="P127" s="210"/>
      <c r="Q127" s="200"/>
      <c r="R127" s="200"/>
      <c r="AM127" s="80"/>
      <c r="AN127" s="80"/>
      <c r="AP127" s="80"/>
    </row>
    <row r="128" spans="1:43" x14ac:dyDescent="0.25">
      <c r="F128" s="211"/>
      <c r="H128" s="211"/>
      <c r="I128" s="80"/>
      <c r="J128" s="211"/>
      <c r="K128" s="305"/>
      <c r="L128" s="305"/>
      <c r="M128" s="211"/>
      <c r="N128" s="211"/>
      <c r="O128" s="211"/>
      <c r="P128" s="211"/>
      <c r="Q128" s="211"/>
      <c r="R128" s="211"/>
      <c r="Z128" s="202"/>
      <c r="AM128" s="80"/>
      <c r="AN128" s="80"/>
      <c r="AP128" s="80"/>
    </row>
    <row r="129" spans="1:42" x14ac:dyDescent="0.25">
      <c r="A129" s="202"/>
      <c r="C129" s="154"/>
      <c r="F129" s="200"/>
      <c r="H129" s="200"/>
      <c r="I129" s="80"/>
      <c r="J129" s="200"/>
      <c r="K129" s="213"/>
      <c r="L129" s="213"/>
      <c r="M129" s="200"/>
      <c r="N129" s="200"/>
      <c r="O129" s="210"/>
      <c r="P129" s="210"/>
      <c r="Q129" s="200"/>
      <c r="R129" s="200"/>
      <c r="Y129" s="154"/>
      <c r="AM129" s="80"/>
      <c r="AN129" s="80"/>
      <c r="AP129" s="80"/>
    </row>
    <row r="130" spans="1:42" x14ac:dyDescent="0.25">
      <c r="A130" s="202"/>
      <c r="C130" s="154"/>
      <c r="F130" s="200"/>
      <c r="H130" s="200"/>
      <c r="I130" s="200"/>
      <c r="J130" s="213"/>
      <c r="K130" s="213"/>
      <c r="L130" s="200"/>
      <c r="M130" s="200"/>
      <c r="N130" s="210"/>
      <c r="O130" s="210"/>
      <c r="P130" s="200"/>
      <c r="Q130" s="200"/>
      <c r="R130" s="200"/>
      <c r="Z130" s="202"/>
      <c r="AM130" s="80"/>
      <c r="AN130" s="80"/>
      <c r="AP130" s="80"/>
    </row>
    <row r="131" spans="1:42" x14ac:dyDescent="0.25">
      <c r="F131" s="211"/>
      <c r="H131" s="211"/>
      <c r="I131" s="211"/>
      <c r="J131" s="305"/>
      <c r="K131" s="305"/>
      <c r="L131" s="211"/>
      <c r="M131" s="211"/>
      <c r="N131" s="211"/>
      <c r="O131" s="211"/>
      <c r="P131" s="211"/>
      <c r="Q131" s="211"/>
      <c r="R131" s="211"/>
      <c r="AA131" s="154"/>
      <c r="AB131" s="154"/>
      <c r="AM131" s="80"/>
      <c r="AN131" s="80"/>
      <c r="AP131" s="80"/>
    </row>
    <row r="132" spans="1:42" x14ac:dyDescent="0.25">
      <c r="F132" s="200"/>
      <c r="H132" s="200"/>
      <c r="I132" s="200"/>
      <c r="J132" s="213"/>
      <c r="K132" s="213"/>
      <c r="L132" s="200"/>
      <c r="M132" s="200"/>
      <c r="N132" s="200"/>
      <c r="O132" s="200"/>
      <c r="P132" s="200"/>
      <c r="Q132" s="200"/>
      <c r="R132" s="200"/>
      <c r="AK132" s="297"/>
      <c r="AL132" s="154"/>
      <c r="AM132" s="80"/>
      <c r="AN132" s="80"/>
      <c r="AP132" s="80"/>
    </row>
    <row r="133" spans="1:42" x14ac:dyDescent="0.25">
      <c r="C133" s="154"/>
      <c r="F133" s="200"/>
      <c r="H133" s="200"/>
      <c r="I133" s="200"/>
      <c r="J133" s="213"/>
      <c r="K133" s="213"/>
      <c r="L133" s="200"/>
      <c r="M133" s="200"/>
      <c r="N133" s="200"/>
      <c r="O133" s="200"/>
      <c r="P133" s="200"/>
      <c r="Q133" s="200"/>
      <c r="R133" s="200"/>
      <c r="AK133" s="297"/>
      <c r="AL133" s="154"/>
      <c r="AM133" s="80"/>
      <c r="AN133" s="80"/>
      <c r="AP133" s="80"/>
    </row>
    <row r="134" spans="1:42" x14ac:dyDescent="0.25">
      <c r="A134" s="154"/>
      <c r="AK134" s="297"/>
      <c r="AL134" s="154"/>
      <c r="AM134" s="80"/>
      <c r="AN134" s="80"/>
      <c r="AP134" s="80"/>
    </row>
    <row r="135" spans="1:42" x14ac:dyDescent="0.25">
      <c r="J135" s="202"/>
      <c r="K135" s="202"/>
      <c r="Z135" s="202"/>
      <c r="AM135" s="80"/>
      <c r="AN135" s="80"/>
      <c r="AP135" s="80"/>
    </row>
    <row r="136" spans="1:42" x14ac:dyDescent="0.25">
      <c r="H136" s="154"/>
      <c r="I136" s="154"/>
      <c r="Y136" s="154"/>
      <c r="AM136" s="80"/>
      <c r="AN136" s="80"/>
      <c r="AP136" s="80"/>
    </row>
    <row r="137" spans="1:42" x14ac:dyDescent="0.25">
      <c r="J137" s="202"/>
      <c r="K137" s="202"/>
      <c r="Z137" s="202"/>
      <c r="AM137" s="80"/>
      <c r="AN137" s="80"/>
      <c r="AP137" s="80"/>
    </row>
    <row r="138" spans="1:42" x14ac:dyDescent="0.25">
      <c r="L138" s="154"/>
      <c r="M138" s="154"/>
      <c r="AA138" s="154"/>
      <c r="AB138" s="154"/>
      <c r="AM138" s="80"/>
      <c r="AP138" s="80"/>
    </row>
    <row r="139" spans="1:42" x14ac:dyDescent="0.25">
      <c r="A139" s="202"/>
      <c r="R139" s="154"/>
      <c r="AK139" s="297"/>
      <c r="AL139" s="154"/>
      <c r="AP139" s="80"/>
    </row>
    <row r="140" spans="1:42" x14ac:dyDescent="0.25">
      <c r="A140" s="202"/>
      <c r="R140" s="154"/>
      <c r="AK140" s="297"/>
      <c r="AL140" s="154"/>
      <c r="AP140" s="80"/>
    </row>
    <row r="141" spans="1:42" x14ac:dyDescent="0.25">
      <c r="A141" s="154"/>
      <c r="R141" s="154"/>
      <c r="AK141" s="297"/>
      <c r="AL141" s="154"/>
      <c r="AP141" s="80"/>
    </row>
    <row r="142" spans="1:42" x14ac:dyDescent="0.25">
      <c r="L142" s="154"/>
      <c r="M142" s="154"/>
      <c r="R142" s="202"/>
      <c r="AA142" s="154"/>
      <c r="AB142" s="154"/>
      <c r="AK142" s="209"/>
      <c r="AL142" s="202"/>
      <c r="AP142" s="80"/>
    </row>
    <row r="143" spans="1:42" x14ac:dyDescent="0.2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208"/>
      <c r="AH143" s="102"/>
      <c r="AI143" s="102"/>
      <c r="AJ143" s="102"/>
      <c r="AK143" s="208"/>
      <c r="AL143" s="102"/>
      <c r="AM143" s="102"/>
      <c r="AN143" s="102"/>
      <c r="AP143" s="80"/>
    </row>
    <row r="144" spans="1:42" x14ac:dyDescent="0.25">
      <c r="L144" s="103"/>
      <c r="M144" s="103"/>
      <c r="N144" s="103"/>
      <c r="O144" s="103"/>
      <c r="R144" s="103"/>
      <c r="AA144" s="103"/>
      <c r="AB144" s="103"/>
      <c r="AC144" s="103"/>
      <c r="AD144" s="103"/>
      <c r="AE144" s="103"/>
      <c r="AF144" s="103"/>
      <c r="AG144" s="185"/>
      <c r="AH144" s="103"/>
      <c r="AK144" s="185"/>
      <c r="AL144" s="103"/>
      <c r="AM144" s="103"/>
      <c r="AN144" s="103"/>
      <c r="AP144" s="80"/>
    </row>
    <row r="145" spans="1:42" x14ac:dyDescent="0.25">
      <c r="L145" s="103"/>
      <c r="M145" s="103"/>
      <c r="N145" s="103"/>
      <c r="O145" s="103"/>
      <c r="R145" s="103"/>
      <c r="Z145" s="103"/>
      <c r="AA145" s="103"/>
      <c r="AB145" s="103"/>
      <c r="AC145" s="103"/>
      <c r="AD145" s="103"/>
      <c r="AE145" s="103"/>
      <c r="AF145" s="103"/>
      <c r="AG145" s="185"/>
      <c r="AH145" s="103"/>
      <c r="AK145" s="185"/>
      <c r="AL145" s="103"/>
      <c r="AM145" s="103"/>
      <c r="AN145" s="103"/>
      <c r="AP145" s="80"/>
    </row>
    <row r="146" spans="1:42" x14ac:dyDescent="0.25">
      <c r="A146" s="103"/>
      <c r="C146" s="103"/>
      <c r="D146" s="103"/>
      <c r="E146" s="103"/>
      <c r="F146" s="103"/>
      <c r="J146" s="103"/>
      <c r="K146" s="103"/>
      <c r="L146" s="103"/>
      <c r="M146" s="103"/>
      <c r="N146" s="103"/>
      <c r="O146" s="103"/>
      <c r="P146" s="103"/>
      <c r="Q146" s="103"/>
      <c r="R146" s="103"/>
      <c r="T146" s="103"/>
      <c r="U146" s="103"/>
      <c r="V146" s="103"/>
      <c r="Z146" s="103"/>
      <c r="AA146" s="103"/>
      <c r="AB146" s="103"/>
      <c r="AC146" s="103"/>
      <c r="AD146" s="103"/>
      <c r="AE146" s="103"/>
      <c r="AF146" s="103"/>
      <c r="AG146" s="185"/>
      <c r="AH146" s="103"/>
      <c r="AI146" s="103"/>
      <c r="AJ146" s="103"/>
      <c r="AK146" s="185"/>
      <c r="AL146" s="103"/>
      <c r="AM146" s="103"/>
      <c r="AN146" s="103"/>
      <c r="AP146" s="80"/>
    </row>
    <row r="147" spans="1:42" x14ac:dyDescent="0.25">
      <c r="A147" s="103"/>
      <c r="C147" s="103"/>
      <c r="D147" s="103"/>
      <c r="E147" s="103"/>
      <c r="F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T147" s="103"/>
      <c r="U147" s="103"/>
      <c r="V147" s="103"/>
      <c r="Y147" s="103"/>
      <c r="Z147" s="103"/>
      <c r="AA147" s="103"/>
      <c r="AB147" s="103"/>
      <c r="AC147" s="103"/>
      <c r="AD147" s="103"/>
      <c r="AE147" s="103"/>
      <c r="AF147" s="103"/>
      <c r="AG147" s="185"/>
      <c r="AH147" s="103"/>
      <c r="AI147" s="103"/>
      <c r="AJ147" s="103"/>
      <c r="AK147" s="185"/>
      <c r="AL147" s="103"/>
      <c r="AM147" s="103"/>
      <c r="AN147" s="103"/>
      <c r="AP147" s="80"/>
    </row>
    <row r="148" spans="1:42" x14ac:dyDescent="0.25">
      <c r="C148" s="103"/>
      <c r="D148" s="103"/>
      <c r="E148" s="103"/>
      <c r="F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T148" s="103"/>
      <c r="U148" s="103"/>
      <c r="V148" s="103"/>
      <c r="Y148" s="103"/>
      <c r="Z148" s="103"/>
      <c r="AA148" s="103"/>
      <c r="AB148" s="103"/>
      <c r="AC148" s="103"/>
      <c r="AD148" s="103"/>
      <c r="AE148" s="103"/>
      <c r="AF148" s="103"/>
      <c r="AG148" s="185"/>
      <c r="AH148" s="103"/>
      <c r="AI148" s="103"/>
      <c r="AJ148" s="103"/>
      <c r="AK148" s="185"/>
      <c r="AL148" s="103"/>
      <c r="AM148" s="103"/>
      <c r="AN148" s="103"/>
      <c r="AP148" s="80"/>
    </row>
    <row r="149" spans="1:42" x14ac:dyDescent="0.2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208"/>
      <c r="AH149" s="102"/>
      <c r="AI149" s="102"/>
      <c r="AJ149" s="102"/>
      <c r="AK149" s="208"/>
      <c r="AL149" s="102"/>
      <c r="AM149" s="102"/>
      <c r="AN149" s="102"/>
      <c r="AP149" s="80"/>
    </row>
    <row r="150" spans="1:42" x14ac:dyDescent="0.25"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Y150" s="103"/>
      <c r="Z150" s="103"/>
      <c r="AA150" s="103"/>
      <c r="AB150" s="103"/>
      <c r="AC150" s="103"/>
      <c r="AD150" s="103"/>
      <c r="AE150" s="103"/>
      <c r="AF150" s="103"/>
      <c r="AG150" s="185"/>
      <c r="AH150" s="103"/>
      <c r="AI150" s="103"/>
      <c r="AJ150" s="103"/>
      <c r="AK150" s="185"/>
      <c r="AL150" s="103"/>
      <c r="AM150" s="103"/>
      <c r="AN150" s="103"/>
      <c r="AP150" s="80"/>
    </row>
    <row r="151" spans="1:42" x14ac:dyDescent="0.25">
      <c r="A151" s="202"/>
      <c r="C151" s="154"/>
      <c r="D151" s="154"/>
      <c r="E151" s="154"/>
      <c r="T151" s="154"/>
      <c r="U151" s="154"/>
      <c r="AP151" s="80"/>
    </row>
    <row r="152" spans="1:42" x14ac:dyDescent="0.25">
      <c r="AP152" s="80"/>
    </row>
    <row r="153" spans="1:42" x14ac:dyDescent="0.25">
      <c r="A153" s="202"/>
      <c r="C153" s="154"/>
      <c r="F153" s="252"/>
      <c r="H153" s="317"/>
      <c r="I153" s="317"/>
      <c r="J153" s="300"/>
      <c r="K153" s="300"/>
      <c r="L153" s="200"/>
      <c r="M153" s="200"/>
      <c r="N153" s="202"/>
      <c r="O153" s="202"/>
      <c r="P153" s="202"/>
      <c r="Q153" s="202"/>
      <c r="R153" s="200"/>
      <c r="T153" s="154"/>
      <c r="V153" s="200"/>
      <c r="Y153" s="202"/>
      <c r="Z153" s="300"/>
      <c r="AA153" s="200"/>
      <c r="AB153" s="200"/>
      <c r="AC153" s="202"/>
      <c r="AD153" s="202"/>
      <c r="AE153" s="200"/>
      <c r="AF153" s="200"/>
      <c r="AG153" s="325"/>
      <c r="AH153" s="326"/>
      <c r="AI153" s="200"/>
      <c r="AJ153" s="200"/>
      <c r="AK153" s="209"/>
      <c r="AL153" s="200"/>
      <c r="AM153" s="327"/>
      <c r="AN153" s="327"/>
      <c r="AP153" s="80"/>
    </row>
    <row r="154" spans="1:42" x14ac:dyDescent="0.25">
      <c r="F154" s="252"/>
      <c r="H154" s="317"/>
      <c r="I154" s="317"/>
      <c r="J154" s="317"/>
      <c r="K154" s="317"/>
      <c r="R154" s="200"/>
      <c r="V154" s="200"/>
      <c r="Z154" s="317"/>
      <c r="AP154" s="80"/>
    </row>
    <row r="155" spans="1:42" x14ac:dyDescent="0.25">
      <c r="A155" s="202"/>
      <c r="C155" s="154"/>
      <c r="F155" s="252"/>
      <c r="H155" s="252"/>
      <c r="I155" s="252"/>
      <c r="J155" s="320"/>
      <c r="K155" s="320"/>
      <c r="L155" s="200"/>
      <c r="M155" s="200"/>
      <c r="N155" s="210"/>
      <c r="O155" s="210"/>
      <c r="P155" s="252"/>
      <c r="Q155" s="252"/>
      <c r="R155" s="200"/>
      <c r="T155" s="154"/>
      <c r="V155" s="200"/>
      <c r="Y155" s="200"/>
      <c r="Z155" s="304"/>
      <c r="AA155" s="200"/>
      <c r="AB155" s="200"/>
      <c r="AC155" s="210"/>
      <c r="AD155" s="210"/>
      <c r="AE155" s="200"/>
      <c r="AF155" s="200"/>
      <c r="AG155" s="209"/>
      <c r="AH155" s="201"/>
      <c r="AI155" s="252"/>
      <c r="AJ155" s="252"/>
      <c r="AK155" s="209"/>
      <c r="AL155" s="200"/>
      <c r="AM155" s="210"/>
      <c r="AN155" s="210"/>
      <c r="AP155" s="80"/>
    </row>
    <row r="156" spans="1:42" x14ac:dyDescent="0.25">
      <c r="F156" s="211"/>
      <c r="H156" s="211"/>
      <c r="I156" s="211"/>
      <c r="J156" s="305"/>
      <c r="K156" s="305"/>
      <c r="L156" s="211"/>
      <c r="M156" s="211"/>
      <c r="N156" s="211"/>
      <c r="O156" s="211"/>
      <c r="P156" s="211"/>
      <c r="Q156" s="211"/>
      <c r="R156" s="211"/>
      <c r="V156" s="211"/>
      <c r="Y156" s="211"/>
      <c r="Z156" s="305"/>
      <c r="AA156" s="211"/>
      <c r="AB156" s="211"/>
      <c r="AC156" s="211"/>
      <c r="AD156" s="211"/>
      <c r="AE156" s="211"/>
      <c r="AF156" s="211"/>
      <c r="AI156" s="211"/>
      <c r="AJ156" s="211"/>
      <c r="AK156" s="212"/>
      <c r="AL156" s="211"/>
      <c r="AP156" s="80"/>
    </row>
    <row r="157" spans="1:42" x14ac:dyDescent="0.25">
      <c r="A157" s="202"/>
      <c r="D157" s="154"/>
      <c r="E157" s="154"/>
      <c r="F157" s="200"/>
      <c r="H157" s="200"/>
      <c r="I157" s="200"/>
      <c r="J157" s="213"/>
      <c r="K157" s="213"/>
      <c r="L157" s="200"/>
      <c r="M157" s="200"/>
      <c r="N157" s="210"/>
      <c r="O157" s="210"/>
      <c r="P157" s="200"/>
      <c r="Q157" s="200"/>
      <c r="R157" s="200"/>
      <c r="U157" s="154"/>
      <c r="V157" s="200"/>
      <c r="Y157" s="200"/>
      <c r="Z157" s="213"/>
      <c r="AA157" s="200"/>
      <c r="AB157" s="200"/>
      <c r="AC157" s="210"/>
      <c r="AD157" s="210"/>
      <c r="AE157" s="200"/>
      <c r="AF157" s="200"/>
      <c r="AG157" s="209"/>
      <c r="AH157" s="201"/>
      <c r="AI157" s="200"/>
      <c r="AJ157" s="200"/>
      <c r="AK157" s="209"/>
      <c r="AL157" s="200"/>
      <c r="AM157" s="210"/>
      <c r="AN157" s="210"/>
      <c r="AP157" s="80"/>
    </row>
    <row r="158" spans="1:42" x14ac:dyDescent="0.25">
      <c r="F158" s="211"/>
      <c r="H158" s="211"/>
      <c r="I158" s="211"/>
      <c r="J158" s="305"/>
      <c r="K158" s="305"/>
      <c r="L158" s="211"/>
      <c r="M158" s="211"/>
      <c r="N158" s="211"/>
      <c r="O158" s="211"/>
      <c r="P158" s="211"/>
      <c r="Q158" s="211"/>
      <c r="R158" s="211"/>
      <c r="V158" s="211"/>
      <c r="Y158" s="211"/>
      <c r="Z158" s="305"/>
      <c r="AA158" s="211"/>
      <c r="AB158" s="211"/>
      <c r="AC158" s="211"/>
      <c r="AD158" s="211"/>
      <c r="AE158" s="211"/>
      <c r="AF158" s="211"/>
      <c r="AI158" s="211"/>
      <c r="AJ158" s="211"/>
      <c r="AK158" s="212"/>
      <c r="AL158" s="211"/>
      <c r="AP158" s="80"/>
    </row>
    <row r="159" spans="1:42" x14ac:dyDescent="0.25">
      <c r="R159" s="200"/>
      <c r="AP159" s="80"/>
    </row>
    <row r="160" spans="1:42" x14ac:dyDescent="0.25">
      <c r="R160" s="200"/>
      <c r="AP160" s="80"/>
    </row>
    <row r="161" spans="1:42" x14ac:dyDescent="0.25">
      <c r="R161" s="200"/>
      <c r="AP161" s="80"/>
    </row>
    <row r="162" spans="1:42" x14ac:dyDescent="0.25">
      <c r="A162" s="202"/>
      <c r="C162" s="154"/>
      <c r="D162" s="154"/>
      <c r="E162" s="154"/>
      <c r="H162" s="200"/>
      <c r="I162" s="200"/>
      <c r="J162" s="213"/>
      <c r="K162" s="213"/>
      <c r="L162" s="200"/>
      <c r="M162" s="200"/>
      <c r="N162" s="210"/>
      <c r="O162" s="210"/>
      <c r="P162" s="200"/>
      <c r="Q162" s="200"/>
      <c r="R162" s="200"/>
      <c r="T162" s="154"/>
      <c r="U162" s="154"/>
      <c r="Y162" s="200"/>
      <c r="Z162" s="213"/>
      <c r="AA162" s="200"/>
      <c r="AB162" s="200"/>
      <c r="AC162" s="210"/>
      <c r="AD162" s="210"/>
      <c r="AP162" s="80"/>
    </row>
    <row r="163" spans="1:42" x14ac:dyDescent="0.25">
      <c r="H163" s="200"/>
      <c r="I163" s="200"/>
      <c r="J163" s="213"/>
      <c r="K163" s="213"/>
      <c r="L163" s="200"/>
      <c r="M163" s="200"/>
      <c r="N163" s="210"/>
      <c r="O163" s="210"/>
      <c r="P163" s="200"/>
      <c r="Q163" s="200"/>
      <c r="R163" s="200"/>
      <c r="Y163" s="200"/>
      <c r="Z163" s="213"/>
      <c r="AA163" s="200"/>
      <c r="AB163" s="200"/>
      <c r="AC163" s="210"/>
      <c r="AD163" s="210"/>
      <c r="AP163" s="80"/>
    </row>
    <row r="164" spans="1:42" x14ac:dyDescent="0.25">
      <c r="A164" s="202"/>
      <c r="C164" s="154"/>
      <c r="F164" s="252"/>
      <c r="H164" s="252"/>
      <c r="I164" s="252"/>
      <c r="J164" s="214"/>
      <c r="K164" s="214"/>
      <c r="L164" s="252"/>
      <c r="M164" s="252"/>
      <c r="N164" s="210"/>
      <c r="O164" s="210"/>
      <c r="P164" s="200"/>
      <c r="Q164" s="200"/>
      <c r="R164" s="200"/>
      <c r="T164" s="154"/>
      <c r="V164" s="200"/>
      <c r="Y164" s="200"/>
      <c r="Z164" s="214"/>
      <c r="AA164" s="200"/>
      <c r="AB164" s="200"/>
      <c r="AC164" s="210"/>
      <c r="AD164" s="210"/>
      <c r="AE164" s="200"/>
      <c r="AF164" s="200"/>
      <c r="AG164" s="209"/>
      <c r="AH164" s="201"/>
      <c r="AI164" s="200"/>
      <c r="AJ164" s="200"/>
      <c r="AK164" s="209"/>
      <c r="AL164" s="200"/>
      <c r="AM164" s="210"/>
      <c r="AN164" s="210"/>
      <c r="AP164" s="80"/>
    </row>
    <row r="165" spans="1:42" x14ac:dyDescent="0.25">
      <c r="F165" s="252"/>
      <c r="H165" s="317"/>
      <c r="I165" s="317"/>
      <c r="J165" s="317"/>
      <c r="K165" s="317"/>
      <c r="R165" s="200"/>
      <c r="V165" s="200"/>
      <c r="Z165" s="317"/>
      <c r="AP165" s="80"/>
    </row>
    <row r="166" spans="1:42" x14ac:dyDescent="0.25">
      <c r="A166" s="202"/>
      <c r="C166" s="154"/>
      <c r="F166" s="252"/>
      <c r="H166" s="252"/>
      <c r="I166" s="252"/>
      <c r="J166" s="300"/>
      <c r="K166" s="300"/>
      <c r="L166" s="200"/>
      <c r="M166" s="200"/>
      <c r="N166" s="210"/>
      <c r="O166" s="210"/>
      <c r="P166" s="200"/>
      <c r="Q166" s="200"/>
      <c r="R166" s="200"/>
      <c r="T166" s="154"/>
      <c r="V166" s="200"/>
      <c r="Y166" s="200"/>
      <c r="Z166" s="300"/>
      <c r="AA166" s="200"/>
      <c r="AB166" s="200"/>
      <c r="AC166" s="210"/>
      <c r="AD166" s="210"/>
      <c r="AE166" s="200"/>
      <c r="AF166" s="200"/>
      <c r="AG166" s="209"/>
      <c r="AH166" s="201"/>
      <c r="AI166" s="200"/>
      <c r="AJ166" s="200"/>
      <c r="AK166" s="209"/>
      <c r="AL166" s="200"/>
      <c r="AM166" s="210"/>
      <c r="AN166" s="210"/>
      <c r="AP166" s="80"/>
    </row>
    <row r="167" spans="1:42" x14ac:dyDescent="0.25">
      <c r="F167" s="252"/>
      <c r="H167" s="317"/>
      <c r="I167" s="317"/>
      <c r="J167" s="317"/>
      <c r="K167" s="317"/>
      <c r="R167" s="200"/>
      <c r="V167" s="200"/>
      <c r="Z167" s="317"/>
      <c r="AP167" s="80"/>
    </row>
    <row r="168" spans="1:42" x14ac:dyDescent="0.25">
      <c r="A168" s="202"/>
      <c r="C168" s="154"/>
      <c r="F168" s="252"/>
      <c r="H168" s="252"/>
      <c r="I168" s="252"/>
      <c r="J168" s="320"/>
      <c r="K168" s="320"/>
      <c r="L168" s="200"/>
      <c r="M168" s="200"/>
      <c r="N168" s="210"/>
      <c r="O168" s="210"/>
      <c r="P168" s="200"/>
      <c r="Q168" s="200"/>
      <c r="R168" s="200"/>
      <c r="T168" s="154"/>
      <c r="V168" s="200"/>
      <c r="Y168" s="200"/>
      <c r="Z168" s="304"/>
      <c r="AA168" s="200"/>
      <c r="AB168" s="200"/>
      <c r="AC168" s="210"/>
      <c r="AD168" s="210"/>
      <c r="AE168" s="200"/>
      <c r="AF168" s="200"/>
      <c r="AG168" s="209"/>
      <c r="AH168" s="201"/>
      <c r="AI168" s="200"/>
      <c r="AJ168" s="200"/>
      <c r="AK168" s="209"/>
      <c r="AL168" s="200"/>
      <c r="AM168" s="210"/>
      <c r="AN168" s="210"/>
      <c r="AP168" s="80"/>
    </row>
    <row r="169" spans="1:42" x14ac:dyDescent="0.25">
      <c r="F169" s="211"/>
      <c r="H169" s="211"/>
      <c r="I169" s="211"/>
      <c r="J169" s="305"/>
      <c r="K169" s="305"/>
      <c r="L169" s="211"/>
      <c r="M169" s="211"/>
      <c r="N169" s="211"/>
      <c r="O169" s="211"/>
      <c r="P169" s="211"/>
      <c r="Q169" s="211"/>
      <c r="R169" s="211"/>
      <c r="S169" s="200"/>
      <c r="V169" s="211"/>
      <c r="Y169" s="211"/>
      <c r="Z169" s="305"/>
      <c r="AA169" s="211"/>
      <c r="AB169" s="211"/>
      <c r="AC169" s="211"/>
      <c r="AD169" s="211"/>
      <c r="AE169" s="211"/>
      <c r="AF169" s="211"/>
      <c r="AI169" s="211"/>
      <c r="AJ169" s="211"/>
      <c r="AK169" s="212"/>
      <c r="AL169" s="211"/>
      <c r="AP169" s="80"/>
    </row>
    <row r="170" spans="1:42" x14ac:dyDescent="0.25">
      <c r="A170" s="202"/>
      <c r="D170" s="154"/>
      <c r="E170" s="154"/>
      <c r="F170" s="200"/>
      <c r="H170" s="200"/>
      <c r="I170" s="200"/>
      <c r="J170" s="213"/>
      <c r="K170" s="213"/>
      <c r="L170" s="200"/>
      <c r="M170" s="200"/>
      <c r="N170" s="210"/>
      <c r="O170" s="210"/>
      <c r="P170" s="252"/>
      <c r="Q170" s="252"/>
      <c r="R170" s="200"/>
      <c r="S170" s="200"/>
      <c r="U170" s="154"/>
      <c r="V170" s="200"/>
      <c r="Y170" s="200"/>
      <c r="Z170" s="213"/>
      <c r="AA170" s="200"/>
      <c r="AB170" s="200"/>
      <c r="AC170" s="210"/>
      <c r="AD170" s="210"/>
      <c r="AE170" s="200"/>
      <c r="AF170" s="200"/>
      <c r="AG170" s="209"/>
      <c r="AH170" s="201"/>
      <c r="AI170" s="252"/>
      <c r="AJ170" s="252"/>
      <c r="AK170" s="209"/>
      <c r="AL170" s="200"/>
      <c r="AM170" s="210"/>
      <c r="AN170" s="210"/>
      <c r="AP170" s="80"/>
    </row>
    <row r="171" spans="1:42" x14ac:dyDescent="0.25">
      <c r="F171" s="211"/>
      <c r="H171" s="211"/>
      <c r="I171" s="211"/>
      <c r="J171" s="305"/>
      <c r="K171" s="305"/>
      <c r="L171" s="211"/>
      <c r="M171" s="211"/>
      <c r="N171" s="211"/>
      <c r="O171" s="211"/>
      <c r="P171" s="211"/>
      <c r="Q171" s="211"/>
      <c r="R171" s="211"/>
      <c r="S171" s="200"/>
      <c r="V171" s="211"/>
      <c r="Y171" s="211"/>
      <c r="Z171" s="305"/>
      <c r="AA171" s="211"/>
      <c r="AB171" s="211"/>
      <c r="AC171" s="211"/>
      <c r="AD171" s="211"/>
      <c r="AE171" s="211"/>
      <c r="AF171" s="211"/>
      <c r="AI171" s="211"/>
      <c r="AJ171" s="211"/>
      <c r="AK171" s="212"/>
      <c r="AL171" s="211"/>
      <c r="AP171" s="80"/>
    </row>
    <row r="172" spans="1:42" x14ac:dyDescent="0.25">
      <c r="R172" s="200"/>
      <c r="AP172" s="80"/>
    </row>
    <row r="173" spans="1:42" x14ac:dyDescent="0.25">
      <c r="F173" s="200"/>
      <c r="H173" s="200"/>
      <c r="I173" s="200"/>
      <c r="J173" s="213"/>
      <c r="K173" s="213"/>
      <c r="L173" s="200"/>
      <c r="M173" s="200"/>
      <c r="N173" s="200"/>
      <c r="O173" s="200"/>
      <c r="P173" s="200"/>
      <c r="Q173" s="200"/>
      <c r="R173" s="200"/>
      <c r="V173" s="200"/>
      <c r="Y173" s="200"/>
      <c r="Z173" s="213"/>
      <c r="AA173" s="200"/>
      <c r="AB173" s="200"/>
      <c r="AC173" s="200"/>
      <c r="AD173" s="200"/>
      <c r="AP173" s="80"/>
    </row>
    <row r="174" spans="1:42" x14ac:dyDescent="0.25">
      <c r="C174" s="154"/>
      <c r="F174" s="200"/>
      <c r="H174" s="200"/>
      <c r="I174" s="200"/>
      <c r="J174" s="213"/>
      <c r="K174" s="213"/>
      <c r="L174" s="200"/>
      <c r="M174" s="200"/>
      <c r="N174" s="200"/>
      <c r="O174" s="200"/>
      <c r="P174" s="200"/>
      <c r="Q174" s="200"/>
      <c r="R174" s="200"/>
      <c r="T174" s="154"/>
      <c r="V174" s="200"/>
      <c r="Y174" s="200"/>
      <c r="Z174" s="213"/>
      <c r="AA174" s="200"/>
      <c r="AB174" s="200"/>
      <c r="AC174" s="200"/>
      <c r="AD174" s="200"/>
      <c r="AP174" s="80"/>
    </row>
    <row r="175" spans="1:42" x14ac:dyDescent="0.25">
      <c r="C175" s="154"/>
      <c r="T175" s="154"/>
      <c r="AP175" s="80"/>
    </row>
    <row r="176" spans="1:42" x14ac:dyDescent="0.25">
      <c r="A176" s="154"/>
      <c r="AP176" s="80"/>
    </row>
    <row r="177" spans="1:42" x14ac:dyDescent="0.25">
      <c r="AP177" s="80"/>
    </row>
    <row r="178" spans="1:42" x14ac:dyDescent="0.25">
      <c r="J178" s="202"/>
      <c r="K178" s="202"/>
      <c r="Z178" s="202"/>
      <c r="AP178" s="80"/>
    </row>
    <row r="179" spans="1:42" x14ac:dyDescent="0.25">
      <c r="H179" s="154"/>
      <c r="I179" s="154"/>
      <c r="Y179" s="154"/>
    </row>
    <row r="180" spans="1:42" x14ac:dyDescent="0.25">
      <c r="J180" s="202"/>
      <c r="K180" s="202"/>
      <c r="Z180" s="202"/>
    </row>
    <row r="181" spans="1:42" x14ac:dyDescent="0.25">
      <c r="L181" s="154"/>
      <c r="M181" s="154"/>
      <c r="AA181" s="154"/>
      <c r="AB181" s="154"/>
    </row>
    <row r="182" spans="1:42" x14ac:dyDescent="0.25">
      <c r="A182" s="202"/>
      <c r="R182" s="154"/>
      <c r="AK182" s="297"/>
      <c r="AL182" s="154"/>
    </row>
    <row r="183" spans="1:42" x14ac:dyDescent="0.25">
      <c r="A183" s="202"/>
      <c r="R183" s="154"/>
      <c r="AK183" s="297"/>
      <c r="AL183" s="154"/>
    </row>
    <row r="184" spans="1:42" x14ac:dyDescent="0.25">
      <c r="A184" s="154"/>
      <c r="R184" s="154"/>
      <c r="AK184" s="297"/>
      <c r="AL184" s="154"/>
    </row>
    <row r="185" spans="1:42" x14ac:dyDescent="0.25">
      <c r="L185" s="154"/>
      <c r="M185" s="154"/>
      <c r="R185" s="202"/>
      <c r="AA185" s="154"/>
      <c r="AB185" s="154"/>
      <c r="AK185" s="209"/>
      <c r="AL185" s="202"/>
    </row>
    <row r="186" spans="1:42" x14ac:dyDescent="0.25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208"/>
      <c r="AH186" s="102"/>
      <c r="AI186" s="102"/>
      <c r="AJ186" s="102"/>
      <c r="AK186" s="208"/>
      <c r="AL186" s="102"/>
      <c r="AM186" s="102"/>
      <c r="AN186" s="102"/>
    </row>
    <row r="187" spans="1:42" x14ac:dyDescent="0.25">
      <c r="L187" s="103"/>
      <c r="M187" s="103"/>
      <c r="N187" s="103"/>
      <c r="O187" s="103"/>
      <c r="R187" s="103"/>
      <c r="AA187" s="103"/>
      <c r="AB187" s="103"/>
      <c r="AC187" s="103"/>
      <c r="AD187" s="103"/>
      <c r="AE187" s="103"/>
      <c r="AF187" s="103"/>
      <c r="AG187" s="185"/>
      <c r="AH187" s="103"/>
      <c r="AK187" s="185"/>
      <c r="AL187" s="103"/>
      <c r="AM187" s="103"/>
      <c r="AN187" s="103"/>
    </row>
    <row r="188" spans="1:42" x14ac:dyDescent="0.25">
      <c r="L188" s="103"/>
      <c r="M188" s="103"/>
      <c r="N188" s="103"/>
      <c r="O188" s="103"/>
      <c r="R188" s="103"/>
      <c r="Z188" s="103"/>
      <c r="AA188" s="103"/>
      <c r="AB188" s="103"/>
      <c r="AC188" s="103"/>
      <c r="AD188" s="103"/>
      <c r="AE188" s="103"/>
      <c r="AF188" s="103"/>
      <c r="AG188" s="185"/>
      <c r="AH188" s="103"/>
      <c r="AK188" s="185"/>
      <c r="AL188" s="103"/>
      <c r="AM188" s="103"/>
      <c r="AN188" s="103"/>
    </row>
    <row r="189" spans="1:42" x14ac:dyDescent="0.25">
      <c r="A189" s="103"/>
      <c r="C189" s="103"/>
      <c r="D189" s="103"/>
      <c r="E189" s="103"/>
      <c r="F189" s="103"/>
      <c r="J189" s="103"/>
      <c r="K189" s="103"/>
      <c r="L189" s="103"/>
      <c r="M189" s="103"/>
      <c r="N189" s="103"/>
      <c r="O189" s="103"/>
      <c r="P189" s="103"/>
      <c r="Q189" s="103"/>
      <c r="R189" s="103"/>
      <c r="T189" s="103"/>
      <c r="U189" s="103"/>
      <c r="V189" s="103"/>
      <c r="Z189" s="103"/>
      <c r="AA189" s="103"/>
      <c r="AB189" s="103"/>
      <c r="AC189" s="103"/>
      <c r="AD189" s="103"/>
      <c r="AE189" s="103"/>
      <c r="AF189" s="103"/>
      <c r="AG189" s="185"/>
      <c r="AH189" s="103"/>
      <c r="AI189" s="103"/>
      <c r="AJ189" s="103"/>
      <c r="AK189" s="185"/>
      <c r="AL189" s="103"/>
      <c r="AM189" s="103"/>
      <c r="AN189" s="103"/>
    </row>
    <row r="190" spans="1:42" x14ac:dyDescent="0.25">
      <c r="A190" s="103"/>
      <c r="C190" s="103"/>
      <c r="D190" s="103"/>
      <c r="E190" s="103"/>
      <c r="F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T190" s="103"/>
      <c r="U190" s="103"/>
      <c r="V190" s="103"/>
      <c r="Y190" s="103"/>
      <c r="Z190" s="103"/>
      <c r="AA190" s="103"/>
      <c r="AB190" s="103"/>
      <c r="AC190" s="103"/>
      <c r="AD190" s="103"/>
      <c r="AE190" s="103"/>
      <c r="AF190" s="103"/>
      <c r="AG190" s="185"/>
      <c r="AH190" s="103"/>
      <c r="AI190" s="103"/>
      <c r="AJ190" s="103"/>
      <c r="AK190" s="185"/>
      <c r="AL190" s="103"/>
      <c r="AM190" s="103"/>
      <c r="AN190" s="103"/>
    </row>
    <row r="191" spans="1:42" x14ac:dyDescent="0.25">
      <c r="C191" s="103"/>
      <c r="D191" s="103"/>
      <c r="E191" s="103"/>
      <c r="F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T191" s="103"/>
      <c r="U191" s="103"/>
      <c r="V191" s="103"/>
      <c r="Y191" s="103"/>
      <c r="Z191" s="103"/>
      <c r="AA191" s="103"/>
      <c r="AB191" s="103"/>
      <c r="AC191" s="103"/>
      <c r="AD191" s="103"/>
      <c r="AE191" s="103"/>
      <c r="AF191" s="103"/>
      <c r="AG191" s="185"/>
      <c r="AH191" s="103"/>
      <c r="AI191" s="103"/>
      <c r="AJ191" s="103"/>
      <c r="AK191" s="185"/>
      <c r="AL191" s="103"/>
      <c r="AM191" s="103"/>
      <c r="AN191" s="103"/>
    </row>
    <row r="192" spans="1:42" x14ac:dyDescent="0.25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208"/>
      <c r="AH192" s="102"/>
      <c r="AI192" s="102"/>
      <c r="AJ192" s="102"/>
      <c r="AK192" s="208"/>
      <c r="AL192" s="102"/>
      <c r="AM192" s="102"/>
      <c r="AN192" s="102"/>
    </row>
    <row r="193" spans="1:40" x14ac:dyDescent="0.25"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Y193" s="103"/>
      <c r="Z193" s="103"/>
      <c r="AA193" s="103"/>
      <c r="AB193" s="103"/>
      <c r="AC193" s="103"/>
      <c r="AD193" s="103"/>
      <c r="AE193" s="103"/>
      <c r="AF193" s="103"/>
      <c r="AG193" s="185"/>
      <c r="AH193" s="103"/>
      <c r="AI193" s="103"/>
      <c r="AJ193" s="103"/>
      <c r="AK193" s="185"/>
      <c r="AL193" s="103"/>
      <c r="AM193" s="103"/>
      <c r="AN193" s="103"/>
    </row>
    <row r="194" spans="1:40" x14ac:dyDescent="0.25">
      <c r="A194" s="202"/>
      <c r="C194" s="154"/>
      <c r="D194" s="154"/>
      <c r="E194" s="154"/>
      <c r="T194" s="154"/>
      <c r="U194" s="154"/>
    </row>
    <row r="195" spans="1:40" x14ac:dyDescent="0.25">
      <c r="A195" s="202"/>
      <c r="D195" s="154"/>
      <c r="E195" s="154"/>
      <c r="U195" s="154"/>
    </row>
    <row r="197" spans="1:40" x14ac:dyDescent="0.25">
      <c r="A197" s="202"/>
      <c r="C197" s="154"/>
      <c r="F197" s="200"/>
      <c r="J197" s="215"/>
      <c r="K197" s="215"/>
      <c r="L197" s="200"/>
      <c r="M197" s="200"/>
      <c r="R197" s="200"/>
      <c r="T197" s="154"/>
      <c r="V197" s="200"/>
      <c r="Z197" s="215"/>
      <c r="AA197" s="200"/>
      <c r="AB197" s="200"/>
      <c r="AK197" s="209"/>
      <c r="AL197" s="200"/>
    </row>
    <row r="198" spans="1:40" x14ac:dyDescent="0.25">
      <c r="F198" s="200"/>
      <c r="R198" s="200"/>
      <c r="V198" s="200"/>
      <c r="AK198" s="209"/>
      <c r="AL198" s="200"/>
    </row>
    <row r="199" spans="1:40" x14ac:dyDescent="0.25">
      <c r="A199" s="202"/>
      <c r="C199" s="154"/>
      <c r="F199" s="252"/>
      <c r="H199" s="252"/>
      <c r="I199" s="252"/>
      <c r="J199" s="300"/>
      <c r="K199" s="300"/>
      <c r="L199" s="200"/>
      <c r="M199" s="200"/>
      <c r="N199" s="210"/>
      <c r="O199" s="210"/>
      <c r="P199" s="200"/>
      <c r="Q199" s="200"/>
      <c r="R199" s="200"/>
      <c r="T199" s="154"/>
      <c r="V199" s="200"/>
      <c r="Y199" s="200"/>
      <c r="Z199" s="300"/>
      <c r="AA199" s="200"/>
      <c r="AB199" s="200"/>
      <c r="AC199" s="210"/>
      <c r="AD199" s="210"/>
      <c r="AE199" s="200"/>
      <c r="AF199" s="200"/>
      <c r="AG199" s="209"/>
      <c r="AH199" s="201"/>
      <c r="AI199" s="200"/>
      <c r="AJ199" s="200"/>
      <c r="AK199" s="209"/>
      <c r="AL199" s="200"/>
      <c r="AM199" s="210"/>
      <c r="AN199" s="210"/>
    </row>
    <row r="200" spans="1:40" x14ac:dyDescent="0.25">
      <c r="A200" s="202"/>
      <c r="C200" s="154"/>
      <c r="F200" s="252"/>
      <c r="H200" s="317"/>
      <c r="I200" s="317"/>
      <c r="J200" s="300"/>
      <c r="K200" s="300"/>
      <c r="L200" s="200"/>
      <c r="M200" s="200"/>
      <c r="N200" s="210"/>
      <c r="O200" s="210"/>
      <c r="P200" s="200"/>
      <c r="Q200" s="200"/>
      <c r="R200" s="200"/>
      <c r="T200" s="154"/>
      <c r="V200" s="200"/>
      <c r="Y200" s="200"/>
      <c r="Z200" s="300"/>
      <c r="AA200" s="200"/>
      <c r="AB200" s="200"/>
      <c r="AC200" s="210"/>
      <c r="AD200" s="210"/>
      <c r="AE200" s="200"/>
      <c r="AF200" s="200"/>
      <c r="AG200" s="209"/>
      <c r="AH200" s="201"/>
      <c r="AI200" s="200"/>
      <c r="AJ200" s="200"/>
      <c r="AK200" s="209"/>
      <c r="AL200" s="200"/>
      <c r="AM200" s="210"/>
      <c r="AN200" s="210"/>
    </row>
    <row r="201" spans="1:40" x14ac:dyDescent="0.25">
      <c r="F201" s="211"/>
      <c r="H201" s="200"/>
      <c r="I201" s="200"/>
      <c r="J201" s="305"/>
      <c r="K201" s="305"/>
      <c r="L201" s="211"/>
      <c r="M201" s="211"/>
      <c r="N201" s="211"/>
      <c r="O201" s="211"/>
      <c r="P201" s="211"/>
      <c r="Q201" s="211"/>
      <c r="R201" s="211"/>
      <c r="V201" s="211"/>
      <c r="Y201" s="200"/>
      <c r="Z201" s="305"/>
      <c r="AA201" s="211"/>
      <c r="AB201" s="211"/>
      <c r="AC201" s="211"/>
      <c r="AD201" s="211"/>
      <c r="AE201" s="211"/>
      <c r="AF201" s="211"/>
      <c r="AI201" s="211"/>
      <c r="AJ201" s="211"/>
      <c r="AK201" s="212"/>
      <c r="AL201" s="211"/>
    </row>
    <row r="202" spans="1:40" x14ac:dyDescent="0.25">
      <c r="A202" s="202"/>
      <c r="C202" s="154"/>
      <c r="F202" s="200"/>
      <c r="H202" s="200"/>
      <c r="I202" s="200"/>
      <c r="J202" s="213"/>
      <c r="K202" s="213"/>
      <c r="L202" s="200"/>
      <c r="M202" s="200"/>
      <c r="N202" s="210"/>
      <c r="O202" s="210"/>
      <c r="P202" s="200"/>
      <c r="Q202" s="200"/>
      <c r="R202" s="200"/>
      <c r="T202" s="154"/>
      <c r="V202" s="200"/>
      <c r="Y202" s="200"/>
      <c r="Z202" s="213"/>
      <c r="AA202" s="200"/>
      <c r="AB202" s="200"/>
      <c r="AC202" s="210"/>
      <c r="AD202" s="210"/>
      <c r="AE202" s="200"/>
      <c r="AF202" s="200"/>
      <c r="AG202" s="209"/>
      <c r="AH202" s="201"/>
      <c r="AI202" s="200"/>
      <c r="AJ202" s="200"/>
      <c r="AK202" s="209"/>
      <c r="AL202" s="200"/>
      <c r="AM202" s="210"/>
      <c r="AN202" s="210"/>
    </row>
    <row r="203" spans="1:40" x14ac:dyDescent="0.25">
      <c r="F203" s="211"/>
      <c r="H203" s="200"/>
      <c r="I203" s="200"/>
      <c r="J203" s="305"/>
      <c r="K203" s="305"/>
      <c r="L203" s="211"/>
      <c r="M203" s="211"/>
      <c r="N203" s="211"/>
      <c r="O203" s="211"/>
      <c r="P203" s="211"/>
      <c r="Q203" s="211"/>
      <c r="R203" s="211"/>
      <c r="V203" s="211"/>
      <c r="Y203" s="200"/>
      <c r="Z203" s="305"/>
      <c r="AA203" s="211"/>
      <c r="AB203" s="211"/>
      <c r="AC203" s="211"/>
      <c r="AD203" s="211"/>
      <c r="AE203" s="211"/>
      <c r="AF203" s="211"/>
      <c r="AI203" s="211"/>
      <c r="AJ203" s="211"/>
      <c r="AK203" s="212"/>
      <c r="AL203" s="211"/>
    </row>
    <row r="204" spans="1:40" x14ac:dyDescent="0.25">
      <c r="F204" s="200"/>
      <c r="R204" s="200"/>
      <c r="V204" s="200"/>
      <c r="AK204" s="209"/>
      <c r="AL204" s="200"/>
    </row>
    <row r="205" spans="1:40" x14ac:dyDescent="0.25">
      <c r="A205" s="202"/>
      <c r="C205" s="154"/>
      <c r="F205" s="200"/>
      <c r="R205" s="200"/>
      <c r="T205" s="154"/>
      <c r="V205" s="200"/>
      <c r="AK205" s="209"/>
      <c r="AL205" s="200"/>
    </row>
    <row r="206" spans="1:40" x14ac:dyDescent="0.25">
      <c r="F206" s="200"/>
      <c r="R206" s="200"/>
      <c r="V206" s="200"/>
      <c r="AK206" s="209"/>
      <c r="AL206" s="200"/>
    </row>
    <row r="207" spans="1:40" x14ac:dyDescent="0.25">
      <c r="A207" s="202"/>
      <c r="C207" s="154"/>
      <c r="F207" s="200"/>
      <c r="H207" s="252"/>
      <c r="I207" s="252"/>
      <c r="J207" s="320"/>
      <c r="K207" s="320"/>
      <c r="L207" s="200"/>
      <c r="M207" s="200"/>
      <c r="N207" s="210"/>
      <c r="O207" s="210"/>
      <c r="P207" s="252"/>
      <c r="Q207" s="252"/>
      <c r="R207" s="200"/>
      <c r="T207" s="154"/>
      <c r="V207" s="200"/>
      <c r="Y207" s="200"/>
      <c r="Z207" s="304"/>
      <c r="AA207" s="200"/>
      <c r="AB207" s="200"/>
      <c r="AC207" s="210"/>
      <c r="AD207" s="210"/>
      <c r="AE207" s="200"/>
      <c r="AF207" s="200"/>
      <c r="AG207" s="209"/>
      <c r="AH207" s="201"/>
      <c r="AI207" s="252"/>
      <c r="AJ207" s="252"/>
      <c r="AK207" s="209"/>
      <c r="AL207" s="200"/>
      <c r="AM207" s="210"/>
      <c r="AN207" s="210"/>
    </row>
    <row r="208" spans="1:40" x14ac:dyDescent="0.25">
      <c r="F208" s="211"/>
      <c r="H208" s="211"/>
      <c r="I208" s="211"/>
      <c r="J208" s="305"/>
      <c r="K208" s="305"/>
      <c r="L208" s="211"/>
      <c r="M208" s="211"/>
      <c r="N208" s="211"/>
      <c r="O208" s="211"/>
      <c r="P208" s="211"/>
      <c r="Q208" s="211"/>
      <c r="R208" s="211"/>
      <c r="V208" s="211"/>
      <c r="Y208" s="211"/>
      <c r="Z208" s="305"/>
      <c r="AA208" s="211"/>
      <c r="AB208" s="211"/>
      <c r="AC208" s="211"/>
      <c r="AD208" s="211"/>
      <c r="AE208" s="211"/>
      <c r="AF208" s="211"/>
      <c r="AI208" s="211"/>
      <c r="AJ208" s="211"/>
      <c r="AK208" s="212"/>
      <c r="AL208" s="211"/>
    </row>
    <row r="210" spans="1:40" x14ac:dyDescent="0.25">
      <c r="A210" s="202"/>
      <c r="C210" s="154"/>
      <c r="F210" s="200"/>
      <c r="H210" s="200"/>
      <c r="I210" s="200"/>
      <c r="J210" s="215"/>
      <c r="K210" s="215"/>
      <c r="L210" s="200"/>
      <c r="M210" s="200"/>
      <c r="N210" s="210"/>
      <c r="O210" s="210"/>
      <c r="P210" s="200"/>
      <c r="Q210" s="200"/>
      <c r="R210" s="200"/>
      <c r="T210" s="154"/>
      <c r="V210" s="200"/>
      <c r="Y210" s="200"/>
      <c r="Z210" s="215"/>
      <c r="AA210" s="200"/>
      <c r="AB210" s="200"/>
      <c r="AC210" s="210"/>
      <c r="AD210" s="210"/>
      <c r="AE210" s="200"/>
      <c r="AF210" s="200"/>
      <c r="AG210" s="209"/>
      <c r="AH210" s="201"/>
      <c r="AI210" s="200"/>
      <c r="AJ210" s="200"/>
      <c r="AK210" s="209"/>
      <c r="AL210" s="200"/>
      <c r="AM210" s="210"/>
      <c r="AN210" s="210"/>
    </row>
    <row r="211" spans="1:40" x14ac:dyDescent="0.25">
      <c r="F211" s="211"/>
      <c r="H211" s="211"/>
      <c r="I211" s="211"/>
      <c r="J211" s="305"/>
      <c r="K211" s="305"/>
      <c r="L211" s="211"/>
      <c r="M211" s="211"/>
      <c r="N211" s="211"/>
      <c r="O211" s="211"/>
      <c r="P211" s="211"/>
      <c r="Q211" s="211"/>
      <c r="R211" s="211"/>
      <c r="V211" s="211"/>
      <c r="Y211" s="211"/>
      <c r="Z211" s="305"/>
      <c r="AA211" s="211"/>
      <c r="AB211" s="211"/>
      <c r="AC211" s="211"/>
      <c r="AD211" s="211"/>
      <c r="AE211" s="211"/>
      <c r="AF211" s="211"/>
      <c r="AI211" s="211"/>
      <c r="AJ211" s="211"/>
      <c r="AK211" s="212"/>
      <c r="AL211" s="211"/>
    </row>
    <row r="212" spans="1:40" x14ac:dyDescent="0.25">
      <c r="R212" s="200"/>
      <c r="AG212" s="209"/>
      <c r="AH212" s="200"/>
    </row>
    <row r="213" spans="1:40" x14ac:dyDescent="0.25">
      <c r="F213" s="200"/>
      <c r="H213" s="200"/>
      <c r="I213" s="200"/>
      <c r="J213" s="213"/>
      <c r="K213" s="213"/>
      <c r="L213" s="200"/>
      <c r="M213" s="200"/>
      <c r="N213" s="200"/>
      <c r="O213" s="200"/>
      <c r="P213" s="200"/>
      <c r="Q213" s="200"/>
      <c r="R213" s="200"/>
      <c r="V213" s="200"/>
      <c r="Y213" s="200"/>
      <c r="Z213" s="213"/>
      <c r="AA213" s="200"/>
      <c r="AB213" s="200"/>
      <c r="AC213" s="200"/>
      <c r="AD213" s="200"/>
      <c r="AE213" s="200"/>
      <c r="AF213" s="200"/>
      <c r="AG213" s="209"/>
      <c r="AH213" s="200"/>
    </row>
    <row r="214" spans="1:40" x14ac:dyDescent="0.25">
      <c r="C214" s="154"/>
      <c r="F214" s="200"/>
      <c r="H214" s="200"/>
      <c r="I214" s="200"/>
      <c r="J214" s="213"/>
      <c r="K214" s="213"/>
      <c r="L214" s="200"/>
      <c r="M214" s="200"/>
      <c r="N214" s="200"/>
      <c r="O214" s="200"/>
      <c r="P214" s="200"/>
      <c r="Q214" s="200"/>
      <c r="R214" s="200"/>
      <c r="T214" s="154"/>
      <c r="V214" s="200"/>
      <c r="Y214" s="200"/>
      <c r="Z214" s="213"/>
      <c r="AA214" s="200"/>
      <c r="AB214" s="200"/>
      <c r="AC214" s="200"/>
      <c r="AD214" s="200"/>
      <c r="AE214" s="200"/>
      <c r="AF214" s="200"/>
      <c r="AG214" s="209"/>
      <c r="AH214" s="200"/>
    </row>
    <row r="215" spans="1:40" x14ac:dyDescent="0.25">
      <c r="A215" s="154"/>
    </row>
    <row r="217" spans="1:40" x14ac:dyDescent="0.25">
      <c r="J217" s="202"/>
      <c r="K217" s="202"/>
      <c r="Z217" s="202"/>
    </row>
    <row r="218" spans="1:40" x14ac:dyDescent="0.25">
      <c r="H218" s="154"/>
      <c r="I218" s="154"/>
      <c r="Y218" s="154"/>
    </row>
    <row r="219" spans="1:40" x14ac:dyDescent="0.25">
      <c r="J219" s="202"/>
      <c r="K219" s="202"/>
      <c r="Z219" s="202"/>
    </row>
    <row r="220" spans="1:40" x14ac:dyDescent="0.25">
      <c r="L220" s="154"/>
      <c r="M220" s="154"/>
      <c r="AA220" s="154"/>
      <c r="AB220" s="154"/>
    </row>
    <row r="221" spans="1:40" x14ac:dyDescent="0.25">
      <c r="A221" s="202"/>
      <c r="R221" s="154"/>
      <c r="AK221" s="297"/>
      <c r="AL221" s="154"/>
    </row>
    <row r="222" spans="1:40" x14ac:dyDescent="0.25">
      <c r="A222" s="202"/>
      <c r="R222" s="154"/>
      <c r="AK222" s="297"/>
      <c r="AL222" s="154"/>
    </row>
    <row r="223" spans="1:40" x14ac:dyDescent="0.25">
      <c r="A223" s="154"/>
      <c r="R223" s="154"/>
      <c r="AK223" s="297"/>
      <c r="AL223" s="154"/>
    </row>
    <row r="224" spans="1:40" x14ac:dyDescent="0.25">
      <c r="L224" s="154"/>
      <c r="M224" s="154"/>
      <c r="R224" s="202"/>
      <c r="AA224" s="154"/>
      <c r="AB224" s="154"/>
      <c r="AK224" s="209"/>
      <c r="AL224" s="202"/>
    </row>
    <row r="225" spans="1:40" x14ac:dyDescent="0.2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208"/>
      <c r="AH225" s="102"/>
      <c r="AI225" s="102"/>
      <c r="AJ225" s="102"/>
      <c r="AK225" s="208"/>
      <c r="AL225" s="102"/>
      <c r="AM225" s="102"/>
      <c r="AN225" s="102"/>
    </row>
    <row r="226" spans="1:40" x14ac:dyDescent="0.25">
      <c r="L226" s="103"/>
      <c r="M226" s="103"/>
      <c r="N226" s="103"/>
      <c r="O226" s="103"/>
      <c r="R226" s="103"/>
      <c r="AA226" s="103"/>
      <c r="AB226" s="103"/>
      <c r="AC226" s="103"/>
      <c r="AD226" s="103"/>
      <c r="AE226" s="103"/>
      <c r="AF226" s="103"/>
      <c r="AG226" s="185"/>
      <c r="AH226" s="103"/>
      <c r="AK226" s="185"/>
      <c r="AL226" s="103"/>
      <c r="AM226" s="103"/>
      <c r="AN226" s="103"/>
    </row>
    <row r="227" spans="1:40" x14ac:dyDescent="0.25">
      <c r="L227" s="103"/>
      <c r="M227" s="103"/>
      <c r="N227" s="103"/>
      <c r="O227" s="103"/>
      <c r="R227" s="103"/>
      <c r="Z227" s="103"/>
      <c r="AA227" s="103"/>
      <c r="AB227" s="103"/>
      <c r="AC227" s="103"/>
      <c r="AD227" s="103"/>
      <c r="AE227" s="103"/>
      <c r="AF227" s="103"/>
      <c r="AG227" s="185"/>
      <c r="AH227" s="103"/>
      <c r="AK227" s="185"/>
      <c r="AL227" s="103"/>
      <c r="AM227" s="103"/>
      <c r="AN227" s="103"/>
    </row>
    <row r="228" spans="1:40" x14ac:dyDescent="0.25">
      <c r="A228" s="103"/>
      <c r="C228" s="103"/>
      <c r="D228" s="103"/>
      <c r="E228" s="103"/>
      <c r="F228" s="103"/>
      <c r="J228" s="103"/>
      <c r="K228" s="103"/>
      <c r="L228" s="103"/>
      <c r="M228" s="103"/>
      <c r="N228" s="103"/>
      <c r="O228" s="103"/>
      <c r="P228" s="103"/>
      <c r="Q228" s="103"/>
      <c r="R228" s="103"/>
      <c r="T228" s="103"/>
      <c r="U228" s="103"/>
      <c r="V228" s="103"/>
      <c r="Z228" s="103"/>
      <c r="AA228" s="103"/>
      <c r="AB228" s="103"/>
      <c r="AC228" s="103"/>
      <c r="AD228" s="103"/>
      <c r="AE228" s="103"/>
      <c r="AF228" s="103"/>
      <c r="AG228" s="185"/>
      <c r="AH228" s="103"/>
      <c r="AI228" s="103"/>
      <c r="AJ228" s="103"/>
      <c r="AK228" s="185"/>
      <c r="AL228" s="103"/>
      <c r="AM228" s="103"/>
      <c r="AN228" s="103"/>
    </row>
    <row r="229" spans="1:40" x14ac:dyDescent="0.25">
      <c r="A229" s="103"/>
      <c r="C229" s="103"/>
      <c r="D229" s="103"/>
      <c r="E229" s="103"/>
      <c r="F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T229" s="103"/>
      <c r="U229" s="103"/>
      <c r="V229" s="103"/>
      <c r="Y229" s="103"/>
      <c r="Z229" s="103"/>
      <c r="AA229" s="103"/>
      <c r="AB229" s="103"/>
      <c r="AC229" s="103"/>
      <c r="AD229" s="103"/>
      <c r="AE229" s="103"/>
      <c r="AF229" s="103"/>
      <c r="AG229" s="185"/>
      <c r="AH229" s="103"/>
      <c r="AI229" s="103"/>
      <c r="AJ229" s="103"/>
      <c r="AK229" s="185"/>
      <c r="AL229" s="103"/>
      <c r="AM229" s="103"/>
      <c r="AN229" s="103"/>
    </row>
    <row r="230" spans="1:40" x14ac:dyDescent="0.25">
      <c r="C230" s="103"/>
      <c r="D230" s="103"/>
      <c r="E230" s="103"/>
      <c r="F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T230" s="103"/>
      <c r="U230" s="103"/>
      <c r="V230" s="103"/>
      <c r="Y230" s="103"/>
      <c r="Z230" s="103"/>
      <c r="AA230" s="103"/>
      <c r="AB230" s="103"/>
      <c r="AC230" s="103"/>
      <c r="AD230" s="103"/>
      <c r="AE230" s="103"/>
      <c r="AF230" s="103"/>
      <c r="AG230" s="185"/>
      <c r="AH230" s="103"/>
      <c r="AI230" s="103"/>
      <c r="AJ230" s="103"/>
      <c r="AK230" s="185"/>
      <c r="AL230" s="103"/>
      <c r="AM230" s="103"/>
      <c r="AN230" s="103"/>
    </row>
    <row r="231" spans="1:40" x14ac:dyDescent="0.25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208"/>
      <c r="AH231" s="102"/>
      <c r="AI231" s="102"/>
      <c r="AJ231" s="102"/>
      <c r="AK231" s="208"/>
      <c r="AL231" s="102"/>
      <c r="AM231" s="102"/>
      <c r="AN231" s="102"/>
    </row>
    <row r="232" spans="1:40" x14ac:dyDescent="0.25"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Y232" s="103"/>
      <c r="Z232" s="103"/>
      <c r="AA232" s="103"/>
      <c r="AB232" s="103"/>
      <c r="AC232" s="103"/>
      <c r="AD232" s="103"/>
      <c r="AE232" s="103"/>
      <c r="AF232" s="103"/>
      <c r="AG232" s="185"/>
      <c r="AH232" s="103"/>
      <c r="AI232" s="103"/>
      <c r="AJ232" s="103"/>
      <c r="AK232" s="185"/>
      <c r="AL232" s="103"/>
      <c r="AM232" s="103"/>
      <c r="AN232" s="103"/>
    </row>
    <row r="233" spans="1:40" x14ac:dyDescent="0.25">
      <c r="A233" s="202"/>
      <c r="C233" s="154"/>
      <c r="D233" s="154"/>
      <c r="E233" s="154"/>
      <c r="T233" s="154"/>
      <c r="U233" s="154"/>
    </row>
    <row r="234" spans="1:40" x14ac:dyDescent="0.25">
      <c r="A234" s="202"/>
      <c r="C234" s="154"/>
      <c r="T234" s="154"/>
    </row>
    <row r="236" spans="1:40" x14ac:dyDescent="0.25">
      <c r="A236" s="202"/>
      <c r="C236" s="154"/>
      <c r="F236" s="252"/>
      <c r="H236" s="252"/>
      <c r="I236" s="252"/>
      <c r="J236" s="300"/>
      <c r="K236" s="300"/>
      <c r="L236" s="200"/>
      <c r="M236" s="200"/>
      <c r="N236" s="210"/>
      <c r="O236" s="210"/>
      <c r="P236" s="202"/>
      <c r="Q236" s="202"/>
      <c r="R236" s="200"/>
      <c r="T236" s="154"/>
      <c r="V236" s="200"/>
      <c r="Y236" s="252"/>
      <c r="Z236" s="300"/>
      <c r="AA236" s="200"/>
      <c r="AB236" s="200"/>
      <c r="AC236" s="210"/>
      <c r="AD236" s="210"/>
      <c r="AE236" s="200"/>
      <c r="AF236" s="200"/>
      <c r="AG236" s="209"/>
      <c r="AH236" s="201"/>
      <c r="AI236" s="202"/>
      <c r="AJ236" s="202"/>
      <c r="AK236" s="209"/>
      <c r="AL236" s="200"/>
      <c r="AM236" s="210"/>
      <c r="AN236" s="210"/>
    </row>
    <row r="237" spans="1:40" x14ac:dyDescent="0.25">
      <c r="F237" s="211"/>
      <c r="H237" s="200"/>
      <c r="I237" s="200"/>
      <c r="J237" s="305"/>
      <c r="K237" s="305"/>
      <c r="L237" s="211"/>
      <c r="M237" s="211"/>
      <c r="N237" s="211"/>
      <c r="O237" s="211"/>
      <c r="P237" s="211"/>
      <c r="Q237" s="211"/>
      <c r="R237" s="211"/>
      <c r="V237" s="211"/>
      <c r="Y237" s="200"/>
      <c r="Z237" s="305"/>
      <c r="AA237" s="211"/>
      <c r="AB237" s="211"/>
      <c r="AC237" s="211"/>
      <c r="AD237" s="211"/>
      <c r="AE237" s="211"/>
      <c r="AF237" s="211"/>
      <c r="AI237" s="211"/>
      <c r="AJ237" s="211"/>
      <c r="AK237" s="212"/>
      <c r="AL237" s="211"/>
      <c r="AM237" s="210"/>
      <c r="AN237" s="210"/>
    </row>
    <row r="238" spans="1:40" x14ac:dyDescent="0.25">
      <c r="A238" s="202"/>
      <c r="C238" s="154"/>
      <c r="F238" s="252"/>
      <c r="H238" s="252"/>
      <c r="I238" s="252"/>
      <c r="J238" s="328"/>
      <c r="K238" s="328"/>
      <c r="L238" s="200"/>
      <c r="M238" s="200"/>
      <c r="N238" s="210"/>
      <c r="O238" s="210"/>
      <c r="P238" s="200"/>
      <c r="Q238" s="200"/>
      <c r="R238" s="200"/>
      <c r="S238" s="200"/>
      <c r="T238" s="154"/>
      <c r="V238" s="252"/>
      <c r="Y238" s="252"/>
      <c r="Z238" s="328"/>
      <c r="AA238" s="200"/>
      <c r="AB238" s="200"/>
      <c r="AC238" s="210"/>
      <c r="AD238" s="210"/>
      <c r="AE238" s="200"/>
      <c r="AF238" s="200"/>
      <c r="AG238" s="209"/>
      <c r="AH238" s="210"/>
      <c r="AI238" s="200"/>
      <c r="AJ238" s="200"/>
      <c r="AK238" s="209"/>
      <c r="AL238" s="200"/>
      <c r="AM238" s="210"/>
      <c r="AN238" s="210"/>
    </row>
    <row r="239" spans="1:40" x14ac:dyDescent="0.25">
      <c r="A239" s="202"/>
      <c r="C239" s="154"/>
      <c r="F239" s="252"/>
      <c r="H239" s="252"/>
      <c r="I239" s="252"/>
      <c r="J239" s="300"/>
      <c r="K239" s="300"/>
      <c r="L239" s="200"/>
      <c r="M239" s="200"/>
      <c r="N239" s="210"/>
      <c r="O239" s="210"/>
      <c r="P239" s="200"/>
      <c r="Q239" s="200"/>
      <c r="R239" s="200"/>
      <c r="T239" s="154"/>
      <c r="V239" s="252"/>
      <c r="Y239" s="200"/>
      <c r="Z239" s="300"/>
      <c r="AA239" s="200"/>
      <c r="AB239" s="200"/>
      <c r="AC239" s="210"/>
      <c r="AD239" s="210"/>
      <c r="AE239" s="200"/>
      <c r="AF239" s="200"/>
      <c r="AG239" s="209"/>
      <c r="AH239" s="201"/>
      <c r="AI239" s="200"/>
      <c r="AJ239" s="200"/>
      <c r="AK239" s="209"/>
      <c r="AL239" s="200"/>
      <c r="AM239" s="210"/>
      <c r="AN239" s="210"/>
    </row>
    <row r="240" spans="1:40" x14ac:dyDescent="0.25">
      <c r="A240" s="202"/>
      <c r="C240" s="154"/>
      <c r="F240" s="252"/>
      <c r="H240" s="252"/>
      <c r="I240" s="252"/>
      <c r="J240" s="300"/>
      <c r="K240" s="300"/>
      <c r="L240" s="200"/>
      <c r="M240" s="200"/>
      <c r="N240" s="210"/>
      <c r="O240" s="210"/>
      <c r="P240" s="200"/>
      <c r="Q240" s="200"/>
      <c r="R240" s="200"/>
      <c r="T240" s="154"/>
      <c r="V240" s="252"/>
      <c r="Y240" s="200"/>
      <c r="Z240" s="300"/>
      <c r="AA240" s="200"/>
      <c r="AB240" s="200"/>
      <c r="AC240" s="210"/>
      <c r="AD240" s="210"/>
      <c r="AE240" s="200"/>
      <c r="AF240" s="200"/>
      <c r="AG240" s="209"/>
      <c r="AH240" s="201"/>
      <c r="AI240" s="200"/>
      <c r="AJ240" s="200"/>
      <c r="AK240" s="209"/>
      <c r="AL240" s="200"/>
      <c r="AM240" s="210"/>
      <c r="AN240" s="210"/>
    </row>
    <row r="241" spans="1:40" x14ac:dyDescent="0.25">
      <c r="F241" s="211"/>
      <c r="H241" s="211"/>
      <c r="I241" s="211"/>
      <c r="J241" s="305"/>
      <c r="K241" s="305"/>
      <c r="L241" s="211"/>
      <c r="M241" s="211"/>
      <c r="N241" s="211"/>
      <c r="O241" s="211"/>
      <c r="P241" s="211"/>
      <c r="Q241" s="211"/>
      <c r="R241" s="211"/>
      <c r="V241" s="211"/>
      <c r="Y241" s="211"/>
      <c r="Z241" s="305"/>
      <c r="AA241" s="211"/>
      <c r="AB241" s="211"/>
      <c r="AC241" s="211"/>
      <c r="AD241" s="211"/>
      <c r="AE241" s="211"/>
      <c r="AF241" s="211"/>
      <c r="AI241" s="211"/>
      <c r="AJ241" s="211"/>
      <c r="AK241" s="212"/>
      <c r="AL241" s="211"/>
      <c r="AM241" s="210"/>
      <c r="AN241" s="210"/>
    </row>
    <row r="242" spans="1:40" x14ac:dyDescent="0.25">
      <c r="A242" s="202"/>
      <c r="C242" s="154"/>
      <c r="F242" s="200"/>
      <c r="H242" s="200"/>
      <c r="I242" s="200"/>
      <c r="J242" s="213"/>
      <c r="K242" s="213"/>
      <c r="L242" s="200"/>
      <c r="M242" s="200"/>
      <c r="N242" s="210"/>
      <c r="O242" s="210"/>
      <c r="P242" s="200"/>
      <c r="Q242" s="200"/>
      <c r="R242" s="200"/>
      <c r="T242" s="154"/>
      <c r="V242" s="200"/>
      <c r="Y242" s="200"/>
      <c r="Z242" s="213"/>
      <c r="AA242" s="200"/>
      <c r="AB242" s="200"/>
      <c r="AC242" s="210"/>
      <c r="AD242" s="210"/>
      <c r="AE242" s="200"/>
      <c r="AF242" s="200"/>
      <c r="AG242" s="209"/>
      <c r="AH242" s="201"/>
      <c r="AI242" s="200"/>
      <c r="AJ242" s="200"/>
      <c r="AK242" s="209"/>
      <c r="AL242" s="200"/>
      <c r="AM242" s="210"/>
      <c r="AN242" s="210"/>
    </row>
    <row r="243" spans="1:40" x14ac:dyDescent="0.25">
      <c r="F243" s="211"/>
      <c r="H243" s="211"/>
      <c r="I243" s="211"/>
      <c r="J243" s="305"/>
      <c r="K243" s="305"/>
      <c r="L243" s="211"/>
      <c r="M243" s="211"/>
      <c r="N243" s="211"/>
      <c r="O243" s="211"/>
      <c r="P243" s="211"/>
      <c r="Q243" s="211"/>
      <c r="R243" s="211"/>
      <c r="V243" s="211"/>
      <c r="Y243" s="211"/>
      <c r="Z243" s="305"/>
      <c r="AA243" s="211"/>
      <c r="AB243" s="211"/>
      <c r="AC243" s="211"/>
      <c r="AD243" s="211"/>
      <c r="AE243" s="211"/>
      <c r="AF243" s="211"/>
      <c r="AI243" s="211"/>
      <c r="AJ243" s="211"/>
      <c r="AK243" s="212"/>
      <c r="AL243" s="211"/>
      <c r="AM243" s="210"/>
      <c r="AN243" s="210"/>
    </row>
    <row r="244" spans="1:40" x14ac:dyDescent="0.25">
      <c r="A244" s="202"/>
      <c r="C244" s="154"/>
      <c r="F244" s="200"/>
      <c r="H244" s="200"/>
      <c r="I244" s="200"/>
      <c r="J244" s="213"/>
      <c r="K244" s="213"/>
      <c r="L244" s="200"/>
      <c r="M244" s="200"/>
      <c r="N244" s="210"/>
      <c r="O244" s="210"/>
      <c r="P244" s="200"/>
      <c r="Q244" s="200"/>
      <c r="R244" s="200"/>
      <c r="T244" s="154"/>
      <c r="V244" s="200"/>
      <c r="Y244" s="200"/>
      <c r="Z244" s="213"/>
      <c r="AA244" s="200"/>
      <c r="AB244" s="200"/>
      <c r="AC244" s="210"/>
      <c r="AD244" s="210"/>
      <c r="AE244" s="200"/>
      <c r="AF244" s="200"/>
      <c r="AG244" s="209"/>
      <c r="AH244" s="201"/>
      <c r="AI244" s="200"/>
      <c r="AJ244" s="200"/>
      <c r="AK244" s="209"/>
      <c r="AL244" s="200"/>
      <c r="AM244" s="210"/>
      <c r="AN244" s="210"/>
    </row>
    <row r="245" spans="1:40" x14ac:dyDescent="0.25">
      <c r="A245" s="202"/>
      <c r="C245" s="154"/>
      <c r="F245" s="200"/>
      <c r="H245" s="252"/>
      <c r="I245" s="252"/>
      <c r="J245" s="320"/>
      <c r="K245" s="320"/>
      <c r="L245" s="200"/>
      <c r="M245" s="200"/>
      <c r="N245" s="210"/>
      <c r="O245" s="210"/>
      <c r="P245" s="200"/>
      <c r="Q245" s="200"/>
      <c r="R245" s="200"/>
      <c r="T245" s="154"/>
      <c r="V245" s="200"/>
      <c r="Y245" s="200"/>
      <c r="Z245" s="304"/>
      <c r="AA245" s="200"/>
      <c r="AB245" s="200"/>
      <c r="AC245" s="210"/>
      <c r="AD245" s="210"/>
      <c r="AE245" s="200"/>
      <c r="AF245" s="200"/>
      <c r="AG245" s="209"/>
      <c r="AH245" s="201"/>
      <c r="AI245" s="200"/>
      <c r="AJ245" s="200"/>
      <c r="AK245" s="209"/>
      <c r="AL245" s="200"/>
      <c r="AM245" s="210"/>
      <c r="AN245" s="210"/>
    </row>
    <row r="246" spans="1:40" x14ac:dyDescent="0.25">
      <c r="F246" s="211"/>
      <c r="H246" s="211"/>
      <c r="I246" s="211"/>
      <c r="J246" s="305"/>
      <c r="K246" s="305"/>
      <c r="L246" s="211"/>
      <c r="M246" s="211"/>
      <c r="N246" s="211"/>
      <c r="O246" s="211"/>
      <c r="P246" s="211"/>
      <c r="Q246" s="211"/>
      <c r="R246" s="211"/>
      <c r="V246" s="211"/>
      <c r="Y246" s="211"/>
      <c r="Z246" s="305"/>
      <c r="AA246" s="211"/>
      <c r="AB246" s="211"/>
      <c r="AC246" s="211"/>
      <c r="AD246" s="211"/>
      <c r="AE246" s="211"/>
      <c r="AF246" s="211"/>
      <c r="AI246" s="211"/>
      <c r="AJ246" s="211"/>
      <c r="AK246" s="212"/>
      <c r="AL246" s="211"/>
      <c r="AM246" s="210"/>
      <c r="AN246" s="210"/>
    </row>
    <row r="248" spans="1:40" x14ac:dyDescent="0.25">
      <c r="A248" s="202"/>
      <c r="C248" s="154"/>
      <c r="F248" s="200"/>
      <c r="H248" s="200"/>
      <c r="I248" s="200"/>
      <c r="J248" s="305"/>
      <c r="K248" s="305"/>
      <c r="L248" s="200"/>
      <c r="M248" s="200"/>
      <c r="N248" s="210"/>
      <c r="O248" s="210"/>
      <c r="P248" s="200"/>
      <c r="Q248" s="200"/>
      <c r="R248" s="200"/>
      <c r="S248" s="200"/>
      <c r="T248" s="154"/>
      <c r="V248" s="200"/>
      <c r="Y248" s="200"/>
      <c r="Z248" s="305"/>
      <c r="AA248" s="200"/>
      <c r="AB248" s="200"/>
      <c r="AC248" s="210"/>
      <c r="AD248" s="210"/>
      <c r="AE248" s="200"/>
      <c r="AF248" s="200"/>
      <c r="AG248" s="209"/>
      <c r="AH248" s="210"/>
      <c r="AI248" s="200"/>
      <c r="AJ248" s="200"/>
      <c r="AK248" s="209"/>
      <c r="AL248" s="200"/>
      <c r="AM248" s="210"/>
      <c r="AN248" s="210"/>
    </row>
    <row r="249" spans="1:40" x14ac:dyDescent="0.25">
      <c r="F249" s="211"/>
      <c r="H249" s="211"/>
      <c r="I249" s="211"/>
      <c r="J249" s="305"/>
      <c r="K249" s="305"/>
      <c r="L249" s="211"/>
      <c r="M249" s="211"/>
      <c r="N249" s="211"/>
      <c r="O249" s="211"/>
      <c r="P249" s="211"/>
      <c r="Q249" s="211"/>
      <c r="R249" s="211"/>
      <c r="S249" s="200"/>
      <c r="V249" s="211"/>
      <c r="Y249" s="211"/>
      <c r="Z249" s="305"/>
      <c r="AA249" s="211"/>
      <c r="AB249" s="211"/>
      <c r="AC249" s="211"/>
      <c r="AD249" s="211"/>
      <c r="AE249" s="211"/>
      <c r="AF249" s="211"/>
      <c r="AI249" s="211"/>
      <c r="AJ249" s="211"/>
      <c r="AK249" s="212"/>
      <c r="AL249" s="211"/>
      <c r="AM249" s="210"/>
      <c r="AN249" s="210"/>
    </row>
    <row r="250" spans="1:40" x14ac:dyDescent="0.25">
      <c r="A250" s="202"/>
      <c r="C250" s="154"/>
      <c r="F250" s="252"/>
      <c r="H250" s="252"/>
      <c r="I250" s="252"/>
      <c r="J250" s="305"/>
      <c r="K250" s="305"/>
      <c r="L250" s="200"/>
      <c r="M250" s="200"/>
      <c r="N250" s="210"/>
      <c r="O250" s="210"/>
      <c r="P250" s="200"/>
      <c r="Q250" s="200"/>
      <c r="R250" s="200"/>
      <c r="S250" s="200"/>
      <c r="T250" s="154"/>
      <c r="V250" s="252"/>
      <c r="Y250" s="252"/>
      <c r="Z250" s="305"/>
      <c r="AA250" s="200"/>
      <c r="AB250" s="200"/>
      <c r="AC250" s="210"/>
      <c r="AD250" s="210"/>
      <c r="AE250" s="200"/>
      <c r="AF250" s="200"/>
      <c r="AI250" s="200"/>
      <c r="AJ250" s="200"/>
      <c r="AK250" s="209"/>
      <c r="AL250" s="200"/>
      <c r="AM250" s="210"/>
      <c r="AN250" s="210"/>
    </row>
    <row r="252" spans="1:40" x14ac:dyDescent="0.25">
      <c r="A252" s="202"/>
      <c r="C252" s="154"/>
      <c r="F252" s="252"/>
      <c r="H252" s="252"/>
      <c r="I252" s="252"/>
      <c r="J252" s="300"/>
      <c r="K252" s="300"/>
      <c r="L252" s="200"/>
      <c r="M252" s="200"/>
      <c r="N252" s="210"/>
      <c r="O252" s="210"/>
      <c r="P252" s="202"/>
      <c r="Q252" s="202"/>
      <c r="R252" s="200"/>
      <c r="T252" s="154"/>
      <c r="V252" s="200"/>
      <c r="Y252" s="252"/>
      <c r="Z252" s="300"/>
      <c r="AA252" s="200"/>
      <c r="AB252" s="200"/>
      <c r="AC252" s="210"/>
      <c r="AD252" s="210"/>
      <c r="AE252" s="200"/>
      <c r="AF252" s="200"/>
      <c r="AG252" s="209"/>
      <c r="AH252" s="201"/>
      <c r="AI252" s="202"/>
      <c r="AJ252" s="202"/>
      <c r="AK252" s="209"/>
      <c r="AL252" s="200"/>
      <c r="AM252" s="210"/>
      <c r="AN252" s="210"/>
    </row>
    <row r="253" spans="1:40" x14ac:dyDescent="0.25">
      <c r="F253" s="211"/>
      <c r="H253" s="200"/>
      <c r="I253" s="200"/>
      <c r="J253" s="305"/>
      <c r="K253" s="305"/>
      <c r="L253" s="211"/>
      <c r="M253" s="211"/>
      <c r="N253" s="211"/>
      <c r="O253" s="211"/>
      <c r="P253" s="211"/>
      <c r="Q253" s="211"/>
      <c r="R253" s="211"/>
      <c r="V253" s="211"/>
      <c r="Y253" s="200"/>
      <c r="Z253" s="305"/>
      <c r="AA253" s="211"/>
      <c r="AB253" s="211"/>
      <c r="AC253" s="211"/>
      <c r="AD253" s="211"/>
      <c r="AE253" s="211"/>
      <c r="AF253" s="211"/>
      <c r="AI253" s="211"/>
      <c r="AJ253" s="211"/>
      <c r="AK253" s="212"/>
      <c r="AL253" s="211"/>
      <c r="AM253" s="210"/>
      <c r="AN253" s="210"/>
    </row>
    <row r="254" spans="1:40" x14ac:dyDescent="0.25">
      <c r="A254" s="202"/>
      <c r="C254" s="154"/>
      <c r="F254" s="252"/>
      <c r="H254" s="252"/>
      <c r="I254" s="252"/>
      <c r="J254" s="328"/>
      <c r="K254" s="328"/>
      <c r="L254" s="200"/>
      <c r="M254" s="200"/>
      <c r="N254" s="210"/>
      <c r="O254" s="210"/>
      <c r="P254" s="200"/>
      <c r="Q254" s="200"/>
      <c r="R254" s="200"/>
      <c r="S254" s="200"/>
      <c r="T254" s="154"/>
      <c r="V254" s="252"/>
      <c r="Y254" s="252"/>
      <c r="Z254" s="328"/>
      <c r="AA254" s="200"/>
      <c r="AB254" s="200"/>
      <c r="AC254" s="210"/>
      <c r="AD254" s="210"/>
      <c r="AE254" s="200"/>
      <c r="AF254" s="200"/>
      <c r="AG254" s="209"/>
      <c r="AH254" s="210"/>
      <c r="AI254" s="200"/>
      <c r="AJ254" s="200"/>
      <c r="AK254" s="209"/>
      <c r="AL254" s="200"/>
      <c r="AM254" s="210"/>
      <c r="AN254" s="210"/>
    </row>
    <row r="255" spans="1:40" x14ac:dyDescent="0.25">
      <c r="A255" s="202"/>
      <c r="C255" s="154"/>
      <c r="F255" s="252"/>
      <c r="H255" s="252"/>
      <c r="I255" s="252"/>
      <c r="J255" s="300"/>
      <c r="K255" s="300"/>
      <c r="L255" s="200"/>
      <c r="M255" s="200"/>
      <c r="N255" s="210"/>
      <c r="O255" s="210"/>
      <c r="P255" s="200"/>
      <c r="Q255" s="200"/>
      <c r="R255" s="200"/>
      <c r="T255" s="154"/>
      <c r="V255" s="252"/>
      <c r="Y255" s="200"/>
      <c r="Z255" s="300"/>
      <c r="AA255" s="200"/>
      <c r="AB255" s="200"/>
      <c r="AC255" s="210"/>
      <c r="AD255" s="210"/>
      <c r="AE255" s="200"/>
      <c r="AF255" s="200"/>
      <c r="AG255" s="209"/>
      <c r="AH255" s="201"/>
      <c r="AI255" s="200"/>
      <c r="AJ255" s="200"/>
      <c r="AK255" s="209"/>
      <c r="AL255" s="200"/>
      <c r="AM255" s="210"/>
      <c r="AN255" s="210"/>
    </row>
    <row r="256" spans="1:40" x14ac:dyDescent="0.25">
      <c r="A256" s="202"/>
      <c r="C256" s="154"/>
      <c r="F256" s="252"/>
      <c r="H256" s="252"/>
      <c r="I256" s="252"/>
      <c r="J256" s="300"/>
      <c r="K256" s="300"/>
      <c r="L256" s="200"/>
      <c r="M256" s="200"/>
      <c r="N256" s="210"/>
      <c r="O256" s="210"/>
      <c r="P256" s="200"/>
      <c r="Q256" s="200"/>
      <c r="R256" s="200"/>
      <c r="T256" s="154"/>
      <c r="V256" s="252"/>
      <c r="Y256" s="200"/>
      <c r="Z256" s="300"/>
      <c r="AA256" s="200"/>
      <c r="AB256" s="200"/>
      <c r="AC256" s="210"/>
      <c r="AD256" s="210"/>
      <c r="AE256" s="200"/>
      <c r="AF256" s="200"/>
      <c r="AG256" s="209"/>
      <c r="AH256" s="201"/>
      <c r="AI256" s="200"/>
      <c r="AJ256" s="200"/>
      <c r="AK256" s="209"/>
      <c r="AL256" s="200"/>
      <c r="AM256" s="210"/>
      <c r="AN256" s="210"/>
    </row>
    <row r="257" spans="1:40" x14ac:dyDescent="0.25">
      <c r="F257" s="211"/>
      <c r="H257" s="211"/>
      <c r="I257" s="211"/>
      <c r="J257" s="305"/>
      <c r="K257" s="305"/>
      <c r="L257" s="211"/>
      <c r="M257" s="211"/>
      <c r="N257" s="211"/>
      <c r="O257" s="211"/>
      <c r="P257" s="211"/>
      <c r="Q257" s="211"/>
      <c r="R257" s="211"/>
      <c r="V257" s="211"/>
      <c r="Y257" s="211"/>
      <c r="Z257" s="305"/>
      <c r="AA257" s="211"/>
      <c r="AB257" s="211"/>
      <c r="AC257" s="211"/>
      <c r="AD257" s="211"/>
      <c r="AE257" s="211"/>
      <c r="AF257" s="211"/>
      <c r="AI257" s="211"/>
      <c r="AJ257" s="211"/>
      <c r="AK257" s="212"/>
      <c r="AL257" s="211"/>
      <c r="AM257" s="210"/>
      <c r="AN257" s="210"/>
    </row>
    <row r="258" spans="1:40" x14ac:dyDescent="0.25">
      <c r="A258" s="202"/>
      <c r="C258" s="154"/>
      <c r="F258" s="200"/>
      <c r="H258" s="200"/>
      <c r="I258" s="200"/>
      <c r="J258" s="213"/>
      <c r="K258" s="213"/>
      <c r="L258" s="200"/>
      <c r="M258" s="200"/>
      <c r="N258" s="210"/>
      <c r="O258" s="210"/>
      <c r="P258" s="200"/>
      <c r="Q258" s="200"/>
      <c r="R258" s="200"/>
      <c r="T258" s="154"/>
      <c r="V258" s="200"/>
      <c r="Y258" s="200"/>
      <c r="Z258" s="213"/>
      <c r="AA258" s="200"/>
      <c r="AB258" s="200"/>
      <c r="AC258" s="210"/>
      <c r="AD258" s="210"/>
      <c r="AE258" s="200"/>
      <c r="AF258" s="200"/>
      <c r="AG258" s="209"/>
      <c r="AH258" s="201"/>
      <c r="AI258" s="200"/>
      <c r="AJ258" s="200"/>
      <c r="AK258" s="209"/>
      <c r="AL258" s="200"/>
      <c r="AM258" s="210"/>
      <c r="AN258" s="210"/>
    </row>
    <row r="259" spans="1:40" x14ac:dyDescent="0.25">
      <c r="F259" s="211"/>
      <c r="H259" s="211"/>
      <c r="I259" s="211"/>
      <c r="J259" s="305"/>
      <c r="K259" s="305"/>
      <c r="L259" s="211"/>
      <c r="M259" s="211"/>
      <c r="N259" s="211"/>
      <c r="O259" s="211"/>
      <c r="P259" s="211"/>
      <c r="Q259" s="211"/>
      <c r="R259" s="211"/>
      <c r="V259" s="211"/>
      <c r="Y259" s="211"/>
      <c r="Z259" s="305"/>
      <c r="AA259" s="211"/>
      <c r="AB259" s="211"/>
      <c r="AC259" s="211"/>
      <c r="AD259" s="211"/>
      <c r="AE259" s="211"/>
      <c r="AF259" s="211"/>
      <c r="AI259" s="211"/>
      <c r="AJ259" s="211"/>
      <c r="AK259" s="212"/>
      <c r="AL259" s="211"/>
      <c r="AM259" s="210"/>
      <c r="AN259" s="210"/>
    </row>
    <row r="260" spans="1:40" x14ac:dyDescent="0.25">
      <c r="A260" s="202"/>
      <c r="C260" s="154"/>
      <c r="F260" s="200"/>
      <c r="H260" s="200"/>
      <c r="I260" s="200"/>
      <c r="J260" s="213"/>
      <c r="K260" s="213"/>
      <c r="L260" s="200"/>
      <c r="M260" s="200"/>
      <c r="N260" s="210"/>
      <c r="O260" s="210"/>
      <c r="P260" s="200"/>
      <c r="Q260" s="200"/>
      <c r="R260" s="200"/>
      <c r="T260" s="154"/>
      <c r="V260" s="200"/>
      <c r="Y260" s="200"/>
      <c r="Z260" s="213"/>
      <c r="AA260" s="200"/>
      <c r="AB260" s="200"/>
      <c r="AC260" s="210"/>
      <c r="AD260" s="210"/>
      <c r="AE260" s="200"/>
      <c r="AF260" s="200"/>
      <c r="AG260" s="209"/>
      <c r="AH260" s="201"/>
      <c r="AI260" s="200"/>
      <c r="AJ260" s="200"/>
      <c r="AK260" s="209"/>
      <c r="AL260" s="200"/>
      <c r="AM260" s="210"/>
      <c r="AN260" s="210"/>
    </row>
    <row r="261" spans="1:40" x14ac:dyDescent="0.25">
      <c r="A261" s="202"/>
      <c r="C261" s="154"/>
      <c r="F261" s="200"/>
      <c r="H261" s="252"/>
      <c r="I261" s="252"/>
      <c r="J261" s="320"/>
      <c r="K261" s="320"/>
      <c r="L261" s="200"/>
      <c r="M261" s="200"/>
      <c r="N261" s="210"/>
      <c r="O261" s="210"/>
      <c r="P261" s="200"/>
      <c r="Q261" s="200"/>
      <c r="R261" s="200"/>
      <c r="T261" s="154"/>
      <c r="V261" s="200"/>
      <c r="Y261" s="200"/>
      <c r="Z261" s="304"/>
      <c r="AA261" s="200"/>
      <c r="AB261" s="200"/>
      <c r="AC261" s="210"/>
      <c r="AD261" s="210"/>
      <c r="AE261" s="200"/>
      <c r="AF261" s="200"/>
      <c r="AG261" s="209"/>
      <c r="AH261" s="201"/>
      <c r="AI261" s="200"/>
      <c r="AJ261" s="200"/>
      <c r="AK261" s="209"/>
      <c r="AL261" s="200"/>
      <c r="AM261" s="210"/>
      <c r="AN261" s="210"/>
    </row>
    <row r="262" spans="1:40" x14ac:dyDescent="0.25">
      <c r="F262" s="211"/>
      <c r="H262" s="211"/>
      <c r="I262" s="211"/>
      <c r="J262" s="305"/>
      <c r="K262" s="305"/>
      <c r="L262" s="211"/>
      <c r="M262" s="211"/>
      <c r="N262" s="211"/>
      <c r="O262" s="211"/>
      <c r="P262" s="211"/>
      <c r="Q262" s="211"/>
      <c r="R262" s="211"/>
      <c r="V262" s="211"/>
      <c r="Y262" s="211"/>
      <c r="Z262" s="305"/>
      <c r="AA262" s="211"/>
      <c r="AB262" s="211"/>
      <c r="AC262" s="211"/>
      <c r="AD262" s="211"/>
      <c r="AE262" s="211"/>
      <c r="AF262" s="211"/>
      <c r="AI262" s="211"/>
      <c r="AJ262" s="211"/>
      <c r="AK262" s="212"/>
      <c r="AL262" s="211"/>
      <c r="AM262" s="210"/>
      <c r="AN262" s="210"/>
    </row>
    <row r="264" spans="1:40" x14ac:dyDescent="0.25">
      <c r="A264" s="202"/>
      <c r="C264" s="154"/>
      <c r="F264" s="200"/>
      <c r="H264" s="200"/>
      <c r="I264" s="200"/>
      <c r="J264" s="305"/>
      <c r="K264" s="305"/>
      <c r="L264" s="200"/>
      <c r="M264" s="200"/>
      <c r="N264" s="210"/>
      <c r="O264" s="210"/>
      <c r="P264" s="200"/>
      <c r="Q264" s="200"/>
      <c r="R264" s="200"/>
      <c r="S264" s="200"/>
      <c r="T264" s="154"/>
      <c r="V264" s="200"/>
      <c r="Y264" s="200"/>
      <c r="Z264" s="305"/>
      <c r="AA264" s="200"/>
      <c r="AB264" s="200"/>
      <c r="AC264" s="210"/>
      <c r="AD264" s="210"/>
      <c r="AE264" s="200"/>
      <c r="AF264" s="200"/>
      <c r="AG264" s="209"/>
      <c r="AH264" s="210"/>
      <c r="AI264" s="200"/>
      <c r="AJ264" s="200"/>
      <c r="AK264" s="209"/>
      <c r="AL264" s="200"/>
      <c r="AM264" s="210"/>
      <c r="AN264" s="210"/>
    </row>
    <row r="265" spans="1:40" x14ac:dyDescent="0.25">
      <c r="F265" s="211"/>
      <c r="H265" s="211"/>
      <c r="I265" s="211"/>
      <c r="J265" s="305"/>
      <c r="K265" s="305"/>
      <c r="L265" s="211"/>
      <c r="M265" s="211"/>
      <c r="N265" s="211"/>
      <c r="O265" s="211"/>
      <c r="P265" s="211"/>
      <c r="Q265" s="211"/>
      <c r="R265" s="211"/>
      <c r="S265" s="200"/>
      <c r="V265" s="211"/>
      <c r="Y265" s="211"/>
      <c r="Z265" s="305"/>
      <c r="AA265" s="211"/>
      <c r="AB265" s="211"/>
      <c r="AC265" s="211"/>
      <c r="AD265" s="211"/>
      <c r="AE265" s="211"/>
      <c r="AF265" s="211"/>
      <c r="AI265" s="211"/>
      <c r="AJ265" s="211"/>
      <c r="AK265" s="212"/>
      <c r="AL265" s="211"/>
      <c r="AM265" s="210"/>
      <c r="AN265" s="210"/>
    </row>
    <row r="266" spans="1:40" x14ac:dyDescent="0.25">
      <c r="A266" s="202"/>
      <c r="C266" s="154"/>
      <c r="T266" s="154"/>
    </row>
    <row r="267" spans="1:40" x14ac:dyDescent="0.25">
      <c r="A267" s="202"/>
      <c r="C267" s="154"/>
      <c r="F267" s="200"/>
      <c r="H267" s="200"/>
      <c r="I267" s="200"/>
      <c r="L267" s="200"/>
      <c r="M267" s="200"/>
      <c r="N267" s="210"/>
      <c r="O267" s="210"/>
      <c r="P267" s="252"/>
      <c r="Q267" s="252"/>
      <c r="R267" s="200"/>
      <c r="T267" s="154"/>
      <c r="V267" s="200"/>
      <c r="Y267" s="200"/>
      <c r="AA267" s="200"/>
      <c r="AB267" s="200"/>
      <c r="AC267" s="210"/>
      <c r="AD267" s="210"/>
      <c r="AE267" s="200"/>
      <c r="AF267" s="200"/>
      <c r="AG267" s="209"/>
      <c r="AH267" s="210"/>
      <c r="AI267" s="252"/>
      <c r="AJ267" s="252"/>
      <c r="AK267" s="209"/>
      <c r="AL267" s="200"/>
      <c r="AM267" s="210"/>
      <c r="AN267" s="210"/>
    </row>
    <row r="268" spans="1:40" x14ac:dyDescent="0.25">
      <c r="F268" s="211"/>
      <c r="H268" s="211"/>
      <c r="I268" s="211"/>
      <c r="J268" s="305"/>
      <c r="K268" s="305"/>
      <c r="L268" s="211"/>
      <c r="M268" s="211"/>
      <c r="N268" s="211"/>
      <c r="O268" s="211"/>
      <c r="P268" s="211"/>
      <c r="Q268" s="211"/>
      <c r="R268" s="211"/>
      <c r="V268" s="211"/>
      <c r="Y268" s="211"/>
      <c r="Z268" s="305"/>
      <c r="AA268" s="211"/>
      <c r="AB268" s="211"/>
      <c r="AC268" s="211"/>
      <c r="AD268" s="211"/>
      <c r="AE268" s="211"/>
      <c r="AF268" s="211"/>
      <c r="AI268" s="211"/>
      <c r="AJ268" s="211"/>
      <c r="AK268" s="212"/>
      <c r="AL268" s="211"/>
    </row>
    <row r="270" spans="1:40" x14ac:dyDescent="0.25">
      <c r="C270" s="154"/>
      <c r="L270" s="200"/>
      <c r="M270" s="200"/>
      <c r="N270" s="200"/>
      <c r="O270" s="200"/>
      <c r="P270" s="200"/>
      <c r="Q270" s="200"/>
      <c r="R270" s="200"/>
      <c r="S270" s="200"/>
      <c r="T270" s="154"/>
      <c r="AA270" s="200"/>
      <c r="AB270" s="200"/>
      <c r="AC270" s="200"/>
      <c r="AD270" s="200"/>
      <c r="AI270" s="200"/>
      <c r="AJ270" s="200"/>
      <c r="AK270" s="209"/>
      <c r="AL270" s="200"/>
    </row>
    <row r="271" spans="1:40" x14ac:dyDescent="0.25">
      <c r="A271" s="154"/>
    </row>
    <row r="272" spans="1:40" x14ac:dyDescent="0.25">
      <c r="J272" s="202"/>
      <c r="K272" s="202"/>
      <c r="Z272" s="202"/>
    </row>
    <row r="273" spans="1:40" x14ac:dyDescent="0.25">
      <c r="H273" s="154"/>
      <c r="I273" s="154"/>
      <c r="Y273" s="154"/>
    </row>
    <row r="274" spans="1:40" x14ac:dyDescent="0.25">
      <c r="J274" s="202"/>
      <c r="K274" s="202"/>
      <c r="Z274" s="202"/>
    </row>
    <row r="275" spans="1:40" x14ac:dyDescent="0.25">
      <c r="L275" s="154"/>
      <c r="M275" s="154"/>
      <c r="AA275" s="154"/>
      <c r="AB275" s="154"/>
    </row>
    <row r="276" spans="1:40" x14ac:dyDescent="0.25">
      <c r="A276" s="202"/>
      <c r="R276" s="154"/>
      <c r="AK276" s="297"/>
      <c r="AL276" s="154"/>
    </row>
    <row r="277" spans="1:40" x14ac:dyDescent="0.25">
      <c r="A277" s="202"/>
      <c r="R277" s="154"/>
      <c r="AK277" s="297"/>
      <c r="AL277" s="154"/>
    </row>
    <row r="278" spans="1:40" x14ac:dyDescent="0.25">
      <c r="A278" s="154"/>
      <c r="R278" s="154"/>
      <c r="AK278" s="297"/>
      <c r="AL278" s="154"/>
    </row>
    <row r="279" spans="1:40" x14ac:dyDescent="0.25">
      <c r="L279" s="154"/>
      <c r="M279" s="154"/>
      <c r="R279" s="202"/>
      <c r="AA279" s="154"/>
      <c r="AB279" s="154"/>
      <c r="AK279" s="209"/>
      <c r="AL279" s="202"/>
    </row>
    <row r="280" spans="1:40" x14ac:dyDescent="0.2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208"/>
      <c r="AH280" s="102"/>
      <c r="AI280" s="102"/>
      <c r="AJ280" s="102"/>
      <c r="AK280" s="208"/>
      <c r="AL280" s="102"/>
      <c r="AM280" s="102"/>
      <c r="AN280" s="102"/>
    </row>
    <row r="281" spans="1:40" x14ac:dyDescent="0.25">
      <c r="L281" s="103"/>
      <c r="M281" s="103"/>
      <c r="N281" s="103"/>
      <c r="O281" s="103"/>
      <c r="R281" s="103"/>
      <c r="AA281" s="103"/>
      <c r="AB281" s="103"/>
      <c r="AC281" s="103"/>
      <c r="AD281" s="103"/>
      <c r="AE281" s="103"/>
      <c r="AF281" s="103"/>
      <c r="AG281" s="185"/>
      <c r="AH281" s="103"/>
      <c r="AK281" s="185"/>
      <c r="AL281" s="103"/>
      <c r="AM281" s="103"/>
      <c r="AN281" s="103"/>
    </row>
    <row r="282" spans="1:40" x14ac:dyDescent="0.25">
      <c r="L282" s="103"/>
      <c r="M282" s="103"/>
      <c r="N282" s="103"/>
      <c r="O282" s="103"/>
      <c r="R282" s="103"/>
      <c r="Z282" s="103"/>
      <c r="AA282" s="103"/>
      <c r="AB282" s="103"/>
      <c r="AC282" s="103"/>
      <c r="AD282" s="103"/>
      <c r="AE282" s="103"/>
      <c r="AF282" s="103"/>
      <c r="AG282" s="185"/>
      <c r="AH282" s="103"/>
      <c r="AK282" s="185"/>
      <c r="AL282" s="103"/>
      <c r="AM282" s="103"/>
      <c r="AN282" s="103"/>
    </row>
    <row r="283" spans="1:40" x14ac:dyDescent="0.25">
      <c r="A283" s="103"/>
      <c r="C283" s="103"/>
      <c r="D283" s="103"/>
      <c r="E283" s="103"/>
      <c r="F283" s="103"/>
      <c r="J283" s="103"/>
      <c r="K283" s="103"/>
      <c r="L283" s="103"/>
      <c r="M283" s="103"/>
      <c r="N283" s="103"/>
      <c r="O283" s="103"/>
      <c r="P283" s="103"/>
      <c r="Q283" s="103"/>
      <c r="R283" s="103"/>
      <c r="T283" s="103"/>
      <c r="U283" s="103"/>
      <c r="V283" s="103"/>
      <c r="Z283" s="103"/>
      <c r="AA283" s="103"/>
      <c r="AB283" s="103"/>
      <c r="AC283" s="103"/>
      <c r="AD283" s="103"/>
      <c r="AE283" s="103"/>
      <c r="AF283" s="103"/>
      <c r="AG283" s="185"/>
      <c r="AH283" s="103"/>
      <c r="AI283" s="103"/>
      <c r="AJ283" s="103"/>
      <c r="AK283" s="185"/>
      <c r="AL283" s="103"/>
      <c r="AM283" s="103"/>
      <c r="AN283" s="103"/>
    </row>
    <row r="284" spans="1:40" x14ac:dyDescent="0.25">
      <c r="A284" s="103"/>
      <c r="C284" s="103"/>
      <c r="D284" s="103"/>
      <c r="E284" s="103"/>
      <c r="F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T284" s="103"/>
      <c r="U284" s="103"/>
      <c r="V284" s="103"/>
      <c r="Y284" s="103"/>
      <c r="Z284" s="103"/>
      <c r="AA284" s="103"/>
      <c r="AB284" s="103"/>
      <c r="AC284" s="103"/>
      <c r="AD284" s="103"/>
      <c r="AE284" s="103"/>
      <c r="AF284" s="103"/>
      <c r="AG284" s="185"/>
      <c r="AH284" s="103"/>
      <c r="AI284" s="103"/>
      <c r="AJ284" s="103"/>
      <c r="AK284" s="185"/>
      <c r="AL284" s="103"/>
      <c r="AM284" s="103"/>
      <c r="AN284" s="103"/>
    </row>
    <row r="285" spans="1:40" x14ac:dyDescent="0.25">
      <c r="C285" s="103"/>
      <c r="D285" s="103"/>
      <c r="E285" s="103"/>
      <c r="F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T285" s="103"/>
      <c r="U285" s="103"/>
      <c r="V285" s="103"/>
      <c r="Y285" s="103"/>
      <c r="Z285" s="103"/>
      <c r="AA285" s="103"/>
      <c r="AB285" s="103"/>
      <c r="AC285" s="103"/>
      <c r="AD285" s="103"/>
      <c r="AE285" s="103"/>
      <c r="AF285" s="103"/>
      <c r="AG285" s="185"/>
      <c r="AH285" s="103"/>
      <c r="AI285" s="103"/>
      <c r="AJ285" s="103"/>
      <c r="AK285" s="185"/>
      <c r="AL285" s="103"/>
      <c r="AM285" s="103"/>
      <c r="AN285" s="103"/>
    </row>
    <row r="286" spans="1:40" x14ac:dyDescent="0.25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208"/>
      <c r="AH286" s="102"/>
      <c r="AI286" s="102"/>
      <c r="AJ286" s="102"/>
      <c r="AK286" s="208"/>
      <c r="AL286" s="102"/>
      <c r="AM286" s="102"/>
      <c r="AN286" s="102"/>
    </row>
    <row r="287" spans="1:40" x14ac:dyDescent="0.25"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Y287" s="103"/>
      <c r="Z287" s="103"/>
      <c r="AA287" s="103"/>
      <c r="AB287" s="103"/>
      <c r="AC287" s="103"/>
      <c r="AD287" s="103"/>
      <c r="AE287" s="103"/>
      <c r="AF287" s="103"/>
      <c r="AG287" s="185"/>
      <c r="AH287" s="103"/>
      <c r="AI287" s="103"/>
      <c r="AJ287" s="103"/>
      <c r="AK287" s="185"/>
      <c r="AL287" s="103"/>
      <c r="AM287" s="103"/>
      <c r="AN287" s="103"/>
    </row>
    <row r="288" spans="1:40" x14ac:dyDescent="0.25">
      <c r="A288" s="202"/>
      <c r="C288" s="154"/>
      <c r="D288" s="154"/>
      <c r="E288" s="154"/>
      <c r="T288" s="154"/>
      <c r="U288" s="154"/>
    </row>
    <row r="289" spans="1:40" x14ac:dyDescent="0.25">
      <c r="D289" s="154"/>
      <c r="E289" s="154"/>
      <c r="U289" s="154"/>
    </row>
    <row r="291" spans="1:40" x14ac:dyDescent="0.25">
      <c r="A291" s="202"/>
      <c r="C291" s="154"/>
      <c r="T291" s="154"/>
    </row>
    <row r="292" spans="1:40" x14ac:dyDescent="0.25">
      <c r="A292" s="202"/>
      <c r="C292" s="154"/>
      <c r="F292" s="252"/>
      <c r="H292" s="252"/>
      <c r="I292" s="252"/>
      <c r="J292" s="329"/>
      <c r="K292" s="329"/>
      <c r="L292" s="200"/>
      <c r="M292" s="200"/>
      <c r="N292" s="210"/>
      <c r="O292" s="210"/>
      <c r="P292" s="200"/>
      <c r="Q292" s="200"/>
      <c r="R292" s="200"/>
      <c r="T292" s="154"/>
      <c r="V292" s="252"/>
      <c r="W292" s="200"/>
      <c r="X292" s="200"/>
      <c r="Y292" s="252"/>
      <c r="Z292" s="329"/>
      <c r="AA292" s="200"/>
      <c r="AB292" s="200"/>
      <c r="AC292" s="210"/>
      <c r="AD292" s="210"/>
      <c r="AE292" s="200"/>
      <c r="AF292" s="200"/>
      <c r="AG292" s="209"/>
      <c r="AH292" s="201"/>
      <c r="AI292" s="200"/>
      <c r="AJ292" s="200"/>
      <c r="AK292" s="209"/>
      <c r="AL292" s="200"/>
      <c r="AM292" s="210"/>
      <c r="AN292" s="210"/>
    </row>
    <row r="293" spans="1:40" x14ac:dyDescent="0.25">
      <c r="A293" s="202"/>
      <c r="C293" s="154"/>
      <c r="F293" s="200"/>
      <c r="H293" s="200"/>
      <c r="I293" s="200"/>
      <c r="J293" s="305"/>
      <c r="K293" s="305"/>
      <c r="L293" s="200"/>
      <c r="M293" s="200"/>
      <c r="N293" s="210"/>
      <c r="O293" s="210"/>
      <c r="P293" s="200"/>
      <c r="Q293" s="200"/>
      <c r="R293" s="200"/>
      <c r="T293" s="154"/>
      <c r="V293" s="252"/>
      <c r="W293" s="200"/>
      <c r="X293" s="200"/>
      <c r="Y293" s="252"/>
      <c r="Z293" s="305"/>
      <c r="AA293" s="200"/>
      <c r="AB293" s="200"/>
      <c r="AC293" s="210"/>
      <c r="AD293" s="210"/>
      <c r="AE293" s="200"/>
      <c r="AF293" s="200"/>
      <c r="AG293" s="209"/>
      <c r="AH293" s="201"/>
      <c r="AI293" s="200"/>
      <c r="AJ293" s="200"/>
      <c r="AK293" s="209"/>
      <c r="AL293" s="200"/>
      <c r="AM293" s="210"/>
      <c r="AN293" s="210"/>
    </row>
    <row r="294" spans="1:40" x14ac:dyDescent="0.25">
      <c r="A294" s="202"/>
      <c r="C294" s="154"/>
      <c r="F294" s="252"/>
      <c r="H294" s="252"/>
      <c r="I294" s="252"/>
      <c r="J294" s="329"/>
      <c r="K294" s="329"/>
      <c r="L294" s="200"/>
      <c r="M294" s="200"/>
      <c r="N294" s="210"/>
      <c r="O294" s="210"/>
      <c r="P294" s="200"/>
      <c r="Q294" s="200"/>
      <c r="R294" s="200"/>
      <c r="T294" s="154"/>
      <c r="V294" s="252"/>
      <c r="W294" s="200"/>
      <c r="X294" s="200"/>
      <c r="Y294" s="252"/>
      <c r="Z294" s="329"/>
      <c r="AA294" s="200"/>
      <c r="AB294" s="200"/>
      <c r="AC294" s="210"/>
      <c r="AD294" s="210"/>
      <c r="AE294" s="200"/>
      <c r="AF294" s="200"/>
      <c r="AG294" s="209"/>
      <c r="AH294" s="201"/>
      <c r="AI294" s="200"/>
      <c r="AJ294" s="200"/>
      <c r="AK294" s="209"/>
      <c r="AL294" s="200"/>
      <c r="AM294" s="210"/>
      <c r="AN294" s="210"/>
    </row>
    <row r="295" spans="1:40" x14ac:dyDescent="0.25">
      <c r="A295" s="202"/>
      <c r="C295" s="154"/>
      <c r="F295" s="252"/>
      <c r="H295" s="252"/>
      <c r="I295" s="252"/>
      <c r="J295" s="329"/>
      <c r="K295" s="329"/>
      <c r="L295" s="200"/>
      <c r="M295" s="200"/>
      <c r="N295" s="210"/>
      <c r="O295" s="210"/>
      <c r="P295" s="200"/>
      <c r="Q295" s="200"/>
      <c r="R295" s="200"/>
      <c r="T295" s="154"/>
      <c r="V295" s="252"/>
      <c r="W295" s="200"/>
      <c r="X295" s="200"/>
      <c r="Y295" s="252"/>
      <c r="Z295" s="329"/>
      <c r="AA295" s="200"/>
      <c r="AB295" s="200"/>
      <c r="AC295" s="210"/>
      <c r="AD295" s="210"/>
      <c r="AE295" s="200"/>
      <c r="AF295" s="200"/>
      <c r="AG295" s="209"/>
      <c r="AH295" s="201"/>
      <c r="AI295" s="200"/>
      <c r="AJ295" s="200"/>
      <c r="AK295" s="209"/>
      <c r="AL295" s="200"/>
      <c r="AM295" s="210"/>
      <c r="AN295" s="210"/>
    </row>
    <row r="296" spans="1:40" x14ac:dyDescent="0.25">
      <c r="A296" s="202"/>
      <c r="C296" s="154"/>
      <c r="F296" s="252"/>
      <c r="H296" s="252"/>
      <c r="I296" s="252"/>
      <c r="J296" s="329"/>
      <c r="K296" s="329"/>
      <c r="L296" s="200"/>
      <c r="M296" s="200"/>
      <c r="N296" s="210"/>
      <c r="O296" s="210"/>
      <c r="P296" s="200"/>
      <c r="Q296" s="200"/>
      <c r="R296" s="200"/>
      <c r="T296" s="154"/>
      <c r="V296" s="252"/>
      <c r="W296" s="200"/>
      <c r="X296" s="200"/>
      <c r="Y296" s="252"/>
      <c r="Z296" s="329"/>
      <c r="AA296" s="200"/>
      <c r="AB296" s="200"/>
      <c r="AC296" s="210"/>
      <c r="AD296" s="210"/>
      <c r="AE296" s="200"/>
      <c r="AF296" s="200"/>
      <c r="AG296" s="209"/>
      <c r="AH296" s="201"/>
      <c r="AI296" s="200"/>
      <c r="AJ296" s="200"/>
      <c r="AK296" s="209"/>
      <c r="AL296" s="200"/>
      <c r="AM296" s="210"/>
      <c r="AN296" s="210"/>
    </row>
    <row r="297" spans="1:40" x14ac:dyDescent="0.25">
      <c r="A297" s="202"/>
      <c r="C297" s="154"/>
      <c r="F297" s="200"/>
      <c r="H297" s="200"/>
      <c r="I297" s="200"/>
      <c r="J297" s="329"/>
      <c r="K297" s="329"/>
      <c r="L297" s="200"/>
      <c r="M297" s="200"/>
      <c r="N297" s="210"/>
      <c r="O297" s="210"/>
      <c r="P297" s="200"/>
      <c r="Q297" s="200"/>
      <c r="R297" s="200"/>
      <c r="T297" s="154"/>
      <c r="V297" s="252"/>
      <c r="W297" s="200"/>
      <c r="X297" s="200"/>
      <c r="Y297" s="252"/>
      <c r="Z297" s="329"/>
      <c r="AA297" s="200"/>
      <c r="AB297" s="200"/>
      <c r="AC297" s="210"/>
      <c r="AD297" s="210"/>
      <c r="AE297" s="200"/>
      <c r="AF297" s="200"/>
      <c r="AG297" s="209"/>
      <c r="AH297" s="201"/>
      <c r="AI297" s="200"/>
      <c r="AJ297" s="200"/>
      <c r="AK297" s="209"/>
      <c r="AL297" s="200"/>
      <c r="AM297" s="210"/>
      <c r="AN297" s="210"/>
    </row>
    <row r="298" spans="1:40" x14ac:dyDescent="0.25">
      <c r="A298" s="202"/>
      <c r="C298" s="154"/>
      <c r="F298" s="200"/>
      <c r="H298" s="200"/>
      <c r="I298" s="200"/>
      <c r="J298" s="329"/>
      <c r="K298" s="329"/>
      <c r="L298" s="200"/>
      <c r="M298" s="200"/>
      <c r="N298" s="210"/>
      <c r="O298" s="210"/>
      <c r="P298" s="200"/>
      <c r="Q298" s="200"/>
      <c r="R298" s="200"/>
      <c r="T298" s="154"/>
      <c r="V298" s="252"/>
      <c r="W298" s="200"/>
      <c r="X298" s="200"/>
      <c r="Y298" s="252"/>
      <c r="Z298" s="329"/>
      <c r="AA298" s="200"/>
      <c r="AB298" s="200"/>
      <c r="AC298" s="210"/>
      <c r="AD298" s="210"/>
      <c r="AE298" s="200"/>
      <c r="AF298" s="200"/>
      <c r="AG298" s="209"/>
      <c r="AH298" s="201"/>
      <c r="AI298" s="200"/>
      <c r="AJ298" s="200"/>
      <c r="AK298" s="209"/>
      <c r="AL298" s="200"/>
      <c r="AM298" s="210"/>
      <c r="AN298" s="210"/>
    </row>
    <row r="299" spans="1:40" x14ac:dyDescent="0.25">
      <c r="F299" s="331"/>
      <c r="H299" s="332"/>
      <c r="I299" s="332"/>
      <c r="J299" s="329"/>
      <c r="K299" s="329"/>
      <c r="L299" s="331"/>
      <c r="M299" s="331"/>
      <c r="N299" s="211"/>
      <c r="O299" s="211"/>
      <c r="P299" s="331"/>
      <c r="Q299" s="331"/>
      <c r="R299" s="331"/>
      <c r="V299" s="331"/>
      <c r="W299" s="200"/>
      <c r="X299" s="200"/>
      <c r="Y299" s="331"/>
      <c r="Z299" s="329"/>
      <c r="AA299" s="331"/>
      <c r="AB299" s="331"/>
      <c r="AC299" s="333"/>
      <c r="AD299" s="333"/>
      <c r="AE299" s="331"/>
      <c r="AF299" s="331"/>
      <c r="AG299" s="209"/>
      <c r="AH299" s="201"/>
      <c r="AI299" s="331"/>
      <c r="AJ299" s="331"/>
      <c r="AK299" s="208"/>
      <c r="AL299" s="331"/>
      <c r="AM299" s="210"/>
      <c r="AN299" s="210"/>
    </row>
    <row r="300" spans="1:40" x14ac:dyDescent="0.25">
      <c r="A300" s="202"/>
      <c r="C300" s="154"/>
      <c r="F300" s="200"/>
      <c r="H300" s="200"/>
      <c r="I300" s="200"/>
      <c r="J300" s="329"/>
      <c r="K300" s="329"/>
      <c r="L300" s="200"/>
      <c r="M300" s="200"/>
      <c r="N300" s="201"/>
      <c r="O300" s="201"/>
      <c r="P300" s="200"/>
      <c r="Q300" s="200"/>
      <c r="R300" s="200"/>
      <c r="T300" s="103"/>
      <c r="V300" s="200"/>
      <c r="W300" s="200"/>
      <c r="X300" s="200"/>
      <c r="Y300" s="200"/>
      <c r="Z300" s="329"/>
      <c r="AA300" s="200"/>
      <c r="AB300" s="200"/>
      <c r="AC300" s="201"/>
      <c r="AD300" s="201"/>
      <c r="AE300" s="200"/>
      <c r="AF300" s="200"/>
      <c r="AG300" s="209"/>
      <c r="AH300" s="201"/>
      <c r="AI300" s="200"/>
      <c r="AJ300" s="200"/>
      <c r="AK300" s="209"/>
      <c r="AL300" s="200"/>
      <c r="AM300" s="210"/>
      <c r="AN300" s="210"/>
    </row>
    <row r="301" spans="1:40" x14ac:dyDescent="0.25">
      <c r="F301" s="102"/>
      <c r="H301" s="102"/>
      <c r="I301" s="102"/>
      <c r="L301" s="102"/>
      <c r="M301" s="102"/>
      <c r="N301" s="333"/>
      <c r="O301" s="333"/>
      <c r="P301" s="331"/>
      <c r="Q301" s="331"/>
      <c r="R301" s="331"/>
      <c r="V301" s="331"/>
      <c r="Y301" s="331"/>
      <c r="Z301" s="305"/>
      <c r="AA301" s="331"/>
      <c r="AB301" s="331"/>
      <c r="AC301" s="331"/>
      <c r="AD301" s="331"/>
      <c r="AE301" s="331"/>
      <c r="AF301" s="331"/>
      <c r="AI301" s="331"/>
      <c r="AJ301" s="331"/>
      <c r="AK301" s="208"/>
      <c r="AL301" s="331"/>
      <c r="AM301" s="333"/>
      <c r="AN301" s="333"/>
    </row>
    <row r="302" spans="1:40" x14ac:dyDescent="0.25">
      <c r="AI302" s="202"/>
      <c r="AJ302" s="202"/>
    </row>
    <row r="306" spans="1:40" x14ac:dyDescent="0.25">
      <c r="N306" s="200"/>
      <c r="O306" s="200"/>
      <c r="P306" s="200"/>
      <c r="Q306" s="200"/>
      <c r="R306" s="200"/>
      <c r="V306" s="200"/>
      <c r="Y306" s="200"/>
      <c r="Z306" s="213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A307" s="202"/>
      <c r="C307" s="154"/>
      <c r="D307" s="154"/>
      <c r="E307" s="154"/>
      <c r="J307" s="334"/>
      <c r="K307" s="334"/>
      <c r="T307" s="154"/>
      <c r="U307" s="154"/>
      <c r="Z307" s="334"/>
      <c r="AE307" s="200"/>
      <c r="AF307" s="200"/>
      <c r="AI307" s="200"/>
      <c r="AJ307" s="200"/>
      <c r="AK307" s="209"/>
      <c r="AL307" s="200"/>
      <c r="AM307" s="210"/>
      <c r="AN307" s="210"/>
    </row>
    <row r="308" spans="1:40" x14ac:dyDescent="0.25">
      <c r="D308" s="154"/>
      <c r="E308" s="154"/>
      <c r="F308" s="200"/>
      <c r="H308" s="200"/>
      <c r="I308" s="200"/>
      <c r="J308" s="329"/>
      <c r="K308" s="329"/>
      <c r="L308" s="200"/>
      <c r="M308" s="200"/>
      <c r="N308" s="210"/>
      <c r="O308" s="210"/>
      <c r="P308" s="200"/>
      <c r="Q308" s="200"/>
      <c r="R308" s="200"/>
      <c r="U308" s="154"/>
      <c r="V308" s="200"/>
      <c r="Y308" s="200"/>
      <c r="Z308" s="329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F309" s="200"/>
      <c r="H309" s="200"/>
      <c r="I309" s="200"/>
      <c r="J309" s="305"/>
      <c r="K309" s="305"/>
      <c r="L309" s="200"/>
      <c r="M309" s="200"/>
      <c r="N309" s="200"/>
      <c r="O309" s="200"/>
      <c r="P309" s="200"/>
      <c r="Q309" s="200"/>
      <c r="R309" s="200"/>
      <c r="V309" s="200"/>
      <c r="Y309" s="200"/>
      <c r="Z309" s="305"/>
      <c r="AA309" s="200"/>
      <c r="AB309" s="200"/>
      <c r="AC309" s="200"/>
      <c r="AD309" s="200"/>
      <c r="AE309" s="200"/>
      <c r="AF309" s="200"/>
      <c r="AG309" s="209"/>
      <c r="AH309" s="201"/>
      <c r="AI309" s="252"/>
      <c r="AJ309" s="252"/>
      <c r="AK309" s="209"/>
      <c r="AL309" s="200"/>
      <c r="AM309" s="210"/>
      <c r="AN309" s="210"/>
    </row>
    <row r="310" spans="1:40" x14ac:dyDescent="0.25">
      <c r="A310" s="202"/>
      <c r="C310" s="154"/>
      <c r="F310" s="252"/>
      <c r="H310" s="252"/>
      <c r="I310" s="252"/>
      <c r="J310" s="304"/>
      <c r="K310" s="304"/>
      <c r="L310" s="200"/>
      <c r="M310" s="200"/>
      <c r="N310" s="210"/>
      <c r="O310" s="210"/>
      <c r="P310" s="200"/>
      <c r="Q310" s="200"/>
      <c r="R310" s="200"/>
      <c r="T310" s="154"/>
      <c r="V310" s="252"/>
      <c r="Y310" s="252"/>
      <c r="Z310" s="304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F311" s="102"/>
      <c r="H311" s="102"/>
      <c r="I311" s="102"/>
      <c r="L311" s="102"/>
      <c r="M311" s="102"/>
      <c r="N311" s="102"/>
      <c r="O311" s="102"/>
      <c r="P311" s="102"/>
      <c r="Q311" s="102"/>
      <c r="R311" s="102"/>
      <c r="V311" s="102"/>
      <c r="Y311" s="102"/>
      <c r="AA311" s="102"/>
      <c r="AB311" s="102"/>
      <c r="AC311" s="102"/>
      <c r="AD311" s="102"/>
      <c r="AE311" s="102"/>
      <c r="AF311" s="102"/>
      <c r="AG311" s="208"/>
      <c r="AH311" s="102"/>
      <c r="AI311" s="102"/>
      <c r="AJ311" s="102"/>
      <c r="AK311" s="208"/>
      <c r="AL311" s="102"/>
      <c r="AM311" s="102"/>
      <c r="AN311" s="102"/>
    </row>
    <row r="312" spans="1:40" x14ac:dyDescent="0.25">
      <c r="A312" s="202"/>
      <c r="C312" s="103"/>
      <c r="F312" s="252"/>
      <c r="H312" s="252"/>
      <c r="I312" s="252"/>
      <c r="J312" s="300"/>
      <c r="K312" s="300"/>
      <c r="L312" s="252"/>
      <c r="M312" s="252"/>
      <c r="N312" s="210"/>
      <c r="O312" s="210"/>
      <c r="P312" s="252"/>
      <c r="Q312" s="252"/>
      <c r="R312" s="252"/>
      <c r="T312" s="103"/>
      <c r="V312" s="200"/>
      <c r="Y312" s="200"/>
      <c r="Z312" s="213"/>
      <c r="AA312" s="200"/>
      <c r="AB312" s="200"/>
      <c r="AC312" s="210"/>
      <c r="AD312" s="210"/>
      <c r="AE312" s="202"/>
      <c r="AF312" s="202"/>
      <c r="AG312" s="209"/>
      <c r="AH312" s="201"/>
      <c r="AI312" s="200"/>
      <c r="AJ312" s="200"/>
      <c r="AK312" s="209"/>
      <c r="AL312" s="200"/>
      <c r="AM312" s="210"/>
      <c r="AN312" s="210"/>
    </row>
    <row r="313" spans="1:40" x14ac:dyDescent="0.25">
      <c r="F313" s="331"/>
      <c r="H313" s="331"/>
      <c r="I313" s="331"/>
      <c r="J313" s="305"/>
      <c r="K313" s="305"/>
      <c r="L313" s="331"/>
      <c r="M313" s="331"/>
      <c r="N313" s="331"/>
      <c r="O313" s="331"/>
      <c r="P313" s="331"/>
      <c r="Q313" s="331"/>
      <c r="R313" s="331"/>
      <c r="V313" s="102"/>
      <c r="Y313" s="102"/>
      <c r="AA313" s="102"/>
      <c r="AB313" s="102"/>
      <c r="AC313" s="102"/>
      <c r="AD313" s="102"/>
      <c r="AE313" s="102"/>
      <c r="AF313" s="102"/>
      <c r="AG313" s="208"/>
      <c r="AH313" s="102"/>
      <c r="AI313" s="102"/>
      <c r="AJ313" s="102"/>
      <c r="AK313" s="208"/>
      <c r="AL313" s="102"/>
      <c r="AM313" s="102"/>
      <c r="AN313" s="102"/>
    </row>
    <row r="314" spans="1:40" x14ac:dyDescent="0.25">
      <c r="F314" s="252"/>
      <c r="H314" s="252"/>
      <c r="I314" s="252"/>
      <c r="J314" s="328"/>
      <c r="K314" s="328"/>
      <c r="L314" s="200"/>
      <c r="M314" s="200"/>
      <c r="N314" s="210"/>
      <c r="O314" s="210"/>
      <c r="P314" s="200"/>
      <c r="Q314" s="200"/>
      <c r="R314" s="200"/>
    </row>
    <row r="315" spans="1:40" x14ac:dyDescent="0.25">
      <c r="A315" s="154"/>
      <c r="F315" s="252"/>
      <c r="H315" s="252"/>
      <c r="I315" s="252"/>
      <c r="J315" s="300"/>
      <c r="K315" s="300"/>
      <c r="L315" s="200"/>
      <c r="M315" s="200"/>
      <c r="N315" s="210"/>
      <c r="O315" s="210"/>
      <c r="P315" s="200"/>
      <c r="Q315" s="200"/>
      <c r="R315" s="200"/>
    </row>
    <row r="316" spans="1:40" x14ac:dyDescent="0.25">
      <c r="F316" s="252"/>
      <c r="H316" s="252"/>
      <c r="I316" s="252"/>
      <c r="J316" s="300"/>
      <c r="K316" s="300"/>
      <c r="L316" s="200"/>
      <c r="M316" s="200"/>
      <c r="N316" s="210"/>
      <c r="O316" s="210"/>
      <c r="P316" s="200"/>
      <c r="Q316" s="200"/>
      <c r="R316" s="200"/>
    </row>
    <row r="317" spans="1:40" x14ac:dyDescent="0.25">
      <c r="A317" s="154"/>
    </row>
    <row r="319" spans="1:40" x14ac:dyDescent="0.25">
      <c r="J319" s="202"/>
      <c r="K319" s="202"/>
      <c r="Z319" s="202"/>
    </row>
    <row r="320" spans="1:40" x14ac:dyDescent="0.25">
      <c r="H320" s="154"/>
      <c r="I320" s="154"/>
      <c r="Y320" s="154"/>
    </row>
    <row r="321" spans="1:40" x14ac:dyDescent="0.25">
      <c r="J321" s="202"/>
      <c r="K321" s="202"/>
      <c r="Z321" s="202"/>
    </row>
    <row r="322" spans="1:40" x14ac:dyDescent="0.25">
      <c r="L322" s="154"/>
      <c r="M322" s="154"/>
      <c r="AA322" s="154"/>
      <c r="AB322" s="154"/>
    </row>
    <row r="323" spans="1:40" x14ac:dyDescent="0.25">
      <c r="A323" s="202"/>
      <c r="R323" s="154"/>
      <c r="AK323" s="297"/>
      <c r="AL323" s="154"/>
    </row>
    <row r="324" spans="1:40" x14ac:dyDescent="0.25">
      <c r="A324" s="202"/>
      <c r="R324" s="154"/>
      <c r="AK324" s="297"/>
      <c r="AL324" s="154"/>
    </row>
    <row r="325" spans="1:40" x14ac:dyDescent="0.25">
      <c r="A325" s="154"/>
      <c r="R325" s="154"/>
      <c r="AK325" s="297"/>
      <c r="AL325" s="154"/>
    </row>
    <row r="326" spans="1:40" x14ac:dyDescent="0.25">
      <c r="L326" s="154"/>
      <c r="M326" s="154"/>
      <c r="R326" s="202"/>
      <c r="AA326" s="154"/>
      <c r="AB326" s="154"/>
      <c r="AK326" s="209"/>
      <c r="AL326" s="202"/>
    </row>
    <row r="327" spans="1:40" x14ac:dyDescent="0.25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208"/>
      <c r="AH327" s="102"/>
      <c r="AI327" s="102"/>
      <c r="AJ327" s="102"/>
      <c r="AK327" s="208"/>
      <c r="AL327" s="102"/>
      <c r="AM327" s="102"/>
      <c r="AN327" s="102"/>
    </row>
    <row r="328" spans="1:40" x14ac:dyDescent="0.25">
      <c r="L328" s="103"/>
      <c r="M328" s="103"/>
      <c r="N328" s="103"/>
      <c r="O328" s="103"/>
      <c r="R328" s="103"/>
      <c r="AA328" s="103"/>
      <c r="AB328" s="103"/>
      <c r="AC328" s="103"/>
      <c r="AD328" s="103"/>
      <c r="AE328" s="103"/>
      <c r="AF328" s="103"/>
      <c r="AG328" s="185"/>
      <c r="AH328" s="103"/>
      <c r="AK328" s="185"/>
      <c r="AL328" s="103"/>
      <c r="AM328" s="103"/>
      <c r="AN328" s="103"/>
    </row>
    <row r="329" spans="1:40" x14ac:dyDescent="0.25">
      <c r="L329" s="103"/>
      <c r="M329" s="103"/>
      <c r="N329" s="103"/>
      <c r="O329" s="103"/>
      <c r="R329" s="103"/>
      <c r="Z329" s="103"/>
      <c r="AA329" s="103"/>
      <c r="AB329" s="103"/>
      <c r="AC329" s="103"/>
      <c r="AD329" s="103"/>
      <c r="AE329" s="103"/>
      <c r="AF329" s="103"/>
      <c r="AG329" s="185"/>
      <c r="AH329" s="103"/>
      <c r="AK329" s="185"/>
      <c r="AL329" s="103"/>
      <c r="AM329" s="103"/>
      <c r="AN329" s="103"/>
    </row>
    <row r="330" spans="1:40" x14ac:dyDescent="0.25">
      <c r="A330" s="103"/>
      <c r="C330" s="103"/>
      <c r="D330" s="103"/>
      <c r="E330" s="103"/>
      <c r="F330" s="103"/>
      <c r="J330" s="103"/>
      <c r="K330" s="103"/>
      <c r="L330" s="103"/>
      <c r="M330" s="103"/>
      <c r="N330" s="103"/>
      <c r="O330" s="103"/>
      <c r="P330" s="103"/>
      <c r="Q330" s="103"/>
      <c r="R330" s="103"/>
      <c r="T330" s="103"/>
      <c r="U330" s="103"/>
      <c r="V330" s="103"/>
      <c r="Z330" s="103"/>
      <c r="AA330" s="103"/>
      <c r="AB330" s="103"/>
      <c r="AC330" s="103"/>
      <c r="AD330" s="103"/>
      <c r="AE330" s="103"/>
      <c r="AF330" s="103"/>
      <c r="AG330" s="185"/>
      <c r="AH330" s="103"/>
      <c r="AI330" s="103"/>
      <c r="AJ330" s="103"/>
      <c r="AK330" s="185"/>
      <c r="AL330" s="103"/>
      <c r="AM330" s="103"/>
      <c r="AN330" s="103"/>
    </row>
    <row r="331" spans="1:40" x14ac:dyDescent="0.25">
      <c r="A331" s="103"/>
      <c r="C331" s="103"/>
      <c r="D331" s="103"/>
      <c r="E331" s="103"/>
      <c r="F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T331" s="103"/>
      <c r="U331" s="103"/>
      <c r="V331" s="103"/>
      <c r="Y331" s="103"/>
      <c r="Z331" s="103"/>
      <c r="AA331" s="103"/>
      <c r="AB331" s="103"/>
      <c r="AC331" s="103"/>
      <c r="AD331" s="103"/>
      <c r="AE331" s="103"/>
      <c r="AF331" s="103"/>
      <c r="AG331" s="185"/>
      <c r="AH331" s="103"/>
      <c r="AI331" s="103"/>
      <c r="AJ331" s="103"/>
      <c r="AK331" s="185"/>
      <c r="AL331" s="103"/>
      <c r="AM331" s="103"/>
      <c r="AN331" s="103"/>
    </row>
    <row r="332" spans="1:40" x14ac:dyDescent="0.25">
      <c r="C332" s="103"/>
      <c r="D332" s="103"/>
      <c r="E332" s="103"/>
      <c r="F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T332" s="103"/>
      <c r="U332" s="103"/>
      <c r="V332" s="103"/>
      <c r="Y332" s="103"/>
      <c r="Z332" s="103"/>
      <c r="AA332" s="103"/>
      <c r="AB332" s="103"/>
      <c r="AC332" s="103"/>
      <c r="AD332" s="103"/>
      <c r="AE332" s="103"/>
      <c r="AF332" s="103"/>
      <c r="AG332" s="185"/>
      <c r="AH332" s="103"/>
      <c r="AI332" s="103"/>
      <c r="AJ332" s="103"/>
      <c r="AK332" s="185"/>
      <c r="AL332" s="103"/>
      <c r="AM332" s="103"/>
      <c r="AN332" s="103"/>
    </row>
    <row r="333" spans="1:40" x14ac:dyDescent="0.25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208"/>
      <c r="AH333" s="102"/>
      <c r="AI333" s="102"/>
      <c r="AJ333" s="102"/>
      <c r="AK333" s="208"/>
      <c r="AL333" s="102"/>
      <c r="AM333" s="102"/>
      <c r="AN333" s="102"/>
    </row>
    <row r="334" spans="1:40" x14ac:dyDescent="0.25"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Y334" s="103"/>
      <c r="Z334" s="103"/>
      <c r="AA334" s="103"/>
      <c r="AB334" s="103"/>
      <c r="AC334" s="103"/>
      <c r="AD334" s="103"/>
      <c r="AE334" s="103"/>
      <c r="AF334" s="103"/>
      <c r="AG334" s="185"/>
      <c r="AH334" s="103"/>
      <c r="AI334" s="103"/>
      <c r="AJ334" s="103"/>
      <c r="AK334" s="185"/>
      <c r="AL334" s="103"/>
      <c r="AM334" s="103"/>
      <c r="AN334" s="103"/>
    </row>
    <row r="335" spans="1:40" x14ac:dyDescent="0.25">
      <c r="A335" s="202"/>
      <c r="C335" s="154"/>
      <c r="D335" s="154"/>
      <c r="E335" s="154"/>
      <c r="T335" s="154"/>
      <c r="U335" s="154"/>
    </row>
    <row r="337" spans="1:40" x14ac:dyDescent="0.25">
      <c r="A337" s="202"/>
      <c r="C337" s="154"/>
      <c r="T337" s="154"/>
    </row>
    <row r="338" spans="1:40" x14ac:dyDescent="0.25">
      <c r="A338" s="202"/>
      <c r="C338" s="154"/>
      <c r="F338" s="252"/>
      <c r="H338" s="252"/>
      <c r="I338" s="252"/>
      <c r="J338" s="305"/>
      <c r="K338" s="305"/>
      <c r="L338" s="200"/>
      <c r="M338" s="200"/>
      <c r="N338" s="210"/>
      <c r="O338" s="210"/>
      <c r="P338" s="200"/>
      <c r="Q338" s="200"/>
      <c r="R338" s="200"/>
      <c r="T338" s="154"/>
      <c r="V338" s="252"/>
      <c r="Y338" s="252"/>
      <c r="Z338" s="305"/>
      <c r="AA338" s="200"/>
      <c r="AB338" s="200"/>
      <c r="AC338" s="210"/>
      <c r="AD338" s="210"/>
      <c r="AE338" s="200"/>
      <c r="AF338" s="200"/>
      <c r="AG338" s="209"/>
      <c r="AH338" s="201"/>
      <c r="AI338" s="200"/>
      <c r="AJ338" s="200"/>
      <c r="AK338" s="209"/>
      <c r="AL338" s="200"/>
      <c r="AM338" s="210"/>
      <c r="AN338" s="210"/>
    </row>
    <row r="339" spans="1:40" x14ac:dyDescent="0.25">
      <c r="A339" s="202"/>
      <c r="C339" s="154"/>
      <c r="T339" s="154"/>
    </row>
    <row r="340" spans="1:40" x14ac:dyDescent="0.25">
      <c r="A340" s="202"/>
      <c r="C340" s="154"/>
      <c r="F340" s="252"/>
      <c r="H340" s="252"/>
      <c r="I340" s="252"/>
      <c r="J340" s="329"/>
      <c r="K340" s="329"/>
      <c r="L340" s="200"/>
      <c r="M340" s="200"/>
      <c r="N340" s="210"/>
      <c r="O340" s="210"/>
      <c r="P340" s="200"/>
      <c r="Q340" s="200"/>
      <c r="R340" s="200"/>
      <c r="T340" s="154"/>
      <c r="V340" s="200"/>
      <c r="Y340" s="200"/>
      <c r="Z340" s="329"/>
      <c r="AA340" s="200"/>
      <c r="AB340" s="200"/>
      <c r="AC340" s="210"/>
      <c r="AD340" s="210"/>
      <c r="AE340" s="200"/>
      <c r="AF340" s="200"/>
      <c r="AG340" s="209"/>
      <c r="AH340" s="201"/>
      <c r="AI340" s="200"/>
      <c r="AJ340" s="200"/>
      <c r="AK340" s="209"/>
      <c r="AL340" s="200"/>
      <c r="AM340" s="210"/>
      <c r="AN340" s="210"/>
    </row>
    <row r="341" spans="1:40" x14ac:dyDescent="0.25">
      <c r="A341" s="202"/>
      <c r="C341" s="154"/>
      <c r="F341" s="252"/>
      <c r="H341" s="252"/>
      <c r="I341" s="252"/>
      <c r="J341" s="329"/>
      <c r="K341" s="329"/>
      <c r="L341" s="200"/>
      <c r="M341" s="200"/>
      <c r="N341" s="210"/>
      <c r="O341" s="210"/>
      <c r="P341" s="200"/>
      <c r="Q341" s="200"/>
      <c r="R341" s="200"/>
      <c r="T341" s="154"/>
      <c r="V341" s="200"/>
      <c r="Y341" s="200"/>
      <c r="Z341" s="329"/>
      <c r="AA341" s="200"/>
      <c r="AB341" s="200"/>
      <c r="AC341" s="210"/>
      <c r="AD341" s="210"/>
      <c r="AE341" s="200"/>
      <c r="AF341" s="200"/>
      <c r="AG341" s="209"/>
      <c r="AH341" s="201"/>
      <c r="AI341" s="200"/>
      <c r="AJ341" s="200"/>
      <c r="AK341" s="209"/>
      <c r="AL341" s="200"/>
      <c r="AM341" s="210"/>
      <c r="AN341" s="210"/>
    </row>
    <row r="342" spans="1:40" x14ac:dyDescent="0.25">
      <c r="A342" s="202"/>
      <c r="C342" s="154"/>
      <c r="F342" s="252"/>
      <c r="H342" s="252"/>
      <c r="I342" s="252"/>
      <c r="J342" s="329"/>
      <c r="K342" s="329"/>
      <c r="L342" s="200"/>
      <c r="M342" s="200"/>
      <c r="N342" s="210"/>
      <c r="O342" s="210"/>
      <c r="P342" s="200"/>
      <c r="Q342" s="200"/>
      <c r="R342" s="200"/>
      <c r="T342" s="154"/>
      <c r="V342" s="200"/>
      <c r="Y342" s="200"/>
      <c r="Z342" s="329"/>
      <c r="AA342" s="200"/>
      <c r="AB342" s="200"/>
      <c r="AC342" s="210"/>
      <c r="AD342" s="210"/>
      <c r="AE342" s="200"/>
      <c r="AF342" s="200"/>
      <c r="AG342" s="209"/>
      <c r="AH342" s="201"/>
      <c r="AI342" s="200"/>
      <c r="AJ342" s="200"/>
      <c r="AK342" s="209"/>
      <c r="AL342" s="200"/>
      <c r="AM342" s="210"/>
      <c r="AN342" s="210"/>
    </row>
    <row r="343" spans="1:40" x14ac:dyDescent="0.25">
      <c r="A343" s="202"/>
      <c r="C343" s="154"/>
      <c r="F343" s="252"/>
      <c r="H343" s="252"/>
      <c r="I343" s="252"/>
      <c r="J343" s="329"/>
      <c r="K343" s="329"/>
      <c r="L343" s="200"/>
      <c r="M343" s="200"/>
      <c r="N343" s="210"/>
      <c r="O343" s="210"/>
      <c r="P343" s="200"/>
      <c r="Q343" s="200"/>
      <c r="R343" s="200"/>
      <c r="T343" s="154"/>
      <c r="V343" s="200"/>
      <c r="Y343" s="200"/>
      <c r="Z343" s="329"/>
      <c r="AA343" s="200"/>
      <c r="AB343" s="200"/>
      <c r="AC343" s="210"/>
      <c r="AD343" s="210"/>
      <c r="AE343" s="200"/>
      <c r="AF343" s="200"/>
      <c r="AG343" s="209"/>
      <c r="AH343" s="201"/>
      <c r="AI343" s="200"/>
      <c r="AJ343" s="200"/>
      <c r="AK343" s="209"/>
      <c r="AL343" s="200"/>
      <c r="AM343" s="210"/>
      <c r="AN343" s="210"/>
    </row>
    <row r="344" spans="1:40" x14ac:dyDescent="0.25">
      <c r="A344" s="202"/>
      <c r="C344" s="154"/>
      <c r="J344" s="334"/>
      <c r="K344" s="334"/>
      <c r="T344" s="154"/>
      <c r="Z344" s="334"/>
    </row>
    <row r="345" spans="1:40" x14ac:dyDescent="0.25">
      <c r="A345" s="202"/>
      <c r="C345" s="154"/>
      <c r="F345" s="252"/>
      <c r="H345" s="252"/>
      <c r="I345" s="252"/>
      <c r="J345" s="329"/>
      <c r="K345" s="329"/>
      <c r="L345" s="200"/>
      <c r="M345" s="200"/>
      <c r="N345" s="210"/>
      <c r="O345" s="210"/>
      <c r="P345" s="200"/>
      <c r="Q345" s="200"/>
      <c r="R345" s="200"/>
      <c r="T345" s="154"/>
      <c r="V345" s="200"/>
      <c r="Y345" s="200"/>
      <c r="Z345" s="329"/>
      <c r="AA345" s="200"/>
      <c r="AB345" s="200"/>
      <c r="AC345" s="210"/>
      <c r="AD345" s="210"/>
      <c r="AE345" s="200"/>
      <c r="AF345" s="200"/>
      <c r="AG345" s="209"/>
      <c r="AH345" s="201"/>
      <c r="AI345" s="200"/>
      <c r="AJ345" s="200"/>
      <c r="AK345" s="209"/>
      <c r="AL345" s="200"/>
      <c r="AM345" s="210"/>
      <c r="AN345" s="210"/>
    </row>
    <row r="346" spans="1:40" x14ac:dyDescent="0.25">
      <c r="A346" s="202"/>
      <c r="C346" s="154"/>
      <c r="F346" s="252"/>
      <c r="H346" s="252"/>
      <c r="I346" s="252"/>
      <c r="J346" s="329"/>
      <c r="K346" s="329"/>
      <c r="L346" s="200"/>
      <c r="M346" s="200"/>
      <c r="N346" s="210"/>
      <c r="O346" s="210"/>
      <c r="P346" s="200"/>
      <c r="Q346" s="200"/>
      <c r="R346" s="200"/>
      <c r="T346" s="154"/>
      <c r="V346" s="200"/>
      <c r="Y346" s="200"/>
      <c r="Z346" s="329"/>
      <c r="AA346" s="200"/>
      <c r="AB346" s="200"/>
      <c r="AC346" s="210"/>
      <c r="AD346" s="210"/>
      <c r="AE346" s="200"/>
      <c r="AF346" s="200"/>
      <c r="AG346" s="209"/>
      <c r="AH346" s="201"/>
      <c r="AI346" s="200"/>
      <c r="AJ346" s="200"/>
      <c r="AK346" s="209"/>
      <c r="AL346" s="200"/>
      <c r="AM346" s="210"/>
      <c r="AN346" s="210"/>
    </row>
    <row r="347" spans="1:40" x14ac:dyDescent="0.25">
      <c r="A347" s="202"/>
      <c r="C347" s="154"/>
      <c r="F347" s="252"/>
      <c r="H347" s="252"/>
      <c r="I347" s="252"/>
      <c r="J347" s="329"/>
      <c r="K347" s="329"/>
      <c r="L347" s="200"/>
      <c r="M347" s="200"/>
      <c r="N347" s="210"/>
      <c r="O347" s="210"/>
      <c r="P347" s="200"/>
      <c r="Q347" s="200"/>
      <c r="R347" s="200"/>
      <c r="T347" s="154"/>
      <c r="V347" s="200"/>
      <c r="Y347" s="200"/>
      <c r="Z347" s="329"/>
      <c r="AA347" s="200"/>
      <c r="AB347" s="200"/>
      <c r="AC347" s="210"/>
      <c r="AD347" s="210"/>
      <c r="AE347" s="200"/>
      <c r="AF347" s="200"/>
      <c r="AG347" s="209"/>
      <c r="AH347" s="201"/>
      <c r="AI347" s="200"/>
      <c r="AJ347" s="200"/>
      <c r="AK347" s="209"/>
      <c r="AL347" s="200"/>
      <c r="AM347" s="210"/>
      <c r="AN347" s="210"/>
    </row>
    <row r="348" spans="1:40" x14ac:dyDescent="0.25">
      <c r="A348" s="202"/>
      <c r="C348" s="154"/>
      <c r="J348" s="334"/>
      <c r="K348" s="334"/>
      <c r="T348" s="154"/>
      <c r="Z348" s="334"/>
    </row>
    <row r="349" spans="1:40" x14ac:dyDescent="0.25">
      <c r="A349" s="202"/>
      <c r="C349" s="154"/>
      <c r="F349" s="252"/>
      <c r="H349" s="252"/>
      <c r="I349" s="252"/>
      <c r="J349" s="329"/>
      <c r="K349" s="329"/>
      <c r="L349" s="200"/>
      <c r="M349" s="200"/>
      <c r="N349" s="210"/>
      <c r="O349" s="210"/>
      <c r="P349" s="200"/>
      <c r="Q349" s="200"/>
      <c r="R349" s="200"/>
      <c r="T349" s="154"/>
      <c r="V349" s="200"/>
      <c r="Y349" s="200"/>
      <c r="Z349" s="329"/>
      <c r="AA349" s="200"/>
      <c r="AB349" s="200"/>
      <c r="AC349" s="210"/>
      <c r="AD349" s="210"/>
      <c r="AE349" s="200"/>
      <c r="AF349" s="200"/>
      <c r="AG349" s="209"/>
      <c r="AH349" s="201"/>
      <c r="AI349" s="200"/>
      <c r="AJ349" s="200"/>
      <c r="AK349" s="209"/>
      <c r="AL349" s="200"/>
      <c r="AM349" s="210"/>
      <c r="AN349" s="210"/>
    </row>
    <row r="350" spans="1:40" x14ac:dyDescent="0.25">
      <c r="A350" s="202"/>
      <c r="C350" s="154"/>
      <c r="F350" s="252"/>
      <c r="H350" s="252"/>
      <c r="I350" s="252"/>
      <c r="J350" s="329"/>
      <c r="K350" s="329"/>
      <c r="L350" s="200"/>
      <c r="M350" s="200"/>
      <c r="N350" s="210"/>
      <c r="O350" s="210"/>
      <c r="P350" s="200"/>
      <c r="Q350" s="200"/>
      <c r="R350" s="200"/>
      <c r="T350" s="154"/>
      <c r="V350" s="200"/>
      <c r="Y350" s="200"/>
      <c r="Z350" s="329"/>
      <c r="AA350" s="200"/>
      <c r="AB350" s="200"/>
      <c r="AC350" s="210"/>
      <c r="AD350" s="210"/>
      <c r="AE350" s="200"/>
      <c r="AF350" s="200"/>
      <c r="AG350" s="209"/>
      <c r="AH350" s="201"/>
      <c r="AI350" s="200"/>
      <c r="AJ350" s="200"/>
      <c r="AK350" s="209"/>
      <c r="AL350" s="200"/>
      <c r="AM350" s="210"/>
      <c r="AN350" s="210"/>
    </row>
    <row r="351" spans="1:40" x14ac:dyDescent="0.25">
      <c r="A351" s="202"/>
      <c r="C351" s="154"/>
      <c r="J351" s="334"/>
      <c r="K351" s="334"/>
      <c r="T351" s="154"/>
      <c r="Z351" s="334"/>
    </row>
    <row r="352" spans="1:40" x14ac:dyDescent="0.25">
      <c r="A352" s="202"/>
      <c r="C352" s="154"/>
      <c r="F352" s="252"/>
      <c r="H352" s="252"/>
      <c r="I352" s="252"/>
      <c r="J352" s="329"/>
      <c r="K352" s="329"/>
      <c r="L352" s="200"/>
      <c r="M352" s="200"/>
      <c r="N352" s="210"/>
      <c r="O352" s="210"/>
      <c r="P352" s="200"/>
      <c r="Q352" s="200"/>
      <c r="R352" s="200"/>
      <c r="T352" s="154"/>
      <c r="V352" s="200"/>
      <c r="Y352" s="200"/>
      <c r="Z352" s="329"/>
      <c r="AA352" s="200"/>
      <c r="AB352" s="200"/>
      <c r="AC352" s="210"/>
      <c r="AD352" s="210"/>
      <c r="AE352" s="200"/>
      <c r="AF352" s="200"/>
      <c r="AG352" s="209"/>
      <c r="AH352" s="201"/>
      <c r="AI352" s="200"/>
      <c r="AJ352" s="200"/>
      <c r="AK352" s="209"/>
      <c r="AL352" s="200"/>
      <c r="AM352" s="210"/>
      <c r="AN352" s="210"/>
    </row>
    <row r="353" spans="1:40" x14ac:dyDescent="0.25">
      <c r="A353" s="202"/>
      <c r="C353" s="154"/>
      <c r="F353" s="252"/>
      <c r="H353" s="252"/>
      <c r="I353" s="252"/>
      <c r="J353" s="329"/>
      <c r="K353" s="329"/>
      <c r="L353" s="200"/>
      <c r="M353" s="200"/>
      <c r="N353" s="210"/>
      <c r="O353" s="210"/>
      <c r="P353" s="200"/>
      <c r="Q353" s="200"/>
      <c r="R353" s="200"/>
      <c r="T353" s="154"/>
      <c r="V353" s="200"/>
      <c r="Y353" s="200"/>
      <c r="Z353" s="329"/>
      <c r="AA353" s="200"/>
      <c r="AB353" s="200"/>
      <c r="AC353" s="210"/>
      <c r="AD353" s="210"/>
      <c r="AE353" s="200"/>
      <c r="AF353" s="200"/>
      <c r="AG353" s="209"/>
      <c r="AH353" s="201"/>
      <c r="AI353" s="200"/>
      <c r="AJ353" s="200"/>
      <c r="AK353" s="209"/>
      <c r="AL353" s="200"/>
      <c r="AM353" s="210"/>
      <c r="AN353" s="210"/>
    </row>
    <row r="354" spans="1:40" x14ac:dyDescent="0.25">
      <c r="A354" s="202"/>
      <c r="C354" s="154"/>
      <c r="F354" s="252"/>
      <c r="H354" s="252"/>
      <c r="I354" s="252"/>
      <c r="J354" s="329"/>
      <c r="K354" s="329"/>
      <c r="L354" s="200"/>
      <c r="M354" s="200"/>
      <c r="N354" s="210"/>
      <c r="O354" s="210"/>
      <c r="P354" s="200"/>
      <c r="Q354" s="200"/>
      <c r="R354" s="200"/>
      <c r="T354" s="154"/>
      <c r="V354" s="200"/>
      <c r="Y354" s="200"/>
      <c r="Z354" s="329"/>
      <c r="AA354" s="200"/>
      <c r="AB354" s="200"/>
      <c r="AC354" s="210"/>
      <c r="AD354" s="210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F355" s="211"/>
      <c r="H355" s="211"/>
      <c r="I355" s="211"/>
      <c r="J355" s="329"/>
      <c r="K355" s="329"/>
      <c r="L355" s="211"/>
      <c r="M355" s="211"/>
      <c r="N355" s="211"/>
      <c r="O355" s="211"/>
      <c r="P355" s="211"/>
      <c r="Q355" s="211"/>
      <c r="R355" s="211"/>
      <c r="V355" s="211"/>
      <c r="Y355" s="211"/>
      <c r="Z355" s="329"/>
      <c r="AA355" s="211"/>
      <c r="AB355" s="211"/>
      <c r="AC355" s="211"/>
      <c r="AD355" s="211"/>
      <c r="AE355" s="211"/>
      <c r="AF355" s="211"/>
      <c r="AI355" s="211"/>
      <c r="AJ355" s="211"/>
      <c r="AK355" s="212"/>
      <c r="AL355" s="211"/>
    </row>
    <row r="356" spans="1:40" x14ac:dyDescent="0.25">
      <c r="A356" s="202"/>
      <c r="C356" s="103"/>
      <c r="F356" s="200"/>
      <c r="H356" s="200"/>
      <c r="I356" s="200"/>
      <c r="J356" s="334"/>
      <c r="K356" s="334"/>
      <c r="L356" s="200"/>
      <c r="M356" s="200"/>
      <c r="N356" s="201"/>
      <c r="O356" s="201"/>
      <c r="P356" s="200"/>
      <c r="Q356" s="200"/>
      <c r="R356" s="200"/>
      <c r="T356" s="103"/>
      <c r="V356" s="200"/>
      <c r="Y356" s="200"/>
      <c r="Z356" s="334"/>
      <c r="AA356" s="200"/>
      <c r="AB356" s="200"/>
      <c r="AC356" s="200"/>
      <c r="AD356" s="20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F357" s="211"/>
      <c r="H357" s="211"/>
      <c r="I357" s="211"/>
      <c r="J357" s="329"/>
      <c r="K357" s="329"/>
      <c r="L357" s="211"/>
      <c r="M357" s="211"/>
      <c r="N357" s="211"/>
      <c r="O357" s="211"/>
      <c r="P357" s="211"/>
      <c r="Q357" s="211"/>
      <c r="R357" s="211"/>
      <c r="V357" s="211"/>
      <c r="Y357" s="211"/>
      <c r="Z357" s="329"/>
      <c r="AA357" s="211"/>
      <c r="AB357" s="211"/>
      <c r="AC357" s="211"/>
      <c r="AD357" s="211"/>
      <c r="AE357" s="211"/>
      <c r="AF357" s="211"/>
      <c r="AI357" s="211"/>
      <c r="AJ357" s="211"/>
      <c r="AK357" s="212"/>
      <c r="AL357" s="211"/>
    </row>
    <row r="358" spans="1:40" x14ac:dyDescent="0.25">
      <c r="A358" s="202"/>
      <c r="C358" s="154"/>
      <c r="J358" s="334"/>
      <c r="K358" s="334"/>
      <c r="T358" s="154"/>
      <c r="Z358" s="334"/>
    </row>
    <row r="359" spans="1:40" x14ac:dyDescent="0.25">
      <c r="A359" s="202"/>
      <c r="C359" s="154"/>
      <c r="J359" s="334"/>
      <c r="K359" s="334"/>
      <c r="T359" s="154"/>
      <c r="Z359" s="334"/>
    </row>
    <row r="360" spans="1:40" x14ac:dyDescent="0.25">
      <c r="A360" s="202"/>
      <c r="C360" s="154"/>
      <c r="F360" s="252"/>
      <c r="H360" s="252"/>
      <c r="I360" s="252"/>
      <c r="J360" s="329"/>
      <c r="K360" s="329"/>
      <c r="L360" s="200"/>
      <c r="M360" s="200"/>
      <c r="N360" s="210"/>
      <c r="O360" s="210"/>
      <c r="P360" s="200"/>
      <c r="Q360" s="200"/>
      <c r="R360" s="200"/>
      <c r="T360" s="154"/>
      <c r="V360" s="200"/>
      <c r="Y360" s="200"/>
      <c r="Z360" s="329"/>
      <c r="AA360" s="200"/>
      <c r="AB360" s="200"/>
      <c r="AC360" s="210"/>
      <c r="AD360" s="210"/>
      <c r="AE360" s="200"/>
      <c r="AF360" s="200"/>
      <c r="AG360" s="209"/>
      <c r="AH360" s="201"/>
      <c r="AI360" s="200"/>
      <c r="AJ360" s="200"/>
      <c r="AK360" s="209"/>
      <c r="AL360" s="200"/>
      <c r="AM360" s="210"/>
      <c r="AN360" s="210"/>
    </row>
    <row r="361" spans="1:40" x14ac:dyDescent="0.25">
      <c r="A361" s="202"/>
      <c r="C361" s="154"/>
      <c r="F361" s="252"/>
      <c r="H361" s="252"/>
      <c r="I361" s="252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00"/>
      <c r="Y361" s="200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00"/>
      <c r="Y362" s="200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52"/>
      <c r="H363" s="252"/>
      <c r="I363" s="252"/>
      <c r="J363" s="329"/>
      <c r="K363" s="329"/>
      <c r="L363" s="200"/>
      <c r="M363" s="200"/>
      <c r="N363" s="210"/>
      <c r="O363" s="210"/>
      <c r="P363" s="200"/>
      <c r="Q363" s="200"/>
      <c r="R363" s="200"/>
      <c r="T363" s="154"/>
      <c r="V363" s="200"/>
      <c r="Y363" s="200"/>
      <c r="Z363" s="329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A364" s="202"/>
      <c r="C364" s="154"/>
      <c r="F364" s="252"/>
      <c r="H364" s="252"/>
      <c r="I364" s="252"/>
      <c r="J364" s="329"/>
      <c r="K364" s="329"/>
      <c r="L364" s="200"/>
      <c r="M364" s="200"/>
      <c r="N364" s="210"/>
      <c r="O364" s="210"/>
      <c r="P364" s="200"/>
      <c r="Q364" s="200"/>
      <c r="R364" s="200"/>
      <c r="T364" s="154"/>
      <c r="V364" s="200"/>
      <c r="Y364" s="200"/>
      <c r="Z364" s="329"/>
      <c r="AA364" s="200"/>
      <c r="AB364" s="200"/>
      <c r="AC364" s="210"/>
      <c r="AD364" s="210"/>
      <c r="AE364" s="200"/>
      <c r="AF364" s="200"/>
      <c r="AG364" s="209"/>
      <c r="AH364" s="201"/>
      <c r="AI364" s="200"/>
      <c r="AJ364" s="200"/>
      <c r="AK364" s="209"/>
      <c r="AL364" s="200"/>
      <c r="AM364" s="210"/>
      <c r="AN364" s="210"/>
    </row>
    <row r="365" spans="1:40" x14ac:dyDescent="0.25">
      <c r="A365" s="202"/>
      <c r="C365" s="154"/>
      <c r="F365" s="252"/>
      <c r="H365" s="252"/>
      <c r="I365" s="252"/>
      <c r="J365" s="329"/>
      <c r="K365" s="329"/>
      <c r="L365" s="200"/>
      <c r="M365" s="200"/>
      <c r="N365" s="210"/>
      <c r="O365" s="210"/>
      <c r="P365" s="200"/>
      <c r="Q365" s="200"/>
      <c r="R365" s="200"/>
      <c r="T365" s="154"/>
      <c r="V365" s="200"/>
      <c r="Y365" s="200"/>
      <c r="Z365" s="329"/>
      <c r="AA365" s="200"/>
      <c r="AB365" s="200"/>
      <c r="AC365" s="210"/>
      <c r="AD365" s="21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A366" s="202"/>
      <c r="C366" s="154"/>
      <c r="F366" s="252"/>
      <c r="H366" s="252"/>
      <c r="I366" s="252"/>
      <c r="J366" s="329"/>
      <c r="K366" s="329"/>
      <c r="L366" s="200"/>
      <c r="M366" s="200"/>
      <c r="N366" s="210"/>
      <c r="O366" s="210"/>
      <c r="P366" s="200"/>
      <c r="Q366" s="200"/>
      <c r="R366" s="200"/>
      <c r="T366" s="154"/>
      <c r="V366" s="200"/>
      <c r="Y366" s="200"/>
      <c r="Z366" s="329"/>
      <c r="AA366" s="200"/>
      <c r="AB366" s="200"/>
      <c r="AC366" s="210"/>
      <c r="AD366" s="210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A367" s="202"/>
      <c r="C367" s="154"/>
      <c r="J367" s="334"/>
      <c r="K367" s="334"/>
      <c r="T367" s="154"/>
      <c r="Z367" s="334"/>
    </row>
    <row r="368" spans="1:40" x14ac:dyDescent="0.25">
      <c r="A368" s="202"/>
      <c r="C368" s="154"/>
      <c r="F368" s="252"/>
      <c r="H368" s="252"/>
      <c r="I368" s="252"/>
      <c r="J368" s="329"/>
      <c r="K368" s="329"/>
      <c r="L368" s="200"/>
      <c r="M368" s="200"/>
      <c r="N368" s="210"/>
      <c r="O368" s="210"/>
      <c r="P368" s="200"/>
      <c r="Q368" s="200"/>
      <c r="R368" s="200"/>
      <c r="T368" s="154"/>
      <c r="V368" s="200"/>
      <c r="Y368" s="200"/>
      <c r="Z368" s="329"/>
      <c r="AA368" s="200"/>
      <c r="AB368" s="200"/>
      <c r="AC368" s="210"/>
      <c r="AD368" s="21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A369" s="202"/>
      <c r="C369" s="154"/>
      <c r="F369" s="252"/>
      <c r="H369" s="252"/>
      <c r="I369" s="252"/>
      <c r="J369" s="329"/>
      <c r="K369" s="329"/>
      <c r="L369" s="200"/>
      <c r="M369" s="200"/>
      <c r="N369" s="210"/>
      <c r="O369" s="210"/>
      <c r="P369" s="200"/>
      <c r="Q369" s="200"/>
      <c r="R369" s="200"/>
      <c r="T369" s="154"/>
      <c r="V369" s="200"/>
      <c r="Y369" s="200"/>
      <c r="Z369" s="329"/>
      <c r="AA369" s="200"/>
      <c r="AB369" s="200"/>
      <c r="AC369" s="210"/>
      <c r="AD369" s="210"/>
      <c r="AE369" s="200"/>
      <c r="AF369" s="200"/>
      <c r="AG369" s="209"/>
      <c r="AH369" s="201"/>
      <c r="AI369" s="200"/>
      <c r="AJ369" s="200"/>
      <c r="AK369" s="209"/>
      <c r="AL369" s="200"/>
      <c r="AM369" s="210"/>
      <c r="AN369" s="210"/>
    </row>
    <row r="370" spans="1:40" x14ac:dyDescent="0.25">
      <c r="A370" s="202"/>
      <c r="C370" s="154"/>
      <c r="F370" s="252"/>
      <c r="H370" s="252"/>
      <c r="I370" s="252"/>
      <c r="J370" s="329"/>
      <c r="K370" s="329"/>
      <c r="L370" s="200"/>
      <c r="M370" s="200"/>
      <c r="N370" s="210"/>
      <c r="O370" s="210"/>
      <c r="P370" s="200"/>
      <c r="Q370" s="200"/>
      <c r="R370" s="200"/>
      <c r="T370" s="154"/>
      <c r="V370" s="200"/>
      <c r="Y370" s="200"/>
      <c r="Z370" s="329"/>
      <c r="AA370" s="200"/>
      <c r="AB370" s="200"/>
      <c r="AC370" s="210"/>
      <c r="AD370" s="210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A371" s="202"/>
      <c r="C371" s="154"/>
      <c r="F371" s="252"/>
      <c r="H371" s="252"/>
      <c r="I371" s="252"/>
      <c r="J371" s="329"/>
      <c r="K371" s="329"/>
      <c r="L371" s="200"/>
      <c r="M371" s="200"/>
      <c r="N371" s="210"/>
      <c r="O371" s="210"/>
      <c r="P371" s="200"/>
      <c r="Q371" s="200"/>
      <c r="R371" s="200"/>
      <c r="T371" s="154"/>
      <c r="V371" s="200"/>
      <c r="Y371" s="200"/>
      <c r="Z371" s="329"/>
      <c r="AA371" s="200"/>
      <c r="AB371" s="200"/>
      <c r="AC371" s="210"/>
      <c r="AD371" s="210"/>
      <c r="AE371" s="200"/>
      <c r="AF371" s="200"/>
      <c r="AG371" s="209"/>
      <c r="AH371" s="201"/>
      <c r="AI371" s="200"/>
      <c r="AJ371" s="200"/>
      <c r="AK371" s="209"/>
      <c r="AL371" s="200"/>
      <c r="AM371" s="210"/>
      <c r="AN371" s="210"/>
    </row>
    <row r="372" spans="1:40" x14ac:dyDescent="0.25">
      <c r="A372" s="202"/>
      <c r="C372" s="154"/>
      <c r="J372" s="334"/>
      <c r="K372" s="334"/>
      <c r="T372" s="154"/>
      <c r="Z372" s="334"/>
    </row>
    <row r="373" spans="1:40" x14ac:dyDescent="0.25">
      <c r="A373" s="202"/>
      <c r="C373" s="154"/>
      <c r="F373" s="252"/>
      <c r="H373" s="252"/>
      <c r="I373" s="252"/>
      <c r="J373" s="329"/>
      <c r="K373" s="329"/>
      <c r="L373" s="200"/>
      <c r="M373" s="200"/>
      <c r="N373" s="210"/>
      <c r="O373" s="210"/>
      <c r="P373" s="200"/>
      <c r="Q373" s="200"/>
      <c r="R373" s="200"/>
      <c r="T373" s="154"/>
      <c r="V373" s="200"/>
      <c r="Y373" s="200"/>
      <c r="Z373" s="329"/>
      <c r="AA373" s="200"/>
      <c r="AB373" s="200"/>
      <c r="AC373" s="210"/>
      <c r="AD373" s="210"/>
      <c r="AE373" s="200"/>
      <c r="AF373" s="200"/>
      <c r="AG373" s="209"/>
      <c r="AH373" s="201"/>
      <c r="AI373" s="200"/>
      <c r="AJ373" s="200"/>
      <c r="AK373" s="209"/>
      <c r="AL373" s="200"/>
      <c r="AM373" s="210"/>
      <c r="AN373" s="210"/>
    </row>
    <row r="374" spans="1:40" x14ac:dyDescent="0.25">
      <c r="A374" s="202"/>
      <c r="C374" s="154"/>
      <c r="F374" s="252"/>
      <c r="H374" s="252"/>
      <c r="I374" s="252"/>
      <c r="J374" s="329"/>
      <c r="K374" s="329"/>
      <c r="L374" s="200"/>
      <c r="M374" s="200"/>
      <c r="N374" s="210"/>
      <c r="O374" s="210"/>
      <c r="P374" s="200"/>
      <c r="Q374" s="200"/>
      <c r="R374" s="200"/>
      <c r="T374" s="154"/>
      <c r="V374" s="200"/>
      <c r="Y374" s="200"/>
      <c r="Z374" s="329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A375" s="202"/>
      <c r="C375" s="154"/>
      <c r="F375" s="252"/>
      <c r="H375" s="252"/>
      <c r="I375" s="252"/>
      <c r="J375" s="329"/>
      <c r="K375" s="329"/>
      <c r="L375" s="200"/>
      <c r="M375" s="200"/>
      <c r="N375" s="210"/>
      <c r="O375" s="210"/>
      <c r="P375" s="200"/>
      <c r="Q375" s="200"/>
      <c r="R375" s="200"/>
      <c r="T375" s="154"/>
      <c r="V375" s="200"/>
      <c r="Y375" s="200"/>
      <c r="Z375" s="329"/>
      <c r="AA375" s="200"/>
      <c r="AB375" s="200"/>
      <c r="AC375" s="210"/>
      <c r="AD375" s="210"/>
      <c r="AE375" s="200"/>
      <c r="AF375" s="200"/>
      <c r="AG375" s="209"/>
      <c r="AH375" s="201"/>
      <c r="AI375" s="200"/>
      <c r="AJ375" s="200"/>
      <c r="AK375" s="209"/>
      <c r="AL375" s="200"/>
      <c r="AM375" s="210"/>
      <c r="AN375" s="210"/>
    </row>
    <row r="376" spans="1:40" x14ac:dyDescent="0.25">
      <c r="A376" s="202"/>
      <c r="C376" s="154"/>
      <c r="F376" s="252"/>
      <c r="H376" s="252"/>
      <c r="I376" s="252"/>
      <c r="J376" s="329"/>
      <c r="K376" s="329"/>
      <c r="L376" s="200"/>
      <c r="M376" s="200"/>
      <c r="N376" s="210"/>
      <c r="O376" s="210"/>
      <c r="P376" s="200"/>
      <c r="Q376" s="200"/>
      <c r="R376" s="200"/>
      <c r="T376" s="154"/>
      <c r="V376" s="200"/>
      <c r="Y376" s="200"/>
      <c r="Z376" s="329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A377" s="202"/>
      <c r="C377" s="154"/>
      <c r="F377" s="252"/>
      <c r="H377" s="252"/>
      <c r="I377" s="252"/>
      <c r="J377" s="329"/>
      <c r="K377" s="329"/>
      <c r="L377" s="200"/>
      <c r="M377" s="200"/>
      <c r="N377" s="210"/>
      <c r="O377" s="210"/>
      <c r="P377" s="200"/>
      <c r="Q377" s="200"/>
      <c r="R377" s="200"/>
      <c r="T377" s="154"/>
      <c r="V377" s="200"/>
      <c r="Y377" s="200"/>
      <c r="Z377" s="329"/>
      <c r="AA377" s="200"/>
      <c r="AB377" s="200"/>
      <c r="AC377" s="210"/>
      <c r="AD377" s="210"/>
      <c r="AE377" s="200"/>
      <c r="AF377" s="200"/>
      <c r="AG377" s="209"/>
      <c r="AH377" s="201"/>
      <c r="AI377" s="200"/>
      <c r="AJ377" s="200"/>
      <c r="AK377" s="209"/>
      <c r="AL377" s="200"/>
      <c r="AM377" s="210"/>
      <c r="AN377" s="210"/>
    </row>
    <row r="378" spans="1:40" x14ac:dyDescent="0.25">
      <c r="F378" s="211"/>
      <c r="H378" s="211"/>
      <c r="I378" s="211"/>
      <c r="J378" s="305"/>
      <c r="K378" s="305"/>
      <c r="L378" s="211"/>
      <c r="M378" s="211"/>
      <c r="N378" s="211"/>
      <c r="O378" s="211"/>
      <c r="P378" s="211"/>
      <c r="Q378" s="211"/>
      <c r="R378" s="211"/>
      <c r="V378" s="211"/>
      <c r="Y378" s="211"/>
      <c r="Z378" s="329"/>
      <c r="AA378" s="211"/>
      <c r="AB378" s="211"/>
      <c r="AC378" s="211"/>
      <c r="AD378" s="211"/>
      <c r="AE378" s="211"/>
      <c r="AF378" s="211"/>
      <c r="AI378" s="211"/>
      <c r="AJ378" s="211"/>
      <c r="AK378" s="212"/>
      <c r="AL378" s="211"/>
    </row>
    <row r="379" spans="1:40" x14ac:dyDescent="0.25">
      <c r="A379" s="202"/>
      <c r="C379" s="154"/>
      <c r="F379" s="200"/>
      <c r="H379" s="200"/>
      <c r="I379" s="200"/>
      <c r="L379" s="200"/>
      <c r="M379" s="200"/>
      <c r="N379" s="201"/>
      <c r="O379" s="201"/>
      <c r="P379" s="200"/>
      <c r="Q379" s="200"/>
      <c r="R379" s="200"/>
      <c r="T379" s="154"/>
      <c r="V379" s="200"/>
      <c r="Y379" s="200"/>
      <c r="AA379" s="200"/>
      <c r="AB379" s="200"/>
      <c r="AC379" s="210"/>
      <c r="AD379" s="210"/>
      <c r="AE379" s="200"/>
      <c r="AF379" s="200"/>
      <c r="AG379" s="209"/>
      <c r="AH379" s="201"/>
      <c r="AI379" s="200"/>
      <c r="AJ379" s="200"/>
      <c r="AK379" s="209"/>
      <c r="AL379" s="200"/>
      <c r="AM379" s="210"/>
      <c r="AN379" s="210"/>
    </row>
    <row r="380" spans="1:40" x14ac:dyDescent="0.25">
      <c r="F380" s="211"/>
      <c r="H380" s="211"/>
      <c r="I380" s="211"/>
      <c r="J380" s="305"/>
      <c r="K380" s="305"/>
      <c r="L380" s="211"/>
      <c r="M380" s="211"/>
      <c r="N380" s="211"/>
      <c r="O380" s="211"/>
      <c r="P380" s="211"/>
      <c r="Q380" s="211"/>
      <c r="R380" s="211"/>
      <c r="V380" s="211"/>
      <c r="Y380" s="211"/>
      <c r="Z380" s="305"/>
      <c r="AA380" s="211"/>
      <c r="AB380" s="211"/>
      <c r="AC380" s="211"/>
      <c r="AD380" s="211"/>
      <c r="AE380" s="211"/>
      <c r="AF380" s="211"/>
      <c r="AI380" s="211"/>
      <c r="AJ380" s="211"/>
      <c r="AK380" s="212"/>
      <c r="AL380" s="211"/>
    </row>
    <row r="381" spans="1:40" x14ac:dyDescent="0.25">
      <c r="A381" s="202"/>
      <c r="C381" s="154"/>
      <c r="T381" s="154"/>
    </row>
    <row r="382" spans="1:40" x14ac:dyDescent="0.25">
      <c r="A382" s="202"/>
      <c r="C382" s="154"/>
      <c r="F382" s="252"/>
      <c r="H382" s="252"/>
      <c r="I382" s="252"/>
      <c r="J382" s="300"/>
      <c r="K382" s="300"/>
      <c r="L382" s="200"/>
      <c r="M382" s="200"/>
      <c r="N382" s="210"/>
      <c r="O382" s="210"/>
      <c r="P382" s="200"/>
      <c r="Q382" s="200"/>
      <c r="R382" s="200"/>
      <c r="T382" s="154"/>
      <c r="V382" s="200"/>
      <c r="Y382" s="200"/>
      <c r="Z382" s="300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A383" s="202"/>
      <c r="C383" s="154"/>
      <c r="F383" s="252"/>
      <c r="H383" s="252"/>
      <c r="I383" s="252"/>
      <c r="J383" s="300"/>
      <c r="K383" s="300"/>
      <c r="L383" s="200"/>
      <c r="M383" s="200"/>
      <c r="N383" s="210"/>
      <c r="O383" s="210"/>
      <c r="P383" s="200"/>
      <c r="Q383" s="200"/>
      <c r="R383" s="200"/>
      <c r="T383" s="154"/>
      <c r="V383" s="200"/>
      <c r="Y383" s="200"/>
      <c r="Z383" s="300"/>
      <c r="AA383" s="200"/>
      <c r="AB383" s="200"/>
      <c r="AC383" s="210"/>
      <c r="AD383" s="210"/>
      <c r="AE383" s="200"/>
      <c r="AF383" s="200"/>
      <c r="AG383" s="209"/>
      <c r="AH383" s="201"/>
      <c r="AI383" s="200"/>
      <c r="AJ383" s="200"/>
      <c r="AK383" s="209"/>
      <c r="AL383" s="200"/>
      <c r="AM383" s="210"/>
      <c r="AN383" s="210"/>
    </row>
    <row r="384" spans="1:40" x14ac:dyDescent="0.25">
      <c r="F384" s="211"/>
      <c r="H384" s="200"/>
      <c r="I384" s="200"/>
      <c r="J384" s="305"/>
      <c r="K384" s="305"/>
      <c r="L384" s="211"/>
      <c r="M384" s="211"/>
      <c r="N384" s="211"/>
      <c r="O384" s="211"/>
      <c r="P384" s="211"/>
      <c r="Q384" s="211"/>
      <c r="R384" s="211"/>
      <c r="V384" s="211"/>
      <c r="Y384" s="200"/>
      <c r="Z384" s="305"/>
      <c r="AA384" s="211"/>
      <c r="AB384" s="211"/>
      <c r="AC384" s="211"/>
      <c r="AD384" s="211"/>
      <c r="AE384" s="211"/>
      <c r="AF384" s="211"/>
      <c r="AI384" s="211"/>
      <c r="AJ384" s="211"/>
      <c r="AK384" s="212"/>
      <c r="AL384" s="211"/>
    </row>
    <row r="385" spans="1:40" x14ac:dyDescent="0.25">
      <c r="F385" s="200"/>
      <c r="H385" s="200"/>
      <c r="I385" s="200"/>
      <c r="J385" s="305"/>
      <c r="K385" s="305"/>
      <c r="L385" s="200"/>
      <c r="M385" s="200"/>
      <c r="N385" s="200"/>
      <c r="O385" s="200"/>
      <c r="P385" s="200"/>
      <c r="Q385" s="200"/>
      <c r="R385" s="200"/>
      <c r="V385" s="200"/>
      <c r="Y385" s="200"/>
      <c r="Z385" s="305"/>
      <c r="AA385" s="200"/>
      <c r="AB385" s="200"/>
      <c r="AC385" s="200"/>
      <c r="AD385" s="200"/>
      <c r="AE385" s="200"/>
      <c r="AF385" s="200"/>
      <c r="AI385" s="200"/>
      <c r="AJ385" s="200"/>
      <c r="AK385" s="209"/>
      <c r="AL385" s="200"/>
    </row>
    <row r="386" spans="1:40" x14ac:dyDescent="0.25">
      <c r="A386" s="202"/>
      <c r="C386" s="154"/>
      <c r="F386" s="200"/>
      <c r="H386" s="200"/>
      <c r="I386" s="200"/>
      <c r="L386" s="200"/>
      <c r="M386" s="200"/>
      <c r="N386" s="210"/>
      <c r="O386" s="210"/>
      <c r="P386" s="200"/>
      <c r="Q386" s="200"/>
      <c r="R386" s="200"/>
      <c r="T386" s="154"/>
      <c r="V386" s="200"/>
      <c r="Y386" s="200"/>
      <c r="AA386" s="200"/>
      <c r="AB386" s="200"/>
      <c r="AC386" s="210"/>
      <c r="AD386" s="210"/>
      <c r="AE386" s="200"/>
      <c r="AF386" s="200"/>
      <c r="AG386" s="209"/>
      <c r="AH386" s="201"/>
      <c r="AI386" s="252"/>
      <c r="AJ386" s="252"/>
      <c r="AK386" s="209"/>
      <c r="AL386" s="200"/>
      <c r="AM386" s="210"/>
      <c r="AN386" s="210"/>
    </row>
    <row r="387" spans="1:40" x14ac:dyDescent="0.25">
      <c r="F387" s="211"/>
      <c r="H387" s="211"/>
      <c r="I387" s="211"/>
      <c r="J387" s="305"/>
      <c r="K387" s="305"/>
      <c r="L387" s="211"/>
      <c r="M387" s="211"/>
      <c r="N387" s="211"/>
      <c r="O387" s="211"/>
      <c r="P387" s="211"/>
      <c r="Q387" s="211"/>
      <c r="R387" s="211"/>
      <c r="V387" s="211"/>
      <c r="Y387" s="211"/>
      <c r="Z387" s="305"/>
      <c r="AA387" s="211"/>
      <c r="AB387" s="211"/>
      <c r="AC387" s="211"/>
      <c r="AD387" s="211"/>
      <c r="AE387" s="211"/>
      <c r="AF387" s="211"/>
      <c r="AI387" s="211"/>
      <c r="AJ387" s="211"/>
      <c r="AK387" s="212"/>
      <c r="AL387" s="211"/>
    </row>
    <row r="389" spans="1:40" x14ac:dyDescent="0.25">
      <c r="A389" s="154"/>
      <c r="T389" s="154"/>
    </row>
    <row r="390" spans="1:40" x14ac:dyDescent="0.25">
      <c r="A390" s="154"/>
      <c r="T390" s="154"/>
    </row>
    <row r="391" spans="1:40" x14ac:dyDescent="0.25">
      <c r="A391" s="154"/>
      <c r="T391" s="154"/>
    </row>
    <row r="392" spans="1:40" x14ac:dyDescent="0.25">
      <c r="A392" s="154"/>
      <c r="T392" s="154"/>
    </row>
    <row r="393" spans="1:40" x14ac:dyDescent="0.25">
      <c r="A393" s="154"/>
      <c r="T393" s="154"/>
    </row>
    <row r="394" spans="1:40" x14ac:dyDescent="0.25">
      <c r="A394" s="154"/>
      <c r="T394" s="154"/>
    </row>
    <row r="395" spans="1:40" x14ac:dyDescent="0.25">
      <c r="A395" s="154"/>
      <c r="T395" s="154"/>
    </row>
    <row r="396" spans="1:40" x14ac:dyDescent="0.25">
      <c r="A396" s="154"/>
      <c r="T396" s="154"/>
    </row>
    <row r="397" spans="1:40" x14ac:dyDescent="0.25">
      <c r="A397" s="154"/>
      <c r="T397" s="154"/>
    </row>
    <row r="399" spans="1:40" x14ac:dyDescent="0.25">
      <c r="A399" s="154"/>
    </row>
    <row r="400" spans="1:40" x14ac:dyDescent="0.25">
      <c r="J400" s="202"/>
      <c r="K400" s="202"/>
      <c r="Z400" s="202"/>
    </row>
    <row r="401" spans="1:40" x14ac:dyDescent="0.25">
      <c r="H401" s="154"/>
      <c r="I401" s="154"/>
      <c r="Y401" s="154"/>
    </row>
    <row r="402" spans="1:40" x14ac:dyDescent="0.25">
      <c r="J402" s="202"/>
      <c r="K402" s="202"/>
      <c r="Z402" s="202"/>
    </row>
    <row r="403" spans="1:40" x14ac:dyDescent="0.25">
      <c r="L403" s="154"/>
      <c r="M403" s="154"/>
      <c r="AA403" s="154"/>
      <c r="AB403" s="154"/>
    </row>
    <row r="404" spans="1:40" x14ac:dyDescent="0.25">
      <c r="A404" s="202"/>
      <c r="R404" s="154"/>
      <c r="AK404" s="297"/>
      <c r="AL404" s="154"/>
    </row>
    <row r="405" spans="1:40" x14ac:dyDescent="0.25">
      <c r="A405" s="202"/>
      <c r="R405" s="154"/>
      <c r="AK405" s="297"/>
      <c r="AL405" s="154"/>
    </row>
    <row r="406" spans="1:40" x14ac:dyDescent="0.25">
      <c r="A406" s="154"/>
      <c r="R406" s="154"/>
      <c r="AK406" s="297"/>
      <c r="AL406" s="154"/>
    </row>
    <row r="407" spans="1:40" x14ac:dyDescent="0.25">
      <c r="L407" s="154"/>
      <c r="M407" s="154"/>
      <c r="R407" s="202"/>
      <c r="AA407" s="154"/>
      <c r="AB407" s="154"/>
      <c r="AK407" s="209"/>
      <c r="AL407" s="202"/>
    </row>
    <row r="408" spans="1:40" x14ac:dyDescent="0.25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208"/>
      <c r="AH408" s="102"/>
      <c r="AI408" s="102"/>
      <c r="AJ408" s="102"/>
      <c r="AK408" s="208"/>
      <c r="AL408" s="102"/>
      <c r="AM408" s="102"/>
      <c r="AN408" s="102"/>
    </row>
    <row r="409" spans="1:40" x14ac:dyDescent="0.25">
      <c r="L409" s="103"/>
      <c r="M409" s="103"/>
      <c r="N409" s="103"/>
      <c r="O409" s="103"/>
      <c r="R409" s="103"/>
      <c r="AA409" s="103"/>
      <c r="AB409" s="103"/>
      <c r="AC409" s="103"/>
      <c r="AD409" s="103"/>
      <c r="AE409" s="103"/>
      <c r="AF409" s="103"/>
      <c r="AG409" s="185"/>
      <c r="AH409" s="103"/>
      <c r="AK409" s="185"/>
      <c r="AL409" s="103"/>
      <c r="AM409" s="103"/>
      <c r="AN409" s="103"/>
    </row>
    <row r="410" spans="1:40" x14ac:dyDescent="0.25">
      <c r="L410" s="103"/>
      <c r="M410" s="103"/>
      <c r="N410" s="103"/>
      <c r="O410" s="103"/>
      <c r="R410" s="103"/>
      <c r="Z410" s="103"/>
      <c r="AA410" s="103"/>
      <c r="AB410" s="103"/>
      <c r="AC410" s="103"/>
      <c r="AD410" s="103"/>
      <c r="AE410" s="103"/>
      <c r="AF410" s="103"/>
      <c r="AG410" s="185"/>
      <c r="AH410" s="103"/>
      <c r="AK410" s="185"/>
      <c r="AL410" s="103"/>
      <c r="AM410" s="103"/>
      <c r="AN410" s="103"/>
    </row>
    <row r="411" spans="1:40" x14ac:dyDescent="0.25">
      <c r="A411" s="103"/>
      <c r="C411" s="103"/>
      <c r="D411" s="103"/>
      <c r="E411" s="103"/>
      <c r="F411" s="103"/>
      <c r="J411" s="103"/>
      <c r="K411" s="103"/>
      <c r="L411" s="103"/>
      <c r="M411" s="103"/>
      <c r="N411" s="103"/>
      <c r="O411" s="103"/>
      <c r="P411" s="103"/>
      <c r="Q411" s="103"/>
      <c r="R411" s="103"/>
      <c r="T411" s="103"/>
      <c r="U411" s="103"/>
      <c r="V411" s="103"/>
      <c r="Z411" s="103"/>
      <c r="AA411" s="103"/>
      <c r="AB411" s="103"/>
      <c r="AC411" s="103"/>
      <c r="AD411" s="103"/>
      <c r="AE411" s="103"/>
      <c r="AF411" s="103"/>
      <c r="AG411" s="185"/>
      <c r="AH411" s="103"/>
      <c r="AI411" s="103"/>
      <c r="AJ411" s="103"/>
      <c r="AK411" s="185"/>
      <c r="AL411" s="103"/>
      <c r="AM411" s="103"/>
      <c r="AN411" s="103"/>
    </row>
    <row r="412" spans="1:40" x14ac:dyDescent="0.25">
      <c r="A412" s="103"/>
      <c r="C412" s="103"/>
      <c r="D412" s="103"/>
      <c r="E412" s="103"/>
      <c r="F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T412" s="103"/>
      <c r="U412" s="103"/>
      <c r="V412" s="103"/>
      <c r="Y412" s="103"/>
      <c r="Z412" s="103"/>
      <c r="AA412" s="103"/>
      <c r="AB412" s="103"/>
      <c r="AC412" s="103"/>
      <c r="AD412" s="103"/>
      <c r="AE412" s="103"/>
      <c r="AF412" s="103"/>
      <c r="AG412" s="185"/>
      <c r="AH412" s="103"/>
      <c r="AI412" s="103"/>
      <c r="AJ412" s="103"/>
      <c r="AK412" s="185"/>
      <c r="AL412" s="103"/>
      <c r="AM412" s="103"/>
      <c r="AN412" s="103"/>
    </row>
    <row r="413" spans="1:40" x14ac:dyDescent="0.25">
      <c r="C413" s="103"/>
      <c r="D413" s="103"/>
      <c r="E413" s="103"/>
      <c r="F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T413" s="103"/>
      <c r="U413" s="103"/>
      <c r="V413" s="103"/>
      <c r="Y413" s="103"/>
      <c r="Z413" s="103"/>
      <c r="AA413" s="103"/>
      <c r="AB413" s="103"/>
      <c r="AC413" s="103"/>
      <c r="AD413" s="103"/>
      <c r="AE413" s="103"/>
      <c r="AF413" s="103"/>
      <c r="AG413" s="185"/>
      <c r="AH413" s="103"/>
      <c r="AI413" s="103"/>
      <c r="AJ413" s="103"/>
      <c r="AK413" s="185"/>
      <c r="AL413" s="103"/>
      <c r="AM413" s="103"/>
      <c r="AN413" s="103"/>
    </row>
    <row r="414" spans="1:40" x14ac:dyDescent="0.25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208"/>
      <c r="AH414" s="102"/>
      <c r="AI414" s="102"/>
      <c r="AJ414" s="102"/>
      <c r="AK414" s="208"/>
      <c r="AL414" s="102"/>
      <c r="AM414" s="102"/>
      <c r="AN414" s="102"/>
    </row>
    <row r="415" spans="1:40" x14ac:dyDescent="0.25"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Y415" s="103"/>
      <c r="Z415" s="103"/>
      <c r="AA415" s="103"/>
      <c r="AB415" s="103"/>
      <c r="AC415" s="103"/>
      <c r="AD415" s="103"/>
      <c r="AE415" s="103"/>
      <c r="AF415" s="103"/>
      <c r="AG415" s="185"/>
      <c r="AH415" s="103"/>
      <c r="AI415" s="103"/>
      <c r="AJ415" s="103"/>
      <c r="AK415" s="185"/>
      <c r="AL415" s="103"/>
      <c r="AM415" s="103"/>
      <c r="AN415" s="103"/>
    </row>
    <row r="416" spans="1:40" x14ac:dyDescent="0.25">
      <c r="A416" s="202"/>
      <c r="C416" s="154"/>
      <c r="D416" s="154"/>
      <c r="E416" s="154"/>
      <c r="T416" s="154"/>
      <c r="U416" s="154"/>
    </row>
    <row r="417" spans="1:40" x14ac:dyDescent="0.25">
      <c r="A417" s="202"/>
      <c r="D417" s="154"/>
      <c r="E417" s="154"/>
      <c r="U417" s="154"/>
    </row>
    <row r="419" spans="1:40" x14ac:dyDescent="0.25">
      <c r="A419" s="202"/>
      <c r="C419" s="154"/>
      <c r="F419" s="200"/>
      <c r="J419" s="215"/>
      <c r="K419" s="215"/>
      <c r="L419" s="200"/>
      <c r="M419" s="200"/>
      <c r="R419" s="200"/>
      <c r="T419" s="154"/>
      <c r="V419" s="200"/>
      <c r="Z419" s="215"/>
      <c r="AA419" s="200"/>
      <c r="AB419" s="200"/>
      <c r="AG419" s="209"/>
      <c r="AH419" s="200"/>
      <c r="AK419" s="209"/>
      <c r="AL419" s="200"/>
    </row>
    <row r="420" spans="1:40" x14ac:dyDescent="0.25">
      <c r="A420" s="202"/>
      <c r="C420" s="154"/>
      <c r="F420" s="200"/>
      <c r="R420" s="200"/>
      <c r="T420" s="154"/>
      <c r="V420" s="200"/>
      <c r="AG420" s="209"/>
      <c r="AH420" s="200"/>
      <c r="AK420" s="209"/>
      <c r="AL420" s="200"/>
    </row>
    <row r="421" spans="1:40" x14ac:dyDescent="0.25">
      <c r="AI421" s="200"/>
      <c r="AJ421" s="200"/>
      <c r="AK421" s="209"/>
      <c r="AL421" s="200"/>
      <c r="AM421" s="210"/>
      <c r="AN421" s="210"/>
    </row>
    <row r="422" spans="1:40" x14ac:dyDescent="0.25">
      <c r="A422" s="202"/>
      <c r="C422" s="154"/>
      <c r="F422" s="252"/>
      <c r="H422" s="252"/>
      <c r="I422" s="252"/>
      <c r="J422" s="328"/>
      <c r="K422" s="328"/>
      <c r="L422" s="200"/>
      <c r="M422" s="200"/>
      <c r="N422" s="210"/>
      <c r="O422" s="210"/>
      <c r="P422" s="200"/>
      <c r="Q422" s="200"/>
      <c r="R422" s="200"/>
      <c r="T422" s="154"/>
      <c r="V422" s="200"/>
      <c r="Y422" s="200"/>
      <c r="Z422" s="328"/>
      <c r="AA422" s="200"/>
      <c r="AB422" s="200"/>
      <c r="AC422" s="210"/>
      <c r="AD422" s="210"/>
      <c r="AE422" s="200"/>
      <c r="AF422" s="200"/>
      <c r="AG422" s="209"/>
      <c r="AH422" s="201"/>
      <c r="AI422" s="200"/>
      <c r="AJ422" s="200"/>
      <c r="AK422" s="209"/>
      <c r="AL422" s="200"/>
      <c r="AM422" s="210"/>
      <c r="AN422" s="210"/>
    </row>
    <row r="423" spans="1:40" x14ac:dyDescent="0.25">
      <c r="F423" s="200"/>
      <c r="H423" s="200"/>
      <c r="I423" s="200"/>
      <c r="J423" s="213"/>
      <c r="K423" s="213"/>
      <c r="L423" s="200"/>
      <c r="M423" s="200"/>
      <c r="P423" s="200"/>
      <c r="Q423" s="200"/>
      <c r="R423" s="200"/>
      <c r="V423" s="200"/>
      <c r="Y423" s="200"/>
      <c r="Z423" s="213"/>
      <c r="AA423" s="200"/>
      <c r="AB423" s="200"/>
      <c r="AI423" s="200"/>
      <c r="AJ423" s="200"/>
      <c r="AK423" s="209"/>
      <c r="AL423" s="200"/>
      <c r="AM423" s="210"/>
      <c r="AN423" s="210"/>
    </row>
    <row r="424" spans="1:40" x14ac:dyDescent="0.25">
      <c r="F424" s="200"/>
      <c r="R424" s="200"/>
      <c r="V424" s="200"/>
      <c r="AK424" s="209"/>
      <c r="AL424" s="200"/>
      <c r="AM424" s="210"/>
      <c r="AN424" s="210"/>
    </row>
    <row r="425" spans="1:40" x14ac:dyDescent="0.25">
      <c r="A425" s="202"/>
      <c r="C425" s="154"/>
      <c r="F425" s="200"/>
      <c r="J425" s="215"/>
      <c r="K425" s="215"/>
      <c r="L425" s="200"/>
      <c r="M425" s="200"/>
      <c r="N425" s="210"/>
      <c r="O425" s="210"/>
      <c r="R425" s="200"/>
      <c r="T425" s="154"/>
      <c r="V425" s="200"/>
      <c r="Z425" s="215"/>
      <c r="AA425" s="200"/>
      <c r="AB425" s="200"/>
      <c r="AC425" s="210"/>
      <c r="AD425" s="210"/>
      <c r="AK425" s="209"/>
      <c r="AL425" s="200"/>
      <c r="AM425" s="210"/>
      <c r="AN425" s="210"/>
    </row>
    <row r="426" spans="1:40" x14ac:dyDescent="0.25">
      <c r="A426" s="202"/>
      <c r="C426" s="154"/>
      <c r="F426" s="200"/>
      <c r="H426" s="200"/>
      <c r="I426" s="200"/>
      <c r="J426" s="215"/>
      <c r="K426" s="215"/>
      <c r="L426" s="200"/>
      <c r="M426" s="200"/>
      <c r="N426" s="210"/>
      <c r="O426" s="210"/>
      <c r="P426" s="200"/>
      <c r="Q426" s="200"/>
      <c r="R426" s="200"/>
      <c r="T426" s="154"/>
      <c r="V426" s="200"/>
      <c r="Y426" s="200"/>
      <c r="Z426" s="215"/>
      <c r="AA426" s="200"/>
      <c r="AB426" s="200"/>
      <c r="AC426" s="210"/>
      <c r="AD426" s="210"/>
      <c r="AI426" s="200"/>
      <c r="AJ426" s="200"/>
      <c r="AK426" s="209"/>
      <c r="AL426" s="200"/>
      <c r="AM426" s="210"/>
      <c r="AN426" s="210"/>
    </row>
    <row r="427" spans="1:40" x14ac:dyDescent="0.25">
      <c r="A427" s="202"/>
      <c r="C427" s="154"/>
      <c r="T427" s="154"/>
      <c r="AM427" s="210"/>
      <c r="AN427" s="210"/>
    </row>
    <row r="428" spans="1:40" x14ac:dyDescent="0.25">
      <c r="A428" s="202"/>
      <c r="C428" s="154"/>
      <c r="T428" s="154"/>
      <c r="AM428" s="210"/>
      <c r="AN428" s="210"/>
    </row>
    <row r="429" spans="1:40" x14ac:dyDescent="0.25">
      <c r="AM429" s="210"/>
      <c r="AN429" s="210"/>
    </row>
    <row r="430" spans="1:40" x14ac:dyDescent="0.25">
      <c r="A430" s="202"/>
      <c r="C430" s="154"/>
      <c r="F430" s="252"/>
      <c r="H430" s="252"/>
      <c r="I430" s="252"/>
      <c r="J430" s="328"/>
      <c r="K430" s="328"/>
      <c r="L430" s="200"/>
      <c r="M430" s="200"/>
      <c r="N430" s="210"/>
      <c r="O430" s="210"/>
      <c r="P430" s="200"/>
      <c r="Q430" s="200"/>
      <c r="R430" s="200"/>
      <c r="T430" s="154"/>
      <c r="V430" s="200"/>
      <c r="Y430" s="200"/>
      <c r="Z430" s="328"/>
      <c r="AA430" s="200"/>
      <c r="AB430" s="200"/>
      <c r="AC430" s="210"/>
      <c r="AD430" s="210"/>
      <c r="AE430" s="200"/>
      <c r="AF430" s="200"/>
      <c r="AG430" s="209"/>
      <c r="AH430" s="201"/>
      <c r="AI430" s="200"/>
      <c r="AJ430" s="200"/>
      <c r="AK430" s="209"/>
      <c r="AL430" s="200"/>
      <c r="AM430" s="210"/>
      <c r="AN430" s="210"/>
    </row>
    <row r="431" spans="1:40" x14ac:dyDescent="0.25">
      <c r="F431" s="211"/>
      <c r="H431" s="211"/>
      <c r="I431" s="211"/>
      <c r="J431" s="305"/>
      <c r="K431" s="305"/>
      <c r="L431" s="211"/>
      <c r="M431" s="211"/>
      <c r="N431" s="211"/>
      <c r="O431" s="211"/>
      <c r="P431" s="211"/>
      <c r="Q431" s="211"/>
      <c r="R431" s="211"/>
      <c r="V431" s="211"/>
      <c r="Y431" s="211"/>
      <c r="Z431" s="305"/>
      <c r="AA431" s="211"/>
      <c r="AB431" s="211"/>
      <c r="AC431" s="211"/>
      <c r="AD431" s="211"/>
      <c r="AE431" s="211"/>
      <c r="AF431" s="211"/>
      <c r="AI431" s="211"/>
      <c r="AJ431" s="211"/>
      <c r="AK431" s="212"/>
      <c r="AL431" s="211"/>
      <c r="AM431" s="210"/>
      <c r="AN431" s="210"/>
    </row>
    <row r="432" spans="1:40" x14ac:dyDescent="0.25">
      <c r="H432" s="200"/>
      <c r="I432" s="200"/>
      <c r="Y432" s="200"/>
      <c r="AM432" s="210"/>
      <c r="AN432" s="210"/>
    </row>
    <row r="433" spans="1:40" x14ac:dyDescent="0.25">
      <c r="A433" s="202"/>
      <c r="C433" s="154"/>
      <c r="F433" s="200"/>
      <c r="H433" s="200"/>
      <c r="I433" s="200"/>
      <c r="L433" s="200"/>
      <c r="M433" s="200"/>
      <c r="N433" s="210"/>
      <c r="O433" s="210"/>
      <c r="P433" s="252"/>
      <c r="Q433" s="252"/>
      <c r="R433" s="200"/>
      <c r="T433" s="154"/>
      <c r="V433" s="200"/>
      <c r="Y433" s="200"/>
      <c r="AA433" s="200"/>
      <c r="AB433" s="200"/>
      <c r="AC433" s="210"/>
      <c r="AD433" s="210"/>
      <c r="AE433" s="200"/>
      <c r="AF433" s="200"/>
      <c r="AG433" s="209"/>
      <c r="AH433" s="201"/>
      <c r="AI433" s="252"/>
      <c r="AJ433" s="252"/>
      <c r="AK433" s="209"/>
      <c r="AL433" s="200"/>
      <c r="AM433" s="210"/>
      <c r="AN433" s="210"/>
    </row>
    <row r="434" spans="1:40" x14ac:dyDescent="0.25">
      <c r="F434" s="211"/>
      <c r="H434" s="211"/>
      <c r="I434" s="211"/>
      <c r="J434" s="305"/>
      <c r="K434" s="305"/>
      <c r="L434" s="211"/>
      <c r="M434" s="211"/>
      <c r="N434" s="211"/>
      <c r="O434" s="211"/>
      <c r="P434" s="211"/>
      <c r="Q434" s="211"/>
      <c r="R434" s="211"/>
      <c r="V434" s="211"/>
      <c r="Y434" s="211"/>
      <c r="Z434" s="305"/>
      <c r="AA434" s="211"/>
      <c r="AB434" s="211"/>
      <c r="AC434" s="211"/>
      <c r="AD434" s="211"/>
      <c r="AE434" s="211"/>
      <c r="AF434" s="211"/>
      <c r="AI434" s="211"/>
      <c r="AJ434" s="211"/>
      <c r="AK434" s="212"/>
      <c r="AL434" s="211"/>
      <c r="AM434" s="210"/>
      <c r="AN434" s="210"/>
    </row>
    <row r="436" spans="1:40" x14ac:dyDescent="0.25">
      <c r="F436" s="200"/>
      <c r="H436" s="200"/>
      <c r="I436" s="200"/>
      <c r="J436" s="213"/>
      <c r="K436" s="213"/>
      <c r="L436" s="200"/>
      <c r="M436" s="200"/>
      <c r="N436" s="200"/>
      <c r="O436" s="200"/>
      <c r="P436" s="200"/>
      <c r="Q436" s="200"/>
      <c r="R436" s="200"/>
      <c r="V436" s="200"/>
      <c r="Y436" s="200"/>
      <c r="Z436" s="213"/>
      <c r="AA436" s="200"/>
      <c r="AB436" s="200"/>
      <c r="AC436" s="200"/>
      <c r="AD436" s="200"/>
      <c r="AE436" s="200"/>
      <c r="AF436" s="200"/>
      <c r="AG436" s="209"/>
      <c r="AH436" s="200"/>
      <c r="AI436" s="200"/>
      <c r="AJ436" s="200"/>
      <c r="AK436" s="209"/>
      <c r="AL436" s="200"/>
    </row>
    <row r="437" spans="1:40" x14ac:dyDescent="0.25">
      <c r="A437" s="154"/>
    </row>
    <row r="438" spans="1:40" x14ac:dyDescent="0.25">
      <c r="J438" s="202"/>
      <c r="K438" s="202"/>
      <c r="Z438" s="202"/>
    </row>
    <row r="439" spans="1:40" x14ac:dyDescent="0.25">
      <c r="H439" s="154"/>
      <c r="I439" s="154"/>
      <c r="Y439" s="154"/>
    </row>
    <row r="440" spans="1:40" x14ac:dyDescent="0.25">
      <c r="J440" s="202"/>
      <c r="K440" s="202"/>
      <c r="Z440" s="202"/>
    </row>
    <row r="441" spans="1:40" x14ac:dyDescent="0.25">
      <c r="L441" s="154"/>
      <c r="M441" s="154"/>
      <c r="AA441" s="154"/>
      <c r="AB441" s="154"/>
    </row>
    <row r="442" spans="1:40" x14ac:dyDescent="0.25">
      <c r="A442" s="202"/>
      <c r="R442" s="154"/>
      <c r="AK442" s="297"/>
      <c r="AL442" s="154"/>
    </row>
    <row r="443" spans="1:40" x14ac:dyDescent="0.25">
      <c r="A443" s="202"/>
      <c r="R443" s="154"/>
      <c r="AK443" s="297"/>
      <c r="AL443" s="154"/>
    </row>
    <row r="444" spans="1:40" x14ac:dyDescent="0.25">
      <c r="A444" s="154"/>
      <c r="R444" s="154"/>
      <c r="AK444" s="297"/>
      <c r="AL444" s="154"/>
    </row>
    <row r="445" spans="1:40" x14ac:dyDescent="0.25">
      <c r="L445" s="154"/>
      <c r="M445" s="154"/>
      <c r="R445" s="202"/>
      <c r="AA445" s="154"/>
      <c r="AB445" s="154"/>
      <c r="AK445" s="209"/>
      <c r="AL445" s="202"/>
    </row>
    <row r="446" spans="1:40" x14ac:dyDescent="0.25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208"/>
      <c r="AH446" s="102"/>
      <c r="AI446" s="102"/>
      <c r="AJ446" s="102"/>
      <c r="AK446" s="208"/>
      <c r="AL446" s="102"/>
      <c r="AM446" s="102"/>
      <c r="AN446" s="102"/>
    </row>
    <row r="447" spans="1:40" x14ac:dyDescent="0.25">
      <c r="L447" s="103"/>
      <c r="M447" s="103"/>
      <c r="N447" s="103"/>
      <c r="O447" s="103"/>
      <c r="R447" s="103"/>
      <c r="AA447" s="103"/>
      <c r="AB447" s="103"/>
      <c r="AC447" s="103"/>
      <c r="AD447" s="103"/>
      <c r="AE447" s="103"/>
      <c r="AF447" s="103"/>
      <c r="AG447" s="185"/>
      <c r="AH447" s="103"/>
      <c r="AK447" s="185"/>
      <c r="AL447" s="103"/>
      <c r="AM447" s="103"/>
      <c r="AN447" s="103"/>
    </row>
    <row r="448" spans="1:40" x14ac:dyDescent="0.25">
      <c r="L448" s="103"/>
      <c r="M448" s="103"/>
      <c r="N448" s="103"/>
      <c r="O448" s="103"/>
      <c r="R448" s="103"/>
      <c r="Z448" s="103"/>
      <c r="AA448" s="103"/>
      <c r="AB448" s="103"/>
      <c r="AC448" s="103"/>
      <c r="AD448" s="103"/>
      <c r="AE448" s="103"/>
      <c r="AF448" s="103"/>
      <c r="AG448" s="185"/>
      <c r="AH448" s="103"/>
      <c r="AK448" s="185"/>
      <c r="AL448" s="103"/>
      <c r="AM448" s="103"/>
      <c r="AN448" s="103"/>
    </row>
    <row r="449" spans="1:40" x14ac:dyDescent="0.25">
      <c r="A449" s="103"/>
      <c r="C449" s="103"/>
      <c r="D449" s="103"/>
      <c r="E449" s="103"/>
      <c r="F449" s="103"/>
      <c r="J449" s="103"/>
      <c r="K449" s="103"/>
      <c r="L449" s="103"/>
      <c r="M449" s="103"/>
      <c r="N449" s="103"/>
      <c r="O449" s="103"/>
      <c r="P449" s="103"/>
      <c r="Q449" s="103"/>
      <c r="R449" s="103"/>
      <c r="T449" s="103"/>
      <c r="U449" s="103"/>
      <c r="V449" s="103"/>
      <c r="Z449" s="103"/>
      <c r="AA449" s="103"/>
      <c r="AB449" s="103"/>
      <c r="AC449" s="103"/>
      <c r="AD449" s="103"/>
      <c r="AE449" s="103"/>
      <c r="AF449" s="103"/>
      <c r="AG449" s="185"/>
      <c r="AH449" s="103"/>
      <c r="AI449" s="103"/>
      <c r="AJ449" s="103"/>
      <c r="AK449" s="185"/>
      <c r="AL449" s="103"/>
      <c r="AM449" s="103"/>
      <c r="AN449" s="103"/>
    </row>
    <row r="450" spans="1:40" x14ac:dyDescent="0.25">
      <c r="A450" s="103"/>
      <c r="C450" s="103"/>
      <c r="D450" s="103"/>
      <c r="E450" s="103"/>
      <c r="F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T450" s="103"/>
      <c r="U450" s="103"/>
      <c r="V450" s="103"/>
      <c r="Y450" s="103"/>
      <c r="Z450" s="103"/>
      <c r="AA450" s="103"/>
      <c r="AB450" s="103"/>
      <c r="AC450" s="103"/>
      <c r="AD450" s="103"/>
      <c r="AE450" s="103"/>
      <c r="AF450" s="103"/>
      <c r="AG450" s="185"/>
      <c r="AH450" s="103"/>
      <c r="AI450" s="103"/>
      <c r="AJ450" s="103"/>
      <c r="AK450" s="185"/>
      <c r="AL450" s="103"/>
      <c r="AM450" s="103"/>
      <c r="AN450" s="103"/>
    </row>
    <row r="451" spans="1:40" x14ac:dyDescent="0.25">
      <c r="C451" s="103"/>
      <c r="D451" s="103"/>
      <c r="E451" s="103"/>
      <c r="F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T451" s="103"/>
      <c r="U451" s="103"/>
      <c r="V451" s="103"/>
      <c r="Y451" s="103"/>
      <c r="Z451" s="103"/>
      <c r="AA451" s="103"/>
      <c r="AB451" s="103"/>
      <c r="AC451" s="103"/>
      <c r="AD451" s="103"/>
      <c r="AE451" s="103"/>
      <c r="AF451" s="103"/>
      <c r="AG451" s="185"/>
      <c r="AH451" s="103"/>
      <c r="AI451" s="103"/>
      <c r="AJ451" s="103"/>
      <c r="AK451" s="185"/>
      <c r="AL451" s="103"/>
      <c r="AM451" s="103"/>
      <c r="AN451" s="103"/>
    </row>
    <row r="452" spans="1:40" x14ac:dyDescent="0.25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208"/>
      <c r="AH452" s="102"/>
      <c r="AI452" s="102"/>
      <c r="AJ452" s="102"/>
      <c r="AK452" s="208"/>
      <c r="AL452" s="102"/>
      <c r="AM452" s="102"/>
      <c r="AN452" s="102"/>
    </row>
    <row r="453" spans="1:40" x14ac:dyDescent="0.25"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Y453" s="103"/>
      <c r="Z453" s="103"/>
      <c r="AA453" s="103"/>
      <c r="AB453" s="103"/>
      <c r="AC453" s="103"/>
      <c r="AD453" s="103"/>
      <c r="AE453" s="103"/>
      <c r="AF453" s="103"/>
      <c r="AG453" s="185"/>
      <c r="AH453" s="103"/>
      <c r="AI453" s="103"/>
      <c r="AJ453" s="103"/>
      <c r="AK453" s="185"/>
      <c r="AL453" s="103"/>
      <c r="AM453" s="103"/>
      <c r="AN453" s="103"/>
    </row>
    <row r="454" spans="1:40" x14ac:dyDescent="0.25">
      <c r="A454" s="202"/>
      <c r="C454" s="154"/>
      <c r="D454" s="154"/>
      <c r="E454" s="154"/>
      <c r="T454" s="154"/>
      <c r="U454" s="154"/>
      <c r="V454" s="200"/>
      <c r="W454" s="200"/>
      <c r="X454" s="200"/>
      <c r="Y454" s="200"/>
      <c r="Z454" s="328"/>
    </row>
    <row r="456" spans="1:40" x14ac:dyDescent="0.25">
      <c r="A456" s="202"/>
      <c r="C456" s="154"/>
      <c r="T456" s="154"/>
      <c r="V456" s="200"/>
      <c r="W456" s="200"/>
      <c r="X456" s="200"/>
      <c r="Y456" s="200"/>
      <c r="Z456" s="328"/>
    </row>
    <row r="457" spans="1:40" x14ac:dyDescent="0.25">
      <c r="A457" s="202"/>
      <c r="C457" s="154"/>
      <c r="F457" s="252"/>
      <c r="H457" s="252"/>
      <c r="I457" s="252"/>
      <c r="J457" s="329"/>
      <c r="K457" s="329"/>
      <c r="L457" s="200"/>
      <c r="M457" s="200"/>
      <c r="N457" s="210"/>
      <c r="O457" s="210"/>
      <c r="P457" s="200"/>
      <c r="Q457" s="200"/>
      <c r="R457" s="200"/>
      <c r="T457" s="154"/>
      <c r="V457" s="200"/>
      <c r="W457" s="200"/>
      <c r="X457" s="200"/>
      <c r="Y457" s="200"/>
      <c r="Z457" s="329"/>
      <c r="AA457" s="200"/>
      <c r="AB457" s="200"/>
      <c r="AC457" s="210"/>
      <c r="AD457" s="210"/>
      <c r="AE457" s="200"/>
      <c r="AF457" s="200"/>
      <c r="AG457" s="209"/>
      <c r="AH457" s="201"/>
      <c r="AI457" s="200"/>
      <c r="AJ457" s="200"/>
      <c r="AK457" s="209"/>
      <c r="AL457" s="200"/>
      <c r="AM457" s="210"/>
      <c r="AN457" s="210"/>
    </row>
    <row r="458" spans="1:40" x14ac:dyDescent="0.25">
      <c r="A458" s="202"/>
      <c r="C458" s="154"/>
      <c r="F458" s="252"/>
      <c r="H458" s="252"/>
      <c r="I458" s="252"/>
      <c r="J458" s="329"/>
      <c r="K458" s="329"/>
      <c r="L458" s="200"/>
      <c r="M458" s="200"/>
      <c r="N458" s="210"/>
      <c r="O458" s="210"/>
      <c r="P458" s="200"/>
      <c r="Q458" s="200"/>
      <c r="R458" s="200"/>
      <c r="T458" s="154"/>
      <c r="V458" s="200"/>
      <c r="W458" s="200"/>
      <c r="X458" s="200"/>
      <c r="Y458" s="200"/>
      <c r="Z458" s="329"/>
      <c r="AA458" s="200"/>
      <c r="AB458" s="200"/>
      <c r="AC458" s="210"/>
      <c r="AD458" s="210"/>
      <c r="AE458" s="200"/>
      <c r="AF458" s="200"/>
      <c r="AG458" s="209"/>
      <c r="AH458" s="201"/>
      <c r="AI458" s="200"/>
      <c r="AJ458" s="200"/>
      <c r="AK458" s="209"/>
      <c r="AL458" s="200"/>
      <c r="AM458" s="210"/>
      <c r="AN458" s="210"/>
    </row>
    <row r="459" spans="1:40" x14ac:dyDescent="0.25">
      <c r="A459" s="202"/>
      <c r="C459" s="154"/>
      <c r="F459" s="252"/>
      <c r="H459" s="252"/>
      <c r="I459" s="252"/>
      <c r="J459" s="329"/>
      <c r="K459" s="329"/>
      <c r="L459" s="200"/>
      <c r="M459" s="200"/>
      <c r="N459" s="210"/>
      <c r="O459" s="210"/>
      <c r="P459" s="200"/>
      <c r="Q459" s="200"/>
      <c r="R459" s="200"/>
      <c r="T459" s="154"/>
      <c r="V459" s="200"/>
      <c r="W459" s="200"/>
      <c r="X459" s="200"/>
      <c r="Y459" s="200"/>
      <c r="Z459" s="329"/>
      <c r="AA459" s="200"/>
      <c r="AB459" s="200"/>
      <c r="AC459" s="210"/>
      <c r="AD459" s="210"/>
      <c r="AE459" s="200"/>
      <c r="AF459" s="200"/>
      <c r="AG459" s="209"/>
      <c r="AH459" s="201"/>
      <c r="AI459" s="200"/>
      <c r="AJ459" s="200"/>
      <c r="AK459" s="209"/>
      <c r="AL459" s="200"/>
      <c r="AM459" s="210"/>
      <c r="AN459" s="210"/>
    </row>
    <row r="460" spans="1:40" x14ac:dyDescent="0.25">
      <c r="A460" s="202"/>
      <c r="C460" s="154"/>
      <c r="F460" s="252"/>
      <c r="H460" s="252"/>
      <c r="I460" s="252"/>
      <c r="J460" s="329"/>
      <c r="K460" s="329"/>
      <c r="L460" s="200"/>
      <c r="M460" s="200"/>
      <c r="N460" s="210"/>
      <c r="O460" s="210"/>
      <c r="P460" s="200"/>
      <c r="Q460" s="200"/>
      <c r="R460" s="200"/>
      <c r="T460" s="154"/>
      <c r="V460" s="200"/>
      <c r="W460" s="200"/>
      <c r="X460" s="200"/>
      <c r="Y460" s="200"/>
      <c r="Z460" s="329"/>
      <c r="AA460" s="200"/>
      <c r="AB460" s="200"/>
      <c r="AC460" s="210"/>
      <c r="AD460" s="210"/>
      <c r="AE460" s="200"/>
      <c r="AF460" s="200"/>
      <c r="AG460" s="209"/>
      <c r="AH460" s="201"/>
      <c r="AI460" s="200"/>
      <c r="AJ460" s="200"/>
      <c r="AK460" s="209"/>
      <c r="AL460" s="200"/>
      <c r="AM460" s="210"/>
      <c r="AN460" s="210"/>
    </row>
    <row r="461" spans="1:40" x14ac:dyDescent="0.25">
      <c r="J461" s="334"/>
      <c r="K461" s="334"/>
      <c r="V461" s="200"/>
      <c r="W461" s="200"/>
      <c r="X461" s="200"/>
      <c r="Y461" s="200"/>
      <c r="Z461" s="329"/>
    </row>
    <row r="462" spans="1:40" x14ac:dyDescent="0.25">
      <c r="A462" s="202"/>
      <c r="C462" s="154"/>
      <c r="F462" s="252"/>
      <c r="H462" s="252"/>
      <c r="I462" s="252"/>
      <c r="J462" s="329"/>
      <c r="K462" s="329"/>
      <c r="L462" s="200"/>
      <c r="M462" s="200"/>
      <c r="N462" s="210"/>
      <c r="O462" s="210"/>
      <c r="P462" s="200"/>
      <c r="Q462" s="200"/>
      <c r="R462" s="200"/>
      <c r="T462" s="154"/>
      <c r="V462" s="200"/>
      <c r="W462" s="200"/>
      <c r="X462" s="200"/>
      <c r="Y462" s="200"/>
      <c r="Z462" s="329"/>
      <c r="AA462" s="200"/>
      <c r="AB462" s="200"/>
      <c r="AC462" s="210"/>
      <c r="AD462" s="210"/>
      <c r="AE462" s="200"/>
      <c r="AF462" s="200"/>
      <c r="AG462" s="209"/>
      <c r="AH462" s="201"/>
      <c r="AI462" s="200"/>
      <c r="AJ462" s="200"/>
      <c r="AK462" s="209"/>
      <c r="AL462" s="200"/>
      <c r="AM462" s="201"/>
      <c r="AN462" s="201"/>
    </row>
    <row r="463" spans="1:40" x14ac:dyDescent="0.25">
      <c r="A463" s="202"/>
      <c r="C463" s="154"/>
      <c r="J463" s="334"/>
      <c r="K463" s="334"/>
      <c r="T463" s="154"/>
      <c r="V463" s="200"/>
      <c r="W463" s="200"/>
      <c r="X463" s="200"/>
      <c r="Y463" s="200"/>
      <c r="Z463" s="329"/>
    </row>
    <row r="464" spans="1:40" x14ac:dyDescent="0.25">
      <c r="A464" s="202"/>
      <c r="C464" s="154"/>
      <c r="F464" s="252"/>
      <c r="H464" s="252"/>
      <c r="I464" s="252"/>
      <c r="J464" s="329"/>
      <c r="K464" s="329"/>
      <c r="L464" s="200"/>
      <c r="M464" s="200"/>
      <c r="N464" s="210"/>
      <c r="O464" s="210"/>
      <c r="P464" s="200"/>
      <c r="Q464" s="200"/>
      <c r="R464" s="200"/>
      <c r="T464" s="154"/>
      <c r="V464" s="200"/>
      <c r="W464" s="200"/>
      <c r="X464" s="200"/>
      <c r="Y464" s="200"/>
      <c r="Z464" s="329"/>
      <c r="AA464" s="200"/>
      <c r="AB464" s="200"/>
      <c r="AC464" s="210"/>
      <c r="AD464" s="210"/>
      <c r="AE464" s="200"/>
      <c r="AF464" s="200"/>
      <c r="AG464" s="209"/>
      <c r="AH464" s="201"/>
      <c r="AI464" s="200"/>
      <c r="AJ464" s="200"/>
      <c r="AK464" s="209"/>
      <c r="AL464" s="200"/>
      <c r="AM464" s="201"/>
      <c r="AN464" s="201"/>
    </row>
    <row r="465" spans="1:40" x14ac:dyDescent="0.25">
      <c r="J465" s="334"/>
      <c r="K465" s="334"/>
      <c r="Z465" s="334"/>
    </row>
    <row r="466" spans="1:40" x14ac:dyDescent="0.25">
      <c r="A466" s="202"/>
      <c r="C466" s="154"/>
      <c r="J466" s="334"/>
      <c r="K466" s="334"/>
      <c r="T466" s="154"/>
      <c r="V466" s="200"/>
      <c r="W466" s="200"/>
      <c r="X466" s="200"/>
      <c r="Y466" s="200"/>
      <c r="Z466" s="329"/>
    </row>
    <row r="467" spans="1:40" x14ac:dyDescent="0.25">
      <c r="A467" s="202"/>
      <c r="C467" s="154"/>
      <c r="F467" s="252"/>
      <c r="H467" s="252"/>
      <c r="I467" s="252"/>
      <c r="J467" s="329"/>
      <c r="K467" s="329"/>
      <c r="L467" s="200"/>
      <c r="M467" s="200"/>
      <c r="N467" s="210"/>
      <c r="O467" s="210"/>
      <c r="P467" s="200"/>
      <c r="Q467" s="200"/>
      <c r="R467" s="200"/>
      <c r="T467" s="154"/>
      <c r="V467" s="200"/>
      <c r="W467" s="200"/>
      <c r="X467" s="200"/>
      <c r="Y467" s="200"/>
      <c r="Z467" s="329"/>
      <c r="AA467" s="200"/>
      <c r="AB467" s="200"/>
      <c r="AC467" s="210"/>
      <c r="AD467" s="210"/>
      <c r="AE467" s="200"/>
      <c r="AF467" s="200"/>
      <c r="AG467" s="209"/>
      <c r="AH467" s="201"/>
      <c r="AI467" s="200"/>
      <c r="AJ467" s="200"/>
      <c r="AK467" s="209"/>
      <c r="AL467" s="200"/>
      <c r="AM467" s="201"/>
      <c r="AN467" s="201"/>
    </row>
    <row r="468" spans="1:40" x14ac:dyDescent="0.25">
      <c r="A468" s="202"/>
      <c r="C468" s="154"/>
      <c r="F468" s="252"/>
      <c r="H468" s="252"/>
      <c r="I468" s="252"/>
      <c r="J468" s="329"/>
      <c r="K468" s="329"/>
      <c r="L468" s="200"/>
      <c r="M468" s="200"/>
      <c r="N468" s="210"/>
      <c r="O468" s="210"/>
      <c r="P468" s="200"/>
      <c r="Q468" s="200"/>
      <c r="R468" s="200"/>
      <c r="T468" s="154"/>
      <c r="V468" s="200"/>
      <c r="W468" s="200"/>
      <c r="X468" s="200"/>
      <c r="Y468" s="200"/>
      <c r="Z468" s="329"/>
      <c r="AA468" s="200"/>
      <c r="AB468" s="200"/>
      <c r="AC468" s="210"/>
      <c r="AD468" s="210"/>
      <c r="AE468" s="200"/>
      <c r="AF468" s="200"/>
      <c r="AG468" s="209"/>
      <c r="AH468" s="201"/>
      <c r="AI468" s="200"/>
      <c r="AJ468" s="200"/>
      <c r="AK468" s="209"/>
      <c r="AL468" s="200"/>
      <c r="AM468" s="201"/>
      <c r="AN468" s="201"/>
    </row>
    <row r="469" spans="1:40" x14ac:dyDescent="0.25">
      <c r="F469" s="211"/>
      <c r="H469" s="211"/>
      <c r="I469" s="211"/>
      <c r="J469" s="329"/>
      <c r="K469" s="329"/>
      <c r="L469" s="211"/>
      <c r="M469" s="211"/>
      <c r="N469" s="211"/>
      <c r="O469" s="211"/>
      <c r="P469" s="211"/>
      <c r="Q469" s="211"/>
      <c r="R469" s="211"/>
      <c r="V469" s="211"/>
      <c r="Y469" s="211"/>
      <c r="Z469" s="305"/>
      <c r="AA469" s="211"/>
      <c r="AB469" s="211"/>
      <c r="AC469" s="211"/>
      <c r="AD469" s="211"/>
      <c r="AE469" s="211"/>
      <c r="AF469" s="211"/>
      <c r="AI469" s="211"/>
      <c r="AJ469" s="211"/>
      <c r="AK469" s="212"/>
      <c r="AL469" s="211"/>
    </row>
    <row r="470" spans="1:40" x14ac:dyDescent="0.25">
      <c r="A470" s="202"/>
      <c r="C470" s="154"/>
      <c r="F470" s="200"/>
      <c r="H470" s="200"/>
      <c r="I470" s="200"/>
      <c r="L470" s="200"/>
      <c r="M470" s="200"/>
      <c r="N470" s="210"/>
      <c r="O470" s="210"/>
      <c r="P470" s="252"/>
      <c r="Q470" s="252"/>
      <c r="R470" s="200"/>
      <c r="T470" s="154"/>
      <c r="V470" s="200"/>
      <c r="W470" s="200"/>
      <c r="X470" s="200"/>
      <c r="Y470" s="200"/>
      <c r="Z470" s="328"/>
      <c r="AA470" s="200"/>
      <c r="AB470" s="200"/>
      <c r="AC470" s="210"/>
      <c r="AD470" s="210"/>
      <c r="AE470" s="200"/>
      <c r="AF470" s="200"/>
      <c r="AG470" s="209"/>
      <c r="AH470" s="201"/>
      <c r="AI470" s="252"/>
      <c r="AJ470" s="252"/>
      <c r="AK470" s="209"/>
      <c r="AL470" s="200"/>
      <c r="AM470" s="201"/>
      <c r="AN470" s="201"/>
    </row>
    <row r="471" spans="1:40" x14ac:dyDescent="0.25">
      <c r="F471" s="211"/>
      <c r="H471" s="211"/>
      <c r="I471" s="211"/>
      <c r="J471" s="305"/>
      <c r="K471" s="305"/>
      <c r="L471" s="211"/>
      <c r="M471" s="211"/>
      <c r="N471" s="211"/>
      <c r="O471" s="211"/>
      <c r="P471" s="211"/>
      <c r="Q471" s="211"/>
      <c r="R471" s="211"/>
      <c r="V471" s="211"/>
      <c r="Y471" s="211"/>
      <c r="Z471" s="305"/>
      <c r="AA471" s="211"/>
      <c r="AB471" s="211"/>
      <c r="AC471" s="211"/>
      <c r="AD471" s="211"/>
      <c r="AE471" s="211"/>
      <c r="AF471" s="211"/>
      <c r="AI471" s="211"/>
      <c r="AJ471" s="211"/>
      <c r="AK471" s="212"/>
      <c r="AL471" s="211"/>
    </row>
    <row r="473" spans="1:40" x14ac:dyDescent="0.25">
      <c r="C473" s="202"/>
      <c r="T473" s="202"/>
    </row>
    <row r="474" spans="1:40" x14ac:dyDescent="0.25">
      <c r="A474" s="154"/>
    </row>
    <row r="475" spans="1:40" x14ac:dyDescent="0.25">
      <c r="J475" s="202"/>
      <c r="K475" s="202"/>
      <c r="Z475" s="202"/>
    </row>
    <row r="476" spans="1:40" x14ac:dyDescent="0.25">
      <c r="H476" s="154"/>
      <c r="I476" s="154"/>
      <c r="Y476" s="154"/>
    </row>
    <row r="477" spans="1:40" x14ac:dyDescent="0.25">
      <c r="J477" s="202"/>
      <c r="K477" s="202"/>
      <c r="Z477" s="202"/>
    </row>
    <row r="478" spans="1:40" x14ac:dyDescent="0.25">
      <c r="L478" s="154"/>
      <c r="M478" s="154"/>
      <c r="AA478" s="154"/>
      <c r="AB478" s="154"/>
    </row>
    <row r="479" spans="1:40" x14ac:dyDescent="0.25">
      <c r="A479" s="202"/>
      <c r="R479" s="154"/>
      <c r="AK479" s="297"/>
      <c r="AL479" s="154"/>
    </row>
    <row r="480" spans="1:40" x14ac:dyDescent="0.25">
      <c r="A480" s="202"/>
      <c r="R480" s="154"/>
      <c r="AK480" s="297"/>
      <c r="AL480" s="154"/>
    </row>
    <row r="481" spans="1:40" x14ac:dyDescent="0.25">
      <c r="A481" s="154"/>
      <c r="R481" s="154"/>
      <c r="AK481" s="297"/>
      <c r="AL481" s="154"/>
    </row>
    <row r="482" spans="1:40" x14ac:dyDescent="0.25">
      <c r="L482" s="154"/>
      <c r="M482" s="154"/>
      <c r="R482" s="202"/>
      <c r="AA482" s="154"/>
      <c r="AB482" s="154"/>
      <c r="AK482" s="209"/>
      <c r="AL482" s="202"/>
    </row>
    <row r="483" spans="1:40" x14ac:dyDescent="0.25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208"/>
      <c r="AH483" s="102"/>
      <c r="AI483" s="102"/>
      <c r="AJ483" s="102"/>
      <c r="AK483" s="208"/>
      <c r="AL483" s="102"/>
      <c r="AM483" s="102"/>
      <c r="AN483" s="102"/>
    </row>
    <row r="484" spans="1:40" x14ac:dyDescent="0.25">
      <c r="L484" s="103"/>
      <c r="M484" s="103"/>
      <c r="N484" s="103"/>
      <c r="O484" s="103"/>
      <c r="R484" s="103"/>
      <c r="AA484" s="103"/>
      <c r="AB484" s="103"/>
      <c r="AC484" s="103"/>
      <c r="AD484" s="103"/>
      <c r="AE484" s="103"/>
      <c r="AF484" s="103"/>
      <c r="AG484" s="185"/>
      <c r="AH484" s="103"/>
      <c r="AK484" s="185"/>
      <c r="AL484" s="103"/>
      <c r="AM484" s="103"/>
      <c r="AN484" s="103"/>
    </row>
    <row r="485" spans="1:40" x14ac:dyDescent="0.25">
      <c r="L485" s="103"/>
      <c r="M485" s="103"/>
      <c r="N485" s="103"/>
      <c r="O485" s="103"/>
      <c r="R485" s="103"/>
      <c r="Z485" s="103"/>
      <c r="AA485" s="103"/>
      <c r="AB485" s="103"/>
      <c r="AC485" s="103"/>
      <c r="AD485" s="103"/>
      <c r="AE485" s="103"/>
      <c r="AF485" s="103"/>
      <c r="AG485" s="185"/>
      <c r="AH485" s="103"/>
      <c r="AK485" s="185"/>
      <c r="AL485" s="103"/>
      <c r="AM485" s="103"/>
      <c r="AN485" s="103"/>
    </row>
    <row r="486" spans="1:40" x14ac:dyDescent="0.25">
      <c r="A486" s="103"/>
      <c r="C486" s="103"/>
      <c r="D486" s="103"/>
      <c r="E486" s="103"/>
      <c r="F486" s="103"/>
      <c r="J486" s="103"/>
      <c r="K486" s="103"/>
      <c r="L486" s="103"/>
      <c r="M486" s="103"/>
      <c r="N486" s="103"/>
      <c r="O486" s="103"/>
      <c r="P486" s="103"/>
      <c r="Q486" s="103"/>
      <c r="R486" s="103"/>
      <c r="T486" s="103"/>
      <c r="U486" s="103"/>
      <c r="V486" s="103"/>
      <c r="Z486" s="103"/>
      <c r="AA486" s="103"/>
      <c r="AB486" s="103"/>
      <c r="AC486" s="103"/>
      <c r="AD486" s="103"/>
      <c r="AE486" s="103"/>
      <c r="AF486" s="103"/>
      <c r="AG486" s="185"/>
      <c r="AH486" s="103"/>
      <c r="AI486" s="103"/>
      <c r="AJ486" s="103"/>
      <c r="AK486" s="185"/>
      <c r="AL486" s="103"/>
      <c r="AM486" s="103"/>
      <c r="AN486" s="103"/>
    </row>
    <row r="487" spans="1:40" x14ac:dyDescent="0.25">
      <c r="A487" s="103"/>
      <c r="C487" s="103"/>
      <c r="D487" s="103"/>
      <c r="E487" s="103"/>
      <c r="F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T487" s="103"/>
      <c r="U487" s="103"/>
      <c r="V487" s="103"/>
      <c r="Y487" s="103"/>
      <c r="Z487" s="103"/>
      <c r="AA487" s="103"/>
      <c r="AB487" s="103"/>
      <c r="AC487" s="103"/>
      <c r="AD487" s="103"/>
      <c r="AE487" s="103"/>
      <c r="AF487" s="103"/>
      <c r="AG487" s="185"/>
      <c r="AH487" s="103"/>
      <c r="AI487" s="103"/>
      <c r="AJ487" s="103"/>
      <c r="AK487" s="185"/>
      <c r="AL487" s="103"/>
      <c r="AM487" s="103"/>
      <c r="AN487" s="103"/>
    </row>
    <row r="488" spans="1:40" x14ac:dyDescent="0.25">
      <c r="C488" s="103"/>
      <c r="D488" s="103"/>
      <c r="E488" s="103"/>
      <c r="F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T488" s="103"/>
      <c r="U488" s="103"/>
      <c r="V488" s="103"/>
      <c r="Y488" s="103"/>
      <c r="Z488" s="103"/>
      <c r="AA488" s="103"/>
      <c r="AB488" s="103"/>
      <c r="AC488" s="103"/>
      <c r="AD488" s="103"/>
      <c r="AE488" s="103"/>
      <c r="AF488" s="103"/>
      <c r="AG488" s="185"/>
      <c r="AH488" s="103"/>
      <c r="AI488" s="103"/>
      <c r="AJ488" s="103"/>
      <c r="AK488" s="185"/>
      <c r="AL488" s="103"/>
      <c r="AM488" s="103"/>
      <c r="AN488" s="103"/>
    </row>
    <row r="489" spans="1:40" x14ac:dyDescent="0.25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208"/>
      <c r="AH489" s="102"/>
      <c r="AI489" s="102"/>
      <c r="AJ489" s="102"/>
      <c r="AK489" s="208"/>
      <c r="AL489" s="102"/>
      <c r="AM489" s="102"/>
      <c r="AN489" s="102"/>
    </row>
    <row r="490" spans="1:40" x14ac:dyDescent="0.25"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Y490" s="103"/>
      <c r="Z490" s="103"/>
      <c r="AA490" s="103"/>
      <c r="AB490" s="103"/>
      <c r="AC490" s="103"/>
      <c r="AD490" s="103"/>
      <c r="AE490" s="103"/>
      <c r="AF490" s="103"/>
      <c r="AG490" s="185"/>
      <c r="AH490" s="103"/>
      <c r="AI490" s="103"/>
      <c r="AJ490" s="103"/>
      <c r="AK490" s="185"/>
      <c r="AL490" s="103"/>
      <c r="AM490" s="103"/>
      <c r="AN490" s="103"/>
    </row>
    <row r="491" spans="1:40" x14ac:dyDescent="0.25">
      <c r="A491" s="202"/>
      <c r="C491" s="154"/>
      <c r="D491" s="154"/>
      <c r="E491" s="154"/>
      <c r="T491" s="154"/>
      <c r="U491" s="154"/>
    </row>
    <row r="493" spans="1:40" x14ac:dyDescent="0.25">
      <c r="A493" s="202"/>
      <c r="C493" s="154"/>
      <c r="T493" s="154"/>
    </row>
    <row r="494" spans="1:40" x14ac:dyDescent="0.25">
      <c r="A494" s="202"/>
      <c r="C494" s="154"/>
      <c r="T494" s="154"/>
    </row>
    <row r="495" spans="1:40" x14ac:dyDescent="0.25">
      <c r="A495" s="202"/>
      <c r="C495" s="154"/>
      <c r="F495" s="252"/>
      <c r="H495" s="252"/>
      <c r="I495" s="252"/>
      <c r="J495" s="329"/>
      <c r="K495" s="329"/>
      <c r="L495" s="200"/>
      <c r="M495" s="200"/>
      <c r="N495" s="210"/>
      <c r="O495" s="210"/>
      <c r="P495" s="200"/>
      <c r="Q495" s="200"/>
      <c r="R495" s="200"/>
      <c r="T495" s="154"/>
      <c r="V495" s="200"/>
      <c r="W495" s="200"/>
      <c r="X495" s="200"/>
      <c r="Y495" s="200"/>
      <c r="Z495" s="329"/>
      <c r="AA495" s="200"/>
      <c r="AB495" s="200"/>
      <c r="AC495" s="210"/>
      <c r="AD495" s="210"/>
      <c r="AE495" s="200"/>
      <c r="AF495" s="200"/>
      <c r="AG495" s="209"/>
      <c r="AH495" s="201"/>
      <c r="AI495" s="200"/>
      <c r="AJ495" s="200"/>
      <c r="AK495" s="209"/>
      <c r="AL495" s="200"/>
      <c r="AM495" s="201"/>
      <c r="AN495" s="201"/>
    </row>
    <row r="496" spans="1:40" x14ac:dyDescent="0.25">
      <c r="A496" s="202"/>
      <c r="C496" s="154"/>
      <c r="F496" s="200"/>
      <c r="H496" s="200"/>
      <c r="I496" s="200"/>
      <c r="J496" s="334"/>
      <c r="K496" s="334"/>
      <c r="L496" s="200"/>
      <c r="M496" s="200"/>
      <c r="N496" s="210"/>
      <c r="O496" s="210"/>
      <c r="P496" s="200"/>
      <c r="Q496" s="200"/>
      <c r="R496" s="200"/>
      <c r="T496" s="154"/>
      <c r="V496" s="200"/>
      <c r="W496" s="200"/>
      <c r="X496" s="200"/>
      <c r="Y496" s="200"/>
      <c r="Z496" s="334"/>
      <c r="AA496" s="200"/>
      <c r="AB496" s="200"/>
      <c r="AC496" s="210"/>
      <c r="AD496" s="210"/>
      <c r="AE496" s="200"/>
      <c r="AF496" s="200"/>
      <c r="AG496" s="209"/>
      <c r="AH496" s="201"/>
      <c r="AI496" s="200"/>
      <c r="AJ496" s="200"/>
      <c r="AK496" s="209"/>
      <c r="AL496" s="200"/>
      <c r="AM496" s="201"/>
      <c r="AN496" s="201"/>
    </row>
    <row r="497" spans="1:40" x14ac:dyDescent="0.25">
      <c r="A497" s="202"/>
      <c r="C497" s="154"/>
      <c r="F497" s="200"/>
      <c r="H497" s="200"/>
      <c r="I497" s="200"/>
      <c r="J497" s="334"/>
      <c r="K497" s="334"/>
      <c r="L497" s="200"/>
      <c r="M497" s="200"/>
      <c r="N497" s="210"/>
      <c r="O497" s="210"/>
      <c r="P497" s="200"/>
      <c r="Q497" s="200"/>
      <c r="R497" s="200"/>
      <c r="T497" s="154"/>
      <c r="V497" s="200"/>
      <c r="W497" s="200"/>
      <c r="X497" s="200"/>
      <c r="Y497" s="200"/>
      <c r="Z497" s="334"/>
      <c r="AA497" s="200"/>
      <c r="AB497" s="200"/>
      <c r="AC497" s="210"/>
      <c r="AD497" s="210"/>
      <c r="AE497" s="200"/>
      <c r="AF497" s="200"/>
      <c r="AG497" s="209"/>
      <c r="AH497" s="201"/>
      <c r="AI497" s="200"/>
      <c r="AJ497" s="200"/>
      <c r="AK497" s="209"/>
      <c r="AL497" s="200"/>
      <c r="AM497" s="201"/>
      <c r="AN497" s="201"/>
    </row>
    <row r="498" spans="1:40" x14ac:dyDescent="0.25">
      <c r="A498" s="202"/>
      <c r="C498" s="154"/>
      <c r="F498" s="200"/>
      <c r="H498" s="200"/>
      <c r="I498" s="200"/>
      <c r="J498" s="334"/>
      <c r="K498" s="334"/>
      <c r="T498" s="154"/>
      <c r="V498" s="200"/>
      <c r="Z498" s="334"/>
    </row>
    <row r="499" spans="1:40" x14ac:dyDescent="0.25">
      <c r="A499" s="202"/>
      <c r="C499" s="154"/>
      <c r="F499" s="252"/>
      <c r="H499" s="252"/>
      <c r="I499" s="252"/>
      <c r="J499" s="329"/>
      <c r="K499" s="329"/>
      <c r="L499" s="200"/>
      <c r="M499" s="200"/>
      <c r="N499" s="210"/>
      <c r="O499" s="210"/>
      <c r="P499" s="200"/>
      <c r="Q499" s="200"/>
      <c r="R499" s="200"/>
      <c r="T499" s="154"/>
      <c r="V499" s="200"/>
      <c r="W499" s="200"/>
      <c r="X499" s="200"/>
      <c r="Y499" s="200"/>
      <c r="Z499" s="329"/>
      <c r="AA499" s="200"/>
      <c r="AB499" s="200"/>
      <c r="AC499" s="210"/>
      <c r="AD499" s="210"/>
      <c r="AE499" s="200"/>
      <c r="AF499" s="200"/>
      <c r="AG499" s="209"/>
      <c r="AH499" s="201"/>
      <c r="AI499" s="200"/>
      <c r="AJ499" s="200"/>
      <c r="AK499" s="209"/>
      <c r="AL499" s="200"/>
      <c r="AM499" s="201"/>
      <c r="AN499" s="201"/>
    </row>
    <row r="500" spans="1:40" x14ac:dyDescent="0.25">
      <c r="A500" s="202"/>
      <c r="C500" s="154"/>
      <c r="F500" s="200"/>
      <c r="H500" s="200"/>
      <c r="I500" s="200"/>
      <c r="J500" s="334"/>
      <c r="K500" s="334"/>
      <c r="T500" s="154"/>
      <c r="V500" s="200"/>
      <c r="W500" s="200"/>
      <c r="X500" s="200"/>
      <c r="Y500" s="200"/>
      <c r="Z500" s="334"/>
      <c r="AC500" s="210"/>
      <c r="AD500" s="210"/>
      <c r="AE500" s="200"/>
      <c r="AF500" s="200"/>
      <c r="AG500" s="209"/>
      <c r="AH500" s="201"/>
      <c r="AI500" s="200"/>
      <c r="AJ500" s="200"/>
      <c r="AK500" s="209"/>
      <c r="AL500" s="200"/>
      <c r="AM500" s="201"/>
      <c r="AN500" s="201"/>
    </row>
    <row r="501" spans="1:40" x14ac:dyDescent="0.25">
      <c r="A501" s="202"/>
      <c r="C501" s="154"/>
      <c r="F501" s="252"/>
      <c r="H501" s="252"/>
      <c r="I501" s="252"/>
      <c r="J501" s="329"/>
      <c r="K501" s="329"/>
      <c r="L501" s="200"/>
      <c r="M501" s="200"/>
      <c r="N501" s="210"/>
      <c r="O501" s="210"/>
      <c r="P501" s="200"/>
      <c r="Q501" s="200"/>
      <c r="R501" s="200"/>
      <c r="T501" s="154"/>
      <c r="V501" s="200"/>
      <c r="W501" s="200"/>
      <c r="X501" s="200"/>
      <c r="Y501" s="200"/>
      <c r="Z501" s="329"/>
      <c r="AA501" s="200"/>
      <c r="AB501" s="200"/>
      <c r="AC501" s="210"/>
      <c r="AD501" s="210"/>
      <c r="AE501" s="200"/>
      <c r="AF501" s="200"/>
      <c r="AG501" s="209"/>
      <c r="AH501" s="201"/>
      <c r="AI501" s="200"/>
      <c r="AJ501" s="200"/>
      <c r="AK501" s="209"/>
      <c r="AL501" s="200"/>
      <c r="AM501" s="201"/>
      <c r="AN501" s="201"/>
    </row>
    <row r="502" spans="1:40" x14ac:dyDescent="0.25">
      <c r="A502" s="202"/>
      <c r="C502" s="154"/>
      <c r="F502" s="200"/>
      <c r="H502" s="200"/>
      <c r="I502" s="200"/>
      <c r="J502" s="334"/>
      <c r="K502" s="334"/>
      <c r="L502" s="200"/>
      <c r="M502" s="200"/>
      <c r="N502" s="210"/>
      <c r="O502" s="210"/>
      <c r="P502" s="200"/>
      <c r="Q502" s="200"/>
      <c r="R502" s="200"/>
      <c r="T502" s="154"/>
      <c r="V502" s="200"/>
      <c r="W502" s="200"/>
      <c r="X502" s="200"/>
      <c r="Y502" s="200"/>
      <c r="Z502" s="334"/>
      <c r="AA502" s="200"/>
      <c r="AB502" s="200"/>
      <c r="AC502" s="210"/>
      <c r="AD502" s="210"/>
      <c r="AE502" s="200"/>
      <c r="AF502" s="200"/>
      <c r="AG502" s="209"/>
      <c r="AH502" s="201"/>
      <c r="AI502" s="200"/>
      <c r="AJ502" s="200"/>
      <c r="AK502" s="209"/>
      <c r="AL502" s="200"/>
      <c r="AM502" s="201"/>
      <c r="AN502" s="201"/>
    </row>
    <row r="503" spans="1:40" x14ac:dyDescent="0.25">
      <c r="F503" s="200"/>
      <c r="H503" s="200"/>
      <c r="I503" s="200"/>
      <c r="J503" s="334"/>
      <c r="K503" s="334"/>
      <c r="Z503" s="334"/>
    </row>
    <row r="504" spans="1:40" x14ac:dyDescent="0.25">
      <c r="A504" s="202"/>
      <c r="C504" s="154"/>
      <c r="F504" s="200"/>
      <c r="H504" s="252"/>
      <c r="I504" s="252"/>
      <c r="J504" s="329"/>
      <c r="K504" s="329"/>
      <c r="L504" s="200"/>
      <c r="M504" s="200"/>
      <c r="N504" s="210"/>
      <c r="O504" s="210"/>
      <c r="P504" s="200"/>
      <c r="Q504" s="200"/>
      <c r="R504" s="200"/>
      <c r="T504" s="154"/>
      <c r="V504" s="200"/>
      <c r="W504" s="200"/>
      <c r="X504" s="200"/>
      <c r="Y504" s="200"/>
      <c r="Z504" s="329"/>
      <c r="AA504" s="200"/>
      <c r="AB504" s="200"/>
      <c r="AC504" s="210"/>
      <c r="AD504" s="210"/>
      <c r="AE504" s="200"/>
      <c r="AF504" s="200"/>
      <c r="AG504" s="209"/>
      <c r="AH504" s="201"/>
      <c r="AI504" s="200"/>
      <c r="AJ504" s="200"/>
      <c r="AK504" s="209"/>
      <c r="AL504" s="200"/>
      <c r="AM504" s="201"/>
      <c r="AN504" s="201"/>
    </row>
    <row r="505" spans="1:40" x14ac:dyDescent="0.25">
      <c r="F505" s="211"/>
      <c r="H505" s="211"/>
      <c r="I505" s="211"/>
      <c r="J505" s="329"/>
      <c r="K505" s="329"/>
      <c r="L505" s="211"/>
      <c r="M505" s="211"/>
      <c r="N505" s="211"/>
      <c r="O505" s="211"/>
      <c r="P505" s="211"/>
      <c r="Q505" s="211"/>
      <c r="R505" s="211"/>
      <c r="V505" s="211"/>
      <c r="Y505" s="211"/>
      <c r="Z505" s="329"/>
      <c r="AA505" s="211"/>
      <c r="AB505" s="211"/>
      <c r="AC505" s="211"/>
      <c r="AD505" s="211"/>
      <c r="AE505" s="211"/>
      <c r="AF505" s="211"/>
      <c r="AI505" s="211"/>
      <c r="AJ505" s="211"/>
      <c r="AK505" s="212"/>
      <c r="AL505" s="211"/>
    </row>
    <row r="506" spans="1:40" x14ac:dyDescent="0.25">
      <c r="A506" s="202"/>
      <c r="C506" s="154"/>
      <c r="F506" s="200"/>
      <c r="H506" s="200"/>
      <c r="I506" s="200"/>
      <c r="J506" s="334"/>
      <c r="K506" s="334"/>
      <c r="L506" s="200"/>
      <c r="M506" s="200"/>
      <c r="N506" s="202"/>
      <c r="O506" s="202"/>
      <c r="P506" s="200"/>
      <c r="Q506" s="200"/>
      <c r="R506" s="200"/>
      <c r="T506" s="154"/>
      <c r="V506" s="200"/>
      <c r="Y506" s="200"/>
      <c r="Z506" s="334"/>
      <c r="AA506" s="200"/>
      <c r="AB506" s="200"/>
      <c r="AC506" s="201"/>
      <c r="AD506" s="201"/>
      <c r="AE506" s="200"/>
      <c r="AF506" s="200"/>
      <c r="AG506" s="209"/>
      <c r="AH506" s="201"/>
      <c r="AI506" s="200"/>
      <c r="AJ506" s="200"/>
      <c r="AK506" s="209"/>
      <c r="AL506" s="200"/>
      <c r="AM506" s="201"/>
      <c r="AN506" s="201"/>
    </row>
    <row r="507" spans="1:40" x14ac:dyDescent="0.25">
      <c r="F507" s="211"/>
      <c r="H507" s="211"/>
      <c r="I507" s="211"/>
      <c r="J507" s="329"/>
      <c r="K507" s="329"/>
      <c r="L507" s="211"/>
      <c r="M507" s="211"/>
      <c r="N507" s="211"/>
      <c r="O507" s="211"/>
      <c r="P507" s="211"/>
      <c r="Q507" s="211"/>
      <c r="R507" s="211"/>
      <c r="V507" s="211"/>
      <c r="Y507" s="211"/>
      <c r="Z507" s="329"/>
      <c r="AA507" s="211"/>
      <c r="AB507" s="211"/>
      <c r="AC507" s="211"/>
      <c r="AD507" s="211"/>
      <c r="AE507" s="211"/>
      <c r="AF507" s="211"/>
      <c r="AI507" s="211"/>
      <c r="AJ507" s="211"/>
      <c r="AK507" s="212"/>
      <c r="AL507" s="211"/>
    </row>
    <row r="508" spans="1:40" x14ac:dyDescent="0.25">
      <c r="J508" s="334"/>
      <c r="K508" s="334"/>
      <c r="Z508" s="334"/>
    </row>
    <row r="509" spans="1:40" x14ac:dyDescent="0.25">
      <c r="A509" s="202"/>
      <c r="C509" s="154"/>
      <c r="J509" s="334"/>
      <c r="K509" s="334"/>
      <c r="T509" s="154"/>
      <c r="Z509" s="334"/>
    </row>
    <row r="510" spans="1:40" x14ac:dyDescent="0.25">
      <c r="A510" s="202"/>
      <c r="C510" s="154"/>
      <c r="J510" s="334"/>
      <c r="K510" s="334"/>
      <c r="T510" s="154"/>
      <c r="Z510" s="334"/>
    </row>
    <row r="511" spans="1:40" x14ac:dyDescent="0.25">
      <c r="A511" s="202"/>
      <c r="C511" s="154"/>
      <c r="F511" s="252"/>
      <c r="H511" s="252"/>
      <c r="I511" s="252"/>
      <c r="J511" s="329"/>
      <c r="K511" s="329"/>
      <c r="L511" s="200"/>
      <c r="M511" s="200"/>
      <c r="N511" s="210"/>
      <c r="O511" s="210"/>
      <c r="P511" s="200"/>
      <c r="Q511" s="200"/>
      <c r="R511" s="200"/>
      <c r="T511" s="154"/>
      <c r="V511" s="200"/>
      <c r="W511" s="200"/>
      <c r="X511" s="200"/>
      <c r="Y511" s="200"/>
      <c r="Z511" s="329"/>
      <c r="AA511" s="200"/>
      <c r="AB511" s="200"/>
      <c r="AC511" s="210"/>
      <c r="AD511" s="210"/>
      <c r="AE511" s="200"/>
      <c r="AF511" s="200"/>
      <c r="AG511" s="209"/>
      <c r="AH511" s="201"/>
      <c r="AI511" s="200"/>
      <c r="AJ511" s="200"/>
      <c r="AK511" s="209"/>
      <c r="AL511" s="200"/>
      <c r="AM511" s="201"/>
      <c r="AN511" s="201"/>
    </row>
    <row r="512" spans="1:40" x14ac:dyDescent="0.25">
      <c r="A512" s="202"/>
      <c r="C512" s="154"/>
      <c r="J512" s="334"/>
      <c r="K512" s="334"/>
      <c r="T512" s="154"/>
      <c r="Z512" s="334"/>
    </row>
    <row r="513" spans="1:40" x14ac:dyDescent="0.25">
      <c r="A513" s="202"/>
      <c r="C513" s="154"/>
      <c r="F513" s="252"/>
      <c r="H513" s="252"/>
      <c r="I513" s="252"/>
      <c r="J513" s="329"/>
      <c r="K513" s="329"/>
      <c r="L513" s="200"/>
      <c r="M513" s="200"/>
      <c r="N513" s="210"/>
      <c r="O513" s="210"/>
      <c r="P513" s="200"/>
      <c r="Q513" s="200"/>
      <c r="R513" s="200"/>
      <c r="T513" s="154"/>
      <c r="V513" s="200"/>
      <c r="W513" s="200"/>
      <c r="X513" s="200"/>
      <c r="Y513" s="200"/>
      <c r="Z513" s="329"/>
      <c r="AA513" s="200"/>
      <c r="AB513" s="200"/>
      <c r="AC513" s="210"/>
      <c r="AD513" s="210"/>
      <c r="AE513" s="200"/>
      <c r="AF513" s="200"/>
      <c r="AG513" s="209"/>
      <c r="AH513" s="201"/>
      <c r="AI513" s="200"/>
      <c r="AJ513" s="200"/>
      <c r="AK513" s="209"/>
      <c r="AL513" s="200"/>
      <c r="AM513" s="201"/>
      <c r="AN513" s="201"/>
    </row>
    <row r="514" spans="1:40" x14ac:dyDescent="0.25">
      <c r="F514" s="211"/>
      <c r="H514" s="211"/>
      <c r="I514" s="211"/>
      <c r="J514" s="329"/>
      <c r="K514" s="329"/>
      <c r="L514" s="211"/>
      <c r="M514" s="211"/>
      <c r="N514" s="211"/>
      <c r="O514" s="211"/>
      <c r="P514" s="211"/>
      <c r="Q514" s="211"/>
      <c r="R514" s="211"/>
      <c r="V514" s="211"/>
      <c r="Y514" s="211"/>
      <c r="Z514" s="329"/>
      <c r="AA514" s="211"/>
      <c r="AB514" s="211"/>
      <c r="AC514" s="211"/>
      <c r="AD514" s="211"/>
      <c r="AE514" s="211"/>
      <c r="AF514" s="211"/>
      <c r="AI514" s="211"/>
      <c r="AJ514" s="211"/>
      <c r="AK514" s="212"/>
      <c r="AL514" s="211"/>
    </row>
    <row r="515" spans="1:40" x14ac:dyDescent="0.25">
      <c r="A515" s="202"/>
      <c r="C515" s="154"/>
      <c r="F515" s="200"/>
      <c r="H515" s="200"/>
      <c r="I515" s="200"/>
      <c r="J515" s="334"/>
      <c r="K515" s="334"/>
      <c r="L515" s="200"/>
      <c r="M515" s="200"/>
      <c r="N515" s="201"/>
      <c r="O515" s="201"/>
      <c r="P515" s="200"/>
      <c r="Q515" s="200"/>
      <c r="R515" s="200"/>
      <c r="T515" s="154"/>
      <c r="V515" s="200"/>
      <c r="Y515" s="200"/>
      <c r="Z515" s="334"/>
      <c r="AA515" s="200"/>
      <c r="AB515" s="200"/>
      <c r="AC515" s="201"/>
      <c r="AD515" s="201"/>
      <c r="AE515" s="200"/>
      <c r="AF515" s="200"/>
      <c r="AG515" s="209"/>
      <c r="AH515" s="201"/>
      <c r="AI515" s="200"/>
      <c r="AJ515" s="200"/>
      <c r="AK515" s="209"/>
      <c r="AL515" s="200"/>
      <c r="AM515" s="201"/>
      <c r="AN515" s="201"/>
    </row>
    <row r="516" spans="1:40" x14ac:dyDescent="0.25">
      <c r="F516" s="211"/>
      <c r="H516" s="211"/>
      <c r="I516" s="211"/>
      <c r="J516" s="329"/>
      <c r="K516" s="329"/>
      <c r="L516" s="211"/>
      <c r="M516" s="211"/>
      <c r="N516" s="211"/>
      <c r="O516" s="211"/>
      <c r="P516" s="211"/>
      <c r="Q516" s="211"/>
      <c r="R516" s="211"/>
      <c r="V516" s="211"/>
      <c r="Y516" s="211"/>
      <c r="Z516" s="305"/>
      <c r="AA516" s="211"/>
      <c r="AB516" s="211"/>
      <c r="AC516" s="211"/>
      <c r="AD516" s="211"/>
      <c r="AE516" s="211"/>
      <c r="AF516" s="211"/>
      <c r="AI516" s="211"/>
      <c r="AJ516" s="211"/>
      <c r="AK516" s="212"/>
      <c r="AL516" s="211"/>
    </row>
    <row r="517" spans="1:40" x14ac:dyDescent="0.25">
      <c r="J517" s="334"/>
      <c r="K517" s="334"/>
    </row>
    <row r="518" spans="1:40" x14ac:dyDescent="0.25">
      <c r="A518" s="202"/>
      <c r="C518" s="154"/>
      <c r="F518" s="200"/>
      <c r="H518" s="200"/>
      <c r="I518" s="200"/>
      <c r="J518" s="334"/>
      <c r="K518" s="334"/>
      <c r="L518" s="200"/>
      <c r="M518" s="200"/>
      <c r="N518" s="210"/>
      <c r="O518" s="210"/>
      <c r="P518" s="252"/>
      <c r="Q518" s="252"/>
      <c r="R518" s="200"/>
      <c r="T518" s="154"/>
      <c r="V518" s="200"/>
      <c r="Y518" s="200"/>
      <c r="AA518" s="200"/>
      <c r="AB518" s="200"/>
      <c r="AC518" s="201"/>
      <c r="AD518" s="201"/>
      <c r="AE518" s="200"/>
      <c r="AF518" s="200"/>
      <c r="AG518" s="209"/>
      <c r="AH518" s="201"/>
      <c r="AI518" s="252"/>
      <c r="AJ518" s="252"/>
      <c r="AK518" s="209"/>
      <c r="AL518" s="200"/>
      <c r="AM518" s="201"/>
      <c r="AN518" s="201"/>
    </row>
    <row r="519" spans="1:40" x14ac:dyDescent="0.25">
      <c r="F519" s="211"/>
      <c r="H519" s="211"/>
      <c r="I519" s="211"/>
      <c r="J519" s="329"/>
      <c r="K519" s="329"/>
      <c r="L519" s="211"/>
      <c r="M519" s="211"/>
      <c r="N519" s="211"/>
      <c r="O519" s="211"/>
      <c r="P519" s="211"/>
      <c r="Q519" s="211"/>
      <c r="R519" s="211"/>
      <c r="V519" s="211"/>
      <c r="Y519" s="211"/>
      <c r="Z519" s="305"/>
      <c r="AA519" s="211"/>
      <c r="AB519" s="211"/>
      <c r="AC519" s="211"/>
      <c r="AD519" s="211"/>
      <c r="AE519" s="211"/>
      <c r="AF519" s="211"/>
      <c r="AI519" s="211"/>
      <c r="AJ519" s="211"/>
      <c r="AK519" s="212"/>
      <c r="AL519" s="211"/>
    </row>
    <row r="521" spans="1:40" x14ac:dyDescent="0.25">
      <c r="C521" s="202"/>
      <c r="T521" s="202"/>
    </row>
    <row r="522" spans="1:40" x14ac:dyDescent="0.25">
      <c r="A522" s="154"/>
    </row>
    <row r="523" spans="1:40" x14ac:dyDescent="0.25">
      <c r="J523" s="202"/>
      <c r="K523" s="202"/>
      <c r="Z523" s="202"/>
    </row>
    <row r="524" spans="1:40" x14ac:dyDescent="0.25">
      <c r="H524" s="154"/>
      <c r="I524" s="154"/>
      <c r="Y524" s="154"/>
    </row>
    <row r="525" spans="1:40" x14ac:dyDescent="0.25">
      <c r="J525" s="202"/>
      <c r="K525" s="202"/>
      <c r="Z525" s="202"/>
    </row>
    <row r="526" spans="1:40" x14ac:dyDescent="0.25">
      <c r="L526" s="154"/>
      <c r="M526" s="154"/>
      <c r="AA526" s="154"/>
      <c r="AB526" s="154"/>
    </row>
    <row r="527" spans="1:40" x14ac:dyDescent="0.25">
      <c r="A527" s="202"/>
      <c r="R527" s="154"/>
      <c r="AK527" s="297"/>
      <c r="AL527" s="154"/>
    </row>
    <row r="528" spans="1:40" x14ac:dyDescent="0.25">
      <c r="A528" s="202"/>
      <c r="R528" s="154"/>
      <c r="AK528" s="297"/>
      <c r="AL528" s="154"/>
    </row>
    <row r="529" spans="1:40" x14ac:dyDescent="0.25">
      <c r="A529" s="154"/>
      <c r="R529" s="154"/>
      <c r="AK529" s="297"/>
      <c r="AL529" s="154"/>
    </row>
    <row r="530" spans="1:40" x14ac:dyDescent="0.25">
      <c r="L530" s="154"/>
      <c r="M530" s="154"/>
      <c r="R530" s="202"/>
      <c r="AA530" s="154"/>
      <c r="AB530" s="154"/>
      <c r="AK530" s="209"/>
      <c r="AL530" s="202"/>
    </row>
    <row r="531" spans="1:40" x14ac:dyDescent="0.25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208"/>
      <c r="AH531" s="102"/>
      <c r="AI531" s="102"/>
      <c r="AJ531" s="102"/>
      <c r="AK531" s="208"/>
      <c r="AL531" s="102"/>
      <c r="AM531" s="102"/>
      <c r="AN531" s="102"/>
    </row>
    <row r="532" spans="1:40" x14ac:dyDescent="0.25">
      <c r="L532" s="103"/>
      <c r="M532" s="103"/>
      <c r="N532" s="103"/>
      <c r="O532" s="103"/>
      <c r="R532" s="103"/>
      <c r="AA532" s="103"/>
      <c r="AB532" s="103"/>
      <c r="AC532" s="103"/>
      <c r="AD532" s="103"/>
      <c r="AE532" s="103"/>
      <c r="AF532" s="103"/>
      <c r="AG532" s="185"/>
      <c r="AH532" s="103"/>
      <c r="AK532" s="185"/>
      <c r="AL532" s="103"/>
      <c r="AM532" s="103"/>
      <c r="AN532" s="103"/>
    </row>
    <row r="533" spans="1:40" x14ac:dyDescent="0.25">
      <c r="L533" s="103"/>
      <c r="M533" s="103"/>
      <c r="N533" s="103"/>
      <c r="O533" s="103"/>
      <c r="R533" s="103"/>
      <c r="Z533" s="103"/>
      <c r="AA533" s="103"/>
      <c r="AB533" s="103"/>
      <c r="AC533" s="103"/>
      <c r="AD533" s="103"/>
      <c r="AE533" s="103"/>
      <c r="AF533" s="103"/>
      <c r="AG533" s="185"/>
      <c r="AH533" s="103"/>
      <c r="AK533" s="185"/>
      <c r="AL533" s="103"/>
      <c r="AM533" s="103"/>
      <c r="AN533" s="103"/>
    </row>
    <row r="534" spans="1:40" x14ac:dyDescent="0.25">
      <c r="A534" s="103"/>
      <c r="C534" s="103"/>
      <c r="D534" s="103"/>
      <c r="E534" s="103"/>
      <c r="F534" s="103"/>
      <c r="J534" s="103"/>
      <c r="K534" s="103"/>
      <c r="L534" s="103"/>
      <c r="M534" s="103"/>
      <c r="N534" s="103"/>
      <c r="O534" s="103"/>
      <c r="P534" s="103"/>
      <c r="Q534" s="103"/>
      <c r="R534" s="103"/>
      <c r="T534" s="103"/>
      <c r="U534" s="103"/>
      <c r="V534" s="103"/>
      <c r="Z534" s="103"/>
      <c r="AA534" s="103"/>
      <c r="AB534" s="103"/>
      <c r="AC534" s="103"/>
      <c r="AD534" s="103"/>
      <c r="AE534" s="103"/>
      <c r="AF534" s="103"/>
      <c r="AG534" s="185"/>
      <c r="AH534" s="103"/>
      <c r="AI534" s="103"/>
      <c r="AJ534" s="103"/>
      <c r="AK534" s="185"/>
      <c r="AL534" s="103"/>
      <c r="AM534" s="103"/>
      <c r="AN534" s="103"/>
    </row>
    <row r="535" spans="1:40" x14ac:dyDescent="0.25">
      <c r="A535" s="103"/>
      <c r="C535" s="103"/>
      <c r="D535" s="103"/>
      <c r="E535" s="103"/>
      <c r="F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T535" s="103"/>
      <c r="U535" s="103"/>
      <c r="V535" s="103"/>
      <c r="Y535" s="103"/>
      <c r="Z535" s="103"/>
      <c r="AA535" s="103"/>
      <c r="AB535" s="103"/>
      <c r="AC535" s="103"/>
      <c r="AD535" s="103"/>
      <c r="AE535" s="103"/>
      <c r="AF535" s="103"/>
      <c r="AG535" s="185"/>
      <c r="AH535" s="103"/>
      <c r="AI535" s="103"/>
      <c r="AJ535" s="103"/>
      <c r="AK535" s="185"/>
      <c r="AL535" s="103"/>
      <c r="AM535" s="103"/>
      <c r="AN535" s="103"/>
    </row>
    <row r="536" spans="1:40" x14ac:dyDescent="0.25">
      <c r="C536" s="103"/>
      <c r="D536" s="103"/>
      <c r="E536" s="103"/>
      <c r="F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T536" s="103"/>
      <c r="U536" s="103"/>
      <c r="V536" s="103"/>
      <c r="Y536" s="103"/>
      <c r="Z536" s="103"/>
      <c r="AA536" s="103"/>
      <c r="AB536" s="103"/>
      <c r="AC536" s="103"/>
      <c r="AD536" s="103"/>
      <c r="AE536" s="103"/>
      <c r="AF536" s="103"/>
      <c r="AG536" s="185"/>
      <c r="AH536" s="103"/>
      <c r="AI536" s="103"/>
      <c r="AJ536" s="103"/>
      <c r="AK536" s="185"/>
      <c r="AL536" s="103"/>
      <c r="AM536" s="103"/>
      <c r="AN536" s="103"/>
    </row>
    <row r="537" spans="1:40" x14ac:dyDescent="0.2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208"/>
      <c r="AH537" s="102"/>
      <c r="AI537" s="102"/>
      <c r="AJ537" s="102"/>
      <c r="AK537" s="208"/>
      <c r="AL537" s="102"/>
      <c r="AM537" s="102"/>
      <c r="AN537" s="102"/>
    </row>
    <row r="538" spans="1:40" x14ac:dyDescent="0.25"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Y538" s="103"/>
      <c r="Z538" s="103"/>
      <c r="AA538" s="103"/>
      <c r="AB538" s="103"/>
      <c r="AC538" s="103"/>
      <c r="AD538" s="103"/>
      <c r="AE538" s="103"/>
      <c r="AF538" s="103"/>
      <c r="AG538" s="185"/>
      <c r="AH538" s="103"/>
      <c r="AI538" s="103"/>
      <c r="AJ538" s="103"/>
      <c r="AK538" s="185"/>
      <c r="AL538" s="103"/>
      <c r="AM538" s="103"/>
      <c r="AN538" s="103"/>
    </row>
    <row r="539" spans="1:40" x14ac:dyDescent="0.25">
      <c r="A539" s="202"/>
      <c r="C539" s="154"/>
      <c r="D539" s="154"/>
      <c r="E539" s="154"/>
      <c r="T539" s="154"/>
      <c r="U539" s="154"/>
    </row>
    <row r="541" spans="1:40" x14ac:dyDescent="0.25">
      <c r="A541" s="202"/>
      <c r="C541" s="154"/>
      <c r="D541" s="154"/>
      <c r="E541" s="154"/>
      <c r="T541" s="154"/>
      <c r="U541" s="154"/>
    </row>
    <row r="542" spans="1:40" x14ac:dyDescent="0.25">
      <c r="A542" s="202"/>
      <c r="C542" s="154"/>
      <c r="T542" s="154"/>
    </row>
    <row r="543" spans="1:40" x14ac:dyDescent="0.25">
      <c r="A543" s="202"/>
      <c r="C543" s="154"/>
      <c r="T543" s="154"/>
    </row>
    <row r="544" spans="1:40" x14ac:dyDescent="0.25">
      <c r="A544" s="202"/>
      <c r="C544" s="154"/>
      <c r="F544" s="252"/>
      <c r="H544" s="252"/>
      <c r="I544" s="252"/>
      <c r="J544" s="329"/>
      <c r="K544" s="329"/>
      <c r="L544" s="200"/>
      <c r="M544" s="200"/>
      <c r="N544" s="210"/>
      <c r="O544" s="210"/>
      <c r="P544" s="200"/>
      <c r="Q544" s="200"/>
      <c r="R544" s="200"/>
      <c r="T544" s="154"/>
      <c r="V544" s="200"/>
      <c r="W544" s="200"/>
      <c r="X544" s="200"/>
      <c r="Y544" s="200"/>
      <c r="Z544" s="329"/>
      <c r="AA544" s="200"/>
      <c r="AB544" s="200"/>
      <c r="AC544" s="210"/>
      <c r="AD544" s="210"/>
      <c r="AE544" s="200"/>
      <c r="AF544" s="200"/>
      <c r="AG544" s="209"/>
      <c r="AH544" s="201"/>
      <c r="AI544" s="200"/>
      <c r="AJ544" s="200"/>
      <c r="AK544" s="209"/>
      <c r="AL544" s="200"/>
      <c r="AM544" s="210"/>
      <c r="AN544" s="210"/>
    </row>
    <row r="545" spans="1:40" x14ac:dyDescent="0.25">
      <c r="A545" s="202"/>
      <c r="C545" s="154"/>
      <c r="J545" s="334"/>
      <c r="K545" s="334"/>
      <c r="T545" s="154"/>
      <c r="V545" s="200"/>
      <c r="W545" s="200"/>
      <c r="X545" s="200"/>
      <c r="Y545" s="200"/>
      <c r="Z545" s="329"/>
    </row>
    <row r="546" spans="1:40" x14ac:dyDescent="0.25">
      <c r="A546" s="202"/>
      <c r="C546" s="154"/>
      <c r="F546" s="252"/>
      <c r="H546" s="252"/>
      <c r="I546" s="252"/>
      <c r="J546" s="329"/>
      <c r="K546" s="329"/>
      <c r="L546" s="200"/>
      <c r="M546" s="200"/>
      <c r="N546" s="210"/>
      <c r="O546" s="210"/>
      <c r="P546" s="200"/>
      <c r="Q546" s="200"/>
      <c r="R546" s="200"/>
      <c r="T546" s="154"/>
      <c r="V546" s="200"/>
      <c r="W546" s="200"/>
      <c r="X546" s="200"/>
      <c r="Y546" s="200"/>
      <c r="Z546" s="329"/>
      <c r="AA546" s="200"/>
      <c r="AB546" s="200"/>
      <c r="AC546" s="210"/>
      <c r="AD546" s="210"/>
      <c r="AE546" s="200"/>
      <c r="AF546" s="200"/>
      <c r="AG546" s="209"/>
      <c r="AH546" s="201"/>
      <c r="AI546" s="200"/>
      <c r="AJ546" s="200"/>
      <c r="AK546" s="209"/>
      <c r="AL546" s="200"/>
      <c r="AM546" s="210"/>
      <c r="AN546" s="210"/>
    </row>
    <row r="547" spans="1:40" x14ac:dyDescent="0.25">
      <c r="A547" s="202"/>
      <c r="C547" s="154"/>
      <c r="J547" s="334"/>
      <c r="K547" s="334"/>
      <c r="T547" s="154"/>
      <c r="V547" s="200"/>
      <c r="W547" s="200"/>
      <c r="X547" s="200"/>
      <c r="Y547" s="200"/>
      <c r="Z547" s="329"/>
    </row>
    <row r="548" spans="1:40" x14ac:dyDescent="0.25">
      <c r="A548" s="202"/>
      <c r="C548" s="154"/>
      <c r="F548" s="252"/>
      <c r="H548" s="252"/>
      <c r="I548" s="252"/>
      <c r="J548" s="329"/>
      <c r="K548" s="329"/>
      <c r="L548" s="200"/>
      <c r="M548" s="200"/>
      <c r="N548" s="210"/>
      <c r="O548" s="210"/>
      <c r="P548" s="200"/>
      <c r="Q548" s="200"/>
      <c r="R548" s="200"/>
      <c r="T548" s="154"/>
      <c r="V548" s="200"/>
      <c r="W548" s="200"/>
      <c r="X548" s="200"/>
      <c r="Y548" s="200"/>
      <c r="Z548" s="329"/>
      <c r="AA548" s="200"/>
      <c r="AB548" s="200"/>
      <c r="AC548" s="210"/>
      <c r="AD548" s="210"/>
      <c r="AE548" s="200"/>
      <c r="AF548" s="200"/>
      <c r="AG548" s="209"/>
      <c r="AH548" s="201"/>
      <c r="AI548" s="200"/>
      <c r="AJ548" s="200"/>
      <c r="AK548" s="209"/>
      <c r="AL548" s="200"/>
      <c r="AM548" s="210"/>
      <c r="AN548" s="210"/>
    </row>
    <row r="549" spans="1:40" x14ac:dyDescent="0.25">
      <c r="A549" s="202"/>
      <c r="C549" s="154"/>
      <c r="J549" s="334"/>
      <c r="K549" s="334"/>
      <c r="T549" s="154"/>
      <c r="V549" s="200"/>
      <c r="W549" s="200"/>
      <c r="X549" s="200"/>
      <c r="Y549" s="200"/>
      <c r="Z549" s="329"/>
    </row>
    <row r="550" spans="1:40" x14ac:dyDescent="0.25">
      <c r="A550" s="202"/>
      <c r="C550" s="154"/>
      <c r="F550" s="252"/>
      <c r="H550" s="252"/>
      <c r="I550" s="252"/>
      <c r="J550" s="329"/>
      <c r="K550" s="329"/>
      <c r="L550" s="200"/>
      <c r="M550" s="200"/>
      <c r="N550" s="210"/>
      <c r="O550" s="210"/>
      <c r="P550" s="200"/>
      <c r="Q550" s="200"/>
      <c r="R550" s="200"/>
      <c r="T550" s="154"/>
      <c r="V550" s="200"/>
      <c r="W550" s="200"/>
      <c r="X550" s="200"/>
      <c r="Y550" s="200"/>
      <c r="Z550" s="329"/>
      <c r="AA550" s="200"/>
      <c r="AB550" s="200"/>
      <c r="AC550" s="210"/>
      <c r="AD550" s="210"/>
      <c r="AE550" s="200"/>
      <c r="AF550" s="200"/>
      <c r="AG550" s="209"/>
      <c r="AH550" s="201"/>
      <c r="AI550" s="200"/>
      <c r="AJ550" s="200"/>
      <c r="AK550" s="209"/>
      <c r="AL550" s="200"/>
      <c r="AM550" s="210"/>
      <c r="AN550" s="210"/>
    </row>
    <row r="551" spans="1:40" x14ac:dyDescent="0.25">
      <c r="A551" s="202"/>
      <c r="C551" s="154"/>
      <c r="J551" s="334"/>
      <c r="K551" s="334"/>
      <c r="T551" s="154"/>
      <c r="V551" s="200"/>
      <c r="W551" s="200"/>
      <c r="X551" s="200"/>
      <c r="Y551" s="200"/>
      <c r="Z551" s="329"/>
    </row>
    <row r="552" spans="1:40" x14ac:dyDescent="0.25">
      <c r="A552" s="202"/>
      <c r="C552" s="154"/>
      <c r="F552" s="252"/>
      <c r="H552" s="252"/>
      <c r="I552" s="252"/>
      <c r="J552" s="329"/>
      <c r="K552" s="329"/>
      <c r="L552" s="200"/>
      <c r="M552" s="200"/>
      <c r="N552" s="210"/>
      <c r="O552" s="210"/>
      <c r="P552" s="200"/>
      <c r="Q552" s="200"/>
      <c r="R552" s="200"/>
      <c r="T552" s="154"/>
      <c r="V552" s="200"/>
      <c r="W552" s="200"/>
      <c r="X552" s="200"/>
      <c r="Y552" s="200"/>
      <c r="Z552" s="329"/>
      <c r="AA552" s="200"/>
      <c r="AB552" s="200"/>
      <c r="AC552" s="210"/>
      <c r="AD552" s="210"/>
      <c r="AE552" s="200"/>
      <c r="AF552" s="200"/>
      <c r="AG552" s="209"/>
      <c r="AH552" s="201"/>
      <c r="AI552" s="200"/>
      <c r="AJ552" s="200"/>
      <c r="AK552" s="209"/>
      <c r="AL552" s="200"/>
      <c r="AM552" s="210"/>
      <c r="AN552" s="210"/>
    </row>
    <row r="553" spans="1:40" x14ac:dyDescent="0.25">
      <c r="A553" s="202"/>
      <c r="C553" s="154"/>
      <c r="J553" s="334"/>
      <c r="K553" s="334"/>
      <c r="T553" s="154"/>
      <c r="V553" s="200"/>
      <c r="W553" s="200"/>
      <c r="X553" s="200"/>
      <c r="Y553" s="200"/>
      <c r="Z553" s="329"/>
    </row>
    <row r="554" spans="1:40" x14ac:dyDescent="0.25">
      <c r="A554" s="202"/>
      <c r="C554" s="154"/>
      <c r="F554" s="252"/>
      <c r="H554" s="252"/>
      <c r="I554" s="252"/>
      <c r="J554" s="329"/>
      <c r="K554" s="329"/>
      <c r="L554" s="200"/>
      <c r="M554" s="200"/>
      <c r="N554" s="210"/>
      <c r="O554" s="210"/>
      <c r="P554" s="200"/>
      <c r="Q554" s="200"/>
      <c r="R554" s="200"/>
      <c r="T554" s="154"/>
      <c r="V554" s="200"/>
      <c r="W554" s="200"/>
      <c r="X554" s="200"/>
      <c r="Y554" s="200"/>
      <c r="Z554" s="329"/>
      <c r="AA554" s="200"/>
      <c r="AB554" s="200"/>
      <c r="AC554" s="210"/>
      <c r="AD554" s="210"/>
      <c r="AE554" s="200"/>
      <c r="AF554" s="200"/>
      <c r="AG554" s="209"/>
      <c r="AH554" s="201"/>
      <c r="AI554" s="200"/>
      <c r="AJ554" s="200"/>
      <c r="AK554" s="209"/>
      <c r="AL554" s="200"/>
      <c r="AM554" s="210"/>
      <c r="AN554" s="210"/>
    </row>
    <row r="555" spans="1:40" x14ac:dyDescent="0.25">
      <c r="F555" s="211"/>
      <c r="H555" s="211"/>
      <c r="I555" s="211"/>
      <c r="J555" s="329"/>
      <c r="K555" s="329"/>
      <c r="L555" s="211"/>
      <c r="M555" s="211"/>
      <c r="N555" s="211"/>
      <c r="O555" s="211"/>
      <c r="P555" s="211"/>
      <c r="Q555" s="211"/>
      <c r="R555" s="211"/>
      <c r="V555" s="211"/>
      <c r="Y555" s="211"/>
      <c r="Z555" s="329"/>
      <c r="AA555" s="211"/>
      <c r="AB555" s="211"/>
      <c r="AC555" s="211"/>
      <c r="AD555" s="211"/>
      <c r="AE555" s="211"/>
      <c r="AF555" s="211"/>
      <c r="AI555" s="211"/>
      <c r="AJ555" s="211"/>
      <c r="AK555" s="212"/>
      <c r="AL555" s="211"/>
      <c r="AM555" s="210"/>
      <c r="AN555" s="210"/>
    </row>
    <row r="556" spans="1:40" x14ac:dyDescent="0.25">
      <c r="A556" s="202"/>
      <c r="C556" s="154"/>
      <c r="F556" s="200"/>
      <c r="H556" s="200"/>
      <c r="I556" s="200"/>
      <c r="J556" s="334"/>
      <c r="K556" s="334"/>
      <c r="L556" s="200"/>
      <c r="M556" s="200"/>
      <c r="N556" s="210"/>
      <c r="O556" s="210"/>
      <c r="P556" s="252"/>
      <c r="Q556" s="252"/>
      <c r="R556" s="200"/>
      <c r="T556" s="154"/>
      <c r="V556" s="200"/>
      <c r="W556" s="200"/>
      <c r="X556" s="200"/>
      <c r="Y556" s="200"/>
      <c r="Z556" s="329"/>
      <c r="AA556" s="200"/>
      <c r="AB556" s="200"/>
      <c r="AC556" s="210"/>
      <c r="AD556" s="210"/>
      <c r="AE556" s="200"/>
      <c r="AF556" s="200"/>
      <c r="AG556" s="209"/>
      <c r="AH556" s="201"/>
      <c r="AI556" s="252"/>
      <c r="AJ556" s="252"/>
      <c r="AK556" s="209"/>
      <c r="AL556" s="200"/>
      <c r="AM556" s="210"/>
      <c r="AN556" s="210"/>
    </row>
    <row r="557" spans="1:40" x14ac:dyDescent="0.25">
      <c r="F557" s="211"/>
      <c r="H557" s="211"/>
      <c r="I557" s="211"/>
      <c r="J557" s="329"/>
      <c r="K557" s="329"/>
      <c r="L557" s="211"/>
      <c r="M557" s="211"/>
      <c r="N557" s="211"/>
      <c r="O557" s="211"/>
      <c r="P557" s="211"/>
      <c r="Q557" s="211"/>
      <c r="R557" s="211"/>
      <c r="V557" s="211"/>
      <c r="Y557" s="211"/>
      <c r="Z557" s="329"/>
      <c r="AA557" s="211"/>
      <c r="AB557" s="211"/>
      <c r="AC557" s="211"/>
      <c r="AD557" s="211"/>
      <c r="AE557" s="211"/>
      <c r="AF557" s="211"/>
      <c r="AI557" s="211"/>
      <c r="AJ557" s="211"/>
      <c r="AK557" s="212"/>
      <c r="AL557" s="211"/>
    </row>
    <row r="558" spans="1:40" x14ac:dyDescent="0.25">
      <c r="A558" s="202"/>
      <c r="C558" s="154"/>
      <c r="D558" s="154"/>
      <c r="E558" s="154"/>
      <c r="J558" s="334"/>
      <c r="K558" s="334"/>
      <c r="T558" s="154"/>
      <c r="U558" s="154"/>
      <c r="V558" s="200"/>
      <c r="W558" s="200"/>
      <c r="X558" s="200"/>
      <c r="Y558" s="200"/>
      <c r="Z558" s="329"/>
    </row>
    <row r="559" spans="1:40" x14ac:dyDescent="0.25">
      <c r="A559" s="202"/>
      <c r="C559" s="154"/>
      <c r="J559" s="334"/>
      <c r="K559" s="334"/>
      <c r="T559" s="154"/>
      <c r="V559" s="200"/>
      <c r="W559" s="200"/>
      <c r="X559" s="200"/>
      <c r="Y559" s="200"/>
      <c r="Z559" s="329"/>
    </row>
    <row r="560" spans="1:40" x14ac:dyDescent="0.25">
      <c r="A560" s="202"/>
      <c r="C560" s="154"/>
      <c r="J560" s="334"/>
      <c r="K560" s="334"/>
      <c r="T560" s="154"/>
      <c r="V560" s="200"/>
      <c r="W560" s="200"/>
      <c r="X560" s="200"/>
      <c r="Y560" s="200"/>
      <c r="Z560" s="329"/>
    </row>
    <row r="561" spans="1:40" x14ac:dyDescent="0.25">
      <c r="A561" s="202"/>
      <c r="C561" s="154"/>
      <c r="F561" s="252"/>
      <c r="H561" s="252"/>
      <c r="I561" s="252"/>
      <c r="J561" s="329"/>
      <c r="K561" s="329"/>
      <c r="L561" s="200"/>
      <c r="M561" s="200"/>
      <c r="N561" s="210"/>
      <c r="O561" s="210"/>
      <c r="P561" s="200"/>
      <c r="Q561" s="200"/>
      <c r="R561" s="200"/>
      <c r="T561" s="154"/>
      <c r="V561" s="200"/>
      <c r="W561" s="200"/>
      <c r="X561" s="200"/>
      <c r="Y561" s="200"/>
      <c r="Z561" s="329"/>
      <c r="AA561" s="200"/>
      <c r="AB561" s="200"/>
      <c r="AC561" s="210"/>
      <c r="AD561" s="210"/>
      <c r="AE561" s="200"/>
      <c r="AF561" s="200"/>
      <c r="AG561" s="209"/>
      <c r="AH561" s="201"/>
      <c r="AI561" s="200"/>
      <c r="AJ561" s="200"/>
      <c r="AK561" s="209"/>
      <c r="AL561" s="200"/>
      <c r="AM561" s="210"/>
      <c r="AN561" s="210"/>
    </row>
    <row r="562" spans="1:40" x14ac:dyDescent="0.25">
      <c r="A562" s="202"/>
      <c r="C562" s="154"/>
      <c r="J562" s="334"/>
      <c r="K562" s="334"/>
      <c r="T562" s="154"/>
      <c r="V562" s="200"/>
      <c r="W562" s="200"/>
      <c r="X562" s="200"/>
      <c r="Y562" s="200"/>
      <c r="Z562" s="329"/>
    </row>
    <row r="563" spans="1:40" x14ac:dyDescent="0.25">
      <c r="A563" s="202"/>
      <c r="C563" s="154"/>
      <c r="F563" s="252"/>
      <c r="H563" s="252"/>
      <c r="I563" s="252"/>
      <c r="J563" s="329"/>
      <c r="K563" s="329"/>
      <c r="L563" s="200"/>
      <c r="M563" s="200"/>
      <c r="N563" s="210"/>
      <c r="O563" s="210"/>
      <c r="P563" s="200"/>
      <c r="Q563" s="200"/>
      <c r="R563" s="200"/>
      <c r="T563" s="154"/>
      <c r="V563" s="200"/>
      <c r="W563" s="200"/>
      <c r="X563" s="200"/>
      <c r="Y563" s="200"/>
      <c r="Z563" s="329"/>
      <c r="AA563" s="200"/>
      <c r="AB563" s="200"/>
      <c r="AC563" s="210"/>
      <c r="AD563" s="210"/>
      <c r="AE563" s="200"/>
      <c r="AF563" s="200"/>
      <c r="AG563" s="209"/>
      <c r="AH563" s="201"/>
      <c r="AI563" s="200"/>
      <c r="AJ563" s="200"/>
      <c r="AK563" s="209"/>
      <c r="AL563" s="200"/>
      <c r="AM563" s="210"/>
      <c r="AN563" s="210"/>
    </row>
    <row r="564" spans="1:40" x14ac:dyDescent="0.25">
      <c r="F564" s="211"/>
      <c r="H564" s="211"/>
      <c r="I564" s="211"/>
      <c r="J564" s="329"/>
      <c r="K564" s="329"/>
      <c r="L564" s="211"/>
      <c r="M564" s="211"/>
      <c r="N564" s="211"/>
      <c r="O564" s="211"/>
      <c r="P564" s="211"/>
      <c r="Q564" s="211"/>
      <c r="R564" s="211"/>
      <c r="V564" s="211"/>
      <c r="Y564" s="211"/>
      <c r="Z564" s="305"/>
      <c r="AA564" s="211"/>
      <c r="AB564" s="211"/>
      <c r="AC564" s="211"/>
      <c r="AD564" s="211"/>
      <c r="AE564" s="211"/>
      <c r="AF564" s="211"/>
      <c r="AI564" s="211"/>
      <c r="AJ564" s="211"/>
      <c r="AK564" s="212"/>
      <c r="AL564" s="211"/>
    </row>
    <row r="565" spans="1:40" x14ac:dyDescent="0.25">
      <c r="A565" s="202"/>
      <c r="C565" s="154"/>
      <c r="F565" s="200"/>
      <c r="H565" s="200"/>
      <c r="I565" s="200"/>
      <c r="L565" s="200"/>
      <c r="M565" s="200"/>
      <c r="N565" s="210"/>
      <c r="O565" s="210"/>
      <c r="P565" s="252"/>
      <c r="Q565" s="252"/>
      <c r="R565" s="200"/>
      <c r="T565" s="154"/>
      <c r="V565" s="200"/>
      <c r="W565" s="200"/>
      <c r="X565" s="200"/>
      <c r="Y565" s="200"/>
      <c r="Z565" s="328"/>
      <c r="AA565" s="200"/>
      <c r="AB565" s="200"/>
      <c r="AC565" s="210"/>
      <c r="AD565" s="210"/>
      <c r="AE565" s="200"/>
      <c r="AF565" s="200"/>
      <c r="AG565" s="209"/>
      <c r="AH565" s="201"/>
      <c r="AI565" s="252"/>
      <c r="AJ565" s="252"/>
      <c r="AK565" s="209"/>
      <c r="AL565" s="200"/>
      <c r="AM565" s="210"/>
      <c r="AN565" s="210"/>
    </row>
    <row r="566" spans="1:40" x14ac:dyDescent="0.25">
      <c r="F566" s="211"/>
      <c r="H566" s="211"/>
      <c r="I566" s="211"/>
      <c r="J566" s="305"/>
      <c r="K566" s="305"/>
      <c r="L566" s="211"/>
      <c r="M566" s="211"/>
      <c r="N566" s="211"/>
      <c r="O566" s="211"/>
      <c r="P566" s="211"/>
      <c r="Q566" s="211"/>
      <c r="R566" s="211"/>
      <c r="V566" s="211"/>
      <c r="Y566" s="211"/>
      <c r="Z566" s="305"/>
      <c r="AA566" s="211"/>
      <c r="AB566" s="211"/>
      <c r="AC566" s="211"/>
      <c r="AD566" s="211"/>
      <c r="AE566" s="211"/>
      <c r="AF566" s="211"/>
      <c r="AI566" s="211"/>
      <c r="AJ566" s="211"/>
      <c r="AK566" s="212"/>
      <c r="AL566" s="211"/>
    </row>
    <row r="567" spans="1:40" x14ac:dyDescent="0.25">
      <c r="A567" s="202"/>
      <c r="C567" s="154"/>
      <c r="D567" s="154"/>
      <c r="E567" s="154"/>
      <c r="T567" s="154"/>
      <c r="U567" s="154"/>
      <c r="V567" s="200"/>
      <c r="W567" s="200"/>
      <c r="X567" s="200"/>
      <c r="Y567" s="200"/>
      <c r="Z567" s="328"/>
    </row>
    <row r="568" spans="1:40" x14ac:dyDescent="0.25">
      <c r="A568" s="202"/>
      <c r="C568" s="154"/>
      <c r="T568" s="154"/>
      <c r="V568" s="200"/>
      <c r="W568" s="200"/>
      <c r="X568" s="200"/>
      <c r="Y568" s="200"/>
      <c r="Z568" s="328"/>
    </row>
    <row r="569" spans="1:40" x14ac:dyDescent="0.25">
      <c r="A569" s="202"/>
      <c r="C569" s="154"/>
      <c r="F569" s="252"/>
      <c r="H569" s="252"/>
      <c r="I569" s="252"/>
      <c r="J569" s="328"/>
      <c r="K569" s="328"/>
      <c r="L569" s="200"/>
      <c r="M569" s="200"/>
      <c r="N569" s="210"/>
      <c r="O569" s="210"/>
      <c r="P569" s="200"/>
      <c r="Q569" s="200"/>
      <c r="R569" s="200"/>
      <c r="T569" s="154"/>
      <c r="V569" s="200"/>
      <c r="W569" s="200"/>
      <c r="X569" s="200"/>
      <c r="Y569" s="200"/>
      <c r="Z569" s="328"/>
      <c r="AA569" s="200"/>
      <c r="AB569" s="200"/>
      <c r="AC569" s="210"/>
      <c r="AD569" s="210"/>
      <c r="AE569" s="200"/>
      <c r="AF569" s="200"/>
      <c r="AG569" s="209"/>
      <c r="AH569" s="201"/>
      <c r="AI569" s="200"/>
      <c r="AJ569" s="200"/>
      <c r="AK569" s="209"/>
      <c r="AL569" s="200"/>
      <c r="AM569" s="210"/>
      <c r="AN569" s="210"/>
    </row>
    <row r="570" spans="1:40" x14ac:dyDescent="0.25">
      <c r="A570" s="202"/>
      <c r="C570" s="154"/>
      <c r="T570" s="154"/>
      <c r="V570" s="200"/>
      <c r="W570" s="200"/>
      <c r="X570" s="200"/>
      <c r="Y570" s="200"/>
      <c r="Z570" s="328"/>
    </row>
    <row r="571" spans="1:40" x14ac:dyDescent="0.25">
      <c r="A571" s="202"/>
      <c r="C571" s="154"/>
      <c r="F571" s="252"/>
      <c r="H571" s="252"/>
      <c r="I571" s="252"/>
      <c r="J571" s="328"/>
      <c r="K571" s="328"/>
      <c r="L571" s="200"/>
      <c r="M571" s="200"/>
      <c r="N571" s="210"/>
      <c r="O571" s="210"/>
      <c r="P571" s="200"/>
      <c r="Q571" s="200"/>
      <c r="R571" s="200"/>
      <c r="T571" s="154"/>
      <c r="V571" s="200"/>
      <c r="W571" s="200"/>
      <c r="X571" s="200"/>
      <c r="Y571" s="200"/>
      <c r="Z571" s="328"/>
      <c r="AA571" s="200"/>
      <c r="AB571" s="200"/>
      <c r="AC571" s="210"/>
      <c r="AD571" s="210"/>
      <c r="AE571" s="200"/>
      <c r="AF571" s="200"/>
      <c r="AG571" s="209"/>
      <c r="AH571" s="201"/>
      <c r="AI571" s="200"/>
      <c r="AJ571" s="200"/>
      <c r="AK571" s="209"/>
      <c r="AL571" s="200"/>
      <c r="AM571" s="210"/>
      <c r="AN571" s="210"/>
    </row>
    <row r="572" spans="1:40" x14ac:dyDescent="0.25">
      <c r="A572" s="202"/>
      <c r="C572" s="154"/>
      <c r="T572" s="154"/>
      <c r="V572" s="200"/>
      <c r="W572" s="200"/>
      <c r="X572" s="200"/>
      <c r="Y572" s="200"/>
      <c r="Z572" s="328"/>
    </row>
    <row r="573" spans="1:40" x14ac:dyDescent="0.25">
      <c r="A573" s="202"/>
      <c r="C573" s="154"/>
      <c r="F573" s="252"/>
      <c r="H573" s="252"/>
      <c r="I573" s="252"/>
      <c r="J573" s="328"/>
      <c r="K573" s="328"/>
      <c r="L573" s="200"/>
      <c r="M573" s="200"/>
      <c r="N573" s="210"/>
      <c r="O573" s="210"/>
      <c r="P573" s="200"/>
      <c r="Q573" s="200"/>
      <c r="R573" s="200"/>
      <c r="T573" s="154"/>
      <c r="V573" s="200"/>
      <c r="W573" s="200"/>
      <c r="X573" s="200"/>
      <c r="Y573" s="200"/>
      <c r="Z573" s="328"/>
      <c r="AA573" s="200"/>
      <c r="AB573" s="200"/>
      <c r="AC573" s="210"/>
      <c r="AD573" s="210"/>
      <c r="AE573" s="200"/>
      <c r="AF573" s="200"/>
      <c r="AG573" s="209"/>
      <c r="AH573" s="201"/>
      <c r="AI573" s="200"/>
      <c r="AJ573" s="200"/>
      <c r="AK573" s="209"/>
      <c r="AL573" s="200"/>
      <c r="AM573" s="210"/>
      <c r="AN573" s="210"/>
    </row>
    <row r="574" spans="1:40" x14ac:dyDescent="0.25">
      <c r="A574" s="202"/>
      <c r="C574" s="154"/>
      <c r="T574" s="154"/>
      <c r="V574" s="200"/>
      <c r="W574" s="200"/>
      <c r="X574" s="200"/>
      <c r="Y574" s="200"/>
      <c r="Z574" s="328"/>
    </row>
    <row r="575" spans="1:40" x14ac:dyDescent="0.25">
      <c r="A575" s="202"/>
      <c r="C575" s="154"/>
      <c r="F575" s="252"/>
      <c r="H575" s="252"/>
      <c r="I575" s="252"/>
      <c r="J575" s="328"/>
      <c r="K575" s="328"/>
      <c r="L575" s="200"/>
      <c r="M575" s="200"/>
      <c r="N575" s="210"/>
      <c r="O575" s="210"/>
      <c r="P575" s="200"/>
      <c r="Q575" s="200"/>
      <c r="R575" s="200"/>
      <c r="T575" s="154"/>
      <c r="V575" s="200"/>
      <c r="W575" s="200"/>
      <c r="X575" s="200"/>
      <c r="Y575" s="200"/>
      <c r="Z575" s="328"/>
      <c r="AA575" s="200"/>
      <c r="AB575" s="200"/>
      <c r="AC575" s="210"/>
      <c r="AD575" s="210"/>
      <c r="AE575" s="200"/>
      <c r="AF575" s="200"/>
      <c r="AG575" s="209"/>
      <c r="AH575" s="201"/>
      <c r="AI575" s="200"/>
      <c r="AJ575" s="200"/>
      <c r="AK575" s="209"/>
      <c r="AL575" s="200"/>
      <c r="AM575" s="210"/>
      <c r="AN575" s="210"/>
    </row>
    <row r="576" spans="1:40" x14ac:dyDescent="0.25">
      <c r="F576" s="211"/>
      <c r="H576" s="211"/>
      <c r="I576" s="211"/>
      <c r="J576" s="305"/>
      <c r="K576" s="305"/>
      <c r="L576" s="211"/>
      <c r="M576" s="211"/>
      <c r="N576" s="211"/>
      <c r="O576" s="211"/>
      <c r="P576" s="211"/>
      <c r="Q576" s="211"/>
      <c r="R576" s="211"/>
      <c r="V576" s="211"/>
      <c r="Y576" s="211"/>
      <c r="Z576" s="305"/>
      <c r="AA576" s="211"/>
      <c r="AB576" s="211"/>
      <c r="AC576" s="211"/>
      <c r="AD576" s="211"/>
      <c r="AE576" s="211"/>
      <c r="AF576" s="211"/>
      <c r="AI576" s="211"/>
      <c r="AJ576" s="211"/>
      <c r="AK576" s="212"/>
      <c r="AL576" s="211"/>
    </row>
    <row r="577" spans="1:40" x14ac:dyDescent="0.25">
      <c r="A577" s="202"/>
      <c r="C577" s="154"/>
      <c r="F577" s="200"/>
      <c r="H577" s="200"/>
      <c r="I577" s="200"/>
      <c r="L577" s="200"/>
      <c r="M577" s="200"/>
      <c r="N577" s="210"/>
      <c r="O577" s="210"/>
      <c r="P577" s="252"/>
      <c r="Q577" s="252"/>
      <c r="R577" s="200"/>
      <c r="T577" s="154"/>
      <c r="V577" s="200"/>
      <c r="W577" s="200"/>
      <c r="X577" s="200"/>
      <c r="Y577" s="200"/>
      <c r="Z577" s="328"/>
      <c r="AA577" s="200"/>
      <c r="AB577" s="200"/>
      <c r="AC577" s="210"/>
      <c r="AD577" s="210"/>
      <c r="AE577" s="200"/>
      <c r="AF577" s="200"/>
      <c r="AG577" s="209"/>
      <c r="AH577" s="201"/>
      <c r="AI577" s="252"/>
      <c r="AJ577" s="252"/>
      <c r="AK577" s="209"/>
      <c r="AL577" s="200"/>
      <c r="AM577" s="210"/>
      <c r="AN577" s="210"/>
    </row>
    <row r="578" spans="1:40" x14ac:dyDescent="0.25">
      <c r="F578" s="211"/>
      <c r="H578" s="211"/>
      <c r="I578" s="211"/>
      <c r="J578" s="305"/>
      <c r="K578" s="305"/>
      <c r="L578" s="211"/>
      <c r="M578" s="211"/>
      <c r="N578" s="211"/>
      <c r="O578" s="211"/>
      <c r="P578" s="211"/>
      <c r="Q578" s="211"/>
      <c r="R578" s="211"/>
      <c r="V578" s="211"/>
      <c r="Y578" s="211"/>
      <c r="Z578" s="305"/>
      <c r="AA578" s="211"/>
      <c r="AB578" s="211"/>
      <c r="AC578" s="211"/>
      <c r="AD578" s="211"/>
      <c r="AE578" s="211"/>
      <c r="AF578" s="211"/>
      <c r="AI578" s="211"/>
      <c r="AJ578" s="211"/>
      <c r="AK578" s="212"/>
      <c r="AL578" s="211"/>
    </row>
    <row r="579" spans="1:40" x14ac:dyDescent="0.25">
      <c r="A579" s="202"/>
      <c r="C579" s="154"/>
      <c r="F579" s="200"/>
      <c r="H579" s="200"/>
      <c r="I579" s="200"/>
      <c r="L579" s="200"/>
      <c r="M579" s="200"/>
      <c r="N579" s="210"/>
      <c r="O579" s="210"/>
      <c r="P579" s="200"/>
      <c r="Q579" s="200"/>
      <c r="R579" s="200"/>
      <c r="T579" s="154"/>
      <c r="V579" s="200"/>
      <c r="W579" s="200"/>
      <c r="X579" s="200"/>
      <c r="Y579" s="200"/>
      <c r="AA579" s="200"/>
      <c r="AB579" s="200"/>
      <c r="AC579" s="210"/>
      <c r="AD579" s="210"/>
      <c r="AE579" s="200"/>
      <c r="AF579" s="200"/>
      <c r="AG579" s="209"/>
      <c r="AH579" s="201"/>
      <c r="AI579" s="200"/>
      <c r="AJ579" s="200"/>
      <c r="AK579" s="209"/>
      <c r="AL579" s="200"/>
      <c r="AM579" s="201"/>
      <c r="AN579" s="201"/>
    </row>
    <row r="580" spans="1:40" x14ac:dyDescent="0.25">
      <c r="F580" s="211"/>
      <c r="H580" s="211"/>
      <c r="I580" s="211"/>
      <c r="J580" s="305"/>
      <c r="K580" s="305"/>
      <c r="L580" s="211"/>
      <c r="M580" s="211"/>
      <c r="N580" s="211"/>
      <c r="O580" s="211"/>
      <c r="P580" s="211"/>
      <c r="Q580" s="211"/>
      <c r="R580" s="211"/>
      <c r="V580" s="211"/>
      <c r="Y580" s="211"/>
      <c r="Z580" s="305"/>
      <c r="AA580" s="211"/>
      <c r="AB580" s="211"/>
      <c r="AC580" s="211"/>
      <c r="AD580" s="211"/>
      <c r="AE580" s="211"/>
      <c r="AF580" s="211"/>
      <c r="AI580" s="211"/>
      <c r="AJ580" s="211"/>
      <c r="AK580" s="212"/>
      <c r="AL580" s="211"/>
    </row>
    <row r="582" spans="1:40" x14ac:dyDescent="0.25">
      <c r="C582" s="202"/>
      <c r="T582" s="202"/>
    </row>
    <row r="583" spans="1:40" x14ac:dyDescent="0.25">
      <c r="A583" s="154"/>
    </row>
    <row r="584" spans="1:40" x14ac:dyDescent="0.25">
      <c r="J584" s="202"/>
      <c r="K584" s="202"/>
      <c r="Z584" s="202"/>
    </row>
    <row r="585" spans="1:40" x14ac:dyDescent="0.25">
      <c r="H585" s="154"/>
      <c r="I585" s="154"/>
      <c r="Y585" s="154"/>
    </row>
    <row r="586" spans="1:40" x14ac:dyDescent="0.25">
      <c r="J586" s="202"/>
      <c r="K586" s="202"/>
      <c r="Z586" s="202"/>
    </row>
    <row r="587" spans="1:40" x14ac:dyDescent="0.25">
      <c r="L587" s="154"/>
      <c r="M587" s="154"/>
      <c r="AA587" s="154"/>
      <c r="AB587" s="154"/>
    </row>
    <row r="588" spans="1:40" x14ac:dyDescent="0.25">
      <c r="A588" s="202"/>
      <c r="R588" s="154"/>
      <c r="AK588" s="297"/>
      <c r="AL588" s="154"/>
    </row>
    <row r="589" spans="1:40" x14ac:dyDescent="0.25">
      <c r="A589" s="202"/>
      <c r="R589" s="154"/>
      <c r="AK589" s="297"/>
      <c r="AL589" s="154"/>
    </row>
    <row r="590" spans="1:40" x14ac:dyDescent="0.25">
      <c r="A590" s="154"/>
      <c r="R590" s="154"/>
      <c r="AK590" s="297"/>
      <c r="AL590" s="154"/>
    </row>
    <row r="591" spans="1:40" x14ac:dyDescent="0.25">
      <c r="L591" s="154"/>
      <c r="M591" s="154"/>
      <c r="R591" s="202"/>
      <c r="AA591" s="154"/>
      <c r="AB591" s="154"/>
      <c r="AK591" s="209"/>
      <c r="AL591" s="202"/>
    </row>
    <row r="592" spans="1:40" x14ac:dyDescent="0.25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208"/>
      <c r="AH592" s="102"/>
      <c r="AI592" s="102"/>
      <c r="AJ592" s="102"/>
      <c r="AK592" s="208"/>
      <c r="AL592" s="102"/>
      <c r="AM592" s="102"/>
      <c r="AN592" s="102"/>
    </row>
    <row r="593" spans="1:40" x14ac:dyDescent="0.25">
      <c r="L593" s="103"/>
      <c r="M593" s="103"/>
      <c r="N593" s="103"/>
      <c r="O593" s="103"/>
      <c r="R593" s="103"/>
      <c r="AA593" s="103"/>
      <c r="AB593" s="103"/>
      <c r="AC593" s="103"/>
      <c r="AD593" s="103"/>
      <c r="AE593" s="103"/>
      <c r="AF593" s="103"/>
      <c r="AG593" s="185"/>
      <c r="AH593" s="103"/>
      <c r="AK593" s="185"/>
      <c r="AL593" s="103"/>
      <c r="AM593" s="103"/>
      <c r="AN593" s="103"/>
    </row>
    <row r="594" spans="1:40" x14ac:dyDescent="0.25">
      <c r="L594" s="103"/>
      <c r="M594" s="103"/>
      <c r="N594" s="103"/>
      <c r="O594" s="103"/>
      <c r="R594" s="103"/>
      <c r="Z594" s="103"/>
      <c r="AA594" s="103"/>
      <c r="AB594" s="103"/>
      <c r="AC594" s="103"/>
      <c r="AD594" s="103"/>
      <c r="AE594" s="103"/>
      <c r="AF594" s="103"/>
      <c r="AG594" s="185"/>
      <c r="AH594" s="103"/>
      <c r="AK594" s="185"/>
      <c r="AL594" s="103"/>
      <c r="AM594" s="103"/>
      <c r="AN594" s="103"/>
    </row>
    <row r="595" spans="1:40" x14ac:dyDescent="0.25">
      <c r="A595" s="103"/>
      <c r="C595" s="103"/>
      <c r="D595" s="103"/>
      <c r="E595" s="103"/>
      <c r="F595" s="103"/>
      <c r="J595" s="103"/>
      <c r="K595" s="103"/>
      <c r="L595" s="103"/>
      <c r="M595" s="103"/>
      <c r="N595" s="103"/>
      <c r="O595" s="103"/>
      <c r="P595" s="103"/>
      <c r="Q595" s="103"/>
      <c r="R595" s="103"/>
      <c r="T595" s="103"/>
      <c r="U595" s="103"/>
      <c r="V595" s="103"/>
      <c r="Z595" s="103"/>
      <c r="AA595" s="103"/>
      <c r="AB595" s="103"/>
      <c r="AC595" s="103"/>
      <c r="AD595" s="103"/>
      <c r="AE595" s="103"/>
      <c r="AF595" s="103"/>
      <c r="AG595" s="185"/>
      <c r="AH595" s="103"/>
      <c r="AI595" s="103"/>
      <c r="AJ595" s="103"/>
      <c r="AK595" s="185"/>
      <c r="AL595" s="103"/>
      <c r="AM595" s="103"/>
      <c r="AN595" s="103"/>
    </row>
    <row r="596" spans="1:40" x14ac:dyDescent="0.25">
      <c r="A596" s="103"/>
      <c r="C596" s="103"/>
      <c r="D596" s="103"/>
      <c r="E596" s="103"/>
      <c r="F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T596" s="103"/>
      <c r="U596" s="103"/>
      <c r="V596" s="103"/>
      <c r="Y596" s="103"/>
      <c r="Z596" s="103"/>
      <c r="AA596" s="103"/>
      <c r="AB596" s="103"/>
      <c r="AC596" s="103"/>
      <c r="AD596" s="103"/>
      <c r="AE596" s="103"/>
      <c r="AF596" s="103"/>
      <c r="AG596" s="185"/>
      <c r="AH596" s="103"/>
      <c r="AI596" s="103"/>
      <c r="AJ596" s="103"/>
      <c r="AK596" s="185"/>
      <c r="AL596" s="103"/>
      <c r="AM596" s="103"/>
      <c r="AN596" s="103"/>
    </row>
    <row r="597" spans="1:40" x14ac:dyDescent="0.25">
      <c r="C597" s="103"/>
      <c r="D597" s="103"/>
      <c r="E597" s="103"/>
      <c r="F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T597" s="103"/>
      <c r="U597" s="103"/>
      <c r="V597" s="103"/>
      <c r="Y597" s="103"/>
      <c r="Z597" s="103"/>
      <c r="AA597" s="103"/>
      <c r="AB597" s="103"/>
      <c r="AC597" s="103"/>
      <c r="AD597" s="103"/>
      <c r="AE597" s="103"/>
      <c r="AF597" s="103"/>
      <c r="AG597" s="185"/>
      <c r="AH597" s="103"/>
      <c r="AI597" s="103"/>
      <c r="AJ597" s="103"/>
      <c r="AK597" s="185"/>
      <c r="AL597" s="103"/>
      <c r="AM597" s="103"/>
      <c r="AN597" s="103"/>
    </row>
    <row r="598" spans="1:40" x14ac:dyDescent="0.25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208"/>
      <c r="AH598" s="102"/>
      <c r="AI598" s="102"/>
      <c r="AJ598" s="102"/>
      <c r="AK598" s="208"/>
      <c r="AL598" s="102"/>
      <c r="AM598" s="102"/>
      <c r="AN598" s="102"/>
    </row>
    <row r="599" spans="1:40" x14ac:dyDescent="0.25"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Y599" s="103"/>
      <c r="Z599" s="103"/>
      <c r="AA599" s="103"/>
      <c r="AB599" s="103"/>
      <c r="AC599" s="103"/>
      <c r="AD599" s="103"/>
      <c r="AE599" s="103"/>
      <c r="AF599" s="103"/>
      <c r="AG599" s="185"/>
      <c r="AH599" s="103"/>
      <c r="AI599" s="103"/>
      <c r="AJ599" s="103"/>
      <c r="AK599" s="185"/>
      <c r="AL599" s="103"/>
      <c r="AM599" s="103"/>
      <c r="AN599" s="103"/>
    </row>
    <row r="600" spans="1:40" x14ac:dyDescent="0.25">
      <c r="A600" s="202"/>
      <c r="C600" s="154"/>
      <c r="D600" s="154"/>
      <c r="E600" s="154"/>
      <c r="F600" s="200"/>
      <c r="H600" s="200"/>
      <c r="I600" s="200"/>
      <c r="J600" s="213"/>
      <c r="K600" s="213"/>
      <c r="L600" s="200"/>
      <c r="M600" s="200"/>
      <c r="N600" s="213"/>
      <c r="O600" s="213"/>
      <c r="P600" s="200"/>
      <c r="Q600" s="200"/>
      <c r="R600" s="200"/>
      <c r="T600" s="154"/>
      <c r="U600" s="154"/>
      <c r="V600" s="200"/>
      <c r="Y600" s="200"/>
      <c r="Z600" s="213"/>
      <c r="AA600" s="200"/>
      <c r="AB600" s="200"/>
      <c r="AC600" s="213"/>
      <c r="AD600" s="213"/>
      <c r="AE600" s="200"/>
      <c r="AF600" s="200"/>
      <c r="AG600" s="209"/>
      <c r="AH600" s="201"/>
      <c r="AI600" s="200"/>
      <c r="AJ600" s="200"/>
      <c r="AK600" s="209"/>
      <c r="AL600" s="200"/>
      <c r="AM600" s="210"/>
      <c r="AN600" s="210"/>
    </row>
    <row r="601" spans="1:40" x14ac:dyDescent="0.25">
      <c r="F601" s="211"/>
      <c r="H601" s="211"/>
      <c r="I601" s="211"/>
      <c r="J601" s="305"/>
      <c r="K601" s="305"/>
      <c r="L601" s="211"/>
      <c r="M601" s="211"/>
      <c r="N601" s="211"/>
      <c r="O601" s="211"/>
      <c r="P601" s="211"/>
      <c r="Q601" s="211"/>
      <c r="R601" s="211"/>
      <c r="V601" s="211"/>
      <c r="Y601" s="211"/>
      <c r="Z601" s="305"/>
      <c r="AA601" s="211"/>
      <c r="AB601" s="211"/>
      <c r="AC601" s="211"/>
      <c r="AD601" s="211"/>
      <c r="AE601" s="211"/>
      <c r="AF601" s="211"/>
      <c r="AI601" s="211"/>
      <c r="AJ601" s="211"/>
      <c r="AK601" s="212"/>
      <c r="AL601" s="211"/>
      <c r="AM601" s="210"/>
      <c r="AN601" s="210"/>
    </row>
    <row r="602" spans="1:40" x14ac:dyDescent="0.25">
      <c r="A602" s="202"/>
      <c r="C602" s="154"/>
      <c r="F602" s="200"/>
      <c r="H602" s="200"/>
      <c r="I602" s="200"/>
      <c r="J602" s="213"/>
      <c r="K602" s="213"/>
      <c r="L602" s="200"/>
      <c r="M602" s="200"/>
      <c r="N602" s="213"/>
      <c r="O602" s="213"/>
      <c r="P602" s="200"/>
      <c r="Q602" s="200"/>
      <c r="R602" s="200"/>
      <c r="T602" s="154"/>
      <c r="V602" s="200"/>
      <c r="Y602" s="200"/>
      <c r="Z602" s="213"/>
      <c r="AA602" s="200"/>
      <c r="AB602" s="200"/>
      <c r="AC602" s="213"/>
      <c r="AD602" s="213"/>
      <c r="AE602" s="200"/>
      <c r="AF602" s="200"/>
      <c r="AG602" s="209"/>
      <c r="AH602" s="201"/>
      <c r="AI602" s="200"/>
      <c r="AJ602" s="200"/>
      <c r="AK602" s="209"/>
      <c r="AL602" s="200"/>
      <c r="AM602" s="210"/>
      <c r="AN602" s="210"/>
    </row>
    <row r="603" spans="1:40" x14ac:dyDescent="0.25">
      <c r="F603" s="200"/>
      <c r="H603" s="200"/>
      <c r="I603" s="200"/>
      <c r="J603" s="213"/>
      <c r="K603" s="213"/>
      <c r="L603" s="200"/>
      <c r="M603" s="200"/>
      <c r="N603" s="213"/>
      <c r="O603" s="213"/>
      <c r="P603" s="200"/>
      <c r="Q603" s="200"/>
      <c r="R603" s="200"/>
      <c r="V603" s="200"/>
      <c r="Y603" s="200"/>
      <c r="Z603" s="213"/>
      <c r="AA603" s="200"/>
      <c r="AB603" s="200"/>
      <c r="AC603" s="213"/>
      <c r="AD603" s="213"/>
      <c r="AG603" s="209"/>
      <c r="AH603" s="201"/>
      <c r="AI603" s="200"/>
      <c r="AJ603" s="200"/>
      <c r="AK603" s="209"/>
      <c r="AL603" s="200"/>
      <c r="AM603" s="210"/>
      <c r="AN603" s="210"/>
    </row>
    <row r="604" spans="1:40" x14ac:dyDescent="0.25">
      <c r="A604" s="202"/>
      <c r="C604" s="154"/>
      <c r="D604" s="154"/>
      <c r="E604" s="154"/>
      <c r="F604" s="200"/>
      <c r="H604" s="200"/>
      <c r="I604" s="200"/>
      <c r="J604" s="213"/>
      <c r="K604" s="213"/>
      <c r="L604" s="200"/>
      <c r="M604" s="200"/>
      <c r="N604" s="213"/>
      <c r="O604" s="213"/>
      <c r="P604" s="200"/>
      <c r="Q604" s="200"/>
      <c r="R604" s="200"/>
      <c r="T604" s="154"/>
      <c r="U604" s="154"/>
      <c r="V604" s="200"/>
      <c r="Y604" s="200"/>
      <c r="Z604" s="213"/>
      <c r="AA604" s="200"/>
      <c r="AB604" s="200"/>
      <c r="AC604" s="213"/>
      <c r="AD604" s="213"/>
      <c r="AE604" s="200"/>
      <c r="AF604" s="200"/>
      <c r="AG604" s="209"/>
      <c r="AH604" s="201"/>
      <c r="AI604" s="200"/>
      <c r="AJ604" s="200"/>
      <c r="AK604" s="209"/>
      <c r="AL604" s="200"/>
      <c r="AM604" s="210"/>
      <c r="AN604" s="210"/>
    </row>
    <row r="605" spans="1:40" x14ac:dyDescent="0.25">
      <c r="A605" s="202"/>
      <c r="C605" s="154"/>
      <c r="D605" s="154"/>
      <c r="E605" s="154"/>
      <c r="F605" s="200"/>
      <c r="H605" s="200"/>
      <c r="I605" s="200"/>
      <c r="J605" s="213"/>
      <c r="K605" s="213"/>
      <c r="L605" s="200"/>
      <c r="M605" s="200"/>
      <c r="N605" s="213"/>
      <c r="O605" s="213"/>
      <c r="P605" s="200"/>
      <c r="Q605" s="200"/>
      <c r="R605" s="200"/>
      <c r="T605" s="154"/>
      <c r="U605" s="154"/>
      <c r="V605" s="200"/>
      <c r="Y605" s="200"/>
      <c r="Z605" s="213"/>
      <c r="AA605" s="200"/>
      <c r="AB605" s="200"/>
      <c r="AC605" s="213"/>
      <c r="AD605" s="213"/>
      <c r="AE605" s="200"/>
      <c r="AF605" s="200"/>
      <c r="AG605" s="209"/>
      <c r="AH605" s="201"/>
      <c r="AI605" s="200"/>
      <c r="AJ605" s="200"/>
      <c r="AK605" s="209"/>
      <c r="AL605" s="200"/>
      <c r="AM605" s="210"/>
      <c r="AN605" s="210"/>
    </row>
    <row r="606" spans="1:40" x14ac:dyDescent="0.25">
      <c r="A606" s="202"/>
      <c r="C606" s="154"/>
      <c r="D606" s="154"/>
      <c r="E606" s="154"/>
      <c r="F606" s="200"/>
      <c r="H606" s="200"/>
      <c r="I606" s="200"/>
      <c r="J606" s="213"/>
      <c r="K606" s="213"/>
      <c r="L606" s="200"/>
      <c r="M606" s="200"/>
      <c r="N606" s="213"/>
      <c r="O606" s="213"/>
      <c r="P606" s="200"/>
      <c r="Q606" s="200"/>
      <c r="R606" s="200"/>
      <c r="T606" s="154"/>
      <c r="U606" s="154"/>
      <c r="V606" s="200"/>
      <c r="Y606" s="200"/>
      <c r="Z606" s="213"/>
      <c r="AA606" s="200"/>
      <c r="AB606" s="200"/>
      <c r="AC606" s="213"/>
      <c r="AD606" s="213"/>
      <c r="AE606" s="200"/>
      <c r="AF606" s="200"/>
      <c r="AG606" s="209"/>
      <c r="AH606" s="201"/>
      <c r="AI606" s="200"/>
      <c r="AJ606" s="200"/>
      <c r="AK606" s="209"/>
      <c r="AL606" s="200"/>
      <c r="AM606" s="210"/>
      <c r="AN606" s="210"/>
    </row>
    <row r="607" spans="1:40" x14ac:dyDescent="0.25">
      <c r="A607" s="202"/>
      <c r="C607" s="154"/>
      <c r="D607" s="154"/>
      <c r="E607" s="154"/>
      <c r="F607" s="200"/>
      <c r="H607" s="200"/>
      <c r="I607" s="200"/>
      <c r="J607" s="213"/>
      <c r="K607" s="213"/>
      <c r="L607" s="200"/>
      <c r="M607" s="200"/>
      <c r="N607" s="213"/>
      <c r="O607" s="213"/>
      <c r="P607" s="200"/>
      <c r="Q607" s="200"/>
      <c r="R607" s="200"/>
      <c r="T607" s="154"/>
      <c r="U607" s="154"/>
      <c r="V607" s="200"/>
      <c r="Y607" s="200"/>
      <c r="Z607" s="213"/>
      <c r="AA607" s="200"/>
      <c r="AB607" s="200"/>
      <c r="AC607" s="213"/>
      <c r="AD607" s="213"/>
      <c r="AE607" s="200"/>
      <c r="AF607" s="200"/>
      <c r="AG607" s="209"/>
      <c r="AH607" s="201"/>
      <c r="AI607" s="200"/>
      <c r="AJ607" s="200"/>
      <c r="AK607" s="209"/>
      <c r="AL607" s="200"/>
      <c r="AM607" s="210"/>
      <c r="AN607" s="210"/>
    </row>
    <row r="608" spans="1:40" x14ac:dyDescent="0.25">
      <c r="A608" s="202"/>
      <c r="C608" s="154"/>
      <c r="D608" s="154"/>
      <c r="E608" s="154"/>
      <c r="F608" s="200"/>
      <c r="H608" s="200"/>
      <c r="I608" s="200"/>
      <c r="J608" s="213"/>
      <c r="K608" s="213"/>
      <c r="L608" s="200"/>
      <c r="M608" s="200"/>
      <c r="N608" s="213"/>
      <c r="O608" s="213"/>
      <c r="P608" s="200"/>
      <c r="Q608" s="200"/>
      <c r="R608" s="200"/>
      <c r="T608" s="154"/>
      <c r="U608" s="154"/>
      <c r="V608" s="200"/>
      <c r="Y608" s="200"/>
      <c r="Z608" s="213"/>
      <c r="AA608" s="200"/>
      <c r="AB608" s="200"/>
      <c r="AC608" s="213"/>
      <c r="AD608" s="213"/>
      <c r="AE608" s="200"/>
      <c r="AF608" s="200"/>
      <c r="AG608" s="209"/>
      <c r="AH608" s="201"/>
      <c r="AI608" s="200"/>
      <c r="AJ608" s="200"/>
      <c r="AK608" s="209"/>
      <c r="AL608" s="200"/>
      <c r="AM608" s="210"/>
      <c r="AN608" s="210"/>
    </row>
    <row r="609" spans="1:40" x14ac:dyDescent="0.25">
      <c r="A609" s="202"/>
      <c r="C609" s="154"/>
      <c r="D609" s="154"/>
      <c r="E609" s="154"/>
      <c r="F609" s="200"/>
      <c r="H609" s="200"/>
      <c r="I609" s="200"/>
      <c r="J609" s="213"/>
      <c r="K609" s="213"/>
      <c r="L609" s="200"/>
      <c r="M609" s="200"/>
      <c r="N609" s="213"/>
      <c r="O609" s="213"/>
      <c r="P609" s="200"/>
      <c r="Q609" s="200"/>
      <c r="R609" s="200"/>
      <c r="T609" s="154"/>
      <c r="U609" s="154"/>
      <c r="V609" s="200"/>
      <c r="Y609" s="200"/>
      <c r="Z609" s="213"/>
      <c r="AA609" s="200"/>
      <c r="AB609" s="200"/>
      <c r="AC609" s="213"/>
      <c r="AD609" s="213"/>
      <c r="AE609" s="200"/>
      <c r="AF609" s="200"/>
      <c r="AG609" s="209"/>
      <c r="AH609" s="201"/>
      <c r="AI609" s="200"/>
      <c r="AJ609" s="200"/>
      <c r="AK609" s="209"/>
      <c r="AL609" s="200"/>
      <c r="AM609" s="210"/>
      <c r="AN609" s="210"/>
    </row>
    <row r="610" spans="1:40" x14ac:dyDescent="0.25">
      <c r="F610" s="211"/>
      <c r="H610" s="211"/>
      <c r="I610" s="211"/>
      <c r="J610" s="305"/>
      <c r="K610" s="305"/>
      <c r="L610" s="211"/>
      <c r="M610" s="211"/>
      <c r="N610" s="211"/>
      <c r="O610" s="211"/>
      <c r="P610" s="211"/>
      <c r="Q610" s="211"/>
      <c r="R610" s="211"/>
      <c r="V610" s="211"/>
      <c r="Y610" s="211"/>
      <c r="Z610" s="305"/>
      <c r="AA610" s="211"/>
      <c r="AB610" s="211"/>
      <c r="AC610" s="211"/>
      <c r="AD610" s="211"/>
      <c r="AE610" s="211"/>
      <c r="AF610" s="211"/>
      <c r="AI610" s="211"/>
      <c r="AJ610" s="211"/>
      <c r="AK610" s="212"/>
      <c r="AL610" s="211"/>
      <c r="AM610" s="210"/>
      <c r="AN610" s="210"/>
    </row>
    <row r="611" spans="1:40" x14ac:dyDescent="0.25">
      <c r="A611" s="202"/>
      <c r="C611" s="154"/>
      <c r="F611" s="200"/>
      <c r="H611" s="200"/>
      <c r="I611" s="200"/>
      <c r="J611" s="213"/>
      <c r="K611" s="213"/>
      <c r="L611" s="200"/>
      <c r="M611" s="200"/>
      <c r="N611" s="213"/>
      <c r="O611" s="213"/>
      <c r="P611" s="200"/>
      <c r="Q611" s="200"/>
      <c r="R611" s="200"/>
      <c r="T611" s="154"/>
      <c r="V611" s="200"/>
      <c r="Y611" s="200"/>
      <c r="Z611" s="213"/>
      <c r="AA611" s="200"/>
      <c r="AB611" s="200"/>
      <c r="AC611" s="213"/>
      <c r="AD611" s="213"/>
      <c r="AE611" s="200"/>
      <c r="AF611" s="200"/>
      <c r="AG611" s="209"/>
      <c r="AH611" s="201"/>
      <c r="AI611" s="200"/>
      <c r="AJ611" s="200"/>
      <c r="AK611" s="209"/>
      <c r="AL611" s="200"/>
      <c r="AM611" s="210"/>
      <c r="AN611" s="210"/>
    </row>
    <row r="612" spans="1:40" x14ac:dyDescent="0.25">
      <c r="F612" s="200"/>
      <c r="H612" s="200"/>
      <c r="I612" s="200"/>
      <c r="J612" s="213"/>
      <c r="K612" s="213"/>
      <c r="L612" s="200"/>
      <c r="M612" s="200"/>
      <c r="N612" s="213"/>
      <c r="O612" s="213"/>
      <c r="P612" s="200"/>
      <c r="Q612" s="200"/>
      <c r="R612" s="200"/>
      <c r="V612" s="200"/>
      <c r="Y612" s="200"/>
      <c r="Z612" s="213"/>
      <c r="AA612" s="200"/>
      <c r="AB612" s="200"/>
      <c r="AC612" s="213"/>
      <c r="AD612" s="213"/>
      <c r="AG612" s="209"/>
      <c r="AH612" s="201"/>
      <c r="AI612" s="200"/>
      <c r="AJ612" s="200"/>
      <c r="AK612" s="209"/>
      <c r="AL612" s="200"/>
      <c r="AM612" s="210"/>
      <c r="AN612" s="210"/>
    </row>
    <row r="613" spans="1:40" x14ac:dyDescent="0.25">
      <c r="A613" s="202"/>
      <c r="C613" s="154"/>
      <c r="D613" s="154"/>
      <c r="E613" s="154"/>
      <c r="F613" s="200"/>
      <c r="H613" s="200"/>
      <c r="I613" s="200"/>
      <c r="J613" s="213"/>
      <c r="K613" s="213"/>
      <c r="L613" s="200"/>
      <c r="M613" s="200"/>
      <c r="N613" s="213"/>
      <c r="O613" s="213"/>
      <c r="P613" s="200"/>
      <c r="Q613" s="200"/>
      <c r="R613" s="200"/>
      <c r="T613" s="154"/>
      <c r="U613" s="154"/>
      <c r="V613" s="200"/>
      <c r="Y613" s="200"/>
      <c r="Z613" s="213"/>
      <c r="AA613" s="200"/>
      <c r="AB613" s="200"/>
      <c r="AC613" s="213"/>
      <c r="AD613" s="213"/>
      <c r="AE613" s="200"/>
      <c r="AF613" s="200"/>
      <c r="AG613" s="209"/>
      <c r="AH613" s="201"/>
      <c r="AI613" s="200"/>
      <c r="AJ613" s="200"/>
      <c r="AK613" s="209"/>
      <c r="AL613" s="200"/>
      <c r="AM613" s="210"/>
      <c r="AN613" s="210"/>
    </row>
    <row r="614" spans="1:40" x14ac:dyDescent="0.25">
      <c r="F614" s="211"/>
      <c r="H614" s="211"/>
      <c r="I614" s="211"/>
      <c r="J614" s="305"/>
      <c r="K614" s="305"/>
      <c r="L614" s="211"/>
      <c r="M614" s="211"/>
      <c r="N614" s="211"/>
      <c r="O614" s="211"/>
      <c r="P614" s="211"/>
      <c r="Q614" s="211"/>
      <c r="R614" s="211"/>
      <c r="V614" s="211"/>
      <c r="Y614" s="211"/>
      <c r="Z614" s="305"/>
      <c r="AA614" s="211"/>
      <c r="AB614" s="211"/>
      <c r="AC614" s="211"/>
      <c r="AD614" s="211"/>
      <c r="AE614" s="211"/>
      <c r="AF614" s="211"/>
      <c r="AI614" s="211"/>
      <c r="AJ614" s="211"/>
      <c r="AK614" s="212"/>
      <c r="AL614" s="211"/>
      <c r="AM614" s="210"/>
      <c r="AN614" s="210"/>
    </row>
    <row r="615" spans="1:40" x14ac:dyDescent="0.25">
      <c r="A615" s="202"/>
      <c r="C615" s="154"/>
      <c r="F615" s="200"/>
      <c r="H615" s="200"/>
      <c r="I615" s="200"/>
      <c r="J615" s="213"/>
      <c r="K615" s="213"/>
      <c r="L615" s="200"/>
      <c r="M615" s="200"/>
      <c r="N615" s="213"/>
      <c r="O615" s="213"/>
      <c r="P615" s="200"/>
      <c r="Q615" s="200"/>
      <c r="R615" s="200"/>
      <c r="T615" s="154"/>
      <c r="V615" s="200"/>
      <c r="Y615" s="200"/>
      <c r="Z615" s="213"/>
      <c r="AA615" s="200"/>
      <c r="AB615" s="200"/>
      <c r="AC615" s="213"/>
      <c r="AD615" s="213"/>
      <c r="AE615" s="200"/>
      <c r="AF615" s="200"/>
      <c r="AG615" s="209"/>
      <c r="AH615" s="201"/>
      <c r="AI615" s="200"/>
      <c r="AJ615" s="200"/>
      <c r="AK615" s="209"/>
      <c r="AL615" s="200"/>
      <c r="AM615" s="210"/>
      <c r="AN615" s="210"/>
    </row>
    <row r="616" spans="1:40" x14ac:dyDescent="0.25">
      <c r="F616" s="200"/>
      <c r="H616" s="200"/>
      <c r="I616" s="200"/>
      <c r="J616" s="213"/>
      <c r="K616" s="213"/>
      <c r="L616" s="200"/>
      <c r="M616" s="200"/>
      <c r="N616" s="213"/>
      <c r="O616" s="213"/>
      <c r="P616" s="200"/>
      <c r="Q616" s="200"/>
      <c r="R616" s="200"/>
      <c r="V616" s="200"/>
      <c r="Y616" s="200"/>
      <c r="Z616" s="213"/>
      <c r="AA616" s="200"/>
      <c r="AB616" s="200"/>
      <c r="AC616" s="213"/>
      <c r="AD616" s="213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A617" s="202"/>
      <c r="C617" s="154"/>
      <c r="D617" s="154"/>
      <c r="E617" s="154"/>
      <c r="F617" s="200"/>
      <c r="H617" s="200"/>
      <c r="I617" s="200"/>
      <c r="J617" s="213"/>
      <c r="K617" s="213"/>
      <c r="L617" s="200"/>
      <c r="M617" s="200"/>
      <c r="N617" s="213"/>
      <c r="O617" s="213"/>
      <c r="P617" s="200"/>
      <c r="Q617" s="200"/>
      <c r="R617" s="200"/>
      <c r="T617" s="154"/>
      <c r="U617" s="154"/>
      <c r="V617" s="200"/>
      <c r="Y617" s="200"/>
      <c r="Z617" s="213"/>
      <c r="AA617" s="200"/>
      <c r="AB617" s="200"/>
      <c r="AC617" s="213"/>
      <c r="AD617" s="213"/>
      <c r="AE617" s="200"/>
      <c r="AF617" s="200"/>
      <c r="AG617" s="209"/>
      <c r="AH617" s="201"/>
      <c r="AI617" s="200"/>
      <c r="AJ617" s="200"/>
      <c r="AK617" s="209"/>
      <c r="AL617" s="200"/>
      <c r="AM617" s="210"/>
      <c r="AN617" s="210"/>
    </row>
    <row r="618" spans="1:40" x14ac:dyDescent="0.25">
      <c r="A618" s="202"/>
      <c r="C618" s="154"/>
      <c r="D618" s="154"/>
      <c r="E618" s="154"/>
      <c r="F618" s="200"/>
      <c r="G618" s="200"/>
      <c r="H618" s="200"/>
      <c r="I618" s="200"/>
      <c r="J618" s="213"/>
      <c r="K618" s="213"/>
      <c r="L618" s="200"/>
      <c r="M618" s="200"/>
      <c r="N618" s="213"/>
      <c r="O618" s="213"/>
      <c r="P618" s="200"/>
      <c r="Q618" s="200"/>
      <c r="R618" s="200"/>
      <c r="T618" s="154"/>
      <c r="U618" s="154"/>
      <c r="V618" s="200"/>
      <c r="W618" s="200"/>
      <c r="X618" s="200"/>
      <c r="Y618" s="200"/>
      <c r="Z618" s="213"/>
      <c r="AA618" s="200"/>
      <c r="AB618" s="200"/>
      <c r="AC618" s="213"/>
      <c r="AD618" s="213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A619" s="202"/>
      <c r="C619" s="154"/>
      <c r="D619" s="154"/>
      <c r="E619" s="154"/>
      <c r="F619" s="200"/>
      <c r="G619" s="200"/>
      <c r="H619" s="200"/>
      <c r="I619" s="200"/>
      <c r="J619" s="213"/>
      <c r="K619" s="213"/>
      <c r="L619" s="200"/>
      <c r="M619" s="200"/>
      <c r="N619" s="213"/>
      <c r="O619" s="213"/>
      <c r="P619" s="200"/>
      <c r="Q619" s="200"/>
      <c r="R619" s="200"/>
      <c r="T619" s="154"/>
      <c r="U619" s="154"/>
      <c r="V619" s="200"/>
      <c r="W619" s="200"/>
      <c r="X619" s="200"/>
      <c r="Y619" s="200"/>
      <c r="Z619" s="213"/>
      <c r="AA619" s="200"/>
      <c r="AB619" s="200"/>
      <c r="AC619" s="213"/>
      <c r="AD619" s="213"/>
      <c r="AE619" s="200"/>
      <c r="AF619" s="200"/>
      <c r="AG619" s="209"/>
      <c r="AH619" s="201"/>
      <c r="AI619" s="200"/>
      <c r="AJ619" s="200"/>
      <c r="AK619" s="209"/>
      <c r="AL619" s="200"/>
      <c r="AM619" s="210"/>
      <c r="AN619" s="210"/>
    </row>
    <row r="620" spans="1:40" x14ac:dyDescent="0.25">
      <c r="A620" s="202"/>
      <c r="C620" s="154"/>
      <c r="D620" s="154"/>
      <c r="E620" s="154"/>
      <c r="F620" s="200"/>
      <c r="H620" s="200"/>
      <c r="I620" s="200"/>
      <c r="J620" s="213"/>
      <c r="K620" s="213"/>
      <c r="L620" s="200"/>
      <c r="M620" s="200"/>
      <c r="N620" s="213"/>
      <c r="O620" s="213"/>
      <c r="P620" s="200"/>
      <c r="Q620" s="200"/>
      <c r="R620" s="200"/>
      <c r="T620" s="154"/>
      <c r="U620" s="154"/>
      <c r="V620" s="200"/>
      <c r="Y620" s="200"/>
      <c r="Z620" s="213"/>
      <c r="AA620" s="200"/>
      <c r="AB620" s="200"/>
      <c r="AC620" s="213"/>
      <c r="AD620" s="213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A621" s="202"/>
      <c r="C621" s="154"/>
      <c r="D621" s="154"/>
      <c r="E621" s="154"/>
      <c r="F621" s="200"/>
      <c r="H621" s="200"/>
      <c r="I621" s="200"/>
      <c r="J621" s="213"/>
      <c r="K621" s="213"/>
      <c r="L621" s="200"/>
      <c r="M621" s="200"/>
      <c r="N621" s="213"/>
      <c r="O621" s="213"/>
      <c r="P621" s="200"/>
      <c r="Q621" s="200"/>
      <c r="R621" s="200"/>
      <c r="T621" s="154"/>
      <c r="U621" s="154"/>
      <c r="V621" s="200"/>
      <c r="Y621" s="200"/>
      <c r="Z621" s="213"/>
      <c r="AA621" s="200"/>
      <c r="AB621" s="200"/>
      <c r="AC621" s="213"/>
      <c r="AD621" s="213"/>
      <c r="AE621" s="200"/>
      <c r="AF621" s="200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A622" s="202"/>
      <c r="C622" s="154"/>
      <c r="D622" s="154"/>
      <c r="E622" s="154"/>
      <c r="F622" s="200"/>
      <c r="H622" s="200"/>
      <c r="I622" s="200"/>
      <c r="J622" s="213"/>
      <c r="K622" s="213"/>
      <c r="L622" s="200"/>
      <c r="M622" s="200"/>
      <c r="N622" s="213"/>
      <c r="O622" s="213"/>
      <c r="P622" s="200"/>
      <c r="Q622" s="200"/>
      <c r="R622" s="200"/>
      <c r="T622" s="154"/>
      <c r="U622" s="154"/>
      <c r="V622" s="200"/>
      <c r="Y622" s="200"/>
      <c r="Z622" s="213"/>
      <c r="AA622" s="200"/>
      <c r="AB622" s="200"/>
      <c r="AC622" s="213"/>
      <c r="AD622" s="213"/>
      <c r="AE622" s="200"/>
      <c r="AF622" s="200"/>
      <c r="AG622" s="209"/>
      <c r="AH622" s="201"/>
      <c r="AI622" s="200"/>
      <c r="AJ622" s="200"/>
      <c r="AK622" s="209"/>
      <c r="AL622" s="200"/>
      <c r="AM622" s="210"/>
      <c r="AN622" s="210"/>
    </row>
    <row r="623" spans="1:40" x14ac:dyDescent="0.25">
      <c r="A623" s="202"/>
      <c r="C623" s="154"/>
      <c r="D623" s="154"/>
      <c r="E623" s="154"/>
      <c r="F623" s="200"/>
      <c r="H623" s="200"/>
      <c r="I623" s="200"/>
      <c r="J623" s="213"/>
      <c r="K623" s="213"/>
      <c r="L623" s="200"/>
      <c r="M623" s="200"/>
      <c r="N623" s="213"/>
      <c r="O623" s="213"/>
      <c r="P623" s="200"/>
      <c r="Q623" s="200"/>
      <c r="R623" s="200"/>
      <c r="T623" s="154"/>
      <c r="U623" s="154"/>
      <c r="V623" s="200"/>
      <c r="Y623" s="200"/>
      <c r="Z623" s="213"/>
      <c r="AA623" s="200"/>
      <c r="AB623" s="200"/>
      <c r="AC623" s="213"/>
      <c r="AD623" s="213"/>
      <c r="AE623" s="200"/>
      <c r="AF623" s="200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F624" s="211"/>
      <c r="H624" s="211"/>
      <c r="I624" s="211"/>
      <c r="J624" s="305"/>
      <c r="K624" s="305"/>
      <c r="L624" s="211"/>
      <c r="M624" s="211"/>
      <c r="N624" s="211"/>
      <c r="O624" s="211"/>
      <c r="P624" s="211"/>
      <c r="Q624" s="211"/>
      <c r="R624" s="211"/>
      <c r="V624" s="211"/>
      <c r="Y624" s="211"/>
      <c r="Z624" s="305"/>
      <c r="AA624" s="211"/>
      <c r="AB624" s="211"/>
      <c r="AC624" s="211"/>
      <c r="AD624" s="211"/>
      <c r="AE624" s="211"/>
      <c r="AF624" s="211"/>
      <c r="AI624" s="211"/>
      <c r="AJ624" s="211"/>
      <c r="AK624" s="212"/>
      <c r="AL624" s="211"/>
      <c r="AM624" s="210"/>
      <c r="AN624" s="210"/>
    </row>
    <row r="625" spans="1:40" x14ac:dyDescent="0.25">
      <c r="A625" s="202"/>
      <c r="C625" s="154"/>
      <c r="F625" s="200"/>
      <c r="H625" s="200"/>
      <c r="I625" s="200"/>
      <c r="J625" s="213"/>
      <c r="K625" s="213"/>
      <c r="L625" s="200"/>
      <c r="M625" s="200"/>
      <c r="N625" s="213"/>
      <c r="O625" s="213"/>
      <c r="P625" s="200"/>
      <c r="Q625" s="200"/>
      <c r="R625" s="200"/>
      <c r="T625" s="154"/>
      <c r="V625" s="200"/>
      <c r="Y625" s="200"/>
      <c r="Z625" s="213"/>
      <c r="AA625" s="200"/>
      <c r="AB625" s="200"/>
      <c r="AC625" s="213"/>
      <c r="AD625" s="213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V626" s="200"/>
      <c r="Y626" s="200"/>
      <c r="Z626" s="305"/>
      <c r="AA626" s="200"/>
      <c r="AB626" s="200"/>
      <c r="AC626" s="200"/>
      <c r="AD626" s="200"/>
      <c r="AE626" s="200"/>
      <c r="AF626" s="200"/>
      <c r="AI626" s="200"/>
      <c r="AJ626" s="200"/>
      <c r="AK626" s="209"/>
      <c r="AL626" s="200"/>
      <c r="AM626" s="210"/>
      <c r="AN626" s="210"/>
    </row>
    <row r="627" spans="1:40" x14ac:dyDescent="0.25">
      <c r="A627" s="202"/>
      <c r="C627" s="154"/>
      <c r="D627" s="154"/>
      <c r="E627" s="154"/>
      <c r="L627" s="200"/>
      <c r="M627" s="200"/>
      <c r="N627" s="213"/>
      <c r="O627" s="213"/>
      <c r="P627" s="202"/>
      <c r="Q627" s="202"/>
      <c r="R627" s="200"/>
      <c r="T627" s="154"/>
      <c r="U627" s="154"/>
      <c r="AA627" s="200"/>
      <c r="AB627" s="200"/>
      <c r="AC627" s="213"/>
      <c r="AD627" s="213"/>
      <c r="AE627" s="200"/>
      <c r="AF627" s="200"/>
      <c r="AG627" s="209"/>
      <c r="AH627" s="201"/>
      <c r="AI627" s="202"/>
      <c r="AJ627" s="202"/>
      <c r="AK627" s="209"/>
      <c r="AL627" s="200"/>
      <c r="AM627" s="210"/>
      <c r="AN627" s="210"/>
    </row>
    <row r="628" spans="1:40" x14ac:dyDescent="0.25">
      <c r="A628" s="202"/>
      <c r="D628" s="154"/>
      <c r="E628" s="154"/>
      <c r="F628" s="252"/>
      <c r="H628" s="252"/>
      <c r="I628" s="252"/>
      <c r="J628" s="213"/>
      <c r="K628" s="213"/>
      <c r="L628" s="200"/>
      <c r="M628" s="200"/>
      <c r="N628" s="213"/>
      <c r="O628" s="213"/>
      <c r="P628" s="252"/>
      <c r="Q628" s="252"/>
      <c r="R628" s="200"/>
      <c r="U628" s="154"/>
      <c r="V628" s="200"/>
      <c r="Y628" s="200"/>
      <c r="Z628" s="213"/>
      <c r="AA628" s="200"/>
      <c r="AB628" s="200"/>
      <c r="AC628" s="213"/>
      <c r="AD628" s="213"/>
      <c r="AE628" s="200"/>
      <c r="AF628" s="200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F629" s="211"/>
      <c r="H629" s="211"/>
      <c r="I629" s="211"/>
      <c r="J629" s="305"/>
      <c r="K629" s="305"/>
      <c r="L629" s="211"/>
      <c r="M629" s="211"/>
      <c r="N629" s="211"/>
      <c r="O629" s="211"/>
      <c r="P629" s="211"/>
      <c r="Q629" s="211"/>
      <c r="R629" s="211"/>
      <c r="V629" s="211"/>
      <c r="Y629" s="211"/>
      <c r="Z629" s="305"/>
      <c r="AA629" s="211"/>
      <c r="AB629" s="211"/>
      <c r="AC629" s="211"/>
      <c r="AD629" s="211"/>
      <c r="AE629" s="211"/>
      <c r="AF629" s="211"/>
      <c r="AI629" s="211"/>
      <c r="AJ629" s="211"/>
      <c r="AK629" s="212"/>
      <c r="AL629" s="211"/>
      <c r="AM629" s="210"/>
      <c r="AN629" s="210"/>
    </row>
    <row r="630" spans="1:40" x14ac:dyDescent="0.25">
      <c r="A630" s="202"/>
      <c r="C630" s="154"/>
      <c r="F630" s="200"/>
      <c r="H630" s="200"/>
      <c r="I630" s="200"/>
      <c r="J630" s="213"/>
      <c r="K630" s="213"/>
      <c r="L630" s="200"/>
      <c r="M630" s="200"/>
      <c r="N630" s="213"/>
      <c r="O630" s="213"/>
      <c r="P630" s="200"/>
      <c r="Q630" s="200"/>
      <c r="R630" s="200"/>
      <c r="T630" s="154"/>
      <c r="V630" s="200"/>
      <c r="Y630" s="200"/>
      <c r="Z630" s="213"/>
      <c r="AA630" s="200"/>
      <c r="AB630" s="200"/>
      <c r="AC630" s="213"/>
      <c r="AD630" s="213"/>
      <c r="AE630" s="200"/>
      <c r="AF630" s="200"/>
      <c r="AG630" s="209"/>
      <c r="AH630" s="201"/>
      <c r="AI630" s="200"/>
      <c r="AJ630" s="200"/>
      <c r="AK630" s="209"/>
      <c r="AL630" s="200"/>
      <c r="AM630" s="210"/>
      <c r="AN630" s="210"/>
    </row>
    <row r="631" spans="1:40" x14ac:dyDescent="0.25">
      <c r="F631" s="200"/>
      <c r="H631" s="200"/>
      <c r="I631" s="200"/>
      <c r="J631" s="213"/>
      <c r="K631" s="213"/>
      <c r="L631" s="200"/>
      <c r="M631" s="200"/>
      <c r="N631" s="213"/>
      <c r="O631" s="213"/>
      <c r="P631" s="200"/>
      <c r="Q631" s="200"/>
      <c r="R631" s="200"/>
      <c r="V631" s="200"/>
      <c r="Y631" s="200"/>
      <c r="Z631" s="213"/>
      <c r="AA631" s="200"/>
      <c r="AB631" s="200"/>
      <c r="AC631" s="213"/>
      <c r="AD631" s="213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A632" s="202"/>
      <c r="D632" s="154"/>
      <c r="E632" s="154"/>
      <c r="F632" s="200"/>
      <c r="H632" s="200"/>
      <c r="I632" s="200"/>
      <c r="J632" s="213"/>
      <c r="K632" s="213"/>
      <c r="L632" s="252"/>
      <c r="M632" s="252"/>
      <c r="N632" s="213"/>
      <c r="O632" s="213"/>
      <c r="P632" s="200"/>
      <c r="Q632" s="200"/>
      <c r="R632" s="200"/>
      <c r="U632" s="154"/>
      <c r="V632" s="200"/>
      <c r="Y632" s="200"/>
      <c r="Z632" s="213"/>
      <c r="AA632" s="252"/>
      <c r="AB632" s="252"/>
      <c r="AC632" s="213"/>
      <c r="AD632" s="213"/>
      <c r="AE632" s="200"/>
      <c r="AF632" s="200"/>
      <c r="AG632" s="209"/>
      <c r="AH632" s="201"/>
      <c r="AI632" s="200"/>
      <c r="AJ632" s="200"/>
      <c r="AK632" s="209"/>
      <c r="AL632" s="200"/>
      <c r="AM632" s="210"/>
      <c r="AN632" s="210"/>
    </row>
    <row r="633" spans="1:40" x14ac:dyDescent="0.25">
      <c r="A633" s="202"/>
      <c r="D633" s="154"/>
      <c r="E633" s="154"/>
      <c r="F633" s="200"/>
      <c r="H633" s="200"/>
      <c r="I633" s="200"/>
      <c r="J633" s="213"/>
      <c r="K633" s="213"/>
      <c r="L633" s="252"/>
      <c r="M633" s="252"/>
      <c r="N633" s="213"/>
      <c r="O633" s="213"/>
      <c r="P633" s="200"/>
      <c r="Q633" s="200"/>
      <c r="R633" s="200"/>
      <c r="U633" s="154"/>
      <c r="V633" s="200"/>
      <c r="Y633" s="200"/>
      <c r="Z633" s="213"/>
      <c r="AA633" s="252"/>
      <c r="AB633" s="252"/>
      <c r="AC633" s="213"/>
      <c r="AD633" s="213"/>
      <c r="AE633" s="200"/>
      <c r="AF633" s="200"/>
      <c r="AG633" s="209"/>
      <c r="AH633" s="201"/>
      <c r="AI633" s="200"/>
      <c r="AJ633" s="200"/>
      <c r="AK633" s="209"/>
      <c r="AL633" s="200"/>
      <c r="AM633" s="210"/>
      <c r="AN633" s="210"/>
    </row>
    <row r="634" spans="1:40" x14ac:dyDescent="0.25">
      <c r="A634" s="202"/>
      <c r="D634" s="154"/>
      <c r="E634" s="154"/>
      <c r="F634" s="200"/>
      <c r="H634" s="200"/>
      <c r="I634" s="200"/>
      <c r="J634" s="213"/>
      <c r="K634" s="213"/>
      <c r="L634" s="252"/>
      <c r="M634" s="252"/>
      <c r="N634" s="213"/>
      <c r="O634" s="213"/>
      <c r="P634" s="200"/>
      <c r="Q634" s="200"/>
      <c r="R634" s="200"/>
      <c r="U634" s="154"/>
      <c r="V634" s="200"/>
      <c r="Y634" s="200"/>
      <c r="Z634" s="213"/>
      <c r="AA634" s="252"/>
      <c r="AB634" s="252"/>
      <c r="AC634" s="213"/>
      <c r="AD634" s="213"/>
      <c r="AE634" s="200"/>
      <c r="AF634" s="200"/>
      <c r="AG634" s="209"/>
      <c r="AH634" s="201"/>
      <c r="AI634" s="200"/>
      <c r="AJ634" s="200"/>
      <c r="AK634" s="209"/>
      <c r="AL634" s="200"/>
      <c r="AM634" s="210"/>
      <c r="AN634" s="210"/>
    </row>
    <row r="635" spans="1:40" x14ac:dyDescent="0.25">
      <c r="F635" s="211"/>
      <c r="H635" s="211"/>
      <c r="I635" s="211"/>
      <c r="J635" s="305"/>
      <c r="K635" s="305"/>
      <c r="L635" s="211"/>
      <c r="M635" s="211"/>
      <c r="N635" s="211"/>
      <c r="O635" s="211"/>
      <c r="P635" s="211"/>
      <c r="Q635" s="211"/>
      <c r="R635" s="211"/>
      <c r="V635" s="211"/>
      <c r="Y635" s="211"/>
      <c r="Z635" s="305"/>
      <c r="AA635" s="211"/>
      <c r="AB635" s="211"/>
      <c r="AC635" s="211"/>
      <c r="AD635" s="211"/>
      <c r="AE635" s="211"/>
      <c r="AF635" s="211"/>
      <c r="AI635" s="211"/>
      <c r="AJ635" s="211"/>
      <c r="AK635" s="212"/>
      <c r="AL635" s="211"/>
      <c r="AM635" s="210"/>
      <c r="AN635" s="210"/>
    </row>
    <row r="636" spans="1:40" x14ac:dyDescent="0.25">
      <c r="A636" s="202"/>
      <c r="C636" s="154"/>
      <c r="F636" s="200"/>
      <c r="H636" s="200"/>
      <c r="I636" s="200"/>
      <c r="J636" s="213"/>
      <c r="K636" s="213"/>
      <c r="L636" s="200"/>
      <c r="M636" s="200"/>
      <c r="N636" s="213"/>
      <c r="O636" s="213"/>
      <c r="P636" s="200"/>
      <c r="Q636" s="200"/>
      <c r="R636" s="200"/>
      <c r="T636" s="154"/>
      <c r="V636" s="200"/>
      <c r="Y636" s="200"/>
      <c r="Z636" s="213"/>
      <c r="AA636" s="200"/>
      <c r="AB636" s="200"/>
      <c r="AC636" s="213"/>
      <c r="AD636" s="213"/>
      <c r="AE636" s="200"/>
      <c r="AF636" s="200"/>
      <c r="AG636" s="209"/>
      <c r="AH636" s="201"/>
      <c r="AI636" s="200"/>
      <c r="AJ636" s="200"/>
      <c r="AK636" s="209"/>
      <c r="AL636" s="200"/>
      <c r="AM636" s="210"/>
      <c r="AN636" s="210"/>
    </row>
    <row r="637" spans="1:40" x14ac:dyDescent="0.25">
      <c r="F637" s="200"/>
      <c r="H637" s="200"/>
      <c r="I637" s="200"/>
      <c r="J637" s="213"/>
      <c r="K637" s="213"/>
      <c r="L637" s="200"/>
      <c r="M637" s="200"/>
      <c r="N637" s="213"/>
      <c r="O637" s="213"/>
      <c r="P637" s="200"/>
      <c r="Q637" s="200"/>
      <c r="R637" s="200"/>
      <c r="V637" s="200"/>
      <c r="Y637" s="200"/>
      <c r="Z637" s="213"/>
      <c r="AA637" s="200"/>
      <c r="AB637" s="200"/>
      <c r="AC637" s="213"/>
      <c r="AD637" s="213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A638" s="202"/>
      <c r="C638" s="154"/>
      <c r="F638" s="200"/>
      <c r="H638" s="200"/>
      <c r="I638" s="200"/>
      <c r="J638" s="213"/>
      <c r="K638" s="213"/>
      <c r="L638" s="200"/>
      <c r="M638" s="200"/>
      <c r="N638" s="213"/>
      <c r="O638" s="213"/>
      <c r="P638" s="200"/>
      <c r="Q638" s="200"/>
      <c r="R638" s="200"/>
      <c r="T638" s="154"/>
      <c r="V638" s="200"/>
      <c r="Y638" s="200"/>
      <c r="Z638" s="213"/>
      <c r="AA638" s="200"/>
      <c r="AB638" s="200"/>
      <c r="AC638" s="213"/>
      <c r="AD638" s="213"/>
      <c r="AE638" s="200"/>
      <c r="AF638" s="200"/>
      <c r="AG638" s="209"/>
      <c r="AH638" s="201"/>
      <c r="AI638" s="200"/>
      <c r="AJ638" s="200"/>
      <c r="AK638" s="209"/>
      <c r="AL638" s="200"/>
      <c r="AM638" s="210"/>
      <c r="AN638" s="210"/>
    </row>
    <row r="639" spans="1:40" x14ac:dyDescent="0.25">
      <c r="F639" s="211"/>
      <c r="H639" s="211"/>
      <c r="I639" s="211"/>
      <c r="J639" s="305"/>
      <c r="K639" s="305"/>
      <c r="L639" s="211"/>
      <c r="M639" s="211"/>
      <c r="N639" s="211"/>
      <c r="O639" s="211"/>
      <c r="P639" s="211"/>
      <c r="Q639" s="211"/>
      <c r="R639" s="211"/>
      <c r="V639" s="211"/>
      <c r="Y639" s="211"/>
      <c r="Z639" s="305"/>
      <c r="AA639" s="211"/>
      <c r="AB639" s="211"/>
      <c r="AC639" s="211"/>
      <c r="AD639" s="211"/>
      <c r="AE639" s="211"/>
      <c r="AF639" s="211"/>
      <c r="AI639" s="211"/>
      <c r="AJ639" s="211"/>
      <c r="AK639" s="212"/>
      <c r="AL639" s="211"/>
    </row>
    <row r="641" spans="1:20" x14ac:dyDescent="0.25">
      <c r="C641" s="154"/>
      <c r="L641" s="200"/>
      <c r="M641" s="200"/>
      <c r="P641" s="200"/>
      <c r="Q641" s="200"/>
      <c r="R641" s="200"/>
      <c r="T641" s="154"/>
    </row>
    <row r="642" spans="1:20" x14ac:dyDescent="0.25">
      <c r="A642" s="154"/>
      <c r="L642" s="200"/>
      <c r="M642" s="200"/>
      <c r="P642" s="200"/>
      <c r="Q642" s="200"/>
      <c r="R642" s="200"/>
    </row>
    <row r="643" spans="1:20" x14ac:dyDescent="0.25">
      <c r="L643" s="200"/>
      <c r="M643" s="200"/>
      <c r="P643" s="200"/>
      <c r="Q643" s="200"/>
      <c r="R643" s="200"/>
    </row>
    <row r="644" spans="1:20" x14ac:dyDescent="0.25">
      <c r="L644" s="200"/>
      <c r="M644" s="200"/>
      <c r="P644" s="200"/>
      <c r="Q644" s="200"/>
      <c r="R644" s="200"/>
    </row>
    <row r="645" spans="1:20" x14ac:dyDescent="0.25">
      <c r="L645" s="200"/>
      <c r="M645" s="200"/>
      <c r="P645" s="200"/>
      <c r="Q645" s="200"/>
      <c r="R645" s="200"/>
    </row>
    <row r="646" spans="1:20" x14ac:dyDescent="0.25">
      <c r="L646" s="200"/>
      <c r="M646" s="200"/>
      <c r="P646" s="200"/>
      <c r="Q646" s="200"/>
      <c r="R646" s="200"/>
    </row>
    <row r="647" spans="1:20" x14ac:dyDescent="0.25">
      <c r="L647" s="200"/>
      <c r="M647" s="200"/>
      <c r="P647" s="200"/>
      <c r="Q647" s="200"/>
      <c r="R647" s="200"/>
    </row>
    <row r="680" spans="49:49" x14ac:dyDescent="0.25">
      <c r="AW680" s="200"/>
    </row>
    <row r="681" spans="49:49" x14ac:dyDescent="0.25">
      <c r="AW681" s="200"/>
    </row>
    <row r="682" spans="49:49" x14ac:dyDescent="0.25">
      <c r="AW682" s="200"/>
    </row>
    <row r="683" spans="49:49" x14ac:dyDescent="0.25">
      <c r="AW683" s="200"/>
    </row>
    <row r="684" spans="49:49" x14ac:dyDescent="0.25">
      <c r="AW684" s="200"/>
    </row>
    <row r="685" spans="49:49" x14ac:dyDescent="0.25">
      <c r="AW685" s="200"/>
    </row>
    <row r="688" spans="49:49" x14ac:dyDescent="0.25">
      <c r="AW688" s="200"/>
    </row>
    <row r="689" spans="49:49" x14ac:dyDescent="0.25">
      <c r="AW689" s="200"/>
    </row>
    <row r="690" spans="49:49" x14ac:dyDescent="0.25">
      <c r="AW690" s="200"/>
    </row>
    <row r="691" spans="49:49" x14ac:dyDescent="0.25">
      <c r="AW691" s="200"/>
    </row>
    <row r="692" spans="49:49" x14ac:dyDescent="0.25">
      <c r="AW692" s="200"/>
    </row>
    <row r="693" spans="49:49" x14ac:dyDescent="0.25">
      <c r="AW693" s="200"/>
    </row>
    <row r="694" spans="49:49" x14ac:dyDescent="0.25">
      <c r="AW694" s="200"/>
    </row>
    <row r="695" spans="49:49" x14ac:dyDescent="0.25">
      <c r="AW695" s="200"/>
    </row>
    <row r="698" spans="49:49" x14ac:dyDescent="0.25">
      <c r="AW698" s="200"/>
    </row>
    <row r="699" spans="49:49" x14ac:dyDescent="0.25">
      <c r="AW699" s="200"/>
    </row>
    <row r="702" spans="49:49" x14ac:dyDescent="0.25">
      <c r="AW702" s="200"/>
    </row>
    <row r="703" spans="49:49" x14ac:dyDescent="0.25">
      <c r="AW703" s="200"/>
    </row>
    <row r="704" spans="49:49" x14ac:dyDescent="0.25">
      <c r="AW704" s="200"/>
    </row>
    <row r="705" spans="45:57" x14ac:dyDescent="0.25">
      <c r="AW705" s="200"/>
    </row>
    <row r="711" spans="45:57" x14ac:dyDescent="0.25">
      <c r="AY711" s="202"/>
    </row>
    <row r="712" spans="45:57" x14ac:dyDescent="0.25">
      <c r="AY712" s="202"/>
    </row>
    <row r="713" spans="45:57" x14ac:dyDescent="0.25">
      <c r="AY713" s="154"/>
    </row>
    <row r="714" spans="45:57" x14ac:dyDescent="0.25">
      <c r="AY714" s="154"/>
    </row>
    <row r="715" spans="45:57" x14ac:dyDescent="0.25">
      <c r="AS715" s="202"/>
      <c r="BD715" s="154"/>
    </row>
    <row r="716" spans="45:57" x14ac:dyDescent="0.25">
      <c r="AS716" s="202"/>
      <c r="BD716" s="154"/>
    </row>
    <row r="717" spans="45:57" x14ac:dyDescent="0.25">
      <c r="AS717" s="154"/>
      <c r="BD717" s="154"/>
    </row>
    <row r="718" spans="45:57" x14ac:dyDescent="0.25">
      <c r="BD718" s="202"/>
    </row>
    <row r="719" spans="45:57" x14ac:dyDescent="0.25"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</row>
    <row r="720" spans="45:57" x14ac:dyDescent="0.25">
      <c r="AX720" s="154"/>
    </row>
    <row r="721" spans="45:69" x14ac:dyDescent="0.25">
      <c r="AX721" s="102"/>
      <c r="AY721" s="102"/>
      <c r="AZ721" s="102"/>
      <c r="BA721" s="102"/>
      <c r="BC721" s="103"/>
      <c r="BD721" s="103"/>
    </row>
    <row r="722" spans="45:69" x14ac:dyDescent="0.25">
      <c r="AV722" s="103"/>
      <c r="AW722" s="103"/>
      <c r="AZ722" s="103"/>
      <c r="BA722" s="103"/>
      <c r="BC722" s="103"/>
      <c r="BD722" s="103"/>
      <c r="BE722" s="103"/>
      <c r="BG722" s="102"/>
      <c r="BH722" s="154"/>
      <c r="BK722" s="102"/>
      <c r="BM722" s="102"/>
      <c r="BN722" s="154"/>
      <c r="BQ722" s="102"/>
    </row>
    <row r="723" spans="45:69" x14ac:dyDescent="0.25"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H723" s="103"/>
      <c r="BI723" s="103"/>
      <c r="BJ723" s="103"/>
      <c r="BN723" s="103"/>
      <c r="BO723" s="103"/>
      <c r="BP723" s="103"/>
    </row>
    <row r="724" spans="45:69" x14ac:dyDescent="0.25">
      <c r="AS724" s="103"/>
      <c r="AU724" s="154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G724" s="103"/>
      <c r="BH724" s="103"/>
      <c r="BI724" s="103"/>
      <c r="BJ724" s="103"/>
      <c r="BK724" s="103"/>
      <c r="BM724" s="103"/>
      <c r="BN724" s="103"/>
      <c r="BO724" s="103"/>
      <c r="BP724" s="103"/>
      <c r="BQ724" s="103"/>
    </row>
    <row r="725" spans="45:69" x14ac:dyDescent="0.25">
      <c r="AS725" s="103"/>
      <c r="AU725" s="154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G725" s="103"/>
      <c r="BH725" s="103"/>
      <c r="BI725" s="103"/>
      <c r="BJ725" s="103"/>
      <c r="BK725" s="103"/>
      <c r="BM725" s="103"/>
      <c r="BN725" s="103"/>
      <c r="BO725" s="103"/>
      <c r="BP725" s="103"/>
      <c r="BQ725" s="103"/>
    </row>
    <row r="726" spans="45:69" x14ac:dyDescent="0.25"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G726" s="102"/>
      <c r="BH726" s="102"/>
      <c r="BI726" s="102"/>
      <c r="BJ726" s="102"/>
      <c r="BK726" s="102"/>
      <c r="BM726" s="102"/>
      <c r="BN726" s="102"/>
      <c r="BO726" s="102"/>
      <c r="BP726" s="102"/>
      <c r="BQ726" s="102"/>
    </row>
    <row r="727" spans="45:69" x14ac:dyDescent="0.25"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</row>
    <row r="728" spans="45:69" x14ac:dyDescent="0.25">
      <c r="AS728" s="202"/>
      <c r="AU728" s="154"/>
      <c r="AV728" s="103"/>
      <c r="AY728" s="213"/>
    </row>
    <row r="729" spans="45:69" x14ac:dyDescent="0.25">
      <c r="AS729" s="202"/>
      <c r="AV729" s="103"/>
      <c r="AW729" s="200"/>
      <c r="AX729" s="334"/>
      <c r="AY729" s="334"/>
      <c r="AZ729" s="334"/>
      <c r="BA729" s="210"/>
      <c r="BB729" s="334"/>
      <c r="BC729" s="213"/>
      <c r="BD729" s="213"/>
      <c r="BE729" s="210"/>
      <c r="BG729" s="334"/>
      <c r="BH729" s="334"/>
      <c r="BI729" s="334"/>
      <c r="BJ729" s="334"/>
      <c r="BK729" s="334"/>
      <c r="BM729" s="334"/>
      <c r="BN729" s="334"/>
      <c r="BO729" s="334"/>
      <c r="BP729" s="334"/>
      <c r="BQ729" s="334"/>
    </row>
    <row r="730" spans="45:69" x14ac:dyDescent="0.25">
      <c r="AS730" s="202"/>
      <c r="AV730" s="103"/>
      <c r="AW730" s="200"/>
      <c r="AX730" s="334"/>
      <c r="AY730" s="334"/>
      <c r="AZ730" s="334"/>
      <c r="BA730" s="210"/>
      <c r="BB730" s="334"/>
      <c r="BC730" s="213"/>
      <c r="BD730" s="213"/>
      <c r="BE730" s="210"/>
      <c r="BG730" s="334"/>
      <c r="BH730" s="334"/>
      <c r="BI730" s="334"/>
      <c r="BJ730" s="334"/>
      <c r="BK730" s="334"/>
      <c r="BM730" s="334"/>
      <c r="BN730" s="334"/>
      <c r="BO730" s="334"/>
      <c r="BP730" s="334"/>
      <c r="BQ730" s="334"/>
    </row>
    <row r="731" spans="45:69" x14ac:dyDescent="0.25">
      <c r="AS731" s="202"/>
      <c r="AV731" s="103"/>
      <c r="AW731" s="200"/>
      <c r="AX731" s="334"/>
      <c r="AY731" s="334"/>
      <c r="AZ731" s="334"/>
      <c r="BA731" s="210"/>
      <c r="BB731" s="334"/>
      <c r="BC731" s="213"/>
      <c r="BD731" s="213"/>
      <c r="BE731" s="210"/>
      <c r="BG731" s="334"/>
      <c r="BH731" s="334"/>
      <c r="BI731" s="334"/>
      <c r="BJ731" s="334"/>
      <c r="BK731" s="334"/>
      <c r="BM731" s="334"/>
      <c r="BN731" s="334"/>
      <c r="BO731" s="334"/>
      <c r="BP731" s="334"/>
      <c r="BQ731" s="334"/>
    </row>
    <row r="732" spans="45:69" x14ac:dyDescent="0.25">
      <c r="AS732" s="202"/>
      <c r="AV732" s="103"/>
      <c r="AW732" s="200"/>
      <c r="AX732" s="334"/>
      <c r="AY732" s="334"/>
      <c r="AZ732" s="334"/>
      <c r="BA732" s="210"/>
      <c r="BB732" s="334"/>
      <c r="BC732" s="213"/>
      <c r="BD732" s="213"/>
      <c r="BE732" s="210"/>
      <c r="BG732" s="334"/>
      <c r="BH732" s="334"/>
      <c r="BI732" s="334"/>
      <c r="BJ732" s="334"/>
      <c r="BK732" s="334"/>
      <c r="BM732" s="334"/>
      <c r="BN732" s="334"/>
      <c r="BO732" s="334"/>
      <c r="BP732" s="334"/>
      <c r="BQ732" s="334"/>
    </row>
    <row r="733" spans="45:69" x14ac:dyDescent="0.25">
      <c r="AS733" s="202"/>
      <c r="AV733" s="103"/>
      <c r="AW733" s="200"/>
      <c r="AX733" s="334"/>
      <c r="AY733" s="334"/>
      <c r="AZ733" s="334"/>
      <c r="BA733" s="210"/>
      <c r="BB733" s="334"/>
      <c r="BC733" s="213"/>
      <c r="BD733" s="213"/>
      <c r="BE733" s="210"/>
      <c r="BG733" s="334"/>
      <c r="BH733" s="334"/>
      <c r="BI733" s="334"/>
      <c r="BJ733" s="334"/>
      <c r="BK733" s="334"/>
      <c r="BM733" s="334"/>
      <c r="BN733" s="334"/>
      <c r="BO733" s="334"/>
      <c r="BP733" s="334"/>
      <c r="BQ733" s="334"/>
    </row>
    <row r="734" spans="45:69" x14ac:dyDescent="0.25">
      <c r="AS734" s="202"/>
      <c r="AV734" s="103"/>
      <c r="AW734" s="200"/>
      <c r="AX734" s="334"/>
      <c r="AY734" s="334"/>
      <c r="AZ734" s="334"/>
      <c r="BA734" s="210"/>
      <c r="BB734" s="334"/>
      <c r="BC734" s="213"/>
      <c r="BD734" s="213"/>
      <c r="BE734" s="210"/>
      <c r="BG734" s="334"/>
      <c r="BH734" s="334"/>
      <c r="BI734" s="334"/>
      <c r="BJ734" s="334"/>
      <c r="BK734" s="334"/>
      <c r="BM734" s="334"/>
      <c r="BN734" s="334"/>
      <c r="BO734" s="334"/>
      <c r="BP734" s="334"/>
      <c r="BQ734" s="334"/>
    </row>
    <row r="735" spans="45:69" x14ac:dyDescent="0.25">
      <c r="AS735" s="202"/>
      <c r="AV735" s="103"/>
      <c r="AW735" s="200"/>
      <c r="AX735" s="334"/>
      <c r="AY735" s="334"/>
      <c r="AZ735" s="334"/>
      <c r="BA735" s="210"/>
      <c r="BB735" s="334"/>
      <c r="BC735" s="213"/>
      <c r="BD735" s="213"/>
      <c r="BE735" s="210"/>
      <c r="BG735" s="334"/>
      <c r="BH735" s="334"/>
      <c r="BI735" s="334"/>
      <c r="BJ735" s="334"/>
      <c r="BK735" s="334"/>
      <c r="BM735" s="334"/>
      <c r="BN735" s="334"/>
      <c r="BO735" s="334"/>
      <c r="BP735" s="334"/>
      <c r="BQ735" s="334"/>
    </row>
    <row r="736" spans="45:69" x14ac:dyDescent="0.25">
      <c r="AY736" s="213"/>
      <c r="AZ736" s="334"/>
      <c r="BA736" s="210"/>
      <c r="BB736" s="334"/>
      <c r="BC736" s="213"/>
      <c r="BD736" s="213"/>
      <c r="BE736" s="210"/>
      <c r="BK736" s="334"/>
      <c r="BQ736" s="334"/>
    </row>
    <row r="737" spans="45:69" x14ac:dyDescent="0.25">
      <c r="AS737" s="202"/>
      <c r="AV737" s="103"/>
      <c r="AY737" s="213"/>
      <c r="AZ737" s="334"/>
      <c r="BA737" s="210"/>
      <c r="BB737" s="334"/>
      <c r="BC737" s="213"/>
      <c r="BD737" s="213"/>
      <c r="BE737" s="210"/>
      <c r="BK737" s="334"/>
      <c r="BQ737" s="334"/>
    </row>
    <row r="738" spans="45:69" x14ac:dyDescent="0.25">
      <c r="AS738" s="202"/>
      <c r="AV738" s="103"/>
      <c r="AW738" s="200"/>
      <c r="AX738" s="334"/>
      <c r="AY738" s="334"/>
      <c r="AZ738" s="334"/>
      <c r="BA738" s="210"/>
      <c r="BB738" s="334"/>
      <c r="BC738" s="213"/>
      <c r="BD738" s="213"/>
      <c r="BE738" s="210"/>
      <c r="BG738" s="334"/>
      <c r="BH738" s="334"/>
      <c r="BI738" s="334"/>
      <c r="BJ738" s="334"/>
      <c r="BK738" s="334"/>
      <c r="BM738" s="334"/>
      <c r="BN738" s="334"/>
      <c r="BO738" s="334"/>
      <c r="BP738" s="334"/>
      <c r="BQ738" s="334"/>
    </row>
    <row r="739" spans="45:69" x14ac:dyDescent="0.25">
      <c r="AS739" s="202"/>
      <c r="AV739" s="103"/>
      <c r="AW739" s="200"/>
      <c r="AX739" s="334"/>
      <c r="AY739" s="334"/>
      <c r="AZ739" s="334"/>
      <c r="BA739" s="210"/>
      <c r="BB739" s="334"/>
      <c r="BC739" s="213"/>
      <c r="BD739" s="213"/>
      <c r="BE739" s="210"/>
      <c r="BG739" s="334"/>
      <c r="BH739" s="334"/>
      <c r="BI739" s="334"/>
      <c r="BJ739" s="334"/>
      <c r="BK739" s="334"/>
      <c r="BM739" s="334"/>
      <c r="BN739" s="334"/>
      <c r="BO739" s="334"/>
      <c r="BP739" s="334"/>
      <c r="BQ739" s="334"/>
    </row>
    <row r="740" spans="45:69" x14ac:dyDescent="0.25">
      <c r="AS740" s="202"/>
      <c r="AV740" s="103"/>
      <c r="AW740" s="200"/>
      <c r="AX740" s="334"/>
      <c r="AY740" s="334"/>
      <c r="AZ740" s="334"/>
      <c r="BA740" s="210"/>
      <c r="BB740" s="334"/>
      <c r="BC740" s="213"/>
      <c r="BD740" s="213"/>
      <c r="BE740" s="210"/>
      <c r="BG740" s="334"/>
      <c r="BH740" s="334"/>
      <c r="BI740" s="334"/>
      <c r="BJ740" s="334"/>
      <c r="BK740" s="334"/>
      <c r="BM740" s="334"/>
      <c r="BN740" s="334"/>
      <c r="BO740" s="334"/>
      <c r="BP740" s="334"/>
      <c r="BQ740" s="334"/>
    </row>
    <row r="741" spans="45:69" x14ac:dyDescent="0.25">
      <c r="AS741" s="202"/>
      <c r="AV741" s="103"/>
      <c r="AW741" s="200"/>
      <c r="AX741" s="334"/>
      <c r="AY741" s="334"/>
      <c r="AZ741" s="334"/>
      <c r="BA741" s="210"/>
      <c r="BB741" s="334"/>
      <c r="BC741" s="213"/>
      <c r="BD741" s="213"/>
      <c r="BE741" s="210"/>
      <c r="BG741" s="334"/>
      <c r="BH741" s="334"/>
      <c r="BI741" s="334"/>
      <c r="BJ741" s="334"/>
      <c r="BK741" s="334"/>
      <c r="BM741" s="334"/>
      <c r="BN741" s="334"/>
      <c r="BO741" s="334"/>
      <c r="BP741" s="334"/>
      <c r="BQ741" s="334"/>
    </row>
    <row r="742" spans="45:69" x14ac:dyDescent="0.25">
      <c r="AS742" s="202"/>
      <c r="AV742" s="103"/>
      <c r="AW742" s="200"/>
      <c r="AX742" s="334"/>
      <c r="AY742" s="334"/>
      <c r="AZ742" s="334"/>
      <c r="BA742" s="210"/>
      <c r="BB742" s="334"/>
      <c r="BC742" s="213"/>
      <c r="BD742" s="213"/>
      <c r="BE742" s="210"/>
      <c r="BG742" s="334"/>
      <c r="BH742" s="334"/>
      <c r="BI742" s="334"/>
      <c r="BJ742" s="334"/>
      <c r="BK742" s="334"/>
      <c r="BM742" s="334"/>
      <c r="BN742" s="334"/>
      <c r="BO742" s="334"/>
      <c r="BP742" s="334"/>
      <c r="BQ742" s="334"/>
    </row>
    <row r="743" spans="45:69" x14ac:dyDescent="0.25">
      <c r="AS743" s="202"/>
      <c r="AV743" s="103"/>
      <c r="AW743" s="200"/>
      <c r="AX743" s="334"/>
      <c r="AY743" s="334"/>
      <c r="AZ743" s="334"/>
      <c r="BA743" s="210"/>
      <c r="BB743" s="334"/>
      <c r="BC743" s="213"/>
      <c r="BD743" s="213"/>
      <c r="BE743" s="210"/>
      <c r="BG743" s="334"/>
      <c r="BH743" s="334"/>
      <c r="BI743" s="334"/>
      <c r="BJ743" s="334"/>
      <c r="BK743" s="334"/>
      <c r="BM743" s="334"/>
      <c r="BN743" s="334"/>
      <c r="BO743" s="334"/>
      <c r="BP743" s="334"/>
      <c r="BQ743" s="334"/>
    </row>
    <row r="744" spans="45:69" x14ac:dyDescent="0.25">
      <c r="AS744" s="202"/>
      <c r="AV744" s="103"/>
      <c r="AW744" s="200"/>
      <c r="AX744" s="334"/>
      <c r="AY744" s="334"/>
      <c r="AZ744" s="334"/>
      <c r="BA744" s="210"/>
      <c r="BB744" s="334"/>
      <c r="BC744" s="213"/>
      <c r="BD744" s="213"/>
      <c r="BE744" s="210"/>
      <c r="BG744" s="334"/>
      <c r="BH744" s="334"/>
      <c r="BI744" s="334"/>
      <c r="BJ744" s="334"/>
      <c r="BK744" s="334"/>
      <c r="BM744" s="334"/>
      <c r="BN744" s="334"/>
      <c r="BO744" s="334"/>
      <c r="BP744" s="334"/>
      <c r="BQ744" s="334"/>
    </row>
    <row r="745" spans="45:69" x14ac:dyDescent="0.25">
      <c r="AS745" s="202"/>
      <c r="AV745" s="103"/>
      <c r="AW745" s="200"/>
      <c r="AX745" s="334"/>
      <c r="AY745" s="334"/>
      <c r="AZ745" s="334"/>
      <c r="BA745" s="210"/>
      <c r="BB745" s="334"/>
      <c r="BC745" s="213"/>
      <c r="BD745" s="213"/>
      <c r="BE745" s="210"/>
      <c r="BG745" s="334"/>
      <c r="BH745" s="334"/>
      <c r="BI745" s="334"/>
      <c r="BJ745" s="334"/>
      <c r="BK745" s="334"/>
      <c r="BM745" s="334"/>
      <c r="BN745" s="334"/>
      <c r="BO745" s="334"/>
      <c r="BP745" s="334"/>
      <c r="BQ745" s="334"/>
    </row>
    <row r="746" spans="45:69" x14ac:dyDescent="0.25">
      <c r="AY746" s="213"/>
      <c r="AZ746" s="334"/>
      <c r="BA746" s="210"/>
      <c r="BB746" s="334"/>
      <c r="BC746" s="213"/>
      <c r="BD746" s="213"/>
      <c r="BE746" s="210"/>
      <c r="BK746" s="334"/>
      <c r="BQ746" s="334"/>
    </row>
    <row r="747" spans="45:69" x14ac:dyDescent="0.25">
      <c r="AU747" s="154"/>
      <c r="AZ747" s="334"/>
      <c r="BB747" s="334"/>
      <c r="BG747" s="334"/>
      <c r="BH747" s="334"/>
      <c r="BJ747" s="334"/>
      <c r="BK747" s="334"/>
    </row>
    <row r="748" spans="45:69" x14ac:dyDescent="0.25">
      <c r="AZ748" s="334"/>
      <c r="BB748" s="334"/>
    </row>
    <row r="749" spans="45:69" x14ac:dyDescent="0.25">
      <c r="AS749" s="154"/>
      <c r="AZ749" s="334"/>
      <c r="BB749" s="334"/>
      <c r="BI749" s="334"/>
    </row>
    <row r="750" spans="45:69" x14ac:dyDescent="0.25">
      <c r="AY750" s="202"/>
      <c r="AZ750" s="334"/>
      <c r="BB750" s="334"/>
    </row>
    <row r="751" spans="45:69" x14ac:dyDescent="0.25">
      <c r="AY751" s="334"/>
      <c r="BB751" s="334"/>
    </row>
    <row r="752" spans="45:69" x14ac:dyDescent="0.25">
      <c r="AY752" s="154"/>
      <c r="AZ752" s="334"/>
      <c r="BB752" s="334"/>
    </row>
    <row r="753" spans="45:75" x14ac:dyDescent="0.25">
      <c r="AY753" s="154"/>
      <c r="AZ753" s="334"/>
      <c r="BB753" s="334"/>
    </row>
    <row r="754" spans="45:75" x14ac:dyDescent="0.25">
      <c r="AS754" s="202"/>
      <c r="AZ754" s="334"/>
      <c r="BB754" s="334"/>
      <c r="BD754" s="154"/>
    </row>
    <row r="755" spans="45:75" x14ac:dyDescent="0.25">
      <c r="AS755" s="202"/>
      <c r="AZ755" s="334"/>
      <c r="BB755" s="334"/>
      <c r="BD755" s="154"/>
    </row>
    <row r="756" spans="45:75" x14ac:dyDescent="0.25">
      <c r="AS756" s="154"/>
      <c r="AZ756" s="334"/>
      <c r="BB756" s="334"/>
      <c r="BD756" s="154"/>
    </row>
    <row r="757" spans="45:75" x14ac:dyDescent="0.25">
      <c r="AZ757" s="334"/>
      <c r="BB757" s="334"/>
      <c r="BD757" s="202"/>
    </row>
    <row r="758" spans="45:75" x14ac:dyDescent="0.25">
      <c r="AS758" s="102"/>
      <c r="AT758" s="102"/>
      <c r="AU758" s="102"/>
      <c r="AV758" s="102"/>
      <c r="AW758" s="102"/>
      <c r="AX758" s="102"/>
      <c r="AY758" s="102"/>
      <c r="AZ758" s="335"/>
      <c r="BA758" s="102"/>
      <c r="BB758" s="335"/>
      <c r="BC758" s="102"/>
      <c r="BD758" s="102"/>
      <c r="BE758" s="102"/>
    </row>
    <row r="759" spans="45:75" x14ac:dyDescent="0.25">
      <c r="AX759" s="154"/>
      <c r="AZ759" s="334"/>
      <c r="BB759" s="334"/>
    </row>
    <row r="760" spans="45:75" x14ac:dyDescent="0.25">
      <c r="AX760" s="102"/>
      <c r="AY760" s="102"/>
      <c r="AZ760" s="335"/>
      <c r="BA760" s="102"/>
      <c r="BB760" s="334"/>
      <c r="BC760" s="103"/>
      <c r="BD760" s="103"/>
    </row>
    <row r="761" spans="45:75" x14ac:dyDescent="0.25">
      <c r="AV761" s="103"/>
      <c r="AW761" s="103"/>
      <c r="AZ761" s="336"/>
      <c r="BA761" s="103"/>
      <c r="BB761" s="334"/>
      <c r="BC761" s="103"/>
      <c r="BD761" s="103"/>
      <c r="BE761" s="103"/>
      <c r="BG761" s="102"/>
      <c r="BH761" s="102"/>
      <c r="BI761" s="154"/>
      <c r="BM761" s="102"/>
      <c r="BN761" s="102"/>
      <c r="BP761" s="102"/>
      <c r="BQ761" s="102"/>
      <c r="BR761" s="154"/>
      <c r="BV761" s="102"/>
      <c r="BW761" s="102"/>
    </row>
    <row r="762" spans="45:75" x14ac:dyDescent="0.25">
      <c r="AV762" s="103"/>
      <c r="AW762" s="103"/>
      <c r="AX762" s="103"/>
      <c r="AY762" s="103"/>
      <c r="AZ762" s="336"/>
      <c r="BA762" s="103"/>
      <c r="BB762" s="336"/>
      <c r="BC762" s="103"/>
      <c r="BD762" s="103"/>
      <c r="BE762" s="103"/>
      <c r="BH762" s="103"/>
      <c r="BI762" s="103"/>
      <c r="BJ762" s="103"/>
      <c r="BK762" s="103"/>
      <c r="BL762" s="103"/>
      <c r="BM762" s="103"/>
      <c r="BQ762" s="103"/>
      <c r="BR762" s="103"/>
      <c r="BS762" s="103"/>
      <c r="BT762" s="103"/>
      <c r="BU762" s="103"/>
      <c r="BV762" s="103"/>
    </row>
    <row r="763" spans="45:75" x14ac:dyDescent="0.25">
      <c r="AS763" s="103"/>
      <c r="AU763" s="154"/>
      <c r="AV763" s="103"/>
      <c r="AW763" s="103"/>
      <c r="AX763" s="103"/>
      <c r="AY763" s="103"/>
      <c r="AZ763" s="336"/>
      <c r="BA763" s="103"/>
      <c r="BB763" s="336"/>
      <c r="BC763" s="103"/>
      <c r="BD763" s="103"/>
      <c r="BE763" s="103"/>
      <c r="BG763" s="103"/>
      <c r="BH763" s="103"/>
      <c r="BI763" s="103"/>
      <c r="BJ763" s="103"/>
      <c r="BK763" s="103"/>
      <c r="BL763" s="103"/>
      <c r="BM763" s="103"/>
      <c r="BN763" s="103"/>
      <c r="BP763" s="103"/>
      <c r="BQ763" s="103"/>
      <c r="BR763" s="103"/>
      <c r="BS763" s="103"/>
      <c r="BT763" s="103"/>
      <c r="BU763" s="103"/>
      <c r="BV763" s="103"/>
      <c r="BW763" s="103"/>
    </row>
    <row r="764" spans="45:75" x14ac:dyDescent="0.25">
      <c r="AS764" s="103"/>
      <c r="AU764" s="154"/>
      <c r="AV764" s="103"/>
      <c r="AW764" s="103"/>
      <c r="AX764" s="103"/>
      <c r="AY764" s="103"/>
      <c r="AZ764" s="336"/>
      <c r="BA764" s="103"/>
      <c r="BB764" s="336"/>
      <c r="BC764" s="103"/>
      <c r="BD764" s="103"/>
      <c r="BE764" s="103"/>
      <c r="BG764" s="103"/>
      <c r="BH764" s="103"/>
      <c r="BI764" s="103"/>
      <c r="BJ764" s="103"/>
      <c r="BK764" s="103"/>
      <c r="BL764" s="103"/>
      <c r="BM764" s="103"/>
      <c r="BN764" s="103"/>
      <c r="BP764" s="103"/>
      <c r="BQ764" s="103"/>
      <c r="BR764" s="103"/>
      <c r="BS764" s="103"/>
      <c r="BT764" s="103"/>
      <c r="BU764" s="103"/>
      <c r="BV764" s="103"/>
      <c r="BW764" s="103"/>
    </row>
    <row r="765" spans="45:75" x14ac:dyDescent="0.25">
      <c r="AS765" s="102"/>
      <c r="AT765" s="102"/>
      <c r="AU765" s="102"/>
      <c r="AV765" s="102"/>
      <c r="AW765" s="102"/>
      <c r="AX765" s="102"/>
      <c r="AY765" s="102"/>
      <c r="AZ765" s="335"/>
      <c r="BA765" s="102"/>
      <c r="BB765" s="335"/>
      <c r="BC765" s="102"/>
      <c r="BD765" s="102"/>
      <c r="BE765" s="102"/>
      <c r="BG765" s="102"/>
      <c r="BH765" s="102"/>
      <c r="BI765" s="102"/>
      <c r="BJ765" s="102"/>
      <c r="BK765" s="102"/>
      <c r="BL765" s="102"/>
      <c r="BM765" s="102"/>
      <c r="BN765" s="102"/>
      <c r="BP765" s="102"/>
      <c r="BQ765" s="102"/>
      <c r="BR765" s="102"/>
      <c r="BS765" s="102"/>
      <c r="BT765" s="102"/>
      <c r="BU765" s="102"/>
      <c r="BV765" s="102"/>
      <c r="BW765" s="102"/>
    </row>
    <row r="766" spans="45:75" x14ac:dyDescent="0.25">
      <c r="AV766" s="103"/>
      <c r="AW766" s="103"/>
      <c r="AX766" s="103"/>
      <c r="AY766" s="103"/>
      <c r="AZ766" s="336"/>
      <c r="BA766" s="103"/>
      <c r="BB766" s="336"/>
      <c r="BC766" s="103"/>
      <c r="BD766" s="103"/>
      <c r="BE766" s="103"/>
      <c r="BG766" s="334"/>
      <c r="BH766" s="334"/>
      <c r="BI766" s="334"/>
      <c r="BJ766" s="334"/>
      <c r="BK766" s="334"/>
      <c r="BL766" s="334"/>
      <c r="BM766" s="334"/>
      <c r="BN766" s="334"/>
      <c r="BO766" s="334"/>
      <c r="BP766" s="334"/>
      <c r="BQ766" s="334"/>
      <c r="BR766" s="334"/>
      <c r="BS766" s="334"/>
      <c r="BT766" s="334"/>
      <c r="BU766" s="334"/>
      <c r="BV766" s="334"/>
      <c r="BW766" s="334"/>
    </row>
    <row r="767" spans="45:75" x14ac:dyDescent="0.25">
      <c r="AS767" s="202"/>
      <c r="AU767" s="154"/>
      <c r="AV767" s="202"/>
      <c r="AW767" s="200"/>
      <c r="AX767" s="334"/>
      <c r="AY767" s="334"/>
      <c r="AZ767" s="334"/>
      <c r="BA767" s="201"/>
      <c r="BB767" s="334"/>
      <c r="BC767" s="334"/>
      <c r="BD767" s="334"/>
      <c r="BE767" s="201"/>
      <c r="BG767" s="334"/>
      <c r="BH767" s="334"/>
      <c r="BI767" s="334"/>
      <c r="BJ767" s="334"/>
      <c r="BK767" s="334"/>
      <c r="BL767" s="334"/>
      <c r="BM767" s="334"/>
      <c r="BN767" s="334"/>
      <c r="BO767" s="334"/>
      <c r="BP767" s="334"/>
      <c r="BQ767" s="334"/>
      <c r="BR767" s="334"/>
      <c r="BS767" s="334"/>
      <c r="BT767" s="334"/>
      <c r="BU767" s="334"/>
      <c r="BV767" s="334"/>
      <c r="BW767" s="334"/>
    </row>
    <row r="768" spans="45:75" x14ac:dyDescent="0.25">
      <c r="AS768" s="202"/>
      <c r="AV768" s="202"/>
      <c r="AW768" s="200"/>
      <c r="AX768" s="334"/>
      <c r="AY768" s="334"/>
      <c r="AZ768" s="334"/>
      <c r="BA768" s="201"/>
      <c r="BB768" s="334"/>
      <c r="BC768" s="334"/>
      <c r="BD768" s="334"/>
      <c r="BE768" s="201"/>
      <c r="BG768" s="334"/>
      <c r="BH768" s="334"/>
      <c r="BI768" s="334"/>
      <c r="BJ768" s="334"/>
      <c r="BK768" s="334"/>
      <c r="BL768" s="334"/>
      <c r="BM768" s="334"/>
      <c r="BN768" s="334"/>
      <c r="BO768" s="334"/>
      <c r="BP768" s="334"/>
      <c r="BQ768" s="334"/>
      <c r="BR768" s="334"/>
      <c r="BS768" s="334"/>
      <c r="BT768" s="334"/>
      <c r="BU768" s="334"/>
      <c r="BV768" s="334"/>
      <c r="BW768" s="334"/>
    </row>
    <row r="769" spans="45:75" x14ac:dyDescent="0.25">
      <c r="AS769" s="202"/>
      <c r="AV769" s="202"/>
      <c r="AW769" s="200"/>
      <c r="AX769" s="334"/>
      <c r="AY769" s="334"/>
      <c r="AZ769" s="334"/>
      <c r="BA769" s="201"/>
      <c r="BB769" s="334"/>
      <c r="BC769" s="334"/>
      <c r="BD769" s="334"/>
      <c r="BE769" s="201"/>
      <c r="BG769" s="334"/>
      <c r="BH769" s="334"/>
      <c r="BI769" s="334"/>
      <c r="BJ769" s="334"/>
      <c r="BK769" s="334"/>
      <c r="BL769" s="334"/>
      <c r="BM769" s="334"/>
      <c r="BN769" s="334"/>
      <c r="BO769" s="334"/>
      <c r="BP769" s="334"/>
      <c r="BQ769" s="334"/>
      <c r="BR769" s="334"/>
      <c r="BS769" s="334"/>
      <c r="BT769" s="334"/>
      <c r="BU769" s="334"/>
      <c r="BV769" s="334"/>
      <c r="BW769" s="334"/>
    </row>
    <row r="770" spans="45:75" x14ac:dyDescent="0.25">
      <c r="AS770" s="202"/>
      <c r="AV770" s="202"/>
      <c r="AW770" s="200"/>
      <c r="AX770" s="334"/>
      <c r="AY770" s="334"/>
      <c r="AZ770" s="334"/>
      <c r="BA770" s="201"/>
      <c r="BB770" s="334"/>
      <c r="BC770" s="334"/>
      <c r="BD770" s="334"/>
      <c r="BE770" s="201"/>
      <c r="BG770" s="334"/>
      <c r="BH770" s="334"/>
      <c r="BI770" s="334"/>
      <c r="BJ770" s="334"/>
      <c r="BK770" s="334"/>
      <c r="BL770" s="334"/>
      <c r="BM770" s="334"/>
      <c r="BN770" s="334"/>
      <c r="BO770" s="334"/>
      <c r="BP770" s="334"/>
      <c r="BQ770" s="334"/>
      <c r="BR770" s="334"/>
      <c r="BS770" s="334"/>
      <c r="BT770" s="334"/>
      <c r="BU770" s="334"/>
      <c r="BV770" s="334"/>
      <c r="BW770" s="334"/>
    </row>
    <row r="771" spans="45:75" x14ac:dyDescent="0.25">
      <c r="AS771" s="202"/>
      <c r="AV771" s="202"/>
      <c r="AW771" s="200"/>
      <c r="AX771" s="334"/>
      <c r="AY771" s="334"/>
      <c r="AZ771" s="334"/>
      <c r="BA771" s="201"/>
      <c r="BB771" s="334"/>
      <c r="BC771" s="334"/>
      <c r="BD771" s="334"/>
      <c r="BE771" s="201"/>
      <c r="BG771" s="334"/>
      <c r="BH771" s="334"/>
      <c r="BI771" s="334"/>
      <c r="BJ771" s="334"/>
      <c r="BK771" s="334"/>
      <c r="BL771" s="334"/>
      <c r="BM771" s="334"/>
      <c r="BN771" s="334"/>
      <c r="BO771" s="334"/>
      <c r="BP771" s="334"/>
      <c r="BQ771" s="334"/>
      <c r="BR771" s="334"/>
      <c r="BS771" s="334"/>
      <c r="BT771" s="334"/>
      <c r="BU771" s="334"/>
      <c r="BV771" s="334"/>
      <c r="BW771" s="334"/>
    </row>
    <row r="772" spans="45:75" x14ac:dyDescent="0.25">
      <c r="AS772" s="202"/>
      <c r="AV772" s="202"/>
      <c r="AW772" s="200"/>
      <c r="AX772" s="334"/>
      <c r="AY772" s="334"/>
      <c r="AZ772" s="334"/>
      <c r="BA772" s="201"/>
      <c r="BB772" s="334"/>
      <c r="BC772" s="334"/>
      <c r="BD772" s="334"/>
      <c r="BE772" s="201"/>
      <c r="BG772" s="334"/>
      <c r="BH772" s="334"/>
      <c r="BI772" s="334"/>
      <c r="BJ772" s="334"/>
      <c r="BK772" s="334"/>
      <c r="BL772" s="334"/>
      <c r="BM772" s="334"/>
      <c r="BN772" s="334"/>
      <c r="BO772" s="334"/>
      <c r="BP772" s="334"/>
      <c r="BQ772" s="334"/>
      <c r="BR772" s="334"/>
      <c r="BS772" s="334"/>
      <c r="BT772" s="334"/>
      <c r="BU772" s="334"/>
      <c r="BV772" s="334"/>
      <c r="BW772" s="334"/>
    </row>
    <row r="773" spans="45:75" x14ac:dyDescent="0.25">
      <c r="AS773" s="202"/>
      <c r="AV773" s="202"/>
      <c r="AW773" s="200"/>
      <c r="AX773" s="334"/>
      <c r="AY773" s="334"/>
      <c r="AZ773" s="334"/>
      <c r="BA773" s="201"/>
      <c r="BB773" s="334"/>
      <c r="BC773" s="334"/>
      <c r="BD773" s="334"/>
      <c r="BE773" s="201"/>
      <c r="BG773" s="334"/>
      <c r="BH773" s="334"/>
      <c r="BI773" s="334"/>
      <c r="BJ773" s="334"/>
      <c r="BK773" s="334"/>
      <c r="BL773" s="334"/>
      <c r="BM773" s="334"/>
      <c r="BN773" s="334"/>
      <c r="BO773" s="334"/>
      <c r="BP773" s="334"/>
      <c r="BQ773" s="334"/>
      <c r="BR773" s="334"/>
      <c r="BS773" s="334"/>
      <c r="BT773" s="334"/>
      <c r="BU773" s="334"/>
      <c r="BV773" s="334"/>
      <c r="BW773" s="334"/>
    </row>
    <row r="774" spans="45:75" x14ac:dyDescent="0.25">
      <c r="AS774" s="202"/>
      <c r="AV774" s="202"/>
      <c r="AW774" s="200"/>
      <c r="AX774" s="334"/>
      <c r="AY774" s="334"/>
      <c r="AZ774" s="334"/>
      <c r="BA774" s="201"/>
      <c r="BB774" s="334"/>
      <c r="BC774" s="334"/>
      <c r="BD774" s="334"/>
      <c r="BE774" s="201"/>
      <c r="BG774" s="334"/>
      <c r="BH774" s="334"/>
      <c r="BI774" s="334"/>
      <c r="BJ774" s="334"/>
      <c r="BK774" s="334"/>
      <c r="BL774" s="334"/>
      <c r="BM774" s="334"/>
      <c r="BN774" s="334"/>
      <c r="BO774" s="334"/>
      <c r="BP774" s="334"/>
      <c r="BQ774" s="334"/>
      <c r="BR774" s="334"/>
      <c r="BS774" s="334"/>
      <c r="BT774" s="334"/>
      <c r="BU774" s="334"/>
      <c r="BV774" s="334"/>
      <c r="BW774" s="334"/>
    </row>
    <row r="775" spans="45:75" x14ac:dyDescent="0.25">
      <c r="AS775" s="202"/>
      <c r="AV775" s="202"/>
      <c r="AW775" s="200"/>
      <c r="AX775" s="334"/>
      <c r="AY775" s="334"/>
      <c r="AZ775" s="334"/>
      <c r="BA775" s="201"/>
      <c r="BB775" s="334"/>
      <c r="BC775" s="334"/>
      <c r="BD775" s="334"/>
      <c r="BE775" s="201"/>
      <c r="BG775" s="334"/>
      <c r="BH775" s="334"/>
      <c r="BI775" s="334"/>
      <c r="BJ775" s="334"/>
      <c r="BK775" s="334"/>
      <c r="BL775" s="334"/>
      <c r="BM775" s="334"/>
      <c r="BN775" s="334"/>
      <c r="BO775" s="334"/>
      <c r="BP775" s="334"/>
      <c r="BQ775" s="334"/>
      <c r="BR775" s="334"/>
      <c r="BS775" s="334"/>
      <c r="BT775" s="334"/>
      <c r="BU775" s="334"/>
      <c r="BV775" s="334"/>
      <c r="BW775" s="334"/>
    </row>
    <row r="776" spans="45:75" x14ac:dyDescent="0.25">
      <c r="AS776" s="202"/>
      <c r="AV776" s="202"/>
      <c r="AW776" s="200"/>
      <c r="AX776" s="334"/>
      <c r="AY776" s="334"/>
      <c r="AZ776" s="334"/>
      <c r="BA776" s="201"/>
      <c r="BB776" s="334"/>
      <c r="BC776" s="334"/>
      <c r="BD776" s="334"/>
      <c r="BE776" s="201"/>
      <c r="BG776" s="334"/>
      <c r="BH776" s="334"/>
      <c r="BI776" s="334"/>
      <c r="BJ776" s="334"/>
      <c r="BK776" s="334"/>
      <c r="BL776" s="334"/>
      <c r="BM776" s="334"/>
      <c r="BN776" s="334"/>
      <c r="BO776" s="334"/>
      <c r="BP776" s="334"/>
      <c r="BQ776" s="334"/>
      <c r="BR776" s="334"/>
      <c r="BS776" s="334"/>
      <c r="BT776" s="334"/>
      <c r="BU776" s="334"/>
      <c r="BV776" s="334"/>
      <c r="BW776" s="334"/>
    </row>
    <row r="777" spans="45:75" x14ac:dyDescent="0.25">
      <c r="AS777" s="202"/>
      <c r="AV777" s="202"/>
      <c r="AW777" s="200"/>
      <c r="AX777" s="334"/>
      <c r="AY777" s="334"/>
      <c r="AZ777" s="334"/>
      <c r="BA777" s="201"/>
      <c r="BB777" s="334"/>
      <c r="BC777" s="334"/>
      <c r="BD777" s="334"/>
      <c r="BE777" s="201"/>
      <c r="BG777" s="334"/>
      <c r="BH777" s="334"/>
      <c r="BI777" s="334"/>
      <c r="BJ777" s="334"/>
      <c r="BK777" s="334"/>
      <c r="BL777" s="334"/>
      <c r="BM777" s="334"/>
      <c r="BN777" s="334"/>
      <c r="BO777" s="334"/>
      <c r="BP777" s="334"/>
      <c r="BQ777" s="334"/>
      <c r="BR777" s="334"/>
      <c r="BS777" s="334"/>
      <c r="BT777" s="334"/>
      <c r="BU777" s="334"/>
      <c r="BV777" s="334"/>
      <c r="BW777" s="334"/>
    </row>
    <row r="778" spans="45:75" x14ac:dyDescent="0.25">
      <c r="AS778" s="202"/>
      <c r="AV778" s="202"/>
      <c r="AW778" s="200"/>
      <c r="AX778" s="334"/>
      <c r="AY778" s="334"/>
      <c r="AZ778" s="334"/>
      <c r="BA778" s="201"/>
      <c r="BB778" s="334"/>
      <c r="BC778" s="334"/>
      <c r="BD778" s="334"/>
      <c r="BE778" s="201"/>
      <c r="BG778" s="334"/>
      <c r="BH778" s="334"/>
      <c r="BI778" s="334"/>
      <c r="BJ778" s="334"/>
      <c r="BK778" s="334"/>
      <c r="BL778" s="334"/>
      <c r="BM778" s="334"/>
      <c r="BN778" s="334"/>
      <c r="BO778" s="334"/>
      <c r="BP778" s="334"/>
      <c r="BQ778" s="334"/>
      <c r="BR778" s="334"/>
      <c r="BS778" s="334"/>
      <c r="BT778" s="334"/>
      <c r="BU778" s="334"/>
      <c r="BV778" s="334"/>
      <c r="BW778" s="334"/>
    </row>
    <row r="779" spans="45:75" x14ac:dyDescent="0.25">
      <c r="AS779" s="202"/>
      <c r="AV779" s="202"/>
      <c r="AW779" s="200"/>
      <c r="AX779" s="334"/>
      <c r="AY779" s="334"/>
      <c r="AZ779" s="334"/>
      <c r="BA779" s="201"/>
      <c r="BB779" s="334"/>
      <c r="BC779" s="334"/>
      <c r="BD779" s="334"/>
      <c r="BE779" s="201"/>
      <c r="BG779" s="334"/>
      <c r="BH779" s="334"/>
      <c r="BI779" s="334"/>
      <c r="BJ779" s="334"/>
      <c r="BK779" s="334"/>
      <c r="BL779" s="334"/>
      <c r="BM779" s="334"/>
      <c r="BN779" s="334"/>
      <c r="BO779" s="334"/>
      <c r="BP779" s="334"/>
      <c r="BQ779" s="334"/>
      <c r="BR779" s="334"/>
      <c r="BS779" s="334"/>
      <c r="BT779" s="334"/>
      <c r="BU779" s="334"/>
      <c r="BV779" s="334"/>
      <c r="BW779" s="334"/>
    </row>
    <row r="780" spans="45:75" x14ac:dyDescent="0.25">
      <c r="AS780" s="202"/>
      <c r="AV780" s="202"/>
      <c r="AW780" s="200"/>
      <c r="AX780" s="334"/>
      <c r="AY780" s="334"/>
      <c r="AZ780" s="334"/>
      <c r="BA780" s="201"/>
      <c r="BB780" s="334"/>
      <c r="BC780" s="334"/>
      <c r="BD780" s="334"/>
      <c r="BE780" s="201"/>
      <c r="BG780" s="334"/>
      <c r="BH780" s="334"/>
      <c r="BI780" s="334"/>
      <c r="BJ780" s="334"/>
      <c r="BK780" s="334"/>
      <c r="BL780" s="334"/>
      <c r="BM780" s="334"/>
      <c r="BN780" s="334"/>
      <c r="BO780" s="334"/>
      <c r="BP780" s="334"/>
      <c r="BQ780" s="334"/>
      <c r="BR780" s="334"/>
      <c r="BS780" s="334"/>
      <c r="BT780" s="334"/>
      <c r="BU780" s="334"/>
      <c r="BV780" s="334"/>
      <c r="BW780" s="334"/>
    </row>
    <row r="781" spans="45:75" x14ac:dyDescent="0.25">
      <c r="AS781" s="202"/>
      <c r="AV781" s="202"/>
      <c r="AW781" s="200"/>
      <c r="AX781" s="334"/>
      <c r="AY781" s="334"/>
      <c r="AZ781" s="334"/>
      <c r="BA781" s="201"/>
      <c r="BB781" s="334"/>
      <c r="BC781" s="334"/>
      <c r="BD781" s="334"/>
      <c r="BE781" s="201"/>
      <c r="BG781" s="334"/>
      <c r="BH781" s="334"/>
      <c r="BI781" s="334"/>
      <c r="BJ781" s="334"/>
      <c r="BK781" s="334"/>
      <c r="BL781" s="334"/>
      <c r="BM781" s="334"/>
      <c r="BN781" s="334"/>
      <c r="BO781" s="334"/>
      <c r="BP781" s="334"/>
      <c r="BQ781" s="334"/>
      <c r="BR781" s="334"/>
      <c r="BS781" s="334"/>
      <c r="BT781" s="334"/>
      <c r="BU781" s="334"/>
      <c r="BV781" s="334"/>
      <c r="BW781" s="334"/>
    </row>
    <row r="782" spans="45:75" x14ac:dyDescent="0.25">
      <c r="AS782" s="202"/>
      <c r="AV782" s="202"/>
      <c r="AW782" s="200"/>
      <c r="AX782" s="334"/>
      <c r="AY782" s="334"/>
      <c r="AZ782" s="334"/>
      <c r="BA782" s="201"/>
      <c r="BB782" s="334"/>
      <c r="BC782" s="334"/>
      <c r="BD782" s="334"/>
      <c r="BE782" s="201"/>
      <c r="BG782" s="334"/>
      <c r="BH782" s="334"/>
      <c r="BI782" s="334"/>
      <c r="BJ782" s="334"/>
      <c r="BK782" s="334"/>
      <c r="BL782" s="334"/>
      <c r="BM782" s="334"/>
      <c r="BN782" s="334"/>
      <c r="BO782" s="334"/>
      <c r="BP782" s="334"/>
      <c r="BQ782" s="334"/>
      <c r="BR782" s="334"/>
      <c r="BS782" s="334"/>
      <c r="BT782" s="334"/>
      <c r="BU782" s="334"/>
      <c r="BV782" s="334"/>
      <c r="BW782" s="334"/>
    </row>
    <row r="783" spans="45:75" x14ac:dyDescent="0.25">
      <c r="AS783" s="202"/>
      <c r="AV783" s="202"/>
      <c r="AW783" s="200"/>
      <c r="AX783" s="334"/>
      <c r="AY783" s="334"/>
      <c r="AZ783" s="334"/>
      <c r="BA783" s="201"/>
      <c r="BB783" s="334"/>
      <c r="BC783" s="334"/>
      <c r="BD783" s="334"/>
      <c r="BE783" s="201"/>
      <c r="BG783" s="334"/>
      <c r="BH783" s="334"/>
      <c r="BI783" s="334"/>
      <c r="BJ783" s="334"/>
      <c r="BK783" s="334"/>
      <c r="BL783" s="334"/>
      <c r="BM783" s="334"/>
      <c r="BN783" s="334"/>
      <c r="BO783" s="334"/>
      <c r="BP783" s="334"/>
      <c r="BQ783" s="334"/>
      <c r="BR783" s="334"/>
      <c r="BS783" s="334"/>
      <c r="BT783" s="334"/>
      <c r="BU783" s="334"/>
      <c r="BV783" s="334"/>
      <c r="BW783" s="334"/>
    </row>
    <row r="784" spans="45:75" x14ac:dyDescent="0.25">
      <c r="AS784" s="202"/>
      <c r="AV784" s="202"/>
      <c r="AW784" s="200"/>
      <c r="AX784" s="334"/>
      <c r="AY784" s="334"/>
      <c r="AZ784" s="334"/>
      <c r="BA784" s="201"/>
      <c r="BB784" s="334"/>
      <c r="BC784" s="334"/>
      <c r="BD784" s="334"/>
      <c r="BE784" s="201"/>
      <c r="BG784" s="334"/>
      <c r="BH784" s="334"/>
      <c r="BI784" s="334"/>
      <c r="BJ784" s="334"/>
      <c r="BK784" s="334"/>
      <c r="BL784" s="334"/>
      <c r="BM784" s="334"/>
      <c r="BN784" s="334"/>
      <c r="BO784" s="334"/>
      <c r="BP784" s="334"/>
      <c r="BQ784" s="334"/>
      <c r="BR784" s="334"/>
      <c r="BS784" s="334"/>
      <c r="BT784" s="334"/>
      <c r="BU784" s="334"/>
      <c r="BV784" s="334"/>
      <c r="BW784" s="334"/>
    </row>
    <row r="785" spans="45:75" x14ac:dyDescent="0.25">
      <c r="AS785" s="202"/>
      <c r="AV785" s="202"/>
      <c r="AW785" s="200"/>
      <c r="AX785" s="334"/>
      <c r="AY785" s="334"/>
      <c r="AZ785" s="334"/>
      <c r="BA785" s="201"/>
      <c r="BB785" s="334"/>
      <c r="BC785" s="334"/>
      <c r="BD785" s="334"/>
      <c r="BE785" s="201"/>
      <c r="BG785" s="334"/>
      <c r="BH785" s="334"/>
      <c r="BI785" s="334"/>
      <c r="BJ785" s="334"/>
      <c r="BK785" s="334"/>
      <c r="BL785" s="334"/>
      <c r="BM785" s="334"/>
      <c r="BN785" s="334"/>
      <c r="BO785" s="334"/>
      <c r="BP785" s="334"/>
      <c r="BQ785" s="334"/>
      <c r="BR785" s="334"/>
      <c r="BS785" s="334"/>
      <c r="BT785" s="334"/>
      <c r="BU785" s="334"/>
      <c r="BV785" s="334"/>
      <c r="BW785" s="334"/>
    </row>
    <row r="786" spans="45:75" x14ac:dyDescent="0.25">
      <c r="AS786" s="202"/>
      <c r="AV786" s="202"/>
      <c r="AW786" s="200"/>
      <c r="AX786" s="334"/>
      <c r="AY786" s="334"/>
      <c r="AZ786" s="334"/>
      <c r="BA786" s="201"/>
      <c r="BB786" s="334"/>
      <c r="BC786" s="334"/>
      <c r="BD786" s="334"/>
      <c r="BE786" s="201"/>
      <c r="BG786" s="334"/>
      <c r="BH786" s="334"/>
      <c r="BI786" s="334"/>
      <c r="BJ786" s="334"/>
      <c r="BK786" s="334"/>
      <c r="BL786" s="334"/>
      <c r="BM786" s="334"/>
      <c r="BN786" s="334"/>
      <c r="BO786" s="334"/>
      <c r="BP786" s="334"/>
      <c r="BQ786" s="334"/>
      <c r="BR786" s="334"/>
      <c r="BS786" s="334"/>
      <c r="BT786" s="334"/>
      <c r="BU786" s="334"/>
      <c r="BV786" s="334"/>
      <c r="BW786" s="334"/>
    </row>
    <row r="787" spans="45:75" x14ac:dyDescent="0.25">
      <c r="AS787" s="202"/>
      <c r="AV787" s="202"/>
      <c r="AW787" s="200"/>
      <c r="AX787" s="334"/>
      <c r="AY787" s="334"/>
      <c r="AZ787" s="334"/>
      <c r="BA787" s="201"/>
      <c r="BB787" s="334"/>
      <c r="BC787" s="334"/>
      <c r="BD787" s="334"/>
      <c r="BE787" s="201"/>
      <c r="BG787" s="334"/>
      <c r="BH787" s="334"/>
      <c r="BI787" s="334"/>
      <c r="BJ787" s="334"/>
      <c r="BK787" s="334"/>
      <c r="BL787" s="334"/>
      <c r="BM787" s="334"/>
      <c r="BN787" s="334"/>
      <c r="BO787" s="334"/>
      <c r="BP787" s="334"/>
      <c r="BQ787" s="334"/>
      <c r="BR787" s="334"/>
      <c r="BS787" s="334"/>
      <c r="BT787" s="334"/>
      <c r="BU787" s="334"/>
      <c r="BV787" s="334"/>
      <c r="BW787" s="334"/>
    </row>
    <row r="788" spans="45:75" x14ac:dyDescent="0.25">
      <c r="AW788" s="200"/>
      <c r="AX788" s="334"/>
      <c r="AY788" s="334"/>
      <c r="AZ788" s="334"/>
      <c r="BA788" s="201"/>
      <c r="BB788" s="334"/>
      <c r="BC788" s="334"/>
      <c r="BD788" s="334"/>
      <c r="BE788" s="201"/>
      <c r="BG788" s="102"/>
      <c r="BH788" s="102"/>
      <c r="BI788" s="154"/>
      <c r="BM788" s="102"/>
      <c r="BN788" s="102"/>
      <c r="BO788" s="334"/>
      <c r="BP788" s="102"/>
      <c r="BQ788" s="102"/>
      <c r="BR788" s="154"/>
      <c r="BV788" s="102"/>
      <c r="BW788" s="102"/>
    </row>
    <row r="789" spans="45:75" x14ac:dyDescent="0.25">
      <c r="AS789" s="202"/>
      <c r="AU789" s="154"/>
      <c r="AV789" s="103"/>
      <c r="AW789" s="200"/>
      <c r="AX789" s="334"/>
      <c r="AY789" s="334"/>
      <c r="AZ789" s="334"/>
      <c r="BA789" s="201"/>
      <c r="BB789" s="334"/>
      <c r="BC789" s="334"/>
      <c r="BD789" s="334"/>
      <c r="BE789" s="201"/>
      <c r="BG789" s="336"/>
      <c r="BH789" s="334"/>
      <c r="BI789" s="334"/>
      <c r="BJ789" s="334"/>
      <c r="BK789" s="336"/>
      <c r="BL789" s="337"/>
      <c r="BM789" s="334"/>
      <c r="BN789" s="336"/>
      <c r="BO789" s="334"/>
      <c r="BP789" s="336"/>
      <c r="BQ789" s="334"/>
      <c r="BR789" s="334"/>
      <c r="BS789" s="334"/>
      <c r="BT789" s="336"/>
      <c r="BU789" s="337"/>
      <c r="BV789" s="334"/>
      <c r="BW789" s="336"/>
    </row>
    <row r="790" spans="45:75" x14ac:dyDescent="0.25">
      <c r="AS790" s="202"/>
      <c r="AV790" s="103"/>
      <c r="AW790" s="200"/>
      <c r="AX790" s="334"/>
      <c r="AY790" s="334"/>
      <c r="AZ790" s="334"/>
      <c r="BA790" s="201"/>
      <c r="BB790" s="334"/>
      <c r="BC790" s="334"/>
      <c r="BD790" s="334"/>
      <c r="BE790" s="201"/>
      <c r="BG790" s="334"/>
      <c r="BH790" s="334"/>
      <c r="BI790" s="334"/>
      <c r="BJ790" s="334"/>
      <c r="BK790" s="334"/>
      <c r="BL790" s="337"/>
      <c r="BM790" s="334"/>
      <c r="BN790" s="334"/>
      <c r="BO790" s="334"/>
      <c r="BP790" s="334"/>
      <c r="BQ790" s="334"/>
      <c r="BR790" s="334"/>
      <c r="BS790" s="334"/>
      <c r="BT790" s="334"/>
      <c r="BU790" s="337"/>
      <c r="BV790" s="334"/>
      <c r="BW790" s="334"/>
    </row>
    <row r="791" spans="45:75" x14ac:dyDescent="0.25">
      <c r="AS791" s="202"/>
      <c r="AV791" s="103"/>
      <c r="AW791" s="200"/>
      <c r="AX791" s="334"/>
      <c r="AY791" s="334"/>
      <c r="AZ791" s="334"/>
      <c r="BA791" s="201"/>
      <c r="BB791" s="334"/>
      <c r="BC791" s="334"/>
      <c r="BD791" s="334"/>
      <c r="BE791" s="201"/>
      <c r="BG791" s="334"/>
      <c r="BH791" s="334"/>
      <c r="BI791" s="334"/>
      <c r="BJ791" s="334"/>
      <c r="BK791" s="334"/>
      <c r="BL791" s="337"/>
      <c r="BM791" s="334"/>
      <c r="BN791" s="334"/>
      <c r="BO791" s="334"/>
      <c r="BP791" s="334"/>
      <c r="BQ791" s="334"/>
      <c r="BR791" s="334"/>
      <c r="BS791" s="334"/>
      <c r="BT791" s="334"/>
      <c r="BU791" s="337"/>
      <c r="BV791" s="334"/>
      <c r="BW791" s="334"/>
    </row>
    <row r="792" spans="45:75" x14ac:dyDescent="0.25">
      <c r="AS792" s="202"/>
      <c r="AV792" s="103"/>
      <c r="AW792" s="200"/>
      <c r="AX792" s="334"/>
      <c r="AY792" s="334"/>
      <c r="AZ792" s="334"/>
      <c r="BA792" s="201"/>
      <c r="BB792" s="334"/>
      <c r="BC792" s="334"/>
      <c r="BD792" s="334"/>
      <c r="BE792" s="201"/>
      <c r="BG792" s="334"/>
      <c r="BH792" s="334"/>
      <c r="BI792" s="334"/>
      <c r="BJ792" s="334"/>
      <c r="BK792" s="334"/>
      <c r="BL792" s="337"/>
      <c r="BM792" s="334"/>
      <c r="BN792" s="334"/>
      <c r="BO792" s="334"/>
      <c r="BP792" s="334"/>
      <c r="BQ792" s="334"/>
      <c r="BR792" s="334"/>
      <c r="BS792" s="334"/>
      <c r="BT792" s="334"/>
      <c r="BU792" s="337"/>
      <c r="BV792" s="334"/>
      <c r="BW792" s="334"/>
    </row>
    <row r="793" spans="45:75" x14ac:dyDescent="0.25">
      <c r="AX793" s="334"/>
      <c r="AY793" s="334"/>
      <c r="AZ793" s="334"/>
      <c r="BA793" s="201"/>
      <c r="BB793" s="334"/>
      <c r="BC793" s="334"/>
      <c r="BD793" s="334"/>
      <c r="BE793" s="201"/>
      <c r="BG793" s="334"/>
      <c r="BH793" s="334"/>
      <c r="BI793" s="334"/>
      <c r="BJ793" s="334"/>
      <c r="BK793" s="334"/>
      <c r="BL793" s="334"/>
      <c r="BM793" s="334"/>
      <c r="BN793" s="334"/>
      <c r="BO793" s="334"/>
      <c r="BP793" s="334"/>
      <c r="BQ793" s="334"/>
      <c r="BR793" s="334"/>
      <c r="BS793" s="334"/>
      <c r="BT793" s="334"/>
      <c r="BU793" s="334"/>
      <c r="BV793" s="334"/>
    </row>
    <row r="794" spans="45:75" x14ac:dyDescent="0.25">
      <c r="AU794" s="154"/>
    </row>
    <row r="795" spans="45:75" x14ac:dyDescent="0.25">
      <c r="AU795" s="154"/>
      <c r="AZ795" s="334"/>
      <c r="BA795" s="201"/>
      <c r="BB795" s="334"/>
      <c r="BC795" s="334"/>
      <c r="BD795" s="334"/>
      <c r="BE795" s="201"/>
      <c r="BG795" s="334"/>
      <c r="BH795" s="334"/>
      <c r="BI795" s="334"/>
      <c r="BJ795" s="334"/>
      <c r="BK795" s="334"/>
      <c r="BL795" s="334"/>
      <c r="BM795" s="334"/>
      <c r="BN795" s="334"/>
      <c r="BO795" s="334"/>
      <c r="BP795" s="334"/>
      <c r="BQ795" s="334"/>
      <c r="BR795" s="334"/>
      <c r="BS795" s="334"/>
      <c r="BT795" s="334"/>
      <c r="BU795" s="334"/>
      <c r="BV795" s="334"/>
    </row>
    <row r="796" spans="45:75" x14ac:dyDescent="0.25">
      <c r="AS796" s="154"/>
      <c r="AZ796" s="334"/>
      <c r="BB796" s="334"/>
    </row>
    <row r="797" spans="45:75" x14ac:dyDescent="0.25">
      <c r="AY797" s="202"/>
      <c r="AZ797" s="334"/>
      <c r="BB797" s="334"/>
      <c r="BO797" s="334"/>
      <c r="BP797" s="334"/>
      <c r="BQ797" s="334"/>
      <c r="BR797" s="334"/>
      <c r="BS797" s="334"/>
      <c r="BT797" s="334"/>
      <c r="BU797" s="334"/>
      <c r="BV797" s="334"/>
    </row>
    <row r="798" spans="45:75" x14ac:dyDescent="0.25">
      <c r="AY798" s="334"/>
      <c r="AZ798" s="334"/>
      <c r="BB798" s="334"/>
      <c r="BO798" s="334"/>
      <c r="BP798" s="334"/>
      <c r="BQ798" s="334"/>
      <c r="BR798" s="334"/>
      <c r="BS798" s="334"/>
      <c r="BT798" s="334"/>
      <c r="BU798" s="334"/>
      <c r="BV798" s="334"/>
    </row>
    <row r="799" spans="45:75" x14ac:dyDescent="0.25">
      <c r="AY799" s="154"/>
      <c r="AZ799" s="334"/>
      <c r="BB799" s="334"/>
      <c r="BO799" s="334"/>
      <c r="BP799" s="334"/>
      <c r="BQ799" s="334"/>
      <c r="BR799" s="334"/>
      <c r="BS799" s="334"/>
      <c r="BT799" s="334"/>
      <c r="BU799" s="334"/>
      <c r="BV799" s="334"/>
    </row>
    <row r="800" spans="45:75" x14ac:dyDescent="0.25">
      <c r="AY800" s="154"/>
      <c r="AZ800" s="334"/>
      <c r="BB800" s="334"/>
      <c r="BO800" s="334"/>
      <c r="BP800" s="334"/>
      <c r="BQ800" s="334"/>
      <c r="BR800" s="334"/>
      <c r="BS800" s="334"/>
      <c r="BT800" s="334"/>
      <c r="BU800" s="334"/>
      <c r="BV800" s="334"/>
    </row>
    <row r="801" spans="45:74" x14ac:dyDescent="0.25">
      <c r="AS801" s="202"/>
      <c r="AZ801" s="334"/>
      <c r="BB801" s="334"/>
      <c r="BD801" s="154"/>
      <c r="BO801" s="334"/>
      <c r="BP801" s="334"/>
      <c r="BQ801" s="334"/>
      <c r="BR801" s="334"/>
      <c r="BS801" s="334"/>
      <c r="BT801" s="334"/>
      <c r="BU801" s="334"/>
      <c r="BV801" s="334"/>
    </row>
    <row r="802" spans="45:74" x14ac:dyDescent="0.25">
      <c r="AS802" s="202"/>
      <c r="AZ802" s="334"/>
      <c r="BB802" s="334"/>
      <c r="BD802" s="154"/>
      <c r="BO802" s="334"/>
      <c r="BP802" s="334"/>
      <c r="BQ802" s="334"/>
      <c r="BR802" s="334"/>
      <c r="BS802" s="334"/>
      <c r="BT802" s="334"/>
      <c r="BU802" s="334"/>
      <c r="BV802" s="334"/>
    </row>
    <row r="803" spans="45:74" x14ac:dyDescent="0.25">
      <c r="AS803" s="154"/>
      <c r="AZ803" s="334"/>
      <c r="BB803" s="334"/>
      <c r="BD803" s="154"/>
      <c r="BO803" s="334"/>
      <c r="BP803" s="334"/>
      <c r="BQ803" s="334"/>
      <c r="BR803" s="334"/>
      <c r="BS803" s="334"/>
      <c r="BT803" s="334"/>
      <c r="BU803" s="334"/>
      <c r="BV803" s="334"/>
    </row>
    <row r="804" spans="45:74" x14ac:dyDescent="0.25">
      <c r="AZ804" s="334"/>
      <c r="BB804" s="334"/>
      <c r="BD804" s="202"/>
      <c r="BO804" s="334"/>
      <c r="BP804" s="334"/>
      <c r="BQ804" s="334"/>
      <c r="BR804" s="334"/>
      <c r="BS804" s="334"/>
      <c r="BT804" s="334"/>
      <c r="BU804" s="334"/>
      <c r="BV804" s="334"/>
    </row>
    <row r="805" spans="45:74" x14ac:dyDescent="0.25">
      <c r="AS805" s="102"/>
      <c r="AT805" s="102"/>
      <c r="AU805" s="102"/>
      <c r="AV805" s="102"/>
      <c r="AW805" s="102"/>
      <c r="AX805" s="102"/>
      <c r="AY805" s="102"/>
      <c r="AZ805" s="335"/>
      <c r="BA805" s="102"/>
      <c r="BB805" s="335"/>
      <c r="BC805" s="102"/>
      <c r="BD805" s="102"/>
      <c r="BE805" s="102"/>
      <c r="BO805" s="334"/>
      <c r="BP805" s="334"/>
      <c r="BQ805" s="334"/>
      <c r="BR805" s="334"/>
      <c r="BS805" s="334"/>
      <c r="BT805" s="334"/>
      <c r="BU805" s="334"/>
      <c r="BV805" s="334"/>
    </row>
    <row r="806" spans="45:74" x14ac:dyDescent="0.25">
      <c r="AX806" s="154"/>
      <c r="AZ806" s="334"/>
      <c r="BB806" s="334"/>
      <c r="BO806" s="334"/>
      <c r="BP806" s="334"/>
      <c r="BQ806" s="334"/>
      <c r="BR806" s="334"/>
      <c r="BS806" s="334"/>
      <c r="BT806" s="334"/>
      <c r="BU806" s="334"/>
      <c r="BV806" s="334"/>
    </row>
    <row r="807" spans="45:74" x14ac:dyDescent="0.25">
      <c r="AX807" s="102"/>
      <c r="AY807" s="102"/>
      <c r="AZ807" s="335"/>
      <c r="BA807" s="102"/>
      <c r="BB807" s="334"/>
      <c r="BC807" s="103"/>
      <c r="BD807" s="103"/>
      <c r="BO807" s="334"/>
      <c r="BP807" s="334"/>
      <c r="BQ807" s="334"/>
      <c r="BR807" s="334"/>
      <c r="BS807" s="334"/>
      <c r="BT807" s="334"/>
      <c r="BU807" s="334"/>
      <c r="BV807" s="334"/>
    </row>
    <row r="808" spans="45:74" x14ac:dyDescent="0.25">
      <c r="AV808" s="103"/>
      <c r="AW808" s="103"/>
      <c r="AZ808" s="336"/>
      <c r="BA808" s="103"/>
      <c r="BB808" s="334"/>
      <c r="BC808" s="103"/>
      <c r="BD808" s="103"/>
      <c r="BE808" s="103"/>
      <c r="BG808" s="102"/>
      <c r="BH808" s="154"/>
      <c r="BK808" s="102"/>
      <c r="BM808" s="102"/>
      <c r="BN808" s="154"/>
      <c r="BQ808" s="102"/>
    </row>
    <row r="809" spans="45:74" x14ac:dyDescent="0.25">
      <c r="AV809" s="103"/>
      <c r="AW809" s="103"/>
      <c r="AX809" s="103"/>
      <c r="AY809" s="103"/>
      <c r="AZ809" s="336"/>
      <c r="BA809" s="103"/>
      <c r="BB809" s="336"/>
      <c r="BC809" s="103"/>
      <c r="BD809" s="103"/>
      <c r="BE809" s="103"/>
      <c r="BH809" s="103"/>
      <c r="BI809" s="103"/>
      <c r="BN809" s="103"/>
      <c r="BO809" s="103"/>
    </row>
    <row r="810" spans="45:74" x14ac:dyDescent="0.25">
      <c r="AS810" s="103"/>
      <c r="AU810" s="154"/>
      <c r="AV810" s="103"/>
      <c r="AW810" s="103"/>
      <c r="AX810" s="103"/>
      <c r="AY810" s="103"/>
      <c r="AZ810" s="336"/>
      <c r="BA810" s="103"/>
      <c r="BB810" s="336"/>
      <c r="BC810" s="103"/>
      <c r="BD810" s="103"/>
      <c r="BE810" s="103"/>
      <c r="BG810" s="103"/>
      <c r="BH810" s="103"/>
      <c r="BI810" s="103"/>
      <c r="BJ810" s="103"/>
      <c r="BK810" s="103"/>
      <c r="BM810" s="103"/>
      <c r="BN810" s="103"/>
      <c r="BO810" s="103"/>
      <c r="BP810" s="103"/>
      <c r="BQ810" s="103"/>
    </row>
    <row r="811" spans="45:74" x14ac:dyDescent="0.25">
      <c r="AS811" s="103"/>
      <c r="AU811" s="154"/>
      <c r="AV811" s="103"/>
      <c r="AW811" s="103"/>
      <c r="AX811" s="103"/>
      <c r="AY811" s="103"/>
      <c r="AZ811" s="336"/>
      <c r="BA811" s="103"/>
      <c r="BB811" s="336"/>
      <c r="BC811" s="103"/>
      <c r="BD811" s="103"/>
      <c r="BE811" s="103"/>
      <c r="BG811" s="103"/>
      <c r="BH811" s="103"/>
      <c r="BI811" s="103"/>
      <c r="BJ811" s="103"/>
      <c r="BK811" s="103"/>
      <c r="BM811" s="103"/>
      <c r="BN811" s="103"/>
      <c r="BO811" s="103"/>
      <c r="BP811" s="103"/>
      <c r="BQ811" s="103"/>
    </row>
    <row r="812" spans="45:74" x14ac:dyDescent="0.25">
      <c r="AS812" s="102"/>
      <c r="AT812" s="102"/>
      <c r="AU812" s="102"/>
      <c r="AV812" s="102"/>
      <c r="AW812" s="102"/>
      <c r="AX812" s="102"/>
      <c r="AY812" s="102"/>
      <c r="AZ812" s="335"/>
      <c r="BA812" s="102"/>
      <c r="BB812" s="335"/>
      <c r="BC812" s="102"/>
      <c r="BD812" s="102"/>
      <c r="BE812" s="102"/>
      <c r="BG812" s="102"/>
      <c r="BH812" s="102"/>
      <c r="BI812" s="102"/>
      <c r="BJ812" s="102"/>
      <c r="BK812" s="102"/>
      <c r="BM812" s="102"/>
      <c r="BN812" s="102"/>
      <c r="BO812" s="102"/>
      <c r="BP812" s="102"/>
      <c r="BQ812" s="102"/>
    </row>
    <row r="813" spans="45:74" x14ac:dyDescent="0.25">
      <c r="AV813" s="103"/>
      <c r="AW813" s="103"/>
      <c r="AX813" s="103"/>
      <c r="AY813" s="103"/>
      <c r="AZ813" s="336"/>
      <c r="BA813" s="103"/>
      <c r="BB813" s="336"/>
      <c r="BC813" s="103"/>
      <c r="BD813" s="103"/>
      <c r="BE813" s="103"/>
      <c r="BG813" s="334"/>
      <c r="BH813" s="334"/>
      <c r="BI813" s="334"/>
      <c r="BJ813" s="334"/>
      <c r="BK813" s="334"/>
      <c r="BL813" s="334"/>
      <c r="BM813" s="334"/>
      <c r="BN813" s="334"/>
      <c r="BO813" s="334"/>
      <c r="BP813" s="334"/>
      <c r="BQ813" s="334"/>
    </row>
    <row r="814" spans="45:74" x14ac:dyDescent="0.25">
      <c r="AS814" s="202"/>
      <c r="AT814" s="154"/>
      <c r="AV814" s="200"/>
      <c r="AW814" s="200"/>
      <c r="AX814" s="334"/>
      <c r="AY814" s="334"/>
      <c r="AZ814" s="334"/>
      <c r="BA814" s="201"/>
      <c r="BB814" s="334"/>
      <c r="BC814" s="334"/>
      <c r="BD814" s="334"/>
      <c r="BE814" s="201"/>
      <c r="BG814" s="334"/>
      <c r="BH814" s="334"/>
      <c r="BI814" s="334"/>
      <c r="BJ814" s="334"/>
      <c r="BK814" s="334"/>
      <c r="BL814" s="334"/>
      <c r="BM814" s="334"/>
      <c r="BN814" s="334"/>
      <c r="BO814" s="334"/>
      <c r="BP814" s="334"/>
      <c r="BQ814" s="334"/>
      <c r="BR814" s="334"/>
      <c r="BS814" s="334"/>
    </row>
    <row r="815" spans="45:74" x14ac:dyDescent="0.25">
      <c r="AS815" s="202"/>
      <c r="AV815" s="200"/>
      <c r="AW815" s="200"/>
      <c r="AX815" s="334"/>
      <c r="AY815" s="334"/>
      <c r="AZ815" s="334"/>
      <c r="BA815" s="201"/>
      <c r="BB815" s="334"/>
      <c r="BC815" s="334"/>
      <c r="BD815" s="334"/>
      <c r="BE815" s="201"/>
      <c r="BG815" s="334"/>
      <c r="BH815" s="334"/>
      <c r="BI815" s="334"/>
      <c r="BJ815" s="334"/>
      <c r="BK815" s="334"/>
      <c r="BL815" s="334"/>
      <c r="BM815" s="334"/>
      <c r="BN815" s="334"/>
      <c r="BO815" s="334"/>
      <c r="BP815" s="334"/>
      <c r="BQ815" s="334"/>
      <c r="BR815" s="334"/>
      <c r="BS815" s="334"/>
    </row>
    <row r="816" spans="45:74" x14ac:dyDescent="0.25">
      <c r="AS816" s="202"/>
      <c r="AV816" s="200"/>
      <c r="AW816" s="200"/>
      <c r="AX816" s="334"/>
      <c r="AY816" s="334"/>
      <c r="AZ816" s="334"/>
      <c r="BA816" s="201"/>
      <c r="BB816" s="334"/>
      <c r="BC816" s="334"/>
      <c r="BD816" s="334"/>
      <c r="BE816" s="201"/>
      <c r="BG816" s="334"/>
      <c r="BH816" s="334"/>
      <c r="BI816" s="334"/>
      <c r="BJ816" s="334"/>
      <c r="BK816" s="334"/>
      <c r="BL816" s="334"/>
      <c r="BM816" s="334"/>
      <c r="BN816" s="334"/>
      <c r="BO816" s="334"/>
      <c r="BP816" s="334"/>
      <c r="BQ816" s="334"/>
      <c r="BR816" s="334"/>
      <c r="BS816" s="334"/>
    </row>
    <row r="817" spans="45:71" x14ac:dyDescent="0.25">
      <c r="AS817" s="202"/>
      <c r="AV817" s="200"/>
      <c r="AW817" s="200"/>
      <c r="AX817" s="334"/>
      <c r="AY817" s="334"/>
      <c r="AZ817" s="334"/>
      <c r="BA817" s="201"/>
      <c r="BB817" s="334"/>
      <c r="BC817" s="334"/>
      <c r="BD817" s="334"/>
      <c r="BE817" s="201"/>
      <c r="BG817" s="334"/>
      <c r="BH817" s="334"/>
      <c r="BI817" s="334"/>
      <c r="BJ817" s="334"/>
      <c r="BK817" s="334"/>
      <c r="BL817" s="334"/>
      <c r="BM817" s="334"/>
      <c r="BN817" s="334"/>
      <c r="BO817" s="334"/>
      <c r="BP817" s="334"/>
      <c r="BQ817" s="334"/>
      <c r="BR817" s="334"/>
      <c r="BS817" s="334"/>
    </row>
    <row r="818" spans="45:71" x14ac:dyDescent="0.25">
      <c r="AS818" s="202"/>
      <c r="AV818" s="200"/>
      <c r="AW818" s="200"/>
      <c r="AX818" s="334"/>
      <c r="AY818" s="334"/>
      <c r="AZ818" s="334"/>
      <c r="BA818" s="201"/>
      <c r="BB818" s="334"/>
      <c r="BC818" s="334"/>
      <c r="BD818" s="334"/>
      <c r="BE818" s="201"/>
      <c r="BG818" s="334"/>
      <c r="BH818" s="334"/>
      <c r="BI818" s="334"/>
      <c r="BJ818" s="334"/>
      <c r="BK818" s="334"/>
      <c r="BL818" s="334"/>
      <c r="BM818" s="334"/>
      <c r="BN818" s="334"/>
      <c r="BO818" s="334"/>
      <c r="BP818" s="334"/>
      <c r="BQ818" s="334"/>
      <c r="BR818" s="334"/>
      <c r="BS818" s="334"/>
    </row>
    <row r="819" spans="45:71" x14ac:dyDescent="0.25">
      <c r="AS819" s="202"/>
      <c r="AV819" s="200"/>
      <c r="AW819" s="200"/>
      <c r="AX819" s="334"/>
      <c r="AY819" s="334"/>
      <c r="AZ819" s="334"/>
      <c r="BA819" s="201"/>
      <c r="BB819" s="334"/>
      <c r="BC819" s="334"/>
      <c r="BD819" s="334"/>
      <c r="BE819" s="201"/>
      <c r="BG819" s="334"/>
      <c r="BH819" s="334"/>
      <c r="BI819" s="334"/>
      <c r="BJ819" s="334"/>
      <c r="BK819" s="334"/>
      <c r="BL819" s="334"/>
      <c r="BM819" s="334"/>
      <c r="BN819" s="334"/>
      <c r="BO819" s="334"/>
      <c r="BP819" s="334"/>
      <c r="BQ819" s="334"/>
      <c r="BR819" s="334"/>
      <c r="BS819" s="334"/>
    </row>
    <row r="820" spans="45:71" x14ac:dyDescent="0.25">
      <c r="AS820" s="202"/>
      <c r="AV820" s="200"/>
      <c r="AW820" s="200"/>
      <c r="AX820" s="334"/>
      <c r="AY820" s="334"/>
      <c r="AZ820" s="334"/>
      <c r="BA820" s="201"/>
      <c r="BB820" s="334"/>
      <c r="BC820" s="334"/>
      <c r="BD820" s="334"/>
      <c r="BE820" s="201"/>
      <c r="BG820" s="334"/>
      <c r="BH820" s="334"/>
      <c r="BI820" s="334"/>
      <c r="BJ820" s="334"/>
      <c r="BK820" s="334"/>
      <c r="BL820" s="334"/>
      <c r="BM820" s="334"/>
      <c r="BN820" s="334"/>
      <c r="BO820" s="334"/>
      <c r="BP820" s="334"/>
      <c r="BQ820" s="334"/>
      <c r="BR820" s="334"/>
      <c r="BS820" s="334"/>
    </row>
    <row r="821" spans="45:71" x14ac:dyDescent="0.25">
      <c r="AS821" s="202"/>
      <c r="AV821" s="200"/>
      <c r="AW821" s="200"/>
      <c r="AX821" s="334"/>
      <c r="AY821" s="334"/>
      <c r="AZ821" s="334"/>
      <c r="BA821" s="201"/>
      <c r="BB821" s="334"/>
      <c r="BC821" s="334"/>
      <c r="BD821" s="334"/>
      <c r="BE821" s="201"/>
      <c r="BG821" s="334"/>
      <c r="BH821" s="334"/>
      <c r="BI821" s="334"/>
      <c r="BJ821" s="334"/>
      <c r="BK821" s="334"/>
      <c r="BL821" s="334"/>
      <c r="BM821" s="334"/>
      <c r="BN821" s="334"/>
      <c r="BO821" s="334"/>
      <c r="BP821" s="334"/>
      <c r="BQ821" s="334"/>
      <c r="BR821" s="334"/>
      <c r="BS821" s="334"/>
    </row>
    <row r="822" spans="45:71" x14ac:dyDescent="0.25">
      <c r="AS822" s="202"/>
      <c r="AV822" s="200"/>
      <c r="AW822" s="200"/>
      <c r="AX822" s="334"/>
      <c r="AY822" s="334"/>
      <c r="AZ822" s="334"/>
      <c r="BA822" s="201"/>
      <c r="BB822" s="334"/>
      <c r="BC822" s="334"/>
      <c r="BD822" s="334"/>
      <c r="BE822" s="201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  <c r="BR822" s="334"/>
      <c r="BS822" s="334"/>
    </row>
    <row r="823" spans="45:71" x14ac:dyDescent="0.25">
      <c r="AS823" s="202"/>
      <c r="AV823" s="200"/>
      <c r="AW823" s="200"/>
      <c r="AX823" s="334"/>
      <c r="AY823" s="334"/>
      <c r="AZ823" s="334"/>
      <c r="BA823" s="201"/>
      <c r="BB823" s="334"/>
      <c r="BC823" s="334"/>
      <c r="BD823" s="334"/>
      <c r="BE823" s="201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</row>
    <row r="824" spans="45:71" x14ac:dyDescent="0.25">
      <c r="AS824" s="202"/>
      <c r="AV824" s="200"/>
      <c r="AW824" s="200"/>
      <c r="AX824" s="334"/>
      <c r="AY824" s="334"/>
      <c r="AZ824" s="334"/>
      <c r="BA824" s="201"/>
      <c r="BB824" s="334"/>
      <c r="BC824" s="334"/>
      <c r="BD824" s="334"/>
      <c r="BE824" s="201"/>
      <c r="BG824" s="334"/>
      <c r="BH824" s="334"/>
      <c r="BI824" s="334"/>
      <c r="BJ824" s="334"/>
      <c r="BK824" s="334"/>
      <c r="BL824" s="334"/>
      <c r="BM824" s="334"/>
      <c r="BN824" s="334"/>
      <c r="BO824" s="334"/>
      <c r="BP824" s="334"/>
      <c r="BQ824" s="334"/>
      <c r="BR824" s="334"/>
      <c r="BS824" s="334"/>
    </row>
    <row r="825" spans="45:71" x14ac:dyDescent="0.25">
      <c r="AS825" s="202"/>
      <c r="AV825" s="200"/>
      <c r="AW825" s="200"/>
      <c r="AX825" s="334"/>
      <c r="AY825" s="334"/>
      <c r="AZ825" s="334"/>
      <c r="BA825" s="201"/>
      <c r="BB825" s="334"/>
      <c r="BC825" s="334"/>
      <c r="BD825" s="334"/>
      <c r="BE825" s="201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  <c r="BR825" s="334"/>
      <c r="BS825" s="334"/>
    </row>
    <row r="826" spans="45:71" x14ac:dyDescent="0.25">
      <c r="AS826" s="202"/>
      <c r="AV826" s="200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</row>
    <row r="827" spans="45:71" x14ac:dyDescent="0.25">
      <c r="AS827" s="202"/>
      <c r="AV827" s="200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</row>
    <row r="828" spans="45:71" x14ac:dyDescent="0.25">
      <c r="AS828" s="202"/>
      <c r="AV828" s="200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</row>
    <row r="829" spans="45:71" x14ac:dyDescent="0.25">
      <c r="AS829" s="202"/>
      <c r="AV829" s="200"/>
      <c r="AW829" s="200"/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</row>
    <row r="830" spans="45:71" x14ac:dyDescent="0.25">
      <c r="AS830" s="202"/>
      <c r="AV830" s="200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</row>
    <row r="831" spans="45:71" x14ac:dyDescent="0.25">
      <c r="AS831" s="202"/>
      <c r="AV831" s="200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</row>
    <row r="832" spans="45:71" x14ac:dyDescent="0.25">
      <c r="AZ832" s="334"/>
      <c r="BB832" s="334"/>
      <c r="BC832" s="334"/>
      <c r="BD832" s="334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</row>
    <row r="833" spans="45:57" x14ac:dyDescent="0.25">
      <c r="AS833" s="202"/>
      <c r="AT833" s="154"/>
      <c r="AV833" s="200"/>
      <c r="AW833" s="200"/>
      <c r="AX833" s="334"/>
      <c r="AY833" s="334"/>
      <c r="AZ833" s="334"/>
      <c r="BA833" s="201"/>
      <c r="BB833" s="334"/>
      <c r="BC833" s="334"/>
      <c r="BD833" s="334"/>
      <c r="BE833" s="201"/>
    </row>
    <row r="834" spans="45:57" x14ac:dyDescent="0.25">
      <c r="AS834" s="202"/>
      <c r="AV834" s="200"/>
      <c r="AW834" s="200"/>
      <c r="AX834" s="334"/>
      <c r="AY834" s="334"/>
      <c r="AZ834" s="334"/>
      <c r="BA834" s="201"/>
      <c r="BB834" s="334"/>
      <c r="BC834" s="334"/>
      <c r="BD834" s="334"/>
      <c r="BE834" s="201"/>
    </row>
    <row r="835" spans="45:57" x14ac:dyDescent="0.25">
      <c r="AS835" s="202"/>
      <c r="AV835" s="200"/>
      <c r="AW835" s="200"/>
      <c r="AX835" s="334"/>
      <c r="AY835" s="334"/>
      <c r="AZ835" s="334"/>
      <c r="BA835" s="201"/>
      <c r="BB835" s="334"/>
      <c r="BC835" s="334"/>
      <c r="BD835" s="334"/>
      <c r="BE835" s="201"/>
    </row>
    <row r="836" spans="45:57" x14ac:dyDescent="0.25">
      <c r="AS836" s="202"/>
      <c r="AV836" s="200"/>
      <c r="AW836" s="200"/>
      <c r="AX836" s="334"/>
      <c r="AY836" s="334"/>
      <c r="AZ836" s="334"/>
      <c r="BA836" s="201"/>
      <c r="BB836" s="334"/>
      <c r="BC836" s="334"/>
      <c r="BD836" s="334"/>
      <c r="BE836" s="201"/>
    </row>
    <row r="837" spans="45:57" x14ac:dyDescent="0.25">
      <c r="AS837" s="202"/>
      <c r="AV837" s="200"/>
      <c r="AW837" s="200"/>
      <c r="AX837" s="334"/>
      <c r="AY837" s="334"/>
      <c r="AZ837" s="334"/>
      <c r="BA837" s="201"/>
      <c r="BB837" s="334"/>
      <c r="BC837" s="334"/>
      <c r="BD837" s="334"/>
      <c r="BE837" s="201"/>
    </row>
    <row r="838" spans="45:57" x14ac:dyDescent="0.25">
      <c r="AS838" s="202"/>
      <c r="AV838" s="200"/>
      <c r="AW838" s="200"/>
      <c r="AX838" s="334"/>
      <c r="AY838" s="334"/>
      <c r="AZ838" s="334"/>
      <c r="BA838" s="201"/>
      <c r="BB838" s="334"/>
      <c r="BC838" s="334"/>
      <c r="BD838" s="334"/>
      <c r="BE838" s="201"/>
    </row>
    <row r="839" spans="45:57" x14ac:dyDescent="0.25">
      <c r="AS839" s="202"/>
      <c r="AV839" s="200"/>
      <c r="AW839" s="200"/>
      <c r="AX839" s="334"/>
      <c r="AY839" s="334"/>
      <c r="AZ839" s="334"/>
      <c r="BA839" s="201"/>
      <c r="BB839" s="334"/>
      <c r="BC839" s="334"/>
      <c r="BD839" s="334"/>
      <c r="BE839" s="201"/>
    </row>
    <row r="840" spans="45:57" x14ac:dyDescent="0.25">
      <c r="AS840" s="202"/>
      <c r="AV840" s="200"/>
      <c r="AW840" s="200"/>
      <c r="AX840" s="334"/>
      <c r="AY840" s="334"/>
      <c r="AZ840" s="334"/>
      <c r="BA840" s="201"/>
      <c r="BB840" s="334"/>
      <c r="BC840" s="334"/>
      <c r="BD840" s="334"/>
      <c r="BE840" s="201"/>
    </row>
    <row r="841" spans="45:57" x14ac:dyDescent="0.25">
      <c r="AS841" s="202"/>
      <c r="AV841" s="200"/>
      <c r="AW841" s="200"/>
      <c r="AX841" s="334"/>
      <c r="AY841" s="334"/>
      <c r="AZ841" s="334"/>
      <c r="BA841" s="201"/>
      <c r="BB841" s="334"/>
      <c r="BC841" s="334"/>
      <c r="BD841" s="334"/>
      <c r="BE841" s="201"/>
    </row>
    <row r="842" spans="45:57" x14ac:dyDescent="0.25">
      <c r="AS842" s="202"/>
      <c r="AV842" s="200"/>
      <c r="AW842" s="200"/>
      <c r="AX842" s="334"/>
      <c r="AY842" s="334"/>
      <c r="AZ842" s="334"/>
      <c r="BA842" s="201"/>
      <c r="BB842" s="334"/>
      <c r="BC842" s="334"/>
      <c r="BD842" s="334"/>
      <c r="BE842" s="201"/>
    </row>
    <row r="843" spans="45:57" x14ac:dyDescent="0.25">
      <c r="AS843" s="202"/>
      <c r="AV843" s="200"/>
      <c r="AW843" s="200"/>
      <c r="AX843" s="334"/>
      <c r="AY843" s="334"/>
      <c r="AZ843" s="334"/>
      <c r="BA843" s="201"/>
      <c r="BB843" s="334"/>
      <c r="BC843" s="334"/>
      <c r="BD843" s="334"/>
      <c r="BE843" s="201"/>
    </row>
    <row r="844" spans="45:57" x14ac:dyDescent="0.25">
      <c r="AS844" s="202"/>
      <c r="AV844" s="200"/>
      <c r="AW844" s="200"/>
      <c r="AX844" s="334"/>
      <c r="AY844" s="334"/>
      <c r="AZ844" s="334"/>
      <c r="BA844" s="201"/>
      <c r="BB844" s="334"/>
      <c r="BC844" s="334"/>
      <c r="BD844" s="334"/>
      <c r="BE844" s="201"/>
    </row>
    <row r="845" spans="45:57" x14ac:dyDescent="0.25">
      <c r="AS845" s="202"/>
      <c r="AV845" s="200"/>
      <c r="AW845" s="200"/>
      <c r="AX845" s="334"/>
      <c r="AY845" s="334"/>
      <c r="AZ845" s="334"/>
      <c r="BA845" s="201"/>
      <c r="BB845" s="334"/>
      <c r="BC845" s="334"/>
      <c r="BD845" s="334"/>
      <c r="BE845" s="201"/>
    </row>
    <row r="846" spans="45:57" x14ac:dyDescent="0.25">
      <c r="AS846" s="202"/>
      <c r="AV846" s="200"/>
      <c r="AW846" s="200"/>
      <c r="AX846" s="334"/>
      <c r="AY846" s="334"/>
      <c r="AZ846" s="334"/>
      <c r="BA846" s="201"/>
      <c r="BB846" s="334"/>
      <c r="BC846" s="334"/>
      <c r="BD846" s="334"/>
      <c r="BE846" s="201"/>
    </row>
    <row r="847" spans="45:57" x14ac:dyDescent="0.25">
      <c r="AS847" s="202"/>
      <c r="AV847" s="200"/>
      <c r="AW847" s="200"/>
      <c r="AX847" s="334"/>
      <c r="AY847" s="334"/>
      <c r="AZ847" s="334"/>
      <c r="BA847" s="201"/>
      <c r="BB847" s="334"/>
      <c r="BC847" s="334"/>
      <c r="BD847" s="334"/>
      <c r="BE847" s="201"/>
    </row>
    <row r="848" spans="45:57" x14ac:dyDescent="0.25">
      <c r="AS848" s="202"/>
      <c r="AV848" s="200"/>
      <c r="AW848" s="200"/>
      <c r="AX848" s="334"/>
      <c r="AY848" s="334"/>
      <c r="AZ848" s="334"/>
      <c r="BA848" s="201"/>
      <c r="BB848" s="334"/>
      <c r="BC848" s="334"/>
      <c r="BD848" s="334"/>
      <c r="BE848" s="201"/>
    </row>
    <row r="849" spans="45:57" x14ac:dyDescent="0.25">
      <c r="AS849" s="202"/>
      <c r="AV849" s="200"/>
      <c r="AW849" s="200"/>
      <c r="AX849" s="334"/>
      <c r="AY849" s="334"/>
      <c r="AZ849" s="334"/>
      <c r="BA849" s="201"/>
      <c r="BB849" s="334"/>
      <c r="BC849" s="334"/>
      <c r="BD849" s="334"/>
      <c r="BE849" s="201"/>
    </row>
    <row r="850" spans="45:57" x14ac:dyDescent="0.25">
      <c r="AS850" s="202"/>
      <c r="AV850" s="200"/>
      <c r="AW850" s="200"/>
      <c r="AX850" s="334"/>
      <c r="AY850" s="334"/>
      <c r="AZ850" s="334"/>
      <c r="BA850" s="201"/>
      <c r="BB850" s="334"/>
      <c r="BC850" s="334"/>
      <c r="BD850" s="334"/>
      <c r="BE850" s="201"/>
    </row>
    <row r="851" spans="45:57" x14ac:dyDescent="0.25">
      <c r="BB851" s="334"/>
    </row>
    <row r="852" spans="45:57" x14ac:dyDescent="0.25">
      <c r="AU852" s="154"/>
      <c r="BB852" s="334"/>
    </row>
    <row r="853" spans="45:57" x14ac:dyDescent="0.25">
      <c r="AU853" s="154"/>
    </row>
    <row r="854" spans="45:57" x14ac:dyDescent="0.25">
      <c r="AU854" s="154"/>
      <c r="BB854" s="334"/>
    </row>
    <row r="855" spans="45:57" x14ac:dyDescent="0.25">
      <c r="AS855" s="154"/>
      <c r="AZ855" s="334"/>
      <c r="BB855" s="334"/>
    </row>
    <row r="856" spans="45:57" x14ac:dyDescent="0.25">
      <c r="AY856" s="202"/>
      <c r="AZ856" s="334"/>
      <c r="BB856" s="334"/>
    </row>
    <row r="857" spans="45:57" x14ac:dyDescent="0.25">
      <c r="AY857" s="334"/>
      <c r="AZ857" s="334"/>
      <c r="BB857" s="334"/>
    </row>
    <row r="858" spans="45:57" x14ac:dyDescent="0.25">
      <c r="AY858" s="154"/>
      <c r="AZ858" s="334"/>
      <c r="BB858" s="334"/>
    </row>
    <row r="859" spans="45:57" x14ac:dyDescent="0.25">
      <c r="AY859" s="154"/>
      <c r="AZ859" s="334"/>
      <c r="BB859" s="334"/>
    </row>
    <row r="860" spans="45:57" x14ac:dyDescent="0.25">
      <c r="AS860" s="202"/>
      <c r="AZ860" s="334"/>
      <c r="BB860" s="334"/>
      <c r="BD860" s="154"/>
    </row>
    <row r="861" spans="45:57" x14ac:dyDescent="0.25">
      <c r="AS861" s="202"/>
      <c r="AZ861" s="334"/>
      <c r="BB861" s="334"/>
      <c r="BD861" s="154"/>
    </row>
    <row r="862" spans="45:57" x14ac:dyDescent="0.25">
      <c r="AS862" s="154"/>
      <c r="AZ862" s="334"/>
      <c r="BB862" s="334"/>
      <c r="BD862" s="154"/>
    </row>
    <row r="863" spans="45:57" x14ac:dyDescent="0.25">
      <c r="AZ863" s="334"/>
      <c r="BB863" s="334"/>
      <c r="BD863" s="202"/>
    </row>
    <row r="864" spans="45:57" x14ac:dyDescent="0.25">
      <c r="AS864" s="102"/>
      <c r="AT864" s="102"/>
      <c r="AU864" s="102"/>
      <c r="AV864" s="102"/>
      <c r="AW864" s="102"/>
      <c r="AX864" s="102"/>
      <c r="AY864" s="102"/>
      <c r="AZ864" s="335"/>
      <c r="BA864" s="102"/>
      <c r="BB864" s="335"/>
      <c r="BC864" s="102"/>
      <c r="BD864" s="102"/>
      <c r="BE864" s="102"/>
    </row>
    <row r="865" spans="45:57" x14ac:dyDescent="0.25">
      <c r="AX865" s="154"/>
      <c r="AZ865" s="334"/>
      <c r="BB865" s="334"/>
    </row>
    <row r="866" spans="45:57" x14ac:dyDescent="0.25">
      <c r="AX866" s="102"/>
      <c r="AY866" s="102"/>
      <c r="AZ866" s="335"/>
      <c r="BA866" s="102"/>
      <c r="BB866" s="334"/>
      <c r="BC866" s="103"/>
      <c r="BD866" s="103"/>
    </row>
    <row r="867" spans="45:57" x14ac:dyDescent="0.25">
      <c r="AV867" s="103"/>
      <c r="AW867" s="103"/>
      <c r="AZ867" s="336"/>
      <c r="BA867" s="103"/>
      <c r="BB867" s="334"/>
      <c r="BC867" s="103"/>
      <c r="BD867" s="103"/>
      <c r="BE867" s="103"/>
    </row>
    <row r="868" spans="45:57" x14ac:dyDescent="0.25">
      <c r="AV868" s="103"/>
      <c r="AW868" s="103"/>
      <c r="AX868" s="103"/>
      <c r="AY868" s="103"/>
      <c r="AZ868" s="336"/>
      <c r="BA868" s="103"/>
      <c r="BB868" s="336"/>
      <c r="BC868" s="103"/>
      <c r="BD868" s="103"/>
      <c r="BE868" s="103"/>
    </row>
    <row r="869" spans="45:57" x14ac:dyDescent="0.25">
      <c r="AS869" s="103"/>
      <c r="AU869" s="154"/>
      <c r="AV869" s="103"/>
      <c r="AW869" s="103"/>
      <c r="AX869" s="103"/>
      <c r="AY869" s="103"/>
      <c r="AZ869" s="336"/>
      <c r="BA869" s="103"/>
      <c r="BB869" s="336"/>
      <c r="BC869" s="103"/>
      <c r="BD869" s="103"/>
      <c r="BE869" s="103"/>
    </row>
    <row r="870" spans="45:57" x14ac:dyDescent="0.25">
      <c r="AS870" s="103"/>
      <c r="AU870" s="154"/>
      <c r="AV870" s="103"/>
      <c r="AW870" s="103"/>
      <c r="AX870" s="103"/>
      <c r="AY870" s="103"/>
      <c r="AZ870" s="336"/>
      <c r="BA870" s="103"/>
      <c r="BB870" s="336"/>
      <c r="BC870" s="103"/>
      <c r="BD870" s="103"/>
      <c r="BE870" s="103"/>
    </row>
    <row r="871" spans="45:57" x14ac:dyDescent="0.25">
      <c r="AS871" s="102"/>
      <c r="AT871" s="102"/>
      <c r="AU871" s="102"/>
      <c r="AV871" s="102"/>
      <c r="AW871" s="102"/>
      <c r="AX871" s="102"/>
      <c r="AY871" s="102"/>
      <c r="AZ871" s="335"/>
      <c r="BA871" s="102"/>
      <c r="BB871" s="335"/>
      <c r="BC871" s="102"/>
      <c r="BD871" s="102"/>
      <c r="BE871" s="102"/>
    </row>
    <row r="872" spans="45:57" x14ac:dyDescent="0.25">
      <c r="AV872" s="103"/>
      <c r="AW872" s="103"/>
      <c r="AX872" s="103"/>
      <c r="AY872" s="103"/>
      <c r="AZ872" s="336"/>
      <c r="BA872" s="103"/>
      <c r="BB872" s="336"/>
      <c r="BC872" s="103"/>
      <c r="BD872" s="103"/>
      <c r="BE872" s="103"/>
    </row>
    <row r="873" spans="45:57" x14ac:dyDescent="0.25">
      <c r="AS873" s="202"/>
      <c r="AT873" s="154"/>
      <c r="AV873" s="200"/>
      <c r="AW873" s="200"/>
      <c r="AX873" s="334"/>
      <c r="AY873" s="334"/>
      <c r="AZ873" s="334"/>
      <c r="BA873" s="201"/>
      <c r="BB873" s="334"/>
      <c r="BC873" s="334"/>
      <c r="BD873" s="334"/>
      <c r="BE873" s="201"/>
    </row>
    <row r="874" spans="45:57" x14ac:dyDescent="0.25">
      <c r="AS874" s="202"/>
      <c r="AV874" s="200"/>
      <c r="AW874" s="200"/>
      <c r="AX874" s="334"/>
      <c r="AY874" s="334"/>
      <c r="AZ874" s="334"/>
      <c r="BA874" s="201"/>
      <c r="BB874" s="334"/>
      <c r="BC874" s="334"/>
      <c r="BD874" s="334"/>
      <c r="BE874" s="201"/>
    </row>
    <row r="875" spans="45:57" x14ac:dyDescent="0.25">
      <c r="AS875" s="202"/>
      <c r="AV875" s="200"/>
      <c r="AW875" s="200"/>
      <c r="AX875" s="334"/>
      <c r="AY875" s="334"/>
      <c r="AZ875" s="334"/>
      <c r="BA875" s="201"/>
      <c r="BB875" s="334"/>
      <c r="BC875" s="334"/>
      <c r="BD875" s="334"/>
      <c r="BE875" s="201"/>
    </row>
    <row r="876" spans="45:57" x14ac:dyDescent="0.25">
      <c r="AS876" s="202"/>
      <c r="AV876" s="200"/>
      <c r="AW876" s="200"/>
      <c r="AX876" s="334"/>
      <c r="AY876" s="334"/>
      <c r="AZ876" s="334"/>
      <c r="BA876" s="201"/>
      <c r="BB876" s="334"/>
      <c r="BC876" s="334"/>
      <c r="BD876" s="334"/>
      <c r="BE876" s="201"/>
    </row>
    <row r="877" spans="45:57" x14ac:dyDescent="0.25">
      <c r="AS877" s="202"/>
      <c r="AV877" s="200"/>
      <c r="AW877" s="200"/>
      <c r="AX877" s="334"/>
      <c r="AY877" s="334"/>
      <c r="AZ877" s="334"/>
      <c r="BA877" s="201"/>
      <c r="BB877" s="334"/>
      <c r="BC877" s="334"/>
      <c r="BD877" s="334"/>
      <c r="BE877" s="201"/>
    </row>
    <row r="878" spans="45:57" x14ac:dyDescent="0.25">
      <c r="AS878" s="202"/>
      <c r="AV878" s="200"/>
      <c r="AW878" s="200"/>
      <c r="AX878" s="334"/>
      <c r="AY878" s="334"/>
      <c r="AZ878" s="334"/>
      <c r="BA878" s="201"/>
      <c r="BB878" s="334"/>
      <c r="BC878" s="334"/>
      <c r="BD878" s="334"/>
      <c r="BE878" s="201"/>
    </row>
    <row r="879" spans="45:57" x14ac:dyDescent="0.25">
      <c r="AS879" s="202"/>
      <c r="AV879" s="200"/>
      <c r="AW879" s="200"/>
      <c r="AX879" s="334"/>
      <c r="AY879" s="334"/>
      <c r="AZ879" s="334"/>
      <c r="BA879" s="201"/>
      <c r="BB879" s="334"/>
      <c r="BC879" s="334"/>
      <c r="BD879" s="334"/>
      <c r="BE879" s="201"/>
    </row>
    <row r="880" spans="45:57" x14ac:dyDescent="0.25">
      <c r="AS880" s="202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</row>
    <row r="881" spans="45:57" x14ac:dyDescent="0.25">
      <c r="AS881" s="202"/>
      <c r="AV881" s="200"/>
      <c r="AW881" s="200"/>
      <c r="AX881" s="334"/>
      <c r="AY881" s="334"/>
      <c r="AZ881" s="334"/>
      <c r="BA881" s="201"/>
      <c r="BB881" s="334"/>
      <c r="BC881" s="334"/>
      <c r="BD881" s="334"/>
      <c r="BE881" s="201"/>
    </row>
    <row r="882" spans="45:57" x14ac:dyDescent="0.25">
      <c r="AS882" s="202"/>
      <c r="AV882" s="200"/>
      <c r="AW882" s="200"/>
      <c r="AX882" s="334"/>
      <c r="AY882" s="334"/>
      <c r="AZ882" s="334"/>
      <c r="BA882" s="201"/>
      <c r="BB882" s="334"/>
      <c r="BC882" s="334"/>
      <c r="BD882" s="334"/>
      <c r="BE882" s="201"/>
    </row>
    <row r="883" spans="45:57" x14ac:dyDescent="0.25">
      <c r="AV883" s="200"/>
      <c r="AW883" s="200"/>
      <c r="BB883" s="334"/>
    </row>
    <row r="884" spans="45:57" x14ac:dyDescent="0.25">
      <c r="AS884" s="202"/>
      <c r="AT884" s="154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</row>
    <row r="885" spans="45:57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</row>
    <row r="886" spans="45:57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</row>
    <row r="887" spans="45:57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</row>
    <row r="888" spans="45:57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</row>
    <row r="889" spans="45:57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57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57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57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</row>
    <row r="893" spans="45:57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5" spans="45:57" x14ac:dyDescent="0.25">
      <c r="AU895" s="154"/>
    </row>
    <row r="896" spans="45:57" x14ac:dyDescent="0.25">
      <c r="AU896" s="154"/>
    </row>
    <row r="897" spans="45:47" x14ac:dyDescent="0.25">
      <c r="AU897" s="154"/>
    </row>
    <row r="898" spans="45:47" x14ac:dyDescent="0.25">
      <c r="AS898" s="154"/>
    </row>
    <row r="919" spans="52:71" x14ac:dyDescent="0.25">
      <c r="AZ919" s="334"/>
      <c r="BB919" s="334"/>
      <c r="BC919" s="334"/>
      <c r="BD919" s="334"/>
      <c r="BG919" s="334"/>
      <c r="BH919" s="334"/>
      <c r="BI919" s="334"/>
      <c r="BJ919" s="334"/>
      <c r="BK919" s="334"/>
      <c r="BL919" s="334"/>
      <c r="BM919" s="334"/>
      <c r="BN919" s="334"/>
      <c r="BO919" s="334"/>
      <c r="BP919" s="334"/>
      <c r="BQ919" s="334"/>
      <c r="BR919" s="334"/>
      <c r="BS919" s="334"/>
    </row>
    <row r="920" spans="52:71" x14ac:dyDescent="0.25">
      <c r="AZ920" s="334"/>
      <c r="BB920" s="334"/>
      <c r="BC920" s="334"/>
      <c r="BD920" s="334"/>
      <c r="BG920" s="334"/>
      <c r="BH920" s="334"/>
      <c r="BI920" s="334"/>
      <c r="BJ920" s="334"/>
      <c r="BK920" s="334"/>
      <c r="BL920" s="334"/>
      <c r="BM920" s="334"/>
      <c r="BN920" s="334"/>
      <c r="BO920" s="334"/>
      <c r="BP920" s="334"/>
      <c r="BQ920" s="334"/>
      <c r="BR920" s="334"/>
      <c r="BS920" s="334"/>
    </row>
    <row r="921" spans="52:71" x14ac:dyDescent="0.25">
      <c r="AZ921" s="334"/>
      <c r="BB921" s="334"/>
      <c r="BC921" s="334"/>
      <c r="BD921" s="334"/>
      <c r="BG921" s="334"/>
      <c r="BH921" s="334"/>
      <c r="BI921" s="334"/>
      <c r="BJ921" s="334"/>
      <c r="BK921" s="334"/>
      <c r="BL921" s="334"/>
      <c r="BM921" s="334"/>
      <c r="BN921" s="334"/>
      <c r="BO921" s="334"/>
      <c r="BP921" s="334"/>
      <c r="BQ921" s="334"/>
      <c r="BR921" s="334"/>
      <c r="BS921" s="334"/>
    </row>
    <row r="922" spans="52:71" x14ac:dyDescent="0.25">
      <c r="AZ922" s="334"/>
      <c r="BB922" s="334"/>
      <c r="BC922" s="334"/>
      <c r="BD922" s="334"/>
      <c r="BG922" s="334"/>
      <c r="BH922" s="334"/>
      <c r="BI922" s="334"/>
      <c r="BJ922" s="334"/>
      <c r="BK922" s="334"/>
      <c r="BL922" s="334"/>
      <c r="BM922" s="334"/>
      <c r="BN922" s="334"/>
      <c r="BO922" s="334"/>
      <c r="BP922" s="334"/>
      <c r="BQ922" s="334"/>
      <c r="BR922" s="334"/>
      <c r="BS922" s="334"/>
    </row>
    <row r="923" spans="52:71" x14ac:dyDescent="0.25">
      <c r="AZ923" s="334"/>
      <c r="BB923" s="334"/>
      <c r="BC923" s="334"/>
      <c r="BD923" s="334"/>
      <c r="BG923" s="334"/>
      <c r="BH923" s="334"/>
      <c r="BI923" s="334"/>
      <c r="BJ923" s="334"/>
      <c r="BK923" s="334"/>
      <c r="BL923" s="334"/>
      <c r="BM923" s="334"/>
      <c r="BN923" s="334"/>
      <c r="BO923" s="334"/>
      <c r="BP923" s="334"/>
      <c r="BQ923" s="334"/>
      <c r="BR923" s="334"/>
      <c r="BS923" s="334"/>
    </row>
    <row r="924" spans="52:71" x14ac:dyDescent="0.25">
      <c r="AZ924" s="334"/>
      <c r="BB924" s="334"/>
      <c r="BC924" s="334"/>
      <c r="BD924" s="334"/>
      <c r="BG924" s="334"/>
      <c r="BH924" s="334"/>
      <c r="BI924" s="334"/>
      <c r="BJ924" s="334"/>
      <c r="BK924" s="334"/>
      <c r="BL924" s="334"/>
      <c r="BM924" s="334"/>
      <c r="BN924" s="334"/>
      <c r="BO924" s="334"/>
      <c r="BP924" s="334"/>
      <c r="BQ924" s="334"/>
      <c r="BR924" s="334"/>
      <c r="BS924" s="334"/>
    </row>
    <row r="925" spans="52:71" x14ac:dyDescent="0.25">
      <c r="AZ925" s="334"/>
      <c r="BB925" s="334"/>
      <c r="BC925" s="334"/>
      <c r="BD925" s="334"/>
      <c r="BG925" s="334"/>
      <c r="BH925" s="334"/>
      <c r="BI925" s="334"/>
      <c r="BJ925" s="334"/>
      <c r="BK925" s="334"/>
      <c r="BL925" s="334"/>
      <c r="BM925" s="334"/>
      <c r="BN925" s="334"/>
      <c r="BO925" s="334"/>
      <c r="BP925" s="334"/>
      <c r="BQ925" s="334"/>
      <c r="BR925" s="334"/>
      <c r="BS925" s="334"/>
    </row>
    <row r="926" spans="52:71" x14ac:dyDescent="0.25">
      <c r="AZ926" s="334"/>
      <c r="BB926" s="334"/>
      <c r="BC926" s="334"/>
      <c r="BD926" s="334"/>
      <c r="BG926" s="334"/>
      <c r="BH926" s="334"/>
      <c r="BI926" s="334"/>
      <c r="BJ926" s="334"/>
      <c r="BK926" s="334"/>
      <c r="BL926" s="334"/>
      <c r="BM926" s="334"/>
      <c r="BN926" s="334"/>
      <c r="BO926" s="334"/>
      <c r="BP926" s="334"/>
      <c r="BQ926" s="334"/>
      <c r="BR926" s="334"/>
      <c r="BS926" s="334"/>
    </row>
    <row r="927" spans="52:71" x14ac:dyDescent="0.25">
      <c r="AZ927" s="334"/>
      <c r="BB927" s="334"/>
      <c r="BC927" s="334"/>
      <c r="BD927" s="334"/>
      <c r="BG927" s="334"/>
      <c r="BH927" s="334"/>
      <c r="BI927" s="334"/>
      <c r="BJ927" s="334"/>
      <c r="BK927" s="334"/>
      <c r="BL927" s="334"/>
      <c r="BM927" s="334"/>
      <c r="BN927" s="334"/>
      <c r="BO927" s="334"/>
      <c r="BP927" s="334"/>
      <c r="BQ927" s="334"/>
      <c r="BR927" s="334"/>
      <c r="BS927" s="334"/>
    </row>
    <row r="928" spans="52:71" x14ac:dyDescent="0.25">
      <c r="AZ928" s="334"/>
      <c r="BB928" s="334"/>
      <c r="BC928" s="334"/>
      <c r="BD928" s="334"/>
      <c r="BG928" s="334"/>
      <c r="BH928" s="334"/>
      <c r="BI928" s="334"/>
      <c r="BJ928" s="334"/>
      <c r="BK928" s="334"/>
      <c r="BL928" s="334"/>
      <c r="BM928" s="334"/>
      <c r="BN928" s="334"/>
      <c r="BO928" s="334"/>
      <c r="BP928" s="334"/>
      <c r="BQ928" s="334"/>
      <c r="BR928" s="334"/>
      <c r="BS928" s="334"/>
    </row>
    <row r="929" spans="52:71" x14ac:dyDescent="0.25">
      <c r="AZ929" s="334"/>
      <c r="BB929" s="334"/>
      <c r="BC929" s="334"/>
      <c r="BD929" s="334"/>
      <c r="BG929" s="334"/>
      <c r="BH929" s="334"/>
      <c r="BI929" s="334"/>
      <c r="BJ929" s="334"/>
      <c r="BK929" s="334"/>
      <c r="BL929" s="334"/>
      <c r="BM929" s="334"/>
      <c r="BN929" s="334"/>
      <c r="BO929" s="334"/>
      <c r="BP929" s="334"/>
      <c r="BQ929" s="334"/>
      <c r="BR929" s="334"/>
      <c r="BS929" s="334"/>
    </row>
    <row r="930" spans="52:71" x14ac:dyDescent="0.25">
      <c r="AZ930" s="334"/>
      <c r="BB930" s="334"/>
      <c r="BC930" s="334"/>
      <c r="BD930" s="334"/>
      <c r="BG930" s="334"/>
      <c r="BH930" s="334"/>
      <c r="BI930" s="334"/>
      <c r="BJ930" s="334"/>
      <c r="BK930" s="334"/>
      <c r="BL930" s="334"/>
      <c r="BM930" s="334"/>
      <c r="BN930" s="334"/>
      <c r="BO930" s="334"/>
      <c r="BP930" s="334"/>
      <c r="BQ930" s="334"/>
      <c r="BR930" s="334"/>
      <c r="BS930" s="334"/>
    </row>
    <row r="931" spans="52:71" x14ac:dyDescent="0.25">
      <c r="AZ931" s="334"/>
      <c r="BG931" s="334"/>
      <c r="BH931" s="334"/>
      <c r="BI931" s="334"/>
      <c r="BJ931" s="334"/>
      <c r="BK931" s="334"/>
      <c r="BL931" s="334"/>
      <c r="BM931" s="334"/>
      <c r="BN931" s="334"/>
      <c r="BO931" s="334"/>
      <c r="BP931" s="334"/>
      <c r="BQ931" s="334"/>
      <c r="BR931" s="334"/>
      <c r="BS931" s="334"/>
    </row>
    <row r="932" spans="52:71" x14ac:dyDescent="0.25">
      <c r="AZ932" s="334"/>
      <c r="BG932" s="334"/>
      <c r="BH932" s="334"/>
      <c r="BI932" s="334"/>
      <c r="BJ932" s="334"/>
      <c r="BK932" s="334"/>
      <c r="BL932" s="334"/>
      <c r="BM932" s="334"/>
      <c r="BN932" s="334"/>
      <c r="BO932" s="334"/>
      <c r="BP932" s="334"/>
      <c r="BQ932" s="334"/>
      <c r="BR932" s="334"/>
      <c r="BS932" s="334"/>
    </row>
    <row r="933" spans="52:71" x14ac:dyDescent="0.25">
      <c r="AZ933" s="334"/>
      <c r="BG933" s="334"/>
      <c r="BH933" s="334"/>
      <c r="BI933" s="334"/>
      <c r="BJ933" s="334"/>
      <c r="BK933" s="334"/>
      <c r="BL933" s="334"/>
      <c r="BM933" s="334"/>
      <c r="BN933" s="334"/>
      <c r="BO933" s="334"/>
      <c r="BP933" s="334"/>
      <c r="BQ933" s="334"/>
      <c r="BR933" s="334"/>
      <c r="BS933" s="334"/>
    </row>
    <row r="934" spans="52:71" x14ac:dyDescent="0.25">
      <c r="AZ934" s="334"/>
      <c r="BG934" s="334"/>
      <c r="BH934" s="334"/>
      <c r="BI934" s="334"/>
      <c r="BJ934" s="334"/>
      <c r="BK934" s="334"/>
      <c r="BL934" s="334"/>
      <c r="BM934" s="334"/>
      <c r="BN934" s="334"/>
      <c r="BO934" s="334"/>
      <c r="BP934" s="334"/>
      <c r="BQ934" s="334"/>
      <c r="BR934" s="334"/>
      <c r="BS934" s="334"/>
    </row>
    <row r="935" spans="52:71" x14ac:dyDescent="0.25">
      <c r="AZ935" s="334"/>
      <c r="BG935" s="334"/>
      <c r="BH935" s="334"/>
      <c r="BI935" s="334"/>
      <c r="BJ935" s="334"/>
      <c r="BK935" s="334"/>
      <c r="BL935" s="334"/>
      <c r="BM935" s="334"/>
      <c r="BN935" s="334"/>
      <c r="BO935" s="334"/>
      <c r="BP935" s="334"/>
      <c r="BQ935" s="334"/>
      <c r="BR935" s="334"/>
      <c r="BS935" s="334"/>
    </row>
    <row r="936" spans="52:71" x14ac:dyDescent="0.25">
      <c r="AZ936" s="334"/>
      <c r="BG936" s="334"/>
      <c r="BH936" s="334"/>
      <c r="BI936" s="334"/>
      <c r="BJ936" s="334"/>
      <c r="BK936" s="334"/>
      <c r="BL936" s="334"/>
      <c r="BM936" s="334"/>
      <c r="BN936" s="334"/>
      <c r="BO936" s="334"/>
      <c r="BP936" s="334"/>
      <c r="BQ936" s="334"/>
      <c r="BR936" s="334"/>
      <c r="BS936" s="334"/>
    </row>
    <row r="937" spans="52:71" x14ac:dyDescent="0.25">
      <c r="AZ937" s="334"/>
      <c r="BG937" s="334"/>
      <c r="BH937" s="334"/>
      <c r="BI937" s="334"/>
      <c r="BJ937" s="334"/>
      <c r="BK937" s="334"/>
      <c r="BL937" s="334"/>
      <c r="BM937" s="334"/>
      <c r="BN937" s="334"/>
      <c r="BO937" s="334"/>
      <c r="BP937" s="334"/>
      <c r="BQ937" s="334"/>
      <c r="BR937" s="334"/>
      <c r="BS937" s="334"/>
    </row>
    <row r="938" spans="52:71" x14ac:dyDescent="0.25">
      <c r="AZ938" s="334"/>
    </row>
    <row r="939" spans="52:71" x14ac:dyDescent="0.25">
      <c r="AZ939" s="334"/>
    </row>
    <row r="953" spans="1:28" x14ac:dyDescent="0.25">
      <c r="A953" s="154"/>
    </row>
    <row r="956" spans="1:28" x14ac:dyDescent="0.25">
      <c r="Y956" s="154"/>
    </row>
    <row r="957" spans="1:28" x14ac:dyDescent="0.25">
      <c r="A957" s="154"/>
      <c r="H957" s="154"/>
      <c r="I957" s="154"/>
    </row>
    <row r="958" spans="1:28" x14ac:dyDescent="0.25">
      <c r="A958" s="154"/>
      <c r="V958" s="103"/>
      <c r="AA958" s="103"/>
      <c r="AB958" s="103"/>
    </row>
    <row r="959" spans="1:28" x14ac:dyDescent="0.25">
      <c r="A959" s="154"/>
      <c r="V959" s="102"/>
      <c r="AA959" s="102"/>
      <c r="AB959" s="102"/>
    </row>
    <row r="960" spans="1:28" x14ac:dyDescent="0.25">
      <c r="A960" s="154"/>
      <c r="U960" s="154"/>
      <c r="AA960" s="103"/>
      <c r="AB960" s="103"/>
    </row>
    <row r="961" spans="1:28" x14ac:dyDescent="0.25">
      <c r="A961" s="154"/>
    </row>
    <row r="962" spans="1:28" x14ac:dyDescent="0.25">
      <c r="A962" s="154"/>
      <c r="U962" s="154"/>
      <c r="AA962" s="103"/>
      <c r="AB962" s="103"/>
    </row>
    <row r="963" spans="1:28" x14ac:dyDescent="0.25">
      <c r="A963" s="154"/>
    </row>
    <row r="964" spans="1:28" x14ac:dyDescent="0.25">
      <c r="A964" s="154"/>
      <c r="U964" s="154"/>
      <c r="V964" s="338"/>
      <c r="AA964" s="103"/>
      <c r="AB964" s="103"/>
    </row>
    <row r="965" spans="1:28" x14ac:dyDescent="0.25">
      <c r="A965" s="154"/>
    </row>
    <row r="966" spans="1:28" x14ac:dyDescent="0.25">
      <c r="A966" s="154"/>
      <c r="U966" s="154"/>
      <c r="AA966" s="103"/>
      <c r="AB966" s="103"/>
    </row>
    <row r="967" spans="1:28" x14ac:dyDescent="0.25">
      <c r="A967" s="154"/>
    </row>
    <row r="968" spans="1:28" x14ac:dyDescent="0.25">
      <c r="A968" s="154"/>
      <c r="U968" s="154"/>
      <c r="AA968" s="103"/>
      <c r="AB968" s="103"/>
    </row>
    <row r="969" spans="1:28" x14ac:dyDescent="0.25">
      <c r="A969" s="154"/>
    </row>
    <row r="970" spans="1:28" x14ac:dyDescent="0.25">
      <c r="A970" s="154"/>
    </row>
    <row r="971" spans="1:28" x14ac:dyDescent="0.25">
      <c r="A971" s="154"/>
    </row>
    <row r="972" spans="1:28" x14ac:dyDescent="0.25">
      <c r="A972" s="154"/>
    </row>
    <row r="973" spans="1:28" x14ac:dyDescent="0.25">
      <c r="A973" s="154"/>
    </row>
    <row r="974" spans="1:28" x14ac:dyDescent="0.25">
      <c r="A974" s="154"/>
    </row>
    <row r="975" spans="1:28" x14ac:dyDescent="0.25">
      <c r="A975" s="154"/>
    </row>
    <row r="976" spans="1:28" x14ac:dyDescent="0.25">
      <c r="A976" s="154"/>
    </row>
    <row r="977" spans="1:9" x14ac:dyDescent="0.25">
      <c r="A977" s="154"/>
    </row>
    <row r="978" spans="1:9" x14ac:dyDescent="0.25">
      <c r="A978" s="154"/>
    </row>
    <row r="979" spans="1:9" x14ac:dyDescent="0.25">
      <c r="A979" s="154"/>
      <c r="H979" s="154"/>
      <c r="I979" s="154"/>
    </row>
    <row r="982" spans="1:9" x14ac:dyDescent="0.25">
      <c r="A982" s="154"/>
    </row>
    <row r="985" spans="1:9" x14ac:dyDescent="0.25">
      <c r="A985" s="154"/>
    </row>
    <row r="988" spans="1:9" x14ac:dyDescent="0.25">
      <c r="A988" s="154"/>
    </row>
    <row r="989" spans="1:9" x14ac:dyDescent="0.25">
      <c r="A989" s="154"/>
    </row>
    <row r="990" spans="1:9" x14ac:dyDescent="0.25">
      <c r="A990" s="154"/>
    </row>
    <row r="991" spans="1:9" x14ac:dyDescent="0.25">
      <c r="A991" s="154"/>
    </row>
    <row r="992" spans="1:9" x14ac:dyDescent="0.25">
      <c r="A992" s="154"/>
    </row>
    <row r="993" spans="1:1" x14ac:dyDescent="0.25">
      <c r="A993" s="154"/>
    </row>
    <row r="994" spans="1:1" x14ac:dyDescent="0.25">
      <c r="A994" s="154"/>
    </row>
    <row r="995" spans="1:1" x14ac:dyDescent="0.25">
      <c r="A995" s="154"/>
    </row>
    <row r="996" spans="1:1" x14ac:dyDescent="0.25">
      <c r="A996" s="154"/>
    </row>
    <row r="997" spans="1:1" x14ac:dyDescent="0.25">
      <c r="A997" s="154"/>
    </row>
    <row r="998" spans="1:1" x14ac:dyDescent="0.25">
      <c r="A998" s="154"/>
    </row>
    <row r="999" spans="1:1" x14ac:dyDescent="0.25">
      <c r="A999" s="154"/>
    </row>
    <row r="1000" spans="1:1" x14ac:dyDescent="0.25">
      <c r="A1000" s="154"/>
    </row>
    <row r="1001" spans="1:1" x14ac:dyDescent="0.25">
      <c r="A1001" s="154"/>
    </row>
    <row r="1002" spans="1:1" x14ac:dyDescent="0.25">
      <c r="A1002" s="154"/>
    </row>
    <row r="1003" spans="1:1" x14ac:dyDescent="0.25">
      <c r="A1003" s="154"/>
    </row>
    <row r="1004" spans="1:1" x14ac:dyDescent="0.25">
      <c r="A1004" s="154"/>
    </row>
    <row r="1005" spans="1:1" x14ac:dyDescent="0.25">
      <c r="A1005" s="154"/>
    </row>
    <row r="1006" spans="1:1" x14ac:dyDescent="0.25">
      <c r="A1006" s="154"/>
    </row>
    <row r="1007" spans="1:1" x14ac:dyDescent="0.25">
      <c r="A1007" s="154"/>
    </row>
    <row r="1008" spans="1:1" x14ac:dyDescent="0.25">
      <c r="A1008" s="154"/>
    </row>
    <row r="1009" spans="1:1" x14ac:dyDescent="0.25">
      <c r="A1009" s="154"/>
    </row>
    <row r="1010" spans="1:1" x14ac:dyDescent="0.25">
      <c r="A1010" s="154"/>
    </row>
    <row r="1011" spans="1:1" x14ac:dyDescent="0.25">
      <c r="A1011" s="154"/>
    </row>
    <row r="1012" spans="1:1" x14ac:dyDescent="0.25">
      <c r="A1012" s="154"/>
    </row>
    <row r="1013" spans="1:1" x14ac:dyDescent="0.25">
      <c r="A1013" s="154"/>
    </row>
    <row r="1014" spans="1:1" x14ac:dyDescent="0.25">
      <c r="A1014" s="154"/>
    </row>
    <row r="1015" spans="1:1" x14ac:dyDescent="0.25">
      <c r="A1015" s="154"/>
    </row>
    <row r="1016" spans="1:1" x14ac:dyDescent="0.25">
      <c r="A1016" s="154"/>
    </row>
    <row r="1017" spans="1:1" x14ac:dyDescent="0.25">
      <c r="A1017" s="154"/>
    </row>
    <row r="1018" spans="1:1" x14ac:dyDescent="0.25">
      <c r="A1018" s="154"/>
    </row>
    <row r="1019" spans="1:1" x14ac:dyDescent="0.25">
      <c r="A1019" s="154"/>
    </row>
    <row r="1020" spans="1:1" x14ac:dyDescent="0.25">
      <c r="A1020" s="154"/>
    </row>
    <row r="1021" spans="1:1" x14ac:dyDescent="0.25">
      <c r="A1021" s="154"/>
    </row>
    <row r="1022" spans="1:1" x14ac:dyDescent="0.25">
      <c r="A1022" s="154"/>
    </row>
    <row r="1027" spans="1:1" x14ac:dyDescent="0.25">
      <c r="A1027" s="154"/>
    </row>
    <row r="1028" spans="1:1" x14ac:dyDescent="0.25">
      <c r="A1028" s="154"/>
    </row>
    <row r="1031" spans="1:1" x14ac:dyDescent="0.25">
      <c r="A1031" s="154"/>
    </row>
    <row r="1033" spans="1:1" x14ac:dyDescent="0.25">
      <c r="A1033" s="154"/>
    </row>
    <row r="1035" spans="1:1" x14ac:dyDescent="0.25">
      <c r="A1035" s="154"/>
    </row>
    <row r="1037" spans="1:1" x14ac:dyDescent="0.25">
      <c r="A1037" s="154"/>
    </row>
    <row r="1040" spans="1:1" x14ac:dyDescent="0.25">
      <c r="A1040" s="154"/>
    </row>
    <row r="1041" spans="1:1" x14ac:dyDescent="0.25">
      <c r="A1041" s="154"/>
    </row>
    <row r="1042" spans="1:1" x14ac:dyDescent="0.25">
      <c r="A1042" s="154"/>
    </row>
    <row r="1043" spans="1:1" x14ac:dyDescent="0.25">
      <c r="A1043" s="154"/>
    </row>
    <row r="1044" spans="1:1" x14ac:dyDescent="0.25">
      <c r="A1044" s="154"/>
    </row>
    <row r="1045" spans="1:1" x14ac:dyDescent="0.25">
      <c r="A1045" s="154"/>
    </row>
    <row r="1046" spans="1:1" x14ac:dyDescent="0.25">
      <c r="A1046" s="154"/>
    </row>
    <row r="1047" spans="1:1" x14ac:dyDescent="0.25">
      <c r="A1047" s="154"/>
    </row>
  </sheetData>
  <customSheetViews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"/>
      <headerFooter alignWithMargins="0"/>
    </customSheetView>
    <customSheetView guid="{0C49E549-011E-46F4-A82E-2CC8951A9C1E}" scale="75" fitToPage="1" showRuler="0" topLeftCell="A9">
      <selection activeCell="J29" sqref="J2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2"/>
      <headerFooter alignWithMargins="0"/>
    </customSheetView>
    <customSheetView guid="{4BC93440-BA85-4935-A8C9-66DC6AE5DE5E}" scale="75" fitToPage="1" showRuler="0" topLeftCell="Z51">
      <selection activeCell="AM70" sqref="AM7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 topLeftCell="Z51">
      <selection activeCell="AM70" sqref="AM7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3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5"/>
      <headerFooter alignWithMargins="0"/>
    </customSheetView>
    <customSheetView guid="{8FC77C99-DBF7-40B8-99B8-01B75826CDCB}" scale="75" fitToPage="1" showRuler="0" topLeftCell="A9">
      <selection activeCell="J29" sqref="J2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7"/>
      <headerFooter alignWithMargins="0"/>
    </customSheetView>
    <customSheetView guid="{6B3D5C27-2FDE-4561-9575-1E98BFB869D0}" scale="75" fitToPage="1" showRuler="0">
      <selection sqref="A1:R3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>
      <selection sqref="A1:R3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9"/>
      <headerFooter alignWithMargins="0"/>
    </customSheetView>
    <customSheetView guid="{18BDED73-BFA0-442E-87EC-CED86EE4CF94}" scale="75" fitToPage="1" showRuler="0">
      <selection activeCell="J29" sqref="J2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0"/>
      <headerFooter alignWithMargins="0"/>
    </customSheetView>
    <customSheetView guid="{35F19056-2E6F-4935-B863-78836FE990BF}" scale="75" fitToPage="1" showRuler="0">
      <selection activeCell="H26" sqref="H26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>
      <selection activeCell="P34" sqref="P34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82"/>
  <dimension ref="A1:BW1047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" style="101" customWidth="1"/>
    <col min="2" max="2" width="0.6640625" style="101" customWidth="1"/>
    <col min="3" max="3" width="8.6640625" style="101" customWidth="1"/>
    <col min="4" max="4" width="40.109375" style="101" customWidth="1"/>
    <col min="5" max="5" width="0.7773437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3.664062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2.77734375" style="101" customWidth="1"/>
    <col min="17" max="17" width="0.5546875" style="101" customWidth="1"/>
    <col min="18" max="18" width="19.21875" style="101" customWidth="1"/>
    <col min="19" max="19" width="6.6640625" style="101" customWidth="1"/>
    <col min="20" max="20" width="5.109375" style="101" customWidth="1"/>
    <col min="21" max="21" width="0.5546875" style="101" customWidth="1"/>
    <col min="22" max="22" width="7.44140625" style="101" customWidth="1"/>
    <col min="23" max="23" width="40.6640625" style="101" customWidth="1"/>
    <col min="24" max="24" width="0.777343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44140625" style="101" customWidth="1"/>
    <col min="29" max="29" width="12.21875" style="101" customWidth="1"/>
    <col min="30" max="30" width="0.3320312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664062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758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9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51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412</v>
      </c>
      <c r="D20" s="387" t="s">
        <v>473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85"/>
      <c r="Q20" s="85"/>
      <c r="R20" s="85"/>
      <c r="T20" s="154"/>
      <c r="U20" s="154"/>
    </row>
    <row r="21" spans="1:40" x14ac:dyDescent="0.25">
      <c r="A21" s="159">
        <v>2</v>
      </c>
      <c r="B21" s="80"/>
      <c r="C21" s="253"/>
      <c r="D21" s="258" t="s">
        <v>154</v>
      </c>
      <c r="E21" s="8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85"/>
      <c r="Q21" s="85"/>
      <c r="R21" s="85"/>
      <c r="T21" s="154"/>
    </row>
    <row r="22" spans="1:40" ht="21.75" customHeight="1" x14ac:dyDescent="0.25">
      <c r="A22" s="159"/>
      <c r="B22" s="80"/>
      <c r="C22" s="82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85"/>
      <c r="Q22" s="85"/>
      <c r="R22" s="85"/>
      <c r="T22" s="154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85"/>
      <c r="Q23" s="85"/>
      <c r="R23" s="85"/>
      <c r="S23" s="200"/>
      <c r="T23" s="154"/>
      <c r="V23" s="200"/>
      <c r="Y23" s="200"/>
      <c r="Z23" s="300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159">
        <v>4</v>
      </c>
      <c r="B24" s="80"/>
      <c r="C24" s="82" t="s">
        <v>417</v>
      </c>
      <c r="D24" s="80"/>
      <c r="E24" s="80"/>
      <c r="F24" s="225">
        <v>0</v>
      </c>
      <c r="G24" s="70"/>
      <c r="H24" s="78"/>
      <c r="I24" s="70"/>
      <c r="J24" s="283">
        <f>INPUT!D153</f>
        <v>183</v>
      </c>
      <c r="K24" s="70"/>
      <c r="L24" s="79">
        <f>ROUND(+F24*J24,0)</f>
        <v>0</v>
      </c>
      <c r="M24" s="70"/>
      <c r="N24" s="341">
        <v>0</v>
      </c>
      <c r="O24" s="70"/>
      <c r="P24" s="79"/>
      <c r="Q24" s="271"/>
      <c r="R24" s="79">
        <f>L24+P24</f>
        <v>0</v>
      </c>
      <c r="S24" s="200"/>
      <c r="T24" s="154"/>
      <c r="V24" s="200"/>
      <c r="Y24" s="200"/>
      <c r="Z24" s="304"/>
      <c r="AA24" s="200"/>
      <c r="AB24" s="200"/>
      <c r="AC24" s="210"/>
      <c r="AD24" s="210"/>
      <c r="AE24" s="200"/>
      <c r="AF24" s="200"/>
      <c r="AG24" s="209"/>
      <c r="AH24" s="210"/>
      <c r="AI24" s="200"/>
      <c r="AJ24" s="200"/>
      <c r="AK24" s="209"/>
      <c r="AL24" s="200"/>
      <c r="AM24" s="210"/>
      <c r="AN24" s="210"/>
    </row>
    <row r="25" spans="1:40" ht="20.100000000000001" customHeight="1" x14ac:dyDescent="0.25">
      <c r="A25" s="159">
        <v>5</v>
      </c>
      <c r="B25" s="80"/>
      <c r="C25" s="253" t="s">
        <v>158</v>
      </c>
      <c r="D25" s="80"/>
      <c r="E25" s="80"/>
      <c r="F25" s="163"/>
      <c r="G25" s="70"/>
      <c r="H25" s="79"/>
      <c r="I25" s="70"/>
      <c r="J25" s="388"/>
      <c r="K25" s="70"/>
      <c r="L25" s="169">
        <f>SUM(L24:L24)</f>
        <v>0</v>
      </c>
      <c r="M25" s="70"/>
      <c r="N25" s="303">
        <v>0</v>
      </c>
      <c r="O25" s="70"/>
      <c r="P25" s="169"/>
      <c r="Q25" s="163"/>
      <c r="R25" s="169">
        <f>SUM(R24:R24)</f>
        <v>0</v>
      </c>
      <c r="S25" s="200"/>
      <c r="V25" s="211"/>
      <c r="Y25" s="211"/>
      <c r="Z25" s="305"/>
      <c r="AA25" s="211"/>
      <c r="AB25" s="211"/>
      <c r="AC25" s="211"/>
      <c r="AD25" s="211"/>
      <c r="AE25" s="211"/>
      <c r="AF25" s="211"/>
      <c r="AI25" s="211"/>
      <c r="AJ25" s="211"/>
      <c r="AK25" s="212"/>
      <c r="AL25" s="211"/>
      <c r="AM25" s="210"/>
      <c r="AN25" s="210"/>
    </row>
    <row r="26" spans="1:40" ht="19.5" customHeight="1" x14ac:dyDescent="0.25">
      <c r="A26" s="159"/>
      <c r="B26" s="80"/>
      <c r="C26" s="82"/>
      <c r="D26" s="80"/>
      <c r="E26" s="80"/>
      <c r="F26" s="163"/>
      <c r="G26" s="70"/>
      <c r="H26" s="79"/>
      <c r="I26" s="70"/>
      <c r="J26" s="388"/>
      <c r="K26" s="70"/>
      <c r="L26" s="163"/>
      <c r="M26" s="70"/>
      <c r="N26" s="198"/>
      <c r="O26" s="70"/>
      <c r="P26" s="163"/>
      <c r="Q26" s="163"/>
      <c r="R26" s="163"/>
      <c r="S26" s="200"/>
      <c r="V26" s="211"/>
      <c r="Y26" s="211"/>
      <c r="Z26" s="305"/>
      <c r="AA26" s="211"/>
      <c r="AB26" s="211"/>
      <c r="AC26" s="211"/>
      <c r="AD26" s="211"/>
      <c r="AE26" s="211"/>
      <c r="AF26" s="211"/>
      <c r="AI26" s="211"/>
      <c r="AJ26" s="211"/>
      <c r="AK26" s="212"/>
      <c r="AL26" s="211"/>
      <c r="AM26" s="210"/>
      <c r="AN26" s="210"/>
    </row>
    <row r="27" spans="1:40" x14ac:dyDescent="0.25">
      <c r="A27" s="159">
        <v>6</v>
      </c>
      <c r="B27" s="80"/>
      <c r="C27" s="253" t="s">
        <v>481</v>
      </c>
      <c r="D27" s="80"/>
      <c r="E27" s="80"/>
      <c r="F27" s="79"/>
      <c r="G27" s="70"/>
      <c r="H27" s="79"/>
      <c r="I27" s="70"/>
      <c r="J27" s="310"/>
      <c r="K27" s="70"/>
      <c r="L27" s="79"/>
      <c r="M27" s="70"/>
      <c r="N27" s="156"/>
      <c r="O27" s="70"/>
      <c r="P27" s="79"/>
      <c r="Q27" s="163"/>
      <c r="R27" s="79"/>
      <c r="Y27" s="154"/>
    </row>
    <row r="28" spans="1:40" x14ac:dyDescent="0.25">
      <c r="A28" s="159">
        <v>7</v>
      </c>
      <c r="B28" s="80"/>
      <c r="C28" s="82" t="s">
        <v>494</v>
      </c>
      <c r="D28" s="80"/>
      <c r="E28" s="80"/>
      <c r="F28" s="78"/>
      <c r="G28" s="70"/>
      <c r="H28" s="225">
        <v>0</v>
      </c>
      <c r="I28" s="78"/>
      <c r="J28" s="295">
        <f>INPUT!D156</f>
        <v>1.2470999999999999E-2</v>
      </c>
      <c r="K28" s="289"/>
      <c r="L28" s="79">
        <f>ROUND((H28*J28),0)</f>
        <v>0</v>
      </c>
      <c r="M28" s="79"/>
      <c r="N28" s="156">
        <v>0</v>
      </c>
      <c r="O28" s="156"/>
      <c r="P28" s="78"/>
      <c r="Q28" s="78"/>
      <c r="R28" s="79">
        <f>L28+P28</f>
        <v>0</v>
      </c>
      <c r="S28" s="200"/>
      <c r="T28" s="154"/>
      <c r="V28" s="252"/>
      <c r="Y28" s="200"/>
      <c r="Z28" s="304"/>
      <c r="AA28" s="200"/>
      <c r="AB28" s="200"/>
      <c r="AC28" s="210"/>
      <c r="AD28" s="210"/>
      <c r="AE28" s="200"/>
      <c r="AF28" s="200"/>
      <c r="AG28" s="209"/>
      <c r="AH28" s="210"/>
      <c r="AI28" s="200"/>
      <c r="AJ28" s="200"/>
      <c r="AK28" s="209"/>
      <c r="AL28" s="200"/>
      <c r="AM28" s="210"/>
      <c r="AN28" s="210"/>
    </row>
    <row r="29" spans="1:40" x14ac:dyDescent="0.25">
      <c r="A29" s="159">
        <v>8</v>
      </c>
      <c r="B29" s="80"/>
      <c r="C29" s="82" t="s">
        <v>419</v>
      </c>
      <c r="D29" s="80"/>
      <c r="E29" s="80"/>
      <c r="F29" s="78"/>
      <c r="G29" s="70"/>
      <c r="H29" s="78">
        <f>H28</f>
        <v>0</v>
      </c>
      <c r="I29" s="78"/>
      <c r="J29" s="295">
        <f>INPUT!D160</f>
        <v>0</v>
      </c>
      <c r="K29" s="289"/>
      <c r="L29" s="79">
        <f>ROUND((H29*J29),0)</f>
        <v>0</v>
      </c>
      <c r="M29" s="79"/>
      <c r="N29" s="156">
        <v>0</v>
      </c>
      <c r="O29" s="156"/>
      <c r="P29" s="230"/>
      <c r="Q29" s="78"/>
      <c r="R29" s="79">
        <f>L29+P29</f>
        <v>0</v>
      </c>
      <c r="S29" s="200"/>
      <c r="V29" s="211"/>
      <c r="Y29" s="211"/>
      <c r="Z29" s="305"/>
      <c r="AA29" s="211"/>
      <c r="AB29" s="211"/>
      <c r="AC29" s="211"/>
      <c r="AD29" s="211"/>
      <c r="AE29" s="211"/>
      <c r="AF29" s="211"/>
      <c r="AI29" s="211"/>
      <c r="AJ29" s="211"/>
      <c r="AK29" s="212"/>
      <c r="AL29" s="211"/>
      <c r="AM29" s="210"/>
      <c r="AN29" s="210"/>
    </row>
    <row r="30" spans="1:40" ht="20.100000000000001" customHeight="1" x14ac:dyDescent="0.25">
      <c r="A30" s="159">
        <v>9</v>
      </c>
      <c r="B30" s="80"/>
      <c r="C30" s="82" t="s">
        <v>480</v>
      </c>
      <c r="D30" s="80"/>
      <c r="E30" s="80"/>
      <c r="F30" s="78"/>
      <c r="G30" s="70"/>
      <c r="H30" s="78">
        <f>H29</f>
        <v>0</v>
      </c>
      <c r="I30" s="78"/>
      <c r="J30" s="295">
        <f>INPUT!D164</f>
        <v>2.4279999999999999E-2</v>
      </c>
      <c r="K30" s="289"/>
      <c r="L30" s="79">
        <f>ROUND((H30*J30),0)</f>
        <v>0</v>
      </c>
      <c r="M30" s="79"/>
      <c r="N30" s="156">
        <v>0</v>
      </c>
      <c r="O30" s="156"/>
      <c r="P30" s="200">
        <f>ROUND(-H30*(CUR_FAC+CUR_BASE_FUEL),0)</f>
        <v>0</v>
      </c>
      <c r="Q30" s="78"/>
      <c r="R30" s="79">
        <f>L30+P30</f>
        <v>0</v>
      </c>
      <c r="S30" s="200"/>
      <c r="V30" s="211"/>
      <c r="Y30" s="211"/>
      <c r="Z30" s="305"/>
      <c r="AA30" s="211"/>
      <c r="AB30" s="211"/>
      <c r="AC30" s="211"/>
      <c r="AD30" s="211"/>
      <c r="AE30" s="211"/>
      <c r="AF30" s="211"/>
      <c r="AI30" s="211"/>
      <c r="AJ30" s="211"/>
      <c r="AK30" s="212"/>
      <c r="AL30" s="211"/>
      <c r="AM30" s="210"/>
      <c r="AN30" s="210"/>
    </row>
    <row r="31" spans="1:40" ht="20.100000000000001" customHeight="1" x14ac:dyDescent="0.25">
      <c r="A31" s="159">
        <v>10</v>
      </c>
      <c r="B31" s="80"/>
      <c r="C31" s="253" t="s">
        <v>164</v>
      </c>
      <c r="D31" s="80"/>
      <c r="E31" s="80"/>
      <c r="F31" s="167"/>
      <c r="G31" s="70"/>
      <c r="H31" s="169">
        <f>H28</f>
        <v>0</v>
      </c>
      <c r="I31" s="79"/>
      <c r="J31" s="307"/>
      <c r="K31" s="263"/>
      <c r="L31" s="169">
        <f>SUM(L28:L30)</f>
        <v>0</v>
      </c>
      <c r="M31" s="79"/>
      <c r="N31" s="303">
        <v>0</v>
      </c>
      <c r="O31" s="156"/>
      <c r="P31" s="126">
        <f>P30</f>
        <v>0</v>
      </c>
      <c r="Q31" s="79"/>
      <c r="R31" s="169">
        <f>SUM(R28:R30)</f>
        <v>0</v>
      </c>
      <c r="S31" s="200"/>
      <c r="V31" s="211"/>
      <c r="Y31" s="211"/>
      <c r="Z31" s="305"/>
      <c r="AA31" s="211"/>
      <c r="AB31" s="211"/>
      <c r="AC31" s="211"/>
      <c r="AD31" s="211"/>
      <c r="AE31" s="211"/>
      <c r="AF31" s="211"/>
      <c r="AI31" s="211"/>
      <c r="AJ31" s="211"/>
      <c r="AK31" s="212"/>
      <c r="AL31" s="211"/>
    </row>
    <row r="32" spans="1:40" ht="20.100000000000001" customHeight="1" x14ac:dyDescent="0.25">
      <c r="A32" s="159">
        <v>11</v>
      </c>
      <c r="B32" s="80"/>
      <c r="C32" s="265" t="s">
        <v>576</v>
      </c>
      <c r="D32" s="80"/>
      <c r="E32" s="80"/>
      <c r="F32" s="169">
        <f>F24</f>
        <v>0</v>
      </c>
      <c r="G32" s="70"/>
      <c r="H32" s="169">
        <f>H31</f>
        <v>0</v>
      </c>
      <c r="I32" s="79"/>
      <c r="J32" s="307"/>
      <c r="K32" s="263"/>
      <c r="L32" s="169">
        <f>L31+L25</f>
        <v>0</v>
      </c>
      <c r="M32" s="79"/>
      <c r="N32" s="341">
        <v>0</v>
      </c>
      <c r="O32" s="156"/>
      <c r="P32" s="126">
        <f>P31</f>
        <v>0</v>
      </c>
      <c r="Q32" s="79"/>
      <c r="R32" s="169">
        <f>R25+R31</f>
        <v>0</v>
      </c>
      <c r="S32" s="200"/>
      <c r="V32" s="211"/>
      <c r="Y32" s="211"/>
      <c r="Z32" s="305"/>
      <c r="AA32" s="211"/>
      <c r="AB32" s="211"/>
      <c r="AC32" s="211"/>
      <c r="AD32" s="211"/>
      <c r="AE32" s="211"/>
      <c r="AF32" s="211"/>
      <c r="AI32" s="211"/>
      <c r="AJ32" s="211"/>
      <c r="AK32" s="212"/>
      <c r="AL32" s="211"/>
    </row>
    <row r="33" spans="1:43" ht="15.75" customHeight="1" x14ac:dyDescent="0.25">
      <c r="A33" s="159"/>
      <c r="B33" s="80"/>
      <c r="C33" s="82"/>
      <c r="D33" s="80"/>
      <c r="E33" s="80"/>
      <c r="F33" s="163"/>
      <c r="G33" s="70"/>
      <c r="H33" s="163"/>
      <c r="I33" s="79"/>
      <c r="J33" s="307"/>
      <c r="K33" s="263"/>
      <c r="L33" s="163"/>
      <c r="M33" s="79"/>
      <c r="N33" s="198"/>
      <c r="O33" s="156"/>
      <c r="P33" s="230"/>
      <c r="Q33" s="79"/>
      <c r="R33" s="163"/>
      <c r="S33" s="200"/>
      <c r="V33" s="211"/>
      <c r="Y33" s="211"/>
      <c r="Z33" s="305"/>
      <c r="AA33" s="211"/>
      <c r="AB33" s="211"/>
      <c r="AC33" s="211"/>
      <c r="AD33" s="211"/>
      <c r="AE33" s="211"/>
      <c r="AF33" s="211"/>
      <c r="AI33" s="211"/>
      <c r="AJ33" s="211"/>
      <c r="AK33" s="212"/>
      <c r="AL33" s="211"/>
    </row>
    <row r="34" spans="1:43" ht="15.75" customHeight="1" x14ac:dyDescent="0.25">
      <c r="A34" s="159">
        <v>12</v>
      </c>
      <c r="B34" s="80"/>
      <c r="C34" s="253" t="s">
        <v>553</v>
      </c>
      <c r="D34" s="80"/>
      <c r="E34" s="80"/>
      <c r="F34" s="163"/>
      <c r="G34" s="70"/>
      <c r="H34" s="163"/>
      <c r="I34" s="79"/>
      <c r="J34" s="307"/>
      <c r="K34" s="263"/>
      <c r="L34" s="163"/>
      <c r="M34" s="79"/>
      <c r="N34" s="198"/>
      <c r="O34" s="156"/>
      <c r="P34" s="230"/>
      <c r="Q34" s="79"/>
      <c r="R34" s="163"/>
      <c r="S34" s="200"/>
      <c r="V34" s="211"/>
      <c r="Y34" s="211"/>
      <c r="Z34" s="305"/>
      <c r="AA34" s="211"/>
      <c r="AB34" s="211"/>
      <c r="AC34" s="211"/>
      <c r="AD34" s="211"/>
      <c r="AE34" s="211"/>
      <c r="AF34" s="211"/>
      <c r="AI34" s="211"/>
      <c r="AJ34" s="211"/>
      <c r="AK34" s="212"/>
      <c r="AL34" s="211"/>
    </row>
    <row r="35" spans="1:43" ht="15.75" customHeight="1" x14ac:dyDescent="0.25">
      <c r="A35" s="159">
        <v>13</v>
      </c>
      <c r="B35" s="80"/>
      <c r="C35" s="153" t="s">
        <v>556</v>
      </c>
      <c r="D35" s="80"/>
      <c r="E35" s="80"/>
      <c r="F35" s="163"/>
      <c r="G35" s="70"/>
      <c r="H35" s="163"/>
      <c r="I35" s="79"/>
      <c r="J35" s="295">
        <f>PRO_DSM_DIST</f>
        <v>2.5760000000000002E-3</v>
      </c>
      <c r="K35" s="263"/>
      <c r="L35" s="163">
        <f>ROUND(H32*PRO_DSM_DIST,0)</f>
        <v>0</v>
      </c>
      <c r="M35" s="79"/>
      <c r="N35" s="197">
        <v>0</v>
      </c>
      <c r="O35" s="156"/>
      <c r="P35" s="230"/>
      <c r="Q35" s="79"/>
      <c r="R35" s="79">
        <f t="shared" ref="R35:R36" si="0">L35+P35</f>
        <v>0</v>
      </c>
      <c r="S35" s="200"/>
      <c r="V35" s="211"/>
      <c r="Y35" s="211"/>
      <c r="Z35" s="305"/>
      <c r="AA35" s="211"/>
      <c r="AB35" s="211"/>
      <c r="AC35" s="211"/>
      <c r="AD35" s="211"/>
      <c r="AE35" s="211"/>
      <c r="AF35" s="211"/>
      <c r="AI35" s="211"/>
      <c r="AJ35" s="211"/>
      <c r="AK35" s="212"/>
      <c r="AL35" s="211"/>
    </row>
    <row r="36" spans="1:43" ht="15.75" customHeight="1" x14ac:dyDescent="0.25">
      <c r="A36" s="159">
        <v>14</v>
      </c>
      <c r="B36" s="80"/>
      <c r="C36" s="153" t="s">
        <v>555</v>
      </c>
      <c r="D36" s="80"/>
      <c r="E36" s="80"/>
      <c r="F36" s="163"/>
      <c r="G36" s="70"/>
      <c r="H36" s="163"/>
      <c r="I36" s="79"/>
      <c r="J36" s="295">
        <f>PRO_PSM</f>
        <v>-4.5600000000000003E-4</v>
      </c>
      <c r="K36" s="263"/>
      <c r="L36" s="167">
        <f>ROUND(H32*PRO_PSM,0)</f>
        <v>0</v>
      </c>
      <c r="M36" s="79"/>
      <c r="N36" s="166">
        <v>0</v>
      </c>
      <c r="O36" s="156"/>
      <c r="P36" s="286"/>
      <c r="Q36" s="79"/>
      <c r="R36" s="79">
        <f t="shared" si="0"/>
        <v>0</v>
      </c>
      <c r="S36" s="200"/>
      <c r="V36" s="211"/>
      <c r="Y36" s="211"/>
      <c r="Z36" s="305"/>
      <c r="AA36" s="211"/>
      <c r="AB36" s="211"/>
      <c r="AC36" s="211"/>
      <c r="AD36" s="211"/>
      <c r="AE36" s="211"/>
      <c r="AF36" s="211"/>
      <c r="AI36" s="211"/>
      <c r="AJ36" s="211"/>
      <c r="AK36" s="212"/>
      <c r="AL36" s="211"/>
    </row>
    <row r="37" spans="1:43" ht="20.100000000000001" customHeight="1" x14ac:dyDescent="0.25">
      <c r="A37" s="159">
        <v>15</v>
      </c>
      <c r="B37" s="80"/>
      <c r="C37" s="253" t="s">
        <v>557</v>
      </c>
      <c r="D37" s="80"/>
      <c r="E37" s="80"/>
      <c r="F37" s="167"/>
      <c r="G37" s="70"/>
      <c r="H37" s="167"/>
      <c r="I37" s="79"/>
      <c r="J37" s="263"/>
      <c r="K37" s="263"/>
      <c r="L37" s="169">
        <f>SUM(L35:L36)</f>
        <v>0</v>
      </c>
      <c r="M37" s="79"/>
      <c r="N37" s="170">
        <v>0</v>
      </c>
      <c r="O37" s="156"/>
      <c r="P37" s="169">
        <f>SUM(P35:P36)</f>
        <v>0</v>
      </c>
      <c r="Q37" s="79"/>
      <c r="R37" s="169">
        <f>SUM(R35:R36)</f>
        <v>0</v>
      </c>
      <c r="S37" s="200"/>
      <c r="V37" s="211"/>
      <c r="Y37" s="211"/>
      <c r="Z37" s="305"/>
      <c r="AA37" s="211"/>
      <c r="AB37" s="211"/>
      <c r="AC37" s="211"/>
      <c r="AD37" s="211"/>
      <c r="AE37" s="211"/>
      <c r="AF37" s="211"/>
      <c r="AI37" s="211"/>
      <c r="AJ37" s="211"/>
      <c r="AK37" s="212"/>
      <c r="AL37" s="211"/>
    </row>
    <row r="38" spans="1:43" ht="15.75" customHeight="1" x14ac:dyDescent="0.25">
      <c r="A38" s="159"/>
      <c r="B38" s="80"/>
      <c r="C38" s="253"/>
      <c r="D38" s="80"/>
      <c r="E38" s="80"/>
      <c r="F38" s="163"/>
      <c r="G38" s="70"/>
      <c r="H38" s="163"/>
      <c r="I38" s="79"/>
      <c r="J38" s="263"/>
      <c r="K38" s="263"/>
      <c r="L38" s="163"/>
      <c r="M38" s="79"/>
      <c r="N38" s="198"/>
      <c r="O38" s="156"/>
      <c r="P38" s="230"/>
      <c r="Q38" s="79"/>
      <c r="R38" s="163"/>
      <c r="S38" s="200"/>
      <c r="V38" s="211"/>
      <c r="Y38" s="211"/>
      <c r="Z38" s="305"/>
      <c r="AA38" s="211"/>
      <c r="AB38" s="211"/>
      <c r="AC38" s="211"/>
      <c r="AD38" s="211"/>
      <c r="AE38" s="211"/>
      <c r="AF38" s="211"/>
      <c r="AI38" s="211"/>
      <c r="AJ38" s="211"/>
      <c r="AK38" s="212"/>
      <c r="AL38" s="211"/>
    </row>
    <row r="39" spans="1:43" ht="20.100000000000001" customHeight="1" thickBot="1" x14ac:dyDescent="0.3">
      <c r="A39" s="159">
        <v>16</v>
      </c>
      <c r="B39" s="80"/>
      <c r="C39" s="265" t="s">
        <v>577</v>
      </c>
      <c r="D39" s="80"/>
      <c r="E39" s="80"/>
      <c r="F39" s="275">
        <f>F32</f>
        <v>0</v>
      </c>
      <c r="G39" s="70"/>
      <c r="H39" s="275">
        <f>H32</f>
        <v>0</v>
      </c>
      <c r="I39" s="70"/>
      <c r="J39" s="70"/>
      <c r="K39" s="70"/>
      <c r="L39" s="275">
        <f>L37+L32</f>
        <v>0</v>
      </c>
      <c r="M39" s="70"/>
      <c r="N39" s="309">
        <v>100</v>
      </c>
      <c r="O39" s="70"/>
      <c r="P39" s="275">
        <f>P37+P32</f>
        <v>0</v>
      </c>
      <c r="Q39" s="230"/>
      <c r="R39" s="275">
        <f>R37+R32</f>
        <v>0</v>
      </c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188"/>
      <c r="AH39" s="80"/>
      <c r="AI39" s="80"/>
      <c r="AJ39" s="80"/>
      <c r="AK39" s="188"/>
      <c r="AL39" s="80"/>
      <c r="AM39" s="80"/>
      <c r="AN39" s="80"/>
      <c r="AO39" s="80"/>
      <c r="AP39" s="80"/>
      <c r="AQ39" s="188"/>
    </row>
    <row r="40" spans="1:43" ht="16.5" thickTop="1" x14ac:dyDescent="0.25">
      <c r="A40" s="80"/>
      <c r="B40" s="80"/>
      <c r="C40" s="80"/>
      <c r="D40" s="80"/>
      <c r="E40" s="8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346"/>
      <c r="R40" s="7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188"/>
      <c r="AH40" s="80"/>
      <c r="AI40" s="80"/>
      <c r="AJ40" s="80"/>
      <c r="AK40" s="188"/>
      <c r="AL40" s="80"/>
      <c r="AM40" s="80"/>
      <c r="AN40" s="80"/>
      <c r="AO40" s="80"/>
      <c r="AP40" s="80"/>
      <c r="AQ40" s="188"/>
    </row>
    <row r="41" spans="1:43" x14ac:dyDescent="0.25">
      <c r="A41" s="80"/>
      <c r="B41" s="80"/>
      <c r="C41" s="173" t="s">
        <v>61</v>
      </c>
      <c r="D41" s="80"/>
      <c r="E41" s="80"/>
      <c r="F41" s="80"/>
      <c r="G41" s="80"/>
      <c r="H41" s="80"/>
      <c r="I41" s="80"/>
      <c r="J41" s="80"/>
      <c r="K41" s="80"/>
      <c r="L41" s="189"/>
      <c r="M41" s="80"/>
      <c r="N41" s="189"/>
      <c r="O41" s="80"/>
      <c r="P41" s="189"/>
      <c r="Q41" s="200"/>
      <c r="R41" s="189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188"/>
      <c r="AH41" s="80"/>
      <c r="AI41" s="80"/>
      <c r="AJ41" s="80"/>
      <c r="AK41" s="188"/>
      <c r="AL41" s="80"/>
      <c r="AM41" s="80"/>
      <c r="AN41" s="80"/>
      <c r="AO41" s="80"/>
      <c r="AP41" s="80"/>
      <c r="AQ41" s="188"/>
    </row>
    <row r="42" spans="1:43" x14ac:dyDescent="0.25">
      <c r="C42" s="82"/>
      <c r="F42" s="211">
        <v>0</v>
      </c>
      <c r="H42" s="211">
        <v>0</v>
      </c>
      <c r="I42" s="80"/>
      <c r="J42" s="211"/>
      <c r="K42" s="80"/>
      <c r="L42" s="305"/>
      <c r="M42" s="80"/>
      <c r="N42" s="305"/>
      <c r="O42" s="80"/>
      <c r="P42" s="211"/>
      <c r="Q42" s="211"/>
      <c r="R42" s="211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188"/>
      <c r="AH42" s="80"/>
      <c r="AI42" s="80"/>
      <c r="AJ42" s="80"/>
      <c r="AK42" s="188"/>
      <c r="AL42" s="80"/>
      <c r="AM42" s="80"/>
      <c r="AN42" s="80"/>
      <c r="AO42" s="80"/>
      <c r="AP42" s="80"/>
      <c r="AQ42" s="188"/>
    </row>
    <row r="43" spans="1:43" x14ac:dyDescent="0.25">
      <c r="A43" s="202"/>
      <c r="C43" s="154"/>
      <c r="F43" s="200"/>
      <c r="H43" s="200"/>
      <c r="I43" s="80"/>
      <c r="J43" s="200"/>
      <c r="K43" s="80"/>
      <c r="L43" s="213"/>
      <c r="M43" s="80"/>
      <c r="N43" s="213"/>
      <c r="O43" s="80"/>
      <c r="P43" s="200"/>
      <c r="Q43" s="200"/>
      <c r="R43" s="20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188"/>
      <c r="AH43" s="80"/>
      <c r="AI43" s="80"/>
      <c r="AJ43" s="80"/>
      <c r="AK43" s="188"/>
      <c r="AL43" s="80"/>
      <c r="AM43" s="80"/>
      <c r="AN43" s="80"/>
      <c r="AO43" s="80"/>
      <c r="AP43" s="80"/>
      <c r="AQ43" s="188"/>
    </row>
    <row r="44" spans="1:43" x14ac:dyDescent="0.25">
      <c r="A44" s="202"/>
      <c r="C44" s="154"/>
      <c r="F44" s="200"/>
      <c r="H44" s="200"/>
      <c r="I44" s="80"/>
      <c r="J44" s="200"/>
      <c r="K44" s="80"/>
      <c r="L44" s="213"/>
      <c r="M44" s="80"/>
      <c r="N44" s="213"/>
      <c r="O44" s="80"/>
      <c r="P44" s="200"/>
      <c r="Q44" s="200"/>
      <c r="R44" s="20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188"/>
      <c r="AH44" s="80"/>
      <c r="AI44" s="80"/>
      <c r="AJ44" s="80"/>
      <c r="AK44" s="188"/>
      <c r="AL44" s="80"/>
      <c r="AM44" s="80"/>
      <c r="AN44" s="80"/>
      <c r="AO44" s="80"/>
      <c r="AP44" s="80"/>
      <c r="AQ44" s="188"/>
    </row>
    <row r="45" spans="1:43" x14ac:dyDescent="0.25">
      <c r="F45" s="200"/>
      <c r="H45" s="200"/>
      <c r="I45" s="80"/>
      <c r="J45" s="200"/>
      <c r="K45" s="80"/>
      <c r="L45" s="213"/>
      <c r="M45" s="80"/>
      <c r="N45" s="213"/>
      <c r="O45" s="80"/>
      <c r="P45" s="200"/>
      <c r="Q45" s="200"/>
      <c r="R45" s="20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188"/>
      <c r="AH45" s="80"/>
      <c r="AI45" s="80"/>
      <c r="AJ45" s="80"/>
      <c r="AK45" s="188"/>
      <c r="AL45" s="80"/>
      <c r="AM45" s="80"/>
      <c r="AN45" s="80"/>
      <c r="AO45" s="80"/>
      <c r="AP45" s="80"/>
      <c r="AQ45" s="188"/>
    </row>
    <row r="46" spans="1:43" x14ac:dyDescent="0.25">
      <c r="A46" s="154"/>
      <c r="F46" s="200"/>
      <c r="H46" s="200"/>
      <c r="I46" s="80"/>
      <c r="J46" s="200"/>
      <c r="K46" s="80"/>
      <c r="L46" s="213"/>
      <c r="M46" s="80"/>
      <c r="N46" s="213"/>
      <c r="O46" s="80"/>
      <c r="P46" s="200"/>
      <c r="Q46" s="200"/>
      <c r="R46" s="200"/>
      <c r="T46" s="150" t="str">
        <f>NAME</f>
        <v>DUKE ENERGY KENTUCKY, INC.</v>
      </c>
      <c r="U46" s="150"/>
      <c r="V46" s="150"/>
      <c r="W46" s="150"/>
      <c r="X46" s="150"/>
      <c r="Y46" s="150"/>
      <c r="Z46" s="150"/>
      <c r="AA46" s="150"/>
      <c r="AB46" s="150"/>
      <c r="AC46" s="187"/>
      <c r="AD46" s="187"/>
      <c r="AE46" s="150"/>
      <c r="AF46" s="100"/>
      <c r="AG46" s="190"/>
      <c r="AH46" s="100"/>
      <c r="AI46" s="150"/>
      <c r="AJ46" s="150"/>
      <c r="AK46" s="190"/>
      <c r="AL46" s="150"/>
      <c r="AM46" s="150"/>
      <c r="AN46" s="100"/>
      <c r="AO46" s="150"/>
      <c r="AP46" s="150"/>
      <c r="AQ46" s="190"/>
    </row>
    <row r="47" spans="1:43" x14ac:dyDescent="0.25">
      <c r="A47" s="154"/>
      <c r="F47" s="200"/>
      <c r="H47" s="200"/>
      <c r="I47" s="80"/>
      <c r="J47" s="200"/>
      <c r="K47" s="80"/>
      <c r="L47" s="213"/>
      <c r="M47" s="80"/>
      <c r="N47" s="213"/>
      <c r="O47" s="80"/>
      <c r="P47" s="200"/>
      <c r="Q47" s="200"/>
      <c r="R47" s="200"/>
      <c r="T47" s="150" t="str">
        <f>CASE_NO</f>
        <v>CASE NO.   2017-00321</v>
      </c>
      <c r="U47" s="150"/>
      <c r="V47" s="150"/>
      <c r="W47" s="150"/>
      <c r="X47" s="150"/>
      <c r="Y47" s="150"/>
      <c r="Z47" s="150"/>
      <c r="AA47" s="150"/>
      <c r="AB47" s="150"/>
      <c r="AC47" s="187"/>
      <c r="AD47" s="187"/>
      <c r="AE47" s="150"/>
      <c r="AF47" s="100"/>
      <c r="AG47" s="190"/>
      <c r="AH47" s="100"/>
      <c r="AI47" s="150"/>
      <c r="AJ47" s="150"/>
      <c r="AK47" s="190"/>
      <c r="AL47" s="150"/>
      <c r="AM47" s="150"/>
      <c r="AN47" s="100"/>
      <c r="AO47" s="150"/>
      <c r="AP47" s="150"/>
      <c r="AQ47" s="190"/>
    </row>
    <row r="48" spans="1:43" x14ac:dyDescent="0.25">
      <c r="I48" s="80"/>
      <c r="K48" s="80"/>
      <c r="M48" s="80"/>
      <c r="O48" s="80"/>
      <c r="T48" s="187" t="str">
        <f>TITLE</f>
        <v>ANNUALIZED BASE YEAR REVENUES AT PROPOSED VS. MOST CURRENT RATES</v>
      </c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00"/>
      <c r="AG48" s="190"/>
      <c r="AH48" s="100"/>
      <c r="AI48" s="150"/>
      <c r="AJ48" s="150"/>
      <c r="AK48" s="190"/>
      <c r="AL48" s="150"/>
      <c r="AM48" s="150"/>
      <c r="AN48" s="100"/>
      <c r="AO48" s="150"/>
      <c r="AP48" s="150"/>
      <c r="AQ48" s="190"/>
    </row>
    <row r="49" spans="1:43" x14ac:dyDescent="0.25">
      <c r="I49" s="80"/>
      <c r="K49" s="80"/>
      <c r="M49" s="80"/>
      <c r="O49" s="80"/>
      <c r="T49" s="150" t="str">
        <f>DATE</f>
        <v>FOR THE TWELVE MONTHS ENDED November 30, 2017</v>
      </c>
      <c r="U49" s="150"/>
      <c r="V49" s="150"/>
      <c r="W49" s="150"/>
      <c r="X49" s="150"/>
      <c r="Y49" s="150"/>
      <c r="Z49" s="150"/>
      <c r="AA49" s="150"/>
      <c r="AB49" s="150"/>
      <c r="AC49" s="187"/>
      <c r="AD49" s="187"/>
      <c r="AE49" s="150"/>
      <c r="AF49" s="100"/>
      <c r="AG49" s="190"/>
      <c r="AH49" s="100"/>
      <c r="AI49" s="150"/>
      <c r="AJ49" s="150"/>
      <c r="AK49" s="190"/>
      <c r="AL49" s="150"/>
      <c r="AM49" s="150"/>
      <c r="AN49" s="100"/>
      <c r="AO49" s="150"/>
      <c r="AP49" s="150"/>
      <c r="AQ49" s="190"/>
    </row>
    <row r="50" spans="1:43" x14ac:dyDescent="0.25">
      <c r="I50" s="80"/>
      <c r="K50" s="80"/>
      <c r="M50" s="80"/>
      <c r="O50" s="80"/>
      <c r="P50" s="200"/>
      <c r="Q50" s="200"/>
      <c r="R50" s="200"/>
      <c r="T50" s="150" t="str">
        <f>SERVICE</f>
        <v>(ELECTRIC SERVICE)</v>
      </c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87"/>
      <c r="AF50" s="312"/>
      <c r="AG50" s="190"/>
      <c r="AH50" s="100"/>
      <c r="AI50" s="150"/>
      <c r="AJ50" s="150"/>
      <c r="AK50" s="190"/>
      <c r="AL50" s="150"/>
      <c r="AM50" s="150"/>
      <c r="AN50" s="100"/>
      <c r="AO50" s="150"/>
      <c r="AP50" s="150"/>
      <c r="AQ50" s="190"/>
    </row>
    <row r="51" spans="1:43" x14ac:dyDescent="0.25">
      <c r="I51" s="80"/>
      <c r="K51" s="80"/>
      <c r="M51" s="80"/>
      <c r="O51" s="80"/>
      <c r="T51" s="159" t="str">
        <f>DATA_PERIOD</f>
        <v>DATA: __X__ BASE PERIOD   ____FORECASTED PERIOD</v>
      </c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G51" s="188"/>
      <c r="AI51" s="80"/>
      <c r="AJ51" s="80"/>
      <c r="AK51" s="188"/>
      <c r="AL51" s="80"/>
      <c r="AM51" s="80"/>
      <c r="AO51" s="82" t="s">
        <v>179</v>
      </c>
      <c r="AP51" s="82"/>
      <c r="AQ51" s="188"/>
    </row>
    <row r="52" spans="1:43" x14ac:dyDescent="0.25">
      <c r="I52" s="80"/>
      <c r="K52" s="80"/>
      <c r="L52" s="202"/>
      <c r="M52" s="80"/>
      <c r="N52" s="202"/>
      <c r="O52" s="80"/>
      <c r="T52" s="159" t="str">
        <f>TYPE</f>
        <v>TYPE OF FILING: _X_ ORIGINAL   ___UPDATED  ___ REVISED</v>
      </c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G52" s="188"/>
      <c r="AI52" s="80"/>
      <c r="AJ52" s="80"/>
      <c r="AK52" s="188"/>
      <c r="AL52" s="80"/>
      <c r="AM52" s="80"/>
      <c r="AO52" s="81" t="str">
        <f>R7</f>
        <v>PAGE  xx  OF  22</v>
      </c>
      <c r="AP52" s="82"/>
      <c r="AQ52" s="188"/>
    </row>
    <row r="53" spans="1:43" x14ac:dyDescent="0.25">
      <c r="H53" s="154"/>
      <c r="I53" s="80"/>
      <c r="J53" s="154"/>
      <c r="K53" s="80"/>
      <c r="M53" s="80"/>
      <c r="O53" s="80"/>
      <c r="T53" s="82" t="s">
        <v>192</v>
      </c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G53" s="188"/>
      <c r="AI53" s="80"/>
      <c r="AJ53" s="80"/>
      <c r="AK53" s="188"/>
      <c r="AL53" s="80"/>
      <c r="AM53" s="80"/>
      <c r="AO53" s="82" t="s">
        <v>3</v>
      </c>
      <c r="AP53" s="82"/>
      <c r="AQ53" s="188"/>
    </row>
    <row r="54" spans="1:43" x14ac:dyDescent="0.25">
      <c r="I54" s="80"/>
      <c r="K54" s="80"/>
      <c r="L54" s="202"/>
      <c r="M54" s="80"/>
      <c r="N54" s="202"/>
      <c r="O54" s="80"/>
      <c r="T54" s="253" t="str">
        <f>TIME</f>
        <v>6 Months Actual and 6 Months Projected</v>
      </c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G54" s="188"/>
      <c r="AI54" s="80"/>
      <c r="AJ54" s="80"/>
      <c r="AK54" s="188"/>
      <c r="AL54" s="80"/>
      <c r="AM54" s="80"/>
      <c r="AO54" s="159" t="str">
        <f>WIT</f>
        <v>B. L. SAILERS</v>
      </c>
      <c r="AP54" s="159"/>
      <c r="AQ54" s="188"/>
    </row>
    <row r="55" spans="1:43" x14ac:dyDescent="0.25">
      <c r="I55" s="80"/>
      <c r="K55" s="80"/>
      <c r="L55" s="202"/>
      <c r="M55" s="80"/>
      <c r="N55" s="202"/>
      <c r="O55" s="80"/>
      <c r="T55" s="253" t="str">
        <f>INPUT!B5</f>
        <v>6 Months Actual Ending May 31, 2017</v>
      </c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G55" s="188"/>
      <c r="AI55" s="80"/>
      <c r="AJ55" s="80"/>
      <c r="AK55" s="188"/>
      <c r="AL55" s="80"/>
      <c r="AM55" s="80"/>
      <c r="AO55" s="159"/>
      <c r="AP55" s="159"/>
      <c r="AQ55" s="188"/>
    </row>
    <row r="56" spans="1:43" x14ac:dyDescent="0.25">
      <c r="I56" s="80"/>
      <c r="K56" s="80"/>
      <c r="M56" s="80"/>
      <c r="O56" s="80"/>
      <c r="P56" s="154"/>
      <c r="T56" s="187" t="s">
        <v>152</v>
      </c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00"/>
      <c r="AG56" s="190"/>
      <c r="AH56" s="100"/>
      <c r="AI56" s="150"/>
      <c r="AJ56" s="150"/>
      <c r="AK56" s="190"/>
      <c r="AL56" s="150"/>
      <c r="AM56" s="150"/>
      <c r="AN56" s="100"/>
      <c r="AO56" s="150"/>
      <c r="AP56" s="150"/>
      <c r="AQ56" s="190"/>
    </row>
    <row r="57" spans="1:43" x14ac:dyDescent="0.25">
      <c r="A57" s="202"/>
      <c r="I57" s="80"/>
      <c r="K57" s="80"/>
      <c r="M57" s="80"/>
      <c r="R57" s="1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5"/>
      <c r="AH57" s="254"/>
      <c r="AI57" s="254"/>
      <c r="AJ57" s="254"/>
      <c r="AK57" s="255"/>
      <c r="AL57" s="254"/>
      <c r="AM57" s="254"/>
      <c r="AN57" s="254"/>
      <c r="AO57" s="254"/>
      <c r="AP57" s="254"/>
      <c r="AQ57" s="255"/>
    </row>
    <row r="58" spans="1:43" ht="18" customHeight="1" x14ac:dyDescent="0.25">
      <c r="A58" s="202"/>
      <c r="I58" s="80"/>
      <c r="K58" s="80"/>
      <c r="M58" s="80"/>
      <c r="R58" s="154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3" t="s">
        <v>8</v>
      </c>
      <c r="AF58" s="103"/>
      <c r="AG58" s="195" t="s">
        <v>7</v>
      </c>
      <c r="AH58" s="103"/>
      <c r="AI58" s="83" t="s">
        <v>9</v>
      </c>
      <c r="AJ58" s="83"/>
      <c r="AK58" s="195" t="s">
        <v>10</v>
      </c>
      <c r="AL58" s="83"/>
      <c r="AM58" s="80"/>
      <c r="AO58" s="83" t="s">
        <v>8</v>
      </c>
      <c r="AP58" s="83"/>
      <c r="AQ58" s="195" t="s">
        <v>11</v>
      </c>
    </row>
    <row r="59" spans="1:43" x14ac:dyDescent="0.25">
      <c r="A59" s="154"/>
      <c r="I59" s="80"/>
      <c r="K59" s="80"/>
      <c r="M59" s="80"/>
      <c r="R59" s="154"/>
      <c r="T59" s="80"/>
      <c r="U59" s="80"/>
      <c r="V59" s="80"/>
      <c r="W59" s="80"/>
      <c r="X59" s="80"/>
      <c r="Y59" s="80"/>
      <c r="Z59" s="80"/>
      <c r="AA59" s="80"/>
      <c r="AB59" s="80"/>
      <c r="AC59" s="83" t="s">
        <v>14</v>
      </c>
      <c r="AD59" s="83"/>
      <c r="AE59" s="83" t="s">
        <v>12</v>
      </c>
      <c r="AF59" s="103"/>
      <c r="AG59" s="195" t="s">
        <v>13</v>
      </c>
      <c r="AH59" s="103"/>
      <c r="AI59" s="83" t="s">
        <v>15</v>
      </c>
      <c r="AJ59" s="83"/>
      <c r="AK59" s="195" t="s">
        <v>16</v>
      </c>
      <c r="AL59" s="83"/>
      <c r="AM59" s="80"/>
      <c r="AO59" s="83" t="s">
        <v>11</v>
      </c>
      <c r="AP59" s="83"/>
      <c r="AQ59" s="195" t="s">
        <v>9</v>
      </c>
    </row>
    <row r="60" spans="1:43" x14ac:dyDescent="0.25">
      <c r="I60" s="80"/>
      <c r="K60" s="80"/>
      <c r="M60" s="80"/>
      <c r="O60" s="154"/>
      <c r="R60" s="202"/>
      <c r="T60" s="83" t="s">
        <v>17</v>
      </c>
      <c r="U60" s="80"/>
      <c r="V60" s="83" t="s">
        <v>18</v>
      </c>
      <c r="W60" s="83" t="s">
        <v>19</v>
      </c>
      <c r="X60" s="83"/>
      <c r="Y60" s="83" t="s">
        <v>20</v>
      </c>
      <c r="Z60" s="80"/>
      <c r="AA60" s="80"/>
      <c r="AB60" s="80"/>
      <c r="AC60" s="83" t="s">
        <v>8</v>
      </c>
      <c r="AD60" s="83"/>
      <c r="AE60" s="83" t="s">
        <v>21</v>
      </c>
      <c r="AF60" s="103"/>
      <c r="AG60" s="195" t="s">
        <v>21</v>
      </c>
      <c r="AH60" s="103"/>
      <c r="AI60" s="83" t="s">
        <v>22</v>
      </c>
      <c r="AJ60" s="83"/>
      <c r="AK60" s="195" t="s">
        <v>22</v>
      </c>
      <c r="AL60" s="83"/>
      <c r="AM60" s="83" t="s">
        <v>21</v>
      </c>
      <c r="AN60" s="103"/>
      <c r="AO60" s="83" t="s">
        <v>9</v>
      </c>
      <c r="AP60" s="83"/>
      <c r="AQ60" s="195" t="s">
        <v>23</v>
      </c>
    </row>
    <row r="61" spans="1:43" x14ac:dyDescent="0.25">
      <c r="A61" s="102"/>
      <c r="B61" s="102"/>
      <c r="C61" s="102"/>
      <c r="D61" s="102"/>
      <c r="E61" s="102"/>
      <c r="F61" s="102"/>
      <c r="G61" s="102"/>
      <c r="H61" s="102"/>
      <c r="I61" s="80"/>
      <c r="J61" s="102"/>
      <c r="K61" s="80"/>
      <c r="L61" s="102"/>
      <c r="M61" s="80"/>
      <c r="N61" s="102"/>
      <c r="O61" s="102"/>
      <c r="P61" s="102"/>
      <c r="Q61" s="102"/>
      <c r="R61" s="102"/>
      <c r="T61" s="83" t="s">
        <v>24</v>
      </c>
      <c r="U61" s="80"/>
      <c r="V61" s="83" t="s">
        <v>25</v>
      </c>
      <c r="W61" s="83" t="s">
        <v>26</v>
      </c>
      <c r="X61" s="83"/>
      <c r="Y61" s="83" t="s">
        <v>27</v>
      </c>
      <c r="Z61" s="80"/>
      <c r="AA61" s="83" t="s">
        <v>28</v>
      </c>
      <c r="AB61" s="83"/>
      <c r="AC61" s="83" t="s">
        <v>29</v>
      </c>
      <c r="AD61" s="83"/>
      <c r="AE61" s="83" t="s">
        <v>9</v>
      </c>
      <c r="AF61" s="103"/>
      <c r="AG61" s="195" t="s">
        <v>9</v>
      </c>
      <c r="AH61" s="103"/>
      <c r="AI61" s="256" t="s">
        <v>31</v>
      </c>
      <c r="AJ61" s="256"/>
      <c r="AK61" s="257" t="s">
        <v>32</v>
      </c>
      <c r="AL61" s="83"/>
      <c r="AM61" s="83" t="s">
        <v>475</v>
      </c>
      <c r="AN61" s="103"/>
      <c r="AO61" s="256" t="s">
        <v>33</v>
      </c>
      <c r="AP61" s="256"/>
      <c r="AQ61" s="257" t="s">
        <v>34</v>
      </c>
    </row>
    <row r="62" spans="1:43" x14ac:dyDescent="0.25">
      <c r="I62" s="80"/>
      <c r="K62" s="80"/>
      <c r="M62" s="80"/>
      <c r="O62" s="103"/>
      <c r="P62" s="103"/>
      <c r="R62" s="103"/>
      <c r="T62" s="80"/>
      <c r="U62" s="80"/>
      <c r="V62" s="256" t="s">
        <v>35</v>
      </c>
      <c r="W62" s="256" t="s">
        <v>36</v>
      </c>
      <c r="X62" s="256"/>
      <c r="Y62" s="256" t="s">
        <v>37</v>
      </c>
      <c r="Z62" s="258"/>
      <c r="AA62" s="256" t="s">
        <v>38</v>
      </c>
      <c r="AB62" s="256"/>
      <c r="AC62" s="256" t="s">
        <v>44</v>
      </c>
      <c r="AD62" s="256"/>
      <c r="AE62" s="256" t="s">
        <v>45</v>
      </c>
      <c r="AF62" s="313"/>
      <c r="AG62" s="257" t="s">
        <v>46</v>
      </c>
      <c r="AH62" s="313"/>
      <c r="AI62" s="256" t="s">
        <v>47</v>
      </c>
      <c r="AJ62" s="256"/>
      <c r="AK62" s="257" t="s">
        <v>48</v>
      </c>
      <c r="AL62" s="256"/>
      <c r="AM62" s="256" t="s">
        <v>42</v>
      </c>
      <c r="AN62" s="313"/>
      <c r="AO62" s="256" t="s">
        <v>49</v>
      </c>
      <c r="AP62" s="256"/>
      <c r="AQ62" s="257" t="s">
        <v>50</v>
      </c>
    </row>
    <row r="63" spans="1:43" x14ac:dyDescent="0.25">
      <c r="I63" s="80"/>
      <c r="K63" s="80"/>
      <c r="M63" s="80"/>
      <c r="O63" s="103"/>
      <c r="P63" s="103"/>
      <c r="R63" s="103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5"/>
      <c r="AH63" s="254"/>
      <c r="AI63" s="254"/>
      <c r="AJ63" s="254"/>
      <c r="AK63" s="255"/>
      <c r="AL63" s="254"/>
      <c r="AM63" s="254"/>
      <c r="AN63" s="254"/>
      <c r="AO63" s="254"/>
      <c r="AP63" s="254"/>
      <c r="AQ63" s="255"/>
    </row>
    <row r="64" spans="1:43" ht="17.100000000000001" customHeight="1" x14ac:dyDescent="0.25">
      <c r="A64" s="103"/>
      <c r="C64" s="103"/>
      <c r="D64" s="103"/>
      <c r="E64" s="103"/>
      <c r="F64" s="103"/>
      <c r="I64" s="80"/>
      <c r="K64" s="80"/>
      <c r="L64" s="103"/>
      <c r="M64" s="80"/>
      <c r="N64" s="103"/>
      <c r="O64" s="103"/>
      <c r="P64" s="103"/>
      <c r="Q64" s="103"/>
      <c r="R64" s="103"/>
      <c r="T64" s="80"/>
      <c r="U64" s="80"/>
      <c r="V64" s="80"/>
      <c r="W64" s="80"/>
      <c r="X64" s="80"/>
      <c r="Y64" s="80"/>
      <c r="Z64" s="80"/>
      <c r="AA64" s="260" t="s">
        <v>51</v>
      </c>
      <c r="AB64" s="259"/>
      <c r="AC64" s="260" t="s">
        <v>418</v>
      </c>
      <c r="AD64" s="259"/>
      <c r="AE64" s="259" t="s">
        <v>52</v>
      </c>
      <c r="AF64" s="314"/>
      <c r="AG64" s="261" t="s">
        <v>53</v>
      </c>
      <c r="AH64" s="314"/>
      <c r="AI64" s="259" t="s">
        <v>52</v>
      </c>
      <c r="AJ64" s="259"/>
      <c r="AK64" s="261" t="s">
        <v>53</v>
      </c>
      <c r="AL64" s="259"/>
      <c r="AM64" s="259" t="s">
        <v>52</v>
      </c>
      <c r="AN64" s="314"/>
      <c r="AO64" s="259" t="s">
        <v>52</v>
      </c>
      <c r="AP64" s="259"/>
      <c r="AQ64" s="261" t="s">
        <v>53</v>
      </c>
    </row>
    <row r="65" spans="1:43" x14ac:dyDescent="0.25">
      <c r="A65" s="103"/>
      <c r="C65" s="103"/>
      <c r="D65" s="103"/>
      <c r="E65" s="103"/>
      <c r="F65" s="103"/>
      <c r="H65" s="103"/>
      <c r="I65" s="80"/>
      <c r="J65" s="103"/>
      <c r="K65" s="80"/>
      <c r="L65" s="103"/>
      <c r="M65" s="80"/>
      <c r="N65" s="103"/>
      <c r="O65" s="103"/>
      <c r="P65" s="103"/>
      <c r="Q65" s="103"/>
      <c r="R65" s="103"/>
      <c r="T65" s="159">
        <v>1</v>
      </c>
      <c r="U65" s="80"/>
      <c r="V65" s="253" t="s">
        <v>412</v>
      </c>
      <c r="W65" s="387" t="s">
        <v>473</v>
      </c>
      <c r="X65" s="82"/>
      <c r="Y65" s="70"/>
      <c r="Z65" s="70"/>
      <c r="AA65" s="70"/>
      <c r="AB65" s="70"/>
      <c r="AC65" s="70"/>
      <c r="AD65" s="70"/>
      <c r="AE65" s="70"/>
      <c r="AF65" s="70"/>
      <c r="AG65" s="164"/>
      <c r="AH65" s="70"/>
      <c r="AI65" s="70"/>
      <c r="AJ65" s="70"/>
      <c r="AK65" s="164"/>
      <c r="AL65" s="70"/>
      <c r="AM65" s="70"/>
      <c r="AN65" s="70"/>
      <c r="AO65" s="85"/>
      <c r="AP65" s="85"/>
      <c r="AQ65" s="351"/>
    </row>
    <row r="66" spans="1:43" x14ac:dyDescent="0.25">
      <c r="C66" s="103"/>
      <c r="D66" s="103"/>
      <c r="E66" s="103"/>
      <c r="F66" s="103"/>
      <c r="H66" s="103"/>
      <c r="I66" s="80"/>
      <c r="J66" s="103"/>
      <c r="K66" s="80"/>
      <c r="L66" s="103"/>
      <c r="M66" s="80"/>
      <c r="N66" s="103"/>
      <c r="O66" s="103"/>
      <c r="P66" s="103"/>
      <c r="Q66" s="103"/>
      <c r="R66" s="103"/>
      <c r="T66" s="159">
        <v>2</v>
      </c>
      <c r="U66" s="80"/>
      <c r="V66" s="253"/>
      <c r="W66" s="258" t="s">
        <v>154</v>
      </c>
      <c r="X66" s="80"/>
      <c r="Y66" s="70"/>
      <c r="Z66" s="70"/>
      <c r="AA66" s="70"/>
      <c r="AB66" s="70"/>
      <c r="AC66" s="70"/>
      <c r="AD66" s="70"/>
      <c r="AE66" s="70"/>
      <c r="AF66" s="70"/>
      <c r="AG66" s="164"/>
      <c r="AH66" s="70"/>
      <c r="AI66" s="70"/>
      <c r="AJ66" s="70"/>
      <c r="AK66" s="164"/>
      <c r="AL66" s="70"/>
      <c r="AM66" s="70"/>
      <c r="AN66" s="70"/>
      <c r="AO66" s="85"/>
      <c r="AP66" s="85"/>
      <c r="AQ66" s="351"/>
    </row>
    <row r="67" spans="1:43" ht="18.75" customHeight="1" x14ac:dyDescent="0.25">
      <c r="C67" s="103"/>
      <c r="D67" s="103"/>
      <c r="E67" s="103"/>
      <c r="F67" s="103"/>
      <c r="H67" s="103"/>
      <c r="I67" s="80"/>
      <c r="J67" s="103"/>
      <c r="K67" s="80"/>
      <c r="L67" s="103"/>
      <c r="M67" s="80"/>
      <c r="N67" s="103"/>
      <c r="O67" s="103"/>
      <c r="P67" s="103"/>
      <c r="Q67" s="103"/>
      <c r="R67" s="103"/>
      <c r="T67" s="159"/>
      <c r="U67" s="80"/>
      <c r="V67" s="82"/>
      <c r="W67" s="80"/>
      <c r="X67" s="80"/>
      <c r="Y67" s="70"/>
      <c r="Z67" s="70"/>
      <c r="AA67" s="70"/>
      <c r="AB67" s="70"/>
      <c r="AC67" s="70"/>
      <c r="AD67" s="70"/>
      <c r="AE67" s="70"/>
      <c r="AF67" s="70"/>
      <c r="AG67" s="164"/>
      <c r="AH67" s="70"/>
      <c r="AI67" s="70"/>
      <c r="AJ67" s="70"/>
      <c r="AK67" s="164"/>
      <c r="AL67" s="70"/>
      <c r="AM67" s="70"/>
      <c r="AN67" s="70"/>
      <c r="AO67" s="85"/>
      <c r="AP67" s="85"/>
      <c r="AQ67" s="351"/>
    </row>
    <row r="68" spans="1:43" x14ac:dyDescent="0.25">
      <c r="H68" s="103"/>
      <c r="I68" s="80"/>
      <c r="J68" s="103"/>
      <c r="K68" s="80"/>
      <c r="L68" s="103"/>
      <c r="M68" s="80"/>
      <c r="N68" s="103"/>
      <c r="O68" s="103"/>
      <c r="P68" s="103"/>
      <c r="Q68" s="103"/>
      <c r="R68" s="103"/>
      <c r="T68" s="159">
        <v>3</v>
      </c>
      <c r="U68" s="80"/>
      <c r="V68" s="253" t="s">
        <v>155</v>
      </c>
      <c r="W68" s="80"/>
      <c r="X68" s="80"/>
      <c r="Y68" s="70"/>
      <c r="Z68" s="70"/>
      <c r="AA68" s="70"/>
      <c r="AB68" s="70"/>
      <c r="AC68" s="70"/>
      <c r="AD68" s="70"/>
      <c r="AE68" s="70"/>
      <c r="AF68" s="70"/>
      <c r="AG68" s="164"/>
      <c r="AH68" s="70"/>
      <c r="AI68" s="70"/>
      <c r="AJ68" s="70"/>
      <c r="AK68" s="164"/>
      <c r="AL68" s="70"/>
      <c r="AM68" s="70"/>
      <c r="AN68" s="70"/>
      <c r="AO68" s="85"/>
      <c r="AP68" s="85"/>
      <c r="AQ68" s="351"/>
    </row>
    <row r="69" spans="1:43" x14ac:dyDescent="0.25">
      <c r="I69" s="80"/>
      <c r="K69" s="80"/>
      <c r="M69" s="80"/>
      <c r="T69" s="159">
        <v>4</v>
      </c>
      <c r="U69" s="80"/>
      <c r="V69" s="82" t="s">
        <v>417</v>
      </c>
      <c r="W69" s="80"/>
      <c r="X69" s="80"/>
      <c r="Y69" s="163">
        <f>F24</f>
        <v>0</v>
      </c>
      <c r="Z69" s="70"/>
      <c r="AA69" s="78"/>
      <c r="AB69" s="78"/>
      <c r="AC69" s="283">
        <f>INPUT!C153</f>
        <v>183</v>
      </c>
      <c r="AD69" s="284"/>
      <c r="AE69" s="79">
        <f>ROUND(+Y69*AC69,0)</f>
        <v>0</v>
      </c>
      <c r="AF69" s="70"/>
      <c r="AG69" s="166">
        <v>0</v>
      </c>
      <c r="AH69" s="70"/>
      <c r="AI69" s="79">
        <f>L24-AE69</f>
        <v>0</v>
      </c>
      <c r="AJ69" s="79"/>
      <c r="AK69" s="166">
        <f>IF(AE69=0,0,ROUND((AI69/AE69)*100,1))</f>
        <v>0</v>
      </c>
      <c r="AL69" s="158"/>
      <c r="AM69" s="79"/>
      <c r="AN69" s="70"/>
      <c r="AO69" s="79">
        <f>AE69+AM69</f>
        <v>0</v>
      </c>
      <c r="AP69" s="70"/>
      <c r="AQ69" s="155">
        <v>0</v>
      </c>
    </row>
    <row r="70" spans="1:43" ht="20.100000000000001" customHeight="1" x14ac:dyDescent="0.25">
      <c r="A70" s="202"/>
      <c r="C70" s="154"/>
      <c r="F70" s="252"/>
      <c r="H70" s="252"/>
      <c r="I70" s="80"/>
      <c r="J70" s="252"/>
      <c r="K70" s="80"/>
      <c r="L70" s="300"/>
      <c r="M70" s="80"/>
      <c r="N70" s="300"/>
      <c r="O70" s="200"/>
      <c r="P70" s="210"/>
      <c r="Q70" s="202"/>
      <c r="R70" s="200"/>
      <c r="T70" s="159">
        <v>5</v>
      </c>
      <c r="U70" s="80"/>
      <c r="V70" s="253" t="s">
        <v>158</v>
      </c>
      <c r="W70" s="80"/>
      <c r="X70" s="80"/>
      <c r="Y70" s="163"/>
      <c r="Z70" s="70"/>
      <c r="AA70" s="79"/>
      <c r="AB70" s="79"/>
      <c r="AC70" s="310"/>
      <c r="AD70" s="263"/>
      <c r="AE70" s="169">
        <f>SUM(AE69:AE69)</f>
        <v>0</v>
      </c>
      <c r="AF70" s="70"/>
      <c r="AG70" s="166">
        <v>0</v>
      </c>
      <c r="AH70" s="70"/>
      <c r="AI70" s="169">
        <f>SUM(AI69:AI69)</f>
        <v>0</v>
      </c>
      <c r="AJ70" s="163"/>
      <c r="AK70" s="170">
        <f>IF(AE70=0,0,ROUND((AI70/AE70)*100,1))</f>
        <v>0</v>
      </c>
      <c r="AL70" s="158"/>
      <c r="AM70" s="169"/>
      <c r="AN70" s="70"/>
      <c r="AO70" s="169">
        <f>SUM(AO69:AO69)</f>
        <v>0</v>
      </c>
      <c r="AP70" s="70"/>
      <c r="AQ70" s="155">
        <v>0</v>
      </c>
    </row>
    <row r="71" spans="1:43" ht="24.75" customHeight="1" x14ac:dyDescent="0.25">
      <c r="A71" s="202"/>
      <c r="C71" s="154"/>
      <c r="F71" s="252"/>
      <c r="H71" s="252"/>
      <c r="I71" s="80"/>
      <c r="J71" s="252"/>
      <c r="K71" s="80"/>
      <c r="L71" s="300"/>
      <c r="M71" s="80"/>
      <c r="N71" s="300"/>
      <c r="O71" s="200"/>
      <c r="P71" s="210"/>
      <c r="Q71" s="202"/>
      <c r="R71" s="200"/>
      <c r="T71" s="159"/>
      <c r="U71" s="80"/>
      <c r="V71" s="82"/>
      <c r="W71" s="80"/>
      <c r="X71" s="80"/>
      <c r="Y71" s="163"/>
      <c r="Z71" s="70"/>
      <c r="AA71" s="79"/>
      <c r="AB71" s="79"/>
      <c r="AC71" s="310"/>
      <c r="AD71" s="263"/>
      <c r="AE71" s="163"/>
      <c r="AF71" s="70"/>
      <c r="AG71" s="197"/>
      <c r="AH71" s="70"/>
      <c r="AI71" s="163"/>
      <c r="AJ71" s="163"/>
      <c r="AK71" s="197"/>
      <c r="AL71" s="158"/>
      <c r="AM71" s="163"/>
      <c r="AN71" s="70"/>
      <c r="AO71" s="163"/>
      <c r="AP71" s="70"/>
      <c r="AQ71" s="155"/>
    </row>
    <row r="72" spans="1:43" x14ac:dyDescent="0.25">
      <c r="A72" s="202"/>
      <c r="C72" s="154"/>
      <c r="H72" s="252"/>
      <c r="I72" s="80"/>
      <c r="J72" s="252"/>
      <c r="K72" s="80"/>
      <c r="L72" s="329"/>
      <c r="M72" s="80"/>
      <c r="N72" s="329"/>
      <c r="O72" s="200"/>
      <c r="P72" s="210"/>
      <c r="Q72" s="200"/>
      <c r="R72" s="200"/>
      <c r="T72" s="159">
        <v>6</v>
      </c>
      <c r="U72" s="80"/>
      <c r="V72" s="253" t="s">
        <v>69</v>
      </c>
      <c r="W72" s="80"/>
      <c r="X72" s="80"/>
      <c r="Y72" s="79"/>
      <c r="Z72" s="70"/>
      <c r="AA72" s="79"/>
      <c r="AB72" s="79"/>
      <c r="AC72" s="310"/>
      <c r="AD72" s="263"/>
      <c r="AE72" s="79"/>
      <c r="AF72" s="70"/>
      <c r="AG72" s="155"/>
      <c r="AH72" s="70"/>
      <c r="AI72" s="79"/>
      <c r="AJ72" s="79"/>
      <c r="AK72" s="155"/>
      <c r="AL72" s="158"/>
      <c r="AM72" s="79"/>
      <c r="AN72" s="70"/>
      <c r="AO72" s="79"/>
      <c r="AP72" s="70"/>
      <c r="AQ72" s="155"/>
    </row>
    <row r="73" spans="1:43" x14ac:dyDescent="0.25">
      <c r="A73" s="202"/>
      <c r="C73" s="154"/>
      <c r="H73" s="252"/>
      <c r="I73" s="80"/>
      <c r="J73" s="252"/>
      <c r="K73" s="80"/>
      <c r="L73" s="329"/>
      <c r="M73" s="80"/>
      <c r="N73" s="329"/>
      <c r="O73" s="200"/>
      <c r="P73" s="210"/>
      <c r="Q73" s="200"/>
      <c r="R73" s="200"/>
      <c r="T73" s="159">
        <v>7</v>
      </c>
      <c r="U73" s="80"/>
      <c r="V73" s="82" t="s">
        <v>494</v>
      </c>
      <c r="W73" s="80"/>
      <c r="X73" s="80"/>
      <c r="Y73" s="79"/>
      <c r="Z73" s="70"/>
      <c r="AA73" s="79">
        <f>H28</f>
        <v>0</v>
      </c>
      <c r="AB73" s="79"/>
      <c r="AC73" s="295">
        <f>INPUT!C156</f>
        <v>5.5399999999999998E-3</v>
      </c>
      <c r="AD73" s="263"/>
      <c r="AE73" s="163">
        <f>ROUND((+AA73*AC73),0)</f>
        <v>0</v>
      </c>
      <c r="AF73" s="85"/>
      <c r="AG73" s="197">
        <v>0</v>
      </c>
      <c r="AH73" s="85"/>
      <c r="AI73" s="163">
        <f>L28-AE73</f>
        <v>0</v>
      </c>
      <c r="AJ73" s="163"/>
      <c r="AK73" s="197">
        <f>IF(AE73=0,0,ROUND((AI73/AE73)*100,1))</f>
        <v>0</v>
      </c>
      <c r="AL73" s="199"/>
      <c r="AM73" s="163"/>
      <c r="AN73" s="85"/>
      <c r="AO73" s="163">
        <f>AE73+AM73</f>
        <v>0</v>
      </c>
      <c r="AP73" s="70"/>
      <c r="AQ73" s="155">
        <v>0</v>
      </c>
    </row>
    <row r="74" spans="1:43" x14ac:dyDescent="0.25">
      <c r="F74" s="200"/>
      <c r="H74" s="200"/>
      <c r="I74" s="80"/>
      <c r="J74" s="200"/>
      <c r="K74" s="80"/>
      <c r="L74" s="305"/>
      <c r="M74" s="80"/>
      <c r="N74" s="305"/>
      <c r="O74" s="211"/>
      <c r="P74" s="211"/>
      <c r="Q74" s="211"/>
      <c r="R74" s="211"/>
      <c r="T74" s="159">
        <v>8</v>
      </c>
      <c r="U74" s="80"/>
      <c r="V74" s="82" t="s">
        <v>419</v>
      </c>
      <c r="W74" s="80"/>
      <c r="X74" s="80"/>
      <c r="Y74" s="78"/>
      <c r="Z74" s="70"/>
      <c r="AA74" s="163">
        <f>H29</f>
        <v>0</v>
      </c>
      <c r="AB74" s="163"/>
      <c r="AC74" s="295">
        <f>INPUT!C160</f>
        <v>7.3999999999999999E-4</v>
      </c>
      <c r="AD74" s="357"/>
      <c r="AE74" s="163">
        <f>ROUND((+AA74*AC74),0)</f>
        <v>0</v>
      </c>
      <c r="AF74" s="85"/>
      <c r="AG74" s="197">
        <v>0</v>
      </c>
      <c r="AH74" s="85"/>
      <c r="AI74" s="163">
        <f>L29-AE74</f>
        <v>0</v>
      </c>
      <c r="AJ74" s="163"/>
      <c r="AK74" s="197">
        <f>IF(AE74=0,0,ROUND((AI74/AE74)*100,1))</f>
        <v>0</v>
      </c>
      <c r="AL74" s="199"/>
      <c r="AM74" s="163"/>
      <c r="AN74" s="85"/>
      <c r="AO74" s="163">
        <f>AE74+AM74</f>
        <v>0</v>
      </c>
      <c r="AP74" s="85"/>
      <c r="AQ74" s="197">
        <v>0</v>
      </c>
    </row>
    <row r="75" spans="1:43" x14ac:dyDescent="0.25">
      <c r="F75" s="200"/>
      <c r="H75" s="200"/>
      <c r="I75" s="80"/>
      <c r="J75" s="200"/>
      <c r="K75" s="80"/>
      <c r="L75" s="305"/>
      <c r="M75" s="80"/>
      <c r="N75" s="305"/>
      <c r="O75" s="211"/>
      <c r="P75" s="211"/>
      <c r="Q75" s="211"/>
      <c r="R75" s="211"/>
      <c r="T75" s="159">
        <v>9</v>
      </c>
      <c r="U75" s="80"/>
      <c r="V75" s="82" t="s">
        <v>480</v>
      </c>
      <c r="W75" s="80"/>
      <c r="X75" s="80"/>
      <c r="Y75" s="78"/>
      <c r="Z75" s="70"/>
      <c r="AA75" s="163">
        <f>H30</f>
        <v>0</v>
      </c>
      <c r="AB75" s="163"/>
      <c r="AC75" s="295">
        <f>INPUT!C164</f>
        <v>2.4279999999999999E-2</v>
      </c>
      <c r="AD75" s="357"/>
      <c r="AE75" s="163">
        <f>ROUND((+AA75*AC75),0)</f>
        <v>0</v>
      </c>
      <c r="AF75" s="85"/>
      <c r="AG75" s="166">
        <v>0</v>
      </c>
      <c r="AH75" s="85"/>
      <c r="AI75" s="163">
        <f>L30-AE75</f>
        <v>0</v>
      </c>
      <c r="AJ75" s="163"/>
      <c r="AK75" s="166">
        <f>IF(AE75=0,0,ROUND((AI75/AE75)*100,1))</f>
        <v>0</v>
      </c>
      <c r="AL75" s="199"/>
      <c r="AM75" s="200">
        <f>ROUND(-AA75*(CUR_FAC+CUR_BASE_FUEL),0)</f>
        <v>0</v>
      </c>
      <c r="AN75" s="85"/>
      <c r="AO75" s="163">
        <f>AE75+AM75</f>
        <v>0</v>
      </c>
      <c r="AP75" s="85"/>
      <c r="AQ75" s="197">
        <v>0</v>
      </c>
    </row>
    <row r="76" spans="1:43" ht="20.100000000000001" customHeight="1" x14ac:dyDescent="0.25">
      <c r="F76" s="200"/>
      <c r="H76" s="200"/>
      <c r="I76" s="80"/>
      <c r="J76" s="200"/>
      <c r="K76" s="80"/>
      <c r="L76" s="305"/>
      <c r="M76" s="80"/>
      <c r="N76" s="305"/>
      <c r="O76" s="211"/>
      <c r="P76" s="211"/>
      <c r="Q76" s="211"/>
      <c r="R76" s="211"/>
      <c r="T76" s="159">
        <v>10</v>
      </c>
      <c r="U76" s="80"/>
      <c r="V76" s="253" t="s">
        <v>164</v>
      </c>
      <c r="W76" s="80"/>
      <c r="X76" s="80"/>
      <c r="Y76" s="167"/>
      <c r="Z76" s="70"/>
      <c r="AA76" s="169">
        <f>H31</f>
        <v>0</v>
      </c>
      <c r="AB76" s="163"/>
      <c r="AC76" s="347"/>
      <c r="AD76" s="268"/>
      <c r="AE76" s="169">
        <f>SUM(AE73:AE75)</f>
        <v>0</v>
      </c>
      <c r="AF76" s="70"/>
      <c r="AG76" s="166">
        <v>0</v>
      </c>
      <c r="AH76" s="70"/>
      <c r="AI76" s="169">
        <f>SUM(AI73:AI75)</f>
        <v>0</v>
      </c>
      <c r="AJ76" s="163"/>
      <c r="AK76" s="170">
        <f>IF(AE76=0,0,ROUND((AI76/AE76)*100,1))</f>
        <v>0</v>
      </c>
      <c r="AL76" s="158"/>
      <c r="AM76" s="169">
        <f>AM75</f>
        <v>0</v>
      </c>
      <c r="AN76" s="70"/>
      <c r="AO76" s="169">
        <f>SUM(AO73:AO75)</f>
        <v>0</v>
      </c>
      <c r="AP76" s="70"/>
      <c r="AQ76" s="197">
        <v>0</v>
      </c>
    </row>
    <row r="77" spans="1:43" ht="20.100000000000001" customHeight="1" x14ac:dyDescent="0.25">
      <c r="F77" s="200"/>
      <c r="H77" s="200"/>
      <c r="I77" s="80"/>
      <c r="J77" s="200"/>
      <c r="K77" s="80"/>
      <c r="L77" s="305"/>
      <c r="M77" s="80"/>
      <c r="N77" s="305"/>
      <c r="O77" s="211"/>
      <c r="P77" s="211"/>
      <c r="Q77" s="211"/>
      <c r="R77" s="211"/>
      <c r="T77" s="159">
        <v>11</v>
      </c>
      <c r="U77" s="80"/>
      <c r="V77" s="265" t="s">
        <v>576</v>
      </c>
      <c r="W77" s="80"/>
      <c r="X77" s="80"/>
      <c r="Y77" s="169">
        <f>Y69</f>
        <v>0</v>
      </c>
      <c r="Z77" s="70"/>
      <c r="AA77" s="169">
        <f>AA76</f>
        <v>0</v>
      </c>
      <c r="AB77" s="163"/>
      <c r="AC77" s="347"/>
      <c r="AD77" s="268"/>
      <c r="AE77" s="169">
        <f>AE70+AE76</f>
        <v>0</v>
      </c>
      <c r="AF77" s="70"/>
      <c r="AG77" s="170">
        <v>0</v>
      </c>
      <c r="AH77" s="70"/>
      <c r="AI77" s="169">
        <f>AI70+AI76</f>
        <v>0</v>
      </c>
      <c r="AJ77" s="163"/>
      <c r="AK77" s="170">
        <f>IF(AE77=0,0,ROUND((AI77/AE77)*100,1))</f>
        <v>0</v>
      </c>
      <c r="AL77" s="158"/>
      <c r="AM77" s="169">
        <f>AM76+AM70</f>
        <v>0</v>
      </c>
      <c r="AN77" s="70"/>
      <c r="AO77" s="169">
        <f>AO76+AO70</f>
        <v>0</v>
      </c>
      <c r="AP77" s="70"/>
      <c r="AQ77" s="197">
        <v>0</v>
      </c>
    </row>
    <row r="78" spans="1:43" ht="15.75" customHeight="1" x14ac:dyDescent="0.25">
      <c r="F78" s="200"/>
      <c r="H78" s="200"/>
      <c r="I78" s="80"/>
      <c r="J78" s="200"/>
      <c r="K78" s="80"/>
      <c r="L78" s="305"/>
      <c r="M78" s="80"/>
      <c r="N78" s="305"/>
      <c r="O78" s="211"/>
      <c r="P78" s="211"/>
      <c r="Q78" s="211"/>
      <c r="R78" s="211"/>
      <c r="T78" s="159"/>
      <c r="U78" s="80"/>
      <c r="V78" s="82"/>
      <c r="W78" s="80"/>
      <c r="X78" s="80"/>
      <c r="Y78" s="163"/>
      <c r="Z78" s="70"/>
      <c r="AA78" s="163"/>
      <c r="AB78" s="163"/>
      <c r="AC78" s="347"/>
      <c r="AD78" s="268"/>
      <c r="AE78" s="163"/>
      <c r="AF78" s="70"/>
      <c r="AG78" s="197"/>
      <c r="AH78" s="70"/>
      <c r="AI78" s="163"/>
      <c r="AJ78" s="163"/>
      <c r="AK78" s="197"/>
      <c r="AL78" s="158"/>
      <c r="AM78" s="163"/>
      <c r="AN78" s="70"/>
      <c r="AO78" s="163"/>
      <c r="AP78" s="70"/>
      <c r="AQ78" s="155"/>
    </row>
    <row r="79" spans="1:43" ht="15.75" customHeight="1" x14ac:dyDescent="0.25">
      <c r="F79" s="200"/>
      <c r="H79" s="200"/>
      <c r="I79" s="80"/>
      <c r="J79" s="200"/>
      <c r="K79" s="80"/>
      <c r="L79" s="305"/>
      <c r="M79" s="80"/>
      <c r="N79" s="305"/>
      <c r="O79" s="211"/>
      <c r="P79" s="211"/>
      <c r="Q79" s="211"/>
      <c r="R79" s="211"/>
      <c r="T79" s="159">
        <v>12</v>
      </c>
      <c r="U79" s="80"/>
      <c r="V79" s="253" t="s">
        <v>553</v>
      </c>
      <c r="W79" s="80"/>
      <c r="X79" s="80"/>
      <c r="Y79" s="163"/>
      <c r="Z79" s="70"/>
      <c r="AA79" s="163"/>
      <c r="AB79" s="163"/>
      <c r="AC79" s="347"/>
      <c r="AD79" s="268"/>
      <c r="AE79" s="163"/>
      <c r="AF79" s="70"/>
      <c r="AG79" s="197"/>
      <c r="AH79" s="70"/>
      <c r="AI79" s="163"/>
      <c r="AJ79" s="163"/>
      <c r="AK79" s="197"/>
      <c r="AL79" s="158"/>
      <c r="AM79" s="163"/>
      <c r="AN79" s="70"/>
      <c r="AO79" s="163"/>
      <c r="AP79" s="70"/>
      <c r="AQ79" s="155"/>
    </row>
    <row r="80" spans="1:43" ht="15.75" customHeight="1" x14ac:dyDescent="0.25">
      <c r="F80" s="200"/>
      <c r="H80" s="200"/>
      <c r="I80" s="80"/>
      <c r="J80" s="200"/>
      <c r="K80" s="80"/>
      <c r="L80" s="305"/>
      <c r="M80" s="80"/>
      <c r="N80" s="305"/>
      <c r="O80" s="211"/>
      <c r="P80" s="211"/>
      <c r="Q80" s="211"/>
      <c r="R80" s="211"/>
      <c r="T80" s="159">
        <v>13</v>
      </c>
      <c r="U80" s="80"/>
      <c r="V80" s="153" t="s">
        <v>556</v>
      </c>
      <c r="W80" s="80"/>
      <c r="X80" s="80"/>
      <c r="Y80" s="163"/>
      <c r="Z80" s="70"/>
      <c r="AA80" s="163"/>
      <c r="AB80" s="163"/>
      <c r="AC80" s="295">
        <f>DSM_DIST</f>
        <v>2.5760000000000002E-3</v>
      </c>
      <c r="AD80" s="268"/>
      <c r="AE80" s="163">
        <f>ROUND(AA77*DSM_DIST,0)</f>
        <v>0</v>
      </c>
      <c r="AF80" s="70"/>
      <c r="AG80" s="197">
        <v>0</v>
      </c>
      <c r="AH80" s="70"/>
      <c r="AI80" s="163">
        <f>L35-AE80</f>
        <v>0</v>
      </c>
      <c r="AJ80" s="163"/>
      <c r="AK80" s="197">
        <f t="shared" ref="AK80:AK82" si="1">IF(AE80=0,0,ROUND((AI80/AE80)*100,1))</f>
        <v>0</v>
      </c>
      <c r="AL80" s="158"/>
      <c r="AM80" s="163"/>
      <c r="AN80" s="70"/>
      <c r="AO80" s="163">
        <f t="shared" ref="AO80:AO81" si="2">AE80+AM80</f>
        <v>0</v>
      </c>
      <c r="AP80" s="70"/>
      <c r="AQ80" s="197">
        <v>0</v>
      </c>
    </row>
    <row r="81" spans="1:43" ht="15.75" customHeight="1" x14ac:dyDescent="0.25">
      <c r="F81" s="200"/>
      <c r="H81" s="200"/>
      <c r="I81" s="80"/>
      <c r="J81" s="200"/>
      <c r="K81" s="80"/>
      <c r="L81" s="305"/>
      <c r="M81" s="80"/>
      <c r="N81" s="305"/>
      <c r="O81" s="211"/>
      <c r="P81" s="211"/>
      <c r="Q81" s="211"/>
      <c r="R81" s="211"/>
      <c r="T81" s="159">
        <v>14</v>
      </c>
      <c r="U81" s="80"/>
      <c r="V81" s="153" t="s">
        <v>555</v>
      </c>
      <c r="W81" s="80"/>
      <c r="X81" s="80"/>
      <c r="Y81" s="163"/>
      <c r="Z81" s="70"/>
      <c r="AA81" s="163"/>
      <c r="AB81" s="163"/>
      <c r="AC81" s="295">
        <f>RS_PSM</f>
        <v>-4.5600000000000003E-4</v>
      </c>
      <c r="AD81" s="268"/>
      <c r="AE81" s="167">
        <f>ROUND(AA77*RS_PSM,0)</f>
        <v>0</v>
      </c>
      <c r="AF81" s="70"/>
      <c r="AG81" s="166">
        <v>0</v>
      </c>
      <c r="AH81" s="70"/>
      <c r="AI81" s="167">
        <f>L36-AE81</f>
        <v>0</v>
      </c>
      <c r="AJ81" s="163"/>
      <c r="AK81" s="166">
        <f t="shared" si="1"/>
        <v>0</v>
      </c>
      <c r="AL81" s="158"/>
      <c r="AM81" s="167"/>
      <c r="AN81" s="70"/>
      <c r="AO81" s="167">
        <f t="shared" si="2"/>
        <v>0</v>
      </c>
      <c r="AP81" s="70"/>
      <c r="AQ81" s="197">
        <v>0</v>
      </c>
    </row>
    <row r="82" spans="1:43" ht="20.100000000000001" customHeight="1" x14ac:dyDescent="0.25">
      <c r="F82" s="200"/>
      <c r="H82" s="200"/>
      <c r="I82" s="80"/>
      <c r="J82" s="200"/>
      <c r="K82" s="80"/>
      <c r="L82" s="305"/>
      <c r="M82" s="80"/>
      <c r="N82" s="305"/>
      <c r="O82" s="211"/>
      <c r="P82" s="211"/>
      <c r="Q82" s="211"/>
      <c r="R82" s="211"/>
      <c r="T82" s="159">
        <v>15</v>
      </c>
      <c r="U82" s="80"/>
      <c r="V82" s="253" t="s">
        <v>557</v>
      </c>
      <c r="W82" s="80"/>
      <c r="X82" s="80"/>
      <c r="Y82" s="167"/>
      <c r="Z82" s="70"/>
      <c r="AA82" s="167"/>
      <c r="AB82" s="163"/>
      <c r="AC82" s="268"/>
      <c r="AD82" s="268"/>
      <c r="AE82" s="169">
        <f>SUM(AE80:AE81)</f>
        <v>0</v>
      </c>
      <c r="AF82" s="70"/>
      <c r="AG82" s="170">
        <v>0</v>
      </c>
      <c r="AH82" s="70"/>
      <c r="AI82" s="169">
        <f>SUM(AI80:AI81)</f>
        <v>0</v>
      </c>
      <c r="AJ82" s="163"/>
      <c r="AK82" s="170">
        <f t="shared" si="1"/>
        <v>0</v>
      </c>
      <c r="AL82" s="158"/>
      <c r="AM82" s="169"/>
      <c r="AN82" s="70"/>
      <c r="AO82" s="169">
        <f>SUM(AO80:AO81)</f>
        <v>0</v>
      </c>
      <c r="AP82" s="70"/>
      <c r="AQ82" s="197">
        <v>0</v>
      </c>
    </row>
    <row r="83" spans="1:43" ht="15.75" customHeight="1" x14ac:dyDescent="0.25">
      <c r="F83" s="200"/>
      <c r="H83" s="200"/>
      <c r="I83" s="80"/>
      <c r="J83" s="200"/>
      <c r="K83" s="80"/>
      <c r="L83" s="305"/>
      <c r="M83" s="80"/>
      <c r="N83" s="305"/>
      <c r="O83" s="211"/>
      <c r="P83" s="211"/>
      <c r="Q83" s="211"/>
      <c r="R83" s="211"/>
      <c r="T83" s="159"/>
      <c r="U83" s="80"/>
      <c r="V83" s="253"/>
      <c r="W83" s="80"/>
      <c r="X83" s="80"/>
      <c r="Y83" s="163"/>
      <c r="Z83" s="70"/>
      <c r="AA83" s="163"/>
      <c r="AB83" s="163"/>
      <c r="AC83" s="268"/>
      <c r="AD83" s="268"/>
      <c r="AE83" s="163"/>
      <c r="AF83" s="70"/>
      <c r="AG83" s="197"/>
      <c r="AH83" s="70"/>
      <c r="AI83" s="163"/>
      <c r="AJ83" s="163"/>
      <c r="AK83" s="197"/>
      <c r="AL83" s="158"/>
      <c r="AM83" s="163"/>
      <c r="AN83" s="70"/>
      <c r="AO83" s="163"/>
      <c r="AP83" s="70"/>
      <c r="AQ83" s="155"/>
    </row>
    <row r="84" spans="1:43" ht="20.100000000000001" customHeight="1" thickBot="1" x14ac:dyDescent="0.3">
      <c r="F84" s="211"/>
      <c r="H84" s="211"/>
      <c r="I84" s="80"/>
      <c r="J84" s="211"/>
      <c r="K84" s="80"/>
      <c r="L84" s="305"/>
      <c r="M84" s="80"/>
      <c r="N84" s="305"/>
      <c r="O84" s="211"/>
      <c r="P84" s="211"/>
      <c r="Q84" s="211"/>
      <c r="R84" s="211"/>
      <c r="T84" s="159">
        <v>16</v>
      </c>
      <c r="U84" s="80"/>
      <c r="V84" s="265" t="s">
        <v>577</v>
      </c>
      <c r="W84" s="80"/>
      <c r="X84" s="80"/>
      <c r="Y84" s="275">
        <f>F39</f>
        <v>0</v>
      </c>
      <c r="Z84" s="70"/>
      <c r="AA84" s="275">
        <f>H39</f>
        <v>0</v>
      </c>
      <c r="AB84" s="163"/>
      <c r="AC84" s="70"/>
      <c r="AD84" s="70"/>
      <c r="AE84" s="275">
        <f>AE82+AE77</f>
        <v>0</v>
      </c>
      <c r="AF84" s="70"/>
      <c r="AG84" s="291">
        <v>100</v>
      </c>
      <c r="AH84" s="70"/>
      <c r="AI84" s="275">
        <f>AI82+AI77</f>
        <v>0</v>
      </c>
      <c r="AJ84" s="163"/>
      <c r="AK84" s="291">
        <f>IF(AE84=0,0,ROUND((AI84/AE84)*100,1))</f>
        <v>0</v>
      </c>
      <c r="AL84" s="158"/>
      <c r="AM84" s="369">
        <f>AM82+AM77</f>
        <v>0</v>
      </c>
      <c r="AN84" s="70"/>
      <c r="AO84" s="275">
        <f>AO70+AO76</f>
        <v>0</v>
      </c>
      <c r="AP84" s="70"/>
      <c r="AQ84" s="197">
        <v>0</v>
      </c>
    </row>
    <row r="85" spans="1:43" ht="16.5" thickTop="1" x14ac:dyDescent="0.25">
      <c r="F85" s="211"/>
      <c r="H85" s="211"/>
      <c r="I85" s="80"/>
      <c r="J85" s="211"/>
      <c r="K85" s="305"/>
      <c r="L85" s="305"/>
      <c r="M85" s="80"/>
      <c r="N85" s="211"/>
      <c r="O85" s="211"/>
      <c r="P85" s="211"/>
      <c r="Q85" s="211"/>
      <c r="R85" s="211"/>
      <c r="S85" s="200"/>
      <c r="T85" s="80"/>
      <c r="U85" s="80"/>
      <c r="V85" s="80"/>
      <c r="W85" s="80"/>
      <c r="X85" s="80"/>
      <c r="Y85" s="70"/>
      <c r="Z85" s="70"/>
      <c r="AA85" s="70"/>
      <c r="AB85" s="70"/>
      <c r="AC85" s="70"/>
      <c r="AD85" s="70"/>
      <c r="AE85" s="70"/>
      <c r="AF85" s="70"/>
      <c r="AG85" s="164"/>
      <c r="AH85" s="70"/>
      <c r="AI85" s="70"/>
      <c r="AJ85" s="70"/>
      <c r="AK85" s="164"/>
      <c r="AL85" s="70"/>
      <c r="AM85" s="70"/>
      <c r="AN85" s="70"/>
      <c r="AO85" s="70"/>
      <c r="AP85" s="70"/>
      <c r="AQ85" s="164"/>
    </row>
    <row r="86" spans="1:43" x14ac:dyDescent="0.25">
      <c r="A86" s="202"/>
      <c r="C86" s="154"/>
      <c r="I86" s="80"/>
      <c r="M86" s="80"/>
      <c r="T86" s="80"/>
      <c r="U86" s="80"/>
      <c r="V86" s="173" t="s">
        <v>61</v>
      </c>
      <c r="W86" s="80"/>
      <c r="X86" s="80"/>
      <c r="Y86" s="80"/>
      <c r="Z86" s="80"/>
      <c r="AA86" s="80"/>
      <c r="AB86" s="80"/>
      <c r="AC86" s="80"/>
      <c r="AD86" s="80"/>
      <c r="AE86" s="189"/>
      <c r="AF86" s="189"/>
      <c r="AG86" s="188"/>
      <c r="AH86" s="80"/>
      <c r="AI86" s="80"/>
      <c r="AJ86" s="80"/>
      <c r="AK86" s="188"/>
      <c r="AL86" s="80"/>
      <c r="AM86" s="189"/>
      <c r="AN86" s="80"/>
      <c r="AO86" s="189"/>
      <c r="AP86" s="80"/>
      <c r="AQ86" s="188"/>
    </row>
    <row r="87" spans="1:43" x14ac:dyDescent="0.25">
      <c r="A87" s="202"/>
      <c r="C87" s="154"/>
      <c r="F87" s="200"/>
      <c r="H87" s="200"/>
      <c r="I87" s="80"/>
      <c r="J87" s="200"/>
      <c r="M87" s="80"/>
      <c r="N87" s="200"/>
      <c r="O87" s="200"/>
      <c r="P87" s="210"/>
      <c r="Q87" s="252"/>
      <c r="R87" s="200"/>
      <c r="T87" s="154"/>
      <c r="V87" s="82"/>
      <c r="Y87" s="200"/>
      <c r="Z87" s="329"/>
      <c r="AA87" s="200"/>
      <c r="AB87" s="200"/>
      <c r="AC87" s="210"/>
      <c r="AD87" s="210"/>
      <c r="AE87" s="200"/>
      <c r="AF87" s="200"/>
      <c r="AG87" s="209"/>
      <c r="AH87" s="80"/>
      <c r="AI87" s="201"/>
      <c r="AJ87" s="201"/>
      <c r="AK87" s="209"/>
      <c r="AL87" s="200"/>
      <c r="AM87" s="80"/>
      <c r="AN87" s="80"/>
      <c r="AO87" s="210"/>
      <c r="AP87" s="80"/>
      <c r="AQ87" s="209"/>
    </row>
    <row r="88" spans="1:43" x14ac:dyDescent="0.25">
      <c r="F88" s="211"/>
      <c r="H88" s="211"/>
      <c r="I88" s="80"/>
      <c r="J88" s="211"/>
      <c r="K88" s="305"/>
      <c r="L88" s="305"/>
      <c r="M88" s="80"/>
      <c r="N88" s="211"/>
      <c r="O88" s="211"/>
      <c r="P88" s="211"/>
      <c r="Q88" s="211"/>
      <c r="R88" s="211"/>
      <c r="V88" s="200"/>
      <c r="Y88" s="200"/>
      <c r="Z88" s="305"/>
      <c r="AA88" s="211"/>
      <c r="AB88" s="211"/>
      <c r="AC88" s="211"/>
      <c r="AD88" s="211"/>
      <c r="AE88" s="211"/>
      <c r="AF88" s="211"/>
      <c r="AH88" s="80"/>
      <c r="AK88" s="212"/>
      <c r="AL88" s="211"/>
      <c r="AM88" s="80"/>
      <c r="AN88" s="80"/>
      <c r="AO88" s="210"/>
      <c r="AP88" s="80"/>
      <c r="AQ88" s="212"/>
    </row>
    <row r="89" spans="1:43" x14ac:dyDescent="0.25">
      <c r="I89" s="80"/>
      <c r="M89" s="80"/>
      <c r="T89" s="154"/>
      <c r="V89" s="200"/>
      <c r="Y89" s="200"/>
      <c r="Z89" s="213"/>
      <c r="AA89" s="200"/>
      <c r="AB89" s="200"/>
      <c r="AC89" s="210"/>
      <c r="AD89" s="210"/>
      <c r="AE89" s="200"/>
      <c r="AF89" s="200"/>
      <c r="AG89" s="209"/>
      <c r="AH89" s="80"/>
      <c r="AI89" s="201"/>
      <c r="AJ89" s="201"/>
      <c r="AK89" s="209"/>
      <c r="AL89" s="200"/>
      <c r="AM89" s="80"/>
      <c r="AN89" s="80"/>
      <c r="AO89" s="210"/>
      <c r="AP89" s="80"/>
      <c r="AQ89" s="209"/>
    </row>
    <row r="90" spans="1:43" x14ac:dyDescent="0.25">
      <c r="C90" s="154"/>
      <c r="I90" s="80"/>
      <c r="M90" s="80"/>
      <c r="N90" s="200"/>
      <c r="O90" s="200"/>
      <c r="P90" s="200"/>
      <c r="Q90" s="200"/>
      <c r="R90" s="200"/>
      <c r="S90" s="200"/>
      <c r="V90" s="200"/>
      <c r="Y90" s="200"/>
      <c r="Z90" s="305"/>
      <c r="AA90" s="211"/>
      <c r="AB90" s="211"/>
      <c r="AC90" s="211"/>
      <c r="AD90" s="211"/>
      <c r="AE90" s="211"/>
      <c r="AF90" s="211"/>
      <c r="AH90" s="80"/>
      <c r="AK90" s="212"/>
      <c r="AL90" s="211"/>
      <c r="AM90" s="80"/>
      <c r="AN90" s="80"/>
      <c r="AO90" s="210"/>
      <c r="AP90" s="80"/>
      <c r="AQ90" s="212"/>
    </row>
    <row r="91" spans="1:43" x14ac:dyDescent="0.25">
      <c r="A91" s="154"/>
      <c r="I91" s="80"/>
      <c r="M91" s="80"/>
      <c r="T91" s="154"/>
      <c r="V91" s="200"/>
      <c r="Y91" s="200"/>
      <c r="Z91" s="213"/>
      <c r="AA91" s="200"/>
      <c r="AB91" s="200"/>
      <c r="AC91" s="210"/>
      <c r="AD91" s="210"/>
      <c r="AE91" s="200"/>
      <c r="AF91" s="200"/>
      <c r="AG91" s="209"/>
      <c r="AH91" s="80"/>
      <c r="AI91" s="201"/>
      <c r="AJ91" s="201"/>
      <c r="AK91" s="209"/>
      <c r="AL91" s="200"/>
      <c r="AM91" s="80"/>
      <c r="AN91" s="80"/>
      <c r="AO91" s="210"/>
      <c r="AP91" s="80"/>
      <c r="AQ91" s="209"/>
    </row>
    <row r="92" spans="1:43" x14ac:dyDescent="0.25">
      <c r="I92" s="80"/>
      <c r="K92" s="202"/>
      <c r="L92" s="202"/>
      <c r="M92" s="80"/>
      <c r="T92" s="154"/>
      <c r="V92" s="252"/>
      <c r="Y92" s="200"/>
      <c r="Z92" s="320"/>
      <c r="AA92" s="200"/>
      <c r="AB92" s="200"/>
      <c r="AC92" s="210"/>
      <c r="AD92" s="210"/>
      <c r="AE92" s="200"/>
      <c r="AF92" s="200"/>
      <c r="AG92" s="209"/>
      <c r="AH92" s="80"/>
      <c r="AI92" s="201"/>
      <c r="AJ92" s="201"/>
      <c r="AK92" s="209"/>
      <c r="AL92" s="200"/>
      <c r="AM92" s="80"/>
      <c r="AN92" s="80"/>
      <c r="AO92" s="210"/>
      <c r="AP92" s="80"/>
      <c r="AQ92" s="209"/>
    </row>
    <row r="93" spans="1:43" x14ac:dyDescent="0.25">
      <c r="H93" s="154"/>
      <c r="I93" s="80"/>
      <c r="J93" s="154"/>
      <c r="M93" s="80"/>
      <c r="V93" s="211"/>
      <c r="Y93" s="211"/>
      <c r="Z93" s="305"/>
      <c r="AA93" s="211"/>
      <c r="AB93" s="211"/>
      <c r="AC93" s="211"/>
      <c r="AD93" s="211"/>
      <c r="AE93" s="211"/>
      <c r="AF93" s="211"/>
      <c r="AH93" s="80"/>
      <c r="AK93" s="212"/>
      <c r="AL93" s="211"/>
      <c r="AM93" s="80"/>
      <c r="AN93" s="80"/>
      <c r="AO93" s="210"/>
      <c r="AP93" s="80"/>
      <c r="AQ93" s="212"/>
    </row>
    <row r="94" spans="1:43" x14ac:dyDescent="0.25">
      <c r="I94" s="80"/>
      <c r="K94" s="202"/>
      <c r="L94" s="202"/>
      <c r="M94" s="80"/>
      <c r="T94" s="154"/>
      <c r="V94" s="200"/>
      <c r="Y94" s="200"/>
      <c r="Z94" s="305"/>
      <c r="AA94" s="200"/>
      <c r="AB94" s="200"/>
      <c r="AC94" s="210"/>
      <c r="AD94" s="210"/>
      <c r="AE94" s="200"/>
      <c r="AF94" s="200"/>
      <c r="AG94" s="209"/>
      <c r="AH94" s="80"/>
      <c r="AI94" s="210"/>
      <c r="AJ94" s="210"/>
      <c r="AK94" s="209"/>
      <c r="AL94" s="200"/>
      <c r="AM94" s="80"/>
      <c r="AN94" s="80"/>
      <c r="AO94" s="210"/>
      <c r="AP94" s="80"/>
      <c r="AQ94" s="209"/>
    </row>
    <row r="95" spans="1:43" x14ac:dyDescent="0.25">
      <c r="I95" s="80"/>
      <c r="M95" s="154"/>
      <c r="N95" s="154"/>
      <c r="V95" s="211"/>
      <c r="Y95" s="211"/>
      <c r="Z95" s="305"/>
      <c r="AA95" s="211"/>
      <c r="AB95" s="211"/>
      <c r="AC95" s="211"/>
      <c r="AD95" s="211"/>
      <c r="AE95" s="211"/>
      <c r="AF95" s="211"/>
      <c r="AH95" s="80"/>
      <c r="AK95" s="212"/>
      <c r="AL95" s="211"/>
      <c r="AM95" s="80"/>
      <c r="AN95" s="80"/>
      <c r="AO95" s="210"/>
      <c r="AP95" s="80"/>
      <c r="AQ95" s="212"/>
    </row>
    <row r="96" spans="1:43" x14ac:dyDescent="0.25">
      <c r="A96" s="202"/>
      <c r="I96" s="80"/>
      <c r="R96" s="154"/>
      <c r="T96" s="154"/>
      <c r="V96" s="252"/>
      <c r="Y96" s="252"/>
      <c r="Z96" s="305"/>
      <c r="AA96" s="200"/>
      <c r="AB96" s="200"/>
      <c r="AC96" s="210"/>
      <c r="AD96" s="210"/>
      <c r="AE96" s="200"/>
      <c r="AF96" s="200"/>
      <c r="AH96" s="80"/>
      <c r="AK96" s="209"/>
      <c r="AL96" s="200"/>
      <c r="AM96" s="80"/>
      <c r="AN96" s="80"/>
      <c r="AO96" s="210"/>
      <c r="AP96" s="80"/>
      <c r="AQ96" s="209"/>
    </row>
    <row r="97" spans="1:43" x14ac:dyDescent="0.25">
      <c r="A97" s="202"/>
      <c r="I97" s="80"/>
      <c r="R97" s="154"/>
      <c r="AH97" s="80"/>
      <c r="AM97" s="80"/>
      <c r="AN97" s="80"/>
      <c r="AP97" s="80"/>
    </row>
    <row r="98" spans="1:43" x14ac:dyDescent="0.25">
      <c r="A98" s="154"/>
      <c r="I98" s="80"/>
      <c r="R98" s="154"/>
      <c r="T98" s="154"/>
      <c r="AH98" s="80"/>
      <c r="AM98" s="80"/>
      <c r="AN98" s="80"/>
      <c r="AP98" s="80"/>
    </row>
    <row r="99" spans="1:43" x14ac:dyDescent="0.25">
      <c r="I99" s="80"/>
      <c r="M99" s="154"/>
      <c r="N99" s="154"/>
      <c r="R99" s="202"/>
      <c r="T99" s="154"/>
      <c r="V99" s="200"/>
      <c r="Y99" s="252"/>
      <c r="Z99" s="300"/>
      <c r="AA99" s="200"/>
      <c r="AB99" s="200"/>
      <c r="AC99" s="210"/>
      <c r="AD99" s="210"/>
      <c r="AE99" s="200"/>
      <c r="AF99" s="200"/>
      <c r="AG99" s="325"/>
      <c r="AH99" s="80"/>
      <c r="AI99" s="326"/>
      <c r="AJ99" s="326"/>
      <c r="AK99" s="209"/>
      <c r="AL99" s="202"/>
      <c r="AM99" s="80"/>
      <c r="AN99" s="80"/>
      <c r="AO99" s="327"/>
      <c r="AP99" s="80"/>
      <c r="AQ99" s="209"/>
    </row>
    <row r="100" spans="1:43" x14ac:dyDescent="0.25">
      <c r="A100" s="102"/>
      <c r="B100" s="102"/>
      <c r="C100" s="102"/>
      <c r="D100" s="102"/>
      <c r="E100" s="102"/>
      <c r="F100" s="102"/>
      <c r="G100" s="102"/>
      <c r="H100" s="102"/>
      <c r="I100" s="80"/>
      <c r="J100" s="102"/>
      <c r="K100" s="102"/>
      <c r="L100" s="102"/>
      <c r="M100" s="102"/>
      <c r="N100" s="102"/>
      <c r="O100" s="102"/>
      <c r="P100" s="102"/>
      <c r="Q100" s="102"/>
      <c r="R100" s="102"/>
      <c r="T100" s="154"/>
      <c r="V100" s="200"/>
      <c r="Y100" s="252"/>
      <c r="Z100" s="300"/>
      <c r="AA100" s="200"/>
      <c r="AB100" s="200"/>
      <c r="AC100" s="210"/>
      <c r="AD100" s="210"/>
      <c r="AE100" s="200"/>
      <c r="AF100" s="200"/>
      <c r="AG100" s="209"/>
      <c r="AH100" s="80"/>
      <c r="AI100" s="201"/>
      <c r="AJ100" s="201"/>
      <c r="AK100" s="209"/>
      <c r="AL100" s="202"/>
      <c r="AM100" s="80"/>
      <c r="AN100" s="80"/>
      <c r="AO100" s="210"/>
      <c r="AP100" s="80"/>
      <c r="AQ100" s="209"/>
    </row>
    <row r="101" spans="1:43" x14ac:dyDescent="0.25">
      <c r="I101" s="80"/>
      <c r="M101" s="103"/>
      <c r="N101" s="103"/>
      <c r="O101" s="103"/>
      <c r="P101" s="103"/>
      <c r="R101" s="103"/>
      <c r="T101" s="154"/>
      <c r="V101" s="200"/>
      <c r="Y101" s="252"/>
      <c r="Z101" s="300"/>
      <c r="AA101" s="200"/>
      <c r="AB101" s="200"/>
      <c r="AC101" s="210"/>
      <c r="AD101" s="210"/>
      <c r="AE101" s="200"/>
      <c r="AF101" s="200"/>
      <c r="AG101" s="209"/>
      <c r="AH101" s="80"/>
      <c r="AI101" s="201"/>
      <c r="AJ101" s="201"/>
      <c r="AK101" s="209"/>
      <c r="AL101" s="202"/>
      <c r="AM101" s="80"/>
      <c r="AN101" s="80"/>
      <c r="AO101" s="210"/>
      <c r="AP101" s="80"/>
      <c r="AQ101" s="209"/>
    </row>
    <row r="102" spans="1:43" x14ac:dyDescent="0.25">
      <c r="I102" s="80"/>
      <c r="M102" s="103"/>
      <c r="N102" s="103"/>
      <c r="O102" s="103"/>
      <c r="P102" s="103"/>
      <c r="R102" s="103"/>
      <c r="V102" s="211"/>
      <c r="Y102" s="200"/>
      <c r="Z102" s="305"/>
      <c r="AA102" s="211"/>
      <c r="AB102" s="211"/>
      <c r="AC102" s="211"/>
      <c r="AD102" s="211"/>
      <c r="AE102" s="211"/>
      <c r="AF102" s="211"/>
      <c r="AH102" s="80"/>
      <c r="AK102" s="212"/>
      <c r="AL102" s="211"/>
      <c r="AM102" s="80"/>
      <c r="AN102" s="80"/>
      <c r="AO102" s="210"/>
      <c r="AP102" s="80"/>
      <c r="AQ102" s="212"/>
    </row>
    <row r="103" spans="1:43" x14ac:dyDescent="0.25">
      <c r="A103" s="103"/>
      <c r="C103" s="103"/>
      <c r="D103" s="103"/>
      <c r="E103" s="103"/>
      <c r="F103" s="103"/>
      <c r="I103" s="80"/>
      <c r="K103" s="103"/>
      <c r="L103" s="103"/>
      <c r="M103" s="103"/>
      <c r="N103" s="103"/>
      <c r="O103" s="103"/>
      <c r="P103" s="103"/>
      <c r="Q103" s="103"/>
      <c r="R103" s="103"/>
      <c r="T103" s="154"/>
      <c r="V103" s="200"/>
      <c r="Y103" s="200"/>
      <c r="Z103" s="305"/>
      <c r="AA103" s="200"/>
      <c r="AB103" s="200"/>
      <c r="AC103" s="210"/>
      <c r="AD103" s="210"/>
      <c r="AE103" s="200"/>
      <c r="AF103" s="200"/>
      <c r="AG103" s="209"/>
      <c r="AH103" s="80"/>
      <c r="AI103" s="201"/>
      <c r="AJ103" s="201"/>
      <c r="AK103" s="209"/>
      <c r="AL103" s="200"/>
      <c r="AM103" s="80"/>
      <c r="AN103" s="80"/>
      <c r="AO103" s="210"/>
      <c r="AP103" s="80"/>
      <c r="AQ103" s="209"/>
    </row>
    <row r="104" spans="1:43" x14ac:dyDescent="0.25">
      <c r="A104" s="103"/>
      <c r="C104" s="103"/>
      <c r="D104" s="103"/>
      <c r="E104" s="103"/>
      <c r="F104" s="103"/>
      <c r="H104" s="103"/>
      <c r="I104" s="80"/>
      <c r="J104" s="103"/>
      <c r="K104" s="103"/>
      <c r="L104" s="103"/>
      <c r="M104" s="103"/>
      <c r="N104" s="103"/>
      <c r="O104" s="103"/>
      <c r="P104" s="103"/>
      <c r="Q104" s="103"/>
      <c r="R104" s="103"/>
      <c r="V104" s="211"/>
      <c r="Y104" s="200"/>
      <c r="Z104" s="305"/>
      <c r="AA104" s="211"/>
      <c r="AB104" s="211"/>
      <c r="AC104" s="211"/>
      <c r="AD104" s="211"/>
      <c r="AE104" s="211"/>
      <c r="AF104" s="211"/>
      <c r="AH104" s="80"/>
      <c r="AK104" s="212"/>
      <c r="AL104" s="211"/>
      <c r="AM104" s="80"/>
      <c r="AN104" s="80"/>
      <c r="AO104" s="210"/>
      <c r="AP104" s="80"/>
      <c r="AQ104" s="212"/>
    </row>
    <row r="105" spans="1:43" x14ac:dyDescent="0.25">
      <c r="C105" s="103"/>
      <c r="D105" s="103"/>
      <c r="E105" s="103"/>
      <c r="F105" s="103"/>
      <c r="H105" s="103"/>
      <c r="I105" s="80"/>
      <c r="J105" s="103"/>
      <c r="K105" s="103"/>
      <c r="L105" s="103"/>
      <c r="M105" s="103"/>
      <c r="N105" s="103"/>
      <c r="O105" s="103"/>
      <c r="P105" s="103"/>
      <c r="Q105" s="103"/>
      <c r="R105" s="103"/>
      <c r="T105" s="154"/>
      <c r="V105" s="252"/>
      <c r="Y105" s="252"/>
      <c r="Z105" s="328"/>
      <c r="AA105" s="200"/>
      <c r="AB105" s="200"/>
      <c r="AC105" s="210"/>
      <c r="AD105" s="210"/>
      <c r="AE105" s="200"/>
      <c r="AF105" s="200"/>
      <c r="AG105" s="209"/>
      <c r="AH105" s="80"/>
      <c r="AI105" s="210"/>
      <c r="AJ105" s="210"/>
      <c r="AK105" s="209"/>
      <c r="AL105" s="200"/>
      <c r="AM105" s="80"/>
      <c r="AN105" s="80"/>
      <c r="AO105" s="210"/>
      <c r="AP105" s="80"/>
      <c r="AQ105" s="209"/>
    </row>
    <row r="106" spans="1:43" x14ac:dyDescent="0.25">
      <c r="A106" s="102"/>
      <c r="B106" s="102"/>
      <c r="C106" s="102"/>
      <c r="D106" s="102"/>
      <c r="E106" s="102"/>
      <c r="F106" s="102"/>
      <c r="G106" s="102"/>
      <c r="H106" s="102"/>
      <c r="I106" s="80"/>
      <c r="J106" s="102"/>
      <c r="K106" s="102"/>
      <c r="L106" s="102"/>
      <c r="M106" s="102"/>
      <c r="N106" s="102"/>
      <c r="O106" s="102"/>
      <c r="P106" s="102"/>
      <c r="Q106" s="102"/>
      <c r="R106" s="102"/>
      <c r="T106" s="154"/>
      <c r="V106" s="252"/>
      <c r="Y106" s="200"/>
      <c r="Z106" s="300"/>
      <c r="AA106" s="200"/>
      <c r="AB106" s="200"/>
      <c r="AC106" s="210"/>
      <c r="AD106" s="210"/>
      <c r="AE106" s="200"/>
      <c r="AF106" s="200"/>
      <c r="AG106" s="209"/>
      <c r="AH106" s="80"/>
      <c r="AI106" s="201"/>
      <c r="AJ106" s="201"/>
      <c r="AK106" s="209"/>
      <c r="AL106" s="200"/>
      <c r="AM106" s="80"/>
      <c r="AN106" s="80"/>
      <c r="AO106" s="210"/>
      <c r="AP106" s="80"/>
      <c r="AQ106" s="209"/>
    </row>
    <row r="107" spans="1:43" x14ac:dyDescent="0.25">
      <c r="H107" s="103"/>
      <c r="I107" s="80"/>
      <c r="J107" s="103"/>
      <c r="K107" s="103"/>
      <c r="L107" s="103"/>
      <c r="M107" s="103"/>
      <c r="N107" s="103"/>
      <c r="O107" s="103"/>
      <c r="P107" s="103"/>
      <c r="Q107" s="103"/>
      <c r="R107" s="103"/>
      <c r="T107" s="154"/>
      <c r="V107" s="252"/>
      <c r="Y107" s="200"/>
      <c r="Z107" s="300"/>
      <c r="AA107" s="200"/>
      <c r="AB107" s="200"/>
      <c r="AC107" s="210"/>
      <c r="AD107" s="210"/>
      <c r="AE107" s="200"/>
      <c r="AF107" s="200"/>
      <c r="AG107" s="209"/>
      <c r="AH107" s="80"/>
      <c r="AI107" s="201"/>
      <c r="AJ107" s="201"/>
      <c r="AK107" s="209"/>
      <c r="AL107" s="200"/>
      <c r="AM107" s="80"/>
      <c r="AN107" s="80"/>
      <c r="AO107" s="210"/>
      <c r="AP107" s="80"/>
      <c r="AQ107" s="209"/>
    </row>
    <row r="108" spans="1:43" x14ac:dyDescent="0.25">
      <c r="A108" s="202"/>
      <c r="C108" s="154"/>
      <c r="D108" s="154"/>
      <c r="E108" s="154"/>
      <c r="I108" s="80"/>
      <c r="V108" s="200"/>
      <c r="Y108" s="211"/>
      <c r="Z108" s="305"/>
      <c r="AA108" s="211"/>
      <c r="AB108" s="211"/>
      <c r="AC108" s="211"/>
      <c r="AD108" s="211"/>
      <c r="AE108" s="211"/>
      <c r="AF108" s="211"/>
      <c r="AH108" s="80"/>
      <c r="AK108" s="212"/>
      <c r="AL108" s="211"/>
      <c r="AM108" s="80"/>
      <c r="AN108" s="80"/>
      <c r="AO108" s="210"/>
      <c r="AP108" s="80"/>
      <c r="AQ108" s="212"/>
    </row>
    <row r="109" spans="1:43" x14ac:dyDescent="0.25">
      <c r="A109" s="202"/>
      <c r="D109" s="154"/>
      <c r="E109" s="154"/>
      <c r="I109" s="80"/>
      <c r="T109" s="154"/>
      <c r="V109" s="200"/>
      <c r="Y109" s="200"/>
      <c r="Z109" s="305"/>
      <c r="AA109" s="200"/>
      <c r="AB109" s="200"/>
      <c r="AC109" s="210"/>
      <c r="AD109" s="210"/>
      <c r="AE109" s="200"/>
      <c r="AF109" s="200"/>
      <c r="AG109" s="209"/>
      <c r="AH109" s="80"/>
      <c r="AI109" s="201"/>
      <c r="AJ109" s="201"/>
      <c r="AK109" s="209"/>
      <c r="AL109" s="200"/>
      <c r="AM109" s="80"/>
      <c r="AN109" s="80"/>
      <c r="AO109" s="210"/>
      <c r="AP109" s="80"/>
      <c r="AQ109" s="209"/>
    </row>
    <row r="110" spans="1:43" x14ac:dyDescent="0.25">
      <c r="I110" s="80"/>
      <c r="V110" s="200"/>
      <c r="Y110" s="211"/>
      <c r="Z110" s="305"/>
      <c r="AA110" s="211"/>
      <c r="AB110" s="211"/>
      <c r="AC110" s="211"/>
      <c r="AD110" s="211"/>
      <c r="AE110" s="211"/>
      <c r="AF110" s="211"/>
      <c r="AH110" s="80"/>
      <c r="AK110" s="212"/>
      <c r="AL110" s="211"/>
      <c r="AM110" s="80"/>
      <c r="AN110" s="80"/>
      <c r="AO110" s="210"/>
      <c r="AP110" s="80"/>
      <c r="AQ110" s="212"/>
    </row>
    <row r="111" spans="1:43" x14ac:dyDescent="0.25">
      <c r="A111" s="202"/>
      <c r="C111" s="154"/>
      <c r="F111" s="252"/>
      <c r="H111" s="252"/>
      <c r="I111" s="80"/>
      <c r="J111" s="252"/>
      <c r="K111" s="300"/>
      <c r="L111" s="300"/>
      <c r="M111" s="200"/>
      <c r="N111" s="200"/>
      <c r="O111" s="210"/>
      <c r="P111" s="210"/>
      <c r="R111" s="200"/>
      <c r="T111" s="154"/>
      <c r="V111" s="200"/>
      <c r="Y111" s="200"/>
      <c r="Z111" s="305"/>
      <c r="AA111" s="200"/>
      <c r="AB111" s="200"/>
      <c r="AC111" s="200"/>
      <c r="AD111" s="200"/>
      <c r="AE111" s="200"/>
      <c r="AF111" s="200"/>
      <c r="AG111" s="209"/>
      <c r="AH111" s="80"/>
      <c r="AI111" s="201"/>
      <c r="AJ111" s="201"/>
      <c r="AK111" s="209"/>
      <c r="AL111" s="200"/>
      <c r="AM111" s="80"/>
      <c r="AN111" s="80"/>
      <c r="AO111" s="210"/>
      <c r="AP111" s="80"/>
      <c r="AQ111" s="209"/>
    </row>
    <row r="112" spans="1:43" x14ac:dyDescent="0.25">
      <c r="A112" s="202"/>
      <c r="C112" s="154"/>
      <c r="F112" s="252"/>
      <c r="H112" s="252"/>
      <c r="I112" s="80"/>
      <c r="J112" s="252"/>
      <c r="K112" s="300"/>
      <c r="L112" s="300"/>
      <c r="M112" s="200"/>
      <c r="N112" s="200"/>
      <c r="O112" s="210"/>
      <c r="P112" s="210"/>
      <c r="Q112" s="202"/>
      <c r="R112" s="200"/>
      <c r="T112" s="154"/>
      <c r="V112" s="200"/>
      <c r="Y112" s="200"/>
      <c r="Z112" s="329"/>
      <c r="AA112" s="200"/>
      <c r="AB112" s="200"/>
      <c r="AC112" s="210"/>
      <c r="AD112" s="210"/>
      <c r="AE112" s="200"/>
      <c r="AF112" s="200"/>
      <c r="AG112" s="209"/>
      <c r="AH112" s="80"/>
      <c r="AI112" s="201"/>
      <c r="AJ112" s="201"/>
      <c r="AK112" s="209"/>
      <c r="AL112" s="200"/>
      <c r="AM112" s="80"/>
      <c r="AN112" s="80"/>
      <c r="AO112" s="210"/>
      <c r="AP112" s="80"/>
      <c r="AQ112" s="209"/>
    </row>
    <row r="113" spans="1:43" x14ac:dyDescent="0.25">
      <c r="F113" s="211"/>
      <c r="H113" s="200"/>
      <c r="I113" s="80"/>
      <c r="J113" s="200"/>
      <c r="K113" s="305"/>
      <c r="L113" s="305"/>
      <c r="M113" s="211"/>
      <c r="N113" s="211"/>
      <c r="O113" s="211"/>
      <c r="P113" s="211"/>
      <c r="Q113" s="211"/>
      <c r="R113" s="211"/>
      <c r="T113" s="154"/>
      <c r="Y113" s="200"/>
      <c r="Z113" s="329"/>
      <c r="AA113" s="200"/>
      <c r="AB113" s="200"/>
      <c r="AC113" s="210"/>
      <c r="AD113" s="210"/>
      <c r="AE113" s="200"/>
      <c r="AF113" s="200"/>
      <c r="AG113" s="209"/>
      <c r="AH113" s="80"/>
      <c r="AI113" s="201"/>
      <c r="AJ113" s="201"/>
      <c r="AK113" s="209"/>
      <c r="AL113" s="200"/>
      <c r="AM113" s="80"/>
      <c r="AN113" s="80"/>
      <c r="AO113" s="210"/>
      <c r="AP113" s="80"/>
      <c r="AQ113" s="209"/>
    </row>
    <row r="114" spans="1:43" x14ac:dyDescent="0.25">
      <c r="A114" s="202"/>
      <c r="C114" s="154"/>
      <c r="F114" s="200"/>
      <c r="H114" s="200"/>
      <c r="I114" s="80"/>
      <c r="J114" s="200"/>
      <c r="K114" s="305"/>
      <c r="L114" s="305"/>
      <c r="M114" s="200"/>
      <c r="N114" s="200"/>
      <c r="O114" s="210"/>
      <c r="P114" s="210"/>
      <c r="Q114" s="200"/>
      <c r="R114" s="200"/>
      <c r="V114" s="200"/>
      <c r="Y114" s="200"/>
      <c r="Z114" s="305"/>
      <c r="AA114" s="211"/>
      <c r="AB114" s="211"/>
      <c r="AC114" s="211"/>
      <c r="AD114" s="211"/>
      <c r="AE114" s="211"/>
      <c r="AF114" s="211"/>
      <c r="AH114" s="80"/>
      <c r="AK114" s="212"/>
      <c r="AL114" s="211"/>
      <c r="AM114" s="80"/>
      <c r="AN114" s="80"/>
      <c r="AO114" s="210"/>
      <c r="AP114" s="80"/>
      <c r="AQ114" s="212"/>
    </row>
    <row r="115" spans="1:43" x14ac:dyDescent="0.25">
      <c r="F115" s="211"/>
      <c r="H115" s="200"/>
      <c r="I115" s="80"/>
      <c r="J115" s="200"/>
      <c r="K115" s="305"/>
      <c r="L115" s="305"/>
      <c r="M115" s="211"/>
      <c r="N115" s="211"/>
      <c r="O115" s="211"/>
      <c r="P115" s="211"/>
      <c r="Q115" s="211"/>
      <c r="R115" s="211"/>
      <c r="T115" s="154"/>
      <c r="V115" s="200"/>
      <c r="Y115" s="200"/>
      <c r="Z115" s="213"/>
      <c r="AA115" s="200"/>
      <c r="AB115" s="200"/>
      <c r="AC115" s="210"/>
      <c r="AD115" s="210"/>
      <c r="AE115" s="200"/>
      <c r="AF115" s="200"/>
      <c r="AG115" s="209"/>
      <c r="AH115" s="80"/>
      <c r="AI115" s="201"/>
      <c r="AJ115" s="201"/>
      <c r="AK115" s="209"/>
      <c r="AL115" s="200"/>
      <c r="AM115" s="80"/>
      <c r="AN115" s="80"/>
      <c r="AO115" s="210"/>
      <c r="AP115" s="80"/>
      <c r="AQ115" s="209"/>
    </row>
    <row r="116" spans="1:43" x14ac:dyDescent="0.25">
      <c r="F116" s="200"/>
      <c r="H116" s="200"/>
      <c r="I116" s="80"/>
      <c r="J116" s="200"/>
      <c r="K116" s="305"/>
      <c r="L116" s="305"/>
      <c r="M116" s="200"/>
      <c r="N116" s="200"/>
      <c r="O116" s="210"/>
      <c r="P116" s="210"/>
      <c r="Q116" s="200"/>
      <c r="R116" s="200"/>
      <c r="V116" s="200"/>
      <c r="Y116" s="200"/>
      <c r="Z116" s="305"/>
      <c r="AA116" s="211"/>
      <c r="AB116" s="211"/>
      <c r="AC116" s="211"/>
      <c r="AD116" s="211"/>
      <c r="AE116" s="211"/>
      <c r="AF116" s="211"/>
      <c r="AH116" s="80"/>
      <c r="AK116" s="212"/>
      <c r="AL116" s="211"/>
      <c r="AM116" s="80"/>
      <c r="AN116" s="80"/>
      <c r="AO116" s="210"/>
      <c r="AP116" s="80"/>
      <c r="AQ116" s="212"/>
    </row>
    <row r="117" spans="1:43" x14ac:dyDescent="0.25">
      <c r="A117" s="202"/>
      <c r="C117" s="154"/>
      <c r="F117" s="252"/>
      <c r="H117" s="252"/>
      <c r="I117" s="80"/>
      <c r="J117" s="252"/>
      <c r="K117" s="300"/>
      <c r="L117" s="300"/>
      <c r="M117" s="200"/>
      <c r="N117" s="200"/>
      <c r="O117" s="210"/>
      <c r="P117" s="210"/>
      <c r="Q117" s="200"/>
      <c r="R117" s="200"/>
      <c r="T117" s="154"/>
      <c r="V117" s="200"/>
      <c r="Y117" s="200"/>
      <c r="Z117" s="213"/>
      <c r="AA117" s="200"/>
      <c r="AB117" s="200"/>
      <c r="AC117" s="210"/>
      <c r="AD117" s="210"/>
      <c r="AE117" s="200"/>
      <c r="AF117" s="200"/>
      <c r="AG117" s="209"/>
      <c r="AH117" s="80"/>
      <c r="AI117" s="201"/>
      <c r="AJ117" s="201"/>
      <c r="AK117" s="209"/>
      <c r="AL117" s="200"/>
      <c r="AM117" s="80"/>
      <c r="AN117" s="80"/>
      <c r="AO117" s="210"/>
      <c r="AP117" s="80"/>
      <c r="AQ117" s="209"/>
    </row>
    <row r="118" spans="1:43" x14ac:dyDescent="0.25">
      <c r="A118" s="202"/>
      <c r="C118" s="154"/>
      <c r="F118" s="252"/>
      <c r="H118" s="252"/>
      <c r="I118" s="80"/>
      <c r="J118" s="252"/>
      <c r="K118" s="300"/>
      <c r="L118" s="300"/>
      <c r="M118" s="200"/>
      <c r="N118" s="200"/>
      <c r="O118" s="210"/>
      <c r="P118" s="210"/>
      <c r="Q118" s="200"/>
      <c r="R118" s="200"/>
      <c r="T118" s="154"/>
      <c r="V118" s="252"/>
      <c r="Y118" s="200"/>
      <c r="Z118" s="320"/>
      <c r="AA118" s="200"/>
      <c r="AB118" s="200"/>
      <c r="AC118" s="210"/>
      <c r="AD118" s="210"/>
      <c r="AE118" s="200"/>
      <c r="AF118" s="200"/>
      <c r="AG118" s="209"/>
      <c r="AH118" s="80"/>
      <c r="AI118" s="201"/>
      <c r="AJ118" s="201"/>
      <c r="AK118" s="209"/>
      <c r="AL118" s="200"/>
      <c r="AM118" s="80"/>
      <c r="AN118" s="80"/>
      <c r="AO118" s="210"/>
      <c r="AP118" s="80"/>
      <c r="AQ118" s="209"/>
    </row>
    <row r="119" spans="1:43" x14ac:dyDescent="0.25">
      <c r="F119" s="200"/>
      <c r="H119" s="211"/>
      <c r="I119" s="80"/>
      <c r="J119" s="211"/>
      <c r="K119" s="305"/>
      <c r="L119" s="305"/>
      <c r="M119" s="211"/>
      <c r="N119" s="211"/>
      <c r="O119" s="211"/>
      <c r="P119" s="211"/>
      <c r="Q119" s="211"/>
      <c r="R119" s="211"/>
      <c r="V119" s="211"/>
      <c r="Y119" s="211"/>
      <c r="Z119" s="305"/>
      <c r="AA119" s="211"/>
      <c r="AB119" s="211"/>
      <c r="AC119" s="211"/>
      <c r="AD119" s="211"/>
      <c r="AE119" s="211"/>
      <c r="AF119" s="211"/>
      <c r="AH119" s="80"/>
      <c r="AK119" s="212"/>
      <c r="AL119" s="211"/>
      <c r="AM119" s="80"/>
      <c r="AN119" s="80"/>
      <c r="AO119" s="210"/>
      <c r="AP119" s="80"/>
      <c r="AQ119" s="212"/>
    </row>
    <row r="120" spans="1:43" x14ac:dyDescent="0.25">
      <c r="A120" s="202"/>
      <c r="C120" s="154"/>
      <c r="F120" s="200"/>
      <c r="H120" s="200"/>
      <c r="I120" s="80"/>
      <c r="J120" s="200"/>
      <c r="K120" s="305"/>
      <c r="L120" s="305"/>
      <c r="M120" s="200"/>
      <c r="N120" s="200"/>
      <c r="O120" s="210"/>
      <c r="P120" s="210"/>
      <c r="Q120" s="200"/>
      <c r="R120" s="200"/>
      <c r="T120" s="154"/>
      <c r="V120" s="200"/>
      <c r="Y120" s="200"/>
      <c r="Z120" s="305"/>
      <c r="AA120" s="200"/>
      <c r="AB120" s="200"/>
      <c r="AC120" s="210"/>
      <c r="AD120" s="210"/>
      <c r="AE120" s="200"/>
      <c r="AF120" s="200"/>
      <c r="AG120" s="209"/>
      <c r="AH120" s="80"/>
      <c r="AI120" s="210"/>
      <c r="AJ120" s="210"/>
      <c r="AK120" s="209"/>
      <c r="AL120" s="200"/>
      <c r="AM120" s="80"/>
      <c r="AN120" s="80"/>
      <c r="AO120" s="210"/>
      <c r="AP120" s="80"/>
      <c r="AQ120" s="209"/>
    </row>
    <row r="121" spans="1:43" x14ac:dyDescent="0.25">
      <c r="F121" s="200"/>
      <c r="H121" s="211"/>
      <c r="I121" s="80"/>
      <c r="J121" s="211"/>
      <c r="K121" s="305"/>
      <c r="L121" s="305"/>
      <c r="M121" s="211"/>
      <c r="N121" s="211"/>
      <c r="O121" s="211"/>
      <c r="P121" s="211"/>
      <c r="Q121" s="211"/>
      <c r="R121" s="211"/>
      <c r="V121" s="211"/>
      <c r="Y121" s="211"/>
      <c r="Z121" s="305"/>
      <c r="AA121" s="211"/>
      <c r="AB121" s="211"/>
      <c r="AC121" s="211"/>
      <c r="AD121" s="211"/>
      <c r="AE121" s="211"/>
      <c r="AF121" s="211"/>
      <c r="AH121" s="80"/>
      <c r="AK121" s="212"/>
      <c r="AL121" s="211"/>
      <c r="AM121" s="80"/>
      <c r="AN121" s="80"/>
      <c r="AO121" s="210"/>
      <c r="AP121" s="80"/>
      <c r="AQ121" s="212"/>
    </row>
    <row r="122" spans="1:43" x14ac:dyDescent="0.25">
      <c r="F122" s="200"/>
      <c r="H122" s="200"/>
      <c r="I122" s="80"/>
      <c r="J122" s="200"/>
      <c r="K122" s="305"/>
      <c r="L122" s="305"/>
      <c r="M122" s="200"/>
      <c r="N122" s="200"/>
      <c r="O122" s="200"/>
      <c r="P122" s="200"/>
      <c r="Q122" s="200"/>
      <c r="R122" s="200"/>
      <c r="T122" s="154"/>
      <c r="AH122" s="80"/>
      <c r="AM122" s="80"/>
      <c r="AN122" s="80"/>
      <c r="AP122" s="80"/>
    </row>
    <row r="123" spans="1:43" x14ac:dyDescent="0.25">
      <c r="A123" s="202"/>
      <c r="C123" s="154"/>
      <c r="F123" s="252"/>
      <c r="H123" s="252"/>
      <c r="I123" s="80"/>
      <c r="J123" s="252"/>
      <c r="K123" s="320"/>
      <c r="L123" s="320"/>
      <c r="M123" s="200"/>
      <c r="N123" s="200"/>
      <c r="O123" s="210"/>
      <c r="P123" s="210"/>
      <c r="Q123" s="252"/>
      <c r="R123" s="200"/>
      <c r="T123" s="154"/>
      <c r="V123" s="200"/>
      <c r="Y123" s="200"/>
      <c r="AA123" s="200"/>
      <c r="AB123" s="200"/>
      <c r="AC123" s="210"/>
      <c r="AD123" s="210"/>
      <c r="AE123" s="200"/>
      <c r="AF123" s="200"/>
      <c r="AG123" s="209"/>
      <c r="AH123" s="80"/>
      <c r="AI123" s="210"/>
      <c r="AJ123" s="210"/>
      <c r="AK123" s="325"/>
      <c r="AL123" s="252"/>
      <c r="AM123" s="80"/>
      <c r="AN123" s="80"/>
      <c r="AO123" s="210"/>
      <c r="AP123" s="80"/>
      <c r="AQ123" s="209"/>
    </row>
    <row r="124" spans="1:43" x14ac:dyDescent="0.25">
      <c r="A124" s="202"/>
      <c r="C124" s="154"/>
      <c r="F124" s="252"/>
      <c r="H124" s="252"/>
      <c r="I124" s="80"/>
      <c r="J124" s="252"/>
      <c r="K124" s="320"/>
      <c r="L124" s="320"/>
      <c r="M124" s="200"/>
      <c r="N124" s="200"/>
      <c r="O124" s="210"/>
      <c r="P124" s="210"/>
      <c r="Q124" s="252"/>
      <c r="R124" s="200"/>
      <c r="V124" s="211"/>
      <c r="Y124" s="211"/>
      <c r="Z124" s="305"/>
      <c r="AA124" s="211"/>
      <c r="AB124" s="211"/>
      <c r="AC124" s="211"/>
      <c r="AD124" s="211"/>
      <c r="AE124" s="211"/>
      <c r="AF124" s="211"/>
      <c r="AH124" s="80"/>
      <c r="AK124" s="212"/>
      <c r="AL124" s="211"/>
      <c r="AM124" s="80"/>
      <c r="AN124" s="80"/>
      <c r="AP124" s="80"/>
      <c r="AQ124" s="212"/>
    </row>
    <row r="125" spans="1:43" x14ac:dyDescent="0.25">
      <c r="A125" s="202"/>
      <c r="C125" s="154"/>
      <c r="F125" s="252"/>
      <c r="H125" s="252"/>
      <c r="I125" s="80"/>
      <c r="J125" s="252"/>
      <c r="K125" s="320"/>
      <c r="L125" s="320"/>
      <c r="M125" s="200"/>
      <c r="N125" s="200"/>
      <c r="O125" s="210"/>
      <c r="P125" s="210"/>
      <c r="Q125" s="252"/>
      <c r="R125" s="200"/>
      <c r="AM125" s="80"/>
      <c r="AN125" s="80"/>
      <c r="AP125" s="80"/>
    </row>
    <row r="126" spans="1:43" x14ac:dyDescent="0.25">
      <c r="F126" s="211"/>
      <c r="H126" s="211"/>
      <c r="I126" s="80"/>
      <c r="J126" s="211"/>
      <c r="K126" s="305"/>
      <c r="L126" s="305"/>
      <c r="M126" s="211"/>
      <c r="N126" s="211"/>
      <c r="O126" s="211"/>
      <c r="P126" s="211"/>
      <c r="Q126" s="211"/>
      <c r="R126" s="211"/>
      <c r="T126" s="154"/>
      <c r="AA126" s="200"/>
      <c r="AB126" s="200"/>
      <c r="AC126" s="200"/>
      <c r="AD126" s="200"/>
      <c r="AI126" s="200"/>
      <c r="AJ126" s="200"/>
      <c r="AK126" s="209"/>
      <c r="AL126" s="200"/>
      <c r="AM126" s="80"/>
      <c r="AN126" s="80"/>
      <c r="AP126" s="80"/>
    </row>
    <row r="127" spans="1:43" x14ac:dyDescent="0.25">
      <c r="A127" s="202"/>
      <c r="C127" s="154"/>
      <c r="F127" s="200"/>
      <c r="H127" s="200"/>
      <c r="I127" s="80"/>
      <c r="J127" s="200"/>
      <c r="K127" s="213"/>
      <c r="L127" s="213"/>
      <c r="M127" s="200"/>
      <c r="N127" s="200"/>
      <c r="O127" s="210"/>
      <c r="P127" s="210"/>
      <c r="Q127" s="200"/>
      <c r="R127" s="200"/>
      <c r="AM127" s="80"/>
      <c r="AN127" s="80"/>
      <c r="AP127" s="80"/>
    </row>
    <row r="128" spans="1:43" x14ac:dyDescent="0.25">
      <c r="F128" s="211"/>
      <c r="H128" s="211"/>
      <c r="I128" s="80"/>
      <c r="J128" s="211"/>
      <c r="K128" s="305"/>
      <c r="L128" s="305"/>
      <c r="M128" s="211"/>
      <c r="N128" s="211"/>
      <c r="O128" s="211"/>
      <c r="P128" s="211"/>
      <c r="Q128" s="211"/>
      <c r="R128" s="211"/>
      <c r="Z128" s="202"/>
      <c r="AM128" s="80"/>
      <c r="AN128" s="80"/>
      <c r="AP128" s="80"/>
    </row>
    <row r="129" spans="1:42" x14ac:dyDescent="0.25">
      <c r="A129" s="202"/>
      <c r="C129" s="154"/>
      <c r="F129" s="200"/>
      <c r="H129" s="200"/>
      <c r="I129" s="80"/>
      <c r="J129" s="200"/>
      <c r="K129" s="213"/>
      <c r="L129" s="213"/>
      <c r="M129" s="200"/>
      <c r="N129" s="200"/>
      <c r="O129" s="210"/>
      <c r="P129" s="210"/>
      <c r="Q129" s="200"/>
      <c r="R129" s="200"/>
      <c r="Y129" s="154"/>
      <c r="AM129" s="80"/>
      <c r="AN129" s="80"/>
      <c r="AP129" s="80"/>
    </row>
    <row r="130" spans="1:42" x14ac:dyDescent="0.25">
      <c r="A130" s="202"/>
      <c r="C130" s="154"/>
      <c r="F130" s="200"/>
      <c r="H130" s="200"/>
      <c r="I130" s="200"/>
      <c r="J130" s="213"/>
      <c r="K130" s="213"/>
      <c r="L130" s="200"/>
      <c r="M130" s="200"/>
      <c r="N130" s="210"/>
      <c r="O130" s="210"/>
      <c r="P130" s="200"/>
      <c r="Q130" s="200"/>
      <c r="R130" s="200"/>
      <c r="Z130" s="202"/>
      <c r="AM130" s="80"/>
      <c r="AN130" s="80"/>
      <c r="AP130" s="80"/>
    </row>
    <row r="131" spans="1:42" x14ac:dyDescent="0.25">
      <c r="F131" s="211"/>
      <c r="H131" s="211"/>
      <c r="I131" s="211"/>
      <c r="J131" s="305"/>
      <c r="K131" s="305"/>
      <c r="L131" s="211"/>
      <c r="M131" s="211"/>
      <c r="N131" s="211"/>
      <c r="O131" s="211"/>
      <c r="P131" s="211"/>
      <c r="Q131" s="211"/>
      <c r="R131" s="211"/>
      <c r="AA131" s="154"/>
      <c r="AB131" s="154"/>
      <c r="AM131" s="80"/>
      <c r="AN131" s="80"/>
      <c r="AP131" s="80"/>
    </row>
    <row r="132" spans="1:42" x14ac:dyDescent="0.25">
      <c r="F132" s="200"/>
      <c r="H132" s="200"/>
      <c r="I132" s="200"/>
      <c r="J132" s="213"/>
      <c r="K132" s="213"/>
      <c r="L132" s="200"/>
      <c r="M132" s="200"/>
      <c r="N132" s="200"/>
      <c r="O132" s="200"/>
      <c r="P132" s="200"/>
      <c r="Q132" s="200"/>
      <c r="R132" s="200"/>
      <c r="AK132" s="297"/>
      <c r="AL132" s="154"/>
      <c r="AM132" s="80"/>
      <c r="AN132" s="80"/>
      <c r="AP132" s="80"/>
    </row>
    <row r="133" spans="1:42" x14ac:dyDescent="0.25">
      <c r="C133" s="154"/>
      <c r="F133" s="200"/>
      <c r="H133" s="200"/>
      <c r="I133" s="200"/>
      <c r="J133" s="213"/>
      <c r="K133" s="213"/>
      <c r="L133" s="200"/>
      <c r="M133" s="200"/>
      <c r="N133" s="200"/>
      <c r="O133" s="200"/>
      <c r="P133" s="200"/>
      <c r="Q133" s="200"/>
      <c r="R133" s="200"/>
      <c r="AK133" s="297"/>
      <c r="AL133" s="154"/>
      <c r="AM133" s="80"/>
      <c r="AN133" s="80"/>
      <c r="AP133" s="80"/>
    </row>
    <row r="134" spans="1:42" x14ac:dyDescent="0.25">
      <c r="A134" s="154"/>
      <c r="AK134" s="297"/>
      <c r="AL134" s="154"/>
      <c r="AM134" s="80"/>
      <c r="AN134" s="80"/>
      <c r="AP134" s="80"/>
    </row>
    <row r="135" spans="1:42" x14ac:dyDescent="0.25">
      <c r="J135" s="202"/>
      <c r="K135" s="202"/>
      <c r="Z135" s="202"/>
      <c r="AM135" s="80"/>
      <c r="AN135" s="80"/>
      <c r="AP135" s="80"/>
    </row>
    <row r="136" spans="1:42" x14ac:dyDescent="0.25">
      <c r="H136" s="154"/>
      <c r="I136" s="154"/>
      <c r="Y136" s="154"/>
      <c r="AM136" s="80"/>
      <c r="AN136" s="80"/>
      <c r="AP136" s="80"/>
    </row>
    <row r="137" spans="1:42" x14ac:dyDescent="0.25">
      <c r="J137" s="202"/>
      <c r="K137" s="202"/>
      <c r="Z137" s="202"/>
      <c r="AM137" s="80"/>
      <c r="AN137" s="80"/>
      <c r="AP137" s="80"/>
    </row>
    <row r="138" spans="1:42" x14ac:dyDescent="0.25">
      <c r="L138" s="154"/>
      <c r="M138" s="154"/>
      <c r="AA138" s="154"/>
      <c r="AB138" s="154"/>
      <c r="AM138" s="80"/>
      <c r="AP138" s="80"/>
    </row>
    <row r="139" spans="1:42" x14ac:dyDescent="0.25">
      <c r="A139" s="202"/>
      <c r="R139" s="154"/>
      <c r="AK139" s="297"/>
      <c r="AL139" s="154"/>
      <c r="AP139" s="80"/>
    </row>
    <row r="140" spans="1:42" x14ac:dyDescent="0.25">
      <c r="A140" s="202"/>
      <c r="R140" s="154"/>
      <c r="AK140" s="297"/>
      <c r="AL140" s="154"/>
      <c r="AP140" s="80"/>
    </row>
    <row r="141" spans="1:42" x14ac:dyDescent="0.25">
      <c r="A141" s="154"/>
      <c r="R141" s="154"/>
      <c r="AK141" s="297"/>
      <c r="AL141" s="154"/>
      <c r="AP141" s="80"/>
    </row>
    <row r="142" spans="1:42" x14ac:dyDescent="0.25">
      <c r="L142" s="154"/>
      <c r="M142" s="154"/>
      <c r="R142" s="202"/>
      <c r="AA142" s="154"/>
      <c r="AB142" s="154"/>
      <c r="AK142" s="209"/>
      <c r="AL142" s="202"/>
      <c r="AP142" s="80"/>
    </row>
    <row r="143" spans="1:42" x14ac:dyDescent="0.2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208"/>
      <c r="AH143" s="102"/>
      <c r="AI143" s="102"/>
      <c r="AJ143" s="102"/>
      <c r="AK143" s="208"/>
      <c r="AL143" s="102"/>
      <c r="AM143" s="102"/>
      <c r="AN143" s="102"/>
      <c r="AP143" s="80"/>
    </row>
    <row r="144" spans="1:42" x14ac:dyDescent="0.25">
      <c r="L144" s="103"/>
      <c r="M144" s="103"/>
      <c r="N144" s="103"/>
      <c r="O144" s="103"/>
      <c r="R144" s="103"/>
      <c r="AA144" s="103"/>
      <c r="AB144" s="103"/>
      <c r="AC144" s="103"/>
      <c r="AD144" s="103"/>
      <c r="AE144" s="103"/>
      <c r="AF144" s="103"/>
      <c r="AG144" s="185"/>
      <c r="AH144" s="103"/>
      <c r="AK144" s="185"/>
      <c r="AL144" s="103"/>
      <c r="AM144" s="103"/>
      <c r="AN144" s="103"/>
      <c r="AP144" s="80"/>
    </row>
    <row r="145" spans="1:42" x14ac:dyDescent="0.25">
      <c r="L145" s="103"/>
      <c r="M145" s="103"/>
      <c r="N145" s="103"/>
      <c r="O145" s="103"/>
      <c r="R145" s="103"/>
      <c r="Z145" s="103"/>
      <c r="AA145" s="103"/>
      <c r="AB145" s="103"/>
      <c r="AC145" s="103"/>
      <c r="AD145" s="103"/>
      <c r="AE145" s="103"/>
      <c r="AF145" s="103"/>
      <c r="AG145" s="185"/>
      <c r="AH145" s="103"/>
      <c r="AK145" s="185"/>
      <c r="AL145" s="103"/>
      <c r="AM145" s="103"/>
      <c r="AN145" s="103"/>
      <c r="AP145" s="80"/>
    </row>
    <row r="146" spans="1:42" x14ac:dyDescent="0.25">
      <c r="A146" s="103"/>
      <c r="C146" s="103"/>
      <c r="D146" s="103"/>
      <c r="E146" s="103"/>
      <c r="F146" s="103"/>
      <c r="J146" s="103"/>
      <c r="K146" s="103"/>
      <c r="L146" s="103"/>
      <c r="M146" s="103"/>
      <c r="N146" s="103"/>
      <c r="O146" s="103"/>
      <c r="P146" s="103"/>
      <c r="Q146" s="103"/>
      <c r="R146" s="103"/>
      <c r="T146" s="103"/>
      <c r="U146" s="103"/>
      <c r="V146" s="103"/>
      <c r="Z146" s="103"/>
      <c r="AA146" s="103"/>
      <c r="AB146" s="103"/>
      <c r="AC146" s="103"/>
      <c r="AD146" s="103"/>
      <c r="AE146" s="103"/>
      <c r="AF146" s="103"/>
      <c r="AG146" s="185"/>
      <c r="AH146" s="103"/>
      <c r="AI146" s="103"/>
      <c r="AJ146" s="103"/>
      <c r="AK146" s="185"/>
      <c r="AL146" s="103"/>
      <c r="AM146" s="103"/>
      <c r="AN146" s="103"/>
      <c r="AP146" s="80"/>
    </row>
    <row r="147" spans="1:42" x14ac:dyDescent="0.25">
      <c r="A147" s="103"/>
      <c r="C147" s="103"/>
      <c r="D147" s="103"/>
      <c r="E147" s="103"/>
      <c r="F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T147" s="103"/>
      <c r="U147" s="103"/>
      <c r="V147" s="103"/>
      <c r="Y147" s="103"/>
      <c r="Z147" s="103"/>
      <c r="AA147" s="103"/>
      <c r="AB147" s="103"/>
      <c r="AC147" s="103"/>
      <c r="AD147" s="103"/>
      <c r="AE147" s="103"/>
      <c r="AF147" s="103"/>
      <c r="AG147" s="185"/>
      <c r="AH147" s="103"/>
      <c r="AI147" s="103"/>
      <c r="AJ147" s="103"/>
      <c r="AK147" s="185"/>
      <c r="AL147" s="103"/>
      <c r="AM147" s="103"/>
      <c r="AN147" s="103"/>
      <c r="AP147" s="80"/>
    </row>
    <row r="148" spans="1:42" x14ac:dyDescent="0.25">
      <c r="C148" s="103"/>
      <c r="D148" s="103"/>
      <c r="E148" s="103"/>
      <c r="F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T148" s="103"/>
      <c r="U148" s="103"/>
      <c r="V148" s="103"/>
      <c r="Y148" s="103"/>
      <c r="Z148" s="103"/>
      <c r="AA148" s="103"/>
      <c r="AB148" s="103"/>
      <c r="AC148" s="103"/>
      <c r="AD148" s="103"/>
      <c r="AE148" s="103"/>
      <c r="AF148" s="103"/>
      <c r="AG148" s="185"/>
      <c r="AH148" s="103"/>
      <c r="AI148" s="103"/>
      <c r="AJ148" s="103"/>
      <c r="AK148" s="185"/>
      <c r="AL148" s="103"/>
      <c r="AM148" s="103"/>
      <c r="AN148" s="103"/>
      <c r="AP148" s="80"/>
    </row>
    <row r="149" spans="1:42" x14ac:dyDescent="0.2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208"/>
      <c r="AH149" s="102"/>
      <c r="AI149" s="102"/>
      <c r="AJ149" s="102"/>
      <c r="AK149" s="208"/>
      <c r="AL149" s="102"/>
      <c r="AM149" s="102"/>
      <c r="AN149" s="102"/>
      <c r="AP149" s="80"/>
    </row>
    <row r="150" spans="1:42" x14ac:dyDescent="0.25"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Y150" s="103"/>
      <c r="Z150" s="103"/>
      <c r="AA150" s="103"/>
      <c r="AB150" s="103"/>
      <c r="AC150" s="103"/>
      <c r="AD150" s="103"/>
      <c r="AE150" s="103"/>
      <c r="AF150" s="103"/>
      <c r="AG150" s="185"/>
      <c r="AH150" s="103"/>
      <c r="AI150" s="103"/>
      <c r="AJ150" s="103"/>
      <c r="AK150" s="185"/>
      <c r="AL150" s="103"/>
      <c r="AM150" s="103"/>
      <c r="AN150" s="103"/>
      <c r="AP150" s="80"/>
    </row>
    <row r="151" spans="1:42" x14ac:dyDescent="0.25">
      <c r="A151" s="202"/>
      <c r="C151" s="154"/>
      <c r="D151" s="154"/>
      <c r="E151" s="154"/>
      <c r="T151" s="154"/>
      <c r="U151" s="154"/>
      <c r="AP151" s="80"/>
    </row>
    <row r="152" spans="1:42" x14ac:dyDescent="0.25">
      <c r="AP152" s="80"/>
    </row>
    <row r="153" spans="1:42" x14ac:dyDescent="0.25">
      <c r="A153" s="202"/>
      <c r="C153" s="154"/>
      <c r="F153" s="252"/>
      <c r="H153" s="317"/>
      <c r="I153" s="317"/>
      <c r="J153" s="300"/>
      <c r="K153" s="300"/>
      <c r="L153" s="200"/>
      <c r="M153" s="200"/>
      <c r="N153" s="202"/>
      <c r="O153" s="202"/>
      <c r="P153" s="202"/>
      <c r="Q153" s="202"/>
      <c r="R153" s="200"/>
      <c r="T153" s="154"/>
      <c r="V153" s="200"/>
      <c r="Y153" s="202"/>
      <c r="Z153" s="300"/>
      <c r="AA153" s="200"/>
      <c r="AB153" s="200"/>
      <c r="AC153" s="202"/>
      <c r="AD153" s="202"/>
      <c r="AE153" s="200"/>
      <c r="AF153" s="200"/>
      <c r="AG153" s="325"/>
      <c r="AH153" s="326"/>
      <c r="AI153" s="200"/>
      <c r="AJ153" s="200"/>
      <c r="AK153" s="209"/>
      <c r="AL153" s="200"/>
      <c r="AM153" s="327"/>
      <c r="AN153" s="327"/>
      <c r="AP153" s="80"/>
    </row>
    <row r="154" spans="1:42" x14ac:dyDescent="0.25">
      <c r="F154" s="252"/>
      <c r="H154" s="317"/>
      <c r="I154" s="317"/>
      <c r="J154" s="317"/>
      <c r="K154" s="317"/>
      <c r="R154" s="200"/>
      <c r="V154" s="200"/>
      <c r="Z154" s="317"/>
      <c r="AP154" s="80"/>
    </row>
    <row r="155" spans="1:42" x14ac:dyDescent="0.25">
      <c r="A155" s="202"/>
      <c r="C155" s="154"/>
      <c r="F155" s="252"/>
      <c r="H155" s="252"/>
      <c r="I155" s="252"/>
      <c r="J155" s="320"/>
      <c r="K155" s="320"/>
      <c r="L155" s="200"/>
      <c r="M155" s="200"/>
      <c r="N155" s="210"/>
      <c r="O155" s="210"/>
      <c r="P155" s="252"/>
      <c r="Q155" s="252"/>
      <c r="R155" s="200"/>
      <c r="T155" s="154"/>
      <c r="V155" s="200"/>
      <c r="Y155" s="200"/>
      <c r="Z155" s="304"/>
      <c r="AA155" s="200"/>
      <c r="AB155" s="200"/>
      <c r="AC155" s="210"/>
      <c r="AD155" s="210"/>
      <c r="AE155" s="200"/>
      <c r="AF155" s="200"/>
      <c r="AG155" s="209"/>
      <c r="AH155" s="201"/>
      <c r="AI155" s="252"/>
      <c r="AJ155" s="252"/>
      <c r="AK155" s="209"/>
      <c r="AL155" s="200"/>
      <c r="AM155" s="210"/>
      <c r="AN155" s="210"/>
      <c r="AP155" s="80"/>
    </row>
    <row r="156" spans="1:42" x14ac:dyDescent="0.25">
      <c r="F156" s="211"/>
      <c r="H156" s="211"/>
      <c r="I156" s="211"/>
      <c r="J156" s="305"/>
      <c r="K156" s="305"/>
      <c r="L156" s="211"/>
      <c r="M156" s="211"/>
      <c r="N156" s="211"/>
      <c r="O156" s="211"/>
      <c r="P156" s="211"/>
      <c r="Q156" s="211"/>
      <c r="R156" s="211"/>
      <c r="V156" s="211"/>
      <c r="Y156" s="211"/>
      <c r="Z156" s="305"/>
      <c r="AA156" s="211"/>
      <c r="AB156" s="211"/>
      <c r="AC156" s="211"/>
      <c r="AD156" s="211"/>
      <c r="AE156" s="211"/>
      <c r="AF156" s="211"/>
      <c r="AI156" s="211"/>
      <c r="AJ156" s="211"/>
      <c r="AK156" s="212"/>
      <c r="AL156" s="211"/>
      <c r="AP156" s="80"/>
    </row>
    <row r="157" spans="1:42" x14ac:dyDescent="0.25">
      <c r="A157" s="202"/>
      <c r="D157" s="154"/>
      <c r="E157" s="154"/>
      <c r="F157" s="200"/>
      <c r="H157" s="200"/>
      <c r="I157" s="200"/>
      <c r="J157" s="213"/>
      <c r="K157" s="213"/>
      <c r="L157" s="200"/>
      <c r="M157" s="200"/>
      <c r="N157" s="210"/>
      <c r="O157" s="210"/>
      <c r="P157" s="200"/>
      <c r="Q157" s="200"/>
      <c r="R157" s="200"/>
      <c r="U157" s="154"/>
      <c r="V157" s="200"/>
      <c r="Y157" s="200"/>
      <c r="Z157" s="213"/>
      <c r="AA157" s="200"/>
      <c r="AB157" s="200"/>
      <c r="AC157" s="210"/>
      <c r="AD157" s="210"/>
      <c r="AE157" s="200"/>
      <c r="AF157" s="200"/>
      <c r="AG157" s="209"/>
      <c r="AH157" s="201"/>
      <c r="AI157" s="200"/>
      <c r="AJ157" s="200"/>
      <c r="AK157" s="209"/>
      <c r="AL157" s="200"/>
      <c r="AM157" s="210"/>
      <c r="AN157" s="210"/>
      <c r="AP157" s="80"/>
    </row>
    <row r="158" spans="1:42" x14ac:dyDescent="0.25">
      <c r="F158" s="211"/>
      <c r="H158" s="211"/>
      <c r="I158" s="211"/>
      <c r="J158" s="305"/>
      <c r="K158" s="305"/>
      <c r="L158" s="211"/>
      <c r="M158" s="211"/>
      <c r="N158" s="211"/>
      <c r="O158" s="211"/>
      <c r="P158" s="211"/>
      <c r="Q158" s="211"/>
      <c r="R158" s="211"/>
      <c r="V158" s="211"/>
      <c r="Y158" s="211"/>
      <c r="Z158" s="305"/>
      <c r="AA158" s="211"/>
      <c r="AB158" s="211"/>
      <c r="AC158" s="211"/>
      <c r="AD158" s="211"/>
      <c r="AE158" s="211"/>
      <c r="AF158" s="211"/>
      <c r="AI158" s="211"/>
      <c r="AJ158" s="211"/>
      <c r="AK158" s="212"/>
      <c r="AL158" s="211"/>
      <c r="AP158" s="80"/>
    </row>
    <row r="159" spans="1:42" x14ac:dyDescent="0.25">
      <c r="R159" s="200"/>
      <c r="AP159" s="80"/>
    </row>
    <row r="160" spans="1:42" x14ac:dyDescent="0.25">
      <c r="R160" s="200"/>
      <c r="AP160" s="80"/>
    </row>
    <row r="161" spans="1:42" x14ac:dyDescent="0.25">
      <c r="R161" s="200"/>
      <c r="AP161" s="80"/>
    </row>
    <row r="162" spans="1:42" x14ac:dyDescent="0.25">
      <c r="A162" s="202"/>
      <c r="C162" s="154"/>
      <c r="D162" s="154"/>
      <c r="E162" s="154"/>
      <c r="H162" s="200"/>
      <c r="I162" s="200"/>
      <c r="J162" s="213"/>
      <c r="K162" s="213"/>
      <c r="L162" s="200"/>
      <c r="M162" s="200"/>
      <c r="N162" s="210"/>
      <c r="O162" s="210"/>
      <c r="P162" s="200"/>
      <c r="Q162" s="200"/>
      <c r="R162" s="200"/>
      <c r="T162" s="154"/>
      <c r="U162" s="154"/>
      <c r="Y162" s="200"/>
      <c r="Z162" s="213"/>
      <c r="AA162" s="200"/>
      <c r="AB162" s="200"/>
      <c r="AC162" s="210"/>
      <c r="AD162" s="210"/>
      <c r="AP162" s="80"/>
    </row>
    <row r="163" spans="1:42" x14ac:dyDescent="0.25">
      <c r="H163" s="200"/>
      <c r="I163" s="200"/>
      <c r="J163" s="213"/>
      <c r="K163" s="213"/>
      <c r="L163" s="200"/>
      <c r="M163" s="200"/>
      <c r="N163" s="210"/>
      <c r="O163" s="210"/>
      <c r="P163" s="200"/>
      <c r="Q163" s="200"/>
      <c r="R163" s="200"/>
      <c r="Y163" s="200"/>
      <c r="Z163" s="213"/>
      <c r="AA163" s="200"/>
      <c r="AB163" s="200"/>
      <c r="AC163" s="210"/>
      <c r="AD163" s="210"/>
      <c r="AP163" s="80"/>
    </row>
    <row r="164" spans="1:42" x14ac:dyDescent="0.25">
      <c r="A164" s="202"/>
      <c r="C164" s="154"/>
      <c r="F164" s="252"/>
      <c r="H164" s="252"/>
      <c r="I164" s="252"/>
      <c r="J164" s="214"/>
      <c r="K164" s="214"/>
      <c r="L164" s="252"/>
      <c r="M164" s="252"/>
      <c r="N164" s="210"/>
      <c r="O164" s="210"/>
      <c r="P164" s="200"/>
      <c r="Q164" s="200"/>
      <c r="R164" s="200"/>
      <c r="T164" s="154"/>
      <c r="V164" s="200"/>
      <c r="Y164" s="200"/>
      <c r="Z164" s="214"/>
      <c r="AA164" s="200"/>
      <c r="AB164" s="200"/>
      <c r="AC164" s="210"/>
      <c r="AD164" s="210"/>
      <c r="AE164" s="200"/>
      <c r="AF164" s="200"/>
      <c r="AG164" s="209"/>
      <c r="AH164" s="201"/>
      <c r="AI164" s="200"/>
      <c r="AJ164" s="200"/>
      <c r="AK164" s="209"/>
      <c r="AL164" s="200"/>
      <c r="AM164" s="210"/>
      <c r="AN164" s="210"/>
      <c r="AP164" s="80"/>
    </row>
    <row r="165" spans="1:42" x14ac:dyDescent="0.25">
      <c r="F165" s="252"/>
      <c r="H165" s="317"/>
      <c r="I165" s="317"/>
      <c r="J165" s="317"/>
      <c r="K165" s="317"/>
      <c r="R165" s="200"/>
      <c r="V165" s="200"/>
      <c r="Z165" s="317"/>
      <c r="AP165" s="80"/>
    </row>
    <row r="166" spans="1:42" x14ac:dyDescent="0.25">
      <c r="A166" s="202"/>
      <c r="C166" s="154"/>
      <c r="F166" s="252"/>
      <c r="H166" s="252"/>
      <c r="I166" s="252"/>
      <c r="J166" s="300"/>
      <c r="K166" s="300"/>
      <c r="L166" s="200"/>
      <c r="M166" s="200"/>
      <c r="N166" s="210"/>
      <c r="O166" s="210"/>
      <c r="P166" s="200"/>
      <c r="Q166" s="200"/>
      <c r="R166" s="200"/>
      <c r="T166" s="154"/>
      <c r="V166" s="200"/>
      <c r="Y166" s="200"/>
      <c r="Z166" s="300"/>
      <c r="AA166" s="200"/>
      <c r="AB166" s="200"/>
      <c r="AC166" s="210"/>
      <c r="AD166" s="210"/>
      <c r="AE166" s="200"/>
      <c r="AF166" s="200"/>
      <c r="AG166" s="209"/>
      <c r="AH166" s="201"/>
      <c r="AI166" s="200"/>
      <c r="AJ166" s="200"/>
      <c r="AK166" s="209"/>
      <c r="AL166" s="200"/>
      <c r="AM166" s="210"/>
      <c r="AN166" s="210"/>
      <c r="AP166" s="80"/>
    </row>
    <row r="167" spans="1:42" x14ac:dyDescent="0.25">
      <c r="F167" s="252"/>
      <c r="H167" s="317"/>
      <c r="I167" s="317"/>
      <c r="J167" s="317"/>
      <c r="K167" s="317"/>
      <c r="R167" s="200"/>
      <c r="V167" s="200"/>
      <c r="Z167" s="317"/>
      <c r="AP167" s="80"/>
    </row>
    <row r="168" spans="1:42" x14ac:dyDescent="0.25">
      <c r="A168" s="202"/>
      <c r="C168" s="154"/>
      <c r="F168" s="252"/>
      <c r="H168" s="252"/>
      <c r="I168" s="252"/>
      <c r="J168" s="320"/>
      <c r="K168" s="320"/>
      <c r="L168" s="200"/>
      <c r="M168" s="200"/>
      <c r="N168" s="210"/>
      <c r="O168" s="210"/>
      <c r="P168" s="200"/>
      <c r="Q168" s="200"/>
      <c r="R168" s="200"/>
      <c r="T168" s="154"/>
      <c r="V168" s="200"/>
      <c r="Y168" s="200"/>
      <c r="Z168" s="304"/>
      <c r="AA168" s="200"/>
      <c r="AB168" s="200"/>
      <c r="AC168" s="210"/>
      <c r="AD168" s="210"/>
      <c r="AE168" s="200"/>
      <c r="AF168" s="200"/>
      <c r="AG168" s="209"/>
      <c r="AH168" s="201"/>
      <c r="AI168" s="200"/>
      <c r="AJ168" s="200"/>
      <c r="AK168" s="209"/>
      <c r="AL168" s="200"/>
      <c r="AM168" s="210"/>
      <c r="AN168" s="210"/>
      <c r="AP168" s="80"/>
    </row>
    <row r="169" spans="1:42" x14ac:dyDescent="0.25">
      <c r="F169" s="211"/>
      <c r="H169" s="211"/>
      <c r="I169" s="211"/>
      <c r="J169" s="305"/>
      <c r="K169" s="305"/>
      <c r="L169" s="211"/>
      <c r="M169" s="211"/>
      <c r="N169" s="211"/>
      <c r="O169" s="211"/>
      <c r="P169" s="211"/>
      <c r="Q169" s="211"/>
      <c r="R169" s="211"/>
      <c r="S169" s="200"/>
      <c r="V169" s="211"/>
      <c r="Y169" s="211"/>
      <c r="Z169" s="305"/>
      <c r="AA169" s="211"/>
      <c r="AB169" s="211"/>
      <c r="AC169" s="211"/>
      <c r="AD169" s="211"/>
      <c r="AE169" s="211"/>
      <c r="AF169" s="211"/>
      <c r="AI169" s="211"/>
      <c r="AJ169" s="211"/>
      <c r="AK169" s="212"/>
      <c r="AL169" s="211"/>
      <c r="AP169" s="80"/>
    </row>
    <row r="170" spans="1:42" x14ac:dyDescent="0.25">
      <c r="A170" s="202"/>
      <c r="D170" s="154"/>
      <c r="E170" s="154"/>
      <c r="F170" s="200"/>
      <c r="H170" s="200"/>
      <c r="I170" s="200"/>
      <c r="J170" s="213"/>
      <c r="K170" s="213"/>
      <c r="L170" s="200"/>
      <c r="M170" s="200"/>
      <c r="N170" s="210"/>
      <c r="O170" s="210"/>
      <c r="P170" s="252"/>
      <c r="Q170" s="252"/>
      <c r="R170" s="200"/>
      <c r="S170" s="200"/>
      <c r="U170" s="154"/>
      <c r="V170" s="200"/>
      <c r="Y170" s="200"/>
      <c r="Z170" s="213"/>
      <c r="AA170" s="200"/>
      <c r="AB170" s="200"/>
      <c r="AC170" s="210"/>
      <c r="AD170" s="210"/>
      <c r="AE170" s="200"/>
      <c r="AF170" s="200"/>
      <c r="AG170" s="209"/>
      <c r="AH170" s="201"/>
      <c r="AI170" s="252"/>
      <c r="AJ170" s="252"/>
      <c r="AK170" s="209"/>
      <c r="AL170" s="200"/>
      <c r="AM170" s="210"/>
      <c r="AN170" s="210"/>
      <c r="AP170" s="80"/>
    </row>
    <row r="171" spans="1:42" x14ac:dyDescent="0.25">
      <c r="F171" s="211"/>
      <c r="H171" s="211"/>
      <c r="I171" s="211"/>
      <c r="J171" s="305"/>
      <c r="K171" s="305"/>
      <c r="L171" s="211"/>
      <c r="M171" s="211"/>
      <c r="N171" s="211"/>
      <c r="O171" s="211"/>
      <c r="P171" s="211"/>
      <c r="Q171" s="211"/>
      <c r="R171" s="211"/>
      <c r="S171" s="200"/>
      <c r="V171" s="211"/>
      <c r="Y171" s="211"/>
      <c r="Z171" s="305"/>
      <c r="AA171" s="211"/>
      <c r="AB171" s="211"/>
      <c r="AC171" s="211"/>
      <c r="AD171" s="211"/>
      <c r="AE171" s="211"/>
      <c r="AF171" s="211"/>
      <c r="AI171" s="211"/>
      <c r="AJ171" s="211"/>
      <c r="AK171" s="212"/>
      <c r="AL171" s="211"/>
      <c r="AP171" s="80"/>
    </row>
    <row r="172" spans="1:42" x14ac:dyDescent="0.25">
      <c r="R172" s="200"/>
      <c r="AP172" s="80"/>
    </row>
    <row r="173" spans="1:42" x14ac:dyDescent="0.25">
      <c r="F173" s="200"/>
      <c r="H173" s="200"/>
      <c r="I173" s="200"/>
      <c r="J173" s="213"/>
      <c r="K173" s="213"/>
      <c r="L173" s="200"/>
      <c r="M173" s="200"/>
      <c r="N173" s="200"/>
      <c r="O173" s="200"/>
      <c r="P173" s="200"/>
      <c r="Q173" s="200"/>
      <c r="R173" s="200"/>
      <c r="V173" s="200"/>
      <c r="Y173" s="200"/>
      <c r="Z173" s="213"/>
      <c r="AA173" s="200"/>
      <c r="AB173" s="200"/>
      <c r="AC173" s="200"/>
      <c r="AD173" s="200"/>
      <c r="AP173" s="80"/>
    </row>
    <row r="174" spans="1:42" x14ac:dyDescent="0.25">
      <c r="C174" s="154"/>
      <c r="F174" s="200"/>
      <c r="H174" s="200"/>
      <c r="I174" s="200"/>
      <c r="J174" s="213"/>
      <c r="K174" s="213"/>
      <c r="L174" s="200"/>
      <c r="M174" s="200"/>
      <c r="N174" s="200"/>
      <c r="O174" s="200"/>
      <c r="P174" s="200"/>
      <c r="Q174" s="200"/>
      <c r="R174" s="200"/>
      <c r="T174" s="154"/>
      <c r="V174" s="200"/>
      <c r="Y174" s="200"/>
      <c r="Z174" s="213"/>
      <c r="AA174" s="200"/>
      <c r="AB174" s="200"/>
      <c r="AC174" s="200"/>
      <c r="AD174" s="200"/>
      <c r="AP174" s="80"/>
    </row>
    <row r="175" spans="1:42" x14ac:dyDescent="0.25">
      <c r="C175" s="154"/>
      <c r="T175" s="154"/>
      <c r="AP175" s="80"/>
    </row>
    <row r="176" spans="1:42" x14ac:dyDescent="0.25">
      <c r="A176" s="154"/>
      <c r="AP176" s="80"/>
    </row>
    <row r="177" spans="1:42" x14ac:dyDescent="0.25">
      <c r="AP177" s="80"/>
    </row>
    <row r="178" spans="1:42" x14ac:dyDescent="0.25">
      <c r="J178" s="202"/>
      <c r="K178" s="202"/>
      <c r="Z178" s="202"/>
      <c r="AP178" s="80"/>
    </row>
    <row r="179" spans="1:42" x14ac:dyDescent="0.25">
      <c r="H179" s="154"/>
      <c r="I179" s="154"/>
      <c r="Y179" s="154"/>
    </row>
    <row r="180" spans="1:42" x14ac:dyDescent="0.25">
      <c r="J180" s="202"/>
      <c r="K180" s="202"/>
      <c r="Z180" s="202"/>
    </row>
    <row r="181" spans="1:42" x14ac:dyDescent="0.25">
      <c r="L181" s="154"/>
      <c r="M181" s="154"/>
      <c r="AA181" s="154"/>
      <c r="AB181" s="154"/>
    </row>
    <row r="182" spans="1:42" x14ac:dyDescent="0.25">
      <c r="A182" s="202"/>
      <c r="R182" s="154"/>
      <c r="AK182" s="297"/>
      <c r="AL182" s="154"/>
    </row>
    <row r="183" spans="1:42" x14ac:dyDescent="0.25">
      <c r="A183" s="202"/>
      <c r="R183" s="154"/>
      <c r="AK183" s="297"/>
      <c r="AL183" s="154"/>
    </row>
    <row r="184" spans="1:42" x14ac:dyDescent="0.25">
      <c r="A184" s="154"/>
      <c r="R184" s="154"/>
      <c r="AK184" s="297"/>
      <c r="AL184" s="154"/>
    </row>
    <row r="185" spans="1:42" x14ac:dyDescent="0.25">
      <c r="L185" s="154"/>
      <c r="M185" s="154"/>
      <c r="R185" s="202"/>
      <c r="AA185" s="154"/>
      <c r="AB185" s="154"/>
      <c r="AK185" s="209"/>
      <c r="AL185" s="202"/>
    </row>
    <row r="186" spans="1:42" x14ac:dyDescent="0.25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208"/>
      <c r="AH186" s="102"/>
      <c r="AI186" s="102"/>
      <c r="AJ186" s="102"/>
      <c r="AK186" s="208"/>
      <c r="AL186" s="102"/>
      <c r="AM186" s="102"/>
      <c r="AN186" s="102"/>
    </row>
    <row r="187" spans="1:42" x14ac:dyDescent="0.25">
      <c r="L187" s="103"/>
      <c r="M187" s="103"/>
      <c r="N187" s="103"/>
      <c r="O187" s="103"/>
      <c r="R187" s="103"/>
      <c r="AA187" s="103"/>
      <c r="AB187" s="103"/>
      <c r="AC187" s="103"/>
      <c r="AD187" s="103"/>
      <c r="AE187" s="103"/>
      <c r="AF187" s="103"/>
      <c r="AG187" s="185"/>
      <c r="AH187" s="103"/>
      <c r="AK187" s="185"/>
      <c r="AL187" s="103"/>
      <c r="AM187" s="103"/>
      <c r="AN187" s="103"/>
    </row>
    <row r="188" spans="1:42" x14ac:dyDescent="0.25">
      <c r="L188" s="103"/>
      <c r="M188" s="103"/>
      <c r="N188" s="103"/>
      <c r="O188" s="103"/>
      <c r="R188" s="103"/>
      <c r="Z188" s="103"/>
      <c r="AA188" s="103"/>
      <c r="AB188" s="103"/>
      <c r="AC188" s="103"/>
      <c r="AD188" s="103"/>
      <c r="AE188" s="103"/>
      <c r="AF188" s="103"/>
      <c r="AG188" s="185"/>
      <c r="AH188" s="103"/>
      <c r="AK188" s="185"/>
      <c r="AL188" s="103"/>
      <c r="AM188" s="103"/>
      <c r="AN188" s="103"/>
    </row>
    <row r="189" spans="1:42" x14ac:dyDescent="0.25">
      <c r="A189" s="103"/>
      <c r="C189" s="103"/>
      <c r="D189" s="103"/>
      <c r="E189" s="103"/>
      <c r="F189" s="103"/>
      <c r="J189" s="103"/>
      <c r="K189" s="103"/>
      <c r="L189" s="103"/>
      <c r="M189" s="103"/>
      <c r="N189" s="103"/>
      <c r="O189" s="103"/>
      <c r="P189" s="103"/>
      <c r="Q189" s="103"/>
      <c r="R189" s="103"/>
      <c r="T189" s="103"/>
      <c r="U189" s="103"/>
      <c r="V189" s="103"/>
      <c r="Z189" s="103"/>
      <c r="AA189" s="103"/>
      <c r="AB189" s="103"/>
      <c r="AC189" s="103"/>
      <c r="AD189" s="103"/>
      <c r="AE189" s="103"/>
      <c r="AF189" s="103"/>
      <c r="AG189" s="185"/>
      <c r="AH189" s="103"/>
      <c r="AI189" s="103"/>
      <c r="AJ189" s="103"/>
      <c r="AK189" s="185"/>
      <c r="AL189" s="103"/>
      <c r="AM189" s="103"/>
      <c r="AN189" s="103"/>
    </row>
    <row r="190" spans="1:42" x14ac:dyDescent="0.25">
      <c r="A190" s="103"/>
      <c r="C190" s="103"/>
      <c r="D190" s="103"/>
      <c r="E190" s="103"/>
      <c r="F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T190" s="103"/>
      <c r="U190" s="103"/>
      <c r="V190" s="103"/>
      <c r="Y190" s="103"/>
      <c r="Z190" s="103"/>
      <c r="AA190" s="103"/>
      <c r="AB190" s="103"/>
      <c r="AC190" s="103"/>
      <c r="AD190" s="103"/>
      <c r="AE190" s="103"/>
      <c r="AF190" s="103"/>
      <c r="AG190" s="185"/>
      <c r="AH190" s="103"/>
      <c r="AI190" s="103"/>
      <c r="AJ190" s="103"/>
      <c r="AK190" s="185"/>
      <c r="AL190" s="103"/>
      <c r="AM190" s="103"/>
      <c r="AN190" s="103"/>
    </row>
    <row r="191" spans="1:42" x14ac:dyDescent="0.25">
      <c r="C191" s="103"/>
      <c r="D191" s="103"/>
      <c r="E191" s="103"/>
      <c r="F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T191" s="103"/>
      <c r="U191" s="103"/>
      <c r="V191" s="103"/>
      <c r="Y191" s="103"/>
      <c r="Z191" s="103"/>
      <c r="AA191" s="103"/>
      <c r="AB191" s="103"/>
      <c r="AC191" s="103"/>
      <c r="AD191" s="103"/>
      <c r="AE191" s="103"/>
      <c r="AF191" s="103"/>
      <c r="AG191" s="185"/>
      <c r="AH191" s="103"/>
      <c r="AI191" s="103"/>
      <c r="AJ191" s="103"/>
      <c r="AK191" s="185"/>
      <c r="AL191" s="103"/>
      <c r="AM191" s="103"/>
      <c r="AN191" s="103"/>
    </row>
    <row r="192" spans="1:42" x14ac:dyDescent="0.25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208"/>
      <c r="AH192" s="102"/>
      <c r="AI192" s="102"/>
      <c r="AJ192" s="102"/>
      <c r="AK192" s="208"/>
      <c r="AL192" s="102"/>
      <c r="AM192" s="102"/>
      <c r="AN192" s="102"/>
    </row>
    <row r="193" spans="1:40" x14ac:dyDescent="0.25"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Y193" s="103"/>
      <c r="Z193" s="103"/>
      <c r="AA193" s="103"/>
      <c r="AB193" s="103"/>
      <c r="AC193" s="103"/>
      <c r="AD193" s="103"/>
      <c r="AE193" s="103"/>
      <c r="AF193" s="103"/>
      <c r="AG193" s="185"/>
      <c r="AH193" s="103"/>
      <c r="AI193" s="103"/>
      <c r="AJ193" s="103"/>
      <c r="AK193" s="185"/>
      <c r="AL193" s="103"/>
      <c r="AM193" s="103"/>
      <c r="AN193" s="103"/>
    </row>
    <row r="194" spans="1:40" x14ac:dyDescent="0.25">
      <c r="A194" s="202"/>
      <c r="C194" s="154"/>
      <c r="D194" s="154"/>
      <c r="E194" s="154"/>
      <c r="T194" s="154"/>
      <c r="U194" s="154"/>
    </row>
    <row r="195" spans="1:40" x14ac:dyDescent="0.25">
      <c r="A195" s="202"/>
      <c r="D195" s="154"/>
      <c r="E195" s="154"/>
      <c r="U195" s="154"/>
    </row>
    <row r="197" spans="1:40" x14ac:dyDescent="0.25">
      <c r="A197" s="202"/>
      <c r="C197" s="154"/>
      <c r="F197" s="200"/>
      <c r="J197" s="215"/>
      <c r="K197" s="215"/>
      <c r="L197" s="200"/>
      <c r="M197" s="200"/>
      <c r="R197" s="200"/>
      <c r="T197" s="154"/>
      <c r="V197" s="200"/>
      <c r="Z197" s="215"/>
      <c r="AA197" s="200"/>
      <c r="AB197" s="200"/>
      <c r="AK197" s="209"/>
      <c r="AL197" s="200"/>
    </row>
    <row r="198" spans="1:40" x14ac:dyDescent="0.25">
      <c r="F198" s="200"/>
      <c r="R198" s="200"/>
      <c r="V198" s="200"/>
      <c r="AK198" s="209"/>
      <c r="AL198" s="200"/>
    </row>
    <row r="199" spans="1:40" x14ac:dyDescent="0.25">
      <c r="A199" s="202"/>
      <c r="C199" s="154"/>
      <c r="F199" s="252"/>
      <c r="H199" s="252"/>
      <c r="I199" s="252"/>
      <c r="J199" s="300"/>
      <c r="K199" s="300"/>
      <c r="L199" s="200"/>
      <c r="M199" s="200"/>
      <c r="N199" s="210"/>
      <c r="O199" s="210"/>
      <c r="P199" s="200"/>
      <c r="Q199" s="200"/>
      <c r="R199" s="200"/>
      <c r="T199" s="154"/>
      <c r="V199" s="200"/>
      <c r="Y199" s="200"/>
      <c r="Z199" s="300"/>
      <c r="AA199" s="200"/>
      <c r="AB199" s="200"/>
      <c r="AC199" s="210"/>
      <c r="AD199" s="210"/>
      <c r="AE199" s="200"/>
      <c r="AF199" s="200"/>
      <c r="AG199" s="209"/>
      <c r="AH199" s="201"/>
      <c r="AI199" s="200"/>
      <c r="AJ199" s="200"/>
      <c r="AK199" s="209"/>
      <c r="AL199" s="200"/>
      <c r="AM199" s="210"/>
      <c r="AN199" s="210"/>
    </row>
    <row r="200" spans="1:40" x14ac:dyDescent="0.25">
      <c r="A200" s="202"/>
      <c r="C200" s="154"/>
      <c r="F200" s="252"/>
      <c r="H200" s="317"/>
      <c r="I200" s="317"/>
      <c r="J200" s="300"/>
      <c r="K200" s="300"/>
      <c r="L200" s="200"/>
      <c r="M200" s="200"/>
      <c r="N200" s="210"/>
      <c r="O200" s="210"/>
      <c r="P200" s="200"/>
      <c r="Q200" s="200"/>
      <c r="R200" s="200"/>
      <c r="T200" s="154"/>
      <c r="V200" s="200"/>
      <c r="Y200" s="200"/>
      <c r="Z200" s="300"/>
      <c r="AA200" s="200"/>
      <c r="AB200" s="200"/>
      <c r="AC200" s="210"/>
      <c r="AD200" s="210"/>
      <c r="AE200" s="200"/>
      <c r="AF200" s="200"/>
      <c r="AG200" s="209"/>
      <c r="AH200" s="201"/>
      <c r="AI200" s="200"/>
      <c r="AJ200" s="200"/>
      <c r="AK200" s="209"/>
      <c r="AL200" s="200"/>
      <c r="AM200" s="210"/>
      <c r="AN200" s="210"/>
    </row>
    <row r="201" spans="1:40" x14ac:dyDescent="0.25">
      <c r="F201" s="211"/>
      <c r="H201" s="200"/>
      <c r="I201" s="200"/>
      <c r="J201" s="305"/>
      <c r="K201" s="305"/>
      <c r="L201" s="211"/>
      <c r="M201" s="211"/>
      <c r="N201" s="211"/>
      <c r="O201" s="211"/>
      <c r="P201" s="211"/>
      <c r="Q201" s="211"/>
      <c r="R201" s="211"/>
      <c r="V201" s="211"/>
      <c r="Y201" s="200"/>
      <c r="Z201" s="305"/>
      <c r="AA201" s="211"/>
      <c r="AB201" s="211"/>
      <c r="AC201" s="211"/>
      <c r="AD201" s="211"/>
      <c r="AE201" s="211"/>
      <c r="AF201" s="211"/>
      <c r="AI201" s="211"/>
      <c r="AJ201" s="211"/>
      <c r="AK201" s="212"/>
      <c r="AL201" s="211"/>
    </row>
    <row r="202" spans="1:40" x14ac:dyDescent="0.25">
      <c r="A202" s="202"/>
      <c r="C202" s="154"/>
      <c r="F202" s="200"/>
      <c r="H202" s="200"/>
      <c r="I202" s="200"/>
      <c r="J202" s="213"/>
      <c r="K202" s="213"/>
      <c r="L202" s="200"/>
      <c r="M202" s="200"/>
      <c r="N202" s="210"/>
      <c r="O202" s="210"/>
      <c r="P202" s="200"/>
      <c r="Q202" s="200"/>
      <c r="R202" s="200"/>
      <c r="T202" s="154"/>
      <c r="V202" s="200"/>
      <c r="Y202" s="200"/>
      <c r="Z202" s="213"/>
      <c r="AA202" s="200"/>
      <c r="AB202" s="200"/>
      <c r="AC202" s="210"/>
      <c r="AD202" s="210"/>
      <c r="AE202" s="200"/>
      <c r="AF202" s="200"/>
      <c r="AG202" s="209"/>
      <c r="AH202" s="201"/>
      <c r="AI202" s="200"/>
      <c r="AJ202" s="200"/>
      <c r="AK202" s="209"/>
      <c r="AL202" s="200"/>
      <c r="AM202" s="210"/>
      <c r="AN202" s="210"/>
    </row>
    <row r="203" spans="1:40" x14ac:dyDescent="0.25">
      <c r="F203" s="211"/>
      <c r="H203" s="200"/>
      <c r="I203" s="200"/>
      <c r="J203" s="305"/>
      <c r="K203" s="305"/>
      <c r="L203" s="211"/>
      <c r="M203" s="211"/>
      <c r="N203" s="211"/>
      <c r="O203" s="211"/>
      <c r="P203" s="211"/>
      <c r="Q203" s="211"/>
      <c r="R203" s="211"/>
      <c r="V203" s="211"/>
      <c r="Y203" s="200"/>
      <c r="Z203" s="305"/>
      <c r="AA203" s="211"/>
      <c r="AB203" s="211"/>
      <c r="AC203" s="211"/>
      <c r="AD203" s="211"/>
      <c r="AE203" s="211"/>
      <c r="AF203" s="211"/>
      <c r="AI203" s="211"/>
      <c r="AJ203" s="211"/>
      <c r="AK203" s="212"/>
      <c r="AL203" s="211"/>
    </row>
    <row r="204" spans="1:40" x14ac:dyDescent="0.25">
      <c r="F204" s="200"/>
      <c r="R204" s="200"/>
      <c r="V204" s="200"/>
      <c r="AK204" s="209"/>
      <c r="AL204" s="200"/>
    </row>
    <row r="205" spans="1:40" x14ac:dyDescent="0.25">
      <c r="A205" s="202"/>
      <c r="C205" s="154"/>
      <c r="F205" s="200"/>
      <c r="R205" s="200"/>
      <c r="T205" s="154"/>
      <c r="V205" s="200"/>
      <c r="AK205" s="209"/>
      <c r="AL205" s="200"/>
    </row>
    <row r="206" spans="1:40" x14ac:dyDescent="0.25">
      <c r="F206" s="200"/>
      <c r="R206" s="200"/>
      <c r="V206" s="200"/>
      <c r="AK206" s="209"/>
      <c r="AL206" s="200"/>
    </row>
    <row r="207" spans="1:40" x14ac:dyDescent="0.25">
      <c r="A207" s="202"/>
      <c r="C207" s="154"/>
      <c r="F207" s="200"/>
      <c r="H207" s="252"/>
      <c r="I207" s="252"/>
      <c r="J207" s="320"/>
      <c r="K207" s="320"/>
      <c r="L207" s="200"/>
      <c r="M207" s="200"/>
      <c r="N207" s="210"/>
      <c r="O207" s="210"/>
      <c r="P207" s="252"/>
      <c r="Q207" s="252"/>
      <c r="R207" s="200"/>
      <c r="T207" s="154"/>
      <c r="V207" s="200"/>
      <c r="Y207" s="200"/>
      <c r="Z207" s="304"/>
      <c r="AA207" s="200"/>
      <c r="AB207" s="200"/>
      <c r="AC207" s="210"/>
      <c r="AD207" s="210"/>
      <c r="AE207" s="200"/>
      <c r="AF207" s="200"/>
      <c r="AG207" s="209"/>
      <c r="AH207" s="201"/>
      <c r="AI207" s="252"/>
      <c r="AJ207" s="252"/>
      <c r="AK207" s="209"/>
      <c r="AL207" s="200"/>
      <c r="AM207" s="210"/>
      <c r="AN207" s="210"/>
    </row>
    <row r="208" spans="1:40" x14ac:dyDescent="0.25">
      <c r="F208" s="211"/>
      <c r="H208" s="211"/>
      <c r="I208" s="211"/>
      <c r="J208" s="305"/>
      <c r="K208" s="305"/>
      <c r="L208" s="211"/>
      <c r="M208" s="211"/>
      <c r="N208" s="211"/>
      <c r="O208" s="211"/>
      <c r="P208" s="211"/>
      <c r="Q208" s="211"/>
      <c r="R208" s="211"/>
      <c r="V208" s="211"/>
      <c r="Y208" s="211"/>
      <c r="Z208" s="305"/>
      <c r="AA208" s="211"/>
      <c r="AB208" s="211"/>
      <c r="AC208" s="211"/>
      <c r="AD208" s="211"/>
      <c r="AE208" s="211"/>
      <c r="AF208" s="211"/>
      <c r="AI208" s="211"/>
      <c r="AJ208" s="211"/>
      <c r="AK208" s="212"/>
      <c r="AL208" s="211"/>
    </row>
    <row r="210" spans="1:40" x14ac:dyDescent="0.25">
      <c r="A210" s="202"/>
      <c r="C210" s="154"/>
      <c r="F210" s="200"/>
      <c r="H210" s="200"/>
      <c r="I210" s="200"/>
      <c r="J210" s="215"/>
      <c r="K210" s="215"/>
      <c r="L210" s="200"/>
      <c r="M210" s="200"/>
      <c r="N210" s="210"/>
      <c r="O210" s="210"/>
      <c r="P210" s="200"/>
      <c r="Q210" s="200"/>
      <c r="R210" s="200"/>
      <c r="T210" s="154"/>
      <c r="V210" s="200"/>
      <c r="Y210" s="200"/>
      <c r="Z210" s="215"/>
      <c r="AA210" s="200"/>
      <c r="AB210" s="200"/>
      <c r="AC210" s="210"/>
      <c r="AD210" s="210"/>
      <c r="AE210" s="200"/>
      <c r="AF210" s="200"/>
      <c r="AG210" s="209"/>
      <c r="AH210" s="201"/>
      <c r="AI210" s="200"/>
      <c r="AJ210" s="200"/>
      <c r="AK210" s="209"/>
      <c r="AL210" s="200"/>
      <c r="AM210" s="210"/>
      <c r="AN210" s="210"/>
    </row>
    <row r="211" spans="1:40" x14ac:dyDescent="0.25">
      <c r="F211" s="211"/>
      <c r="H211" s="211"/>
      <c r="I211" s="211"/>
      <c r="J211" s="305"/>
      <c r="K211" s="305"/>
      <c r="L211" s="211"/>
      <c r="M211" s="211"/>
      <c r="N211" s="211"/>
      <c r="O211" s="211"/>
      <c r="P211" s="211"/>
      <c r="Q211" s="211"/>
      <c r="R211" s="211"/>
      <c r="V211" s="211"/>
      <c r="Y211" s="211"/>
      <c r="Z211" s="305"/>
      <c r="AA211" s="211"/>
      <c r="AB211" s="211"/>
      <c r="AC211" s="211"/>
      <c r="AD211" s="211"/>
      <c r="AE211" s="211"/>
      <c r="AF211" s="211"/>
      <c r="AI211" s="211"/>
      <c r="AJ211" s="211"/>
      <c r="AK211" s="212"/>
      <c r="AL211" s="211"/>
    </row>
    <row r="212" spans="1:40" x14ac:dyDescent="0.25">
      <c r="R212" s="200"/>
      <c r="AG212" s="209"/>
      <c r="AH212" s="200"/>
    </row>
    <row r="213" spans="1:40" x14ac:dyDescent="0.25">
      <c r="F213" s="200"/>
      <c r="H213" s="200"/>
      <c r="I213" s="200"/>
      <c r="J213" s="213"/>
      <c r="K213" s="213"/>
      <c r="L213" s="200"/>
      <c r="M213" s="200"/>
      <c r="N213" s="200"/>
      <c r="O213" s="200"/>
      <c r="P213" s="200"/>
      <c r="Q213" s="200"/>
      <c r="R213" s="200"/>
      <c r="V213" s="200"/>
      <c r="Y213" s="200"/>
      <c r="Z213" s="213"/>
      <c r="AA213" s="200"/>
      <c r="AB213" s="200"/>
      <c r="AC213" s="200"/>
      <c r="AD213" s="200"/>
      <c r="AE213" s="200"/>
      <c r="AF213" s="200"/>
      <c r="AG213" s="209"/>
      <c r="AH213" s="200"/>
    </row>
    <row r="214" spans="1:40" x14ac:dyDescent="0.25">
      <c r="C214" s="154"/>
      <c r="F214" s="200"/>
      <c r="H214" s="200"/>
      <c r="I214" s="200"/>
      <c r="J214" s="213"/>
      <c r="K214" s="213"/>
      <c r="L214" s="200"/>
      <c r="M214" s="200"/>
      <c r="N214" s="200"/>
      <c r="O214" s="200"/>
      <c r="P214" s="200"/>
      <c r="Q214" s="200"/>
      <c r="R214" s="200"/>
      <c r="T214" s="154"/>
      <c r="V214" s="200"/>
      <c r="Y214" s="200"/>
      <c r="Z214" s="213"/>
      <c r="AA214" s="200"/>
      <c r="AB214" s="200"/>
      <c r="AC214" s="200"/>
      <c r="AD214" s="200"/>
      <c r="AE214" s="200"/>
      <c r="AF214" s="200"/>
      <c r="AG214" s="209"/>
      <c r="AH214" s="200"/>
    </row>
    <row r="215" spans="1:40" x14ac:dyDescent="0.25">
      <c r="A215" s="154"/>
    </row>
    <row r="217" spans="1:40" x14ac:dyDescent="0.25">
      <c r="J217" s="202"/>
      <c r="K217" s="202"/>
      <c r="Z217" s="202"/>
    </row>
    <row r="218" spans="1:40" x14ac:dyDescent="0.25">
      <c r="H218" s="154"/>
      <c r="I218" s="154"/>
      <c r="Y218" s="154"/>
    </row>
    <row r="219" spans="1:40" x14ac:dyDescent="0.25">
      <c r="J219" s="202"/>
      <c r="K219" s="202"/>
      <c r="Z219" s="202"/>
    </row>
    <row r="220" spans="1:40" x14ac:dyDescent="0.25">
      <c r="L220" s="154"/>
      <c r="M220" s="154"/>
      <c r="AA220" s="154"/>
      <c r="AB220" s="154"/>
    </row>
    <row r="221" spans="1:40" x14ac:dyDescent="0.25">
      <c r="A221" s="202"/>
      <c r="R221" s="154"/>
      <c r="AK221" s="297"/>
      <c r="AL221" s="154"/>
    </row>
    <row r="222" spans="1:40" x14ac:dyDescent="0.25">
      <c r="A222" s="202"/>
      <c r="R222" s="154"/>
      <c r="AK222" s="297"/>
      <c r="AL222" s="154"/>
    </row>
    <row r="223" spans="1:40" x14ac:dyDescent="0.25">
      <c r="A223" s="154"/>
      <c r="R223" s="154"/>
      <c r="AK223" s="297"/>
      <c r="AL223" s="154"/>
    </row>
    <row r="224" spans="1:40" x14ac:dyDescent="0.25">
      <c r="L224" s="154"/>
      <c r="M224" s="154"/>
      <c r="R224" s="202"/>
      <c r="AA224" s="154"/>
      <c r="AB224" s="154"/>
      <c r="AK224" s="209"/>
      <c r="AL224" s="202"/>
    </row>
    <row r="225" spans="1:40" x14ac:dyDescent="0.2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208"/>
      <c r="AH225" s="102"/>
      <c r="AI225" s="102"/>
      <c r="AJ225" s="102"/>
      <c r="AK225" s="208"/>
      <c r="AL225" s="102"/>
      <c r="AM225" s="102"/>
      <c r="AN225" s="102"/>
    </row>
    <row r="226" spans="1:40" x14ac:dyDescent="0.25">
      <c r="L226" s="103"/>
      <c r="M226" s="103"/>
      <c r="N226" s="103"/>
      <c r="O226" s="103"/>
      <c r="R226" s="103"/>
      <c r="AA226" s="103"/>
      <c r="AB226" s="103"/>
      <c r="AC226" s="103"/>
      <c r="AD226" s="103"/>
      <c r="AE226" s="103"/>
      <c r="AF226" s="103"/>
      <c r="AG226" s="185"/>
      <c r="AH226" s="103"/>
      <c r="AK226" s="185"/>
      <c r="AL226" s="103"/>
      <c r="AM226" s="103"/>
      <c r="AN226" s="103"/>
    </row>
    <row r="227" spans="1:40" x14ac:dyDescent="0.25">
      <c r="L227" s="103"/>
      <c r="M227" s="103"/>
      <c r="N227" s="103"/>
      <c r="O227" s="103"/>
      <c r="R227" s="103"/>
      <c r="Z227" s="103"/>
      <c r="AA227" s="103"/>
      <c r="AB227" s="103"/>
      <c r="AC227" s="103"/>
      <c r="AD227" s="103"/>
      <c r="AE227" s="103"/>
      <c r="AF227" s="103"/>
      <c r="AG227" s="185"/>
      <c r="AH227" s="103"/>
      <c r="AK227" s="185"/>
      <c r="AL227" s="103"/>
      <c r="AM227" s="103"/>
      <c r="AN227" s="103"/>
    </row>
    <row r="228" spans="1:40" x14ac:dyDescent="0.25">
      <c r="A228" s="103"/>
      <c r="C228" s="103"/>
      <c r="D228" s="103"/>
      <c r="E228" s="103"/>
      <c r="F228" s="103"/>
      <c r="J228" s="103"/>
      <c r="K228" s="103"/>
      <c r="L228" s="103"/>
      <c r="M228" s="103"/>
      <c r="N228" s="103"/>
      <c r="O228" s="103"/>
      <c r="P228" s="103"/>
      <c r="Q228" s="103"/>
      <c r="R228" s="103"/>
      <c r="T228" s="103"/>
      <c r="U228" s="103"/>
      <c r="V228" s="103"/>
      <c r="Z228" s="103"/>
      <c r="AA228" s="103"/>
      <c r="AB228" s="103"/>
      <c r="AC228" s="103"/>
      <c r="AD228" s="103"/>
      <c r="AE228" s="103"/>
      <c r="AF228" s="103"/>
      <c r="AG228" s="185"/>
      <c r="AH228" s="103"/>
      <c r="AI228" s="103"/>
      <c r="AJ228" s="103"/>
      <c r="AK228" s="185"/>
      <c r="AL228" s="103"/>
      <c r="AM228" s="103"/>
      <c r="AN228" s="103"/>
    </row>
    <row r="229" spans="1:40" x14ac:dyDescent="0.25">
      <c r="A229" s="103"/>
      <c r="C229" s="103"/>
      <c r="D229" s="103"/>
      <c r="E229" s="103"/>
      <c r="F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T229" s="103"/>
      <c r="U229" s="103"/>
      <c r="V229" s="103"/>
      <c r="Y229" s="103"/>
      <c r="Z229" s="103"/>
      <c r="AA229" s="103"/>
      <c r="AB229" s="103"/>
      <c r="AC229" s="103"/>
      <c r="AD229" s="103"/>
      <c r="AE229" s="103"/>
      <c r="AF229" s="103"/>
      <c r="AG229" s="185"/>
      <c r="AH229" s="103"/>
      <c r="AI229" s="103"/>
      <c r="AJ229" s="103"/>
      <c r="AK229" s="185"/>
      <c r="AL229" s="103"/>
      <c r="AM229" s="103"/>
      <c r="AN229" s="103"/>
    </row>
    <row r="230" spans="1:40" x14ac:dyDescent="0.25">
      <c r="C230" s="103"/>
      <c r="D230" s="103"/>
      <c r="E230" s="103"/>
      <c r="F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T230" s="103"/>
      <c r="U230" s="103"/>
      <c r="V230" s="103"/>
      <c r="Y230" s="103"/>
      <c r="Z230" s="103"/>
      <c r="AA230" s="103"/>
      <c r="AB230" s="103"/>
      <c r="AC230" s="103"/>
      <c r="AD230" s="103"/>
      <c r="AE230" s="103"/>
      <c r="AF230" s="103"/>
      <c r="AG230" s="185"/>
      <c r="AH230" s="103"/>
      <c r="AI230" s="103"/>
      <c r="AJ230" s="103"/>
      <c r="AK230" s="185"/>
      <c r="AL230" s="103"/>
      <c r="AM230" s="103"/>
      <c r="AN230" s="103"/>
    </row>
    <row r="231" spans="1:40" x14ac:dyDescent="0.25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208"/>
      <c r="AH231" s="102"/>
      <c r="AI231" s="102"/>
      <c r="AJ231" s="102"/>
      <c r="AK231" s="208"/>
      <c r="AL231" s="102"/>
      <c r="AM231" s="102"/>
      <c r="AN231" s="102"/>
    </row>
    <row r="232" spans="1:40" x14ac:dyDescent="0.25"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Y232" s="103"/>
      <c r="Z232" s="103"/>
      <c r="AA232" s="103"/>
      <c r="AB232" s="103"/>
      <c r="AC232" s="103"/>
      <c r="AD232" s="103"/>
      <c r="AE232" s="103"/>
      <c r="AF232" s="103"/>
      <c r="AG232" s="185"/>
      <c r="AH232" s="103"/>
      <c r="AI232" s="103"/>
      <c r="AJ232" s="103"/>
      <c r="AK232" s="185"/>
      <c r="AL232" s="103"/>
      <c r="AM232" s="103"/>
      <c r="AN232" s="103"/>
    </row>
    <row r="233" spans="1:40" x14ac:dyDescent="0.25">
      <c r="A233" s="202"/>
      <c r="C233" s="154"/>
      <c r="D233" s="154"/>
      <c r="E233" s="154"/>
      <c r="T233" s="154"/>
      <c r="U233" s="154"/>
    </row>
    <row r="234" spans="1:40" x14ac:dyDescent="0.25">
      <c r="A234" s="202"/>
      <c r="C234" s="154"/>
      <c r="T234" s="154"/>
    </row>
    <row r="236" spans="1:40" x14ac:dyDescent="0.25">
      <c r="A236" s="202"/>
      <c r="C236" s="154"/>
      <c r="F236" s="252"/>
      <c r="H236" s="252"/>
      <c r="I236" s="252"/>
      <c r="J236" s="300"/>
      <c r="K236" s="300"/>
      <c r="L236" s="200"/>
      <c r="M236" s="200"/>
      <c r="N236" s="210"/>
      <c r="O236" s="210"/>
      <c r="P236" s="202"/>
      <c r="Q236" s="202"/>
      <c r="R236" s="200"/>
      <c r="T236" s="154"/>
      <c r="V236" s="200"/>
      <c r="Y236" s="252"/>
      <c r="Z236" s="300"/>
      <c r="AA236" s="200"/>
      <c r="AB236" s="200"/>
      <c r="AC236" s="210"/>
      <c r="AD236" s="210"/>
      <c r="AE236" s="200"/>
      <c r="AF236" s="200"/>
      <c r="AG236" s="209"/>
      <c r="AH236" s="201"/>
      <c r="AI236" s="202"/>
      <c r="AJ236" s="202"/>
      <c r="AK236" s="209"/>
      <c r="AL236" s="200"/>
      <c r="AM236" s="210"/>
      <c r="AN236" s="210"/>
    </row>
    <row r="237" spans="1:40" x14ac:dyDescent="0.25">
      <c r="F237" s="211"/>
      <c r="H237" s="200"/>
      <c r="I237" s="200"/>
      <c r="J237" s="305"/>
      <c r="K237" s="305"/>
      <c r="L237" s="211"/>
      <c r="M237" s="211"/>
      <c r="N237" s="211"/>
      <c r="O237" s="211"/>
      <c r="P237" s="211"/>
      <c r="Q237" s="211"/>
      <c r="R237" s="211"/>
      <c r="V237" s="211"/>
      <c r="Y237" s="200"/>
      <c r="Z237" s="305"/>
      <c r="AA237" s="211"/>
      <c r="AB237" s="211"/>
      <c r="AC237" s="211"/>
      <c r="AD237" s="211"/>
      <c r="AE237" s="211"/>
      <c r="AF237" s="211"/>
      <c r="AI237" s="211"/>
      <c r="AJ237" s="211"/>
      <c r="AK237" s="212"/>
      <c r="AL237" s="211"/>
      <c r="AM237" s="210"/>
      <c r="AN237" s="210"/>
    </row>
    <row r="238" spans="1:40" x14ac:dyDescent="0.25">
      <c r="A238" s="202"/>
      <c r="C238" s="154"/>
      <c r="F238" s="252"/>
      <c r="H238" s="252"/>
      <c r="I238" s="252"/>
      <c r="J238" s="328"/>
      <c r="K238" s="328"/>
      <c r="L238" s="200"/>
      <c r="M238" s="200"/>
      <c r="N238" s="210"/>
      <c r="O238" s="210"/>
      <c r="P238" s="200"/>
      <c r="Q238" s="200"/>
      <c r="R238" s="200"/>
      <c r="S238" s="200"/>
      <c r="T238" s="154"/>
      <c r="V238" s="252"/>
      <c r="Y238" s="252"/>
      <c r="Z238" s="328"/>
      <c r="AA238" s="200"/>
      <c r="AB238" s="200"/>
      <c r="AC238" s="210"/>
      <c r="AD238" s="210"/>
      <c r="AE238" s="200"/>
      <c r="AF238" s="200"/>
      <c r="AG238" s="209"/>
      <c r="AH238" s="210"/>
      <c r="AI238" s="200"/>
      <c r="AJ238" s="200"/>
      <c r="AK238" s="209"/>
      <c r="AL238" s="200"/>
      <c r="AM238" s="210"/>
      <c r="AN238" s="210"/>
    </row>
    <row r="239" spans="1:40" x14ac:dyDescent="0.25">
      <c r="A239" s="202"/>
      <c r="C239" s="154"/>
      <c r="F239" s="252"/>
      <c r="H239" s="252"/>
      <c r="I239" s="252"/>
      <c r="J239" s="300"/>
      <c r="K239" s="300"/>
      <c r="L239" s="200"/>
      <c r="M239" s="200"/>
      <c r="N239" s="210"/>
      <c r="O239" s="210"/>
      <c r="P239" s="200"/>
      <c r="Q239" s="200"/>
      <c r="R239" s="200"/>
      <c r="T239" s="154"/>
      <c r="V239" s="252"/>
      <c r="Y239" s="200"/>
      <c r="Z239" s="300"/>
      <c r="AA239" s="200"/>
      <c r="AB239" s="200"/>
      <c r="AC239" s="210"/>
      <c r="AD239" s="210"/>
      <c r="AE239" s="200"/>
      <c r="AF239" s="200"/>
      <c r="AG239" s="209"/>
      <c r="AH239" s="201"/>
      <c r="AI239" s="200"/>
      <c r="AJ239" s="200"/>
      <c r="AK239" s="209"/>
      <c r="AL239" s="200"/>
      <c r="AM239" s="210"/>
      <c r="AN239" s="210"/>
    </row>
    <row r="240" spans="1:40" x14ac:dyDescent="0.25">
      <c r="A240" s="202"/>
      <c r="C240" s="154"/>
      <c r="F240" s="252"/>
      <c r="H240" s="252"/>
      <c r="I240" s="252"/>
      <c r="J240" s="300"/>
      <c r="K240" s="300"/>
      <c r="L240" s="200"/>
      <c r="M240" s="200"/>
      <c r="N240" s="210"/>
      <c r="O240" s="210"/>
      <c r="P240" s="200"/>
      <c r="Q240" s="200"/>
      <c r="R240" s="200"/>
      <c r="T240" s="154"/>
      <c r="V240" s="252"/>
      <c r="Y240" s="200"/>
      <c r="Z240" s="300"/>
      <c r="AA240" s="200"/>
      <c r="AB240" s="200"/>
      <c r="AC240" s="210"/>
      <c r="AD240" s="210"/>
      <c r="AE240" s="200"/>
      <c r="AF240" s="200"/>
      <c r="AG240" s="209"/>
      <c r="AH240" s="201"/>
      <c r="AI240" s="200"/>
      <c r="AJ240" s="200"/>
      <c r="AK240" s="209"/>
      <c r="AL240" s="200"/>
      <c r="AM240" s="210"/>
      <c r="AN240" s="210"/>
    </row>
    <row r="241" spans="1:40" x14ac:dyDescent="0.25">
      <c r="F241" s="211"/>
      <c r="H241" s="211"/>
      <c r="I241" s="211"/>
      <c r="J241" s="305"/>
      <c r="K241" s="305"/>
      <c r="L241" s="211"/>
      <c r="M241" s="211"/>
      <c r="N241" s="211"/>
      <c r="O241" s="211"/>
      <c r="P241" s="211"/>
      <c r="Q241" s="211"/>
      <c r="R241" s="211"/>
      <c r="V241" s="211"/>
      <c r="Y241" s="211"/>
      <c r="Z241" s="305"/>
      <c r="AA241" s="211"/>
      <c r="AB241" s="211"/>
      <c r="AC241" s="211"/>
      <c r="AD241" s="211"/>
      <c r="AE241" s="211"/>
      <c r="AF241" s="211"/>
      <c r="AI241" s="211"/>
      <c r="AJ241" s="211"/>
      <c r="AK241" s="212"/>
      <c r="AL241" s="211"/>
      <c r="AM241" s="210"/>
      <c r="AN241" s="210"/>
    </row>
    <row r="242" spans="1:40" x14ac:dyDescent="0.25">
      <c r="A242" s="202"/>
      <c r="C242" s="154"/>
      <c r="F242" s="200"/>
      <c r="H242" s="200"/>
      <c r="I242" s="200"/>
      <c r="J242" s="213"/>
      <c r="K242" s="213"/>
      <c r="L242" s="200"/>
      <c r="M242" s="200"/>
      <c r="N242" s="210"/>
      <c r="O242" s="210"/>
      <c r="P242" s="200"/>
      <c r="Q242" s="200"/>
      <c r="R242" s="200"/>
      <c r="T242" s="154"/>
      <c r="V242" s="200"/>
      <c r="Y242" s="200"/>
      <c r="Z242" s="213"/>
      <c r="AA242" s="200"/>
      <c r="AB242" s="200"/>
      <c r="AC242" s="210"/>
      <c r="AD242" s="210"/>
      <c r="AE242" s="200"/>
      <c r="AF242" s="200"/>
      <c r="AG242" s="209"/>
      <c r="AH242" s="201"/>
      <c r="AI242" s="200"/>
      <c r="AJ242" s="200"/>
      <c r="AK242" s="209"/>
      <c r="AL242" s="200"/>
      <c r="AM242" s="210"/>
      <c r="AN242" s="210"/>
    </row>
    <row r="243" spans="1:40" x14ac:dyDescent="0.25">
      <c r="F243" s="211"/>
      <c r="H243" s="211"/>
      <c r="I243" s="211"/>
      <c r="J243" s="305"/>
      <c r="K243" s="305"/>
      <c r="L243" s="211"/>
      <c r="M243" s="211"/>
      <c r="N243" s="211"/>
      <c r="O243" s="211"/>
      <c r="P243" s="211"/>
      <c r="Q243" s="211"/>
      <c r="R243" s="211"/>
      <c r="V243" s="211"/>
      <c r="Y243" s="211"/>
      <c r="Z243" s="305"/>
      <c r="AA243" s="211"/>
      <c r="AB243" s="211"/>
      <c r="AC243" s="211"/>
      <c r="AD243" s="211"/>
      <c r="AE243" s="211"/>
      <c r="AF243" s="211"/>
      <c r="AI243" s="211"/>
      <c r="AJ243" s="211"/>
      <c r="AK243" s="212"/>
      <c r="AL243" s="211"/>
      <c r="AM243" s="210"/>
      <c r="AN243" s="210"/>
    </row>
    <row r="244" spans="1:40" x14ac:dyDescent="0.25">
      <c r="A244" s="202"/>
      <c r="C244" s="154"/>
      <c r="F244" s="200"/>
      <c r="H244" s="200"/>
      <c r="I244" s="200"/>
      <c r="J244" s="213"/>
      <c r="K244" s="213"/>
      <c r="L244" s="200"/>
      <c r="M244" s="200"/>
      <c r="N244" s="210"/>
      <c r="O244" s="210"/>
      <c r="P244" s="200"/>
      <c r="Q244" s="200"/>
      <c r="R244" s="200"/>
      <c r="T244" s="154"/>
      <c r="V244" s="200"/>
      <c r="Y244" s="200"/>
      <c r="Z244" s="213"/>
      <c r="AA244" s="200"/>
      <c r="AB244" s="200"/>
      <c r="AC244" s="210"/>
      <c r="AD244" s="210"/>
      <c r="AE244" s="200"/>
      <c r="AF244" s="200"/>
      <c r="AG244" s="209"/>
      <c r="AH244" s="201"/>
      <c r="AI244" s="200"/>
      <c r="AJ244" s="200"/>
      <c r="AK244" s="209"/>
      <c r="AL244" s="200"/>
      <c r="AM244" s="210"/>
      <c r="AN244" s="210"/>
    </row>
    <row r="245" spans="1:40" x14ac:dyDescent="0.25">
      <c r="A245" s="202"/>
      <c r="C245" s="154"/>
      <c r="F245" s="200"/>
      <c r="H245" s="252"/>
      <c r="I245" s="252"/>
      <c r="J245" s="320"/>
      <c r="K245" s="320"/>
      <c r="L245" s="200"/>
      <c r="M245" s="200"/>
      <c r="N245" s="210"/>
      <c r="O245" s="210"/>
      <c r="P245" s="200"/>
      <c r="Q245" s="200"/>
      <c r="R245" s="200"/>
      <c r="T245" s="154"/>
      <c r="V245" s="200"/>
      <c r="Y245" s="200"/>
      <c r="Z245" s="304"/>
      <c r="AA245" s="200"/>
      <c r="AB245" s="200"/>
      <c r="AC245" s="210"/>
      <c r="AD245" s="210"/>
      <c r="AE245" s="200"/>
      <c r="AF245" s="200"/>
      <c r="AG245" s="209"/>
      <c r="AH245" s="201"/>
      <c r="AI245" s="200"/>
      <c r="AJ245" s="200"/>
      <c r="AK245" s="209"/>
      <c r="AL245" s="200"/>
      <c r="AM245" s="210"/>
      <c r="AN245" s="210"/>
    </row>
    <row r="246" spans="1:40" x14ac:dyDescent="0.25">
      <c r="F246" s="211"/>
      <c r="H246" s="211"/>
      <c r="I246" s="211"/>
      <c r="J246" s="305"/>
      <c r="K246" s="305"/>
      <c r="L246" s="211"/>
      <c r="M246" s="211"/>
      <c r="N246" s="211"/>
      <c r="O246" s="211"/>
      <c r="P246" s="211"/>
      <c r="Q246" s="211"/>
      <c r="R246" s="211"/>
      <c r="V246" s="211"/>
      <c r="Y246" s="211"/>
      <c r="Z246" s="305"/>
      <c r="AA246" s="211"/>
      <c r="AB246" s="211"/>
      <c r="AC246" s="211"/>
      <c r="AD246" s="211"/>
      <c r="AE246" s="211"/>
      <c r="AF246" s="211"/>
      <c r="AI246" s="211"/>
      <c r="AJ246" s="211"/>
      <c r="AK246" s="212"/>
      <c r="AL246" s="211"/>
      <c r="AM246" s="210"/>
      <c r="AN246" s="210"/>
    </row>
    <row r="248" spans="1:40" x14ac:dyDescent="0.25">
      <c r="A248" s="202"/>
      <c r="C248" s="154"/>
      <c r="F248" s="200"/>
      <c r="H248" s="200"/>
      <c r="I248" s="200"/>
      <c r="J248" s="305"/>
      <c r="K248" s="305"/>
      <c r="L248" s="200"/>
      <c r="M248" s="200"/>
      <c r="N248" s="210"/>
      <c r="O248" s="210"/>
      <c r="P248" s="200"/>
      <c r="Q248" s="200"/>
      <c r="R248" s="200"/>
      <c r="S248" s="200"/>
      <c r="T248" s="154"/>
      <c r="V248" s="200"/>
      <c r="Y248" s="200"/>
      <c r="Z248" s="305"/>
      <c r="AA248" s="200"/>
      <c r="AB248" s="200"/>
      <c r="AC248" s="210"/>
      <c r="AD248" s="210"/>
      <c r="AE248" s="200"/>
      <c r="AF248" s="200"/>
      <c r="AG248" s="209"/>
      <c r="AH248" s="210"/>
      <c r="AI248" s="200"/>
      <c r="AJ248" s="200"/>
      <c r="AK248" s="209"/>
      <c r="AL248" s="200"/>
      <c r="AM248" s="210"/>
      <c r="AN248" s="210"/>
    </row>
    <row r="249" spans="1:40" x14ac:dyDescent="0.25">
      <c r="F249" s="211"/>
      <c r="H249" s="211"/>
      <c r="I249" s="211"/>
      <c r="J249" s="305"/>
      <c r="K249" s="305"/>
      <c r="L249" s="211"/>
      <c r="M249" s="211"/>
      <c r="N249" s="211"/>
      <c r="O249" s="211"/>
      <c r="P249" s="211"/>
      <c r="Q249" s="211"/>
      <c r="R249" s="211"/>
      <c r="S249" s="200"/>
      <c r="V249" s="211"/>
      <c r="Y249" s="211"/>
      <c r="Z249" s="305"/>
      <c r="AA249" s="211"/>
      <c r="AB249" s="211"/>
      <c r="AC249" s="211"/>
      <c r="AD249" s="211"/>
      <c r="AE249" s="211"/>
      <c r="AF249" s="211"/>
      <c r="AI249" s="211"/>
      <c r="AJ249" s="211"/>
      <c r="AK249" s="212"/>
      <c r="AL249" s="211"/>
      <c r="AM249" s="210"/>
      <c r="AN249" s="210"/>
    </row>
    <row r="250" spans="1:40" x14ac:dyDescent="0.25">
      <c r="A250" s="202"/>
      <c r="C250" s="154"/>
      <c r="F250" s="252"/>
      <c r="H250" s="252"/>
      <c r="I250" s="252"/>
      <c r="J250" s="305"/>
      <c r="K250" s="305"/>
      <c r="L250" s="200"/>
      <c r="M250" s="200"/>
      <c r="N250" s="210"/>
      <c r="O250" s="210"/>
      <c r="P250" s="200"/>
      <c r="Q250" s="200"/>
      <c r="R250" s="200"/>
      <c r="S250" s="200"/>
      <c r="T250" s="154"/>
      <c r="V250" s="252"/>
      <c r="Y250" s="252"/>
      <c r="Z250" s="305"/>
      <c r="AA250" s="200"/>
      <c r="AB250" s="200"/>
      <c r="AC250" s="210"/>
      <c r="AD250" s="210"/>
      <c r="AE250" s="200"/>
      <c r="AF250" s="200"/>
      <c r="AI250" s="200"/>
      <c r="AJ250" s="200"/>
      <c r="AK250" s="209"/>
      <c r="AL250" s="200"/>
      <c r="AM250" s="210"/>
      <c r="AN250" s="210"/>
    </row>
    <row r="252" spans="1:40" x14ac:dyDescent="0.25">
      <c r="A252" s="202"/>
      <c r="C252" s="154"/>
      <c r="F252" s="252"/>
      <c r="H252" s="252"/>
      <c r="I252" s="252"/>
      <c r="J252" s="300"/>
      <c r="K252" s="300"/>
      <c r="L252" s="200"/>
      <c r="M252" s="200"/>
      <c r="N252" s="210"/>
      <c r="O252" s="210"/>
      <c r="P252" s="202"/>
      <c r="Q252" s="202"/>
      <c r="R252" s="200"/>
      <c r="T252" s="154"/>
      <c r="V252" s="200"/>
      <c r="Y252" s="252"/>
      <c r="Z252" s="300"/>
      <c r="AA252" s="200"/>
      <c r="AB252" s="200"/>
      <c r="AC252" s="210"/>
      <c r="AD252" s="210"/>
      <c r="AE252" s="200"/>
      <c r="AF252" s="200"/>
      <c r="AG252" s="209"/>
      <c r="AH252" s="201"/>
      <c r="AI252" s="202"/>
      <c r="AJ252" s="202"/>
      <c r="AK252" s="209"/>
      <c r="AL252" s="200"/>
      <c r="AM252" s="210"/>
      <c r="AN252" s="210"/>
    </row>
    <row r="253" spans="1:40" x14ac:dyDescent="0.25">
      <c r="F253" s="211"/>
      <c r="H253" s="200"/>
      <c r="I253" s="200"/>
      <c r="J253" s="305"/>
      <c r="K253" s="305"/>
      <c r="L253" s="211"/>
      <c r="M253" s="211"/>
      <c r="N253" s="211"/>
      <c r="O253" s="211"/>
      <c r="P253" s="211"/>
      <c r="Q253" s="211"/>
      <c r="R253" s="211"/>
      <c r="V253" s="211"/>
      <c r="Y253" s="200"/>
      <c r="Z253" s="305"/>
      <c r="AA253" s="211"/>
      <c r="AB253" s="211"/>
      <c r="AC253" s="211"/>
      <c r="AD253" s="211"/>
      <c r="AE253" s="211"/>
      <c r="AF253" s="211"/>
      <c r="AI253" s="211"/>
      <c r="AJ253" s="211"/>
      <c r="AK253" s="212"/>
      <c r="AL253" s="211"/>
      <c r="AM253" s="210"/>
      <c r="AN253" s="210"/>
    </row>
    <row r="254" spans="1:40" x14ac:dyDescent="0.25">
      <c r="A254" s="202"/>
      <c r="C254" s="154"/>
      <c r="F254" s="252"/>
      <c r="H254" s="252"/>
      <c r="I254" s="252"/>
      <c r="J254" s="328"/>
      <c r="K254" s="328"/>
      <c r="L254" s="200"/>
      <c r="M254" s="200"/>
      <c r="N254" s="210"/>
      <c r="O254" s="210"/>
      <c r="P254" s="200"/>
      <c r="Q254" s="200"/>
      <c r="R254" s="200"/>
      <c r="S254" s="200"/>
      <c r="T254" s="154"/>
      <c r="V254" s="252"/>
      <c r="Y254" s="252"/>
      <c r="Z254" s="328"/>
      <c r="AA254" s="200"/>
      <c r="AB254" s="200"/>
      <c r="AC254" s="210"/>
      <c r="AD254" s="210"/>
      <c r="AE254" s="200"/>
      <c r="AF254" s="200"/>
      <c r="AG254" s="209"/>
      <c r="AH254" s="210"/>
      <c r="AI254" s="200"/>
      <c r="AJ254" s="200"/>
      <c r="AK254" s="209"/>
      <c r="AL254" s="200"/>
      <c r="AM254" s="210"/>
      <c r="AN254" s="210"/>
    </row>
    <row r="255" spans="1:40" x14ac:dyDescent="0.25">
      <c r="A255" s="202"/>
      <c r="C255" s="154"/>
      <c r="F255" s="252"/>
      <c r="H255" s="252"/>
      <c r="I255" s="252"/>
      <c r="J255" s="300"/>
      <c r="K255" s="300"/>
      <c r="L255" s="200"/>
      <c r="M255" s="200"/>
      <c r="N255" s="210"/>
      <c r="O255" s="210"/>
      <c r="P255" s="200"/>
      <c r="Q255" s="200"/>
      <c r="R255" s="200"/>
      <c r="T255" s="154"/>
      <c r="V255" s="252"/>
      <c r="Y255" s="200"/>
      <c r="Z255" s="300"/>
      <c r="AA255" s="200"/>
      <c r="AB255" s="200"/>
      <c r="AC255" s="210"/>
      <c r="AD255" s="210"/>
      <c r="AE255" s="200"/>
      <c r="AF255" s="200"/>
      <c r="AG255" s="209"/>
      <c r="AH255" s="201"/>
      <c r="AI255" s="200"/>
      <c r="AJ255" s="200"/>
      <c r="AK255" s="209"/>
      <c r="AL255" s="200"/>
      <c r="AM255" s="210"/>
      <c r="AN255" s="210"/>
    </row>
    <row r="256" spans="1:40" x14ac:dyDescent="0.25">
      <c r="A256" s="202"/>
      <c r="C256" s="154"/>
      <c r="F256" s="252"/>
      <c r="H256" s="252"/>
      <c r="I256" s="252"/>
      <c r="J256" s="300"/>
      <c r="K256" s="300"/>
      <c r="L256" s="200"/>
      <c r="M256" s="200"/>
      <c r="N256" s="210"/>
      <c r="O256" s="210"/>
      <c r="P256" s="200"/>
      <c r="Q256" s="200"/>
      <c r="R256" s="200"/>
      <c r="T256" s="154"/>
      <c r="V256" s="252"/>
      <c r="Y256" s="200"/>
      <c r="Z256" s="300"/>
      <c r="AA256" s="200"/>
      <c r="AB256" s="200"/>
      <c r="AC256" s="210"/>
      <c r="AD256" s="210"/>
      <c r="AE256" s="200"/>
      <c r="AF256" s="200"/>
      <c r="AG256" s="209"/>
      <c r="AH256" s="201"/>
      <c r="AI256" s="200"/>
      <c r="AJ256" s="200"/>
      <c r="AK256" s="209"/>
      <c r="AL256" s="200"/>
      <c r="AM256" s="210"/>
      <c r="AN256" s="210"/>
    </row>
    <row r="257" spans="1:40" x14ac:dyDescent="0.25">
      <c r="F257" s="211"/>
      <c r="H257" s="211"/>
      <c r="I257" s="211"/>
      <c r="J257" s="305"/>
      <c r="K257" s="305"/>
      <c r="L257" s="211"/>
      <c r="M257" s="211"/>
      <c r="N257" s="211"/>
      <c r="O257" s="211"/>
      <c r="P257" s="211"/>
      <c r="Q257" s="211"/>
      <c r="R257" s="211"/>
      <c r="V257" s="211"/>
      <c r="Y257" s="211"/>
      <c r="Z257" s="305"/>
      <c r="AA257" s="211"/>
      <c r="AB257" s="211"/>
      <c r="AC257" s="211"/>
      <c r="AD257" s="211"/>
      <c r="AE257" s="211"/>
      <c r="AF257" s="211"/>
      <c r="AI257" s="211"/>
      <c r="AJ257" s="211"/>
      <c r="AK257" s="212"/>
      <c r="AL257" s="211"/>
      <c r="AM257" s="210"/>
      <c r="AN257" s="210"/>
    </row>
    <row r="258" spans="1:40" x14ac:dyDescent="0.25">
      <c r="A258" s="202"/>
      <c r="C258" s="154"/>
      <c r="F258" s="200"/>
      <c r="H258" s="200"/>
      <c r="I258" s="200"/>
      <c r="J258" s="213"/>
      <c r="K258" s="213"/>
      <c r="L258" s="200"/>
      <c r="M258" s="200"/>
      <c r="N258" s="210"/>
      <c r="O258" s="210"/>
      <c r="P258" s="200"/>
      <c r="Q258" s="200"/>
      <c r="R258" s="200"/>
      <c r="T258" s="154"/>
      <c r="V258" s="200"/>
      <c r="Y258" s="200"/>
      <c r="Z258" s="213"/>
      <c r="AA258" s="200"/>
      <c r="AB258" s="200"/>
      <c r="AC258" s="210"/>
      <c r="AD258" s="210"/>
      <c r="AE258" s="200"/>
      <c r="AF258" s="200"/>
      <c r="AG258" s="209"/>
      <c r="AH258" s="201"/>
      <c r="AI258" s="200"/>
      <c r="AJ258" s="200"/>
      <c r="AK258" s="209"/>
      <c r="AL258" s="200"/>
      <c r="AM258" s="210"/>
      <c r="AN258" s="210"/>
    </row>
    <row r="259" spans="1:40" x14ac:dyDescent="0.25">
      <c r="F259" s="211"/>
      <c r="H259" s="211"/>
      <c r="I259" s="211"/>
      <c r="J259" s="305"/>
      <c r="K259" s="305"/>
      <c r="L259" s="211"/>
      <c r="M259" s="211"/>
      <c r="N259" s="211"/>
      <c r="O259" s="211"/>
      <c r="P259" s="211"/>
      <c r="Q259" s="211"/>
      <c r="R259" s="211"/>
      <c r="V259" s="211"/>
      <c r="Y259" s="211"/>
      <c r="Z259" s="305"/>
      <c r="AA259" s="211"/>
      <c r="AB259" s="211"/>
      <c r="AC259" s="211"/>
      <c r="AD259" s="211"/>
      <c r="AE259" s="211"/>
      <c r="AF259" s="211"/>
      <c r="AI259" s="211"/>
      <c r="AJ259" s="211"/>
      <c r="AK259" s="212"/>
      <c r="AL259" s="211"/>
      <c r="AM259" s="210"/>
      <c r="AN259" s="210"/>
    </row>
    <row r="260" spans="1:40" x14ac:dyDescent="0.25">
      <c r="A260" s="202"/>
      <c r="C260" s="154"/>
      <c r="F260" s="200"/>
      <c r="H260" s="200"/>
      <c r="I260" s="200"/>
      <c r="J260" s="213"/>
      <c r="K260" s="213"/>
      <c r="L260" s="200"/>
      <c r="M260" s="200"/>
      <c r="N260" s="210"/>
      <c r="O260" s="210"/>
      <c r="P260" s="200"/>
      <c r="Q260" s="200"/>
      <c r="R260" s="200"/>
      <c r="T260" s="154"/>
      <c r="V260" s="200"/>
      <c r="Y260" s="200"/>
      <c r="Z260" s="213"/>
      <c r="AA260" s="200"/>
      <c r="AB260" s="200"/>
      <c r="AC260" s="210"/>
      <c r="AD260" s="210"/>
      <c r="AE260" s="200"/>
      <c r="AF260" s="200"/>
      <c r="AG260" s="209"/>
      <c r="AH260" s="201"/>
      <c r="AI260" s="200"/>
      <c r="AJ260" s="200"/>
      <c r="AK260" s="209"/>
      <c r="AL260" s="200"/>
      <c r="AM260" s="210"/>
      <c r="AN260" s="210"/>
    </row>
    <row r="261" spans="1:40" x14ac:dyDescent="0.25">
      <c r="A261" s="202"/>
      <c r="C261" s="154"/>
      <c r="F261" s="200"/>
      <c r="H261" s="252"/>
      <c r="I261" s="252"/>
      <c r="J261" s="320"/>
      <c r="K261" s="320"/>
      <c r="L261" s="200"/>
      <c r="M261" s="200"/>
      <c r="N261" s="210"/>
      <c r="O261" s="210"/>
      <c r="P261" s="200"/>
      <c r="Q261" s="200"/>
      <c r="R261" s="200"/>
      <c r="T261" s="154"/>
      <c r="V261" s="200"/>
      <c r="Y261" s="200"/>
      <c r="Z261" s="304"/>
      <c r="AA261" s="200"/>
      <c r="AB261" s="200"/>
      <c r="AC261" s="210"/>
      <c r="AD261" s="210"/>
      <c r="AE261" s="200"/>
      <c r="AF261" s="200"/>
      <c r="AG261" s="209"/>
      <c r="AH261" s="201"/>
      <c r="AI261" s="200"/>
      <c r="AJ261" s="200"/>
      <c r="AK261" s="209"/>
      <c r="AL261" s="200"/>
      <c r="AM261" s="210"/>
      <c r="AN261" s="210"/>
    </row>
    <row r="262" spans="1:40" x14ac:dyDescent="0.25">
      <c r="F262" s="211"/>
      <c r="H262" s="211"/>
      <c r="I262" s="211"/>
      <c r="J262" s="305"/>
      <c r="K262" s="305"/>
      <c r="L262" s="211"/>
      <c r="M262" s="211"/>
      <c r="N262" s="211"/>
      <c r="O262" s="211"/>
      <c r="P262" s="211"/>
      <c r="Q262" s="211"/>
      <c r="R262" s="211"/>
      <c r="V262" s="211"/>
      <c r="Y262" s="211"/>
      <c r="Z262" s="305"/>
      <c r="AA262" s="211"/>
      <c r="AB262" s="211"/>
      <c r="AC262" s="211"/>
      <c r="AD262" s="211"/>
      <c r="AE262" s="211"/>
      <c r="AF262" s="211"/>
      <c r="AI262" s="211"/>
      <c r="AJ262" s="211"/>
      <c r="AK262" s="212"/>
      <c r="AL262" s="211"/>
      <c r="AM262" s="210"/>
      <c r="AN262" s="210"/>
    </row>
    <row r="264" spans="1:40" x14ac:dyDescent="0.25">
      <c r="A264" s="202"/>
      <c r="C264" s="154"/>
      <c r="F264" s="200"/>
      <c r="H264" s="200"/>
      <c r="I264" s="200"/>
      <c r="J264" s="305"/>
      <c r="K264" s="305"/>
      <c r="L264" s="200"/>
      <c r="M264" s="200"/>
      <c r="N264" s="210"/>
      <c r="O264" s="210"/>
      <c r="P264" s="200"/>
      <c r="Q264" s="200"/>
      <c r="R264" s="200"/>
      <c r="S264" s="200"/>
      <c r="T264" s="154"/>
      <c r="V264" s="200"/>
      <c r="Y264" s="200"/>
      <c r="Z264" s="305"/>
      <c r="AA264" s="200"/>
      <c r="AB264" s="200"/>
      <c r="AC264" s="210"/>
      <c r="AD264" s="210"/>
      <c r="AE264" s="200"/>
      <c r="AF264" s="200"/>
      <c r="AG264" s="209"/>
      <c r="AH264" s="210"/>
      <c r="AI264" s="200"/>
      <c r="AJ264" s="200"/>
      <c r="AK264" s="209"/>
      <c r="AL264" s="200"/>
      <c r="AM264" s="210"/>
      <c r="AN264" s="210"/>
    </row>
    <row r="265" spans="1:40" x14ac:dyDescent="0.25">
      <c r="F265" s="211"/>
      <c r="H265" s="211"/>
      <c r="I265" s="211"/>
      <c r="J265" s="305"/>
      <c r="K265" s="305"/>
      <c r="L265" s="211"/>
      <c r="M265" s="211"/>
      <c r="N265" s="211"/>
      <c r="O265" s="211"/>
      <c r="P265" s="211"/>
      <c r="Q265" s="211"/>
      <c r="R265" s="211"/>
      <c r="S265" s="200"/>
      <c r="V265" s="211"/>
      <c r="Y265" s="211"/>
      <c r="Z265" s="305"/>
      <c r="AA265" s="211"/>
      <c r="AB265" s="211"/>
      <c r="AC265" s="211"/>
      <c r="AD265" s="211"/>
      <c r="AE265" s="211"/>
      <c r="AF265" s="211"/>
      <c r="AI265" s="211"/>
      <c r="AJ265" s="211"/>
      <c r="AK265" s="212"/>
      <c r="AL265" s="211"/>
      <c r="AM265" s="210"/>
      <c r="AN265" s="210"/>
    </row>
    <row r="266" spans="1:40" x14ac:dyDescent="0.25">
      <c r="A266" s="202"/>
      <c r="C266" s="154"/>
      <c r="T266" s="154"/>
    </row>
    <row r="267" spans="1:40" x14ac:dyDescent="0.25">
      <c r="A267" s="202"/>
      <c r="C267" s="154"/>
      <c r="F267" s="200"/>
      <c r="H267" s="200"/>
      <c r="I267" s="200"/>
      <c r="L267" s="200"/>
      <c r="M267" s="200"/>
      <c r="N267" s="210"/>
      <c r="O267" s="210"/>
      <c r="P267" s="252"/>
      <c r="Q267" s="252"/>
      <c r="R267" s="200"/>
      <c r="T267" s="154"/>
      <c r="V267" s="200"/>
      <c r="Y267" s="200"/>
      <c r="AA267" s="200"/>
      <c r="AB267" s="200"/>
      <c r="AC267" s="210"/>
      <c r="AD267" s="210"/>
      <c r="AE267" s="200"/>
      <c r="AF267" s="200"/>
      <c r="AG267" s="209"/>
      <c r="AH267" s="210"/>
      <c r="AI267" s="252"/>
      <c r="AJ267" s="252"/>
      <c r="AK267" s="209"/>
      <c r="AL267" s="200"/>
      <c r="AM267" s="210"/>
      <c r="AN267" s="210"/>
    </row>
    <row r="268" spans="1:40" x14ac:dyDescent="0.25">
      <c r="F268" s="211"/>
      <c r="H268" s="211"/>
      <c r="I268" s="211"/>
      <c r="J268" s="305"/>
      <c r="K268" s="305"/>
      <c r="L268" s="211"/>
      <c r="M268" s="211"/>
      <c r="N268" s="211"/>
      <c r="O268" s="211"/>
      <c r="P268" s="211"/>
      <c r="Q268" s="211"/>
      <c r="R268" s="211"/>
      <c r="V268" s="211"/>
      <c r="Y268" s="211"/>
      <c r="Z268" s="305"/>
      <c r="AA268" s="211"/>
      <c r="AB268" s="211"/>
      <c r="AC268" s="211"/>
      <c r="AD268" s="211"/>
      <c r="AE268" s="211"/>
      <c r="AF268" s="211"/>
      <c r="AI268" s="211"/>
      <c r="AJ268" s="211"/>
      <c r="AK268" s="212"/>
      <c r="AL268" s="211"/>
    </row>
    <row r="270" spans="1:40" x14ac:dyDescent="0.25">
      <c r="C270" s="154"/>
      <c r="L270" s="200"/>
      <c r="M270" s="200"/>
      <c r="N270" s="200"/>
      <c r="O270" s="200"/>
      <c r="P270" s="200"/>
      <c r="Q270" s="200"/>
      <c r="R270" s="200"/>
      <c r="S270" s="200"/>
      <c r="T270" s="154"/>
      <c r="AA270" s="200"/>
      <c r="AB270" s="200"/>
      <c r="AC270" s="200"/>
      <c r="AD270" s="200"/>
      <c r="AI270" s="200"/>
      <c r="AJ270" s="200"/>
      <c r="AK270" s="209"/>
      <c r="AL270" s="200"/>
    </row>
    <row r="271" spans="1:40" x14ac:dyDescent="0.25">
      <c r="A271" s="154"/>
    </row>
    <row r="272" spans="1:40" x14ac:dyDescent="0.25">
      <c r="J272" s="202"/>
      <c r="K272" s="202"/>
      <c r="Z272" s="202"/>
    </row>
    <row r="273" spans="1:40" x14ac:dyDescent="0.25">
      <c r="H273" s="154"/>
      <c r="I273" s="154"/>
      <c r="Y273" s="154"/>
    </row>
    <row r="274" spans="1:40" x14ac:dyDescent="0.25">
      <c r="J274" s="202"/>
      <c r="K274" s="202"/>
      <c r="Z274" s="202"/>
    </row>
    <row r="275" spans="1:40" x14ac:dyDescent="0.25">
      <c r="L275" s="154"/>
      <c r="M275" s="154"/>
      <c r="AA275" s="154"/>
      <c r="AB275" s="154"/>
    </row>
    <row r="276" spans="1:40" x14ac:dyDescent="0.25">
      <c r="A276" s="202"/>
      <c r="R276" s="154"/>
      <c r="AK276" s="297"/>
      <c r="AL276" s="154"/>
    </row>
    <row r="277" spans="1:40" x14ac:dyDescent="0.25">
      <c r="A277" s="202"/>
      <c r="R277" s="154"/>
      <c r="AK277" s="297"/>
      <c r="AL277" s="154"/>
    </row>
    <row r="278" spans="1:40" x14ac:dyDescent="0.25">
      <c r="A278" s="154"/>
      <c r="R278" s="154"/>
      <c r="AK278" s="297"/>
      <c r="AL278" s="154"/>
    </row>
    <row r="279" spans="1:40" x14ac:dyDescent="0.25">
      <c r="L279" s="154"/>
      <c r="M279" s="154"/>
      <c r="R279" s="202"/>
      <c r="AA279" s="154"/>
      <c r="AB279" s="154"/>
      <c r="AK279" s="209"/>
      <c r="AL279" s="202"/>
    </row>
    <row r="280" spans="1:40" x14ac:dyDescent="0.2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208"/>
      <c r="AH280" s="102"/>
      <c r="AI280" s="102"/>
      <c r="AJ280" s="102"/>
      <c r="AK280" s="208"/>
      <c r="AL280" s="102"/>
      <c r="AM280" s="102"/>
      <c r="AN280" s="102"/>
    </row>
    <row r="281" spans="1:40" x14ac:dyDescent="0.25">
      <c r="L281" s="103"/>
      <c r="M281" s="103"/>
      <c r="N281" s="103"/>
      <c r="O281" s="103"/>
      <c r="R281" s="103"/>
      <c r="AA281" s="103"/>
      <c r="AB281" s="103"/>
      <c r="AC281" s="103"/>
      <c r="AD281" s="103"/>
      <c r="AE281" s="103"/>
      <c r="AF281" s="103"/>
      <c r="AG281" s="185"/>
      <c r="AH281" s="103"/>
      <c r="AK281" s="185"/>
      <c r="AL281" s="103"/>
      <c r="AM281" s="103"/>
      <c r="AN281" s="103"/>
    </row>
    <row r="282" spans="1:40" x14ac:dyDescent="0.25">
      <c r="L282" s="103"/>
      <c r="M282" s="103"/>
      <c r="N282" s="103"/>
      <c r="O282" s="103"/>
      <c r="R282" s="103"/>
      <c r="Z282" s="103"/>
      <c r="AA282" s="103"/>
      <c r="AB282" s="103"/>
      <c r="AC282" s="103"/>
      <c r="AD282" s="103"/>
      <c r="AE282" s="103"/>
      <c r="AF282" s="103"/>
      <c r="AG282" s="185"/>
      <c r="AH282" s="103"/>
      <c r="AK282" s="185"/>
      <c r="AL282" s="103"/>
      <c r="AM282" s="103"/>
      <c r="AN282" s="103"/>
    </row>
    <row r="283" spans="1:40" x14ac:dyDescent="0.25">
      <c r="A283" s="103"/>
      <c r="C283" s="103"/>
      <c r="D283" s="103"/>
      <c r="E283" s="103"/>
      <c r="F283" s="103"/>
      <c r="J283" s="103"/>
      <c r="K283" s="103"/>
      <c r="L283" s="103"/>
      <c r="M283" s="103"/>
      <c r="N283" s="103"/>
      <c r="O283" s="103"/>
      <c r="P283" s="103"/>
      <c r="Q283" s="103"/>
      <c r="R283" s="103"/>
      <c r="T283" s="103"/>
      <c r="U283" s="103"/>
      <c r="V283" s="103"/>
      <c r="Z283" s="103"/>
      <c r="AA283" s="103"/>
      <c r="AB283" s="103"/>
      <c r="AC283" s="103"/>
      <c r="AD283" s="103"/>
      <c r="AE283" s="103"/>
      <c r="AF283" s="103"/>
      <c r="AG283" s="185"/>
      <c r="AH283" s="103"/>
      <c r="AI283" s="103"/>
      <c r="AJ283" s="103"/>
      <c r="AK283" s="185"/>
      <c r="AL283" s="103"/>
      <c r="AM283" s="103"/>
      <c r="AN283" s="103"/>
    </row>
    <row r="284" spans="1:40" x14ac:dyDescent="0.25">
      <c r="A284" s="103"/>
      <c r="C284" s="103"/>
      <c r="D284" s="103"/>
      <c r="E284" s="103"/>
      <c r="F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T284" s="103"/>
      <c r="U284" s="103"/>
      <c r="V284" s="103"/>
      <c r="Y284" s="103"/>
      <c r="Z284" s="103"/>
      <c r="AA284" s="103"/>
      <c r="AB284" s="103"/>
      <c r="AC284" s="103"/>
      <c r="AD284" s="103"/>
      <c r="AE284" s="103"/>
      <c r="AF284" s="103"/>
      <c r="AG284" s="185"/>
      <c r="AH284" s="103"/>
      <c r="AI284" s="103"/>
      <c r="AJ284" s="103"/>
      <c r="AK284" s="185"/>
      <c r="AL284" s="103"/>
      <c r="AM284" s="103"/>
      <c r="AN284" s="103"/>
    </row>
    <row r="285" spans="1:40" x14ac:dyDescent="0.25">
      <c r="C285" s="103"/>
      <c r="D285" s="103"/>
      <c r="E285" s="103"/>
      <c r="F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T285" s="103"/>
      <c r="U285" s="103"/>
      <c r="V285" s="103"/>
      <c r="Y285" s="103"/>
      <c r="Z285" s="103"/>
      <c r="AA285" s="103"/>
      <c r="AB285" s="103"/>
      <c r="AC285" s="103"/>
      <c r="AD285" s="103"/>
      <c r="AE285" s="103"/>
      <c r="AF285" s="103"/>
      <c r="AG285" s="185"/>
      <c r="AH285" s="103"/>
      <c r="AI285" s="103"/>
      <c r="AJ285" s="103"/>
      <c r="AK285" s="185"/>
      <c r="AL285" s="103"/>
      <c r="AM285" s="103"/>
      <c r="AN285" s="103"/>
    </row>
    <row r="286" spans="1:40" x14ac:dyDescent="0.25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208"/>
      <c r="AH286" s="102"/>
      <c r="AI286" s="102"/>
      <c r="AJ286" s="102"/>
      <c r="AK286" s="208"/>
      <c r="AL286" s="102"/>
      <c r="AM286" s="102"/>
      <c r="AN286" s="102"/>
    </row>
    <row r="287" spans="1:40" x14ac:dyDescent="0.25"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Y287" s="103"/>
      <c r="Z287" s="103"/>
      <c r="AA287" s="103"/>
      <c r="AB287" s="103"/>
      <c r="AC287" s="103"/>
      <c r="AD287" s="103"/>
      <c r="AE287" s="103"/>
      <c r="AF287" s="103"/>
      <c r="AG287" s="185"/>
      <c r="AH287" s="103"/>
      <c r="AI287" s="103"/>
      <c r="AJ287" s="103"/>
      <c r="AK287" s="185"/>
      <c r="AL287" s="103"/>
      <c r="AM287" s="103"/>
      <c r="AN287" s="103"/>
    </row>
    <row r="288" spans="1:40" x14ac:dyDescent="0.25">
      <c r="A288" s="202"/>
      <c r="C288" s="154"/>
      <c r="D288" s="154"/>
      <c r="E288" s="154"/>
      <c r="T288" s="154"/>
      <c r="U288" s="154"/>
    </row>
    <row r="289" spans="1:40" x14ac:dyDescent="0.25">
      <c r="D289" s="154"/>
      <c r="E289" s="154"/>
      <c r="U289" s="154"/>
    </row>
    <row r="291" spans="1:40" x14ac:dyDescent="0.25">
      <c r="A291" s="202"/>
      <c r="C291" s="154"/>
      <c r="T291" s="154"/>
    </row>
    <row r="292" spans="1:40" x14ac:dyDescent="0.25">
      <c r="A292" s="202"/>
      <c r="C292" s="154"/>
      <c r="F292" s="252"/>
      <c r="H292" s="252"/>
      <c r="I292" s="252"/>
      <c r="J292" s="329"/>
      <c r="K292" s="329"/>
      <c r="L292" s="200"/>
      <c r="M292" s="200"/>
      <c r="N292" s="210"/>
      <c r="O292" s="210"/>
      <c r="P292" s="200"/>
      <c r="Q292" s="200"/>
      <c r="R292" s="200"/>
      <c r="T292" s="154"/>
      <c r="V292" s="252"/>
      <c r="W292" s="200"/>
      <c r="X292" s="200"/>
      <c r="Y292" s="252"/>
      <c r="Z292" s="329"/>
      <c r="AA292" s="200"/>
      <c r="AB292" s="200"/>
      <c r="AC292" s="210"/>
      <c r="AD292" s="210"/>
      <c r="AE292" s="200"/>
      <c r="AF292" s="200"/>
      <c r="AG292" s="209"/>
      <c r="AH292" s="201"/>
      <c r="AI292" s="200"/>
      <c r="AJ292" s="200"/>
      <c r="AK292" s="209"/>
      <c r="AL292" s="200"/>
      <c r="AM292" s="210"/>
      <c r="AN292" s="210"/>
    </row>
    <row r="293" spans="1:40" x14ac:dyDescent="0.25">
      <c r="A293" s="202"/>
      <c r="C293" s="154"/>
      <c r="F293" s="200"/>
      <c r="H293" s="200"/>
      <c r="I293" s="200"/>
      <c r="J293" s="305"/>
      <c r="K293" s="305"/>
      <c r="L293" s="200"/>
      <c r="M293" s="200"/>
      <c r="N293" s="210"/>
      <c r="O293" s="210"/>
      <c r="P293" s="200"/>
      <c r="Q293" s="200"/>
      <c r="R293" s="200"/>
      <c r="T293" s="154"/>
      <c r="V293" s="252"/>
      <c r="W293" s="200"/>
      <c r="X293" s="200"/>
      <c r="Y293" s="252"/>
      <c r="Z293" s="305"/>
      <c r="AA293" s="200"/>
      <c r="AB293" s="200"/>
      <c r="AC293" s="210"/>
      <c r="AD293" s="210"/>
      <c r="AE293" s="200"/>
      <c r="AF293" s="200"/>
      <c r="AG293" s="209"/>
      <c r="AH293" s="201"/>
      <c r="AI293" s="200"/>
      <c r="AJ293" s="200"/>
      <c r="AK293" s="209"/>
      <c r="AL293" s="200"/>
      <c r="AM293" s="210"/>
      <c r="AN293" s="210"/>
    </row>
    <row r="294" spans="1:40" x14ac:dyDescent="0.25">
      <c r="A294" s="202"/>
      <c r="C294" s="154"/>
      <c r="F294" s="252"/>
      <c r="H294" s="252"/>
      <c r="I294" s="252"/>
      <c r="J294" s="329"/>
      <c r="K294" s="329"/>
      <c r="L294" s="200"/>
      <c r="M294" s="200"/>
      <c r="N294" s="210"/>
      <c r="O294" s="210"/>
      <c r="P294" s="200"/>
      <c r="Q294" s="200"/>
      <c r="R294" s="200"/>
      <c r="T294" s="154"/>
      <c r="V294" s="252"/>
      <c r="W294" s="200"/>
      <c r="X294" s="200"/>
      <c r="Y294" s="252"/>
      <c r="Z294" s="329"/>
      <c r="AA294" s="200"/>
      <c r="AB294" s="200"/>
      <c r="AC294" s="210"/>
      <c r="AD294" s="210"/>
      <c r="AE294" s="200"/>
      <c r="AF294" s="200"/>
      <c r="AG294" s="209"/>
      <c r="AH294" s="201"/>
      <c r="AI294" s="200"/>
      <c r="AJ294" s="200"/>
      <c r="AK294" s="209"/>
      <c r="AL294" s="200"/>
      <c r="AM294" s="210"/>
      <c r="AN294" s="210"/>
    </row>
    <row r="295" spans="1:40" x14ac:dyDescent="0.25">
      <c r="A295" s="202"/>
      <c r="C295" s="154"/>
      <c r="F295" s="252"/>
      <c r="H295" s="252"/>
      <c r="I295" s="252"/>
      <c r="J295" s="329"/>
      <c r="K295" s="329"/>
      <c r="L295" s="200"/>
      <c r="M295" s="200"/>
      <c r="N295" s="210"/>
      <c r="O295" s="210"/>
      <c r="P295" s="200"/>
      <c r="Q295" s="200"/>
      <c r="R295" s="200"/>
      <c r="T295" s="154"/>
      <c r="V295" s="252"/>
      <c r="W295" s="200"/>
      <c r="X295" s="200"/>
      <c r="Y295" s="252"/>
      <c r="Z295" s="329"/>
      <c r="AA295" s="200"/>
      <c r="AB295" s="200"/>
      <c r="AC295" s="210"/>
      <c r="AD295" s="210"/>
      <c r="AE295" s="200"/>
      <c r="AF295" s="200"/>
      <c r="AG295" s="209"/>
      <c r="AH295" s="201"/>
      <c r="AI295" s="200"/>
      <c r="AJ295" s="200"/>
      <c r="AK295" s="209"/>
      <c r="AL295" s="200"/>
      <c r="AM295" s="210"/>
      <c r="AN295" s="210"/>
    </row>
    <row r="296" spans="1:40" x14ac:dyDescent="0.25">
      <c r="A296" s="202"/>
      <c r="C296" s="154"/>
      <c r="F296" s="252"/>
      <c r="H296" s="252"/>
      <c r="I296" s="252"/>
      <c r="J296" s="329"/>
      <c r="K296" s="329"/>
      <c r="L296" s="200"/>
      <c r="M296" s="200"/>
      <c r="N296" s="210"/>
      <c r="O296" s="210"/>
      <c r="P296" s="200"/>
      <c r="Q296" s="200"/>
      <c r="R296" s="200"/>
      <c r="T296" s="154"/>
      <c r="V296" s="252"/>
      <c r="W296" s="200"/>
      <c r="X296" s="200"/>
      <c r="Y296" s="252"/>
      <c r="Z296" s="329"/>
      <c r="AA296" s="200"/>
      <c r="AB296" s="200"/>
      <c r="AC296" s="210"/>
      <c r="AD296" s="210"/>
      <c r="AE296" s="200"/>
      <c r="AF296" s="200"/>
      <c r="AG296" s="209"/>
      <c r="AH296" s="201"/>
      <c r="AI296" s="200"/>
      <c r="AJ296" s="200"/>
      <c r="AK296" s="209"/>
      <c r="AL296" s="200"/>
      <c r="AM296" s="210"/>
      <c r="AN296" s="210"/>
    </row>
    <row r="297" spans="1:40" x14ac:dyDescent="0.25">
      <c r="A297" s="202"/>
      <c r="C297" s="154"/>
      <c r="F297" s="200"/>
      <c r="H297" s="200"/>
      <c r="I297" s="200"/>
      <c r="J297" s="329"/>
      <c r="K297" s="329"/>
      <c r="L297" s="200"/>
      <c r="M297" s="200"/>
      <c r="N297" s="210"/>
      <c r="O297" s="210"/>
      <c r="P297" s="200"/>
      <c r="Q297" s="200"/>
      <c r="R297" s="200"/>
      <c r="T297" s="154"/>
      <c r="V297" s="252"/>
      <c r="W297" s="200"/>
      <c r="X297" s="200"/>
      <c r="Y297" s="252"/>
      <c r="Z297" s="329"/>
      <c r="AA297" s="200"/>
      <c r="AB297" s="200"/>
      <c r="AC297" s="210"/>
      <c r="AD297" s="210"/>
      <c r="AE297" s="200"/>
      <c r="AF297" s="200"/>
      <c r="AG297" s="209"/>
      <c r="AH297" s="201"/>
      <c r="AI297" s="200"/>
      <c r="AJ297" s="200"/>
      <c r="AK297" s="209"/>
      <c r="AL297" s="200"/>
      <c r="AM297" s="210"/>
      <c r="AN297" s="210"/>
    </row>
    <row r="298" spans="1:40" x14ac:dyDescent="0.25">
      <c r="A298" s="202"/>
      <c r="C298" s="154"/>
      <c r="F298" s="200"/>
      <c r="H298" s="200"/>
      <c r="I298" s="200"/>
      <c r="J298" s="329"/>
      <c r="K298" s="329"/>
      <c r="L298" s="200"/>
      <c r="M298" s="200"/>
      <c r="N298" s="210"/>
      <c r="O298" s="210"/>
      <c r="P298" s="200"/>
      <c r="Q298" s="200"/>
      <c r="R298" s="200"/>
      <c r="T298" s="154"/>
      <c r="V298" s="252"/>
      <c r="W298" s="200"/>
      <c r="X298" s="200"/>
      <c r="Y298" s="252"/>
      <c r="Z298" s="329"/>
      <c r="AA298" s="200"/>
      <c r="AB298" s="200"/>
      <c r="AC298" s="210"/>
      <c r="AD298" s="210"/>
      <c r="AE298" s="200"/>
      <c r="AF298" s="200"/>
      <c r="AG298" s="209"/>
      <c r="AH298" s="201"/>
      <c r="AI298" s="200"/>
      <c r="AJ298" s="200"/>
      <c r="AK298" s="209"/>
      <c r="AL298" s="200"/>
      <c r="AM298" s="210"/>
      <c r="AN298" s="210"/>
    </row>
    <row r="299" spans="1:40" x14ac:dyDescent="0.25">
      <c r="F299" s="331"/>
      <c r="H299" s="332"/>
      <c r="I299" s="332"/>
      <c r="J299" s="329"/>
      <c r="K299" s="329"/>
      <c r="L299" s="331"/>
      <c r="M299" s="331"/>
      <c r="N299" s="211"/>
      <c r="O299" s="211"/>
      <c r="P299" s="331"/>
      <c r="Q299" s="331"/>
      <c r="R299" s="331"/>
      <c r="V299" s="331"/>
      <c r="W299" s="200"/>
      <c r="X299" s="200"/>
      <c r="Y299" s="331"/>
      <c r="Z299" s="329"/>
      <c r="AA299" s="331"/>
      <c r="AB299" s="331"/>
      <c r="AC299" s="333"/>
      <c r="AD299" s="333"/>
      <c r="AE299" s="331"/>
      <c r="AF299" s="331"/>
      <c r="AG299" s="209"/>
      <c r="AH299" s="201"/>
      <c r="AI299" s="331"/>
      <c r="AJ299" s="331"/>
      <c r="AK299" s="208"/>
      <c r="AL299" s="331"/>
      <c r="AM299" s="210"/>
      <c r="AN299" s="210"/>
    </row>
    <row r="300" spans="1:40" x14ac:dyDescent="0.25">
      <c r="A300" s="202"/>
      <c r="C300" s="154"/>
      <c r="F300" s="200"/>
      <c r="H300" s="200"/>
      <c r="I300" s="200"/>
      <c r="J300" s="329"/>
      <c r="K300" s="329"/>
      <c r="L300" s="200"/>
      <c r="M300" s="200"/>
      <c r="N300" s="201"/>
      <c r="O300" s="201"/>
      <c r="P300" s="200"/>
      <c r="Q300" s="200"/>
      <c r="R300" s="200"/>
      <c r="T300" s="103"/>
      <c r="V300" s="200"/>
      <c r="W300" s="200"/>
      <c r="X300" s="200"/>
      <c r="Y300" s="200"/>
      <c r="Z300" s="329"/>
      <c r="AA300" s="200"/>
      <c r="AB300" s="200"/>
      <c r="AC300" s="201"/>
      <c r="AD300" s="201"/>
      <c r="AE300" s="200"/>
      <c r="AF300" s="200"/>
      <c r="AG300" s="209"/>
      <c r="AH300" s="201"/>
      <c r="AI300" s="200"/>
      <c r="AJ300" s="200"/>
      <c r="AK300" s="209"/>
      <c r="AL300" s="200"/>
      <c r="AM300" s="210"/>
      <c r="AN300" s="210"/>
    </row>
    <row r="301" spans="1:40" x14ac:dyDescent="0.25">
      <c r="F301" s="102"/>
      <c r="H301" s="102"/>
      <c r="I301" s="102"/>
      <c r="L301" s="102"/>
      <c r="M301" s="102"/>
      <c r="N301" s="333"/>
      <c r="O301" s="333"/>
      <c r="P301" s="331"/>
      <c r="Q301" s="331"/>
      <c r="R301" s="331"/>
      <c r="V301" s="331"/>
      <c r="Y301" s="331"/>
      <c r="Z301" s="305"/>
      <c r="AA301" s="331"/>
      <c r="AB301" s="331"/>
      <c r="AC301" s="331"/>
      <c r="AD301" s="331"/>
      <c r="AE301" s="331"/>
      <c r="AF301" s="331"/>
      <c r="AI301" s="331"/>
      <c r="AJ301" s="331"/>
      <c r="AK301" s="208"/>
      <c r="AL301" s="331"/>
      <c r="AM301" s="333"/>
      <c r="AN301" s="333"/>
    </row>
    <row r="302" spans="1:40" x14ac:dyDescent="0.25">
      <c r="AI302" s="202"/>
      <c r="AJ302" s="202"/>
    </row>
    <row r="306" spans="1:40" x14ac:dyDescent="0.25">
      <c r="N306" s="200"/>
      <c r="O306" s="200"/>
      <c r="P306" s="200"/>
      <c r="Q306" s="200"/>
      <c r="R306" s="200"/>
      <c r="V306" s="200"/>
      <c r="Y306" s="200"/>
      <c r="Z306" s="213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A307" s="202"/>
      <c r="C307" s="154"/>
      <c r="D307" s="154"/>
      <c r="E307" s="154"/>
      <c r="J307" s="334"/>
      <c r="K307" s="334"/>
      <c r="T307" s="154"/>
      <c r="U307" s="154"/>
      <c r="Z307" s="334"/>
      <c r="AE307" s="200"/>
      <c r="AF307" s="200"/>
      <c r="AI307" s="200"/>
      <c r="AJ307" s="200"/>
      <c r="AK307" s="209"/>
      <c r="AL307" s="200"/>
      <c r="AM307" s="210"/>
      <c r="AN307" s="210"/>
    </row>
    <row r="308" spans="1:40" x14ac:dyDescent="0.25">
      <c r="D308" s="154"/>
      <c r="E308" s="154"/>
      <c r="F308" s="200"/>
      <c r="H308" s="200"/>
      <c r="I308" s="200"/>
      <c r="J308" s="329"/>
      <c r="K308" s="329"/>
      <c r="L308" s="200"/>
      <c r="M308" s="200"/>
      <c r="N308" s="210"/>
      <c r="O308" s="210"/>
      <c r="P308" s="200"/>
      <c r="Q308" s="200"/>
      <c r="R308" s="200"/>
      <c r="U308" s="154"/>
      <c r="V308" s="200"/>
      <c r="Y308" s="200"/>
      <c r="Z308" s="329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F309" s="200"/>
      <c r="H309" s="200"/>
      <c r="I309" s="200"/>
      <c r="J309" s="305"/>
      <c r="K309" s="305"/>
      <c r="L309" s="200"/>
      <c r="M309" s="200"/>
      <c r="N309" s="200"/>
      <c r="O309" s="200"/>
      <c r="P309" s="200"/>
      <c r="Q309" s="200"/>
      <c r="R309" s="200"/>
      <c r="V309" s="200"/>
      <c r="Y309" s="200"/>
      <c r="Z309" s="305"/>
      <c r="AA309" s="200"/>
      <c r="AB309" s="200"/>
      <c r="AC309" s="200"/>
      <c r="AD309" s="200"/>
      <c r="AE309" s="200"/>
      <c r="AF309" s="200"/>
      <c r="AG309" s="209"/>
      <c r="AH309" s="201"/>
      <c r="AI309" s="252"/>
      <c r="AJ309" s="252"/>
      <c r="AK309" s="209"/>
      <c r="AL309" s="200"/>
      <c r="AM309" s="210"/>
      <c r="AN309" s="210"/>
    </row>
    <row r="310" spans="1:40" x14ac:dyDescent="0.25">
      <c r="A310" s="202"/>
      <c r="C310" s="154"/>
      <c r="F310" s="252"/>
      <c r="H310" s="252"/>
      <c r="I310" s="252"/>
      <c r="J310" s="304"/>
      <c r="K310" s="304"/>
      <c r="L310" s="200"/>
      <c r="M310" s="200"/>
      <c r="N310" s="210"/>
      <c r="O310" s="210"/>
      <c r="P310" s="200"/>
      <c r="Q310" s="200"/>
      <c r="R310" s="200"/>
      <c r="T310" s="154"/>
      <c r="V310" s="252"/>
      <c r="Y310" s="252"/>
      <c r="Z310" s="304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F311" s="102"/>
      <c r="H311" s="102"/>
      <c r="I311" s="102"/>
      <c r="L311" s="102"/>
      <c r="M311" s="102"/>
      <c r="N311" s="102"/>
      <c r="O311" s="102"/>
      <c r="P311" s="102"/>
      <c r="Q311" s="102"/>
      <c r="R311" s="102"/>
      <c r="V311" s="102"/>
      <c r="Y311" s="102"/>
      <c r="AA311" s="102"/>
      <c r="AB311" s="102"/>
      <c r="AC311" s="102"/>
      <c r="AD311" s="102"/>
      <c r="AE311" s="102"/>
      <c r="AF311" s="102"/>
      <c r="AG311" s="208"/>
      <c r="AH311" s="102"/>
      <c r="AI311" s="102"/>
      <c r="AJ311" s="102"/>
      <c r="AK311" s="208"/>
      <c r="AL311" s="102"/>
      <c r="AM311" s="102"/>
      <c r="AN311" s="102"/>
    </row>
    <row r="312" spans="1:40" x14ac:dyDescent="0.25">
      <c r="A312" s="202"/>
      <c r="C312" s="103"/>
      <c r="F312" s="252"/>
      <c r="H312" s="252"/>
      <c r="I312" s="252"/>
      <c r="J312" s="300"/>
      <c r="K312" s="300"/>
      <c r="L312" s="252"/>
      <c r="M312" s="252"/>
      <c r="N312" s="210"/>
      <c r="O312" s="210"/>
      <c r="P312" s="252"/>
      <c r="Q312" s="252"/>
      <c r="R312" s="252"/>
      <c r="T312" s="103"/>
      <c r="V312" s="200"/>
      <c r="Y312" s="200"/>
      <c r="Z312" s="213"/>
      <c r="AA312" s="200"/>
      <c r="AB312" s="200"/>
      <c r="AC312" s="210"/>
      <c r="AD312" s="210"/>
      <c r="AE312" s="202"/>
      <c r="AF312" s="202"/>
      <c r="AG312" s="209"/>
      <c r="AH312" s="201"/>
      <c r="AI312" s="200"/>
      <c r="AJ312" s="200"/>
      <c r="AK312" s="209"/>
      <c r="AL312" s="200"/>
      <c r="AM312" s="210"/>
      <c r="AN312" s="210"/>
    </row>
    <row r="313" spans="1:40" x14ac:dyDescent="0.25">
      <c r="F313" s="331"/>
      <c r="H313" s="331"/>
      <c r="I313" s="331"/>
      <c r="J313" s="305"/>
      <c r="K313" s="305"/>
      <c r="L313" s="331"/>
      <c r="M313" s="331"/>
      <c r="N313" s="331"/>
      <c r="O313" s="331"/>
      <c r="P313" s="331"/>
      <c r="Q313" s="331"/>
      <c r="R313" s="331"/>
      <c r="V313" s="102"/>
      <c r="Y313" s="102"/>
      <c r="AA313" s="102"/>
      <c r="AB313" s="102"/>
      <c r="AC313" s="102"/>
      <c r="AD313" s="102"/>
      <c r="AE313" s="102"/>
      <c r="AF313" s="102"/>
      <c r="AG313" s="208"/>
      <c r="AH313" s="102"/>
      <c r="AI313" s="102"/>
      <c r="AJ313" s="102"/>
      <c r="AK313" s="208"/>
      <c r="AL313" s="102"/>
      <c r="AM313" s="102"/>
      <c r="AN313" s="102"/>
    </row>
    <row r="314" spans="1:40" x14ac:dyDescent="0.25">
      <c r="F314" s="252"/>
      <c r="H314" s="252"/>
      <c r="I314" s="252"/>
      <c r="J314" s="328"/>
      <c r="K314" s="328"/>
      <c r="L314" s="200"/>
      <c r="M314" s="200"/>
      <c r="N314" s="210"/>
      <c r="O314" s="210"/>
      <c r="P314" s="200"/>
      <c r="Q314" s="200"/>
      <c r="R314" s="200"/>
    </row>
    <row r="315" spans="1:40" x14ac:dyDescent="0.25">
      <c r="A315" s="154"/>
      <c r="F315" s="252"/>
      <c r="H315" s="252"/>
      <c r="I315" s="252"/>
      <c r="J315" s="300"/>
      <c r="K315" s="300"/>
      <c r="L315" s="200"/>
      <c r="M315" s="200"/>
      <c r="N315" s="210"/>
      <c r="O315" s="210"/>
      <c r="P315" s="200"/>
      <c r="Q315" s="200"/>
      <c r="R315" s="200"/>
    </row>
    <row r="316" spans="1:40" x14ac:dyDescent="0.25">
      <c r="F316" s="252"/>
      <c r="H316" s="252"/>
      <c r="I316" s="252"/>
      <c r="J316" s="300"/>
      <c r="K316" s="300"/>
      <c r="L316" s="200"/>
      <c r="M316" s="200"/>
      <c r="N316" s="210"/>
      <c r="O316" s="210"/>
      <c r="P316" s="200"/>
      <c r="Q316" s="200"/>
      <c r="R316" s="200"/>
    </row>
    <row r="317" spans="1:40" x14ac:dyDescent="0.25">
      <c r="A317" s="154"/>
    </row>
    <row r="319" spans="1:40" x14ac:dyDescent="0.25">
      <c r="J319" s="202"/>
      <c r="K319" s="202"/>
      <c r="Z319" s="202"/>
    </row>
    <row r="320" spans="1:40" x14ac:dyDescent="0.25">
      <c r="H320" s="154"/>
      <c r="I320" s="154"/>
      <c r="Y320" s="154"/>
    </row>
    <row r="321" spans="1:40" x14ac:dyDescent="0.25">
      <c r="J321" s="202"/>
      <c r="K321" s="202"/>
      <c r="Z321" s="202"/>
    </row>
    <row r="322" spans="1:40" x14ac:dyDescent="0.25">
      <c r="L322" s="154"/>
      <c r="M322" s="154"/>
      <c r="AA322" s="154"/>
      <c r="AB322" s="154"/>
    </row>
    <row r="323" spans="1:40" x14ac:dyDescent="0.25">
      <c r="A323" s="202"/>
      <c r="R323" s="154"/>
      <c r="AK323" s="297"/>
      <c r="AL323" s="154"/>
    </row>
    <row r="324" spans="1:40" x14ac:dyDescent="0.25">
      <c r="A324" s="202"/>
      <c r="R324" s="154"/>
      <c r="AK324" s="297"/>
      <c r="AL324" s="154"/>
    </row>
    <row r="325" spans="1:40" x14ac:dyDescent="0.25">
      <c r="A325" s="154"/>
      <c r="R325" s="154"/>
      <c r="AK325" s="297"/>
      <c r="AL325" s="154"/>
    </row>
    <row r="326" spans="1:40" x14ac:dyDescent="0.25">
      <c r="L326" s="154"/>
      <c r="M326" s="154"/>
      <c r="R326" s="202"/>
      <c r="AA326" s="154"/>
      <c r="AB326" s="154"/>
      <c r="AK326" s="209"/>
      <c r="AL326" s="202"/>
    </row>
    <row r="327" spans="1:40" x14ac:dyDescent="0.25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208"/>
      <c r="AH327" s="102"/>
      <c r="AI327" s="102"/>
      <c r="AJ327" s="102"/>
      <c r="AK327" s="208"/>
      <c r="AL327" s="102"/>
      <c r="AM327" s="102"/>
      <c r="AN327" s="102"/>
    </row>
    <row r="328" spans="1:40" x14ac:dyDescent="0.25">
      <c r="L328" s="103"/>
      <c r="M328" s="103"/>
      <c r="N328" s="103"/>
      <c r="O328" s="103"/>
      <c r="R328" s="103"/>
      <c r="AA328" s="103"/>
      <c r="AB328" s="103"/>
      <c r="AC328" s="103"/>
      <c r="AD328" s="103"/>
      <c r="AE328" s="103"/>
      <c r="AF328" s="103"/>
      <c r="AG328" s="185"/>
      <c r="AH328" s="103"/>
      <c r="AK328" s="185"/>
      <c r="AL328" s="103"/>
      <c r="AM328" s="103"/>
      <c r="AN328" s="103"/>
    </row>
    <row r="329" spans="1:40" x14ac:dyDescent="0.25">
      <c r="L329" s="103"/>
      <c r="M329" s="103"/>
      <c r="N329" s="103"/>
      <c r="O329" s="103"/>
      <c r="R329" s="103"/>
      <c r="Z329" s="103"/>
      <c r="AA329" s="103"/>
      <c r="AB329" s="103"/>
      <c r="AC329" s="103"/>
      <c r="AD329" s="103"/>
      <c r="AE329" s="103"/>
      <c r="AF329" s="103"/>
      <c r="AG329" s="185"/>
      <c r="AH329" s="103"/>
      <c r="AK329" s="185"/>
      <c r="AL329" s="103"/>
      <c r="AM329" s="103"/>
      <c r="AN329" s="103"/>
    </row>
    <row r="330" spans="1:40" x14ac:dyDescent="0.25">
      <c r="A330" s="103"/>
      <c r="C330" s="103"/>
      <c r="D330" s="103"/>
      <c r="E330" s="103"/>
      <c r="F330" s="103"/>
      <c r="J330" s="103"/>
      <c r="K330" s="103"/>
      <c r="L330" s="103"/>
      <c r="M330" s="103"/>
      <c r="N330" s="103"/>
      <c r="O330" s="103"/>
      <c r="P330" s="103"/>
      <c r="Q330" s="103"/>
      <c r="R330" s="103"/>
      <c r="T330" s="103"/>
      <c r="U330" s="103"/>
      <c r="V330" s="103"/>
      <c r="Z330" s="103"/>
      <c r="AA330" s="103"/>
      <c r="AB330" s="103"/>
      <c r="AC330" s="103"/>
      <c r="AD330" s="103"/>
      <c r="AE330" s="103"/>
      <c r="AF330" s="103"/>
      <c r="AG330" s="185"/>
      <c r="AH330" s="103"/>
      <c r="AI330" s="103"/>
      <c r="AJ330" s="103"/>
      <c r="AK330" s="185"/>
      <c r="AL330" s="103"/>
      <c r="AM330" s="103"/>
      <c r="AN330" s="103"/>
    </row>
    <row r="331" spans="1:40" x14ac:dyDescent="0.25">
      <c r="A331" s="103"/>
      <c r="C331" s="103"/>
      <c r="D331" s="103"/>
      <c r="E331" s="103"/>
      <c r="F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T331" s="103"/>
      <c r="U331" s="103"/>
      <c r="V331" s="103"/>
      <c r="Y331" s="103"/>
      <c r="Z331" s="103"/>
      <c r="AA331" s="103"/>
      <c r="AB331" s="103"/>
      <c r="AC331" s="103"/>
      <c r="AD331" s="103"/>
      <c r="AE331" s="103"/>
      <c r="AF331" s="103"/>
      <c r="AG331" s="185"/>
      <c r="AH331" s="103"/>
      <c r="AI331" s="103"/>
      <c r="AJ331" s="103"/>
      <c r="AK331" s="185"/>
      <c r="AL331" s="103"/>
      <c r="AM331" s="103"/>
      <c r="AN331" s="103"/>
    </row>
    <row r="332" spans="1:40" x14ac:dyDescent="0.25">
      <c r="C332" s="103"/>
      <c r="D332" s="103"/>
      <c r="E332" s="103"/>
      <c r="F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T332" s="103"/>
      <c r="U332" s="103"/>
      <c r="V332" s="103"/>
      <c r="Y332" s="103"/>
      <c r="Z332" s="103"/>
      <c r="AA332" s="103"/>
      <c r="AB332" s="103"/>
      <c r="AC332" s="103"/>
      <c r="AD332" s="103"/>
      <c r="AE332" s="103"/>
      <c r="AF332" s="103"/>
      <c r="AG332" s="185"/>
      <c r="AH332" s="103"/>
      <c r="AI332" s="103"/>
      <c r="AJ332" s="103"/>
      <c r="AK332" s="185"/>
      <c r="AL332" s="103"/>
      <c r="AM332" s="103"/>
      <c r="AN332" s="103"/>
    </row>
    <row r="333" spans="1:40" x14ac:dyDescent="0.25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208"/>
      <c r="AH333" s="102"/>
      <c r="AI333" s="102"/>
      <c r="AJ333" s="102"/>
      <c r="AK333" s="208"/>
      <c r="AL333" s="102"/>
      <c r="AM333" s="102"/>
      <c r="AN333" s="102"/>
    </row>
    <row r="334" spans="1:40" x14ac:dyDescent="0.25"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Y334" s="103"/>
      <c r="Z334" s="103"/>
      <c r="AA334" s="103"/>
      <c r="AB334" s="103"/>
      <c r="AC334" s="103"/>
      <c r="AD334" s="103"/>
      <c r="AE334" s="103"/>
      <c r="AF334" s="103"/>
      <c r="AG334" s="185"/>
      <c r="AH334" s="103"/>
      <c r="AI334" s="103"/>
      <c r="AJ334" s="103"/>
      <c r="AK334" s="185"/>
      <c r="AL334" s="103"/>
      <c r="AM334" s="103"/>
      <c r="AN334" s="103"/>
    </row>
    <row r="335" spans="1:40" x14ac:dyDescent="0.25">
      <c r="A335" s="202"/>
      <c r="C335" s="154"/>
      <c r="D335" s="154"/>
      <c r="E335" s="154"/>
      <c r="T335" s="154"/>
      <c r="U335" s="154"/>
    </row>
    <row r="337" spans="1:40" x14ac:dyDescent="0.25">
      <c r="A337" s="202"/>
      <c r="C337" s="154"/>
      <c r="T337" s="154"/>
    </row>
    <row r="338" spans="1:40" x14ac:dyDescent="0.25">
      <c r="A338" s="202"/>
      <c r="C338" s="154"/>
      <c r="F338" s="252"/>
      <c r="H338" s="252"/>
      <c r="I338" s="252"/>
      <c r="J338" s="305"/>
      <c r="K338" s="305"/>
      <c r="L338" s="200"/>
      <c r="M338" s="200"/>
      <c r="N338" s="210"/>
      <c r="O338" s="210"/>
      <c r="P338" s="200"/>
      <c r="Q338" s="200"/>
      <c r="R338" s="200"/>
      <c r="T338" s="154"/>
      <c r="V338" s="252"/>
      <c r="Y338" s="252"/>
      <c r="Z338" s="305"/>
      <c r="AA338" s="200"/>
      <c r="AB338" s="200"/>
      <c r="AC338" s="210"/>
      <c r="AD338" s="210"/>
      <c r="AE338" s="200"/>
      <c r="AF338" s="200"/>
      <c r="AG338" s="209"/>
      <c r="AH338" s="201"/>
      <c r="AI338" s="200"/>
      <c r="AJ338" s="200"/>
      <c r="AK338" s="209"/>
      <c r="AL338" s="200"/>
      <c r="AM338" s="210"/>
      <c r="AN338" s="210"/>
    </row>
    <row r="339" spans="1:40" x14ac:dyDescent="0.25">
      <c r="A339" s="202"/>
      <c r="C339" s="154"/>
      <c r="T339" s="154"/>
    </row>
    <row r="340" spans="1:40" x14ac:dyDescent="0.25">
      <c r="A340" s="202"/>
      <c r="C340" s="154"/>
      <c r="F340" s="252"/>
      <c r="H340" s="252"/>
      <c r="I340" s="252"/>
      <c r="J340" s="329"/>
      <c r="K340" s="329"/>
      <c r="L340" s="200"/>
      <c r="M340" s="200"/>
      <c r="N340" s="210"/>
      <c r="O340" s="210"/>
      <c r="P340" s="200"/>
      <c r="Q340" s="200"/>
      <c r="R340" s="200"/>
      <c r="T340" s="154"/>
      <c r="V340" s="200"/>
      <c r="Y340" s="200"/>
      <c r="Z340" s="329"/>
      <c r="AA340" s="200"/>
      <c r="AB340" s="200"/>
      <c r="AC340" s="210"/>
      <c r="AD340" s="210"/>
      <c r="AE340" s="200"/>
      <c r="AF340" s="200"/>
      <c r="AG340" s="209"/>
      <c r="AH340" s="201"/>
      <c r="AI340" s="200"/>
      <c r="AJ340" s="200"/>
      <c r="AK340" s="209"/>
      <c r="AL340" s="200"/>
      <c r="AM340" s="210"/>
      <c r="AN340" s="210"/>
    </row>
    <row r="341" spans="1:40" x14ac:dyDescent="0.25">
      <c r="A341" s="202"/>
      <c r="C341" s="154"/>
      <c r="F341" s="252"/>
      <c r="H341" s="252"/>
      <c r="I341" s="252"/>
      <c r="J341" s="329"/>
      <c r="K341" s="329"/>
      <c r="L341" s="200"/>
      <c r="M341" s="200"/>
      <c r="N341" s="210"/>
      <c r="O341" s="210"/>
      <c r="P341" s="200"/>
      <c r="Q341" s="200"/>
      <c r="R341" s="200"/>
      <c r="T341" s="154"/>
      <c r="V341" s="200"/>
      <c r="Y341" s="200"/>
      <c r="Z341" s="329"/>
      <c r="AA341" s="200"/>
      <c r="AB341" s="200"/>
      <c r="AC341" s="210"/>
      <c r="AD341" s="210"/>
      <c r="AE341" s="200"/>
      <c r="AF341" s="200"/>
      <c r="AG341" s="209"/>
      <c r="AH341" s="201"/>
      <c r="AI341" s="200"/>
      <c r="AJ341" s="200"/>
      <c r="AK341" s="209"/>
      <c r="AL341" s="200"/>
      <c r="AM341" s="210"/>
      <c r="AN341" s="210"/>
    </row>
    <row r="342" spans="1:40" x14ac:dyDescent="0.25">
      <c r="A342" s="202"/>
      <c r="C342" s="154"/>
      <c r="F342" s="252"/>
      <c r="H342" s="252"/>
      <c r="I342" s="252"/>
      <c r="J342" s="329"/>
      <c r="K342" s="329"/>
      <c r="L342" s="200"/>
      <c r="M342" s="200"/>
      <c r="N342" s="210"/>
      <c r="O342" s="210"/>
      <c r="P342" s="200"/>
      <c r="Q342" s="200"/>
      <c r="R342" s="200"/>
      <c r="T342" s="154"/>
      <c r="V342" s="200"/>
      <c r="Y342" s="200"/>
      <c r="Z342" s="329"/>
      <c r="AA342" s="200"/>
      <c r="AB342" s="200"/>
      <c r="AC342" s="210"/>
      <c r="AD342" s="210"/>
      <c r="AE342" s="200"/>
      <c r="AF342" s="200"/>
      <c r="AG342" s="209"/>
      <c r="AH342" s="201"/>
      <c r="AI342" s="200"/>
      <c r="AJ342" s="200"/>
      <c r="AK342" s="209"/>
      <c r="AL342" s="200"/>
      <c r="AM342" s="210"/>
      <c r="AN342" s="210"/>
    </row>
    <row r="343" spans="1:40" x14ac:dyDescent="0.25">
      <c r="A343" s="202"/>
      <c r="C343" s="154"/>
      <c r="F343" s="252"/>
      <c r="H343" s="252"/>
      <c r="I343" s="252"/>
      <c r="J343" s="329"/>
      <c r="K343" s="329"/>
      <c r="L343" s="200"/>
      <c r="M343" s="200"/>
      <c r="N343" s="210"/>
      <c r="O343" s="210"/>
      <c r="P343" s="200"/>
      <c r="Q343" s="200"/>
      <c r="R343" s="200"/>
      <c r="T343" s="154"/>
      <c r="V343" s="200"/>
      <c r="Y343" s="200"/>
      <c r="Z343" s="329"/>
      <c r="AA343" s="200"/>
      <c r="AB343" s="200"/>
      <c r="AC343" s="210"/>
      <c r="AD343" s="210"/>
      <c r="AE343" s="200"/>
      <c r="AF343" s="200"/>
      <c r="AG343" s="209"/>
      <c r="AH343" s="201"/>
      <c r="AI343" s="200"/>
      <c r="AJ343" s="200"/>
      <c r="AK343" s="209"/>
      <c r="AL343" s="200"/>
      <c r="AM343" s="210"/>
      <c r="AN343" s="210"/>
    </row>
    <row r="344" spans="1:40" x14ac:dyDescent="0.25">
      <c r="A344" s="202"/>
      <c r="C344" s="154"/>
      <c r="J344" s="334"/>
      <c r="K344" s="334"/>
      <c r="T344" s="154"/>
      <c r="Z344" s="334"/>
    </row>
    <row r="345" spans="1:40" x14ac:dyDescent="0.25">
      <c r="A345" s="202"/>
      <c r="C345" s="154"/>
      <c r="F345" s="252"/>
      <c r="H345" s="252"/>
      <c r="I345" s="252"/>
      <c r="J345" s="329"/>
      <c r="K345" s="329"/>
      <c r="L345" s="200"/>
      <c r="M345" s="200"/>
      <c r="N345" s="210"/>
      <c r="O345" s="210"/>
      <c r="P345" s="200"/>
      <c r="Q345" s="200"/>
      <c r="R345" s="200"/>
      <c r="T345" s="154"/>
      <c r="V345" s="200"/>
      <c r="Y345" s="200"/>
      <c r="Z345" s="329"/>
      <c r="AA345" s="200"/>
      <c r="AB345" s="200"/>
      <c r="AC345" s="210"/>
      <c r="AD345" s="210"/>
      <c r="AE345" s="200"/>
      <c r="AF345" s="200"/>
      <c r="AG345" s="209"/>
      <c r="AH345" s="201"/>
      <c r="AI345" s="200"/>
      <c r="AJ345" s="200"/>
      <c r="AK345" s="209"/>
      <c r="AL345" s="200"/>
      <c r="AM345" s="210"/>
      <c r="AN345" s="210"/>
    </row>
    <row r="346" spans="1:40" x14ac:dyDescent="0.25">
      <c r="A346" s="202"/>
      <c r="C346" s="154"/>
      <c r="F346" s="252"/>
      <c r="H346" s="252"/>
      <c r="I346" s="252"/>
      <c r="J346" s="329"/>
      <c r="K346" s="329"/>
      <c r="L346" s="200"/>
      <c r="M346" s="200"/>
      <c r="N346" s="210"/>
      <c r="O346" s="210"/>
      <c r="P346" s="200"/>
      <c r="Q346" s="200"/>
      <c r="R346" s="200"/>
      <c r="T346" s="154"/>
      <c r="V346" s="200"/>
      <c r="Y346" s="200"/>
      <c r="Z346" s="329"/>
      <c r="AA346" s="200"/>
      <c r="AB346" s="200"/>
      <c r="AC346" s="210"/>
      <c r="AD346" s="210"/>
      <c r="AE346" s="200"/>
      <c r="AF346" s="200"/>
      <c r="AG346" s="209"/>
      <c r="AH346" s="201"/>
      <c r="AI346" s="200"/>
      <c r="AJ346" s="200"/>
      <c r="AK346" s="209"/>
      <c r="AL346" s="200"/>
      <c r="AM346" s="210"/>
      <c r="AN346" s="210"/>
    </row>
    <row r="347" spans="1:40" x14ac:dyDescent="0.25">
      <c r="A347" s="202"/>
      <c r="C347" s="154"/>
      <c r="F347" s="252"/>
      <c r="H347" s="252"/>
      <c r="I347" s="252"/>
      <c r="J347" s="329"/>
      <c r="K347" s="329"/>
      <c r="L347" s="200"/>
      <c r="M347" s="200"/>
      <c r="N347" s="210"/>
      <c r="O347" s="210"/>
      <c r="P347" s="200"/>
      <c r="Q347" s="200"/>
      <c r="R347" s="200"/>
      <c r="T347" s="154"/>
      <c r="V347" s="200"/>
      <c r="Y347" s="200"/>
      <c r="Z347" s="329"/>
      <c r="AA347" s="200"/>
      <c r="AB347" s="200"/>
      <c r="AC347" s="210"/>
      <c r="AD347" s="210"/>
      <c r="AE347" s="200"/>
      <c r="AF347" s="200"/>
      <c r="AG347" s="209"/>
      <c r="AH347" s="201"/>
      <c r="AI347" s="200"/>
      <c r="AJ347" s="200"/>
      <c r="AK347" s="209"/>
      <c r="AL347" s="200"/>
      <c r="AM347" s="210"/>
      <c r="AN347" s="210"/>
    </row>
    <row r="348" spans="1:40" x14ac:dyDescent="0.25">
      <c r="A348" s="202"/>
      <c r="C348" s="154"/>
      <c r="J348" s="334"/>
      <c r="K348" s="334"/>
      <c r="T348" s="154"/>
      <c r="Z348" s="334"/>
    </row>
    <row r="349" spans="1:40" x14ac:dyDescent="0.25">
      <c r="A349" s="202"/>
      <c r="C349" s="154"/>
      <c r="F349" s="252"/>
      <c r="H349" s="252"/>
      <c r="I349" s="252"/>
      <c r="J349" s="329"/>
      <c r="K349" s="329"/>
      <c r="L349" s="200"/>
      <c r="M349" s="200"/>
      <c r="N349" s="210"/>
      <c r="O349" s="210"/>
      <c r="P349" s="200"/>
      <c r="Q349" s="200"/>
      <c r="R349" s="200"/>
      <c r="T349" s="154"/>
      <c r="V349" s="200"/>
      <c r="Y349" s="200"/>
      <c r="Z349" s="329"/>
      <c r="AA349" s="200"/>
      <c r="AB349" s="200"/>
      <c r="AC349" s="210"/>
      <c r="AD349" s="210"/>
      <c r="AE349" s="200"/>
      <c r="AF349" s="200"/>
      <c r="AG349" s="209"/>
      <c r="AH349" s="201"/>
      <c r="AI349" s="200"/>
      <c r="AJ349" s="200"/>
      <c r="AK349" s="209"/>
      <c r="AL349" s="200"/>
      <c r="AM349" s="210"/>
      <c r="AN349" s="210"/>
    </row>
    <row r="350" spans="1:40" x14ac:dyDescent="0.25">
      <c r="A350" s="202"/>
      <c r="C350" s="154"/>
      <c r="F350" s="252"/>
      <c r="H350" s="252"/>
      <c r="I350" s="252"/>
      <c r="J350" s="329"/>
      <c r="K350" s="329"/>
      <c r="L350" s="200"/>
      <c r="M350" s="200"/>
      <c r="N350" s="210"/>
      <c r="O350" s="210"/>
      <c r="P350" s="200"/>
      <c r="Q350" s="200"/>
      <c r="R350" s="200"/>
      <c r="T350" s="154"/>
      <c r="V350" s="200"/>
      <c r="Y350" s="200"/>
      <c r="Z350" s="329"/>
      <c r="AA350" s="200"/>
      <c r="AB350" s="200"/>
      <c r="AC350" s="210"/>
      <c r="AD350" s="210"/>
      <c r="AE350" s="200"/>
      <c r="AF350" s="200"/>
      <c r="AG350" s="209"/>
      <c r="AH350" s="201"/>
      <c r="AI350" s="200"/>
      <c r="AJ350" s="200"/>
      <c r="AK350" s="209"/>
      <c r="AL350" s="200"/>
      <c r="AM350" s="210"/>
      <c r="AN350" s="210"/>
    </row>
    <row r="351" spans="1:40" x14ac:dyDescent="0.25">
      <c r="A351" s="202"/>
      <c r="C351" s="154"/>
      <c r="J351" s="334"/>
      <c r="K351" s="334"/>
      <c r="T351" s="154"/>
      <c r="Z351" s="334"/>
    </row>
    <row r="352" spans="1:40" x14ac:dyDescent="0.25">
      <c r="A352" s="202"/>
      <c r="C352" s="154"/>
      <c r="F352" s="252"/>
      <c r="H352" s="252"/>
      <c r="I352" s="252"/>
      <c r="J352" s="329"/>
      <c r="K352" s="329"/>
      <c r="L352" s="200"/>
      <c r="M352" s="200"/>
      <c r="N352" s="210"/>
      <c r="O352" s="210"/>
      <c r="P352" s="200"/>
      <c r="Q352" s="200"/>
      <c r="R352" s="200"/>
      <c r="T352" s="154"/>
      <c r="V352" s="200"/>
      <c r="Y352" s="200"/>
      <c r="Z352" s="329"/>
      <c r="AA352" s="200"/>
      <c r="AB352" s="200"/>
      <c r="AC352" s="210"/>
      <c r="AD352" s="210"/>
      <c r="AE352" s="200"/>
      <c r="AF352" s="200"/>
      <c r="AG352" s="209"/>
      <c r="AH352" s="201"/>
      <c r="AI352" s="200"/>
      <c r="AJ352" s="200"/>
      <c r="AK352" s="209"/>
      <c r="AL352" s="200"/>
      <c r="AM352" s="210"/>
      <c r="AN352" s="210"/>
    </row>
    <row r="353" spans="1:40" x14ac:dyDescent="0.25">
      <c r="A353" s="202"/>
      <c r="C353" s="154"/>
      <c r="F353" s="252"/>
      <c r="H353" s="252"/>
      <c r="I353" s="252"/>
      <c r="J353" s="329"/>
      <c r="K353" s="329"/>
      <c r="L353" s="200"/>
      <c r="M353" s="200"/>
      <c r="N353" s="210"/>
      <c r="O353" s="210"/>
      <c r="P353" s="200"/>
      <c r="Q353" s="200"/>
      <c r="R353" s="200"/>
      <c r="T353" s="154"/>
      <c r="V353" s="200"/>
      <c r="Y353" s="200"/>
      <c r="Z353" s="329"/>
      <c r="AA353" s="200"/>
      <c r="AB353" s="200"/>
      <c r="AC353" s="210"/>
      <c r="AD353" s="210"/>
      <c r="AE353" s="200"/>
      <c r="AF353" s="200"/>
      <c r="AG353" s="209"/>
      <c r="AH353" s="201"/>
      <c r="AI353" s="200"/>
      <c r="AJ353" s="200"/>
      <c r="AK353" s="209"/>
      <c r="AL353" s="200"/>
      <c r="AM353" s="210"/>
      <c r="AN353" s="210"/>
    </row>
    <row r="354" spans="1:40" x14ac:dyDescent="0.25">
      <c r="A354" s="202"/>
      <c r="C354" s="154"/>
      <c r="F354" s="252"/>
      <c r="H354" s="252"/>
      <c r="I354" s="252"/>
      <c r="J354" s="329"/>
      <c r="K354" s="329"/>
      <c r="L354" s="200"/>
      <c r="M354" s="200"/>
      <c r="N354" s="210"/>
      <c r="O354" s="210"/>
      <c r="P354" s="200"/>
      <c r="Q354" s="200"/>
      <c r="R354" s="200"/>
      <c r="T354" s="154"/>
      <c r="V354" s="200"/>
      <c r="Y354" s="200"/>
      <c r="Z354" s="329"/>
      <c r="AA354" s="200"/>
      <c r="AB354" s="200"/>
      <c r="AC354" s="210"/>
      <c r="AD354" s="210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F355" s="211"/>
      <c r="H355" s="211"/>
      <c r="I355" s="211"/>
      <c r="J355" s="329"/>
      <c r="K355" s="329"/>
      <c r="L355" s="211"/>
      <c r="M355" s="211"/>
      <c r="N355" s="211"/>
      <c r="O355" s="211"/>
      <c r="P355" s="211"/>
      <c r="Q355" s="211"/>
      <c r="R355" s="211"/>
      <c r="V355" s="211"/>
      <c r="Y355" s="211"/>
      <c r="Z355" s="329"/>
      <c r="AA355" s="211"/>
      <c r="AB355" s="211"/>
      <c r="AC355" s="211"/>
      <c r="AD355" s="211"/>
      <c r="AE355" s="211"/>
      <c r="AF355" s="211"/>
      <c r="AI355" s="211"/>
      <c r="AJ355" s="211"/>
      <c r="AK355" s="212"/>
      <c r="AL355" s="211"/>
    </row>
    <row r="356" spans="1:40" x14ac:dyDescent="0.25">
      <c r="A356" s="202"/>
      <c r="C356" s="103"/>
      <c r="F356" s="200"/>
      <c r="H356" s="200"/>
      <c r="I356" s="200"/>
      <c r="J356" s="334"/>
      <c r="K356" s="334"/>
      <c r="L356" s="200"/>
      <c r="M356" s="200"/>
      <c r="N356" s="201"/>
      <c r="O356" s="201"/>
      <c r="P356" s="200"/>
      <c r="Q356" s="200"/>
      <c r="R356" s="200"/>
      <c r="T356" s="103"/>
      <c r="V356" s="200"/>
      <c r="Y356" s="200"/>
      <c r="Z356" s="334"/>
      <c r="AA356" s="200"/>
      <c r="AB356" s="200"/>
      <c r="AC356" s="200"/>
      <c r="AD356" s="20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F357" s="211"/>
      <c r="H357" s="211"/>
      <c r="I357" s="211"/>
      <c r="J357" s="329"/>
      <c r="K357" s="329"/>
      <c r="L357" s="211"/>
      <c r="M357" s="211"/>
      <c r="N357" s="211"/>
      <c r="O357" s="211"/>
      <c r="P357" s="211"/>
      <c r="Q357" s="211"/>
      <c r="R357" s="211"/>
      <c r="V357" s="211"/>
      <c r="Y357" s="211"/>
      <c r="Z357" s="329"/>
      <c r="AA357" s="211"/>
      <c r="AB357" s="211"/>
      <c r="AC357" s="211"/>
      <c r="AD357" s="211"/>
      <c r="AE357" s="211"/>
      <c r="AF357" s="211"/>
      <c r="AI357" s="211"/>
      <c r="AJ357" s="211"/>
      <c r="AK357" s="212"/>
      <c r="AL357" s="211"/>
    </row>
    <row r="358" spans="1:40" x14ac:dyDescent="0.25">
      <c r="A358" s="202"/>
      <c r="C358" s="154"/>
      <c r="J358" s="334"/>
      <c r="K358" s="334"/>
      <c r="T358" s="154"/>
      <c r="Z358" s="334"/>
    </row>
    <row r="359" spans="1:40" x14ac:dyDescent="0.25">
      <c r="A359" s="202"/>
      <c r="C359" s="154"/>
      <c r="J359" s="334"/>
      <c r="K359" s="334"/>
      <c r="T359" s="154"/>
      <c r="Z359" s="334"/>
    </row>
    <row r="360" spans="1:40" x14ac:dyDescent="0.25">
      <c r="A360" s="202"/>
      <c r="C360" s="154"/>
      <c r="F360" s="252"/>
      <c r="H360" s="252"/>
      <c r="I360" s="252"/>
      <c r="J360" s="329"/>
      <c r="K360" s="329"/>
      <c r="L360" s="200"/>
      <c r="M360" s="200"/>
      <c r="N360" s="210"/>
      <c r="O360" s="210"/>
      <c r="P360" s="200"/>
      <c r="Q360" s="200"/>
      <c r="R360" s="200"/>
      <c r="T360" s="154"/>
      <c r="V360" s="200"/>
      <c r="Y360" s="200"/>
      <c r="Z360" s="329"/>
      <c r="AA360" s="200"/>
      <c r="AB360" s="200"/>
      <c r="AC360" s="210"/>
      <c r="AD360" s="210"/>
      <c r="AE360" s="200"/>
      <c r="AF360" s="200"/>
      <c r="AG360" s="209"/>
      <c r="AH360" s="201"/>
      <c r="AI360" s="200"/>
      <c r="AJ360" s="200"/>
      <c r="AK360" s="209"/>
      <c r="AL360" s="200"/>
      <c r="AM360" s="210"/>
      <c r="AN360" s="210"/>
    </row>
    <row r="361" spans="1:40" x14ac:dyDescent="0.25">
      <c r="A361" s="202"/>
      <c r="C361" s="154"/>
      <c r="F361" s="252"/>
      <c r="H361" s="252"/>
      <c r="I361" s="252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00"/>
      <c r="Y361" s="200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00"/>
      <c r="Y362" s="200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52"/>
      <c r="H363" s="252"/>
      <c r="I363" s="252"/>
      <c r="J363" s="329"/>
      <c r="K363" s="329"/>
      <c r="L363" s="200"/>
      <c r="M363" s="200"/>
      <c r="N363" s="210"/>
      <c r="O363" s="210"/>
      <c r="P363" s="200"/>
      <c r="Q363" s="200"/>
      <c r="R363" s="200"/>
      <c r="T363" s="154"/>
      <c r="V363" s="200"/>
      <c r="Y363" s="200"/>
      <c r="Z363" s="329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A364" s="202"/>
      <c r="C364" s="154"/>
      <c r="F364" s="252"/>
      <c r="H364" s="252"/>
      <c r="I364" s="252"/>
      <c r="J364" s="329"/>
      <c r="K364" s="329"/>
      <c r="L364" s="200"/>
      <c r="M364" s="200"/>
      <c r="N364" s="210"/>
      <c r="O364" s="210"/>
      <c r="P364" s="200"/>
      <c r="Q364" s="200"/>
      <c r="R364" s="200"/>
      <c r="T364" s="154"/>
      <c r="V364" s="200"/>
      <c r="Y364" s="200"/>
      <c r="Z364" s="329"/>
      <c r="AA364" s="200"/>
      <c r="AB364" s="200"/>
      <c r="AC364" s="210"/>
      <c r="AD364" s="210"/>
      <c r="AE364" s="200"/>
      <c r="AF364" s="200"/>
      <c r="AG364" s="209"/>
      <c r="AH364" s="201"/>
      <c r="AI364" s="200"/>
      <c r="AJ364" s="200"/>
      <c r="AK364" s="209"/>
      <c r="AL364" s="200"/>
      <c r="AM364" s="210"/>
      <c r="AN364" s="210"/>
    </row>
    <row r="365" spans="1:40" x14ac:dyDescent="0.25">
      <c r="A365" s="202"/>
      <c r="C365" s="154"/>
      <c r="F365" s="252"/>
      <c r="H365" s="252"/>
      <c r="I365" s="252"/>
      <c r="J365" s="329"/>
      <c r="K365" s="329"/>
      <c r="L365" s="200"/>
      <c r="M365" s="200"/>
      <c r="N365" s="210"/>
      <c r="O365" s="210"/>
      <c r="P365" s="200"/>
      <c r="Q365" s="200"/>
      <c r="R365" s="200"/>
      <c r="T365" s="154"/>
      <c r="V365" s="200"/>
      <c r="Y365" s="200"/>
      <c r="Z365" s="329"/>
      <c r="AA365" s="200"/>
      <c r="AB365" s="200"/>
      <c r="AC365" s="210"/>
      <c r="AD365" s="21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A366" s="202"/>
      <c r="C366" s="154"/>
      <c r="F366" s="252"/>
      <c r="H366" s="252"/>
      <c r="I366" s="252"/>
      <c r="J366" s="329"/>
      <c r="K366" s="329"/>
      <c r="L366" s="200"/>
      <c r="M366" s="200"/>
      <c r="N366" s="210"/>
      <c r="O366" s="210"/>
      <c r="P366" s="200"/>
      <c r="Q366" s="200"/>
      <c r="R366" s="200"/>
      <c r="T366" s="154"/>
      <c r="V366" s="200"/>
      <c r="Y366" s="200"/>
      <c r="Z366" s="329"/>
      <c r="AA366" s="200"/>
      <c r="AB366" s="200"/>
      <c r="AC366" s="210"/>
      <c r="AD366" s="210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A367" s="202"/>
      <c r="C367" s="154"/>
      <c r="J367" s="334"/>
      <c r="K367" s="334"/>
      <c r="T367" s="154"/>
      <c r="Z367" s="334"/>
    </row>
    <row r="368" spans="1:40" x14ac:dyDescent="0.25">
      <c r="A368" s="202"/>
      <c r="C368" s="154"/>
      <c r="F368" s="252"/>
      <c r="H368" s="252"/>
      <c r="I368" s="252"/>
      <c r="J368" s="329"/>
      <c r="K368" s="329"/>
      <c r="L368" s="200"/>
      <c r="M368" s="200"/>
      <c r="N368" s="210"/>
      <c r="O368" s="210"/>
      <c r="P368" s="200"/>
      <c r="Q368" s="200"/>
      <c r="R368" s="200"/>
      <c r="T368" s="154"/>
      <c r="V368" s="200"/>
      <c r="Y368" s="200"/>
      <c r="Z368" s="329"/>
      <c r="AA368" s="200"/>
      <c r="AB368" s="200"/>
      <c r="AC368" s="210"/>
      <c r="AD368" s="21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A369" s="202"/>
      <c r="C369" s="154"/>
      <c r="F369" s="252"/>
      <c r="H369" s="252"/>
      <c r="I369" s="252"/>
      <c r="J369" s="329"/>
      <c r="K369" s="329"/>
      <c r="L369" s="200"/>
      <c r="M369" s="200"/>
      <c r="N369" s="210"/>
      <c r="O369" s="210"/>
      <c r="P369" s="200"/>
      <c r="Q369" s="200"/>
      <c r="R369" s="200"/>
      <c r="T369" s="154"/>
      <c r="V369" s="200"/>
      <c r="Y369" s="200"/>
      <c r="Z369" s="329"/>
      <c r="AA369" s="200"/>
      <c r="AB369" s="200"/>
      <c r="AC369" s="210"/>
      <c r="AD369" s="210"/>
      <c r="AE369" s="200"/>
      <c r="AF369" s="200"/>
      <c r="AG369" s="209"/>
      <c r="AH369" s="201"/>
      <c r="AI369" s="200"/>
      <c r="AJ369" s="200"/>
      <c r="AK369" s="209"/>
      <c r="AL369" s="200"/>
      <c r="AM369" s="210"/>
      <c r="AN369" s="210"/>
    </row>
    <row r="370" spans="1:40" x14ac:dyDescent="0.25">
      <c r="A370" s="202"/>
      <c r="C370" s="154"/>
      <c r="F370" s="252"/>
      <c r="H370" s="252"/>
      <c r="I370" s="252"/>
      <c r="J370" s="329"/>
      <c r="K370" s="329"/>
      <c r="L370" s="200"/>
      <c r="M370" s="200"/>
      <c r="N370" s="210"/>
      <c r="O370" s="210"/>
      <c r="P370" s="200"/>
      <c r="Q370" s="200"/>
      <c r="R370" s="200"/>
      <c r="T370" s="154"/>
      <c r="V370" s="200"/>
      <c r="Y370" s="200"/>
      <c r="Z370" s="329"/>
      <c r="AA370" s="200"/>
      <c r="AB370" s="200"/>
      <c r="AC370" s="210"/>
      <c r="AD370" s="210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A371" s="202"/>
      <c r="C371" s="154"/>
      <c r="F371" s="252"/>
      <c r="H371" s="252"/>
      <c r="I371" s="252"/>
      <c r="J371" s="329"/>
      <c r="K371" s="329"/>
      <c r="L371" s="200"/>
      <c r="M371" s="200"/>
      <c r="N371" s="210"/>
      <c r="O371" s="210"/>
      <c r="P371" s="200"/>
      <c r="Q371" s="200"/>
      <c r="R371" s="200"/>
      <c r="T371" s="154"/>
      <c r="V371" s="200"/>
      <c r="Y371" s="200"/>
      <c r="Z371" s="329"/>
      <c r="AA371" s="200"/>
      <c r="AB371" s="200"/>
      <c r="AC371" s="210"/>
      <c r="AD371" s="210"/>
      <c r="AE371" s="200"/>
      <c r="AF371" s="200"/>
      <c r="AG371" s="209"/>
      <c r="AH371" s="201"/>
      <c r="AI371" s="200"/>
      <c r="AJ371" s="200"/>
      <c r="AK371" s="209"/>
      <c r="AL371" s="200"/>
      <c r="AM371" s="210"/>
      <c r="AN371" s="210"/>
    </row>
    <row r="372" spans="1:40" x14ac:dyDescent="0.25">
      <c r="A372" s="202"/>
      <c r="C372" s="154"/>
      <c r="J372" s="334"/>
      <c r="K372" s="334"/>
      <c r="T372" s="154"/>
      <c r="Z372" s="334"/>
    </row>
    <row r="373" spans="1:40" x14ac:dyDescent="0.25">
      <c r="A373" s="202"/>
      <c r="C373" s="154"/>
      <c r="F373" s="252"/>
      <c r="H373" s="252"/>
      <c r="I373" s="252"/>
      <c r="J373" s="329"/>
      <c r="K373" s="329"/>
      <c r="L373" s="200"/>
      <c r="M373" s="200"/>
      <c r="N373" s="210"/>
      <c r="O373" s="210"/>
      <c r="P373" s="200"/>
      <c r="Q373" s="200"/>
      <c r="R373" s="200"/>
      <c r="T373" s="154"/>
      <c r="V373" s="200"/>
      <c r="Y373" s="200"/>
      <c r="Z373" s="329"/>
      <c r="AA373" s="200"/>
      <c r="AB373" s="200"/>
      <c r="AC373" s="210"/>
      <c r="AD373" s="210"/>
      <c r="AE373" s="200"/>
      <c r="AF373" s="200"/>
      <c r="AG373" s="209"/>
      <c r="AH373" s="201"/>
      <c r="AI373" s="200"/>
      <c r="AJ373" s="200"/>
      <c r="AK373" s="209"/>
      <c r="AL373" s="200"/>
      <c r="AM373" s="210"/>
      <c r="AN373" s="210"/>
    </row>
    <row r="374" spans="1:40" x14ac:dyDescent="0.25">
      <c r="A374" s="202"/>
      <c r="C374" s="154"/>
      <c r="F374" s="252"/>
      <c r="H374" s="252"/>
      <c r="I374" s="252"/>
      <c r="J374" s="329"/>
      <c r="K374" s="329"/>
      <c r="L374" s="200"/>
      <c r="M374" s="200"/>
      <c r="N374" s="210"/>
      <c r="O374" s="210"/>
      <c r="P374" s="200"/>
      <c r="Q374" s="200"/>
      <c r="R374" s="200"/>
      <c r="T374" s="154"/>
      <c r="V374" s="200"/>
      <c r="Y374" s="200"/>
      <c r="Z374" s="329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A375" s="202"/>
      <c r="C375" s="154"/>
      <c r="F375" s="252"/>
      <c r="H375" s="252"/>
      <c r="I375" s="252"/>
      <c r="J375" s="329"/>
      <c r="K375" s="329"/>
      <c r="L375" s="200"/>
      <c r="M375" s="200"/>
      <c r="N375" s="210"/>
      <c r="O375" s="210"/>
      <c r="P375" s="200"/>
      <c r="Q375" s="200"/>
      <c r="R375" s="200"/>
      <c r="T375" s="154"/>
      <c r="V375" s="200"/>
      <c r="Y375" s="200"/>
      <c r="Z375" s="329"/>
      <c r="AA375" s="200"/>
      <c r="AB375" s="200"/>
      <c r="AC375" s="210"/>
      <c r="AD375" s="210"/>
      <c r="AE375" s="200"/>
      <c r="AF375" s="200"/>
      <c r="AG375" s="209"/>
      <c r="AH375" s="201"/>
      <c r="AI375" s="200"/>
      <c r="AJ375" s="200"/>
      <c r="AK375" s="209"/>
      <c r="AL375" s="200"/>
      <c r="AM375" s="210"/>
      <c r="AN375" s="210"/>
    </row>
    <row r="376" spans="1:40" x14ac:dyDescent="0.25">
      <c r="A376" s="202"/>
      <c r="C376" s="154"/>
      <c r="F376" s="252"/>
      <c r="H376" s="252"/>
      <c r="I376" s="252"/>
      <c r="J376" s="329"/>
      <c r="K376" s="329"/>
      <c r="L376" s="200"/>
      <c r="M376" s="200"/>
      <c r="N376" s="210"/>
      <c r="O376" s="210"/>
      <c r="P376" s="200"/>
      <c r="Q376" s="200"/>
      <c r="R376" s="200"/>
      <c r="T376" s="154"/>
      <c r="V376" s="200"/>
      <c r="Y376" s="200"/>
      <c r="Z376" s="329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A377" s="202"/>
      <c r="C377" s="154"/>
      <c r="F377" s="252"/>
      <c r="H377" s="252"/>
      <c r="I377" s="252"/>
      <c r="J377" s="329"/>
      <c r="K377" s="329"/>
      <c r="L377" s="200"/>
      <c r="M377" s="200"/>
      <c r="N377" s="210"/>
      <c r="O377" s="210"/>
      <c r="P377" s="200"/>
      <c r="Q377" s="200"/>
      <c r="R377" s="200"/>
      <c r="T377" s="154"/>
      <c r="V377" s="200"/>
      <c r="Y377" s="200"/>
      <c r="Z377" s="329"/>
      <c r="AA377" s="200"/>
      <c r="AB377" s="200"/>
      <c r="AC377" s="210"/>
      <c r="AD377" s="210"/>
      <c r="AE377" s="200"/>
      <c r="AF377" s="200"/>
      <c r="AG377" s="209"/>
      <c r="AH377" s="201"/>
      <c r="AI377" s="200"/>
      <c r="AJ377" s="200"/>
      <c r="AK377" s="209"/>
      <c r="AL377" s="200"/>
      <c r="AM377" s="210"/>
      <c r="AN377" s="210"/>
    </row>
    <row r="378" spans="1:40" x14ac:dyDescent="0.25">
      <c r="F378" s="211"/>
      <c r="H378" s="211"/>
      <c r="I378" s="211"/>
      <c r="J378" s="305"/>
      <c r="K378" s="305"/>
      <c r="L378" s="211"/>
      <c r="M378" s="211"/>
      <c r="N378" s="211"/>
      <c r="O378" s="211"/>
      <c r="P378" s="211"/>
      <c r="Q378" s="211"/>
      <c r="R378" s="211"/>
      <c r="V378" s="211"/>
      <c r="Y378" s="211"/>
      <c r="Z378" s="329"/>
      <c r="AA378" s="211"/>
      <c r="AB378" s="211"/>
      <c r="AC378" s="211"/>
      <c r="AD378" s="211"/>
      <c r="AE378" s="211"/>
      <c r="AF378" s="211"/>
      <c r="AI378" s="211"/>
      <c r="AJ378" s="211"/>
      <c r="AK378" s="212"/>
      <c r="AL378" s="211"/>
    </row>
    <row r="379" spans="1:40" x14ac:dyDescent="0.25">
      <c r="A379" s="202"/>
      <c r="C379" s="154"/>
      <c r="F379" s="200"/>
      <c r="H379" s="200"/>
      <c r="I379" s="200"/>
      <c r="L379" s="200"/>
      <c r="M379" s="200"/>
      <c r="N379" s="201"/>
      <c r="O379" s="201"/>
      <c r="P379" s="200"/>
      <c r="Q379" s="200"/>
      <c r="R379" s="200"/>
      <c r="T379" s="154"/>
      <c r="V379" s="200"/>
      <c r="Y379" s="200"/>
      <c r="AA379" s="200"/>
      <c r="AB379" s="200"/>
      <c r="AC379" s="210"/>
      <c r="AD379" s="210"/>
      <c r="AE379" s="200"/>
      <c r="AF379" s="200"/>
      <c r="AG379" s="209"/>
      <c r="AH379" s="201"/>
      <c r="AI379" s="200"/>
      <c r="AJ379" s="200"/>
      <c r="AK379" s="209"/>
      <c r="AL379" s="200"/>
      <c r="AM379" s="210"/>
      <c r="AN379" s="210"/>
    </row>
    <row r="380" spans="1:40" x14ac:dyDescent="0.25">
      <c r="F380" s="211"/>
      <c r="H380" s="211"/>
      <c r="I380" s="211"/>
      <c r="J380" s="305"/>
      <c r="K380" s="305"/>
      <c r="L380" s="211"/>
      <c r="M380" s="211"/>
      <c r="N380" s="211"/>
      <c r="O380" s="211"/>
      <c r="P380" s="211"/>
      <c r="Q380" s="211"/>
      <c r="R380" s="211"/>
      <c r="V380" s="211"/>
      <c r="Y380" s="211"/>
      <c r="Z380" s="305"/>
      <c r="AA380" s="211"/>
      <c r="AB380" s="211"/>
      <c r="AC380" s="211"/>
      <c r="AD380" s="211"/>
      <c r="AE380" s="211"/>
      <c r="AF380" s="211"/>
      <c r="AI380" s="211"/>
      <c r="AJ380" s="211"/>
      <c r="AK380" s="212"/>
      <c r="AL380" s="211"/>
    </row>
    <row r="381" spans="1:40" x14ac:dyDescent="0.25">
      <c r="A381" s="202"/>
      <c r="C381" s="154"/>
      <c r="T381" s="154"/>
    </row>
    <row r="382" spans="1:40" x14ac:dyDescent="0.25">
      <c r="A382" s="202"/>
      <c r="C382" s="154"/>
      <c r="F382" s="252"/>
      <c r="H382" s="252"/>
      <c r="I382" s="252"/>
      <c r="J382" s="300"/>
      <c r="K382" s="300"/>
      <c r="L382" s="200"/>
      <c r="M382" s="200"/>
      <c r="N382" s="210"/>
      <c r="O382" s="210"/>
      <c r="P382" s="200"/>
      <c r="Q382" s="200"/>
      <c r="R382" s="200"/>
      <c r="T382" s="154"/>
      <c r="V382" s="200"/>
      <c r="Y382" s="200"/>
      <c r="Z382" s="300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A383" s="202"/>
      <c r="C383" s="154"/>
      <c r="F383" s="252"/>
      <c r="H383" s="252"/>
      <c r="I383" s="252"/>
      <c r="J383" s="300"/>
      <c r="K383" s="300"/>
      <c r="L383" s="200"/>
      <c r="M383" s="200"/>
      <c r="N383" s="210"/>
      <c r="O383" s="210"/>
      <c r="P383" s="200"/>
      <c r="Q383" s="200"/>
      <c r="R383" s="200"/>
      <c r="T383" s="154"/>
      <c r="V383" s="200"/>
      <c r="Y383" s="200"/>
      <c r="Z383" s="300"/>
      <c r="AA383" s="200"/>
      <c r="AB383" s="200"/>
      <c r="AC383" s="210"/>
      <c r="AD383" s="210"/>
      <c r="AE383" s="200"/>
      <c r="AF383" s="200"/>
      <c r="AG383" s="209"/>
      <c r="AH383" s="201"/>
      <c r="AI383" s="200"/>
      <c r="AJ383" s="200"/>
      <c r="AK383" s="209"/>
      <c r="AL383" s="200"/>
      <c r="AM383" s="210"/>
      <c r="AN383" s="210"/>
    </row>
    <row r="384" spans="1:40" x14ac:dyDescent="0.25">
      <c r="F384" s="211"/>
      <c r="H384" s="200"/>
      <c r="I384" s="200"/>
      <c r="J384" s="305"/>
      <c r="K384" s="305"/>
      <c r="L384" s="211"/>
      <c r="M384" s="211"/>
      <c r="N384" s="211"/>
      <c r="O384" s="211"/>
      <c r="P384" s="211"/>
      <c r="Q384" s="211"/>
      <c r="R384" s="211"/>
      <c r="V384" s="211"/>
      <c r="Y384" s="200"/>
      <c r="Z384" s="305"/>
      <c r="AA384" s="211"/>
      <c r="AB384" s="211"/>
      <c r="AC384" s="211"/>
      <c r="AD384" s="211"/>
      <c r="AE384" s="211"/>
      <c r="AF384" s="211"/>
      <c r="AI384" s="211"/>
      <c r="AJ384" s="211"/>
      <c r="AK384" s="212"/>
      <c r="AL384" s="211"/>
    </row>
    <row r="385" spans="1:40" x14ac:dyDescent="0.25">
      <c r="F385" s="200"/>
      <c r="H385" s="200"/>
      <c r="I385" s="200"/>
      <c r="J385" s="305"/>
      <c r="K385" s="305"/>
      <c r="L385" s="200"/>
      <c r="M385" s="200"/>
      <c r="N385" s="200"/>
      <c r="O385" s="200"/>
      <c r="P385" s="200"/>
      <c r="Q385" s="200"/>
      <c r="R385" s="200"/>
      <c r="V385" s="200"/>
      <c r="Y385" s="200"/>
      <c r="Z385" s="305"/>
      <c r="AA385" s="200"/>
      <c r="AB385" s="200"/>
      <c r="AC385" s="200"/>
      <c r="AD385" s="200"/>
      <c r="AE385" s="200"/>
      <c r="AF385" s="200"/>
      <c r="AI385" s="200"/>
      <c r="AJ385" s="200"/>
      <c r="AK385" s="209"/>
      <c r="AL385" s="200"/>
    </row>
    <row r="386" spans="1:40" x14ac:dyDescent="0.25">
      <c r="A386" s="202"/>
      <c r="C386" s="154"/>
      <c r="F386" s="200"/>
      <c r="H386" s="200"/>
      <c r="I386" s="200"/>
      <c r="L386" s="200"/>
      <c r="M386" s="200"/>
      <c r="N386" s="210"/>
      <c r="O386" s="210"/>
      <c r="P386" s="200"/>
      <c r="Q386" s="200"/>
      <c r="R386" s="200"/>
      <c r="T386" s="154"/>
      <c r="V386" s="200"/>
      <c r="Y386" s="200"/>
      <c r="AA386" s="200"/>
      <c r="AB386" s="200"/>
      <c r="AC386" s="210"/>
      <c r="AD386" s="210"/>
      <c r="AE386" s="200"/>
      <c r="AF386" s="200"/>
      <c r="AG386" s="209"/>
      <c r="AH386" s="201"/>
      <c r="AI386" s="252"/>
      <c r="AJ386" s="252"/>
      <c r="AK386" s="209"/>
      <c r="AL386" s="200"/>
      <c r="AM386" s="210"/>
      <c r="AN386" s="210"/>
    </row>
    <row r="387" spans="1:40" x14ac:dyDescent="0.25">
      <c r="F387" s="211"/>
      <c r="H387" s="211"/>
      <c r="I387" s="211"/>
      <c r="J387" s="305"/>
      <c r="K387" s="305"/>
      <c r="L387" s="211"/>
      <c r="M387" s="211"/>
      <c r="N387" s="211"/>
      <c r="O387" s="211"/>
      <c r="P387" s="211"/>
      <c r="Q387" s="211"/>
      <c r="R387" s="211"/>
      <c r="V387" s="211"/>
      <c r="Y387" s="211"/>
      <c r="Z387" s="305"/>
      <c r="AA387" s="211"/>
      <c r="AB387" s="211"/>
      <c r="AC387" s="211"/>
      <c r="AD387" s="211"/>
      <c r="AE387" s="211"/>
      <c r="AF387" s="211"/>
      <c r="AI387" s="211"/>
      <c r="AJ387" s="211"/>
      <c r="AK387" s="212"/>
      <c r="AL387" s="211"/>
    </row>
    <row r="389" spans="1:40" x14ac:dyDescent="0.25">
      <c r="A389" s="154"/>
      <c r="T389" s="154"/>
    </row>
    <row r="390" spans="1:40" x14ac:dyDescent="0.25">
      <c r="A390" s="154"/>
      <c r="T390" s="154"/>
    </row>
    <row r="391" spans="1:40" x14ac:dyDescent="0.25">
      <c r="A391" s="154"/>
      <c r="T391" s="154"/>
    </row>
    <row r="392" spans="1:40" x14ac:dyDescent="0.25">
      <c r="A392" s="154"/>
      <c r="T392" s="154"/>
    </row>
    <row r="393" spans="1:40" x14ac:dyDescent="0.25">
      <c r="A393" s="154"/>
      <c r="T393" s="154"/>
    </row>
    <row r="394" spans="1:40" x14ac:dyDescent="0.25">
      <c r="A394" s="154"/>
      <c r="T394" s="154"/>
    </row>
    <row r="395" spans="1:40" x14ac:dyDescent="0.25">
      <c r="A395" s="154"/>
      <c r="T395" s="154"/>
    </row>
    <row r="396" spans="1:40" x14ac:dyDescent="0.25">
      <c r="A396" s="154"/>
      <c r="T396" s="154"/>
    </row>
    <row r="397" spans="1:40" x14ac:dyDescent="0.25">
      <c r="A397" s="154"/>
      <c r="T397" s="154"/>
    </row>
    <row r="399" spans="1:40" x14ac:dyDescent="0.25">
      <c r="A399" s="154"/>
    </row>
    <row r="400" spans="1:40" x14ac:dyDescent="0.25">
      <c r="J400" s="202"/>
      <c r="K400" s="202"/>
      <c r="Z400" s="202"/>
    </row>
    <row r="401" spans="1:40" x14ac:dyDescent="0.25">
      <c r="H401" s="154"/>
      <c r="I401" s="154"/>
      <c r="Y401" s="154"/>
    </row>
    <row r="402" spans="1:40" x14ac:dyDescent="0.25">
      <c r="J402" s="202"/>
      <c r="K402" s="202"/>
      <c r="Z402" s="202"/>
    </row>
    <row r="403" spans="1:40" x14ac:dyDescent="0.25">
      <c r="L403" s="154"/>
      <c r="M403" s="154"/>
      <c r="AA403" s="154"/>
      <c r="AB403" s="154"/>
    </row>
    <row r="404" spans="1:40" x14ac:dyDescent="0.25">
      <c r="A404" s="202"/>
      <c r="R404" s="154"/>
      <c r="AK404" s="297"/>
      <c r="AL404" s="154"/>
    </row>
    <row r="405" spans="1:40" x14ac:dyDescent="0.25">
      <c r="A405" s="202"/>
      <c r="R405" s="154"/>
      <c r="AK405" s="297"/>
      <c r="AL405" s="154"/>
    </row>
    <row r="406" spans="1:40" x14ac:dyDescent="0.25">
      <c r="A406" s="154"/>
      <c r="R406" s="154"/>
      <c r="AK406" s="297"/>
      <c r="AL406" s="154"/>
    </row>
    <row r="407" spans="1:40" x14ac:dyDescent="0.25">
      <c r="L407" s="154"/>
      <c r="M407" s="154"/>
      <c r="R407" s="202"/>
      <c r="AA407" s="154"/>
      <c r="AB407" s="154"/>
      <c r="AK407" s="209"/>
      <c r="AL407" s="202"/>
    </row>
    <row r="408" spans="1:40" x14ac:dyDescent="0.25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208"/>
      <c r="AH408" s="102"/>
      <c r="AI408" s="102"/>
      <c r="AJ408" s="102"/>
      <c r="AK408" s="208"/>
      <c r="AL408" s="102"/>
      <c r="AM408" s="102"/>
      <c r="AN408" s="102"/>
    </row>
    <row r="409" spans="1:40" x14ac:dyDescent="0.25">
      <c r="L409" s="103"/>
      <c r="M409" s="103"/>
      <c r="N409" s="103"/>
      <c r="O409" s="103"/>
      <c r="R409" s="103"/>
      <c r="AA409" s="103"/>
      <c r="AB409" s="103"/>
      <c r="AC409" s="103"/>
      <c r="AD409" s="103"/>
      <c r="AE409" s="103"/>
      <c r="AF409" s="103"/>
      <c r="AG409" s="185"/>
      <c r="AH409" s="103"/>
      <c r="AK409" s="185"/>
      <c r="AL409" s="103"/>
      <c r="AM409" s="103"/>
      <c r="AN409" s="103"/>
    </row>
    <row r="410" spans="1:40" x14ac:dyDescent="0.25">
      <c r="L410" s="103"/>
      <c r="M410" s="103"/>
      <c r="N410" s="103"/>
      <c r="O410" s="103"/>
      <c r="R410" s="103"/>
      <c r="Z410" s="103"/>
      <c r="AA410" s="103"/>
      <c r="AB410" s="103"/>
      <c r="AC410" s="103"/>
      <c r="AD410" s="103"/>
      <c r="AE410" s="103"/>
      <c r="AF410" s="103"/>
      <c r="AG410" s="185"/>
      <c r="AH410" s="103"/>
      <c r="AK410" s="185"/>
      <c r="AL410" s="103"/>
      <c r="AM410" s="103"/>
      <c r="AN410" s="103"/>
    </row>
    <row r="411" spans="1:40" x14ac:dyDescent="0.25">
      <c r="A411" s="103"/>
      <c r="C411" s="103"/>
      <c r="D411" s="103"/>
      <c r="E411" s="103"/>
      <c r="F411" s="103"/>
      <c r="J411" s="103"/>
      <c r="K411" s="103"/>
      <c r="L411" s="103"/>
      <c r="M411" s="103"/>
      <c r="N411" s="103"/>
      <c r="O411" s="103"/>
      <c r="P411" s="103"/>
      <c r="Q411" s="103"/>
      <c r="R411" s="103"/>
      <c r="T411" s="103"/>
      <c r="U411" s="103"/>
      <c r="V411" s="103"/>
      <c r="Z411" s="103"/>
      <c r="AA411" s="103"/>
      <c r="AB411" s="103"/>
      <c r="AC411" s="103"/>
      <c r="AD411" s="103"/>
      <c r="AE411" s="103"/>
      <c r="AF411" s="103"/>
      <c r="AG411" s="185"/>
      <c r="AH411" s="103"/>
      <c r="AI411" s="103"/>
      <c r="AJ411" s="103"/>
      <c r="AK411" s="185"/>
      <c r="AL411" s="103"/>
      <c r="AM411" s="103"/>
      <c r="AN411" s="103"/>
    </row>
    <row r="412" spans="1:40" x14ac:dyDescent="0.25">
      <c r="A412" s="103"/>
      <c r="C412" s="103"/>
      <c r="D412" s="103"/>
      <c r="E412" s="103"/>
      <c r="F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T412" s="103"/>
      <c r="U412" s="103"/>
      <c r="V412" s="103"/>
      <c r="Y412" s="103"/>
      <c r="Z412" s="103"/>
      <c r="AA412" s="103"/>
      <c r="AB412" s="103"/>
      <c r="AC412" s="103"/>
      <c r="AD412" s="103"/>
      <c r="AE412" s="103"/>
      <c r="AF412" s="103"/>
      <c r="AG412" s="185"/>
      <c r="AH412" s="103"/>
      <c r="AI412" s="103"/>
      <c r="AJ412" s="103"/>
      <c r="AK412" s="185"/>
      <c r="AL412" s="103"/>
      <c r="AM412" s="103"/>
      <c r="AN412" s="103"/>
    </row>
    <row r="413" spans="1:40" x14ac:dyDescent="0.25">
      <c r="C413" s="103"/>
      <c r="D413" s="103"/>
      <c r="E413" s="103"/>
      <c r="F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T413" s="103"/>
      <c r="U413" s="103"/>
      <c r="V413" s="103"/>
      <c r="Y413" s="103"/>
      <c r="Z413" s="103"/>
      <c r="AA413" s="103"/>
      <c r="AB413" s="103"/>
      <c r="AC413" s="103"/>
      <c r="AD413" s="103"/>
      <c r="AE413" s="103"/>
      <c r="AF413" s="103"/>
      <c r="AG413" s="185"/>
      <c r="AH413" s="103"/>
      <c r="AI413" s="103"/>
      <c r="AJ413" s="103"/>
      <c r="AK413" s="185"/>
      <c r="AL413" s="103"/>
      <c r="AM413" s="103"/>
      <c r="AN413" s="103"/>
    </row>
    <row r="414" spans="1:40" x14ac:dyDescent="0.25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208"/>
      <c r="AH414" s="102"/>
      <c r="AI414" s="102"/>
      <c r="AJ414" s="102"/>
      <c r="AK414" s="208"/>
      <c r="AL414" s="102"/>
      <c r="AM414" s="102"/>
      <c r="AN414" s="102"/>
    </row>
    <row r="415" spans="1:40" x14ac:dyDescent="0.25"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Y415" s="103"/>
      <c r="Z415" s="103"/>
      <c r="AA415" s="103"/>
      <c r="AB415" s="103"/>
      <c r="AC415" s="103"/>
      <c r="AD415" s="103"/>
      <c r="AE415" s="103"/>
      <c r="AF415" s="103"/>
      <c r="AG415" s="185"/>
      <c r="AH415" s="103"/>
      <c r="AI415" s="103"/>
      <c r="AJ415" s="103"/>
      <c r="AK415" s="185"/>
      <c r="AL415" s="103"/>
      <c r="AM415" s="103"/>
      <c r="AN415" s="103"/>
    </row>
    <row r="416" spans="1:40" x14ac:dyDescent="0.25">
      <c r="A416" s="202"/>
      <c r="C416" s="154"/>
      <c r="D416" s="154"/>
      <c r="E416" s="154"/>
      <c r="T416" s="154"/>
      <c r="U416" s="154"/>
    </row>
    <row r="417" spans="1:40" x14ac:dyDescent="0.25">
      <c r="A417" s="202"/>
      <c r="D417" s="154"/>
      <c r="E417" s="154"/>
      <c r="U417" s="154"/>
    </row>
    <row r="419" spans="1:40" x14ac:dyDescent="0.25">
      <c r="A419" s="202"/>
      <c r="C419" s="154"/>
      <c r="F419" s="200"/>
      <c r="J419" s="215"/>
      <c r="K419" s="215"/>
      <c r="L419" s="200"/>
      <c r="M419" s="200"/>
      <c r="R419" s="200"/>
      <c r="T419" s="154"/>
      <c r="V419" s="200"/>
      <c r="Z419" s="215"/>
      <c r="AA419" s="200"/>
      <c r="AB419" s="200"/>
      <c r="AG419" s="209"/>
      <c r="AH419" s="200"/>
      <c r="AK419" s="209"/>
      <c r="AL419" s="200"/>
    </row>
    <row r="420" spans="1:40" x14ac:dyDescent="0.25">
      <c r="A420" s="202"/>
      <c r="C420" s="154"/>
      <c r="F420" s="200"/>
      <c r="R420" s="200"/>
      <c r="T420" s="154"/>
      <c r="V420" s="200"/>
      <c r="AG420" s="209"/>
      <c r="AH420" s="200"/>
      <c r="AK420" s="209"/>
      <c r="AL420" s="200"/>
    </row>
    <row r="421" spans="1:40" x14ac:dyDescent="0.25">
      <c r="AI421" s="200"/>
      <c r="AJ421" s="200"/>
      <c r="AK421" s="209"/>
      <c r="AL421" s="200"/>
      <c r="AM421" s="210"/>
      <c r="AN421" s="210"/>
    </row>
    <row r="422" spans="1:40" x14ac:dyDescent="0.25">
      <c r="A422" s="202"/>
      <c r="C422" s="154"/>
      <c r="F422" s="252"/>
      <c r="H422" s="252"/>
      <c r="I422" s="252"/>
      <c r="J422" s="328"/>
      <c r="K422" s="328"/>
      <c r="L422" s="200"/>
      <c r="M422" s="200"/>
      <c r="N422" s="210"/>
      <c r="O422" s="210"/>
      <c r="P422" s="200"/>
      <c r="Q422" s="200"/>
      <c r="R422" s="200"/>
      <c r="T422" s="154"/>
      <c r="V422" s="200"/>
      <c r="Y422" s="200"/>
      <c r="Z422" s="328"/>
      <c r="AA422" s="200"/>
      <c r="AB422" s="200"/>
      <c r="AC422" s="210"/>
      <c r="AD422" s="210"/>
      <c r="AE422" s="200"/>
      <c r="AF422" s="200"/>
      <c r="AG422" s="209"/>
      <c r="AH422" s="201"/>
      <c r="AI422" s="200"/>
      <c r="AJ422" s="200"/>
      <c r="AK422" s="209"/>
      <c r="AL422" s="200"/>
      <c r="AM422" s="210"/>
      <c r="AN422" s="210"/>
    </row>
    <row r="423" spans="1:40" x14ac:dyDescent="0.25">
      <c r="F423" s="200"/>
      <c r="H423" s="200"/>
      <c r="I423" s="200"/>
      <c r="J423" s="213"/>
      <c r="K423" s="213"/>
      <c r="L423" s="200"/>
      <c r="M423" s="200"/>
      <c r="P423" s="200"/>
      <c r="Q423" s="200"/>
      <c r="R423" s="200"/>
      <c r="V423" s="200"/>
      <c r="Y423" s="200"/>
      <c r="Z423" s="213"/>
      <c r="AA423" s="200"/>
      <c r="AB423" s="200"/>
      <c r="AI423" s="200"/>
      <c r="AJ423" s="200"/>
      <c r="AK423" s="209"/>
      <c r="AL423" s="200"/>
      <c r="AM423" s="210"/>
      <c r="AN423" s="210"/>
    </row>
    <row r="424" spans="1:40" x14ac:dyDescent="0.25">
      <c r="F424" s="200"/>
      <c r="R424" s="200"/>
      <c r="V424" s="200"/>
      <c r="AK424" s="209"/>
      <c r="AL424" s="200"/>
      <c r="AM424" s="210"/>
      <c r="AN424" s="210"/>
    </row>
    <row r="425" spans="1:40" x14ac:dyDescent="0.25">
      <c r="A425" s="202"/>
      <c r="C425" s="154"/>
      <c r="F425" s="200"/>
      <c r="J425" s="215"/>
      <c r="K425" s="215"/>
      <c r="L425" s="200"/>
      <c r="M425" s="200"/>
      <c r="N425" s="210"/>
      <c r="O425" s="210"/>
      <c r="R425" s="200"/>
      <c r="T425" s="154"/>
      <c r="V425" s="200"/>
      <c r="Z425" s="215"/>
      <c r="AA425" s="200"/>
      <c r="AB425" s="200"/>
      <c r="AC425" s="210"/>
      <c r="AD425" s="210"/>
      <c r="AK425" s="209"/>
      <c r="AL425" s="200"/>
      <c r="AM425" s="210"/>
      <c r="AN425" s="210"/>
    </row>
    <row r="426" spans="1:40" x14ac:dyDescent="0.25">
      <c r="A426" s="202"/>
      <c r="C426" s="154"/>
      <c r="F426" s="200"/>
      <c r="H426" s="200"/>
      <c r="I426" s="200"/>
      <c r="J426" s="215"/>
      <c r="K426" s="215"/>
      <c r="L426" s="200"/>
      <c r="M426" s="200"/>
      <c r="N426" s="210"/>
      <c r="O426" s="210"/>
      <c r="P426" s="200"/>
      <c r="Q426" s="200"/>
      <c r="R426" s="200"/>
      <c r="T426" s="154"/>
      <c r="V426" s="200"/>
      <c r="Y426" s="200"/>
      <c r="Z426" s="215"/>
      <c r="AA426" s="200"/>
      <c r="AB426" s="200"/>
      <c r="AC426" s="210"/>
      <c r="AD426" s="210"/>
      <c r="AI426" s="200"/>
      <c r="AJ426" s="200"/>
      <c r="AK426" s="209"/>
      <c r="AL426" s="200"/>
      <c r="AM426" s="210"/>
      <c r="AN426" s="210"/>
    </row>
    <row r="427" spans="1:40" x14ac:dyDescent="0.25">
      <c r="A427" s="202"/>
      <c r="C427" s="154"/>
      <c r="T427" s="154"/>
      <c r="AM427" s="210"/>
      <c r="AN427" s="210"/>
    </row>
    <row r="428" spans="1:40" x14ac:dyDescent="0.25">
      <c r="A428" s="202"/>
      <c r="C428" s="154"/>
      <c r="T428" s="154"/>
      <c r="AM428" s="210"/>
      <c r="AN428" s="210"/>
    </row>
    <row r="429" spans="1:40" x14ac:dyDescent="0.25">
      <c r="AM429" s="210"/>
      <c r="AN429" s="210"/>
    </row>
    <row r="430" spans="1:40" x14ac:dyDescent="0.25">
      <c r="A430" s="202"/>
      <c r="C430" s="154"/>
      <c r="F430" s="252"/>
      <c r="H430" s="252"/>
      <c r="I430" s="252"/>
      <c r="J430" s="328"/>
      <c r="K430" s="328"/>
      <c r="L430" s="200"/>
      <c r="M430" s="200"/>
      <c r="N430" s="210"/>
      <c r="O430" s="210"/>
      <c r="P430" s="200"/>
      <c r="Q430" s="200"/>
      <c r="R430" s="200"/>
      <c r="T430" s="154"/>
      <c r="V430" s="200"/>
      <c r="Y430" s="200"/>
      <c r="Z430" s="328"/>
      <c r="AA430" s="200"/>
      <c r="AB430" s="200"/>
      <c r="AC430" s="210"/>
      <c r="AD430" s="210"/>
      <c r="AE430" s="200"/>
      <c r="AF430" s="200"/>
      <c r="AG430" s="209"/>
      <c r="AH430" s="201"/>
      <c r="AI430" s="200"/>
      <c r="AJ430" s="200"/>
      <c r="AK430" s="209"/>
      <c r="AL430" s="200"/>
      <c r="AM430" s="210"/>
      <c r="AN430" s="210"/>
    </row>
    <row r="431" spans="1:40" x14ac:dyDescent="0.25">
      <c r="F431" s="211"/>
      <c r="H431" s="211"/>
      <c r="I431" s="211"/>
      <c r="J431" s="305"/>
      <c r="K431" s="305"/>
      <c r="L431" s="211"/>
      <c r="M431" s="211"/>
      <c r="N431" s="211"/>
      <c r="O431" s="211"/>
      <c r="P431" s="211"/>
      <c r="Q431" s="211"/>
      <c r="R431" s="211"/>
      <c r="V431" s="211"/>
      <c r="Y431" s="211"/>
      <c r="Z431" s="305"/>
      <c r="AA431" s="211"/>
      <c r="AB431" s="211"/>
      <c r="AC431" s="211"/>
      <c r="AD431" s="211"/>
      <c r="AE431" s="211"/>
      <c r="AF431" s="211"/>
      <c r="AI431" s="211"/>
      <c r="AJ431" s="211"/>
      <c r="AK431" s="212"/>
      <c r="AL431" s="211"/>
      <c r="AM431" s="210"/>
      <c r="AN431" s="210"/>
    </row>
    <row r="432" spans="1:40" x14ac:dyDescent="0.25">
      <c r="H432" s="200"/>
      <c r="I432" s="200"/>
      <c r="Y432" s="200"/>
      <c r="AM432" s="210"/>
      <c r="AN432" s="210"/>
    </row>
    <row r="433" spans="1:40" x14ac:dyDescent="0.25">
      <c r="A433" s="202"/>
      <c r="C433" s="154"/>
      <c r="F433" s="200"/>
      <c r="H433" s="200"/>
      <c r="I433" s="200"/>
      <c r="L433" s="200"/>
      <c r="M433" s="200"/>
      <c r="N433" s="210"/>
      <c r="O433" s="210"/>
      <c r="P433" s="252"/>
      <c r="Q433" s="252"/>
      <c r="R433" s="200"/>
      <c r="T433" s="154"/>
      <c r="V433" s="200"/>
      <c r="Y433" s="200"/>
      <c r="AA433" s="200"/>
      <c r="AB433" s="200"/>
      <c r="AC433" s="210"/>
      <c r="AD433" s="210"/>
      <c r="AE433" s="200"/>
      <c r="AF433" s="200"/>
      <c r="AG433" s="209"/>
      <c r="AH433" s="201"/>
      <c r="AI433" s="252"/>
      <c r="AJ433" s="252"/>
      <c r="AK433" s="209"/>
      <c r="AL433" s="200"/>
      <c r="AM433" s="210"/>
      <c r="AN433" s="210"/>
    </row>
    <row r="434" spans="1:40" x14ac:dyDescent="0.25">
      <c r="F434" s="211"/>
      <c r="H434" s="211"/>
      <c r="I434" s="211"/>
      <c r="J434" s="305"/>
      <c r="K434" s="305"/>
      <c r="L434" s="211"/>
      <c r="M434" s="211"/>
      <c r="N434" s="211"/>
      <c r="O434" s="211"/>
      <c r="P434" s="211"/>
      <c r="Q434" s="211"/>
      <c r="R434" s="211"/>
      <c r="V434" s="211"/>
      <c r="Y434" s="211"/>
      <c r="Z434" s="305"/>
      <c r="AA434" s="211"/>
      <c r="AB434" s="211"/>
      <c r="AC434" s="211"/>
      <c r="AD434" s="211"/>
      <c r="AE434" s="211"/>
      <c r="AF434" s="211"/>
      <c r="AI434" s="211"/>
      <c r="AJ434" s="211"/>
      <c r="AK434" s="212"/>
      <c r="AL434" s="211"/>
      <c r="AM434" s="210"/>
      <c r="AN434" s="210"/>
    </row>
    <row r="436" spans="1:40" x14ac:dyDescent="0.25">
      <c r="F436" s="200"/>
      <c r="H436" s="200"/>
      <c r="I436" s="200"/>
      <c r="J436" s="213"/>
      <c r="K436" s="213"/>
      <c r="L436" s="200"/>
      <c r="M436" s="200"/>
      <c r="N436" s="200"/>
      <c r="O436" s="200"/>
      <c r="P436" s="200"/>
      <c r="Q436" s="200"/>
      <c r="R436" s="200"/>
      <c r="V436" s="200"/>
      <c r="Y436" s="200"/>
      <c r="Z436" s="213"/>
      <c r="AA436" s="200"/>
      <c r="AB436" s="200"/>
      <c r="AC436" s="200"/>
      <c r="AD436" s="200"/>
      <c r="AE436" s="200"/>
      <c r="AF436" s="200"/>
      <c r="AG436" s="209"/>
      <c r="AH436" s="200"/>
      <c r="AI436" s="200"/>
      <c r="AJ436" s="200"/>
      <c r="AK436" s="209"/>
      <c r="AL436" s="200"/>
    </row>
    <row r="437" spans="1:40" x14ac:dyDescent="0.25">
      <c r="A437" s="154"/>
    </row>
    <row r="438" spans="1:40" x14ac:dyDescent="0.25">
      <c r="J438" s="202"/>
      <c r="K438" s="202"/>
      <c r="Z438" s="202"/>
    </row>
    <row r="439" spans="1:40" x14ac:dyDescent="0.25">
      <c r="H439" s="154"/>
      <c r="I439" s="154"/>
      <c r="Y439" s="154"/>
    </row>
    <row r="440" spans="1:40" x14ac:dyDescent="0.25">
      <c r="J440" s="202"/>
      <c r="K440" s="202"/>
      <c r="Z440" s="202"/>
    </row>
    <row r="441" spans="1:40" x14ac:dyDescent="0.25">
      <c r="L441" s="154"/>
      <c r="M441" s="154"/>
      <c r="AA441" s="154"/>
      <c r="AB441" s="154"/>
    </row>
    <row r="442" spans="1:40" x14ac:dyDescent="0.25">
      <c r="A442" s="202"/>
      <c r="R442" s="154"/>
      <c r="AK442" s="297"/>
      <c r="AL442" s="154"/>
    </row>
    <row r="443" spans="1:40" x14ac:dyDescent="0.25">
      <c r="A443" s="202"/>
      <c r="R443" s="154"/>
      <c r="AK443" s="297"/>
      <c r="AL443" s="154"/>
    </row>
    <row r="444" spans="1:40" x14ac:dyDescent="0.25">
      <c r="A444" s="154"/>
      <c r="R444" s="154"/>
      <c r="AK444" s="297"/>
      <c r="AL444" s="154"/>
    </row>
    <row r="445" spans="1:40" x14ac:dyDescent="0.25">
      <c r="L445" s="154"/>
      <c r="M445" s="154"/>
      <c r="R445" s="202"/>
      <c r="AA445" s="154"/>
      <c r="AB445" s="154"/>
      <c r="AK445" s="209"/>
      <c r="AL445" s="202"/>
    </row>
    <row r="446" spans="1:40" x14ac:dyDescent="0.25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208"/>
      <c r="AH446" s="102"/>
      <c r="AI446" s="102"/>
      <c r="AJ446" s="102"/>
      <c r="AK446" s="208"/>
      <c r="AL446" s="102"/>
      <c r="AM446" s="102"/>
      <c r="AN446" s="102"/>
    </row>
    <row r="447" spans="1:40" x14ac:dyDescent="0.25">
      <c r="L447" s="103"/>
      <c r="M447" s="103"/>
      <c r="N447" s="103"/>
      <c r="O447" s="103"/>
      <c r="R447" s="103"/>
      <c r="AA447" s="103"/>
      <c r="AB447" s="103"/>
      <c r="AC447" s="103"/>
      <c r="AD447" s="103"/>
      <c r="AE447" s="103"/>
      <c r="AF447" s="103"/>
      <c r="AG447" s="185"/>
      <c r="AH447" s="103"/>
      <c r="AK447" s="185"/>
      <c r="AL447" s="103"/>
      <c r="AM447" s="103"/>
      <c r="AN447" s="103"/>
    </row>
    <row r="448" spans="1:40" x14ac:dyDescent="0.25">
      <c r="L448" s="103"/>
      <c r="M448" s="103"/>
      <c r="N448" s="103"/>
      <c r="O448" s="103"/>
      <c r="R448" s="103"/>
      <c r="Z448" s="103"/>
      <c r="AA448" s="103"/>
      <c r="AB448" s="103"/>
      <c r="AC448" s="103"/>
      <c r="AD448" s="103"/>
      <c r="AE448" s="103"/>
      <c r="AF448" s="103"/>
      <c r="AG448" s="185"/>
      <c r="AH448" s="103"/>
      <c r="AK448" s="185"/>
      <c r="AL448" s="103"/>
      <c r="AM448" s="103"/>
      <c r="AN448" s="103"/>
    </row>
    <row r="449" spans="1:40" x14ac:dyDescent="0.25">
      <c r="A449" s="103"/>
      <c r="C449" s="103"/>
      <c r="D449" s="103"/>
      <c r="E449" s="103"/>
      <c r="F449" s="103"/>
      <c r="J449" s="103"/>
      <c r="K449" s="103"/>
      <c r="L449" s="103"/>
      <c r="M449" s="103"/>
      <c r="N449" s="103"/>
      <c r="O449" s="103"/>
      <c r="P449" s="103"/>
      <c r="Q449" s="103"/>
      <c r="R449" s="103"/>
      <c r="T449" s="103"/>
      <c r="U449" s="103"/>
      <c r="V449" s="103"/>
      <c r="Z449" s="103"/>
      <c r="AA449" s="103"/>
      <c r="AB449" s="103"/>
      <c r="AC449" s="103"/>
      <c r="AD449" s="103"/>
      <c r="AE449" s="103"/>
      <c r="AF449" s="103"/>
      <c r="AG449" s="185"/>
      <c r="AH449" s="103"/>
      <c r="AI449" s="103"/>
      <c r="AJ449" s="103"/>
      <c r="AK449" s="185"/>
      <c r="AL449" s="103"/>
      <c r="AM449" s="103"/>
      <c r="AN449" s="103"/>
    </row>
    <row r="450" spans="1:40" x14ac:dyDescent="0.25">
      <c r="A450" s="103"/>
      <c r="C450" s="103"/>
      <c r="D450" s="103"/>
      <c r="E450" s="103"/>
      <c r="F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T450" s="103"/>
      <c r="U450" s="103"/>
      <c r="V450" s="103"/>
      <c r="Y450" s="103"/>
      <c r="Z450" s="103"/>
      <c r="AA450" s="103"/>
      <c r="AB450" s="103"/>
      <c r="AC450" s="103"/>
      <c r="AD450" s="103"/>
      <c r="AE450" s="103"/>
      <c r="AF450" s="103"/>
      <c r="AG450" s="185"/>
      <c r="AH450" s="103"/>
      <c r="AI450" s="103"/>
      <c r="AJ450" s="103"/>
      <c r="AK450" s="185"/>
      <c r="AL450" s="103"/>
      <c r="AM450" s="103"/>
      <c r="AN450" s="103"/>
    </row>
    <row r="451" spans="1:40" x14ac:dyDescent="0.25">
      <c r="C451" s="103"/>
      <c r="D451" s="103"/>
      <c r="E451" s="103"/>
      <c r="F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T451" s="103"/>
      <c r="U451" s="103"/>
      <c r="V451" s="103"/>
      <c r="Y451" s="103"/>
      <c r="Z451" s="103"/>
      <c r="AA451" s="103"/>
      <c r="AB451" s="103"/>
      <c r="AC451" s="103"/>
      <c r="AD451" s="103"/>
      <c r="AE451" s="103"/>
      <c r="AF451" s="103"/>
      <c r="AG451" s="185"/>
      <c r="AH451" s="103"/>
      <c r="AI451" s="103"/>
      <c r="AJ451" s="103"/>
      <c r="AK451" s="185"/>
      <c r="AL451" s="103"/>
      <c r="AM451" s="103"/>
      <c r="AN451" s="103"/>
    </row>
    <row r="452" spans="1:40" x14ac:dyDescent="0.25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208"/>
      <c r="AH452" s="102"/>
      <c r="AI452" s="102"/>
      <c r="AJ452" s="102"/>
      <c r="AK452" s="208"/>
      <c r="AL452" s="102"/>
      <c r="AM452" s="102"/>
      <c r="AN452" s="102"/>
    </row>
    <row r="453" spans="1:40" x14ac:dyDescent="0.25"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Y453" s="103"/>
      <c r="Z453" s="103"/>
      <c r="AA453" s="103"/>
      <c r="AB453" s="103"/>
      <c r="AC453" s="103"/>
      <c r="AD453" s="103"/>
      <c r="AE453" s="103"/>
      <c r="AF453" s="103"/>
      <c r="AG453" s="185"/>
      <c r="AH453" s="103"/>
      <c r="AI453" s="103"/>
      <c r="AJ453" s="103"/>
      <c r="AK453" s="185"/>
      <c r="AL453" s="103"/>
      <c r="AM453" s="103"/>
      <c r="AN453" s="103"/>
    </row>
    <row r="454" spans="1:40" x14ac:dyDescent="0.25">
      <c r="A454" s="202"/>
      <c r="C454" s="154"/>
      <c r="D454" s="154"/>
      <c r="E454" s="154"/>
      <c r="T454" s="154"/>
      <c r="U454" s="154"/>
      <c r="V454" s="200"/>
      <c r="W454" s="200"/>
      <c r="X454" s="200"/>
      <c r="Y454" s="200"/>
      <c r="Z454" s="328"/>
    </row>
    <row r="456" spans="1:40" x14ac:dyDescent="0.25">
      <c r="A456" s="202"/>
      <c r="C456" s="154"/>
      <c r="T456" s="154"/>
      <c r="V456" s="200"/>
      <c r="W456" s="200"/>
      <c r="X456" s="200"/>
      <c r="Y456" s="200"/>
      <c r="Z456" s="328"/>
    </row>
    <row r="457" spans="1:40" x14ac:dyDescent="0.25">
      <c r="A457" s="202"/>
      <c r="C457" s="154"/>
      <c r="F457" s="252"/>
      <c r="H457" s="252"/>
      <c r="I457" s="252"/>
      <c r="J457" s="329"/>
      <c r="K457" s="329"/>
      <c r="L457" s="200"/>
      <c r="M457" s="200"/>
      <c r="N457" s="210"/>
      <c r="O457" s="210"/>
      <c r="P457" s="200"/>
      <c r="Q457" s="200"/>
      <c r="R457" s="200"/>
      <c r="T457" s="154"/>
      <c r="V457" s="200"/>
      <c r="W457" s="200"/>
      <c r="X457" s="200"/>
      <c r="Y457" s="200"/>
      <c r="Z457" s="329"/>
      <c r="AA457" s="200"/>
      <c r="AB457" s="200"/>
      <c r="AC457" s="210"/>
      <c r="AD457" s="210"/>
      <c r="AE457" s="200"/>
      <c r="AF457" s="200"/>
      <c r="AG457" s="209"/>
      <c r="AH457" s="201"/>
      <c r="AI457" s="200"/>
      <c r="AJ457" s="200"/>
      <c r="AK457" s="209"/>
      <c r="AL457" s="200"/>
      <c r="AM457" s="210"/>
      <c r="AN457" s="210"/>
    </row>
    <row r="458" spans="1:40" x14ac:dyDescent="0.25">
      <c r="A458" s="202"/>
      <c r="C458" s="154"/>
      <c r="F458" s="252"/>
      <c r="H458" s="252"/>
      <c r="I458" s="252"/>
      <c r="J458" s="329"/>
      <c r="K458" s="329"/>
      <c r="L458" s="200"/>
      <c r="M458" s="200"/>
      <c r="N458" s="210"/>
      <c r="O458" s="210"/>
      <c r="P458" s="200"/>
      <c r="Q458" s="200"/>
      <c r="R458" s="200"/>
      <c r="T458" s="154"/>
      <c r="V458" s="200"/>
      <c r="W458" s="200"/>
      <c r="X458" s="200"/>
      <c r="Y458" s="200"/>
      <c r="Z458" s="329"/>
      <c r="AA458" s="200"/>
      <c r="AB458" s="200"/>
      <c r="AC458" s="210"/>
      <c r="AD458" s="210"/>
      <c r="AE458" s="200"/>
      <c r="AF458" s="200"/>
      <c r="AG458" s="209"/>
      <c r="AH458" s="201"/>
      <c r="AI458" s="200"/>
      <c r="AJ458" s="200"/>
      <c r="AK458" s="209"/>
      <c r="AL458" s="200"/>
      <c r="AM458" s="210"/>
      <c r="AN458" s="210"/>
    </row>
    <row r="459" spans="1:40" x14ac:dyDescent="0.25">
      <c r="A459" s="202"/>
      <c r="C459" s="154"/>
      <c r="F459" s="252"/>
      <c r="H459" s="252"/>
      <c r="I459" s="252"/>
      <c r="J459" s="329"/>
      <c r="K459" s="329"/>
      <c r="L459" s="200"/>
      <c r="M459" s="200"/>
      <c r="N459" s="210"/>
      <c r="O459" s="210"/>
      <c r="P459" s="200"/>
      <c r="Q459" s="200"/>
      <c r="R459" s="200"/>
      <c r="T459" s="154"/>
      <c r="V459" s="200"/>
      <c r="W459" s="200"/>
      <c r="X459" s="200"/>
      <c r="Y459" s="200"/>
      <c r="Z459" s="329"/>
      <c r="AA459" s="200"/>
      <c r="AB459" s="200"/>
      <c r="AC459" s="210"/>
      <c r="AD459" s="210"/>
      <c r="AE459" s="200"/>
      <c r="AF459" s="200"/>
      <c r="AG459" s="209"/>
      <c r="AH459" s="201"/>
      <c r="AI459" s="200"/>
      <c r="AJ459" s="200"/>
      <c r="AK459" s="209"/>
      <c r="AL459" s="200"/>
      <c r="AM459" s="210"/>
      <c r="AN459" s="210"/>
    </row>
    <row r="460" spans="1:40" x14ac:dyDescent="0.25">
      <c r="A460" s="202"/>
      <c r="C460" s="154"/>
      <c r="F460" s="252"/>
      <c r="H460" s="252"/>
      <c r="I460" s="252"/>
      <c r="J460" s="329"/>
      <c r="K460" s="329"/>
      <c r="L460" s="200"/>
      <c r="M460" s="200"/>
      <c r="N460" s="210"/>
      <c r="O460" s="210"/>
      <c r="P460" s="200"/>
      <c r="Q460" s="200"/>
      <c r="R460" s="200"/>
      <c r="T460" s="154"/>
      <c r="V460" s="200"/>
      <c r="W460" s="200"/>
      <c r="X460" s="200"/>
      <c r="Y460" s="200"/>
      <c r="Z460" s="329"/>
      <c r="AA460" s="200"/>
      <c r="AB460" s="200"/>
      <c r="AC460" s="210"/>
      <c r="AD460" s="210"/>
      <c r="AE460" s="200"/>
      <c r="AF460" s="200"/>
      <c r="AG460" s="209"/>
      <c r="AH460" s="201"/>
      <c r="AI460" s="200"/>
      <c r="AJ460" s="200"/>
      <c r="AK460" s="209"/>
      <c r="AL460" s="200"/>
      <c r="AM460" s="210"/>
      <c r="AN460" s="210"/>
    </row>
    <row r="461" spans="1:40" x14ac:dyDescent="0.25">
      <c r="J461" s="334"/>
      <c r="K461" s="334"/>
      <c r="V461" s="200"/>
      <c r="W461" s="200"/>
      <c r="X461" s="200"/>
      <c r="Y461" s="200"/>
      <c r="Z461" s="329"/>
    </row>
    <row r="462" spans="1:40" x14ac:dyDescent="0.25">
      <c r="A462" s="202"/>
      <c r="C462" s="154"/>
      <c r="F462" s="252"/>
      <c r="H462" s="252"/>
      <c r="I462" s="252"/>
      <c r="J462" s="329"/>
      <c r="K462" s="329"/>
      <c r="L462" s="200"/>
      <c r="M462" s="200"/>
      <c r="N462" s="210"/>
      <c r="O462" s="210"/>
      <c r="P462" s="200"/>
      <c r="Q462" s="200"/>
      <c r="R462" s="200"/>
      <c r="T462" s="154"/>
      <c r="V462" s="200"/>
      <c r="W462" s="200"/>
      <c r="X462" s="200"/>
      <c r="Y462" s="200"/>
      <c r="Z462" s="329"/>
      <c r="AA462" s="200"/>
      <c r="AB462" s="200"/>
      <c r="AC462" s="210"/>
      <c r="AD462" s="210"/>
      <c r="AE462" s="200"/>
      <c r="AF462" s="200"/>
      <c r="AG462" s="209"/>
      <c r="AH462" s="201"/>
      <c r="AI462" s="200"/>
      <c r="AJ462" s="200"/>
      <c r="AK462" s="209"/>
      <c r="AL462" s="200"/>
      <c r="AM462" s="201"/>
      <c r="AN462" s="201"/>
    </row>
    <row r="463" spans="1:40" x14ac:dyDescent="0.25">
      <c r="A463" s="202"/>
      <c r="C463" s="154"/>
      <c r="J463" s="334"/>
      <c r="K463" s="334"/>
      <c r="T463" s="154"/>
      <c r="V463" s="200"/>
      <c r="W463" s="200"/>
      <c r="X463" s="200"/>
      <c r="Y463" s="200"/>
      <c r="Z463" s="329"/>
    </row>
    <row r="464" spans="1:40" x14ac:dyDescent="0.25">
      <c r="A464" s="202"/>
      <c r="C464" s="154"/>
      <c r="F464" s="252"/>
      <c r="H464" s="252"/>
      <c r="I464" s="252"/>
      <c r="J464" s="329"/>
      <c r="K464" s="329"/>
      <c r="L464" s="200"/>
      <c r="M464" s="200"/>
      <c r="N464" s="210"/>
      <c r="O464" s="210"/>
      <c r="P464" s="200"/>
      <c r="Q464" s="200"/>
      <c r="R464" s="200"/>
      <c r="T464" s="154"/>
      <c r="V464" s="200"/>
      <c r="W464" s="200"/>
      <c r="X464" s="200"/>
      <c r="Y464" s="200"/>
      <c r="Z464" s="329"/>
      <c r="AA464" s="200"/>
      <c r="AB464" s="200"/>
      <c r="AC464" s="210"/>
      <c r="AD464" s="210"/>
      <c r="AE464" s="200"/>
      <c r="AF464" s="200"/>
      <c r="AG464" s="209"/>
      <c r="AH464" s="201"/>
      <c r="AI464" s="200"/>
      <c r="AJ464" s="200"/>
      <c r="AK464" s="209"/>
      <c r="AL464" s="200"/>
      <c r="AM464" s="201"/>
      <c r="AN464" s="201"/>
    </row>
    <row r="465" spans="1:40" x14ac:dyDescent="0.25">
      <c r="J465" s="334"/>
      <c r="K465" s="334"/>
      <c r="Z465" s="334"/>
    </row>
    <row r="466" spans="1:40" x14ac:dyDescent="0.25">
      <c r="A466" s="202"/>
      <c r="C466" s="154"/>
      <c r="J466" s="334"/>
      <c r="K466" s="334"/>
      <c r="T466" s="154"/>
      <c r="V466" s="200"/>
      <c r="W466" s="200"/>
      <c r="X466" s="200"/>
      <c r="Y466" s="200"/>
      <c r="Z466" s="329"/>
    </row>
    <row r="467" spans="1:40" x14ac:dyDescent="0.25">
      <c r="A467" s="202"/>
      <c r="C467" s="154"/>
      <c r="F467" s="252"/>
      <c r="H467" s="252"/>
      <c r="I467" s="252"/>
      <c r="J467" s="329"/>
      <c r="K467" s="329"/>
      <c r="L467" s="200"/>
      <c r="M467" s="200"/>
      <c r="N467" s="210"/>
      <c r="O467" s="210"/>
      <c r="P467" s="200"/>
      <c r="Q467" s="200"/>
      <c r="R467" s="200"/>
      <c r="T467" s="154"/>
      <c r="V467" s="200"/>
      <c r="W467" s="200"/>
      <c r="X467" s="200"/>
      <c r="Y467" s="200"/>
      <c r="Z467" s="329"/>
      <c r="AA467" s="200"/>
      <c r="AB467" s="200"/>
      <c r="AC467" s="210"/>
      <c r="AD467" s="210"/>
      <c r="AE467" s="200"/>
      <c r="AF467" s="200"/>
      <c r="AG467" s="209"/>
      <c r="AH467" s="201"/>
      <c r="AI467" s="200"/>
      <c r="AJ467" s="200"/>
      <c r="AK467" s="209"/>
      <c r="AL467" s="200"/>
      <c r="AM467" s="201"/>
      <c r="AN467" s="201"/>
    </row>
    <row r="468" spans="1:40" x14ac:dyDescent="0.25">
      <c r="A468" s="202"/>
      <c r="C468" s="154"/>
      <c r="F468" s="252"/>
      <c r="H468" s="252"/>
      <c r="I468" s="252"/>
      <c r="J468" s="329"/>
      <c r="K468" s="329"/>
      <c r="L468" s="200"/>
      <c r="M468" s="200"/>
      <c r="N468" s="210"/>
      <c r="O468" s="210"/>
      <c r="P468" s="200"/>
      <c r="Q468" s="200"/>
      <c r="R468" s="200"/>
      <c r="T468" s="154"/>
      <c r="V468" s="200"/>
      <c r="W468" s="200"/>
      <c r="X468" s="200"/>
      <c r="Y468" s="200"/>
      <c r="Z468" s="329"/>
      <c r="AA468" s="200"/>
      <c r="AB468" s="200"/>
      <c r="AC468" s="210"/>
      <c r="AD468" s="210"/>
      <c r="AE468" s="200"/>
      <c r="AF468" s="200"/>
      <c r="AG468" s="209"/>
      <c r="AH468" s="201"/>
      <c r="AI468" s="200"/>
      <c r="AJ468" s="200"/>
      <c r="AK468" s="209"/>
      <c r="AL468" s="200"/>
      <c r="AM468" s="201"/>
      <c r="AN468" s="201"/>
    </row>
    <row r="469" spans="1:40" x14ac:dyDescent="0.25">
      <c r="F469" s="211"/>
      <c r="H469" s="211"/>
      <c r="I469" s="211"/>
      <c r="J469" s="329"/>
      <c r="K469" s="329"/>
      <c r="L469" s="211"/>
      <c r="M469" s="211"/>
      <c r="N469" s="211"/>
      <c r="O469" s="211"/>
      <c r="P469" s="211"/>
      <c r="Q469" s="211"/>
      <c r="R469" s="211"/>
      <c r="V469" s="211"/>
      <c r="Y469" s="211"/>
      <c r="Z469" s="305"/>
      <c r="AA469" s="211"/>
      <c r="AB469" s="211"/>
      <c r="AC469" s="211"/>
      <c r="AD469" s="211"/>
      <c r="AE469" s="211"/>
      <c r="AF469" s="211"/>
      <c r="AI469" s="211"/>
      <c r="AJ469" s="211"/>
      <c r="AK469" s="212"/>
      <c r="AL469" s="211"/>
    </row>
    <row r="470" spans="1:40" x14ac:dyDescent="0.25">
      <c r="A470" s="202"/>
      <c r="C470" s="154"/>
      <c r="F470" s="200"/>
      <c r="H470" s="200"/>
      <c r="I470" s="200"/>
      <c r="L470" s="200"/>
      <c r="M470" s="200"/>
      <c r="N470" s="210"/>
      <c r="O470" s="210"/>
      <c r="P470" s="252"/>
      <c r="Q470" s="252"/>
      <c r="R470" s="200"/>
      <c r="T470" s="154"/>
      <c r="V470" s="200"/>
      <c r="W470" s="200"/>
      <c r="X470" s="200"/>
      <c r="Y470" s="200"/>
      <c r="Z470" s="328"/>
      <c r="AA470" s="200"/>
      <c r="AB470" s="200"/>
      <c r="AC470" s="210"/>
      <c r="AD470" s="210"/>
      <c r="AE470" s="200"/>
      <c r="AF470" s="200"/>
      <c r="AG470" s="209"/>
      <c r="AH470" s="201"/>
      <c r="AI470" s="252"/>
      <c r="AJ470" s="252"/>
      <c r="AK470" s="209"/>
      <c r="AL470" s="200"/>
      <c r="AM470" s="201"/>
      <c r="AN470" s="201"/>
    </row>
    <row r="471" spans="1:40" x14ac:dyDescent="0.25">
      <c r="F471" s="211"/>
      <c r="H471" s="211"/>
      <c r="I471" s="211"/>
      <c r="J471" s="305"/>
      <c r="K471" s="305"/>
      <c r="L471" s="211"/>
      <c r="M471" s="211"/>
      <c r="N471" s="211"/>
      <c r="O471" s="211"/>
      <c r="P471" s="211"/>
      <c r="Q471" s="211"/>
      <c r="R471" s="211"/>
      <c r="V471" s="211"/>
      <c r="Y471" s="211"/>
      <c r="Z471" s="305"/>
      <c r="AA471" s="211"/>
      <c r="AB471" s="211"/>
      <c r="AC471" s="211"/>
      <c r="AD471" s="211"/>
      <c r="AE471" s="211"/>
      <c r="AF471" s="211"/>
      <c r="AI471" s="211"/>
      <c r="AJ471" s="211"/>
      <c r="AK471" s="212"/>
      <c r="AL471" s="211"/>
    </row>
    <row r="473" spans="1:40" x14ac:dyDescent="0.25">
      <c r="C473" s="202"/>
      <c r="T473" s="202"/>
    </row>
    <row r="474" spans="1:40" x14ac:dyDescent="0.25">
      <c r="A474" s="154"/>
    </row>
    <row r="475" spans="1:40" x14ac:dyDescent="0.25">
      <c r="J475" s="202"/>
      <c r="K475" s="202"/>
      <c r="Z475" s="202"/>
    </row>
    <row r="476" spans="1:40" x14ac:dyDescent="0.25">
      <c r="H476" s="154"/>
      <c r="I476" s="154"/>
      <c r="Y476" s="154"/>
    </row>
    <row r="477" spans="1:40" x14ac:dyDescent="0.25">
      <c r="J477" s="202"/>
      <c r="K477" s="202"/>
      <c r="Z477" s="202"/>
    </row>
    <row r="478" spans="1:40" x14ac:dyDescent="0.25">
      <c r="L478" s="154"/>
      <c r="M478" s="154"/>
      <c r="AA478" s="154"/>
      <c r="AB478" s="154"/>
    </row>
    <row r="479" spans="1:40" x14ac:dyDescent="0.25">
      <c r="A479" s="202"/>
      <c r="R479" s="154"/>
      <c r="AK479" s="297"/>
      <c r="AL479" s="154"/>
    </row>
    <row r="480" spans="1:40" x14ac:dyDescent="0.25">
      <c r="A480" s="202"/>
      <c r="R480" s="154"/>
      <c r="AK480" s="297"/>
      <c r="AL480" s="154"/>
    </row>
    <row r="481" spans="1:40" x14ac:dyDescent="0.25">
      <c r="A481" s="154"/>
      <c r="R481" s="154"/>
      <c r="AK481" s="297"/>
      <c r="AL481" s="154"/>
    </row>
    <row r="482" spans="1:40" x14ac:dyDescent="0.25">
      <c r="L482" s="154"/>
      <c r="M482" s="154"/>
      <c r="R482" s="202"/>
      <c r="AA482" s="154"/>
      <c r="AB482" s="154"/>
      <c r="AK482" s="209"/>
      <c r="AL482" s="202"/>
    </row>
    <row r="483" spans="1:40" x14ac:dyDescent="0.25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208"/>
      <c r="AH483" s="102"/>
      <c r="AI483" s="102"/>
      <c r="AJ483" s="102"/>
      <c r="AK483" s="208"/>
      <c r="AL483" s="102"/>
      <c r="AM483" s="102"/>
      <c r="AN483" s="102"/>
    </row>
    <row r="484" spans="1:40" x14ac:dyDescent="0.25">
      <c r="L484" s="103"/>
      <c r="M484" s="103"/>
      <c r="N484" s="103"/>
      <c r="O484" s="103"/>
      <c r="R484" s="103"/>
      <c r="AA484" s="103"/>
      <c r="AB484" s="103"/>
      <c r="AC484" s="103"/>
      <c r="AD484" s="103"/>
      <c r="AE484" s="103"/>
      <c r="AF484" s="103"/>
      <c r="AG484" s="185"/>
      <c r="AH484" s="103"/>
      <c r="AK484" s="185"/>
      <c r="AL484" s="103"/>
      <c r="AM484" s="103"/>
      <c r="AN484" s="103"/>
    </row>
    <row r="485" spans="1:40" x14ac:dyDescent="0.25">
      <c r="L485" s="103"/>
      <c r="M485" s="103"/>
      <c r="N485" s="103"/>
      <c r="O485" s="103"/>
      <c r="R485" s="103"/>
      <c r="Z485" s="103"/>
      <c r="AA485" s="103"/>
      <c r="AB485" s="103"/>
      <c r="AC485" s="103"/>
      <c r="AD485" s="103"/>
      <c r="AE485" s="103"/>
      <c r="AF485" s="103"/>
      <c r="AG485" s="185"/>
      <c r="AH485" s="103"/>
      <c r="AK485" s="185"/>
      <c r="AL485" s="103"/>
      <c r="AM485" s="103"/>
      <c r="AN485" s="103"/>
    </row>
    <row r="486" spans="1:40" x14ac:dyDescent="0.25">
      <c r="A486" s="103"/>
      <c r="C486" s="103"/>
      <c r="D486" s="103"/>
      <c r="E486" s="103"/>
      <c r="F486" s="103"/>
      <c r="J486" s="103"/>
      <c r="K486" s="103"/>
      <c r="L486" s="103"/>
      <c r="M486" s="103"/>
      <c r="N486" s="103"/>
      <c r="O486" s="103"/>
      <c r="P486" s="103"/>
      <c r="Q486" s="103"/>
      <c r="R486" s="103"/>
      <c r="T486" s="103"/>
      <c r="U486" s="103"/>
      <c r="V486" s="103"/>
      <c r="Z486" s="103"/>
      <c r="AA486" s="103"/>
      <c r="AB486" s="103"/>
      <c r="AC486" s="103"/>
      <c r="AD486" s="103"/>
      <c r="AE486" s="103"/>
      <c r="AF486" s="103"/>
      <c r="AG486" s="185"/>
      <c r="AH486" s="103"/>
      <c r="AI486" s="103"/>
      <c r="AJ486" s="103"/>
      <c r="AK486" s="185"/>
      <c r="AL486" s="103"/>
      <c r="AM486" s="103"/>
      <c r="AN486" s="103"/>
    </row>
    <row r="487" spans="1:40" x14ac:dyDescent="0.25">
      <c r="A487" s="103"/>
      <c r="C487" s="103"/>
      <c r="D487" s="103"/>
      <c r="E487" s="103"/>
      <c r="F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T487" s="103"/>
      <c r="U487" s="103"/>
      <c r="V487" s="103"/>
      <c r="Y487" s="103"/>
      <c r="Z487" s="103"/>
      <c r="AA487" s="103"/>
      <c r="AB487" s="103"/>
      <c r="AC487" s="103"/>
      <c r="AD487" s="103"/>
      <c r="AE487" s="103"/>
      <c r="AF487" s="103"/>
      <c r="AG487" s="185"/>
      <c r="AH487" s="103"/>
      <c r="AI487" s="103"/>
      <c r="AJ487" s="103"/>
      <c r="AK487" s="185"/>
      <c r="AL487" s="103"/>
      <c r="AM487" s="103"/>
      <c r="AN487" s="103"/>
    </row>
    <row r="488" spans="1:40" x14ac:dyDescent="0.25">
      <c r="C488" s="103"/>
      <c r="D488" s="103"/>
      <c r="E488" s="103"/>
      <c r="F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T488" s="103"/>
      <c r="U488" s="103"/>
      <c r="V488" s="103"/>
      <c r="Y488" s="103"/>
      <c r="Z488" s="103"/>
      <c r="AA488" s="103"/>
      <c r="AB488" s="103"/>
      <c r="AC488" s="103"/>
      <c r="AD488" s="103"/>
      <c r="AE488" s="103"/>
      <c r="AF488" s="103"/>
      <c r="AG488" s="185"/>
      <c r="AH488" s="103"/>
      <c r="AI488" s="103"/>
      <c r="AJ488" s="103"/>
      <c r="AK488" s="185"/>
      <c r="AL488" s="103"/>
      <c r="AM488" s="103"/>
      <c r="AN488" s="103"/>
    </row>
    <row r="489" spans="1:40" x14ac:dyDescent="0.25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208"/>
      <c r="AH489" s="102"/>
      <c r="AI489" s="102"/>
      <c r="AJ489" s="102"/>
      <c r="AK489" s="208"/>
      <c r="AL489" s="102"/>
      <c r="AM489" s="102"/>
      <c r="AN489" s="102"/>
    </row>
    <row r="490" spans="1:40" x14ac:dyDescent="0.25"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Y490" s="103"/>
      <c r="Z490" s="103"/>
      <c r="AA490" s="103"/>
      <c r="AB490" s="103"/>
      <c r="AC490" s="103"/>
      <c r="AD490" s="103"/>
      <c r="AE490" s="103"/>
      <c r="AF490" s="103"/>
      <c r="AG490" s="185"/>
      <c r="AH490" s="103"/>
      <c r="AI490" s="103"/>
      <c r="AJ490" s="103"/>
      <c r="AK490" s="185"/>
      <c r="AL490" s="103"/>
      <c r="AM490" s="103"/>
      <c r="AN490" s="103"/>
    </row>
    <row r="491" spans="1:40" x14ac:dyDescent="0.25">
      <c r="A491" s="202"/>
      <c r="C491" s="154"/>
      <c r="D491" s="154"/>
      <c r="E491" s="154"/>
      <c r="T491" s="154"/>
      <c r="U491" s="154"/>
    </row>
    <row r="493" spans="1:40" x14ac:dyDescent="0.25">
      <c r="A493" s="202"/>
      <c r="C493" s="154"/>
      <c r="T493" s="154"/>
    </row>
    <row r="494" spans="1:40" x14ac:dyDescent="0.25">
      <c r="A494" s="202"/>
      <c r="C494" s="154"/>
      <c r="T494" s="154"/>
    </row>
    <row r="495" spans="1:40" x14ac:dyDescent="0.25">
      <c r="A495" s="202"/>
      <c r="C495" s="154"/>
      <c r="F495" s="252"/>
      <c r="H495" s="252"/>
      <c r="I495" s="252"/>
      <c r="J495" s="329"/>
      <c r="K495" s="329"/>
      <c r="L495" s="200"/>
      <c r="M495" s="200"/>
      <c r="N495" s="210"/>
      <c r="O495" s="210"/>
      <c r="P495" s="200"/>
      <c r="Q495" s="200"/>
      <c r="R495" s="200"/>
      <c r="T495" s="154"/>
      <c r="V495" s="200"/>
      <c r="W495" s="200"/>
      <c r="X495" s="200"/>
      <c r="Y495" s="200"/>
      <c r="Z495" s="329"/>
      <c r="AA495" s="200"/>
      <c r="AB495" s="200"/>
      <c r="AC495" s="210"/>
      <c r="AD495" s="210"/>
      <c r="AE495" s="200"/>
      <c r="AF495" s="200"/>
      <c r="AG495" s="209"/>
      <c r="AH495" s="201"/>
      <c r="AI495" s="200"/>
      <c r="AJ495" s="200"/>
      <c r="AK495" s="209"/>
      <c r="AL495" s="200"/>
      <c r="AM495" s="201"/>
      <c r="AN495" s="201"/>
    </row>
    <row r="496" spans="1:40" x14ac:dyDescent="0.25">
      <c r="A496" s="202"/>
      <c r="C496" s="154"/>
      <c r="F496" s="200"/>
      <c r="H496" s="200"/>
      <c r="I496" s="200"/>
      <c r="J496" s="334"/>
      <c r="K496" s="334"/>
      <c r="L496" s="200"/>
      <c r="M496" s="200"/>
      <c r="N496" s="210"/>
      <c r="O496" s="210"/>
      <c r="P496" s="200"/>
      <c r="Q496" s="200"/>
      <c r="R496" s="200"/>
      <c r="T496" s="154"/>
      <c r="V496" s="200"/>
      <c r="W496" s="200"/>
      <c r="X496" s="200"/>
      <c r="Y496" s="200"/>
      <c r="Z496" s="334"/>
      <c r="AA496" s="200"/>
      <c r="AB496" s="200"/>
      <c r="AC496" s="210"/>
      <c r="AD496" s="210"/>
      <c r="AE496" s="200"/>
      <c r="AF496" s="200"/>
      <c r="AG496" s="209"/>
      <c r="AH496" s="201"/>
      <c r="AI496" s="200"/>
      <c r="AJ496" s="200"/>
      <c r="AK496" s="209"/>
      <c r="AL496" s="200"/>
      <c r="AM496" s="201"/>
      <c r="AN496" s="201"/>
    </row>
    <row r="497" spans="1:40" x14ac:dyDescent="0.25">
      <c r="A497" s="202"/>
      <c r="C497" s="154"/>
      <c r="F497" s="200"/>
      <c r="H497" s="200"/>
      <c r="I497" s="200"/>
      <c r="J497" s="334"/>
      <c r="K497" s="334"/>
      <c r="L497" s="200"/>
      <c r="M497" s="200"/>
      <c r="N497" s="210"/>
      <c r="O497" s="210"/>
      <c r="P497" s="200"/>
      <c r="Q497" s="200"/>
      <c r="R497" s="200"/>
      <c r="T497" s="154"/>
      <c r="V497" s="200"/>
      <c r="W497" s="200"/>
      <c r="X497" s="200"/>
      <c r="Y497" s="200"/>
      <c r="Z497" s="334"/>
      <c r="AA497" s="200"/>
      <c r="AB497" s="200"/>
      <c r="AC497" s="210"/>
      <c r="AD497" s="210"/>
      <c r="AE497" s="200"/>
      <c r="AF497" s="200"/>
      <c r="AG497" s="209"/>
      <c r="AH497" s="201"/>
      <c r="AI497" s="200"/>
      <c r="AJ497" s="200"/>
      <c r="AK497" s="209"/>
      <c r="AL497" s="200"/>
      <c r="AM497" s="201"/>
      <c r="AN497" s="201"/>
    </row>
    <row r="498" spans="1:40" x14ac:dyDescent="0.25">
      <c r="A498" s="202"/>
      <c r="C498" s="154"/>
      <c r="F498" s="200"/>
      <c r="H498" s="200"/>
      <c r="I498" s="200"/>
      <c r="J498" s="334"/>
      <c r="K498" s="334"/>
      <c r="T498" s="154"/>
      <c r="V498" s="200"/>
      <c r="Z498" s="334"/>
    </row>
    <row r="499" spans="1:40" x14ac:dyDescent="0.25">
      <c r="A499" s="202"/>
      <c r="C499" s="154"/>
      <c r="F499" s="252"/>
      <c r="H499" s="252"/>
      <c r="I499" s="252"/>
      <c r="J499" s="329"/>
      <c r="K499" s="329"/>
      <c r="L499" s="200"/>
      <c r="M499" s="200"/>
      <c r="N499" s="210"/>
      <c r="O499" s="210"/>
      <c r="P499" s="200"/>
      <c r="Q499" s="200"/>
      <c r="R499" s="200"/>
      <c r="T499" s="154"/>
      <c r="V499" s="200"/>
      <c r="W499" s="200"/>
      <c r="X499" s="200"/>
      <c r="Y499" s="200"/>
      <c r="Z499" s="329"/>
      <c r="AA499" s="200"/>
      <c r="AB499" s="200"/>
      <c r="AC499" s="210"/>
      <c r="AD499" s="210"/>
      <c r="AE499" s="200"/>
      <c r="AF499" s="200"/>
      <c r="AG499" s="209"/>
      <c r="AH499" s="201"/>
      <c r="AI499" s="200"/>
      <c r="AJ499" s="200"/>
      <c r="AK499" s="209"/>
      <c r="AL499" s="200"/>
      <c r="AM499" s="201"/>
      <c r="AN499" s="201"/>
    </row>
    <row r="500" spans="1:40" x14ac:dyDescent="0.25">
      <c r="A500" s="202"/>
      <c r="C500" s="154"/>
      <c r="F500" s="200"/>
      <c r="H500" s="200"/>
      <c r="I500" s="200"/>
      <c r="J500" s="334"/>
      <c r="K500" s="334"/>
      <c r="T500" s="154"/>
      <c r="V500" s="200"/>
      <c r="W500" s="200"/>
      <c r="X500" s="200"/>
      <c r="Y500" s="200"/>
      <c r="Z500" s="334"/>
      <c r="AC500" s="210"/>
      <c r="AD500" s="210"/>
      <c r="AE500" s="200"/>
      <c r="AF500" s="200"/>
      <c r="AG500" s="209"/>
      <c r="AH500" s="201"/>
      <c r="AI500" s="200"/>
      <c r="AJ500" s="200"/>
      <c r="AK500" s="209"/>
      <c r="AL500" s="200"/>
      <c r="AM500" s="201"/>
      <c r="AN500" s="201"/>
    </row>
    <row r="501" spans="1:40" x14ac:dyDescent="0.25">
      <c r="A501" s="202"/>
      <c r="C501" s="154"/>
      <c r="F501" s="252"/>
      <c r="H501" s="252"/>
      <c r="I501" s="252"/>
      <c r="J501" s="329"/>
      <c r="K501" s="329"/>
      <c r="L501" s="200"/>
      <c r="M501" s="200"/>
      <c r="N501" s="210"/>
      <c r="O501" s="210"/>
      <c r="P501" s="200"/>
      <c r="Q501" s="200"/>
      <c r="R501" s="200"/>
      <c r="T501" s="154"/>
      <c r="V501" s="200"/>
      <c r="W501" s="200"/>
      <c r="X501" s="200"/>
      <c r="Y501" s="200"/>
      <c r="Z501" s="329"/>
      <c r="AA501" s="200"/>
      <c r="AB501" s="200"/>
      <c r="AC501" s="210"/>
      <c r="AD501" s="210"/>
      <c r="AE501" s="200"/>
      <c r="AF501" s="200"/>
      <c r="AG501" s="209"/>
      <c r="AH501" s="201"/>
      <c r="AI501" s="200"/>
      <c r="AJ501" s="200"/>
      <c r="AK501" s="209"/>
      <c r="AL501" s="200"/>
      <c r="AM501" s="201"/>
      <c r="AN501" s="201"/>
    </row>
    <row r="502" spans="1:40" x14ac:dyDescent="0.25">
      <c r="A502" s="202"/>
      <c r="C502" s="154"/>
      <c r="F502" s="200"/>
      <c r="H502" s="200"/>
      <c r="I502" s="200"/>
      <c r="J502" s="334"/>
      <c r="K502" s="334"/>
      <c r="L502" s="200"/>
      <c r="M502" s="200"/>
      <c r="N502" s="210"/>
      <c r="O502" s="210"/>
      <c r="P502" s="200"/>
      <c r="Q502" s="200"/>
      <c r="R502" s="200"/>
      <c r="T502" s="154"/>
      <c r="V502" s="200"/>
      <c r="W502" s="200"/>
      <c r="X502" s="200"/>
      <c r="Y502" s="200"/>
      <c r="Z502" s="334"/>
      <c r="AA502" s="200"/>
      <c r="AB502" s="200"/>
      <c r="AC502" s="210"/>
      <c r="AD502" s="210"/>
      <c r="AE502" s="200"/>
      <c r="AF502" s="200"/>
      <c r="AG502" s="209"/>
      <c r="AH502" s="201"/>
      <c r="AI502" s="200"/>
      <c r="AJ502" s="200"/>
      <c r="AK502" s="209"/>
      <c r="AL502" s="200"/>
      <c r="AM502" s="201"/>
      <c r="AN502" s="201"/>
    </row>
    <row r="503" spans="1:40" x14ac:dyDescent="0.25">
      <c r="F503" s="200"/>
      <c r="H503" s="200"/>
      <c r="I503" s="200"/>
      <c r="J503" s="334"/>
      <c r="K503" s="334"/>
      <c r="Z503" s="334"/>
    </row>
    <row r="504" spans="1:40" x14ac:dyDescent="0.25">
      <c r="A504" s="202"/>
      <c r="C504" s="154"/>
      <c r="F504" s="200"/>
      <c r="H504" s="252"/>
      <c r="I504" s="252"/>
      <c r="J504" s="329"/>
      <c r="K504" s="329"/>
      <c r="L504" s="200"/>
      <c r="M504" s="200"/>
      <c r="N504" s="210"/>
      <c r="O504" s="210"/>
      <c r="P504" s="200"/>
      <c r="Q504" s="200"/>
      <c r="R504" s="200"/>
      <c r="T504" s="154"/>
      <c r="V504" s="200"/>
      <c r="W504" s="200"/>
      <c r="X504" s="200"/>
      <c r="Y504" s="200"/>
      <c r="Z504" s="329"/>
      <c r="AA504" s="200"/>
      <c r="AB504" s="200"/>
      <c r="AC504" s="210"/>
      <c r="AD504" s="210"/>
      <c r="AE504" s="200"/>
      <c r="AF504" s="200"/>
      <c r="AG504" s="209"/>
      <c r="AH504" s="201"/>
      <c r="AI504" s="200"/>
      <c r="AJ504" s="200"/>
      <c r="AK504" s="209"/>
      <c r="AL504" s="200"/>
      <c r="AM504" s="201"/>
      <c r="AN504" s="201"/>
    </row>
    <row r="505" spans="1:40" x14ac:dyDescent="0.25">
      <c r="F505" s="211"/>
      <c r="H505" s="211"/>
      <c r="I505" s="211"/>
      <c r="J505" s="329"/>
      <c r="K505" s="329"/>
      <c r="L505" s="211"/>
      <c r="M505" s="211"/>
      <c r="N505" s="211"/>
      <c r="O505" s="211"/>
      <c r="P505" s="211"/>
      <c r="Q505" s="211"/>
      <c r="R505" s="211"/>
      <c r="V505" s="211"/>
      <c r="Y505" s="211"/>
      <c r="Z505" s="329"/>
      <c r="AA505" s="211"/>
      <c r="AB505" s="211"/>
      <c r="AC505" s="211"/>
      <c r="AD505" s="211"/>
      <c r="AE505" s="211"/>
      <c r="AF505" s="211"/>
      <c r="AI505" s="211"/>
      <c r="AJ505" s="211"/>
      <c r="AK505" s="212"/>
      <c r="AL505" s="211"/>
    </row>
    <row r="506" spans="1:40" x14ac:dyDescent="0.25">
      <c r="A506" s="202"/>
      <c r="C506" s="154"/>
      <c r="F506" s="200"/>
      <c r="H506" s="200"/>
      <c r="I506" s="200"/>
      <c r="J506" s="334"/>
      <c r="K506" s="334"/>
      <c r="L506" s="200"/>
      <c r="M506" s="200"/>
      <c r="N506" s="202"/>
      <c r="O506" s="202"/>
      <c r="P506" s="200"/>
      <c r="Q506" s="200"/>
      <c r="R506" s="200"/>
      <c r="T506" s="154"/>
      <c r="V506" s="200"/>
      <c r="Y506" s="200"/>
      <c r="Z506" s="334"/>
      <c r="AA506" s="200"/>
      <c r="AB506" s="200"/>
      <c r="AC506" s="201"/>
      <c r="AD506" s="201"/>
      <c r="AE506" s="200"/>
      <c r="AF506" s="200"/>
      <c r="AG506" s="209"/>
      <c r="AH506" s="201"/>
      <c r="AI506" s="200"/>
      <c r="AJ506" s="200"/>
      <c r="AK506" s="209"/>
      <c r="AL506" s="200"/>
      <c r="AM506" s="201"/>
      <c r="AN506" s="201"/>
    </row>
    <row r="507" spans="1:40" x14ac:dyDescent="0.25">
      <c r="F507" s="211"/>
      <c r="H507" s="211"/>
      <c r="I507" s="211"/>
      <c r="J507" s="329"/>
      <c r="K507" s="329"/>
      <c r="L507" s="211"/>
      <c r="M507" s="211"/>
      <c r="N507" s="211"/>
      <c r="O507" s="211"/>
      <c r="P507" s="211"/>
      <c r="Q507" s="211"/>
      <c r="R507" s="211"/>
      <c r="V507" s="211"/>
      <c r="Y507" s="211"/>
      <c r="Z507" s="329"/>
      <c r="AA507" s="211"/>
      <c r="AB507" s="211"/>
      <c r="AC507" s="211"/>
      <c r="AD507" s="211"/>
      <c r="AE507" s="211"/>
      <c r="AF507" s="211"/>
      <c r="AI507" s="211"/>
      <c r="AJ507" s="211"/>
      <c r="AK507" s="212"/>
      <c r="AL507" s="211"/>
    </row>
    <row r="508" spans="1:40" x14ac:dyDescent="0.25">
      <c r="J508" s="334"/>
      <c r="K508" s="334"/>
      <c r="Z508" s="334"/>
    </row>
    <row r="509" spans="1:40" x14ac:dyDescent="0.25">
      <c r="A509" s="202"/>
      <c r="C509" s="154"/>
      <c r="J509" s="334"/>
      <c r="K509" s="334"/>
      <c r="T509" s="154"/>
      <c r="Z509" s="334"/>
    </row>
    <row r="510" spans="1:40" x14ac:dyDescent="0.25">
      <c r="A510" s="202"/>
      <c r="C510" s="154"/>
      <c r="J510" s="334"/>
      <c r="K510" s="334"/>
      <c r="T510" s="154"/>
      <c r="Z510" s="334"/>
    </row>
    <row r="511" spans="1:40" x14ac:dyDescent="0.25">
      <c r="A511" s="202"/>
      <c r="C511" s="154"/>
      <c r="F511" s="252"/>
      <c r="H511" s="252"/>
      <c r="I511" s="252"/>
      <c r="J511" s="329"/>
      <c r="K511" s="329"/>
      <c r="L511" s="200"/>
      <c r="M511" s="200"/>
      <c r="N511" s="210"/>
      <c r="O511" s="210"/>
      <c r="P511" s="200"/>
      <c r="Q511" s="200"/>
      <c r="R511" s="200"/>
      <c r="T511" s="154"/>
      <c r="V511" s="200"/>
      <c r="W511" s="200"/>
      <c r="X511" s="200"/>
      <c r="Y511" s="200"/>
      <c r="Z511" s="329"/>
      <c r="AA511" s="200"/>
      <c r="AB511" s="200"/>
      <c r="AC511" s="210"/>
      <c r="AD511" s="210"/>
      <c r="AE511" s="200"/>
      <c r="AF511" s="200"/>
      <c r="AG511" s="209"/>
      <c r="AH511" s="201"/>
      <c r="AI511" s="200"/>
      <c r="AJ511" s="200"/>
      <c r="AK511" s="209"/>
      <c r="AL511" s="200"/>
      <c r="AM511" s="201"/>
      <c r="AN511" s="201"/>
    </row>
    <row r="512" spans="1:40" x14ac:dyDescent="0.25">
      <c r="A512" s="202"/>
      <c r="C512" s="154"/>
      <c r="J512" s="334"/>
      <c r="K512" s="334"/>
      <c r="T512" s="154"/>
      <c r="Z512" s="334"/>
    </row>
    <row r="513" spans="1:40" x14ac:dyDescent="0.25">
      <c r="A513" s="202"/>
      <c r="C513" s="154"/>
      <c r="F513" s="252"/>
      <c r="H513" s="252"/>
      <c r="I513" s="252"/>
      <c r="J513" s="329"/>
      <c r="K513" s="329"/>
      <c r="L513" s="200"/>
      <c r="M513" s="200"/>
      <c r="N513" s="210"/>
      <c r="O513" s="210"/>
      <c r="P513" s="200"/>
      <c r="Q513" s="200"/>
      <c r="R513" s="200"/>
      <c r="T513" s="154"/>
      <c r="V513" s="200"/>
      <c r="W513" s="200"/>
      <c r="X513" s="200"/>
      <c r="Y513" s="200"/>
      <c r="Z513" s="329"/>
      <c r="AA513" s="200"/>
      <c r="AB513" s="200"/>
      <c r="AC513" s="210"/>
      <c r="AD513" s="210"/>
      <c r="AE513" s="200"/>
      <c r="AF513" s="200"/>
      <c r="AG513" s="209"/>
      <c r="AH513" s="201"/>
      <c r="AI513" s="200"/>
      <c r="AJ513" s="200"/>
      <c r="AK513" s="209"/>
      <c r="AL513" s="200"/>
      <c r="AM513" s="201"/>
      <c r="AN513" s="201"/>
    </row>
    <row r="514" spans="1:40" x14ac:dyDescent="0.25">
      <c r="F514" s="211"/>
      <c r="H514" s="211"/>
      <c r="I514" s="211"/>
      <c r="J514" s="329"/>
      <c r="K514" s="329"/>
      <c r="L514" s="211"/>
      <c r="M514" s="211"/>
      <c r="N514" s="211"/>
      <c r="O514" s="211"/>
      <c r="P514" s="211"/>
      <c r="Q514" s="211"/>
      <c r="R514" s="211"/>
      <c r="V514" s="211"/>
      <c r="Y514" s="211"/>
      <c r="Z514" s="329"/>
      <c r="AA514" s="211"/>
      <c r="AB514" s="211"/>
      <c r="AC514" s="211"/>
      <c r="AD514" s="211"/>
      <c r="AE514" s="211"/>
      <c r="AF514" s="211"/>
      <c r="AI514" s="211"/>
      <c r="AJ514" s="211"/>
      <c r="AK514" s="212"/>
      <c r="AL514" s="211"/>
    </row>
    <row r="515" spans="1:40" x14ac:dyDescent="0.25">
      <c r="A515" s="202"/>
      <c r="C515" s="154"/>
      <c r="F515" s="200"/>
      <c r="H515" s="200"/>
      <c r="I515" s="200"/>
      <c r="J515" s="334"/>
      <c r="K515" s="334"/>
      <c r="L515" s="200"/>
      <c r="M515" s="200"/>
      <c r="N515" s="201"/>
      <c r="O515" s="201"/>
      <c r="P515" s="200"/>
      <c r="Q515" s="200"/>
      <c r="R515" s="200"/>
      <c r="T515" s="154"/>
      <c r="V515" s="200"/>
      <c r="Y515" s="200"/>
      <c r="Z515" s="334"/>
      <c r="AA515" s="200"/>
      <c r="AB515" s="200"/>
      <c r="AC515" s="201"/>
      <c r="AD515" s="201"/>
      <c r="AE515" s="200"/>
      <c r="AF515" s="200"/>
      <c r="AG515" s="209"/>
      <c r="AH515" s="201"/>
      <c r="AI515" s="200"/>
      <c r="AJ515" s="200"/>
      <c r="AK515" s="209"/>
      <c r="AL515" s="200"/>
      <c r="AM515" s="201"/>
      <c r="AN515" s="201"/>
    </row>
    <row r="516" spans="1:40" x14ac:dyDescent="0.25">
      <c r="F516" s="211"/>
      <c r="H516" s="211"/>
      <c r="I516" s="211"/>
      <c r="J516" s="329"/>
      <c r="K516" s="329"/>
      <c r="L516" s="211"/>
      <c r="M516" s="211"/>
      <c r="N516" s="211"/>
      <c r="O516" s="211"/>
      <c r="P516" s="211"/>
      <c r="Q516" s="211"/>
      <c r="R516" s="211"/>
      <c r="V516" s="211"/>
      <c r="Y516" s="211"/>
      <c r="Z516" s="305"/>
      <c r="AA516" s="211"/>
      <c r="AB516" s="211"/>
      <c r="AC516" s="211"/>
      <c r="AD516" s="211"/>
      <c r="AE516" s="211"/>
      <c r="AF516" s="211"/>
      <c r="AI516" s="211"/>
      <c r="AJ516" s="211"/>
      <c r="AK516" s="212"/>
      <c r="AL516" s="211"/>
    </row>
    <row r="517" spans="1:40" x14ac:dyDescent="0.25">
      <c r="J517" s="334"/>
      <c r="K517" s="334"/>
    </row>
    <row r="518" spans="1:40" x14ac:dyDescent="0.25">
      <c r="A518" s="202"/>
      <c r="C518" s="154"/>
      <c r="F518" s="200"/>
      <c r="H518" s="200"/>
      <c r="I518" s="200"/>
      <c r="J518" s="334"/>
      <c r="K518" s="334"/>
      <c r="L518" s="200"/>
      <c r="M518" s="200"/>
      <c r="N518" s="210"/>
      <c r="O518" s="210"/>
      <c r="P518" s="252"/>
      <c r="Q518" s="252"/>
      <c r="R518" s="200"/>
      <c r="T518" s="154"/>
      <c r="V518" s="200"/>
      <c r="Y518" s="200"/>
      <c r="AA518" s="200"/>
      <c r="AB518" s="200"/>
      <c r="AC518" s="201"/>
      <c r="AD518" s="201"/>
      <c r="AE518" s="200"/>
      <c r="AF518" s="200"/>
      <c r="AG518" s="209"/>
      <c r="AH518" s="201"/>
      <c r="AI518" s="252"/>
      <c r="AJ518" s="252"/>
      <c r="AK518" s="209"/>
      <c r="AL518" s="200"/>
      <c r="AM518" s="201"/>
      <c r="AN518" s="201"/>
    </row>
    <row r="519" spans="1:40" x14ac:dyDescent="0.25">
      <c r="F519" s="211"/>
      <c r="H519" s="211"/>
      <c r="I519" s="211"/>
      <c r="J519" s="329"/>
      <c r="K519" s="329"/>
      <c r="L519" s="211"/>
      <c r="M519" s="211"/>
      <c r="N519" s="211"/>
      <c r="O519" s="211"/>
      <c r="P519" s="211"/>
      <c r="Q519" s="211"/>
      <c r="R519" s="211"/>
      <c r="V519" s="211"/>
      <c r="Y519" s="211"/>
      <c r="Z519" s="305"/>
      <c r="AA519" s="211"/>
      <c r="AB519" s="211"/>
      <c r="AC519" s="211"/>
      <c r="AD519" s="211"/>
      <c r="AE519" s="211"/>
      <c r="AF519" s="211"/>
      <c r="AI519" s="211"/>
      <c r="AJ519" s="211"/>
      <c r="AK519" s="212"/>
      <c r="AL519" s="211"/>
    </row>
    <row r="521" spans="1:40" x14ac:dyDescent="0.25">
      <c r="C521" s="202"/>
      <c r="T521" s="202"/>
    </row>
    <row r="522" spans="1:40" x14ac:dyDescent="0.25">
      <c r="A522" s="154"/>
    </row>
    <row r="523" spans="1:40" x14ac:dyDescent="0.25">
      <c r="J523" s="202"/>
      <c r="K523" s="202"/>
      <c r="Z523" s="202"/>
    </row>
    <row r="524" spans="1:40" x14ac:dyDescent="0.25">
      <c r="H524" s="154"/>
      <c r="I524" s="154"/>
      <c r="Y524" s="154"/>
    </row>
    <row r="525" spans="1:40" x14ac:dyDescent="0.25">
      <c r="J525" s="202"/>
      <c r="K525" s="202"/>
      <c r="Z525" s="202"/>
    </row>
    <row r="526" spans="1:40" x14ac:dyDescent="0.25">
      <c r="L526" s="154"/>
      <c r="M526" s="154"/>
      <c r="AA526" s="154"/>
      <c r="AB526" s="154"/>
    </row>
    <row r="527" spans="1:40" x14ac:dyDescent="0.25">
      <c r="A527" s="202"/>
      <c r="R527" s="154"/>
      <c r="AK527" s="297"/>
      <c r="AL527" s="154"/>
    </row>
    <row r="528" spans="1:40" x14ac:dyDescent="0.25">
      <c r="A528" s="202"/>
      <c r="R528" s="154"/>
      <c r="AK528" s="297"/>
      <c r="AL528" s="154"/>
    </row>
    <row r="529" spans="1:40" x14ac:dyDescent="0.25">
      <c r="A529" s="154"/>
      <c r="R529" s="154"/>
      <c r="AK529" s="297"/>
      <c r="AL529" s="154"/>
    </row>
    <row r="530" spans="1:40" x14ac:dyDescent="0.25">
      <c r="L530" s="154"/>
      <c r="M530" s="154"/>
      <c r="R530" s="202"/>
      <c r="AA530" s="154"/>
      <c r="AB530" s="154"/>
      <c r="AK530" s="209"/>
      <c r="AL530" s="202"/>
    </row>
    <row r="531" spans="1:40" x14ac:dyDescent="0.25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208"/>
      <c r="AH531" s="102"/>
      <c r="AI531" s="102"/>
      <c r="AJ531" s="102"/>
      <c r="AK531" s="208"/>
      <c r="AL531" s="102"/>
      <c r="AM531" s="102"/>
      <c r="AN531" s="102"/>
    </row>
    <row r="532" spans="1:40" x14ac:dyDescent="0.25">
      <c r="L532" s="103"/>
      <c r="M532" s="103"/>
      <c r="N532" s="103"/>
      <c r="O532" s="103"/>
      <c r="R532" s="103"/>
      <c r="AA532" s="103"/>
      <c r="AB532" s="103"/>
      <c r="AC532" s="103"/>
      <c r="AD532" s="103"/>
      <c r="AE532" s="103"/>
      <c r="AF532" s="103"/>
      <c r="AG532" s="185"/>
      <c r="AH532" s="103"/>
      <c r="AK532" s="185"/>
      <c r="AL532" s="103"/>
      <c r="AM532" s="103"/>
      <c r="AN532" s="103"/>
    </row>
    <row r="533" spans="1:40" x14ac:dyDescent="0.25">
      <c r="L533" s="103"/>
      <c r="M533" s="103"/>
      <c r="N533" s="103"/>
      <c r="O533" s="103"/>
      <c r="R533" s="103"/>
      <c r="Z533" s="103"/>
      <c r="AA533" s="103"/>
      <c r="AB533" s="103"/>
      <c r="AC533" s="103"/>
      <c r="AD533" s="103"/>
      <c r="AE533" s="103"/>
      <c r="AF533" s="103"/>
      <c r="AG533" s="185"/>
      <c r="AH533" s="103"/>
      <c r="AK533" s="185"/>
      <c r="AL533" s="103"/>
      <c r="AM533" s="103"/>
      <c r="AN533" s="103"/>
    </row>
    <row r="534" spans="1:40" x14ac:dyDescent="0.25">
      <c r="A534" s="103"/>
      <c r="C534" s="103"/>
      <c r="D534" s="103"/>
      <c r="E534" s="103"/>
      <c r="F534" s="103"/>
      <c r="J534" s="103"/>
      <c r="K534" s="103"/>
      <c r="L534" s="103"/>
      <c r="M534" s="103"/>
      <c r="N534" s="103"/>
      <c r="O534" s="103"/>
      <c r="P534" s="103"/>
      <c r="Q534" s="103"/>
      <c r="R534" s="103"/>
      <c r="T534" s="103"/>
      <c r="U534" s="103"/>
      <c r="V534" s="103"/>
      <c r="Z534" s="103"/>
      <c r="AA534" s="103"/>
      <c r="AB534" s="103"/>
      <c r="AC534" s="103"/>
      <c r="AD534" s="103"/>
      <c r="AE534" s="103"/>
      <c r="AF534" s="103"/>
      <c r="AG534" s="185"/>
      <c r="AH534" s="103"/>
      <c r="AI534" s="103"/>
      <c r="AJ534" s="103"/>
      <c r="AK534" s="185"/>
      <c r="AL534" s="103"/>
      <c r="AM534" s="103"/>
      <c r="AN534" s="103"/>
    </row>
    <row r="535" spans="1:40" x14ac:dyDescent="0.25">
      <c r="A535" s="103"/>
      <c r="C535" s="103"/>
      <c r="D535" s="103"/>
      <c r="E535" s="103"/>
      <c r="F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T535" s="103"/>
      <c r="U535" s="103"/>
      <c r="V535" s="103"/>
      <c r="Y535" s="103"/>
      <c r="Z535" s="103"/>
      <c r="AA535" s="103"/>
      <c r="AB535" s="103"/>
      <c r="AC535" s="103"/>
      <c r="AD535" s="103"/>
      <c r="AE535" s="103"/>
      <c r="AF535" s="103"/>
      <c r="AG535" s="185"/>
      <c r="AH535" s="103"/>
      <c r="AI535" s="103"/>
      <c r="AJ535" s="103"/>
      <c r="AK535" s="185"/>
      <c r="AL535" s="103"/>
      <c r="AM535" s="103"/>
      <c r="AN535" s="103"/>
    </row>
    <row r="536" spans="1:40" x14ac:dyDescent="0.25">
      <c r="C536" s="103"/>
      <c r="D536" s="103"/>
      <c r="E536" s="103"/>
      <c r="F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T536" s="103"/>
      <c r="U536" s="103"/>
      <c r="V536" s="103"/>
      <c r="Y536" s="103"/>
      <c r="Z536" s="103"/>
      <c r="AA536" s="103"/>
      <c r="AB536" s="103"/>
      <c r="AC536" s="103"/>
      <c r="AD536" s="103"/>
      <c r="AE536" s="103"/>
      <c r="AF536" s="103"/>
      <c r="AG536" s="185"/>
      <c r="AH536" s="103"/>
      <c r="AI536" s="103"/>
      <c r="AJ536" s="103"/>
      <c r="AK536" s="185"/>
      <c r="AL536" s="103"/>
      <c r="AM536" s="103"/>
      <c r="AN536" s="103"/>
    </row>
    <row r="537" spans="1:40" x14ac:dyDescent="0.2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208"/>
      <c r="AH537" s="102"/>
      <c r="AI537" s="102"/>
      <c r="AJ537" s="102"/>
      <c r="AK537" s="208"/>
      <c r="AL537" s="102"/>
      <c r="AM537" s="102"/>
      <c r="AN537" s="102"/>
    </row>
    <row r="538" spans="1:40" x14ac:dyDescent="0.25"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Y538" s="103"/>
      <c r="Z538" s="103"/>
      <c r="AA538" s="103"/>
      <c r="AB538" s="103"/>
      <c r="AC538" s="103"/>
      <c r="AD538" s="103"/>
      <c r="AE538" s="103"/>
      <c r="AF538" s="103"/>
      <c r="AG538" s="185"/>
      <c r="AH538" s="103"/>
      <c r="AI538" s="103"/>
      <c r="AJ538" s="103"/>
      <c r="AK538" s="185"/>
      <c r="AL538" s="103"/>
      <c r="AM538" s="103"/>
      <c r="AN538" s="103"/>
    </row>
    <row r="539" spans="1:40" x14ac:dyDescent="0.25">
      <c r="A539" s="202"/>
      <c r="C539" s="154"/>
      <c r="D539" s="154"/>
      <c r="E539" s="154"/>
      <c r="T539" s="154"/>
      <c r="U539" s="154"/>
    </row>
    <row r="541" spans="1:40" x14ac:dyDescent="0.25">
      <c r="A541" s="202"/>
      <c r="C541" s="154"/>
      <c r="D541" s="154"/>
      <c r="E541" s="154"/>
      <c r="T541" s="154"/>
      <c r="U541" s="154"/>
    </row>
    <row r="542" spans="1:40" x14ac:dyDescent="0.25">
      <c r="A542" s="202"/>
      <c r="C542" s="154"/>
      <c r="T542" s="154"/>
    </row>
    <row r="543" spans="1:40" x14ac:dyDescent="0.25">
      <c r="A543" s="202"/>
      <c r="C543" s="154"/>
      <c r="T543" s="154"/>
    </row>
    <row r="544" spans="1:40" x14ac:dyDescent="0.25">
      <c r="A544" s="202"/>
      <c r="C544" s="154"/>
      <c r="F544" s="252"/>
      <c r="H544" s="252"/>
      <c r="I544" s="252"/>
      <c r="J544" s="329"/>
      <c r="K544" s="329"/>
      <c r="L544" s="200"/>
      <c r="M544" s="200"/>
      <c r="N544" s="210"/>
      <c r="O544" s="210"/>
      <c r="P544" s="200"/>
      <c r="Q544" s="200"/>
      <c r="R544" s="200"/>
      <c r="T544" s="154"/>
      <c r="V544" s="200"/>
      <c r="W544" s="200"/>
      <c r="X544" s="200"/>
      <c r="Y544" s="200"/>
      <c r="Z544" s="329"/>
      <c r="AA544" s="200"/>
      <c r="AB544" s="200"/>
      <c r="AC544" s="210"/>
      <c r="AD544" s="210"/>
      <c r="AE544" s="200"/>
      <c r="AF544" s="200"/>
      <c r="AG544" s="209"/>
      <c r="AH544" s="201"/>
      <c r="AI544" s="200"/>
      <c r="AJ544" s="200"/>
      <c r="AK544" s="209"/>
      <c r="AL544" s="200"/>
      <c r="AM544" s="210"/>
      <c r="AN544" s="210"/>
    </row>
    <row r="545" spans="1:40" x14ac:dyDescent="0.25">
      <c r="A545" s="202"/>
      <c r="C545" s="154"/>
      <c r="J545" s="334"/>
      <c r="K545" s="334"/>
      <c r="T545" s="154"/>
      <c r="V545" s="200"/>
      <c r="W545" s="200"/>
      <c r="X545" s="200"/>
      <c r="Y545" s="200"/>
      <c r="Z545" s="329"/>
    </row>
    <row r="546" spans="1:40" x14ac:dyDescent="0.25">
      <c r="A546" s="202"/>
      <c r="C546" s="154"/>
      <c r="F546" s="252"/>
      <c r="H546" s="252"/>
      <c r="I546" s="252"/>
      <c r="J546" s="329"/>
      <c r="K546" s="329"/>
      <c r="L546" s="200"/>
      <c r="M546" s="200"/>
      <c r="N546" s="210"/>
      <c r="O546" s="210"/>
      <c r="P546" s="200"/>
      <c r="Q546" s="200"/>
      <c r="R546" s="200"/>
      <c r="T546" s="154"/>
      <c r="V546" s="200"/>
      <c r="W546" s="200"/>
      <c r="X546" s="200"/>
      <c r="Y546" s="200"/>
      <c r="Z546" s="329"/>
      <c r="AA546" s="200"/>
      <c r="AB546" s="200"/>
      <c r="AC546" s="210"/>
      <c r="AD546" s="210"/>
      <c r="AE546" s="200"/>
      <c r="AF546" s="200"/>
      <c r="AG546" s="209"/>
      <c r="AH546" s="201"/>
      <c r="AI546" s="200"/>
      <c r="AJ546" s="200"/>
      <c r="AK546" s="209"/>
      <c r="AL546" s="200"/>
      <c r="AM546" s="210"/>
      <c r="AN546" s="210"/>
    </row>
    <row r="547" spans="1:40" x14ac:dyDescent="0.25">
      <c r="A547" s="202"/>
      <c r="C547" s="154"/>
      <c r="J547" s="334"/>
      <c r="K547" s="334"/>
      <c r="T547" s="154"/>
      <c r="V547" s="200"/>
      <c r="W547" s="200"/>
      <c r="X547" s="200"/>
      <c r="Y547" s="200"/>
      <c r="Z547" s="329"/>
    </row>
    <row r="548" spans="1:40" x14ac:dyDescent="0.25">
      <c r="A548" s="202"/>
      <c r="C548" s="154"/>
      <c r="F548" s="252"/>
      <c r="H548" s="252"/>
      <c r="I548" s="252"/>
      <c r="J548" s="329"/>
      <c r="K548" s="329"/>
      <c r="L548" s="200"/>
      <c r="M548" s="200"/>
      <c r="N548" s="210"/>
      <c r="O548" s="210"/>
      <c r="P548" s="200"/>
      <c r="Q548" s="200"/>
      <c r="R548" s="200"/>
      <c r="T548" s="154"/>
      <c r="V548" s="200"/>
      <c r="W548" s="200"/>
      <c r="X548" s="200"/>
      <c r="Y548" s="200"/>
      <c r="Z548" s="329"/>
      <c r="AA548" s="200"/>
      <c r="AB548" s="200"/>
      <c r="AC548" s="210"/>
      <c r="AD548" s="210"/>
      <c r="AE548" s="200"/>
      <c r="AF548" s="200"/>
      <c r="AG548" s="209"/>
      <c r="AH548" s="201"/>
      <c r="AI548" s="200"/>
      <c r="AJ548" s="200"/>
      <c r="AK548" s="209"/>
      <c r="AL548" s="200"/>
      <c r="AM548" s="210"/>
      <c r="AN548" s="210"/>
    </row>
    <row r="549" spans="1:40" x14ac:dyDescent="0.25">
      <c r="A549" s="202"/>
      <c r="C549" s="154"/>
      <c r="J549" s="334"/>
      <c r="K549" s="334"/>
      <c r="T549" s="154"/>
      <c r="V549" s="200"/>
      <c r="W549" s="200"/>
      <c r="X549" s="200"/>
      <c r="Y549" s="200"/>
      <c r="Z549" s="329"/>
    </row>
    <row r="550" spans="1:40" x14ac:dyDescent="0.25">
      <c r="A550" s="202"/>
      <c r="C550" s="154"/>
      <c r="F550" s="252"/>
      <c r="H550" s="252"/>
      <c r="I550" s="252"/>
      <c r="J550" s="329"/>
      <c r="K550" s="329"/>
      <c r="L550" s="200"/>
      <c r="M550" s="200"/>
      <c r="N550" s="210"/>
      <c r="O550" s="210"/>
      <c r="P550" s="200"/>
      <c r="Q550" s="200"/>
      <c r="R550" s="200"/>
      <c r="T550" s="154"/>
      <c r="V550" s="200"/>
      <c r="W550" s="200"/>
      <c r="X550" s="200"/>
      <c r="Y550" s="200"/>
      <c r="Z550" s="329"/>
      <c r="AA550" s="200"/>
      <c r="AB550" s="200"/>
      <c r="AC550" s="210"/>
      <c r="AD550" s="210"/>
      <c r="AE550" s="200"/>
      <c r="AF550" s="200"/>
      <c r="AG550" s="209"/>
      <c r="AH550" s="201"/>
      <c r="AI550" s="200"/>
      <c r="AJ550" s="200"/>
      <c r="AK550" s="209"/>
      <c r="AL550" s="200"/>
      <c r="AM550" s="210"/>
      <c r="AN550" s="210"/>
    </row>
    <row r="551" spans="1:40" x14ac:dyDescent="0.25">
      <c r="A551" s="202"/>
      <c r="C551" s="154"/>
      <c r="J551" s="334"/>
      <c r="K551" s="334"/>
      <c r="T551" s="154"/>
      <c r="V551" s="200"/>
      <c r="W551" s="200"/>
      <c r="X551" s="200"/>
      <c r="Y551" s="200"/>
      <c r="Z551" s="329"/>
    </row>
    <row r="552" spans="1:40" x14ac:dyDescent="0.25">
      <c r="A552" s="202"/>
      <c r="C552" s="154"/>
      <c r="F552" s="252"/>
      <c r="H552" s="252"/>
      <c r="I552" s="252"/>
      <c r="J552" s="329"/>
      <c r="K552" s="329"/>
      <c r="L552" s="200"/>
      <c r="M552" s="200"/>
      <c r="N552" s="210"/>
      <c r="O552" s="210"/>
      <c r="P552" s="200"/>
      <c r="Q552" s="200"/>
      <c r="R552" s="200"/>
      <c r="T552" s="154"/>
      <c r="V552" s="200"/>
      <c r="W552" s="200"/>
      <c r="X552" s="200"/>
      <c r="Y552" s="200"/>
      <c r="Z552" s="329"/>
      <c r="AA552" s="200"/>
      <c r="AB552" s="200"/>
      <c r="AC552" s="210"/>
      <c r="AD552" s="210"/>
      <c r="AE552" s="200"/>
      <c r="AF552" s="200"/>
      <c r="AG552" s="209"/>
      <c r="AH552" s="201"/>
      <c r="AI552" s="200"/>
      <c r="AJ552" s="200"/>
      <c r="AK552" s="209"/>
      <c r="AL552" s="200"/>
      <c r="AM552" s="210"/>
      <c r="AN552" s="210"/>
    </row>
    <row r="553" spans="1:40" x14ac:dyDescent="0.25">
      <c r="A553" s="202"/>
      <c r="C553" s="154"/>
      <c r="J553" s="334"/>
      <c r="K553" s="334"/>
      <c r="T553" s="154"/>
      <c r="V553" s="200"/>
      <c r="W553" s="200"/>
      <c r="X553" s="200"/>
      <c r="Y553" s="200"/>
      <c r="Z553" s="329"/>
    </row>
    <row r="554" spans="1:40" x14ac:dyDescent="0.25">
      <c r="A554" s="202"/>
      <c r="C554" s="154"/>
      <c r="F554" s="252"/>
      <c r="H554" s="252"/>
      <c r="I554" s="252"/>
      <c r="J554" s="329"/>
      <c r="K554" s="329"/>
      <c r="L554" s="200"/>
      <c r="M554" s="200"/>
      <c r="N554" s="210"/>
      <c r="O554" s="210"/>
      <c r="P554" s="200"/>
      <c r="Q554" s="200"/>
      <c r="R554" s="200"/>
      <c r="T554" s="154"/>
      <c r="V554" s="200"/>
      <c r="W554" s="200"/>
      <c r="X554" s="200"/>
      <c r="Y554" s="200"/>
      <c r="Z554" s="329"/>
      <c r="AA554" s="200"/>
      <c r="AB554" s="200"/>
      <c r="AC554" s="210"/>
      <c r="AD554" s="210"/>
      <c r="AE554" s="200"/>
      <c r="AF554" s="200"/>
      <c r="AG554" s="209"/>
      <c r="AH554" s="201"/>
      <c r="AI554" s="200"/>
      <c r="AJ554" s="200"/>
      <c r="AK554" s="209"/>
      <c r="AL554" s="200"/>
      <c r="AM554" s="210"/>
      <c r="AN554" s="210"/>
    </row>
    <row r="555" spans="1:40" x14ac:dyDescent="0.25">
      <c r="F555" s="211"/>
      <c r="H555" s="211"/>
      <c r="I555" s="211"/>
      <c r="J555" s="329"/>
      <c r="K555" s="329"/>
      <c r="L555" s="211"/>
      <c r="M555" s="211"/>
      <c r="N555" s="211"/>
      <c r="O555" s="211"/>
      <c r="P555" s="211"/>
      <c r="Q555" s="211"/>
      <c r="R555" s="211"/>
      <c r="V555" s="211"/>
      <c r="Y555" s="211"/>
      <c r="Z555" s="329"/>
      <c r="AA555" s="211"/>
      <c r="AB555" s="211"/>
      <c r="AC555" s="211"/>
      <c r="AD555" s="211"/>
      <c r="AE555" s="211"/>
      <c r="AF555" s="211"/>
      <c r="AI555" s="211"/>
      <c r="AJ555" s="211"/>
      <c r="AK555" s="212"/>
      <c r="AL555" s="211"/>
      <c r="AM555" s="210"/>
      <c r="AN555" s="210"/>
    </row>
    <row r="556" spans="1:40" x14ac:dyDescent="0.25">
      <c r="A556" s="202"/>
      <c r="C556" s="154"/>
      <c r="F556" s="200"/>
      <c r="H556" s="200"/>
      <c r="I556" s="200"/>
      <c r="J556" s="334"/>
      <c r="K556" s="334"/>
      <c r="L556" s="200"/>
      <c r="M556" s="200"/>
      <c r="N556" s="210"/>
      <c r="O556" s="210"/>
      <c r="P556" s="252"/>
      <c r="Q556" s="252"/>
      <c r="R556" s="200"/>
      <c r="T556" s="154"/>
      <c r="V556" s="200"/>
      <c r="W556" s="200"/>
      <c r="X556" s="200"/>
      <c r="Y556" s="200"/>
      <c r="Z556" s="329"/>
      <c r="AA556" s="200"/>
      <c r="AB556" s="200"/>
      <c r="AC556" s="210"/>
      <c r="AD556" s="210"/>
      <c r="AE556" s="200"/>
      <c r="AF556" s="200"/>
      <c r="AG556" s="209"/>
      <c r="AH556" s="201"/>
      <c r="AI556" s="252"/>
      <c r="AJ556" s="252"/>
      <c r="AK556" s="209"/>
      <c r="AL556" s="200"/>
      <c r="AM556" s="210"/>
      <c r="AN556" s="210"/>
    </row>
    <row r="557" spans="1:40" x14ac:dyDescent="0.25">
      <c r="F557" s="211"/>
      <c r="H557" s="211"/>
      <c r="I557" s="211"/>
      <c r="J557" s="329"/>
      <c r="K557" s="329"/>
      <c r="L557" s="211"/>
      <c r="M557" s="211"/>
      <c r="N557" s="211"/>
      <c r="O557" s="211"/>
      <c r="P557" s="211"/>
      <c r="Q557" s="211"/>
      <c r="R557" s="211"/>
      <c r="V557" s="211"/>
      <c r="Y557" s="211"/>
      <c r="Z557" s="329"/>
      <c r="AA557" s="211"/>
      <c r="AB557" s="211"/>
      <c r="AC557" s="211"/>
      <c r="AD557" s="211"/>
      <c r="AE557" s="211"/>
      <c r="AF557" s="211"/>
      <c r="AI557" s="211"/>
      <c r="AJ557" s="211"/>
      <c r="AK557" s="212"/>
      <c r="AL557" s="211"/>
    </row>
    <row r="558" spans="1:40" x14ac:dyDescent="0.25">
      <c r="A558" s="202"/>
      <c r="C558" s="154"/>
      <c r="D558" s="154"/>
      <c r="E558" s="154"/>
      <c r="J558" s="334"/>
      <c r="K558" s="334"/>
      <c r="T558" s="154"/>
      <c r="U558" s="154"/>
      <c r="V558" s="200"/>
      <c r="W558" s="200"/>
      <c r="X558" s="200"/>
      <c r="Y558" s="200"/>
      <c r="Z558" s="329"/>
    </row>
    <row r="559" spans="1:40" x14ac:dyDescent="0.25">
      <c r="A559" s="202"/>
      <c r="C559" s="154"/>
      <c r="J559" s="334"/>
      <c r="K559" s="334"/>
      <c r="T559" s="154"/>
      <c r="V559" s="200"/>
      <c r="W559" s="200"/>
      <c r="X559" s="200"/>
      <c r="Y559" s="200"/>
      <c r="Z559" s="329"/>
    </row>
    <row r="560" spans="1:40" x14ac:dyDescent="0.25">
      <c r="A560" s="202"/>
      <c r="C560" s="154"/>
      <c r="J560" s="334"/>
      <c r="K560" s="334"/>
      <c r="T560" s="154"/>
      <c r="V560" s="200"/>
      <c r="W560" s="200"/>
      <c r="X560" s="200"/>
      <c r="Y560" s="200"/>
      <c r="Z560" s="329"/>
    </row>
    <row r="561" spans="1:40" x14ac:dyDescent="0.25">
      <c r="A561" s="202"/>
      <c r="C561" s="154"/>
      <c r="F561" s="252"/>
      <c r="H561" s="252"/>
      <c r="I561" s="252"/>
      <c r="J561" s="329"/>
      <c r="K561" s="329"/>
      <c r="L561" s="200"/>
      <c r="M561" s="200"/>
      <c r="N561" s="210"/>
      <c r="O561" s="210"/>
      <c r="P561" s="200"/>
      <c r="Q561" s="200"/>
      <c r="R561" s="200"/>
      <c r="T561" s="154"/>
      <c r="V561" s="200"/>
      <c r="W561" s="200"/>
      <c r="X561" s="200"/>
      <c r="Y561" s="200"/>
      <c r="Z561" s="329"/>
      <c r="AA561" s="200"/>
      <c r="AB561" s="200"/>
      <c r="AC561" s="210"/>
      <c r="AD561" s="210"/>
      <c r="AE561" s="200"/>
      <c r="AF561" s="200"/>
      <c r="AG561" s="209"/>
      <c r="AH561" s="201"/>
      <c r="AI561" s="200"/>
      <c r="AJ561" s="200"/>
      <c r="AK561" s="209"/>
      <c r="AL561" s="200"/>
      <c r="AM561" s="210"/>
      <c r="AN561" s="210"/>
    </row>
    <row r="562" spans="1:40" x14ac:dyDescent="0.25">
      <c r="A562" s="202"/>
      <c r="C562" s="154"/>
      <c r="J562" s="334"/>
      <c r="K562" s="334"/>
      <c r="T562" s="154"/>
      <c r="V562" s="200"/>
      <c r="W562" s="200"/>
      <c r="X562" s="200"/>
      <c r="Y562" s="200"/>
      <c r="Z562" s="329"/>
    </row>
    <row r="563" spans="1:40" x14ac:dyDescent="0.25">
      <c r="A563" s="202"/>
      <c r="C563" s="154"/>
      <c r="F563" s="252"/>
      <c r="H563" s="252"/>
      <c r="I563" s="252"/>
      <c r="J563" s="329"/>
      <c r="K563" s="329"/>
      <c r="L563" s="200"/>
      <c r="M563" s="200"/>
      <c r="N563" s="210"/>
      <c r="O563" s="210"/>
      <c r="P563" s="200"/>
      <c r="Q563" s="200"/>
      <c r="R563" s="200"/>
      <c r="T563" s="154"/>
      <c r="V563" s="200"/>
      <c r="W563" s="200"/>
      <c r="X563" s="200"/>
      <c r="Y563" s="200"/>
      <c r="Z563" s="329"/>
      <c r="AA563" s="200"/>
      <c r="AB563" s="200"/>
      <c r="AC563" s="210"/>
      <c r="AD563" s="210"/>
      <c r="AE563" s="200"/>
      <c r="AF563" s="200"/>
      <c r="AG563" s="209"/>
      <c r="AH563" s="201"/>
      <c r="AI563" s="200"/>
      <c r="AJ563" s="200"/>
      <c r="AK563" s="209"/>
      <c r="AL563" s="200"/>
      <c r="AM563" s="210"/>
      <c r="AN563" s="210"/>
    </row>
    <row r="564" spans="1:40" x14ac:dyDescent="0.25">
      <c r="F564" s="211"/>
      <c r="H564" s="211"/>
      <c r="I564" s="211"/>
      <c r="J564" s="329"/>
      <c r="K564" s="329"/>
      <c r="L564" s="211"/>
      <c r="M564" s="211"/>
      <c r="N564" s="211"/>
      <c r="O564" s="211"/>
      <c r="P564" s="211"/>
      <c r="Q564" s="211"/>
      <c r="R564" s="211"/>
      <c r="V564" s="211"/>
      <c r="Y564" s="211"/>
      <c r="Z564" s="305"/>
      <c r="AA564" s="211"/>
      <c r="AB564" s="211"/>
      <c r="AC564" s="211"/>
      <c r="AD564" s="211"/>
      <c r="AE564" s="211"/>
      <c r="AF564" s="211"/>
      <c r="AI564" s="211"/>
      <c r="AJ564" s="211"/>
      <c r="AK564" s="212"/>
      <c r="AL564" s="211"/>
    </row>
    <row r="565" spans="1:40" x14ac:dyDescent="0.25">
      <c r="A565" s="202"/>
      <c r="C565" s="154"/>
      <c r="F565" s="200"/>
      <c r="H565" s="200"/>
      <c r="I565" s="200"/>
      <c r="L565" s="200"/>
      <c r="M565" s="200"/>
      <c r="N565" s="210"/>
      <c r="O565" s="210"/>
      <c r="P565" s="252"/>
      <c r="Q565" s="252"/>
      <c r="R565" s="200"/>
      <c r="T565" s="154"/>
      <c r="V565" s="200"/>
      <c r="W565" s="200"/>
      <c r="X565" s="200"/>
      <c r="Y565" s="200"/>
      <c r="Z565" s="328"/>
      <c r="AA565" s="200"/>
      <c r="AB565" s="200"/>
      <c r="AC565" s="210"/>
      <c r="AD565" s="210"/>
      <c r="AE565" s="200"/>
      <c r="AF565" s="200"/>
      <c r="AG565" s="209"/>
      <c r="AH565" s="201"/>
      <c r="AI565" s="252"/>
      <c r="AJ565" s="252"/>
      <c r="AK565" s="209"/>
      <c r="AL565" s="200"/>
      <c r="AM565" s="210"/>
      <c r="AN565" s="210"/>
    </row>
    <row r="566" spans="1:40" x14ac:dyDescent="0.25">
      <c r="F566" s="211"/>
      <c r="H566" s="211"/>
      <c r="I566" s="211"/>
      <c r="J566" s="305"/>
      <c r="K566" s="305"/>
      <c r="L566" s="211"/>
      <c r="M566" s="211"/>
      <c r="N566" s="211"/>
      <c r="O566" s="211"/>
      <c r="P566" s="211"/>
      <c r="Q566" s="211"/>
      <c r="R566" s="211"/>
      <c r="V566" s="211"/>
      <c r="Y566" s="211"/>
      <c r="Z566" s="305"/>
      <c r="AA566" s="211"/>
      <c r="AB566" s="211"/>
      <c r="AC566" s="211"/>
      <c r="AD566" s="211"/>
      <c r="AE566" s="211"/>
      <c r="AF566" s="211"/>
      <c r="AI566" s="211"/>
      <c r="AJ566" s="211"/>
      <c r="AK566" s="212"/>
      <c r="AL566" s="211"/>
    </row>
    <row r="567" spans="1:40" x14ac:dyDescent="0.25">
      <c r="A567" s="202"/>
      <c r="C567" s="154"/>
      <c r="D567" s="154"/>
      <c r="E567" s="154"/>
      <c r="T567" s="154"/>
      <c r="U567" s="154"/>
      <c r="V567" s="200"/>
      <c r="W567" s="200"/>
      <c r="X567" s="200"/>
      <c r="Y567" s="200"/>
      <c r="Z567" s="328"/>
    </row>
    <row r="568" spans="1:40" x14ac:dyDescent="0.25">
      <c r="A568" s="202"/>
      <c r="C568" s="154"/>
      <c r="T568" s="154"/>
      <c r="V568" s="200"/>
      <c r="W568" s="200"/>
      <c r="X568" s="200"/>
      <c r="Y568" s="200"/>
      <c r="Z568" s="328"/>
    </row>
    <row r="569" spans="1:40" x14ac:dyDescent="0.25">
      <c r="A569" s="202"/>
      <c r="C569" s="154"/>
      <c r="F569" s="252"/>
      <c r="H569" s="252"/>
      <c r="I569" s="252"/>
      <c r="J569" s="328"/>
      <c r="K569" s="328"/>
      <c r="L569" s="200"/>
      <c r="M569" s="200"/>
      <c r="N569" s="210"/>
      <c r="O569" s="210"/>
      <c r="P569" s="200"/>
      <c r="Q569" s="200"/>
      <c r="R569" s="200"/>
      <c r="T569" s="154"/>
      <c r="V569" s="200"/>
      <c r="W569" s="200"/>
      <c r="X569" s="200"/>
      <c r="Y569" s="200"/>
      <c r="Z569" s="328"/>
      <c r="AA569" s="200"/>
      <c r="AB569" s="200"/>
      <c r="AC569" s="210"/>
      <c r="AD569" s="210"/>
      <c r="AE569" s="200"/>
      <c r="AF569" s="200"/>
      <c r="AG569" s="209"/>
      <c r="AH569" s="201"/>
      <c r="AI569" s="200"/>
      <c r="AJ569" s="200"/>
      <c r="AK569" s="209"/>
      <c r="AL569" s="200"/>
      <c r="AM569" s="210"/>
      <c r="AN569" s="210"/>
    </row>
    <row r="570" spans="1:40" x14ac:dyDescent="0.25">
      <c r="A570" s="202"/>
      <c r="C570" s="154"/>
      <c r="T570" s="154"/>
      <c r="V570" s="200"/>
      <c r="W570" s="200"/>
      <c r="X570" s="200"/>
      <c r="Y570" s="200"/>
      <c r="Z570" s="328"/>
    </row>
    <row r="571" spans="1:40" x14ac:dyDescent="0.25">
      <c r="A571" s="202"/>
      <c r="C571" s="154"/>
      <c r="F571" s="252"/>
      <c r="H571" s="252"/>
      <c r="I571" s="252"/>
      <c r="J571" s="328"/>
      <c r="K571" s="328"/>
      <c r="L571" s="200"/>
      <c r="M571" s="200"/>
      <c r="N571" s="210"/>
      <c r="O571" s="210"/>
      <c r="P571" s="200"/>
      <c r="Q571" s="200"/>
      <c r="R571" s="200"/>
      <c r="T571" s="154"/>
      <c r="V571" s="200"/>
      <c r="W571" s="200"/>
      <c r="X571" s="200"/>
      <c r="Y571" s="200"/>
      <c r="Z571" s="328"/>
      <c r="AA571" s="200"/>
      <c r="AB571" s="200"/>
      <c r="AC571" s="210"/>
      <c r="AD571" s="210"/>
      <c r="AE571" s="200"/>
      <c r="AF571" s="200"/>
      <c r="AG571" s="209"/>
      <c r="AH571" s="201"/>
      <c r="AI571" s="200"/>
      <c r="AJ571" s="200"/>
      <c r="AK571" s="209"/>
      <c r="AL571" s="200"/>
      <c r="AM571" s="210"/>
      <c r="AN571" s="210"/>
    </row>
    <row r="572" spans="1:40" x14ac:dyDescent="0.25">
      <c r="A572" s="202"/>
      <c r="C572" s="154"/>
      <c r="T572" s="154"/>
      <c r="V572" s="200"/>
      <c r="W572" s="200"/>
      <c r="X572" s="200"/>
      <c r="Y572" s="200"/>
      <c r="Z572" s="328"/>
    </row>
    <row r="573" spans="1:40" x14ac:dyDescent="0.25">
      <c r="A573" s="202"/>
      <c r="C573" s="154"/>
      <c r="F573" s="252"/>
      <c r="H573" s="252"/>
      <c r="I573" s="252"/>
      <c r="J573" s="328"/>
      <c r="K573" s="328"/>
      <c r="L573" s="200"/>
      <c r="M573" s="200"/>
      <c r="N573" s="210"/>
      <c r="O573" s="210"/>
      <c r="P573" s="200"/>
      <c r="Q573" s="200"/>
      <c r="R573" s="200"/>
      <c r="T573" s="154"/>
      <c r="V573" s="200"/>
      <c r="W573" s="200"/>
      <c r="X573" s="200"/>
      <c r="Y573" s="200"/>
      <c r="Z573" s="328"/>
      <c r="AA573" s="200"/>
      <c r="AB573" s="200"/>
      <c r="AC573" s="210"/>
      <c r="AD573" s="210"/>
      <c r="AE573" s="200"/>
      <c r="AF573" s="200"/>
      <c r="AG573" s="209"/>
      <c r="AH573" s="201"/>
      <c r="AI573" s="200"/>
      <c r="AJ573" s="200"/>
      <c r="AK573" s="209"/>
      <c r="AL573" s="200"/>
      <c r="AM573" s="210"/>
      <c r="AN573" s="210"/>
    </row>
    <row r="574" spans="1:40" x14ac:dyDescent="0.25">
      <c r="A574" s="202"/>
      <c r="C574" s="154"/>
      <c r="T574" s="154"/>
      <c r="V574" s="200"/>
      <c r="W574" s="200"/>
      <c r="X574" s="200"/>
      <c r="Y574" s="200"/>
      <c r="Z574" s="328"/>
    </row>
    <row r="575" spans="1:40" x14ac:dyDescent="0.25">
      <c r="A575" s="202"/>
      <c r="C575" s="154"/>
      <c r="F575" s="252"/>
      <c r="H575" s="252"/>
      <c r="I575" s="252"/>
      <c r="J575" s="328"/>
      <c r="K575" s="328"/>
      <c r="L575" s="200"/>
      <c r="M575" s="200"/>
      <c r="N575" s="210"/>
      <c r="O575" s="210"/>
      <c r="P575" s="200"/>
      <c r="Q575" s="200"/>
      <c r="R575" s="200"/>
      <c r="T575" s="154"/>
      <c r="V575" s="200"/>
      <c r="W575" s="200"/>
      <c r="X575" s="200"/>
      <c r="Y575" s="200"/>
      <c r="Z575" s="328"/>
      <c r="AA575" s="200"/>
      <c r="AB575" s="200"/>
      <c r="AC575" s="210"/>
      <c r="AD575" s="210"/>
      <c r="AE575" s="200"/>
      <c r="AF575" s="200"/>
      <c r="AG575" s="209"/>
      <c r="AH575" s="201"/>
      <c r="AI575" s="200"/>
      <c r="AJ575" s="200"/>
      <c r="AK575" s="209"/>
      <c r="AL575" s="200"/>
      <c r="AM575" s="210"/>
      <c r="AN575" s="210"/>
    </row>
    <row r="576" spans="1:40" x14ac:dyDescent="0.25">
      <c r="F576" s="211"/>
      <c r="H576" s="211"/>
      <c r="I576" s="211"/>
      <c r="J576" s="305"/>
      <c r="K576" s="305"/>
      <c r="L576" s="211"/>
      <c r="M576" s="211"/>
      <c r="N576" s="211"/>
      <c r="O576" s="211"/>
      <c r="P576" s="211"/>
      <c r="Q576" s="211"/>
      <c r="R576" s="211"/>
      <c r="V576" s="211"/>
      <c r="Y576" s="211"/>
      <c r="Z576" s="305"/>
      <c r="AA576" s="211"/>
      <c r="AB576" s="211"/>
      <c r="AC576" s="211"/>
      <c r="AD576" s="211"/>
      <c r="AE576" s="211"/>
      <c r="AF576" s="211"/>
      <c r="AI576" s="211"/>
      <c r="AJ576" s="211"/>
      <c r="AK576" s="212"/>
      <c r="AL576" s="211"/>
    </row>
    <row r="577" spans="1:40" x14ac:dyDescent="0.25">
      <c r="A577" s="202"/>
      <c r="C577" s="154"/>
      <c r="F577" s="200"/>
      <c r="H577" s="200"/>
      <c r="I577" s="200"/>
      <c r="L577" s="200"/>
      <c r="M577" s="200"/>
      <c r="N577" s="210"/>
      <c r="O577" s="210"/>
      <c r="P577" s="252"/>
      <c r="Q577" s="252"/>
      <c r="R577" s="200"/>
      <c r="T577" s="154"/>
      <c r="V577" s="200"/>
      <c r="W577" s="200"/>
      <c r="X577" s="200"/>
      <c r="Y577" s="200"/>
      <c r="Z577" s="328"/>
      <c r="AA577" s="200"/>
      <c r="AB577" s="200"/>
      <c r="AC577" s="210"/>
      <c r="AD577" s="210"/>
      <c r="AE577" s="200"/>
      <c r="AF577" s="200"/>
      <c r="AG577" s="209"/>
      <c r="AH577" s="201"/>
      <c r="AI577" s="252"/>
      <c r="AJ577" s="252"/>
      <c r="AK577" s="209"/>
      <c r="AL577" s="200"/>
      <c r="AM577" s="210"/>
      <c r="AN577" s="210"/>
    </row>
    <row r="578" spans="1:40" x14ac:dyDescent="0.25">
      <c r="F578" s="211"/>
      <c r="H578" s="211"/>
      <c r="I578" s="211"/>
      <c r="J578" s="305"/>
      <c r="K578" s="305"/>
      <c r="L578" s="211"/>
      <c r="M578" s="211"/>
      <c r="N578" s="211"/>
      <c r="O578" s="211"/>
      <c r="P578" s="211"/>
      <c r="Q578" s="211"/>
      <c r="R578" s="211"/>
      <c r="V578" s="211"/>
      <c r="Y578" s="211"/>
      <c r="Z578" s="305"/>
      <c r="AA578" s="211"/>
      <c r="AB578" s="211"/>
      <c r="AC578" s="211"/>
      <c r="AD578" s="211"/>
      <c r="AE578" s="211"/>
      <c r="AF578" s="211"/>
      <c r="AI578" s="211"/>
      <c r="AJ578" s="211"/>
      <c r="AK578" s="212"/>
      <c r="AL578" s="211"/>
    </row>
    <row r="579" spans="1:40" x14ac:dyDescent="0.25">
      <c r="A579" s="202"/>
      <c r="C579" s="154"/>
      <c r="F579" s="200"/>
      <c r="H579" s="200"/>
      <c r="I579" s="200"/>
      <c r="L579" s="200"/>
      <c r="M579" s="200"/>
      <c r="N579" s="210"/>
      <c r="O579" s="210"/>
      <c r="P579" s="200"/>
      <c r="Q579" s="200"/>
      <c r="R579" s="200"/>
      <c r="T579" s="154"/>
      <c r="V579" s="200"/>
      <c r="W579" s="200"/>
      <c r="X579" s="200"/>
      <c r="Y579" s="200"/>
      <c r="AA579" s="200"/>
      <c r="AB579" s="200"/>
      <c r="AC579" s="210"/>
      <c r="AD579" s="210"/>
      <c r="AE579" s="200"/>
      <c r="AF579" s="200"/>
      <c r="AG579" s="209"/>
      <c r="AH579" s="201"/>
      <c r="AI579" s="200"/>
      <c r="AJ579" s="200"/>
      <c r="AK579" s="209"/>
      <c r="AL579" s="200"/>
      <c r="AM579" s="201"/>
      <c r="AN579" s="201"/>
    </row>
    <row r="580" spans="1:40" x14ac:dyDescent="0.25">
      <c r="F580" s="211"/>
      <c r="H580" s="211"/>
      <c r="I580" s="211"/>
      <c r="J580" s="305"/>
      <c r="K580" s="305"/>
      <c r="L580" s="211"/>
      <c r="M580" s="211"/>
      <c r="N580" s="211"/>
      <c r="O580" s="211"/>
      <c r="P580" s="211"/>
      <c r="Q580" s="211"/>
      <c r="R580" s="211"/>
      <c r="V580" s="211"/>
      <c r="Y580" s="211"/>
      <c r="Z580" s="305"/>
      <c r="AA580" s="211"/>
      <c r="AB580" s="211"/>
      <c r="AC580" s="211"/>
      <c r="AD580" s="211"/>
      <c r="AE580" s="211"/>
      <c r="AF580" s="211"/>
      <c r="AI580" s="211"/>
      <c r="AJ580" s="211"/>
      <c r="AK580" s="212"/>
      <c r="AL580" s="211"/>
    </row>
    <row r="582" spans="1:40" x14ac:dyDescent="0.25">
      <c r="C582" s="202"/>
      <c r="T582" s="202"/>
    </row>
    <row r="583" spans="1:40" x14ac:dyDescent="0.25">
      <c r="A583" s="154"/>
    </row>
    <row r="584" spans="1:40" x14ac:dyDescent="0.25">
      <c r="J584" s="202"/>
      <c r="K584" s="202"/>
      <c r="Z584" s="202"/>
    </row>
    <row r="585" spans="1:40" x14ac:dyDescent="0.25">
      <c r="H585" s="154"/>
      <c r="I585" s="154"/>
      <c r="Y585" s="154"/>
    </row>
    <row r="586" spans="1:40" x14ac:dyDescent="0.25">
      <c r="J586" s="202"/>
      <c r="K586" s="202"/>
      <c r="Z586" s="202"/>
    </row>
    <row r="587" spans="1:40" x14ac:dyDescent="0.25">
      <c r="L587" s="154"/>
      <c r="M587" s="154"/>
      <c r="AA587" s="154"/>
      <c r="AB587" s="154"/>
    </row>
    <row r="588" spans="1:40" x14ac:dyDescent="0.25">
      <c r="A588" s="202"/>
      <c r="R588" s="154"/>
      <c r="AK588" s="297"/>
      <c r="AL588" s="154"/>
    </row>
    <row r="589" spans="1:40" x14ac:dyDescent="0.25">
      <c r="A589" s="202"/>
      <c r="R589" s="154"/>
      <c r="AK589" s="297"/>
      <c r="AL589" s="154"/>
    </row>
    <row r="590" spans="1:40" x14ac:dyDescent="0.25">
      <c r="A590" s="154"/>
      <c r="R590" s="154"/>
      <c r="AK590" s="297"/>
      <c r="AL590" s="154"/>
    </row>
    <row r="591" spans="1:40" x14ac:dyDescent="0.25">
      <c r="L591" s="154"/>
      <c r="M591" s="154"/>
      <c r="R591" s="202"/>
      <c r="AA591" s="154"/>
      <c r="AB591" s="154"/>
      <c r="AK591" s="209"/>
      <c r="AL591" s="202"/>
    </row>
    <row r="592" spans="1:40" x14ac:dyDescent="0.25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208"/>
      <c r="AH592" s="102"/>
      <c r="AI592" s="102"/>
      <c r="AJ592" s="102"/>
      <c r="AK592" s="208"/>
      <c r="AL592" s="102"/>
      <c r="AM592" s="102"/>
      <c r="AN592" s="102"/>
    </row>
    <row r="593" spans="1:40" x14ac:dyDescent="0.25">
      <c r="L593" s="103"/>
      <c r="M593" s="103"/>
      <c r="N593" s="103"/>
      <c r="O593" s="103"/>
      <c r="R593" s="103"/>
      <c r="AA593" s="103"/>
      <c r="AB593" s="103"/>
      <c r="AC593" s="103"/>
      <c r="AD593" s="103"/>
      <c r="AE593" s="103"/>
      <c r="AF593" s="103"/>
      <c r="AG593" s="185"/>
      <c r="AH593" s="103"/>
      <c r="AK593" s="185"/>
      <c r="AL593" s="103"/>
      <c r="AM593" s="103"/>
      <c r="AN593" s="103"/>
    </row>
    <row r="594" spans="1:40" x14ac:dyDescent="0.25">
      <c r="L594" s="103"/>
      <c r="M594" s="103"/>
      <c r="N594" s="103"/>
      <c r="O594" s="103"/>
      <c r="R594" s="103"/>
      <c r="Z594" s="103"/>
      <c r="AA594" s="103"/>
      <c r="AB594" s="103"/>
      <c r="AC594" s="103"/>
      <c r="AD594" s="103"/>
      <c r="AE594" s="103"/>
      <c r="AF594" s="103"/>
      <c r="AG594" s="185"/>
      <c r="AH594" s="103"/>
      <c r="AK594" s="185"/>
      <c r="AL594" s="103"/>
      <c r="AM594" s="103"/>
      <c r="AN594" s="103"/>
    </row>
    <row r="595" spans="1:40" x14ac:dyDescent="0.25">
      <c r="A595" s="103"/>
      <c r="C595" s="103"/>
      <c r="D595" s="103"/>
      <c r="E595" s="103"/>
      <c r="F595" s="103"/>
      <c r="J595" s="103"/>
      <c r="K595" s="103"/>
      <c r="L595" s="103"/>
      <c r="M595" s="103"/>
      <c r="N595" s="103"/>
      <c r="O595" s="103"/>
      <c r="P595" s="103"/>
      <c r="Q595" s="103"/>
      <c r="R595" s="103"/>
      <c r="T595" s="103"/>
      <c r="U595" s="103"/>
      <c r="V595" s="103"/>
      <c r="Z595" s="103"/>
      <c r="AA595" s="103"/>
      <c r="AB595" s="103"/>
      <c r="AC595" s="103"/>
      <c r="AD595" s="103"/>
      <c r="AE595" s="103"/>
      <c r="AF595" s="103"/>
      <c r="AG595" s="185"/>
      <c r="AH595" s="103"/>
      <c r="AI595" s="103"/>
      <c r="AJ595" s="103"/>
      <c r="AK595" s="185"/>
      <c r="AL595" s="103"/>
      <c r="AM595" s="103"/>
      <c r="AN595" s="103"/>
    </row>
    <row r="596" spans="1:40" x14ac:dyDescent="0.25">
      <c r="A596" s="103"/>
      <c r="C596" s="103"/>
      <c r="D596" s="103"/>
      <c r="E596" s="103"/>
      <c r="F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T596" s="103"/>
      <c r="U596" s="103"/>
      <c r="V596" s="103"/>
      <c r="Y596" s="103"/>
      <c r="Z596" s="103"/>
      <c r="AA596" s="103"/>
      <c r="AB596" s="103"/>
      <c r="AC596" s="103"/>
      <c r="AD596" s="103"/>
      <c r="AE596" s="103"/>
      <c r="AF596" s="103"/>
      <c r="AG596" s="185"/>
      <c r="AH596" s="103"/>
      <c r="AI596" s="103"/>
      <c r="AJ596" s="103"/>
      <c r="AK596" s="185"/>
      <c r="AL596" s="103"/>
      <c r="AM596" s="103"/>
      <c r="AN596" s="103"/>
    </row>
    <row r="597" spans="1:40" x14ac:dyDescent="0.25">
      <c r="C597" s="103"/>
      <c r="D597" s="103"/>
      <c r="E597" s="103"/>
      <c r="F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T597" s="103"/>
      <c r="U597" s="103"/>
      <c r="V597" s="103"/>
      <c r="Y597" s="103"/>
      <c r="Z597" s="103"/>
      <c r="AA597" s="103"/>
      <c r="AB597" s="103"/>
      <c r="AC597" s="103"/>
      <c r="AD597" s="103"/>
      <c r="AE597" s="103"/>
      <c r="AF597" s="103"/>
      <c r="AG597" s="185"/>
      <c r="AH597" s="103"/>
      <c r="AI597" s="103"/>
      <c r="AJ597" s="103"/>
      <c r="AK597" s="185"/>
      <c r="AL597" s="103"/>
      <c r="AM597" s="103"/>
      <c r="AN597" s="103"/>
    </row>
    <row r="598" spans="1:40" x14ac:dyDescent="0.25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208"/>
      <c r="AH598" s="102"/>
      <c r="AI598" s="102"/>
      <c r="AJ598" s="102"/>
      <c r="AK598" s="208"/>
      <c r="AL598" s="102"/>
      <c r="AM598" s="102"/>
      <c r="AN598" s="102"/>
    </row>
    <row r="599" spans="1:40" x14ac:dyDescent="0.25"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Y599" s="103"/>
      <c r="Z599" s="103"/>
      <c r="AA599" s="103"/>
      <c r="AB599" s="103"/>
      <c r="AC599" s="103"/>
      <c r="AD599" s="103"/>
      <c r="AE599" s="103"/>
      <c r="AF599" s="103"/>
      <c r="AG599" s="185"/>
      <c r="AH599" s="103"/>
      <c r="AI599" s="103"/>
      <c r="AJ599" s="103"/>
      <c r="AK599" s="185"/>
      <c r="AL599" s="103"/>
      <c r="AM599" s="103"/>
      <c r="AN599" s="103"/>
    </row>
    <row r="600" spans="1:40" x14ac:dyDescent="0.25">
      <c r="A600" s="202"/>
      <c r="C600" s="154"/>
      <c r="D600" s="154"/>
      <c r="E600" s="154"/>
      <c r="F600" s="200"/>
      <c r="H600" s="200"/>
      <c r="I600" s="200"/>
      <c r="J600" s="213"/>
      <c r="K600" s="213"/>
      <c r="L600" s="200"/>
      <c r="M600" s="200"/>
      <c r="N600" s="213"/>
      <c r="O600" s="213"/>
      <c r="P600" s="200"/>
      <c r="Q600" s="200"/>
      <c r="R600" s="200"/>
      <c r="T600" s="154"/>
      <c r="U600" s="154"/>
      <c r="V600" s="200"/>
      <c r="Y600" s="200"/>
      <c r="Z600" s="213"/>
      <c r="AA600" s="200"/>
      <c r="AB600" s="200"/>
      <c r="AC600" s="213"/>
      <c r="AD600" s="213"/>
      <c r="AE600" s="200"/>
      <c r="AF600" s="200"/>
      <c r="AG600" s="209"/>
      <c r="AH600" s="201"/>
      <c r="AI600" s="200"/>
      <c r="AJ600" s="200"/>
      <c r="AK600" s="209"/>
      <c r="AL600" s="200"/>
      <c r="AM600" s="210"/>
      <c r="AN600" s="210"/>
    </row>
    <row r="601" spans="1:40" x14ac:dyDescent="0.25">
      <c r="F601" s="211"/>
      <c r="H601" s="211"/>
      <c r="I601" s="211"/>
      <c r="J601" s="305"/>
      <c r="K601" s="305"/>
      <c r="L601" s="211"/>
      <c r="M601" s="211"/>
      <c r="N601" s="211"/>
      <c r="O601" s="211"/>
      <c r="P601" s="211"/>
      <c r="Q601" s="211"/>
      <c r="R601" s="211"/>
      <c r="V601" s="211"/>
      <c r="Y601" s="211"/>
      <c r="Z601" s="305"/>
      <c r="AA601" s="211"/>
      <c r="AB601" s="211"/>
      <c r="AC601" s="211"/>
      <c r="AD601" s="211"/>
      <c r="AE601" s="211"/>
      <c r="AF601" s="211"/>
      <c r="AI601" s="211"/>
      <c r="AJ601" s="211"/>
      <c r="AK601" s="212"/>
      <c r="AL601" s="211"/>
      <c r="AM601" s="210"/>
      <c r="AN601" s="210"/>
    </row>
    <row r="602" spans="1:40" x14ac:dyDescent="0.25">
      <c r="A602" s="202"/>
      <c r="C602" s="154"/>
      <c r="F602" s="200"/>
      <c r="H602" s="200"/>
      <c r="I602" s="200"/>
      <c r="J602" s="213"/>
      <c r="K602" s="213"/>
      <c r="L602" s="200"/>
      <c r="M602" s="200"/>
      <c r="N602" s="213"/>
      <c r="O602" s="213"/>
      <c r="P602" s="200"/>
      <c r="Q602" s="200"/>
      <c r="R602" s="200"/>
      <c r="T602" s="154"/>
      <c r="V602" s="200"/>
      <c r="Y602" s="200"/>
      <c r="Z602" s="213"/>
      <c r="AA602" s="200"/>
      <c r="AB602" s="200"/>
      <c r="AC602" s="213"/>
      <c r="AD602" s="213"/>
      <c r="AE602" s="200"/>
      <c r="AF602" s="200"/>
      <c r="AG602" s="209"/>
      <c r="AH602" s="201"/>
      <c r="AI602" s="200"/>
      <c r="AJ602" s="200"/>
      <c r="AK602" s="209"/>
      <c r="AL602" s="200"/>
      <c r="AM602" s="210"/>
      <c r="AN602" s="210"/>
    </row>
    <row r="603" spans="1:40" x14ac:dyDescent="0.25">
      <c r="F603" s="200"/>
      <c r="H603" s="200"/>
      <c r="I603" s="200"/>
      <c r="J603" s="213"/>
      <c r="K603" s="213"/>
      <c r="L603" s="200"/>
      <c r="M603" s="200"/>
      <c r="N603" s="213"/>
      <c r="O603" s="213"/>
      <c r="P603" s="200"/>
      <c r="Q603" s="200"/>
      <c r="R603" s="200"/>
      <c r="V603" s="200"/>
      <c r="Y603" s="200"/>
      <c r="Z603" s="213"/>
      <c r="AA603" s="200"/>
      <c r="AB603" s="200"/>
      <c r="AC603" s="213"/>
      <c r="AD603" s="213"/>
      <c r="AG603" s="209"/>
      <c r="AH603" s="201"/>
      <c r="AI603" s="200"/>
      <c r="AJ603" s="200"/>
      <c r="AK603" s="209"/>
      <c r="AL603" s="200"/>
      <c r="AM603" s="210"/>
      <c r="AN603" s="210"/>
    </row>
    <row r="604" spans="1:40" x14ac:dyDescent="0.25">
      <c r="A604" s="202"/>
      <c r="C604" s="154"/>
      <c r="D604" s="154"/>
      <c r="E604" s="154"/>
      <c r="F604" s="200"/>
      <c r="H604" s="200"/>
      <c r="I604" s="200"/>
      <c r="J604" s="213"/>
      <c r="K604" s="213"/>
      <c r="L604" s="200"/>
      <c r="M604" s="200"/>
      <c r="N604" s="213"/>
      <c r="O604" s="213"/>
      <c r="P604" s="200"/>
      <c r="Q604" s="200"/>
      <c r="R604" s="200"/>
      <c r="T604" s="154"/>
      <c r="U604" s="154"/>
      <c r="V604" s="200"/>
      <c r="Y604" s="200"/>
      <c r="Z604" s="213"/>
      <c r="AA604" s="200"/>
      <c r="AB604" s="200"/>
      <c r="AC604" s="213"/>
      <c r="AD604" s="213"/>
      <c r="AE604" s="200"/>
      <c r="AF604" s="200"/>
      <c r="AG604" s="209"/>
      <c r="AH604" s="201"/>
      <c r="AI604" s="200"/>
      <c r="AJ604" s="200"/>
      <c r="AK604" s="209"/>
      <c r="AL604" s="200"/>
      <c r="AM604" s="210"/>
      <c r="AN604" s="210"/>
    </row>
    <row r="605" spans="1:40" x14ac:dyDescent="0.25">
      <c r="A605" s="202"/>
      <c r="C605" s="154"/>
      <c r="D605" s="154"/>
      <c r="E605" s="154"/>
      <c r="F605" s="200"/>
      <c r="H605" s="200"/>
      <c r="I605" s="200"/>
      <c r="J605" s="213"/>
      <c r="K605" s="213"/>
      <c r="L605" s="200"/>
      <c r="M605" s="200"/>
      <c r="N605" s="213"/>
      <c r="O605" s="213"/>
      <c r="P605" s="200"/>
      <c r="Q605" s="200"/>
      <c r="R605" s="200"/>
      <c r="T605" s="154"/>
      <c r="U605" s="154"/>
      <c r="V605" s="200"/>
      <c r="Y605" s="200"/>
      <c r="Z605" s="213"/>
      <c r="AA605" s="200"/>
      <c r="AB605" s="200"/>
      <c r="AC605" s="213"/>
      <c r="AD605" s="213"/>
      <c r="AE605" s="200"/>
      <c r="AF605" s="200"/>
      <c r="AG605" s="209"/>
      <c r="AH605" s="201"/>
      <c r="AI605" s="200"/>
      <c r="AJ605" s="200"/>
      <c r="AK605" s="209"/>
      <c r="AL605" s="200"/>
      <c r="AM605" s="210"/>
      <c r="AN605" s="210"/>
    </row>
    <row r="606" spans="1:40" x14ac:dyDescent="0.25">
      <c r="A606" s="202"/>
      <c r="C606" s="154"/>
      <c r="D606" s="154"/>
      <c r="E606" s="154"/>
      <c r="F606" s="200"/>
      <c r="H606" s="200"/>
      <c r="I606" s="200"/>
      <c r="J606" s="213"/>
      <c r="K606" s="213"/>
      <c r="L606" s="200"/>
      <c r="M606" s="200"/>
      <c r="N606" s="213"/>
      <c r="O606" s="213"/>
      <c r="P606" s="200"/>
      <c r="Q606" s="200"/>
      <c r="R606" s="200"/>
      <c r="T606" s="154"/>
      <c r="U606" s="154"/>
      <c r="V606" s="200"/>
      <c r="Y606" s="200"/>
      <c r="Z606" s="213"/>
      <c r="AA606" s="200"/>
      <c r="AB606" s="200"/>
      <c r="AC606" s="213"/>
      <c r="AD606" s="213"/>
      <c r="AE606" s="200"/>
      <c r="AF606" s="200"/>
      <c r="AG606" s="209"/>
      <c r="AH606" s="201"/>
      <c r="AI606" s="200"/>
      <c r="AJ606" s="200"/>
      <c r="AK606" s="209"/>
      <c r="AL606" s="200"/>
      <c r="AM606" s="210"/>
      <c r="AN606" s="210"/>
    </row>
    <row r="607" spans="1:40" x14ac:dyDescent="0.25">
      <c r="A607" s="202"/>
      <c r="C607" s="154"/>
      <c r="D607" s="154"/>
      <c r="E607" s="154"/>
      <c r="F607" s="200"/>
      <c r="H607" s="200"/>
      <c r="I607" s="200"/>
      <c r="J607" s="213"/>
      <c r="K607" s="213"/>
      <c r="L607" s="200"/>
      <c r="M607" s="200"/>
      <c r="N607" s="213"/>
      <c r="O607" s="213"/>
      <c r="P607" s="200"/>
      <c r="Q607" s="200"/>
      <c r="R607" s="200"/>
      <c r="T607" s="154"/>
      <c r="U607" s="154"/>
      <c r="V607" s="200"/>
      <c r="Y607" s="200"/>
      <c r="Z607" s="213"/>
      <c r="AA607" s="200"/>
      <c r="AB607" s="200"/>
      <c r="AC607" s="213"/>
      <c r="AD607" s="213"/>
      <c r="AE607" s="200"/>
      <c r="AF607" s="200"/>
      <c r="AG607" s="209"/>
      <c r="AH607" s="201"/>
      <c r="AI607" s="200"/>
      <c r="AJ607" s="200"/>
      <c r="AK607" s="209"/>
      <c r="AL607" s="200"/>
      <c r="AM607" s="210"/>
      <c r="AN607" s="210"/>
    </row>
    <row r="608" spans="1:40" x14ac:dyDescent="0.25">
      <c r="A608" s="202"/>
      <c r="C608" s="154"/>
      <c r="D608" s="154"/>
      <c r="E608" s="154"/>
      <c r="F608" s="200"/>
      <c r="H608" s="200"/>
      <c r="I608" s="200"/>
      <c r="J608" s="213"/>
      <c r="K608" s="213"/>
      <c r="L608" s="200"/>
      <c r="M608" s="200"/>
      <c r="N608" s="213"/>
      <c r="O608" s="213"/>
      <c r="P608" s="200"/>
      <c r="Q608" s="200"/>
      <c r="R608" s="200"/>
      <c r="T608" s="154"/>
      <c r="U608" s="154"/>
      <c r="V608" s="200"/>
      <c r="Y608" s="200"/>
      <c r="Z608" s="213"/>
      <c r="AA608" s="200"/>
      <c r="AB608" s="200"/>
      <c r="AC608" s="213"/>
      <c r="AD608" s="213"/>
      <c r="AE608" s="200"/>
      <c r="AF608" s="200"/>
      <c r="AG608" s="209"/>
      <c r="AH608" s="201"/>
      <c r="AI608" s="200"/>
      <c r="AJ608" s="200"/>
      <c r="AK608" s="209"/>
      <c r="AL608" s="200"/>
      <c r="AM608" s="210"/>
      <c r="AN608" s="210"/>
    </row>
    <row r="609" spans="1:40" x14ac:dyDescent="0.25">
      <c r="A609" s="202"/>
      <c r="C609" s="154"/>
      <c r="D609" s="154"/>
      <c r="E609" s="154"/>
      <c r="F609" s="200"/>
      <c r="H609" s="200"/>
      <c r="I609" s="200"/>
      <c r="J609" s="213"/>
      <c r="K609" s="213"/>
      <c r="L609" s="200"/>
      <c r="M609" s="200"/>
      <c r="N609" s="213"/>
      <c r="O609" s="213"/>
      <c r="P609" s="200"/>
      <c r="Q609" s="200"/>
      <c r="R609" s="200"/>
      <c r="T609" s="154"/>
      <c r="U609" s="154"/>
      <c r="V609" s="200"/>
      <c r="Y609" s="200"/>
      <c r="Z609" s="213"/>
      <c r="AA609" s="200"/>
      <c r="AB609" s="200"/>
      <c r="AC609" s="213"/>
      <c r="AD609" s="213"/>
      <c r="AE609" s="200"/>
      <c r="AF609" s="200"/>
      <c r="AG609" s="209"/>
      <c r="AH609" s="201"/>
      <c r="AI609" s="200"/>
      <c r="AJ609" s="200"/>
      <c r="AK609" s="209"/>
      <c r="AL609" s="200"/>
      <c r="AM609" s="210"/>
      <c r="AN609" s="210"/>
    </row>
    <row r="610" spans="1:40" x14ac:dyDescent="0.25">
      <c r="F610" s="211"/>
      <c r="H610" s="211"/>
      <c r="I610" s="211"/>
      <c r="J610" s="305"/>
      <c r="K610" s="305"/>
      <c r="L610" s="211"/>
      <c r="M610" s="211"/>
      <c r="N610" s="211"/>
      <c r="O610" s="211"/>
      <c r="P610" s="211"/>
      <c r="Q610" s="211"/>
      <c r="R610" s="211"/>
      <c r="V610" s="211"/>
      <c r="Y610" s="211"/>
      <c r="Z610" s="305"/>
      <c r="AA610" s="211"/>
      <c r="AB610" s="211"/>
      <c r="AC610" s="211"/>
      <c r="AD610" s="211"/>
      <c r="AE610" s="211"/>
      <c r="AF610" s="211"/>
      <c r="AI610" s="211"/>
      <c r="AJ610" s="211"/>
      <c r="AK610" s="212"/>
      <c r="AL610" s="211"/>
      <c r="AM610" s="210"/>
      <c r="AN610" s="210"/>
    </row>
    <row r="611" spans="1:40" x14ac:dyDescent="0.25">
      <c r="A611" s="202"/>
      <c r="C611" s="154"/>
      <c r="F611" s="200"/>
      <c r="H611" s="200"/>
      <c r="I611" s="200"/>
      <c r="J611" s="213"/>
      <c r="K611" s="213"/>
      <c r="L611" s="200"/>
      <c r="M611" s="200"/>
      <c r="N611" s="213"/>
      <c r="O611" s="213"/>
      <c r="P611" s="200"/>
      <c r="Q611" s="200"/>
      <c r="R611" s="200"/>
      <c r="T611" s="154"/>
      <c r="V611" s="200"/>
      <c r="Y611" s="200"/>
      <c r="Z611" s="213"/>
      <c r="AA611" s="200"/>
      <c r="AB611" s="200"/>
      <c r="AC611" s="213"/>
      <c r="AD611" s="213"/>
      <c r="AE611" s="200"/>
      <c r="AF611" s="200"/>
      <c r="AG611" s="209"/>
      <c r="AH611" s="201"/>
      <c r="AI611" s="200"/>
      <c r="AJ611" s="200"/>
      <c r="AK611" s="209"/>
      <c r="AL611" s="200"/>
      <c r="AM611" s="210"/>
      <c r="AN611" s="210"/>
    </row>
    <row r="612" spans="1:40" x14ac:dyDescent="0.25">
      <c r="F612" s="200"/>
      <c r="H612" s="200"/>
      <c r="I612" s="200"/>
      <c r="J612" s="213"/>
      <c r="K612" s="213"/>
      <c r="L612" s="200"/>
      <c r="M612" s="200"/>
      <c r="N612" s="213"/>
      <c r="O612" s="213"/>
      <c r="P612" s="200"/>
      <c r="Q612" s="200"/>
      <c r="R612" s="200"/>
      <c r="V612" s="200"/>
      <c r="Y612" s="200"/>
      <c r="Z612" s="213"/>
      <c r="AA612" s="200"/>
      <c r="AB612" s="200"/>
      <c r="AC612" s="213"/>
      <c r="AD612" s="213"/>
      <c r="AG612" s="209"/>
      <c r="AH612" s="201"/>
      <c r="AI612" s="200"/>
      <c r="AJ612" s="200"/>
      <c r="AK612" s="209"/>
      <c r="AL612" s="200"/>
      <c r="AM612" s="210"/>
      <c r="AN612" s="210"/>
    </row>
    <row r="613" spans="1:40" x14ac:dyDescent="0.25">
      <c r="A613" s="202"/>
      <c r="C613" s="154"/>
      <c r="D613" s="154"/>
      <c r="E613" s="154"/>
      <c r="F613" s="200"/>
      <c r="H613" s="200"/>
      <c r="I613" s="200"/>
      <c r="J613" s="213"/>
      <c r="K613" s="213"/>
      <c r="L613" s="200"/>
      <c r="M613" s="200"/>
      <c r="N613" s="213"/>
      <c r="O613" s="213"/>
      <c r="P613" s="200"/>
      <c r="Q613" s="200"/>
      <c r="R613" s="200"/>
      <c r="T613" s="154"/>
      <c r="U613" s="154"/>
      <c r="V613" s="200"/>
      <c r="Y613" s="200"/>
      <c r="Z613" s="213"/>
      <c r="AA613" s="200"/>
      <c r="AB613" s="200"/>
      <c r="AC613" s="213"/>
      <c r="AD613" s="213"/>
      <c r="AE613" s="200"/>
      <c r="AF613" s="200"/>
      <c r="AG613" s="209"/>
      <c r="AH613" s="201"/>
      <c r="AI613" s="200"/>
      <c r="AJ613" s="200"/>
      <c r="AK613" s="209"/>
      <c r="AL613" s="200"/>
      <c r="AM613" s="210"/>
      <c r="AN613" s="210"/>
    </row>
    <row r="614" spans="1:40" x14ac:dyDescent="0.25">
      <c r="F614" s="211"/>
      <c r="H614" s="211"/>
      <c r="I614" s="211"/>
      <c r="J614" s="305"/>
      <c r="K614" s="305"/>
      <c r="L614" s="211"/>
      <c r="M614" s="211"/>
      <c r="N614" s="211"/>
      <c r="O614" s="211"/>
      <c r="P614" s="211"/>
      <c r="Q614" s="211"/>
      <c r="R614" s="211"/>
      <c r="V614" s="211"/>
      <c r="Y614" s="211"/>
      <c r="Z614" s="305"/>
      <c r="AA614" s="211"/>
      <c r="AB614" s="211"/>
      <c r="AC614" s="211"/>
      <c r="AD614" s="211"/>
      <c r="AE614" s="211"/>
      <c r="AF614" s="211"/>
      <c r="AI614" s="211"/>
      <c r="AJ614" s="211"/>
      <c r="AK614" s="212"/>
      <c r="AL614" s="211"/>
      <c r="AM614" s="210"/>
      <c r="AN614" s="210"/>
    </row>
    <row r="615" spans="1:40" x14ac:dyDescent="0.25">
      <c r="A615" s="202"/>
      <c r="C615" s="154"/>
      <c r="F615" s="200"/>
      <c r="H615" s="200"/>
      <c r="I615" s="200"/>
      <c r="J615" s="213"/>
      <c r="K615" s="213"/>
      <c r="L615" s="200"/>
      <c r="M615" s="200"/>
      <c r="N615" s="213"/>
      <c r="O615" s="213"/>
      <c r="P615" s="200"/>
      <c r="Q615" s="200"/>
      <c r="R615" s="200"/>
      <c r="T615" s="154"/>
      <c r="V615" s="200"/>
      <c r="Y615" s="200"/>
      <c r="Z615" s="213"/>
      <c r="AA615" s="200"/>
      <c r="AB615" s="200"/>
      <c r="AC615" s="213"/>
      <c r="AD615" s="213"/>
      <c r="AE615" s="200"/>
      <c r="AF615" s="200"/>
      <c r="AG615" s="209"/>
      <c r="AH615" s="201"/>
      <c r="AI615" s="200"/>
      <c r="AJ615" s="200"/>
      <c r="AK615" s="209"/>
      <c r="AL615" s="200"/>
      <c r="AM615" s="210"/>
      <c r="AN615" s="210"/>
    </row>
    <row r="616" spans="1:40" x14ac:dyDescent="0.25">
      <c r="F616" s="200"/>
      <c r="H616" s="200"/>
      <c r="I616" s="200"/>
      <c r="J616" s="213"/>
      <c r="K616" s="213"/>
      <c r="L616" s="200"/>
      <c r="M616" s="200"/>
      <c r="N616" s="213"/>
      <c r="O616" s="213"/>
      <c r="P616" s="200"/>
      <c r="Q616" s="200"/>
      <c r="R616" s="200"/>
      <c r="V616" s="200"/>
      <c r="Y616" s="200"/>
      <c r="Z616" s="213"/>
      <c r="AA616" s="200"/>
      <c r="AB616" s="200"/>
      <c r="AC616" s="213"/>
      <c r="AD616" s="213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A617" s="202"/>
      <c r="C617" s="154"/>
      <c r="D617" s="154"/>
      <c r="E617" s="154"/>
      <c r="F617" s="200"/>
      <c r="H617" s="200"/>
      <c r="I617" s="200"/>
      <c r="J617" s="213"/>
      <c r="K617" s="213"/>
      <c r="L617" s="200"/>
      <c r="M617" s="200"/>
      <c r="N617" s="213"/>
      <c r="O617" s="213"/>
      <c r="P617" s="200"/>
      <c r="Q617" s="200"/>
      <c r="R617" s="200"/>
      <c r="T617" s="154"/>
      <c r="U617" s="154"/>
      <c r="V617" s="200"/>
      <c r="Y617" s="200"/>
      <c r="Z617" s="213"/>
      <c r="AA617" s="200"/>
      <c r="AB617" s="200"/>
      <c r="AC617" s="213"/>
      <c r="AD617" s="213"/>
      <c r="AE617" s="200"/>
      <c r="AF617" s="200"/>
      <c r="AG617" s="209"/>
      <c r="AH617" s="201"/>
      <c r="AI617" s="200"/>
      <c r="AJ617" s="200"/>
      <c r="AK617" s="209"/>
      <c r="AL617" s="200"/>
      <c r="AM617" s="210"/>
      <c r="AN617" s="210"/>
    </row>
    <row r="618" spans="1:40" x14ac:dyDescent="0.25">
      <c r="A618" s="202"/>
      <c r="C618" s="154"/>
      <c r="D618" s="154"/>
      <c r="E618" s="154"/>
      <c r="F618" s="200"/>
      <c r="G618" s="200"/>
      <c r="H618" s="200"/>
      <c r="I618" s="200"/>
      <c r="J618" s="213"/>
      <c r="K618" s="213"/>
      <c r="L618" s="200"/>
      <c r="M618" s="200"/>
      <c r="N618" s="213"/>
      <c r="O618" s="213"/>
      <c r="P618" s="200"/>
      <c r="Q618" s="200"/>
      <c r="R618" s="200"/>
      <c r="T618" s="154"/>
      <c r="U618" s="154"/>
      <c r="V618" s="200"/>
      <c r="W618" s="200"/>
      <c r="X618" s="200"/>
      <c r="Y618" s="200"/>
      <c r="Z618" s="213"/>
      <c r="AA618" s="200"/>
      <c r="AB618" s="200"/>
      <c r="AC618" s="213"/>
      <c r="AD618" s="213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A619" s="202"/>
      <c r="C619" s="154"/>
      <c r="D619" s="154"/>
      <c r="E619" s="154"/>
      <c r="F619" s="200"/>
      <c r="G619" s="200"/>
      <c r="H619" s="200"/>
      <c r="I619" s="200"/>
      <c r="J619" s="213"/>
      <c r="K619" s="213"/>
      <c r="L619" s="200"/>
      <c r="M619" s="200"/>
      <c r="N619" s="213"/>
      <c r="O619" s="213"/>
      <c r="P619" s="200"/>
      <c r="Q619" s="200"/>
      <c r="R619" s="200"/>
      <c r="T619" s="154"/>
      <c r="U619" s="154"/>
      <c r="V619" s="200"/>
      <c r="W619" s="200"/>
      <c r="X619" s="200"/>
      <c r="Y619" s="200"/>
      <c r="Z619" s="213"/>
      <c r="AA619" s="200"/>
      <c r="AB619" s="200"/>
      <c r="AC619" s="213"/>
      <c r="AD619" s="213"/>
      <c r="AE619" s="200"/>
      <c r="AF619" s="200"/>
      <c r="AG619" s="209"/>
      <c r="AH619" s="201"/>
      <c r="AI619" s="200"/>
      <c r="AJ619" s="200"/>
      <c r="AK619" s="209"/>
      <c r="AL619" s="200"/>
      <c r="AM619" s="210"/>
      <c r="AN619" s="210"/>
    </row>
    <row r="620" spans="1:40" x14ac:dyDescent="0.25">
      <c r="A620" s="202"/>
      <c r="C620" s="154"/>
      <c r="D620" s="154"/>
      <c r="E620" s="154"/>
      <c r="F620" s="200"/>
      <c r="H620" s="200"/>
      <c r="I620" s="200"/>
      <c r="J620" s="213"/>
      <c r="K620" s="213"/>
      <c r="L620" s="200"/>
      <c r="M620" s="200"/>
      <c r="N620" s="213"/>
      <c r="O620" s="213"/>
      <c r="P620" s="200"/>
      <c r="Q620" s="200"/>
      <c r="R620" s="200"/>
      <c r="T620" s="154"/>
      <c r="U620" s="154"/>
      <c r="V620" s="200"/>
      <c r="Y620" s="200"/>
      <c r="Z620" s="213"/>
      <c r="AA620" s="200"/>
      <c r="AB620" s="200"/>
      <c r="AC620" s="213"/>
      <c r="AD620" s="213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A621" s="202"/>
      <c r="C621" s="154"/>
      <c r="D621" s="154"/>
      <c r="E621" s="154"/>
      <c r="F621" s="200"/>
      <c r="H621" s="200"/>
      <c r="I621" s="200"/>
      <c r="J621" s="213"/>
      <c r="K621" s="213"/>
      <c r="L621" s="200"/>
      <c r="M621" s="200"/>
      <c r="N621" s="213"/>
      <c r="O621" s="213"/>
      <c r="P621" s="200"/>
      <c r="Q621" s="200"/>
      <c r="R621" s="200"/>
      <c r="T621" s="154"/>
      <c r="U621" s="154"/>
      <c r="V621" s="200"/>
      <c r="Y621" s="200"/>
      <c r="Z621" s="213"/>
      <c r="AA621" s="200"/>
      <c r="AB621" s="200"/>
      <c r="AC621" s="213"/>
      <c r="AD621" s="213"/>
      <c r="AE621" s="200"/>
      <c r="AF621" s="200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A622" s="202"/>
      <c r="C622" s="154"/>
      <c r="D622" s="154"/>
      <c r="E622" s="154"/>
      <c r="F622" s="200"/>
      <c r="H622" s="200"/>
      <c r="I622" s="200"/>
      <c r="J622" s="213"/>
      <c r="K622" s="213"/>
      <c r="L622" s="200"/>
      <c r="M622" s="200"/>
      <c r="N622" s="213"/>
      <c r="O622" s="213"/>
      <c r="P622" s="200"/>
      <c r="Q622" s="200"/>
      <c r="R622" s="200"/>
      <c r="T622" s="154"/>
      <c r="U622" s="154"/>
      <c r="V622" s="200"/>
      <c r="Y622" s="200"/>
      <c r="Z622" s="213"/>
      <c r="AA622" s="200"/>
      <c r="AB622" s="200"/>
      <c r="AC622" s="213"/>
      <c r="AD622" s="213"/>
      <c r="AE622" s="200"/>
      <c r="AF622" s="200"/>
      <c r="AG622" s="209"/>
      <c r="AH622" s="201"/>
      <c r="AI622" s="200"/>
      <c r="AJ622" s="200"/>
      <c r="AK622" s="209"/>
      <c r="AL622" s="200"/>
      <c r="AM622" s="210"/>
      <c r="AN622" s="210"/>
    </row>
    <row r="623" spans="1:40" x14ac:dyDescent="0.25">
      <c r="A623" s="202"/>
      <c r="C623" s="154"/>
      <c r="D623" s="154"/>
      <c r="E623" s="154"/>
      <c r="F623" s="200"/>
      <c r="H623" s="200"/>
      <c r="I623" s="200"/>
      <c r="J623" s="213"/>
      <c r="K623" s="213"/>
      <c r="L623" s="200"/>
      <c r="M623" s="200"/>
      <c r="N623" s="213"/>
      <c r="O623" s="213"/>
      <c r="P623" s="200"/>
      <c r="Q623" s="200"/>
      <c r="R623" s="200"/>
      <c r="T623" s="154"/>
      <c r="U623" s="154"/>
      <c r="V623" s="200"/>
      <c r="Y623" s="200"/>
      <c r="Z623" s="213"/>
      <c r="AA623" s="200"/>
      <c r="AB623" s="200"/>
      <c r="AC623" s="213"/>
      <c r="AD623" s="213"/>
      <c r="AE623" s="200"/>
      <c r="AF623" s="200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F624" s="211"/>
      <c r="H624" s="211"/>
      <c r="I624" s="211"/>
      <c r="J624" s="305"/>
      <c r="K624" s="305"/>
      <c r="L624" s="211"/>
      <c r="M624" s="211"/>
      <c r="N624" s="211"/>
      <c r="O624" s="211"/>
      <c r="P624" s="211"/>
      <c r="Q624" s="211"/>
      <c r="R624" s="211"/>
      <c r="V624" s="211"/>
      <c r="Y624" s="211"/>
      <c r="Z624" s="305"/>
      <c r="AA624" s="211"/>
      <c r="AB624" s="211"/>
      <c r="AC624" s="211"/>
      <c r="AD624" s="211"/>
      <c r="AE624" s="211"/>
      <c r="AF624" s="211"/>
      <c r="AI624" s="211"/>
      <c r="AJ624" s="211"/>
      <c r="AK624" s="212"/>
      <c r="AL624" s="211"/>
      <c r="AM624" s="210"/>
      <c r="AN624" s="210"/>
    </row>
    <row r="625" spans="1:40" x14ac:dyDescent="0.25">
      <c r="A625" s="202"/>
      <c r="C625" s="154"/>
      <c r="F625" s="200"/>
      <c r="H625" s="200"/>
      <c r="I625" s="200"/>
      <c r="J625" s="213"/>
      <c r="K625" s="213"/>
      <c r="L625" s="200"/>
      <c r="M625" s="200"/>
      <c r="N625" s="213"/>
      <c r="O625" s="213"/>
      <c r="P625" s="200"/>
      <c r="Q625" s="200"/>
      <c r="R625" s="200"/>
      <c r="T625" s="154"/>
      <c r="V625" s="200"/>
      <c r="Y625" s="200"/>
      <c r="Z625" s="213"/>
      <c r="AA625" s="200"/>
      <c r="AB625" s="200"/>
      <c r="AC625" s="213"/>
      <c r="AD625" s="213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V626" s="200"/>
      <c r="Y626" s="200"/>
      <c r="Z626" s="305"/>
      <c r="AA626" s="200"/>
      <c r="AB626" s="200"/>
      <c r="AC626" s="200"/>
      <c r="AD626" s="200"/>
      <c r="AE626" s="200"/>
      <c r="AF626" s="200"/>
      <c r="AI626" s="200"/>
      <c r="AJ626" s="200"/>
      <c r="AK626" s="209"/>
      <c r="AL626" s="200"/>
      <c r="AM626" s="210"/>
      <c r="AN626" s="210"/>
    </row>
    <row r="627" spans="1:40" x14ac:dyDescent="0.25">
      <c r="A627" s="202"/>
      <c r="C627" s="154"/>
      <c r="D627" s="154"/>
      <c r="E627" s="154"/>
      <c r="L627" s="200"/>
      <c r="M627" s="200"/>
      <c r="N627" s="213"/>
      <c r="O627" s="213"/>
      <c r="P627" s="202"/>
      <c r="Q627" s="202"/>
      <c r="R627" s="200"/>
      <c r="T627" s="154"/>
      <c r="U627" s="154"/>
      <c r="AA627" s="200"/>
      <c r="AB627" s="200"/>
      <c r="AC627" s="213"/>
      <c r="AD627" s="213"/>
      <c r="AE627" s="200"/>
      <c r="AF627" s="200"/>
      <c r="AG627" s="209"/>
      <c r="AH627" s="201"/>
      <c r="AI627" s="202"/>
      <c r="AJ627" s="202"/>
      <c r="AK627" s="209"/>
      <c r="AL627" s="200"/>
      <c r="AM627" s="210"/>
      <c r="AN627" s="210"/>
    </row>
    <row r="628" spans="1:40" x14ac:dyDescent="0.25">
      <c r="A628" s="202"/>
      <c r="D628" s="154"/>
      <c r="E628" s="154"/>
      <c r="F628" s="252"/>
      <c r="H628" s="252"/>
      <c r="I628" s="252"/>
      <c r="J628" s="213"/>
      <c r="K628" s="213"/>
      <c r="L628" s="200"/>
      <c r="M628" s="200"/>
      <c r="N628" s="213"/>
      <c r="O628" s="213"/>
      <c r="P628" s="252"/>
      <c r="Q628" s="252"/>
      <c r="R628" s="200"/>
      <c r="U628" s="154"/>
      <c r="V628" s="200"/>
      <c r="Y628" s="200"/>
      <c r="Z628" s="213"/>
      <c r="AA628" s="200"/>
      <c r="AB628" s="200"/>
      <c r="AC628" s="213"/>
      <c r="AD628" s="213"/>
      <c r="AE628" s="200"/>
      <c r="AF628" s="200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F629" s="211"/>
      <c r="H629" s="211"/>
      <c r="I629" s="211"/>
      <c r="J629" s="305"/>
      <c r="K629" s="305"/>
      <c r="L629" s="211"/>
      <c r="M629" s="211"/>
      <c r="N629" s="211"/>
      <c r="O629" s="211"/>
      <c r="P629" s="211"/>
      <c r="Q629" s="211"/>
      <c r="R629" s="211"/>
      <c r="V629" s="211"/>
      <c r="Y629" s="211"/>
      <c r="Z629" s="305"/>
      <c r="AA629" s="211"/>
      <c r="AB629" s="211"/>
      <c r="AC629" s="211"/>
      <c r="AD629" s="211"/>
      <c r="AE629" s="211"/>
      <c r="AF629" s="211"/>
      <c r="AI629" s="211"/>
      <c r="AJ629" s="211"/>
      <c r="AK629" s="212"/>
      <c r="AL629" s="211"/>
      <c r="AM629" s="210"/>
      <c r="AN629" s="210"/>
    </row>
    <row r="630" spans="1:40" x14ac:dyDescent="0.25">
      <c r="A630" s="202"/>
      <c r="C630" s="154"/>
      <c r="F630" s="200"/>
      <c r="H630" s="200"/>
      <c r="I630" s="200"/>
      <c r="J630" s="213"/>
      <c r="K630" s="213"/>
      <c r="L630" s="200"/>
      <c r="M630" s="200"/>
      <c r="N630" s="213"/>
      <c r="O630" s="213"/>
      <c r="P630" s="200"/>
      <c r="Q630" s="200"/>
      <c r="R630" s="200"/>
      <c r="T630" s="154"/>
      <c r="V630" s="200"/>
      <c r="Y630" s="200"/>
      <c r="Z630" s="213"/>
      <c r="AA630" s="200"/>
      <c r="AB630" s="200"/>
      <c r="AC630" s="213"/>
      <c r="AD630" s="213"/>
      <c r="AE630" s="200"/>
      <c r="AF630" s="200"/>
      <c r="AG630" s="209"/>
      <c r="AH630" s="201"/>
      <c r="AI630" s="200"/>
      <c r="AJ630" s="200"/>
      <c r="AK630" s="209"/>
      <c r="AL630" s="200"/>
      <c r="AM630" s="210"/>
      <c r="AN630" s="210"/>
    </row>
    <row r="631" spans="1:40" x14ac:dyDescent="0.25">
      <c r="F631" s="200"/>
      <c r="H631" s="200"/>
      <c r="I631" s="200"/>
      <c r="J631" s="213"/>
      <c r="K631" s="213"/>
      <c r="L631" s="200"/>
      <c r="M631" s="200"/>
      <c r="N631" s="213"/>
      <c r="O631" s="213"/>
      <c r="P631" s="200"/>
      <c r="Q631" s="200"/>
      <c r="R631" s="200"/>
      <c r="V631" s="200"/>
      <c r="Y631" s="200"/>
      <c r="Z631" s="213"/>
      <c r="AA631" s="200"/>
      <c r="AB631" s="200"/>
      <c r="AC631" s="213"/>
      <c r="AD631" s="213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A632" s="202"/>
      <c r="D632" s="154"/>
      <c r="E632" s="154"/>
      <c r="F632" s="200"/>
      <c r="H632" s="200"/>
      <c r="I632" s="200"/>
      <c r="J632" s="213"/>
      <c r="K632" s="213"/>
      <c r="L632" s="252"/>
      <c r="M632" s="252"/>
      <c r="N632" s="213"/>
      <c r="O632" s="213"/>
      <c r="P632" s="200"/>
      <c r="Q632" s="200"/>
      <c r="R632" s="200"/>
      <c r="U632" s="154"/>
      <c r="V632" s="200"/>
      <c r="Y632" s="200"/>
      <c r="Z632" s="213"/>
      <c r="AA632" s="252"/>
      <c r="AB632" s="252"/>
      <c r="AC632" s="213"/>
      <c r="AD632" s="213"/>
      <c r="AE632" s="200"/>
      <c r="AF632" s="200"/>
      <c r="AG632" s="209"/>
      <c r="AH632" s="201"/>
      <c r="AI632" s="200"/>
      <c r="AJ632" s="200"/>
      <c r="AK632" s="209"/>
      <c r="AL632" s="200"/>
      <c r="AM632" s="210"/>
      <c r="AN632" s="210"/>
    </row>
    <row r="633" spans="1:40" x14ac:dyDescent="0.25">
      <c r="A633" s="202"/>
      <c r="D633" s="154"/>
      <c r="E633" s="154"/>
      <c r="F633" s="200"/>
      <c r="H633" s="200"/>
      <c r="I633" s="200"/>
      <c r="J633" s="213"/>
      <c r="K633" s="213"/>
      <c r="L633" s="252"/>
      <c r="M633" s="252"/>
      <c r="N633" s="213"/>
      <c r="O633" s="213"/>
      <c r="P633" s="200"/>
      <c r="Q633" s="200"/>
      <c r="R633" s="200"/>
      <c r="U633" s="154"/>
      <c r="V633" s="200"/>
      <c r="Y633" s="200"/>
      <c r="Z633" s="213"/>
      <c r="AA633" s="252"/>
      <c r="AB633" s="252"/>
      <c r="AC633" s="213"/>
      <c r="AD633" s="213"/>
      <c r="AE633" s="200"/>
      <c r="AF633" s="200"/>
      <c r="AG633" s="209"/>
      <c r="AH633" s="201"/>
      <c r="AI633" s="200"/>
      <c r="AJ633" s="200"/>
      <c r="AK633" s="209"/>
      <c r="AL633" s="200"/>
      <c r="AM633" s="210"/>
      <c r="AN633" s="210"/>
    </row>
    <row r="634" spans="1:40" x14ac:dyDescent="0.25">
      <c r="A634" s="202"/>
      <c r="D634" s="154"/>
      <c r="E634" s="154"/>
      <c r="F634" s="200"/>
      <c r="H634" s="200"/>
      <c r="I634" s="200"/>
      <c r="J634" s="213"/>
      <c r="K634" s="213"/>
      <c r="L634" s="252"/>
      <c r="M634" s="252"/>
      <c r="N634" s="213"/>
      <c r="O634" s="213"/>
      <c r="P634" s="200"/>
      <c r="Q634" s="200"/>
      <c r="R634" s="200"/>
      <c r="U634" s="154"/>
      <c r="V634" s="200"/>
      <c r="Y634" s="200"/>
      <c r="Z634" s="213"/>
      <c r="AA634" s="252"/>
      <c r="AB634" s="252"/>
      <c r="AC634" s="213"/>
      <c r="AD634" s="213"/>
      <c r="AE634" s="200"/>
      <c r="AF634" s="200"/>
      <c r="AG634" s="209"/>
      <c r="AH634" s="201"/>
      <c r="AI634" s="200"/>
      <c r="AJ634" s="200"/>
      <c r="AK634" s="209"/>
      <c r="AL634" s="200"/>
      <c r="AM634" s="210"/>
      <c r="AN634" s="210"/>
    </row>
    <row r="635" spans="1:40" x14ac:dyDescent="0.25">
      <c r="F635" s="211"/>
      <c r="H635" s="211"/>
      <c r="I635" s="211"/>
      <c r="J635" s="305"/>
      <c r="K635" s="305"/>
      <c r="L635" s="211"/>
      <c r="M635" s="211"/>
      <c r="N635" s="211"/>
      <c r="O635" s="211"/>
      <c r="P635" s="211"/>
      <c r="Q635" s="211"/>
      <c r="R635" s="211"/>
      <c r="V635" s="211"/>
      <c r="Y635" s="211"/>
      <c r="Z635" s="305"/>
      <c r="AA635" s="211"/>
      <c r="AB635" s="211"/>
      <c r="AC635" s="211"/>
      <c r="AD635" s="211"/>
      <c r="AE635" s="211"/>
      <c r="AF635" s="211"/>
      <c r="AI635" s="211"/>
      <c r="AJ635" s="211"/>
      <c r="AK635" s="212"/>
      <c r="AL635" s="211"/>
      <c r="AM635" s="210"/>
      <c r="AN635" s="210"/>
    </row>
    <row r="636" spans="1:40" x14ac:dyDescent="0.25">
      <c r="A636" s="202"/>
      <c r="C636" s="154"/>
      <c r="F636" s="200"/>
      <c r="H636" s="200"/>
      <c r="I636" s="200"/>
      <c r="J636" s="213"/>
      <c r="K636" s="213"/>
      <c r="L636" s="200"/>
      <c r="M636" s="200"/>
      <c r="N636" s="213"/>
      <c r="O636" s="213"/>
      <c r="P636" s="200"/>
      <c r="Q636" s="200"/>
      <c r="R636" s="200"/>
      <c r="T636" s="154"/>
      <c r="V636" s="200"/>
      <c r="Y636" s="200"/>
      <c r="Z636" s="213"/>
      <c r="AA636" s="200"/>
      <c r="AB636" s="200"/>
      <c r="AC636" s="213"/>
      <c r="AD636" s="213"/>
      <c r="AE636" s="200"/>
      <c r="AF636" s="200"/>
      <c r="AG636" s="209"/>
      <c r="AH636" s="201"/>
      <c r="AI636" s="200"/>
      <c r="AJ636" s="200"/>
      <c r="AK636" s="209"/>
      <c r="AL636" s="200"/>
      <c r="AM636" s="210"/>
      <c r="AN636" s="210"/>
    </row>
    <row r="637" spans="1:40" x14ac:dyDescent="0.25">
      <c r="F637" s="200"/>
      <c r="H637" s="200"/>
      <c r="I637" s="200"/>
      <c r="J637" s="213"/>
      <c r="K637" s="213"/>
      <c r="L637" s="200"/>
      <c r="M637" s="200"/>
      <c r="N637" s="213"/>
      <c r="O637" s="213"/>
      <c r="P637" s="200"/>
      <c r="Q637" s="200"/>
      <c r="R637" s="200"/>
      <c r="V637" s="200"/>
      <c r="Y637" s="200"/>
      <c r="Z637" s="213"/>
      <c r="AA637" s="200"/>
      <c r="AB637" s="200"/>
      <c r="AC637" s="213"/>
      <c r="AD637" s="213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A638" s="202"/>
      <c r="C638" s="154"/>
      <c r="F638" s="200"/>
      <c r="H638" s="200"/>
      <c r="I638" s="200"/>
      <c r="J638" s="213"/>
      <c r="K638" s="213"/>
      <c r="L638" s="200"/>
      <c r="M638" s="200"/>
      <c r="N638" s="213"/>
      <c r="O638" s="213"/>
      <c r="P638" s="200"/>
      <c r="Q638" s="200"/>
      <c r="R638" s="200"/>
      <c r="T638" s="154"/>
      <c r="V638" s="200"/>
      <c r="Y638" s="200"/>
      <c r="Z638" s="213"/>
      <c r="AA638" s="200"/>
      <c r="AB638" s="200"/>
      <c r="AC638" s="213"/>
      <c r="AD638" s="213"/>
      <c r="AE638" s="200"/>
      <c r="AF638" s="200"/>
      <c r="AG638" s="209"/>
      <c r="AH638" s="201"/>
      <c r="AI638" s="200"/>
      <c r="AJ638" s="200"/>
      <c r="AK638" s="209"/>
      <c r="AL638" s="200"/>
      <c r="AM638" s="210"/>
      <c r="AN638" s="210"/>
    </row>
    <row r="639" spans="1:40" x14ac:dyDescent="0.25">
      <c r="F639" s="211"/>
      <c r="H639" s="211"/>
      <c r="I639" s="211"/>
      <c r="J639" s="305"/>
      <c r="K639" s="305"/>
      <c r="L639" s="211"/>
      <c r="M639" s="211"/>
      <c r="N639" s="211"/>
      <c r="O639" s="211"/>
      <c r="P639" s="211"/>
      <c r="Q639" s="211"/>
      <c r="R639" s="211"/>
      <c r="V639" s="211"/>
      <c r="Y639" s="211"/>
      <c r="Z639" s="305"/>
      <c r="AA639" s="211"/>
      <c r="AB639" s="211"/>
      <c r="AC639" s="211"/>
      <c r="AD639" s="211"/>
      <c r="AE639" s="211"/>
      <c r="AF639" s="211"/>
      <c r="AI639" s="211"/>
      <c r="AJ639" s="211"/>
      <c r="AK639" s="212"/>
      <c r="AL639" s="211"/>
    </row>
    <row r="641" spans="1:20" x14ac:dyDescent="0.25">
      <c r="C641" s="154"/>
      <c r="L641" s="200"/>
      <c r="M641" s="200"/>
      <c r="P641" s="200"/>
      <c r="Q641" s="200"/>
      <c r="R641" s="200"/>
      <c r="T641" s="154"/>
    </row>
    <row r="642" spans="1:20" x14ac:dyDescent="0.25">
      <c r="A642" s="154"/>
      <c r="L642" s="200"/>
      <c r="M642" s="200"/>
      <c r="P642" s="200"/>
      <c r="Q642" s="200"/>
      <c r="R642" s="200"/>
    </row>
    <row r="643" spans="1:20" x14ac:dyDescent="0.25">
      <c r="L643" s="200"/>
      <c r="M643" s="200"/>
      <c r="P643" s="200"/>
      <c r="Q643" s="200"/>
      <c r="R643" s="200"/>
    </row>
    <row r="644" spans="1:20" x14ac:dyDescent="0.25">
      <c r="L644" s="200"/>
      <c r="M644" s="200"/>
      <c r="P644" s="200"/>
      <c r="Q644" s="200"/>
      <c r="R644" s="200"/>
    </row>
    <row r="645" spans="1:20" x14ac:dyDescent="0.25">
      <c r="L645" s="200"/>
      <c r="M645" s="200"/>
      <c r="P645" s="200"/>
      <c r="Q645" s="200"/>
      <c r="R645" s="200"/>
    </row>
    <row r="646" spans="1:20" x14ac:dyDescent="0.25">
      <c r="L646" s="200"/>
      <c r="M646" s="200"/>
      <c r="P646" s="200"/>
      <c r="Q646" s="200"/>
      <c r="R646" s="200"/>
    </row>
    <row r="647" spans="1:20" x14ac:dyDescent="0.25">
      <c r="L647" s="200"/>
      <c r="M647" s="200"/>
      <c r="P647" s="200"/>
      <c r="Q647" s="200"/>
      <c r="R647" s="200"/>
    </row>
    <row r="680" spans="49:49" x14ac:dyDescent="0.25">
      <c r="AW680" s="200"/>
    </row>
    <row r="681" spans="49:49" x14ac:dyDescent="0.25">
      <c r="AW681" s="200"/>
    </row>
    <row r="682" spans="49:49" x14ac:dyDescent="0.25">
      <c r="AW682" s="200"/>
    </row>
    <row r="683" spans="49:49" x14ac:dyDescent="0.25">
      <c r="AW683" s="200"/>
    </row>
    <row r="684" spans="49:49" x14ac:dyDescent="0.25">
      <c r="AW684" s="200"/>
    </row>
    <row r="685" spans="49:49" x14ac:dyDescent="0.25">
      <c r="AW685" s="200"/>
    </row>
    <row r="688" spans="49:49" x14ac:dyDescent="0.25">
      <c r="AW688" s="200"/>
    </row>
    <row r="689" spans="49:49" x14ac:dyDescent="0.25">
      <c r="AW689" s="200"/>
    </row>
    <row r="690" spans="49:49" x14ac:dyDescent="0.25">
      <c r="AW690" s="200"/>
    </row>
    <row r="691" spans="49:49" x14ac:dyDescent="0.25">
      <c r="AW691" s="200"/>
    </row>
    <row r="692" spans="49:49" x14ac:dyDescent="0.25">
      <c r="AW692" s="200"/>
    </row>
    <row r="693" spans="49:49" x14ac:dyDescent="0.25">
      <c r="AW693" s="200"/>
    </row>
    <row r="694" spans="49:49" x14ac:dyDescent="0.25">
      <c r="AW694" s="200"/>
    </row>
    <row r="695" spans="49:49" x14ac:dyDescent="0.25">
      <c r="AW695" s="200"/>
    </row>
    <row r="698" spans="49:49" x14ac:dyDescent="0.25">
      <c r="AW698" s="200"/>
    </row>
    <row r="699" spans="49:49" x14ac:dyDescent="0.25">
      <c r="AW699" s="200"/>
    </row>
    <row r="702" spans="49:49" x14ac:dyDescent="0.25">
      <c r="AW702" s="200"/>
    </row>
    <row r="703" spans="49:49" x14ac:dyDescent="0.25">
      <c r="AW703" s="200"/>
    </row>
    <row r="704" spans="49:49" x14ac:dyDescent="0.25">
      <c r="AW704" s="200"/>
    </row>
    <row r="705" spans="45:57" x14ac:dyDescent="0.25">
      <c r="AW705" s="200"/>
    </row>
    <row r="711" spans="45:57" x14ac:dyDescent="0.25">
      <c r="AY711" s="202"/>
    </row>
    <row r="712" spans="45:57" x14ac:dyDescent="0.25">
      <c r="AY712" s="202"/>
    </row>
    <row r="713" spans="45:57" x14ac:dyDescent="0.25">
      <c r="AY713" s="154"/>
    </row>
    <row r="714" spans="45:57" x14ac:dyDescent="0.25">
      <c r="AY714" s="154"/>
    </row>
    <row r="715" spans="45:57" x14ac:dyDescent="0.25">
      <c r="AS715" s="202"/>
      <c r="BD715" s="154"/>
    </row>
    <row r="716" spans="45:57" x14ac:dyDescent="0.25">
      <c r="AS716" s="202"/>
      <c r="BD716" s="154"/>
    </row>
    <row r="717" spans="45:57" x14ac:dyDescent="0.25">
      <c r="AS717" s="154"/>
      <c r="BD717" s="154"/>
    </row>
    <row r="718" spans="45:57" x14ac:dyDescent="0.25">
      <c r="BD718" s="202"/>
    </row>
    <row r="719" spans="45:57" x14ac:dyDescent="0.25"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</row>
    <row r="720" spans="45:57" x14ac:dyDescent="0.25">
      <c r="AX720" s="154"/>
    </row>
    <row r="721" spans="45:69" x14ac:dyDescent="0.25">
      <c r="AX721" s="102"/>
      <c r="AY721" s="102"/>
      <c r="AZ721" s="102"/>
      <c r="BA721" s="102"/>
      <c r="BC721" s="103"/>
      <c r="BD721" s="103"/>
    </row>
    <row r="722" spans="45:69" x14ac:dyDescent="0.25">
      <c r="AV722" s="103"/>
      <c r="AW722" s="103"/>
      <c r="AZ722" s="103"/>
      <c r="BA722" s="103"/>
      <c r="BC722" s="103"/>
      <c r="BD722" s="103"/>
      <c r="BE722" s="103"/>
      <c r="BG722" s="102"/>
      <c r="BH722" s="154"/>
      <c r="BK722" s="102"/>
      <c r="BM722" s="102"/>
      <c r="BN722" s="154"/>
      <c r="BQ722" s="102"/>
    </row>
    <row r="723" spans="45:69" x14ac:dyDescent="0.25"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H723" s="103"/>
      <c r="BI723" s="103"/>
      <c r="BJ723" s="103"/>
      <c r="BN723" s="103"/>
      <c r="BO723" s="103"/>
      <c r="BP723" s="103"/>
    </row>
    <row r="724" spans="45:69" x14ac:dyDescent="0.25">
      <c r="AS724" s="103"/>
      <c r="AU724" s="154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G724" s="103"/>
      <c r="BH724" s="103"/>
      <c r="BI724" s="103"/>
      <c r="BJ724" s="103"/>
      <c r="BK724" s="103"/>
      <c r="BM724" s="103"/>
      <c r="BN724" s="103"/>
      <c r="BO724" s="103"/>
      <c r="BP724" s="103"/>
      <c r="BQ724" s="103"/>
    </row>
    <row r="725" spans="45:69" x14ac:dyDescent="0.25">
      <c r="AS725" s="103"/>
      <c r="AU725" s="154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G725" s="103"/>
      <c r="BH725" s="103"/>
      <c r="BI725" s="103"/>
      <c r="BJ725" s="103"/>
      <c r="BK725" s="103"/>
      <c r="BM725" s="103"/>
      <c r="BN725" s="103"/>
      <c r="BO725" s="103"/>
      <c r="BP725" s="103"/>
      <c r="BQ725" s="103"/>
    </row>
    <row r="726" spans="45:69" x14ac:dyDescent="0.25"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G726" s="102"/>
      <c r="BH726" s="102"/>
      <c r="BI726" s="102"/>
      <c r="BJ726" s="102"/>
      <c r="BK726" s="102"/>
      <c r="BM726" s="102"/>
      <c r="BN726" s="102"/>
      <c r="BO726" s="102"/>
      <c r="BP726" s="102"/>
      <c r="BQ726" s="102"/>
    </row>
    <row r="727" spans="45:69" x14ac:dyDescent="0.25"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</row>
    <row r="728" spans="45:69" x14ac:dyDescent="0.25">
      <c r="AS728" s="202"/>
      <c r="AU728" s="154"/>
      <c r="AV728" s="103"/>
      <c r="AY728" s="213"/>
    </row>
    <row r="729" spans="45:69" x14ac:dyDescent="0.25">
      <c r="AS729" s="202"/>
      <c r="AV729" s="103"/>
      <c r="AW729" s="200"/>
      <c r="AX729" s="334"/>
      <c r="AY729" s="334"/>
      <c r="AZ729" s="334"/>
      <c r="BA729" s="210"/>
      <c r="BB729" s="334"/>
      <c r="BC729" s="213"/>
      <c r="BD729" s="213"/>
      <c r="BE729" s="210"/>
      <c r="BG729" s="334"/>
      <c r="BH729" s="334"/>
      <c r="BI729" s="334"/>
      <c r="BJ729" s="334"/>
      <c r="BK729" s="334"/>
      <c r="BM729" s="334"/>
      <c r="BN729" s="334"/>
      <c r="BO729" s="334"/>
      <c r="BP729" s="334"/>
      <c r="BQ729" s="334"/>
    </row>
    <row r="730" spans="45:69" x14ac:dyDescent="0.25">
      <c r="AS730" s="202"/>
      <c r="AV730" s="103"/>
      <c r="AW730" s="200"/>
      <c r="AX730" s="334"/>
      <c r="AY730" s="334"/>
      <c r="AZ730" s="334"/>
      <c r="BA730" s="210"/>
      <c r="BB730" s="334"/>
      <c r="BC730" s="213"/>
      <c r="BD730" s="213"/>
      <c r="BE730" s="210"/>
      <c r="BG730" s="334"/>
      <c r="BH730" s="334"/>
      <c r="BI730" s="334"/>
      <c r="BJ730" s="334"/>
      <c r="BK730" s="334"/>
      <c r="BM730" s="334"/>
      <c r="BN730" s="334"/>
      <c r="BO730" s="334"/>
      <c r="BP730" s="334"/>
      <c r="BQ730" s="334"/>
    </row>
    <row r="731" spans="45:69" x14ac:dyDescent="0.25">
      <c r="AS731" s="202"/>
      <c r="AV731" s="103"/>
      <c r="AW731" s="200"/>
      <c r="AX731" s="334"/>
      <c r="AY731" s="334"/>
      <c r="AZ731" s="334"/>
      <c r="BA731" s="210"/>
      <c r="BB731" s="334"/>
      <c r="BC731" s="213"/>
      <c r="BD731" s="213"/>
      <c r="BE731" s="210"/>
      <c r="BG731" s="334"/>
      <c r="BH731" s="334"/>
      <c r="BI731" s="334"/>
      <c r="BJ731" s="334"/>
      <c r="BK731" s="334"/>
      <c r="BM731" s="334"/>
      <c r="BN731" s="334"/>
      <c r="BO731" s="334"/>
      <c r="BP731" s="334"/>
      <c r="BQ731" s="334"/>
    </row>
    <row r="732" spans="45:69" x14ac:dyDescent="0.25">
      <c r="AS732" s="202"/>
      <c r="AV732" s="103"/>
      <c r="AW732" s="200"/>
      <c r="AX732" s="334"/>
      <c r="AY732" s="334"/>
      <c r="AZ732" s="334"/>
      <c r="BA732" s="210"/>
      <c r="BB732" s="334"/>
      <c r="BC732" s="213"/>
      <c r="BD732" s="213"/>
      <c r="BE732" s="210"/>
      <c r="BG732" s="334"/>
      <c r="BH732" s="334"/>
      <c r="BI732" s="334"/>
      <c r="BJ732" s="334"/>
      <c r="BK732" s="334"/>
      <c r="BM732" s="334"/>
      <c r="BN732" s="334"/>
      <c r="BO732" s="334"/>
      <c r="BP732" s="334"/>
      <c r="BQ732" s="334"/>
    </row>
    <row r="733" spans="45:69" x14ac:dyDescent="0.25">
      <c r="AS733" s="202"/>
      <c r="AV733" s="103"/>
      <c r="AW733" s="200"/>
      <c r="AX733" s="334"/>
      <c r="AY733" s="334"/>
      <c r="AZ733" s="334"/>
      <c r="BA733" s="210"/>
      <c r="BB733" s="334"/>
      <c r="BC733" s="213"/>
      <c r="BD733" s="213"/>
      <c r="BE733" s="210"/>
      <c r="BG733" s="334"/>
      <c r="BH733" s="334"/>
      <c r="BI733" s="334"/>
      <c r="BJ733" s="334"/>
      <c r="BK733" s="334"/>
      <c r="BM733" s="334"/>
      <c r="BN733" s="334"/>
      <c r="BO733" s="334"/>
      <c r="BP733" s="334"/>
      <c r="BQ733" s="334"/>
    </row>
    <row r="734" spans="45:69" x14ac:dyDescent="0.25">
      <c r="AS734" s="202"/>
      <c r="AV734" s="103"/>
      <c r="AW734" s="200"/>
      <c r="AX734" s="334"/>
      <c r="AY734" s="334"/>
      <c r="AZ734" s="334"/>
      <c r="BA734" s="210"/>
      <c r="BB734" s="334"/>
      <c r="BC734" s="213"/>
      <c r="BD734" s="213"/>
      <c r="BE734" s="210"/>
      <c r="BG734" s="334"/>
      <c r="BH734" s="334"/>
      <c r="BI734" s="334"/>
      <c r="BJ734" s="334"/>
      <c r="BK734" s="334"/>
      <c r="BM734" s="334"/>
      <c r="BN734" s="334"/>
      <c r="BO734" s="334"/>
      <c r="BP734" s="334"/>
      <c r="BQ734" s="334"/>
    </row>
    <row r="735" spans="45:69" x14ac:dyDescent="0.25">
      <c r="AS735" s="202"/>
      <c r="AV735" s="103"/>
      <c r="AW735" s="200"/>
      <c r="AX735" s="334"/>
      <c r="AY735" s="334"/>
      <c r="AZ735" s="334"/>
      <c r="BA735" s="210"/>
      <c r="BB735" s="334"/>
      <c r="BC735" s="213"/>
      <c r="BD735" s="213"/>
      <c r="BE735" s="210"/>
      <c r="BG735" s="334"/>
      <c r="BH735" s="334"/>
      <c r="BI735" s="334"/>
      <c r="BJ735" s="334"/>
      <c r="BK735" s="334"/>
      <c r="BM735" s="334"/>
      <c r="BN735" s="334"/>
      <c r="BO735" s="334"/>
      <c r="BP735" s="334"/>
      <c r="BQ735" s="334"/>
    </row>
    <row r="736" spans="45:69" x14ac:dyDescent="0.25">
      <c r="AY736" s="213"/>
      <c r="AZ736" s="334"/>
      <c r="BA736" s="210"/>
      <c r="BB736" s="334"/>
      <c r="BC736" s="213"/>
      <c r="BD736" s="213"/>
      <c r="BE736" s="210"/>
      <c r="BK736" s="334"/>
      <c r="BQ736" s="334"/>
    </row>
    <row r="737" spans="45:69" x14ac:dyDescent="0.25">
      <c r="AS737" s="202"/>
      <c r="AV737" s="103"/>
      <c r="AY737" s="213"/>
      <c r="AZ737" s="334"/>
      <c r="BA737" s="210"/>
      <c r="BB737" s="334"/>
      <c r="BC737" s="213"/>
      <c r="BD737" s="213"/>
      <c r="BE737" s="210"/>
      <c r="BK737" s="334"/>
      <c r="BQ737" s="334"/>
    </row>
    <row r="738" spans="45:69" x14ac:dyDescent="0.25">
      <c r="AS738" s="202"/>
      <c r="AV738" s="103"/>
      <c r="AW738" s="200"/>
      <c r="AX738" s="334"/>
      <c r="AY738" s="334"/>
      <c r="AZ738" s="334"/>
      <c r="BA738" s="210"/>
      <c r="BB738" s="334"/>
      <c r="BC738" s="213"/>
      <c r="BD738" s="213"/>
      <c r="BE738" s="210"/>
      <c r="BG738" s="334"/>
      <c r="BH738" s="334"/>
      <c r="BI738" s="334"/>
      <c r="BJ738" s="334"/>
      <c r="BK738" s="334"/>
      <c r="BM738" s="334"/>
      <c r="BN738" s="334"/>
      <c r="BO738" s="334"/>
      <c r="BP738" s="334"/>
      <c r="BQ738" s="334"/>
    </row>
    <row r="739" spans="45:69" x14ac:dyDescent="0.25">
      <c r="AS739" s="202"/>
      <c r="AV739" s="103"/>
      <c r="AW739" s="200"/>
      <c r="AX739" s="334"/>
      <c r="AY739" s="334"/>
      <c r="AZ739" s="334"/>
      <c r="BA739" s="210"/>
      <c r="BB739" s="334"/>
      <c r="BC739" s="213"/>
      <c r="BD739" s="213"/>
      <c r="BE739" s="210"/>
      <c r="BG739" s="334"/>
      <c r="BH739" s="334"/>
      <c r="BI739" s="334"/>
      <c r="BJ739" s="334"/>
      <c r="BK739" s="334"/>
      <c r="BM739" s="334"/>
      <c r="BN739" s="334"/>
      <c r="BO739" s="334"/>
      <c r="BP739" s="334"/>
      <c r="BQ739" s="334"/>
    </row>
    <row r="740" spans="45:69" x14ac:dyDescent="0.25">
      <c r="AS740" s="202"/>
      <c r="AV740" s="103"/>
      <c r="AW740" s="200"/>
      <c r="AX740" s="334"/>
      <c r="AY740" s="334"/>
      <c r="AZ740" s="334"/>
      <c r="BA740" s="210"/>
      <c r="BB740" s="334"/>
      <c r="BC740" s="213"/>
      <c r="BD740" s="213"/>
      <c r="BE740" s="210"/>
      <c r="BG740" s="334"/>
      <c r="BH740" s="334"/>
      <c r="BI740" s="334"/>
      <c r="BJ740" s="334"/>
      <c r="BK740" s="334"/>
      <c r="BM740" s="334"/>
      <c r="BN740" s="334"/>
      <c r="BO740" s="334"/>
      <c r="BP740" s="334"/>
      <c r="BQ740" s="334"/>
    </row>
    <row r="741" spans="45:69" x14ac:dyDescent="0.25">
      <c r="AS741" s="202"/>
      <c r="AV741" s="103"/>
      <c r="AW741" s="200"/>
      <c r="AX741" s="334"/>
      <c r="AY741" s="334"/>
      <c r="AZ741" s="334"/>
      <c r="BA741" s="210"/>
      <c r="BB741" s="334"/>
      <c r="BC741" s="213"/>
      <c r="BD741" s="213"/>
      <c r="BE741" s="210"/>
      <c r="BG741" s="334"/>
      <c r="BH741" s="334"/>
      <c r="BI741" s="334"/>
      <c r="BJ741" s="334"/>
      <c r="BK741" s="334"/>
      <c r="BM741" s="334"/>
      <c r="BN741" s="334"/>
      <c r="BO741" s="334"/>
      <c r="BP741" s="334"/>
      <c r="BQ741" s="334"/>
    </row>
    <row r="742" spans="45:69" x14ac:dyDescent="0.25">
      <c r="AS742" s="202"/>
      <c r="AV742" s="103"/>
      <c r="AW742" s="200"/>
      <c r="AX742" s="334"/>
      <c r="AY742" s="334"/>
      <c r="AZ742" s="334"/>
      <c r="BA742" s="210"/>
      <c r="BB742" s="334"/>
      <c r="BC742" s="213"/>
      <c r="BD742" s="213"/>
      <c r="BE742" s="210"/>
      <c r="BG742" s="334"/>
      <c r="BH742" s="334"/>
      <c r="BI742" s="334"/>
      <c r="BJ742" s="334"/>
      <c r="BK742" s="334"/>
      <c r="BM742" s="334"/>
      <c r="BN742" s="334"/>
      <c r="BO742" s="334"/>
      <c r="BP742" s="334"/>
      <c r="BQ742" s="334"/>
    </row>
    <row r="743" spans="45:69" x14ac:dyDescent="0.25">
      <c r="AS743" s="202"/>
      <c r="AV743" s="103"/>
      <c r="AW743" s="200"/>
      <c r="AX743" s="334"/>
      <c r="AY743" s="334"/>
      <c r="AZ743" s="334"/>
      <c r="BA743" s="210"/>
      <c r="BB743" s="334"/>
      <c r="BC743" s="213"/>
      <c r="BD743" s="213"/>
      <c r="BE743" s="210"/>
      <c r="BG743" s="334"/>
      <c r="BH743" s="334"/>
      <c r="BI743" s="334"/>
      <c r="BJ743" s="334"/>
      <c r="BK743" s="334"/>
      <c r="BM743" s="334"/>
      <c r="BN743" s="334"/>
      <c r="BO743" s="334"/>
      <c r="BP743" s="334"/>
      <c r="BQ743" s="334"/>
    </row>
    <row r="744" spans="45:69" x14ac:dyDescent="0.25">
      <c r="AS744" s="202"/>
      <c r="AV744" s="103"/>
      <c r="AW744" s="200"/>
      <c r="AX744" s="334"/>
      <c r="AY744" s="334"/>
      <c r="AZ744" s="334"/>
      <c r="BA744" s="210"/>
      <c r="BB744" s="334"/>
      <c r="BC744" s="213"/>
      <c r="BD744" s="213"/>
      <c r="BE744" s="210"/>
      <c r="BG744" s="334"/>
      <c r="BH744" s="334"/>
      <c r="BI744" s="334"/>
      <c r="BJ744" s="334"/>
      <c r="BK744" s="334"/>
      <c r="BM744" s="334"/>
      <c r="BN744" s="334"/>
      <c r="BO744" s="334"/>
      <c r="BP744" s="334"/>
      <c r="BQ744" s="334"/>
    </row>
    <row r="745" spans="45:69" x14ac:dyDescent="0.25">
      <c r="AS745" s="202"/>
      <c r="AV745" s="103"/>
      <c r="AW745" s="200"/>
      <c r="AX745" s="334"/>
      <c r="AY745" s="334"/>
      <c r="AZ745" s="334"/>
      <c r="BA745" s="210"/>
      <c r="BB745" s="334"/>
      <c r="BC745" s="213"/>
      <c r="BD745" s="213"/>
      <c r="BE745" s="210"/>
      <c r="BG745" s="334"/>
      <c r="BH745" s="334"/>
      <c r="BI745" s="334"/>
      <c r="BJ745" s="334"/>
      <c r="BK745" s="334"/>
      <c r="BM745" s="334"/>
      <c r="BN745" s="334"/>
      <c r="BO745" s="334"/>
      <c r="BP745" s="334"/>
      <c r="BQ745" s="334"/>
    </row>
    <row r="746" spans="45:69" x14ac:dyDescent="0.25">
      <c r="AY746" s="213"/>
      <c r="AZ746" s="334"/>
      <c r="BA746" s="210"/>
      <c r="BB746" s="334"/>
      <c r="BC746" s="213"/>
      <c r="BD746" s="213"/>
      <c r="BE746" s="210"/>
      <c r="BK746" s="334"/>
      <c r="BQ746" s="334"/>
    </row>
    <row r="747" spans="45:69" x14ac:dyDescent="0.25">
      <c r="AU747" s="154"/>
      <c r="AZ747" s="334"/>
      <c r="BB747" s="334"/>
      <c r="BG747" s="334"/>
      <c r="BH747" s="334"/>
      <c r="BJ747" s="334"/>
      <c r="BK747" s="334"/>
    </row>
    <row r="748" spans="45:69" x14ac:dyDescent="0.25">
      <c r="AZ748" s="334"/>
      <c r="BB748" s="334"/>
    </row>
    <row r="749" spans="45:69" x14ac:dyDescent="0.25">
      <c r="AS749" s="154"/>
      <c r="AZ749" s="334"/>
      <c r="BB749" s="334"/>
      <c r="BI749" s="334"/>
    </row>
    <row r="750" spans="45:69" x14ac:dyDescent="0.25">
      <c r="AY750" s="202"/>
      <c r="AZ750" s="334"/>
      <c r="BB750" s="334"/>
    </row>
    <row r="751" spans="45:69" x14ac:dyDescent="0.25">
      <c r="AY751" s="334"/>
      <c r="BB751" s="334"/>
    </row>
    <row r="752" spans="45:69" x14ac:dyDescent="0.25">
      <c r="AY752" s="154"/>
      <c r="AZ752" s="334"/>
      <c r="BB752" s="334"/>
    </row>
    <row r="753" spans="45:75" x14ac:dyDescent="0.25">
      <c r="AY753" s="154"/>
      <c r="AZ753" s="334"/>
      <c r="BB753" s="334"/>
    </row>
    <row r="754" spans="45:75" x14ac:dyDescent="0.25">
      <c r="AS754" s="202"/>
      <c r="AZ754" s="334"/>
      <c r="BB754" s="334"/>
      <c r="BD754" s="154"/>
    </row>
    <row r="755" spans="45:75" x14ac:dyDescent="0.25">
      <c r="AS755" s="202"/>
      <c r="AZ755" s="334"/>
      <c r="BB755" s="334"/>
      <c r="BD755" s="154"/>
    </row>
    <row r="756" spans="45:75" x14ac:dyDescent="0.25">
      <c r="AS756" s="154"/>
      <c r="AZ756" s="334"/>
      <c r="BB756" s="334"/>
      <c r="BD756" s="154"/>
    </row>
    <row r="757" spans="45:75" x14ac:dyDescent="0.25">
      <c r="AZ757" s="334"/>
      <c r="BB757" s="334"/>
      <c r="BD757" s="202"/>
    </row>
    <row r="758" spans="45:75" x14ac:dyDescent="0.25">
      <c r="AS758" s="102"/>
      <c r="AT758" s="102"/>
      <c r="AU758" s="102"/>
      <c r="AV758" s="102"/>
      <c r="AW758" s="102"/>
      <c r="AX758" s="102"/>
      <c r="AY758" s="102"/>
      <c r="AZ758" s="335"/>
      <c r="BA758" s="102"/>
      <c r="BB758" s="335"/>
      <c r="BC758" s="102"/>
      <c r="BD758" s="102"/>
      <c r="BE758" s="102"/>
    </row>
    <row r="759" spans="45:75" x14ac:dyDescent="0.25">
      <c r="AX759" s="154"/>
      <c r="AZ759" s="334"/>
      <c r="BB759" s="334"/>
    </row>
    <row r="760" spans="45:75" x14ac:dyDescent="0.25">
      <c r="AX760" s="102"/>
      <c r="AY760" s="102"/>
      <c r="AZ760" s="335"/>
      <c r="BA760" s="102"/>
      <c r="BB760" s="334"/>
      <c r="BC760" s="103"/>
      <c r="BD760" s="103"/>
    </row>
    <row r="761" spans="45:75" x14ac:dyDescent="0.25">
      <c r="AV761" s="103"/>
      <c r="AW761" s="103"/>
      <c r="AZ761" s="336"/>
      <c r="BA761" s="103"/>
      <c r="BB761" s="334"/>
      <c r="BC761" s="103"/>
      <c r="BD761" s="103"/>
      <c r="BE761" s="103"/>
      <c r="BG761" s="102"/>
      <c r="BH761" s="102"/>
      <c r="BI761" s="154"/>
      <c r="BM761" s="102"/>
      <c r="BN761" s="102"/>
      <c r="BP761" s="102"/>
      <c r="BQ761" s="102"/>
      <c r="BR761" s="154"/>
      <c r="BV761" s="102"/>
      <c r="BW761" s="102"/>
    </row>
    <row r="762" spans="45:75" x14ac:dyDescent="0.25">
      <c r="AV762" s="103"/>
      <c r="AW762" s="103"/>
      <c r="AX762" s="103"/>
      <c r="AY762" s="103"/>
      <c r="AZ762" s="336"/>
      <c r="BA762" s="103"/>
      <c r="BB762" s="336"/>
      <c r="BC762" s="103"/>
      <c r="BD762" s="103"/>
      <c r="BE762" s="103"/>
      <c r="BH762" s="103"/>
      <c r="BI762" s="103"/>
      <c r="BJ762" s="103"/>
      <c r="BK762" s="103"/>
      <c r="BL762" s="103"/>
      <c r="BM762" s="103"/>
      <c r="BQ762" s="103"/>
      <c r="BR762" s="103"/>
      <c r="BS762" s="103"/>
      <c r="BT762" s="103"/>
      <c r="BU762" s="103"/>
      <c r="BV762" s="103"/>
    </row>
    <row r="763" spans="45:75" x14ac:dyDescent="0.25">
      <c r="AS763" s="103"/>
      <c r="AU763" s="154"/>
      <c r="AV763" s="103"/>
      <c r="AW763" s="103"/>
      <c r="AX763" s="103"/>
      <c r="AY763" s="103"/>
      <c r="AZ763" s="336"/>
      <c r="BA763" s="103"/>
      <c r="BB763" s="336"/>
      <c r="BC763" s="103"/>
      <c r="BD763" s="103"/>
      <c r="BE763" s="103"/>
      <c r="BG763" s="103"/>
      <c r="BH763" s="103"/>
      <c r="BI763" s="103"/>
      <c r="BJ763" s="103"/>
      <c r="BK763" s="103"/>
      <c r="BL763" s="103"/>
      <c r="BM763" s="103"/>
      <c r="BN763" s="103"/>
      <c r="BP763" s="103"/>
      <c r="BQ763" s="103"/>
      <c r="BR763" s="103"/>
      <c r="BS763" s="103"/>
      <c r="BT763" s="103"/>
      <c r="BU763" s="103"/>
      <c r="BV763" s="103"/>
      <c r="BW763" s="103"/>
    </row>
    <row r="764" spans="45:75" x14ac:dyDescent="0.25">
      <c r="AS764" s="103"/>
      <c r="AU764" s="154"/>
      <c r="AV764" s="103"/>
      <c r="AW764" s="103"/>
      <c r="AX764" s="103"/>
      <c r="AY764" s="103"/>
      <c r="AZ764" s="336"/>
      <c r="BA764" s="103"/>
      <c r="BB764" s="336"/>
      <c r="BC764" s="103"/>
      <c r="BD764" s="103"/>
      <c r="BE764" s="103"/>
      <c r="BG764" s="103"/>
      <c r="BH764" s="103"/>
      <c r="BI764" s="103"/>
      <c r="BJ764" s="103"/>
      <c r="BK764" s="103"/>
      <c r="BL764" s="103"/>
      <c r="BM764" s="103"/>
      <c r="BN764" s="103"/>
      <c r="BP764" s="103"/>
      <c r="BQ764" s="103"/>
      <c r="BR764" s="103"/>
      <c r="BS764" s="103"/>
      <c r="BT764" s="103"/>
      <c r="BU764" s="103"/>
      <c r="BV764" s="103"/>
      <c r="BW764" s="103"/>
    </row>
    <row r="765" spans="45:75" x14ac:dyDescent="0.25">
      <c r="AS765" s="102"/>
      <c r="AT765" s="102"/>
      <c r="AU765" s="102"/>
      <c r="AV765" s="102"/>
      <c r="AW765" s="102"/>
      <c r="AX765" s="102"/>
      <c r="AY765" s="102"/>
      <c r="AZ765" s="335"/>
      <c r="BA765" s="102"/>
      <c r="BB765" s="335"/>
      <c r="BC765" s="102"/>
      <c r="BD765" s="102"/>
      <c r="BE765" s="102"/>
      <c r="BG765" s="102"/>
      <c r="BH765" s="102"/>
      <c r="BI765" s="102"/>
      <c r="BJ765" s="102"/>
      <c r="BK765" s="102"/>
      <c r="BL765" s="102"/>
      <c r="BM765" s="102"/>
      <c r="BN765" s="102"/>
      <c r="BP765" s="102"/>
      <c r="BQ765" s="102"/>
      <c r="BR765" s="102"/>
      <c r="BS765" s="102"/>
      <c r="BT765" s="102"/>
      <c r="BU765" s="102"/>
      <c r="BV765" s="102"/>
      <c r="BW765" s="102"/>
    </row>
    <row r="766" spans="45:75" x14ac:dyDescent="0.25">
      <c r="AV766" s="103"/>
      <c r="AW766" s="103"/>
      <c r="AX766" s="103"/>
      <c r="AY766" s="103"/>
      <c r="AZ766" s="336"/>
      <c r="BA766" s="103"/>
      <c r="BB766" s="336"/>
      <c r="BC766" s="103"/>
      <c r="BD766" s="103"/>
      <c r="BE766" s="103"/>
      <c r="BG766" s="334"/>
      <c r="BH766" s="334"/>
      <c r="BI766" s="334"/>
      <c r="BJ766" s="334"/>
      <c r="BK766" s="334"/>
      <c r="BL766" s="334"/>
      <c r="BM766" s="334"/>
      <c r="BN766" s="334"/>
      <c r="BO766" s="334"/>
      <c r="BP766" s="334"/>
      <c r="BQ766" s="334"/>
      <c r="BR766" s="334"/>
      <c r="BS766" s="334"/>
      <c r="BT766" s="334"/>
      <c r="BU766" s="334"/>
      <c r="BV766" s="334"/>
      <c r="BW766" s="334"/>
    </row>
    <row r="767" spans="45:75" x14ac:dyDescent="0.25">
      <c r="AS767" s="202"/>
      <c r="AU767" s="154"/>
      <c r="AV767" s="202"/>
      <c r="AW767" s="200"/>
      <c r="AX767" s="334"/>
      <c r="AY767" s="334"/>
      <c r="AZ767" s="334"/>
      <c r="BA767" s="201"/>
      <c r="BB767" s="334"/>
      <c r="BC767" s="334"/>
      <c r="BD767" s="334"/>
      <c r="BE767" s="201"/>
      <c r="BG767" s="334"/>
      <c r="BH767" s="334"/>
      <c r="BI767" s="334"/>
      <c r="BJ767" s="334"/>
      <c r="BK767" s="334"/>
      <c r="BL767" s="334"/>
      <c r="BM767" s="334"/>
      <c r="BN767" s="334"/>
      <c r="BO767" s="334"/>
      <c r="BP767" s="334"/>
      <c r="BQ767" s="334"/>
      <c r="BR767" s="334"/>
      <c r="BS767" s="334"/>
      <c r="BT767" s="334"/>
      <c r="BU767" s="334"/>
      <c r="BV767" s="334"/>
      <c r="BW767" s="334"/>
    </row>
    <row r="768" spans="45:75" x14ac:dyDescent="0.25">
      <c r="AS768" s="202"/>
      <c r="AV768" s="202"/>
      <c r="AW768" s="200"/>
      <c r="AX768" s="334"/>
      <c r="AY768" s="334"/>
      <c r="AZ768" s="334"/>
      <c r="BA768" s="201"/>
      <c r="BB768" s="334"/>
      <c r="BC768" s="334"/>
      <c r="BD768" s="334"/>
      <c r="BE768" s="201"/>
      <c r="BG768" s="334"/>
      <c r="BH768" s="334"/>
      <c r="BI768" s="334"/>
      <c r="BJ768" s="334"/>
      <c r="BK768" s="334"/>
      <c r="BL768" s="334"/>
      <c r="BM768" s="334"/>
      <c r="BN768" s="334"/>
      <c r="BO768" s="334"/>
      <c r="BP768" s="334"/>
      <c r="BQ768" s="334"/>
      <c r="BR768" s="334"/>
      <c r="BS768" s="334"/>
      <c r="BT768" s="334"/>
      <c r="BU768" s="334"/>
      <c r="BV768" s="334"/>
      <c r="BW768" s="334"/>
    </row>
    <row r="769" spans="45:75" x14ac:dyDescent="0.25">
      <c r="AS769" s="202"/>
      <c r="AV769" s="202"/>
      <c r="AW769" s="200"/>
      <c r="AX769" s="334"/>
      <c r="AY769" s="334"/>
      <c r="AZ769" s="334"/>
      <c r="BA769" s="201"/>
      <c r="BB769" s="334"/>
      <c r="BC769" s="334"/>
      <c r="BD769" s="334"/>
      <c r="BE769" s="201"/>
      <c r="BG769" s="334"/>
      <c r="BH769" s="334"/>
      <c r="BI769" s="334"/>
      <c r="BJ769" s="334"/>
      <c r="BK769" s="334"/>
      <c r="BL769" s="334"/>
      <c r="BM769" s="334"/>
      <c r="BN769" s="334"/>
      <c r="BO769" s="334"/>
      <c r="BP769" s="334"/>
      <c r="BQ769" s="334"/>
      <c r="BR769" s="334"/>
      <c r="BS769" s="334"/>
      <c r="BT769" s="334"/>
      <c r="BU769" s="334"/>
      <c r="BV769" s="334"/>
      <c r="BW769" s="334"/>
    </row>
    <row r="770" spans="45:75" x14ac:dyDescent="0.25">
      <c r="AS770" s="202"/>
      <c r="AV770" s="202"/>
      <c r="AW770" s="200"/>
      <c r="AX770" s="334"/>
      <c r="AY770" s="334"/>
      <c r="AZ770" s="334"/>
      <c r="BA770" s="201"/>
      <c r="BB770" s="334"/>
      <c r="BC770" s="334"/>
      <c r="BD770" s="334"/>
      <c r="BE770" s="201"/>
      <c r="BG770" s="334"/>
      <c r="BH770" s="334"/>
      <c r="BI770" s="334"/>
      <c r="BJ770" s="334"/>
      <c r="BK770" s="334"/>
      <c r="BL770" s="334"/>
      <c r="BM770" s="334"/>
      <c r="BN770" s="334"/>
      <c r="BO770" s="334"/>
      <c r="BP770" s="334"/>
      <c r="BQ770" s="334"/>
      <c r="BR770" s="334"/>
      <c r="BS770" s="334"/>
      <c r="BT770" s="334"/>
      <c r="BU770" s="334"/>
      <c r="BV770" s="334"/>
      <c r="BW770" s="334"/>
    </row>
    <row r="771" spans="45:75" x14ac:dyDescent="0.25">
      <c r="AS771" s="202"/>
      <c r="AV771" s="202"/>
      <c r="AW771" s="200"/>
      <c r="AX771" s="334"/>
      <c r="AY771" s="334"/>
      <c r="AZ771" s="334"/>
      <c r="BA771" s="201"/>
      <c r="BB771" s="334"/>
      <c r="BC771" s="334"/>
      <c r="BD771" s="334"/>
      <c r="BE771" s="201"/>
      <c r="BG771" s="334"/>
      <c r="BH771" s="334"/>
      <c r="BI771" s="334"/>
      <c r="BJ771" s="334"/>
      <c r="BK771" s="334"/>
      <c r="BL771" s="334"/>
      <c r="BM771" s="334"/>
      <c r="BN771" s="334"/>
      <c r="BO771" s="334"/>
      <c r="BP771" s="334"/>
      <c r="BQ771" s="334"/>
      <c r="BR771" s="334"/>
      <c r="BS771" s="334"/>
      <c r="BT771" s="334"/>
      <c r="BU771" s="334"/>
      <c r="BV771" s="334"/>
      <c r="BW771" s="334"/>
    </row>
    <row r="772" spans="45:75" x14ac:dyDescent="0.25">
      <c r="AS772" s="202"/>
      <c r="AV772" s="202"/>
      <c r="AW772" s="200"/>
      <c r="AX772" s="334"/>
      <c r="AY772" s="334"/>
      <c r="AZ772" s="334"/>
      <c r="BA772" s="201"/>
      <c r="BB772" s="334"/>
      <c r="BC772" s="334"/>
      <c r="BD772" s="334"/>
      <c r="BE772" s="201"/>
      <c r="BG772" s="334"/>
      <c r="BH772" s="334"/>
      <c r="BI772" s="334"/>
      <c r="BJ772" s="334"/>
      <c r="BK772" s="334"/>
      <c r="BL772" s="334"/>
      <c r="BM772" s="334"/>
      <c r="BN772" s="334"/>
      <c r="BO772" s="334"/>
      <c r="BP772" s="334"/>
      <c r="BQ772" s="334"/>
      <c r="BR772" s="334"/>
      <c r="BS772" s="334"/>
      <c r="BT772" s="334"/>
      <c r="BU772" s="334"/>
      <c r="BV772" s="334"/>
      <c r="BW772" s="334"/>
    </row>
    <row r="773" spans="45:75" x14ac:dyDescent="0.25">
      <c r="AS773" s="202"/>
      <c r="AV773" s="202"/>
      <c r="AW773" s="200"/>
      <c r="AX773" s="334"/>
      <c r="AY773" s="334"/>
      <c r="AZ773" s="334"/>
      <c r="BA773" s="201"/>
      <c r="BB773" s="334"/>
      <c r="BC773" s="334"/>
      <c r="BD773" s="334"/>
      <c r="BE773" s="201"/>
      <c r="BG773" s="334"/>
      <c r="BH773" s="334"/>
      <c r="BI773" s="334"/>
      <c r="BJ773" s="334"/>
      <c r="BK773" s="334"/>
      <c r="BL773" s="334"/>
      <c r="BM773" s="334"/>
      <c r="BN773" s="334"/>
      <c r="BO773" s="334"/>
      <c r="BP773" s="334"/>
      <c r="BQ773" s="334"/>
      <c r="BR773" s="334"/>
      <c r="BS773" s="334"/>
      <c r="BT773" s="334"/>
      <c r="BU773" s="334"/>
      <c r="BV773" s="334"/>
      <c r="BW773" s="334"/>
    </row>
    <row r="774" spans="45:75" x14ac:dyDescent="0.25">
      <c r="AS774" s="202"/>
      <c r="AV774" s="202"/>
      <c r="AW774" s="200"/>
      <c r="AX774" s="334"/>
      <c r="AY774" s="334"/>
      <c r="AZ774" s="334"/>
      <c r="BA774" s="201"/>
      <c r="BB774" s="334"/>
      <c r="BC774" s="334"/>
      <c r="BD774" s="334"/>
      <c r="BE774" s="201"/>
      <c r="BG774" s="334"/>
      <c r="BH774" s="334"/>
      <c r="BI774" s="334"/>
      <c r="BJ774" s="334"/>
      <c r="BK774" s="334"/>
      <c r="BL774" s="334"/>
      <c r="BM774" s="334"/>
      <c r="BN774" s="334"/>
      <c r="BO774" s="334"/>
      <c r="BP774" s="334"/>
      <c r="BQ774" s="334"/>
      <c r="BR774" s="334"/>
      <c r="BS774" s="334"/>
      <c r="BT774" s="334"/>
      <c r="BU774" s="334"/>
      <c r="BV774" s="334"/>
      <c r="BW774" s="334"/>
    </row>
    <row r="775" spans="45:75" x14ac:dyDescent="0.25">
      <c r="AS775" s="202"/>
      <c r="AV775" s="202"/>
      <c r="AW775" s="200"/>
      <c r="AX775" s="334"/>
      <c r="AY775" s="334"/>
      <c r="AZ775" s="334"/>
      <c r="BA775" s="201"/>
      <c r="BB775" s="334"/>
      <c r="BC775" s="334"/>
      <c r="BD775" s="334"/>
      <c r="BE775" s="201"/>
      <c r="BG775" s="334"/>
      <c r="BH775" s="334"/>
      <c r="BI775" s="334"/>
      <c r="BJ775" s="334"/>
      <c r="BK775" s="334"/>
      <c r="BL775" s="334"/>
      <c r="BM775" s="334"/>
      <c r="BN775" s="334"/>
      <c r="BO775" s="334"/>
      <c r="BP775" s="334"/>
      <c r="BQ775" s="334"/>
      <c r="BR775" s="334"/>
      <c r="BS775" s="334"/>
      <c r="BT775" s="334"/>
      <c r="BU775" s="334"/>
      <c r="BV775" s="334"/>
      <c r="BW775" s="334"/>
    </row>
    <row r="776" spans="45:75" x14ac:dyDescent="0.25">
      <c r="AS776" s="202"/>
      <c r="AV776" s="202"/>
      <c r="AW776" s="200"/>
      <c r="AX776" s="334"/>
      <c r="AY776" s="334"/>
      <c r="AZ776" s="334"/>
      <c r="BA776" s="201"/>
      <c r="BB776" s="334"/>
      <c r="BC776" s="334"/>
      <c r="BD776" s="334"/>
      <c r="BE776" s="201"/>
      <c r="BG776" s="334"/>
      <c r="BH776" s="334"/>
      <c r="BI776" s="334"/>
      <c r="BJ776" s="334"/>
      <c r="BK776" s="334"/>
      <c r="BL776" s="334"/>
      <c r="BM776" s="334"/>
      <c r="BN776" s="334"/>
      <c r="BO776" s="334"/>
      <c r="BP776" s="334"/>
      <c r="BQ776" s="334"/>
      <c r="BR776" s="334"/>
      <c r="BS776" s="334"/>
      <c r="BT776" s="334"/>
      <c r="BU776" s="334"/>
      <c r="BV776" s="334"/>
      <c r="BW776" s="334"/>
    </row>
    <row r="777" spans="45:75" x14ac:dyDescent="0.25">
      <c r="AS777" s="202"/>
      <c r="AV777" s="202"/>
      <c r="AW777" s="200"/>
      <c r="AX777" s="334"/>
      <c r="AY777" s="334"/>
      <c r="AZ777" s="334"/>
      <c r="BA777" s="201"/>
      <c r="BB777" s="334"/>
      <c r="BC777" s="334"/>
      <c r="BD777" s="334"/>
      <c r="BE777" s="201"/>
      <c r="BG777" s="334"/>
      <c r="BH777" s="334"/>
      <c r="BI777" s="334"/>
      <c r="BJ777" s="334"/>
      <c r="BK777" s="334"/>
      <c r="BL777" s="334"/>
      <c r="BM777" s="334"/>
      <c r="BN777" s="334"/>
      <c r="BO777" s="334"/>
      <c r="BP777" s="334"/>
      <c r="BQ777" s="334"/>
      <c r="BR777" s="334"/>
      <c r="BS777" s="334"/>
      <c r="BT777" s="334"/>
      <c r="BU777" s="334"/>
      <c r="BV777" s="334"/>
      <c r="BW777" s="334"/>
    </row>
    <row r="778" spans="45:75" x14ac:dyDescent="0.25">
      <c r="AS778" s="202"/>
      <c r="AV778" s="202"/>
      <c r="AW778" s="200"/>
      <c r="AX778" s="334"/>
      <c r="AY778" s="334"/>
      <c r="AZ778" s="334"/>
      <c r="BA778" s="201"/>
      <c r="BB778" s="334"/>
      <c r="BC778" s="334"/>
      <c r="BD778" s="334"/>
      <c r="BE778" s="201"/>
      <c r="BG778" s="334"/>
      <c r="BH778" s="334"/>
      <c r="BI778" s="334"/>
      <c r="BJ778" s="334"/>
      <c r="BK778" s="334"/>
      <c r="BL778" s="334"/>
      <c r="BM778" s="334"/>
      <c r="BN778" s="334"/>
      <c r="BO778" s="334"/>
      <c r="BP778" s="334"/>
      <c r="BQ778" s="334"/>
      <c r="BR778" s="334"/>
      <c r="BS778" s="334"/>
      <c r="BT778" s="334"/>
      <c r="BU778" s="334"/>
      <c r="BV778" s="334"/>
      <c r="BW778" s="334"/>
    </row>
    <row r="779" spans="45:75" x14ac:dyDescent="0.25">
      <c r="AS779" s="202"/>
      <c r="AV779" s="202"/>
      <c r="AW779" s="200"/>
      <c r="AX779" s="334"/>
      <c r="AY779" s="334"/>
      <c r="AZ779" s="334"/>
      <c r="BA779" s="201"/>
      <c r="BB779" s="334"/>
      <c r="BC779" s="334"/>
      <c r="BD779" s="334"/>
      <c r="BE779" s="201"/>
      <c r="BG779" s="334"/>
      <c r="BH779" s="334"/>
      <c r="BI779" s="334"/>
      <c r="BJ779" s="334"/>
      <c r="BK779" s="334"/>
      <c r="BL779" s="334"/>
      <c r="BM779" s="334"/>
      <c r="BN779" s="334"/>
      <c r="BO779" s="334"/>
      <c r="BP779" s="334"/>
      <c r="BQ779" s="334"/>
      <c r="BR779" s="334"/>
      <c r="BS779" s="334"/>
      <c r="BT779" s="334"/>
      <c r="BU779" s="334"/>
      <c r="BV779" s="334"/>
      <c r="BW779" s="334"/>
    </row>
    <row r="780" spans="45:75" x14ac:dyDescent="0.25">
      <c r="AS780" s="202"/>
      <c r="AV780" s="202"/>
      <c r="AW780" s="200"/>
      <c r="AX780" s="334"/>
      <c r="AY780" s="334"/>
      <c r="AZ780" s="334"/>
      <c r="BA780" s="201"/>
      <c r="BB780" s="334"/>
      <c r="BC780" s="334"/>
      <c r="BD780" s="334"/>
      <c r="BE780" s="201"/>
      <c r="BG780" s="334"/>
      <c r="BH780" s="334"/>
      <c r="BI780" s="334"/>
      <c r="BJ780" s="334"/>
      <c r="BK780" s="334"/>
      <c r="BL780" s="334"/>
      <c r="BM780" s="334"/>
      <c r="BN780" s="334"/>
      <c r="BO780" s="334"/>
      <c r="BP780" s="334"/>
      <c r="BQ780" s="334"/>
      <c r="BR780" s="334"/>
      <c r="BS780" s="334"/>
      <c r="BT780" s="334"/>
      <c r="BU780" s="334"/>
      <c r="BV780" s="334"/>
      <c r="BW780" s="334"/>
    </row>
    <row r="781" spans="45:75" x14ac:dyDescent="0.25">
      <c r="AS781" s="202"/>
      <c r="AV781" s="202"/>
      <c r="AW781" s="200"/>
      <c r="AX781" s="334"/>
      <c r="AY781" s="334"/>
      <c r="AZ781" s="334"/>
      <c r="BA781" s="201"/>
      <c r="BB781" s="334"/>
      <c r="BC781" s="334"/>
      <c r="BD781" s="334"/>
      <c r="BE781" s="201"/>
      <c r="BG781" s="334"/>
      <c r="BH781" s="334"/>
      <c r="BI781" s="334"/>
      <c r="BJ781" s="334"/>
      <c r="BK781" s="334"/>
      <c r="BL781" s="334"/>
      <c r="BM781" s="334"/>
      <c r="BN781" s="334"/>
      <c r="BO781" s="334"/>
      <c r="BP781" s="334"/>
      <c r="BQ781" s="334"/>
      <c r="BR781" s="334"/>
      <c r="BS781" s="334"/>
      <c r="BT781" s="334"/>
      <c r="BU781" s="334"/>
      <c r="BV781" s="334"/>
      <c r="BW781" s="334"/>
    </row>
    <row r="782" spans="45:75" x14ac:dyDescent="0.25">
      <c r="AS782" s="202"/>
      <c r="AV782" s="202"/>
      <c r="AW782" s="200"/>
      <c r="AX782" s="334"/>
      <c r="AY782" s="334"/>
      <c r="AZ782" s="334"/>
      <c r="BA782" s="201"/>
      <c r="BB782" s="334"/>
      <c r="BC782" s="334"/>
      <c r="BD782" s="334"/>
      <c r="BE782" s="201"/>
      <c r="BG782" s="334"/>
      <c r="BH782" s="334"/>
      <c r="BI782" s="334"/>
      <c r="BJ782" s="334"/>
      <c r="BK782" s="334"/>
      <c r="BL782" s="334"/>
      <c r="BM782" s="334"/>
      <c r="BN782" s="334"/>
      <c r="BO782" s="334"/>
      <c r="BP782" s="334"/>
      <c r="BQ782" s="334"/>
      <c r="BR782" s="334"/>
      <c r="BS782" s="334"/>
      <c r="BT782" s="334"/>
      <c r="BU782" s="334"/>
      <c r="BV782" s="334"/>
      <c r="BW782" s="334"/>
    </row>
    <row r="783" spans="45:75" x14ac:dyDescent="0.25">
      <c r="AS783" s="202"/>
      <c r="AV783" s="202"/>
      <c r="AW783" s="200"/>
      <c r="AX783" s="334"/>
      <c r="AY783" s="334"/>
      <c r="AZ783" s="334"/>
      <c r="BA783" s="201"/>
      <c r="BB783" s="334"/>
      <c r="BC783" s="334"/>
      <c r="BD783" s="334"/>
      <c r="BE783" s="201"/>
      <c r="BG783" s="334"/>
      <c r="BH783" s="334"/>
      <c r="BI783" s="334"/>
      <c r="BJ783" s="334"/>
      <c r="BK783" s="334"/>
      <c r="BL783" s="334"/>
      <c r="BM783" s="334"/>
      <c r="BN783" s="334"/>
      <c r="BO783" s="334"/>
      <c r="BP783" s="334"/>
      <c r="BQ783" s="334"/>
      <c r="BR783" s="334"/>
      <c r="BS783" s="334"/>
      <c r="BT783" s="334"/>
      <c r="BU783" s="334"/>
      <c r="BV783" s="334"/>
      <c r="BW783" s="334"/>
    </row>
    <row r="784" spans="45:75" x14ac:dyDescent="0.25">
      <c r="AS784" s="202"/>
      <c r="AV784" s="202"/>
      <c r="AW784" s="200"/>
      <c r="AX784" s="334"/>
      <c r="AY784" s="334"/>
      <c r="AZ784" s="334"/>
      <c r="BA784" s="201"/>
      <c r="BB784" s="334"/>
      <c r="BC784" s="334"/>
      <c r="BD784" s="334"/>
      <c r="BE784" s="201"/>
      <c r="BG784" s="334"/>
      <c r="BH784" s="334"/>
      <c r="BI784" s="334"/>
      <c r="BJ784" s="334"/>
      <c r="BK784" s="334"/>
      <c r="BL784" s="334"/>
      <c r="BM784" s="334"/>
      <c r="BN784" s="334"/>
      <c r="BO784" s="334"/>
      <c r="BP784" s="334"/>
      <c r="BQ784" s="334"/>
      <c r="BR784" s="334"/>
      <c r="BS784" s="334"/>
      <c r="BT784" s="334"/>
      <c r="BU784" s="334"/>
      <c r="BV784" s="334"/>
      <c r="BW784" s="334"/>
    </row>
    <row r="785" spans="45:75" x14ac:dyDescent="0.25">
      <c r="AS785" s="202"/>
      <c r="AV785" s="202"/>
      <c r="AW785" s="200"/>
      <c r="AX785" s="334"/>
      <c r="AY785" s="334"/>
      <c r="AZ785" s="334"/>
      <c r="BA785" s="201"/>
      <c r="BB785" s="334"/>
      <c r="BC785" s="334"/>
      <c r="BD785" s="334"/>
      <c r="BE785" s="201"/>
      <c r="BG785" s="334"/>
      <c r="BH785" s="334"/>
      <c r="BI785" s="334"/>
      <c r="BJ785" s="334"/>
      <c r="BK785" s="334"/>
      <c r="BL785" s="334"/>
      <c r="BM785" s="334"/>
      <c r="BN785" s="334"/>
      <c r="BO785" s="334"/>
      <c r="BP785" s="334"/>
      <c r="BQ785" s="334"/>
      <c r="BR785" s="334"/>
      <c r="BS785" s="334"/>
      <c r="BT785" s="334"/>
      <c r="BU785" s="334"/>
      <c r="BV785" s="334"/>
      <c r="BW785" s="334"/>
    </row>
    <row r="786" spans="45:75" x14ac:dyDescent="0.25">
      <c r="AS786" s="202"/>
      <c r="AV786" s="202"/>
      <c r="AW786" s="200"/>
      <c r="AX786" s="334"/>
      <c r="AY786" s="334"/>
      <c r="AZ786" s="334"/>
      <c r="BA786" s="201"/>
      <c r="BB786" s="334"/>
      <c r="BC786" s="334"/>
      <c r="BD786" s="334"/>
      <c r="BE786" s="201"/>
      <c r="BG786" s="334"/>
      <c r="BH786" s="334"/>
      <c r="BI786" s="334"/>
      <c r="BJ786" s="334"/>
      <c r="BK786" s="334"/>
      <c r="BL786" s="334"/>
      <c r="BM786" s="334"/>
      <c r="BN786" s="334"/>
      <c r="BO786" s="334"/>
      <c r="BP786" s="334"/>
      <c r="BQ786" s="334"/>
      <c r="BR786" s="334"/>
      <c r="BS786" s="334"/>
      <c r="BT786" s="334"/>
      <c r="BU786" s="334"/>
      <c r="BV786" s="334"/>
      <c r="BW786" s="334"/>
    </row>
    <row r="787" spans="45:75" x14ac:dyDescent="0.25">
      <c r="AS787" s="202"/>
      <c r="AV787" s="202"/>
      <c r="AW787" s="200"/>
      <c r="AX787" s="334"/>
      <c r="AY787" s="334"/>
      <c r="AZ787" s="334"/>
      <c r="BA787" s="201"/>
      <c r="BB787" s="334"/>
      <c r="BC787" s="334"/>
      <c r="BD787" s="334"/>
      <c r="BE787" s="201"/>
      <c r="BG787" s="334"/>
      <c r="BH787" s="334"/>
      <c r="BI787" s="334"/>
      <c r="BJ787" s="334"/>
      <c r="BK787" s="334"/>
      <c r="BL787" s="334"/>
      <c r="BM787" s="334"/>
      <c r="BN787" s="334"/>
      <c r="BO787" s="334"/>
      <c r="BP787" s="334"/>
      <c r="BQ787" s="334"/>
      <c r="BR787" s="334"/>
      <c r="BS787" s="334"/>
      <c r="BT787" s="334"/>
      <c r="BU787" s="334"/>
      <c r="BV787" s="334"/>
      <c r="BW787" s="334"/>
    </row>
    <row r="788" spans="45:75" x14ac:dyDescent="0.25">
      <c r="AW788" s="200"/>
      <c r="AX788" s="334"/>
      <c r="AY788" s="334"/>
      <c r="AZ788" s="334"/>
      <c r="BA788" s="201"/>
      <c r="BB788" s="334"/>
      <c r="BC788" s="334"/>
      <c r="BD788" s="334"/>
      <c r="BE788" s="201"/>
      <c r="BG788" s="102"/>
      <c r="BH788" s="102"/>
      <c r="BI788" s="154"/>
      <c r="BM788" s="102"/>
      <c r="BN788" s="102"/>
      <c r="BO788" s="334"/>
      <c r="BP788" s="102"/>
      <c r="BQ788" s="102"/>
      <c r="BR788" s="154"/>
      <c r="BV788" s="102"/>
      <c r="BW788" s="102"/>
    </row>
    <row r="789" spans="45:75" x14ac:dyDescent="0.25">
      <c r="AS789" s="202"/>
      <c r="AU789" s="154"/>
      <c r="AV789" s="103"/>
      <c r="AW789" s="200"/>
      <c r="AX789" s="334"/>
      <c r="AY789" s="334"/>
      <c r="AZ789" s="334"/>
      <c r="BA789" s="201"/>
      <c r="BB789" s="334"/>
      <c r="BC789" s="334"/>
      <c r="BD789" s="334"/>
      <c r="BE789" s="201"/>
      <c r="BG789" s="336"/>
      <c r="BH789" s="334"/>
      <c r="BI789" s="334"/>
      <c r="BJ789" s="334"/>
      <c r="BK789" s="336"/>
      <c r="BL789" s="337"/>
      <c r="BM789" s="334"/>
      <c r="BN789" s="336"/>
      <c r="BO789" s="334"/>
      <c r="BP789" s="336"/>
      <c r="BQ789" s="334"/>
      <c r="BR789" s="334"/>
      <c r="BS789" s="334"/>
      <c r="BT789" s="336"/>
      <c r="BU789" s="337"/>
      <c r="BV789" s="334"/>
      <c r="BW789" s="336"/>
    </row>
    <row r="790" spans="45:75" x14ac:dyDescent="0.25">
      <c r="AS790" s="202"/>
      <c r="AV790" s="103"/>
      <c r="AW790" s="200"/>
      <c r="AX790" s="334"/>
      <c r="AY790" s="334"/>
      <c r="AZ790" s="334"/>
      <c r="BA790" s="201"/>
      <c r="BB790" s="334"/>
      <c r="BC790" s="334"/>
      <c r="BD790" s="334"/>
      <c r="BE790" s="201"/>
      <c r="BG790" s="334"/>
      <c r="BH790" s="334"/>
      <c r="BI790" s="334"/>
      <c r="BJ790" s="334"/>
      <c r="BK790" s="334"/>
      <c r="BL790" s="337"/>
      <c r="BM790" s="334"/>
      <c r="BN790" s="334"/>
      <c r="BO790" s="334"/>
      <c r="BP790" s="334"/>
      <c r="BQ790" s="334"/>
      <c r="BR790" s="334"/>
      <c r="BS790" s="334"/>
      <c r="BT790" s="334"/>
      <c r="BU790" s="337"/>
      <c r="BV790" s="334"/>
      <c r="BW790" s="334"/>
    </row>
    <row r="791" spans="45:75" x14ac:dyDescent="0.25">
      <c r="AS791" s="202"/>
      <c r="AV791" s="103"/>
      <c r="AW791" s="200"/>
      <c r="AX791" s="334"/>
      <c r="AY791" s="334"/>
      <c r="AZ791" s="334"/>
      <c r="BA791" s="201"/>
      <c r="BB791" s="334"/>
      <c r="BC791" s="334"/>
      <c r="BD791" s="334"/>
      <c r="BE791" s="201"/>
      <c r="BG791" s="334"/>
      <c r="BH791" s="334"/>
      <c r="BI791" s="334"/>
      <c r="BJ791" s="334"/>
      <c r="BK791" s="334"/>
      <c r="BL791" s="337"/>
      <c r="BM791" s="334"/>
      <c r="BN791" s="334"/>
      <c r="BO791" s="334"/>
      <c r="BP791" s="334"/>
      <c r="BQ791" s="334"/>
      <c r="BR791" s="334"/>
      <c r="BS791" s="334"/>
      <c r="BT791" s="334"/>
      <c r="BU791" s="337"/>
      <c r="BV791" s="334"/>
      <c r="BW791" s="334"/>
    </row>
    <row r="792" spans="45:75" x14ac:dyDescent="0.25">
      <c r="AS792" s="202"/>
      <c r="AV792" s="103"/>
      <c r="AW792" s="200"/>
      <c r="AX792" s="334"/>
      <c r="AY792" s="334"/>
      <c r="AZ792" s="334"/>
      <c r="BA792" s="201"/>
      <c r="BB792" s="334"/>
      <c r="BC792" s="334"/>
      <c r="BD792" s="334"/>
      <c r="BE792" s="201"/>
      <c r="BG792" s="334"/>
      <c r="BH792" s="334"/>
      <c r="BI792" s="334"/>
      <c r="BJ792" s="334"/>
      <c r="BK792" s="334"/>
      <c r="BL792" s="337"/>
      <c r="BM792" s="334"/>
      <c r="BN792" s="334"/>
      <c r="BO792" s="334"/>
      <c r="BP792" s="334"/>
      <c r="BQ792" s="334"/>
      <c r="BR792" s="334"/>
      <c r="BS792" s="334"/>
      <c r="BT792" s="334"/>
      <c r="BU792" s="337"/>
      <c r="BV792" s="334"/>
      <c r="BW792" s="334"/>
    </row>
    <row r="793" spans="45:75" x14ac:dyDescent="0.25">
      <c r="AX793" s="334"/>
      <c r="AY793" s="334"/>
      <c r="AZ793" s="334"/>
      <c r="BA793" s="201"/>
      <c r="BB793" s="334"/>
      <c r="BC793" s="334"/>
      <c r="BD793" s="334"/>
      <c r="BE793" s="201"/>
      <c r="BG793" s="334"/>
      <c r="BH793" s="334"/>
      <c r="BI793" s="334"/>
      <c r="BJ793" s="334"/>
      <c r="BK793" s="334"/>
      <c r="BL793" s="334"/>
      <c r="BM793" s="334"/>
      <c r="BN793" s="334"/>
      <c r="BO793" s="334"/>
      <c r="BP793" s="334"/>
      <c r="BQ793" s="334"/>
      <c r="BR793" s="334"/>
      <c r="BS793" s="334"/>
      <c r="BT793" s="334"/>
      <c r="BU793" s="334"/>
      <c r="BV793" s="334"/>
    </row>
    <row r="794" spans="45:75" x14ac:dyDescent="0.25">
      <c r="AU794" s="154"/>
    </row>
    <row r="795" spans="45:75" x14ac:dyDescent="0.25">
      <c r="AU795" s="154"/>
      <c r="AZ795" s="334"/>
      <c r="BA795" s="201"/>
      <c r="BB795" s="334"/>
      <c r="BC795" s="334"/>
      <c r="BD795" s="334"/>
      <c r="BE795" s="201"/>
      <c r="BG795" s="334"/>
      <c r="BH795" s="334"/>
      <c r="BI795" s="334"/>
      <c r="BJ795" s="334"/>
      <c r="BK795" s="334"/>
      <c r="BL795" s="334"/>
      <c r="BM795" s="334"/>
      <c r="BN795" s="334"/>
      <c r="BO795" s="334"/>
      <c r="BP795" s="334"/>
      <c r="BQ795" s="334"/>
      <c r="BR795" s="334"/>
      <c r="BS795" s="334"/>
      <c r="BT795" s="334"/>
      <c r="BU795" s="334"/>
      <c r="BV795" s="334"/>
    </row>
    <row r="796" spans="45:75" x14ac:dyDescent="0.25">
      <c r="AS796" s="154"/>
      <c r="AZ796" s="334"/>
      <c r="BB796" s="334"/>
    </row>
    <row r="797" spans="45:75" x14ac:dyDescent="0.25">
      <c r="AY797" s="202"/>
      <c r="AZ797" s="334"/>
      <c r="BB797" s="334"/>
      <c r="BO797" s="334"/>
      <c r="BP797" s="334"/>
      <c r="BQ797" s="334"/>
      <c r="BR797" s="334"/>
      <c r="BS797" s="334"/>
      <c r="BT797" s="334"/>
      <c r="BU797" s="334"/>
      <c r="BV797" s="334"/>
    </row>
    <row r="798" spans="45:75" x14ac:dyDescent="0.25">
      <c r="AY798" s="334"/>
      <c r="AZ798" s="334"/>
      <c r="BB798" s="334"/>
      <c r="BO798" s="334"/>
      <c r="BP798" s="334"/>
      <c r="BQ798" s="334"/>
      <c r="BR798" s="334"/>
      <c r="BS798" s="334"/>
      <c r="BT798" s="334"/>
      <c r="BU798" s="334"/>
      <c r="BV798" s="334"/>
    </row>
    <row r="799" spans="45:75" x14ac:dyDescent="0.25">
      <c r="AY799" s="154"/>
      <c r="AZ799" s="334"/>
      <c r="BB799" s="334"/>
      <c r="BO799" s="334"/>
      <c r="BP799" s="334"/>
      <c r="BQ799" s="334"/>
      <c r="BR799" s="334"/>
      <c r="BS799" s="334"/>
      <c r="BT799" s="334"/>
      <c r="BU799" s="334"/>
      <c r="BV799" s="334"/>
    </row>
    <row r="800" spans="45:75" x14ac:dyDescent="0.25">
      <c r="AY800" s="154"/>
      <c r="AZ800" s="334"/>
      <c r="BB800" s="334"/>
      <c r="BO800" s="334"/>
      <c r="BP800" s="334"/>
      <c r="BQ800" s="334"/>
      <c r="BR800" s="334"/>
      <c r="BS800" s="334"/>
      <c r="BT800" s="334"/>
      <c r="BU800" s="334"/>
      <c r="BV800" s="334"/>
    </row>
    <row r="801" spans="45:74" x14ac:dyDescent="0.25">
      <c r="AS801" s="202"/>
      <c r="AZ801" s="334"/>
      <c r="BB801" s="334"/>
      <c r="BD801" s="154"/>
      <c r="BO801" s="334"/>
      <c r="BP801" s="334"/>
      <c r="BQ801" s="334"/>
      <c r="BR801" s="334"/>
      <c r="BS801" s="334"/>
      <c r="BT801" s="334"/>
      <c r="BU801" s="334"/>
      <c r="BV801" s="334"/>
    </row>
    <row r="802" spans="45:74" x14ac:dyDescent="0.25">
      <c r="AS802" s="202"/>
      <c r="AZ802" s="334"/>
      <c r="BB802" s="334"/>
      <c r="BD802" s="154"/>
      <c r="BO802" s="334"/>
      <c r="BP802" s="334"/>
      <c r="BQ802" s="334"/>
      <c r="BR802" s="334"/>
      <c r="BS802" s="334"/>
      <c r="BT802" s="334"/>
      <c r="BU802" s="334"/>
      <c r="BV802" s="334"/>
    </row>
    <row r="803" spans="45:74" x14ac:dyDescent="0.25">
      <c r="AS803" s="154"/>
      <c r="AZ803" s="334"/>
      <c r="BB803" s="334"/>
      <c r="BD803" s="154"/>
      <c r="BO803" s="334"/>
      <c r="BP803" s="334"/>
      <c r="BQ803" s="334"/>
      <c r="BR803" s="334"/>
      <c r="BS803" s="334"/>
      <c r="BT803" s="334"/>
      <c r="BU803" s="334"/>
      <c r="BV803" s="334"/>
    </row>
    <row r="804" spans="45:74" x14ac:dyDescent="0.25">
      <c r="AZ804" s="334"/>
      <c r="BB804" s="334"/>
      <c r="BD804" s="202"/>
      <c r="BO804" s="334"/>
      <c r="BP804" s="334"/>
      <c r="BQ804" s="334"/>
      <c r="BR804" s="334"/>
      <c r="BS804" s="334"/>
      <c r="BT804" s="334"/>
      <c r="BU804" s="334"/>
      <c r="BV804" s="334"/>
    </row>
    <row r="805" spans="45:74" x14ac:dyDescent="0.25">
      <c r="AS805" s="102"/>
      <c r="AT805" s="102"/>
      <c r="AU805" s="102"/>
      <c r="AV805" s="102"/>
      <c r="AW805" s="102"/>
      <c r="AX805" s="102"/>
      <c r="AY805" s="102"/>
      <c r="AZ805" s="335"/>
      <c r="BA805" s="102"/>
      <c r="BB805" s="335"/>
      <c r="BC805" s="102"/>
      <c r="BD805" s="102"/>
      <c r="BE805" s="102"/>
      <c r="BO805" s="334"/>
      <c r="BP805" s="334"/>
      <c r="BQ805" s="334"/>
      <c r="BR805" s="334"/>
      <c r="BS805" s="334"/>
      <c r="BT805" s="334"/>
      <c r="BU805" s="334"/>
      <c r="BV805" s="334"/>
    </row>
    <row r="806" spans="45:74" x14ac:dyDescent="0.25">
      <c r="AX806" s="154"/>
      <c r="AZ806" s="334"/>
      <c r="BB806" s="334"/>
      <c r="BO806" s="334"/>
      <c r="BP806" s="334"/>
      <c r="BQ806" s="334"/>
      <c r="BR806" s="334"/>
      <c r="BS806" s="334"/>
      <c r="BT806" s="334"/>
      <c r="BU806" s="334"/>
      <c r="BV806" s="334"/>
    </row>
    <row r="807" spans="45:74" x14ac:dyDescent="0.25">
      <c r="AX807" s="102"/>
      <c r="AY807" s="102"/>
      <c r="AZ807" s="335"/>
      <c r="BA807" s="102"/>
      <c r="BB807" s="334"/>
      <c r="BC807" s="103"/>
      <c r="BD807" s="103"/>
      <c r="BO807" s="334"/>
      <c r="BP807" s="334"/>
      <c r="BQ807" s="334"/>
      <c r="BR807" s="334"/>
      <c r="BS807" s="334"/>
      <c r="BT807" s="334"/>
      <c r="BU807" s="334"/>
      <c r="BV807" s="334"/>
    </row>
    <row r="808" spans="45:74" x14ac:dyDescent="0.25">
      <c r="AV808" s="103"/>
      <c r="AW808" s="103"/>
      <c r="AZ808" s="336"/>
      <c r="BA808" s="103"/>
      <c r="BB808" s="334"/>
      <c r="BC808" s="103"/>
      <c r="BD808" s="103"/>
      <c r="BE808" s="103"/>
      <c r="BG808" s="102"/>
      <c r="BH808" s="154"/>
      <c r="BK808" s="102"/>
      <c r="BM808" s="102"/>
      <c r="BN808" s="154"/>
      <c r="BQ808" s="102"/>
    </row>
    <row r="809" spans="45:74" x14ac:dyDescent="0.25">
      <c r="AV809" s="103"/>
      <c r="AW809" s="103"/>
      <c r="AX809" s="103"/>
      <c r="AY809" s="103"/>
      <c r="AZ809" s="336"/>
      <c r="BA809" s="103"/>
      <c r="BB809" s="336"/>
      <c r="BC809" s="103"/>
      <c r="BD809" s="103"/>
      <c r="BE809" s="103"/>
      <c r="BH809" s="103"/>
      <c r="BI809" s="103"/>
      <c r="BN809" s="103"/>
      <c r="BO809" s="103"/>
    </row>
    <row r="810" spans="45:74" x14ac:dyDescent="0.25">
      <c r="AS810" s="103"/>
      <c r="AU810" s="154"/>
      <c r="AV810" s="103"/>
      <c r="AW810" s="103"/>
      <c r="AX810" s="103"/>
      <c r="AY810" s="103"/>
      <c r="AZ810" s="336"/>
      <c r="BA810" s="103"/>
      <c r="BB810" s="336"/>
      <c r="BC810" s="103"/>
      <c r="BD810" s="103"/>
      <c r="BE810" s="103"/>
      <c r="BG810" s="103"/>
      <c r="BH810" s="103"/>
      <c r="BI810" s="103"/>
      <c r="BJ810" s="103"/>
      <c r="BK810" s="103"/>
      <c r="BM810" s="103"/>
      <c r="BN810" s="103"/>
      <c r="BO810" s="103"/>
      <c r="BP810" s="103"/>
      <c r="BQ810" s="103"/>
    </row>
    <row r="811" spans="45:74" x14ac:dyDescent="0.25">
      <c r="AS811" s="103"/>
      <c r="AU811" s="154"/>
      <c r="AV811" s="103"/>
      <c r="AW811" s="103"/>
      <c r="AX811" s="103"/>
      <c r="AY811" s="103"/>
      <c r="AZ811" s="336"/>
      <c r="BA811" s="103"/>
      <c r="BB811" s="336"/>
      <c r="BC811" s="103"/>
      <c r="BD811" s="103"/>
      <c r="BE811" s="103"/>
      <c r="BG811" s="103"/>
      <c r="BH811" s="103"/>
      <c r="BI811" s="103"/>
      <c r="BJ811" s="103"/>
      <c r="BK811" s="103"/>
      <c r="BM811" s="103"/>
      <c r="BN811" s="103"/>
      <c r="BO811" s="103"/>
      <c r="BP811" s="103"/>
      <c r="BQ811" s="103"/>
    </row>
    <row r="812" spans="45:74" x14ac:dyDescent="0.25">
      <c r="AS812" s="102"/>
      <c r="AT812" s="102"/>
      <c r="AU812" s="102"/>
      <c r="AV812" s="102"/>
      <c r="AW812" s="102"/>
      <c r="AX812" s="102"/>
      <c r="AY812" s="102"/>
      <c r="AZ812" s="335"/>
      <c r="BA812" s="102"/>
      <c r="BB812" s="335"/>
      <c r="BC812" s="102"/>
      <c r="BD812" s="102"/>
      <c r="BE812" s="102"/>
      <c r="BG812" s="102"/>
      <c r="BH812" s="102"/>
      <c r="BI812" s="102"/>
      <c r="BJ812" s="102"/>
      <c r="BK812" s="102"/>
      <c r="BM812" s="102"/>
      <c r="BN812" s="102"/>
      <c r="BO812" s="102"/>
      <c r="BP812" s="102"/>
      <c r="BQ812" s="102"/>
    </row>
    <row r="813" spans="45:74" x14ac:dyDescent="0.25">
      <c r="AV813" s="103"/>
      <c r="AW813" s="103"/>
      <c r="AX813" s="103"/>
      <c r="AY813" s="103"/>
      <c r="AZ813" s="336"/>
      <c r="BA813" s="103"/>
      <c r="BB813" s="336"/>
      <c r="BC813" s="103"/>
      <c r="BD813" s="103"/>
      <c r="BE813" s="103"/>
      <c r="BG813" s="334"/>
      <c r="BH813" s="334"/>
      <c r="BI813" s="334"/>
      <c r="BJ813" s="334"/>
      <c r="BK813" s="334"/>
      <c r="BL813" s="334"/>
      <c r="BM813" s="334"/>
      <c r="BN813" s="334"/>
      <c r="BO813" s="334"/>
      <c r="BP813" s="334"/>
      <c r="BQ813" s="334"/>
    </row>
    <row r="814" spans="45:74" x14ac:dyDescent="0.25">
      <c r="AS814" s="202"/>
      <c r="AT814" s="154"/>
      <c r="AV814" s="200"/>
      <c r="AW814" s="200"/>
      <c r="AX814" s="334"/>
      <c r="AY814" s="334"/>
      <c r="AZ814" s="334"/>
      <c r="BA814" s="201"/>
      <c r="BB814" s="334"/>
      <c r="BC814" s="334"/>
      <c r="BD814" s="334"/>
      <c r="BE814" s="201"/>
      <c r="BG814" s="334"/>
      <c r="BH814" s="334"/>
      <c r="BI814" s="334"/>
      <c r="BJ814" s="334"/>
      <c r="BK814" s="334"/>
      <c r="BL814" s="334"/>
      <c r="BM814" s="334"/>
      <c r="BN814" s="334"/>
      <c r="BO814" s="334"/>
      <c r="BP814" s="334"/>
      <c r="BQ814" s="334"/>
      <c r="BR814" s="334"/>
      <c r="BS814" s="334"/>
    </row>
    <row r="815" spans="45:74" x14ac:dyDescent="0.25">
      <c r="AS815" s="202"/>
      <c r="AV815" s="200"/>
      <c r="AW815" s="200"/>
      <c r="AX815" s="334"/>
      <c r="AY815" s="334"/>
      <c r="AZ815" s="334"/>
      <c r="BA815" s="201"/>
      <c r="BB815" s="334"/>
      <c r="BC815" s="334"/>
      <c r="BD815" s="334"/>
      <c r="BE815" s="201"/>
      <c r="BG815" s="334"/>
      <c r="BH815" s="334"/>
      <c r="BI815" s="334"/>
      <c r="BJ815" s="334"/>
      <c r="BK815" s="334"/>
      <c r="BL815" s="334"/>
      <c r="BM815" s="334"/>
      <c r="BN815" s="334"/>
      <c r="BO815" s="334"/>
      <c r="BP815" s="334"/>
      <c r="BQ815" s="334"/>
      <c r="BR815" s="334"/>
      <c r="BS815" s="334"/>
    </row>
    <row r="816" spans="45:74" x14ac:dyDescent="0.25">
      <c r="AS816" s="202"/>
      <c r="AV816" s="200"/>
      <c r="AW816" s="200"/>
      <c r="AX816" s="334"/>
      <c r="AY816" s="334"/>
      <c r="AZ816" s="334"/>
      <c r="BA816" s="201"/>
      <c r="BB816" s="334"/>
      <c r="BC816" s="334"/>
      <c r="BD816" s="334"/>
      <c r="BE816" s="201"/>
      <c r="BG816" s="334"/>
      <c r="BH816" s="334"/>
      <c r="BI816" s="334"/>
      <c r="BJ816" s="334"/>
      <c r="BK816" s="334"/>
      <c r="BL816" s="334"/>
      <c r="BM816" s="334"/>
      <c r="BN816" s="334"/>
      <c r="BO816" s="334"/>
      <c r="BP816" s="334"/>
      <c r="BQ816" s="334"/>
      <c r="BR816" s="334"/>
      <c r="BS816" s="334"/>
    </row>
    <row r="817" spans="45:71" x14ac:dyDescent="0.25">
      <c r="AS817" s="202"/>
      <c r="AV817" s="200"/>
      <c r="AW817" s="200"/>
      <c r="AX817" s="334"/>
      <c r="AY817" s="334"/>
      <c r="AZ817" s="334"/>
      <c r="BA817" s="201"/>
      <c r="BB817" s="334"/>
      <c r="BC817" s="334"/>
      <c r="BD817" s="334"/>
      <c r="BE817" s="201"/>
      <c r="BG817" s="334"/>
      <c r="BH817" s="334"/>
      <c r="BI817" s="334"/>
      <c r="BJ817" s="334"/>
      <c r="BK817" s="334"/>
      <c r="BL817" s="334"/>
      <c r="BM817" s="334"/>
      <c r="BN817" s="334"/>
      <c r="BO817" s="334"/>
      <c r="BP817" s="334"/>
      <c r="BQ817" s="334"/>
      <c r="BR817" s="334"/>
      <c r="BS817" s="334"/>
    </row>
    <row r="818" spans="45:71" x14ac:dyDescent="0.25">
      <c r="AS818" s="202"/>
      <c r="AV818" s="200"/>
      <c r="AW818" s="200"/>
      <c r="AX818" s="334"/>
      <c r="AY818" s="334"/>
      <c r="AZ818" s="334"/>
      <c r="BA818" s="201"/>
      <c r="BB818" s="334"/>
      <c r="BC818" s="334"/>
      <c r="BD818" s="334"/>
      <c r="BE818" s="201"/>
      <c r="BG818" s="334"/>
      <c r="BH818" s="334"/>
      <c r="BI818" s="334"/>
      <c r="BJ818" s="334"/>
      <c r="BK818" s="334"/>
      <c r="BL818" s="334"/>
      <c r="BM818" s="334"/>
      <c r="BN818" s="334"/>
      <c r="BO818" s="334"/>
      <c r="BP818" s="334"/>
      <c r="BQ818" s="334"/>
      <c r="BR818" s="334"/>
      <c r="BS818" s="334"/>
    </row>
    <row r="819" spans="45:71" x14ac:dyDescent="0.25">
      <c r="AS819" s="202"/>
      <c r="AV819" s="200"/>
      <c r="AW819" s="200"/>
      <c r="AX819" s="334"/>
      <c r="AY819" s="334"/>
      <c r="AZ819" s="334"/>
      <c r="BA819" s="201"/>
      <c r="BB819" s="334"/>
      <c r="BC819" s="334"/>
      <c r="BD819" s="334"/>
      <c r="BE819" s="201"/>
      <c r="BG819" s="334"/>
      <c r="BH819" s="334"/>
      <c r="BI819" s="334"/>
      <c r="BJ819" s="334"/>
      <c r="BK819" s="334"/>
      <c r="BL819" s="334"/>
      <c r="BM819" s="334"/>
      <c r="BN819" s="334"/>
      <c r="BO819" s="334"/>
      <c r="BP819" s="334"/>
      <c r="BQ819" s="334"/>
      <c r="BR819" s="334"/>
      <c r="BS819" s="334"/>
    </row>
    <row r="820" spans="45:71" x14ac:dyDescent="0.25">
      <c r="AS820" s="202"/>
      <c r="AV820" s="200"/>
      <c r="AW820" s="200"/>
      <c r="AX820" s="334"/>
      <c r="AY820" s="334"/>
      <c r="AZ820" s="334"/>
      <c r="BA820" s="201"/>
      <c r="BB820" s="334"/>
      <c r="BC820" s="334"/>
      <c r="BD820" s="334"/>
      <c r="BE820" s="201"/>
      <c r="BG820" s="334"/>
      <c r="BH820" s="334"/>
      <c r="BI820" s="334"/>
      <c r="BJ820" s="334"/>
      <c r="BK820" s="334"/>
      <c r="BL820" s="334"/>
      <c r="BM820" s="334"/>
      <c r="BN820" s="334"/>
      <c r="BO820" s="334"/>
      <c r="BP820" s="334"/>
      <c r="BQ820" s="334"/>
      <c r="BR820" s="334"/>
      <c r="BS820" s="334"/>
    </row>
    <row r="821" spans="45:71" x14ac:dyDescent="0.25">
      <c r="AS821" s="202"/>
      <c r="AV821" s="200"/>
      <c r="AW821" s="200"/>
      <c r="AX821" s="334"/>
      <c r="AY821" s="334"/>
      <c r="AZ821" s="334"/>
      <c r="BA821" s="201"/>
      <c r="BB821" s="334"/>
      <c r="BC821" s="334"/>
      <c r="BD821" s="334"/>
      <c r="BE821" s="201"/>
      <c r="BG821" s="334"/>
      <c r="BH821" s="334"/>
      <c r="BI821" s="334"/>
      <c r="BJ821" s="334"/>
      <c r="BK821" s="334"/>
      <c r="BL821" s="334"/>
      <c r="BM821" s="334"/>
      <c r="BN821" s="334"/>
      <c r="BO821" s="334"/>
      <c r="BP821" s="334"/>
      <c r="BQ821" s="334"/>
      <c r="BR821" s="334"/>
      <c r="BS821" s="334"/>
    </row>
    <row r="822" spans="45:71" x14ac:dyDescent="0.25">
      <c r="AS822" s="202"/>
      <c r="AV822" s="200"/>
      <c r="AW822" s="200"/>
      <c r="AX822" s="334"/>
      <c r="AY822" s="334"/>
      <c r="AZ822" s="334"/>
      <c r="BA822" s="201"/>
      <c r="BB822" s="334"/>
      <c r="BC822" s="334"/>
      <c r="BD822" s="334"/>
      <c r="BE822" s="201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  <c r="BR822" s="334"/>
      <c r="BS822" s="334"/>
    </row>
    <row r="823" spans="45:71" x14ac:dyDescent="0.25">
      <c r="AS823" s="202"/>
      <c r="AV823" s="200"/>
      <c r="AW823" s="200"/>
      <c r="AX823" s="334"/>
      <c r="AY823" s="334"/>
      <c r="AZ823" s="334"/>
      <c r="BA823" s="201"/>
      <c r="BB823" s="334"/>
      <c r="BC823" s="334"/>
      <c r="BD823" s="334"/>
      <c r="BE823" s="201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</row>
    <row r="824" spans="45:71" x14ac:dyDescent="0.25">
      <c r="AS824" s="202"/>
      <c r="AV824" s="200"/>
      <c r="AW824" s="200"/>
      <c r="AX824" s="334"/>
      <c r="AY824" s="334"/>
      <c r="AZ824" s="334"/>
      <c r="BA824" s="201"/>
      <c r="BB824" s="334"/>
      <c r="BC824" s="334"/>
      <c r="BD824" s="334"/>
      <c r="BE824" s="201"/>
      <c r="BG824" s="334"/>
      <c r="BH824" s="334"/>
      <c r="BI824" s="334"/>
      <c r="BJ824" s="334"/>
      <c r="BK824" s="334"/>
      <c r="BL824" s="334"/>
      <c r="BM824" s="334"/>
      <c r="BN824" s="334"/>
      <c r="BO824" s="334"/>
      <c r="BP824" s="334"/>
      <c r="BQ824" s="334"/>
      <c r="BR824" s="334"/>
      <c r="BS824" s="334"/>
    </row>
    <row r="825" spans="45:71" x14ac:dyDescent="0.25">
      <c r="AS825" s="202"/>
      <c r="AV825" s="200"/>
      <c r="AW825" s="200"/>
      <c r="AX825" s="334"/>
      <c r="AY825" s="334"/>
      <c r="AZ825" s="334"/>
      <c r="BA825" s="201"/>
      <c r="BB825" s="334"/>
      <c r="BC825" s="334"/>
      <c r="BD825" s="334"/>
      <c r="BE825" s="201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  <c r="BR825" s="334"/>
      <c r="BS825" s="334"/>
    </row>
    <row r="826" spans="45:71" x14ac:dyDescent="0.25">
      <c r="AS826" s="202"/>
      <c r="AV826" s="200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</row>
    <row r="827" spans="45:71" x14ac:dyDescent="0.25">
      <c r="AS827" s="202"/>
      <c r="AV827" s="200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</row>
    <row r="828" spans="45:71" x14ac:dyDescent="0.25">
      <c r="AS828" s="202"/>
      <c r="AV828" s="200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</row>
    <row r="829" spans="45:71" x14ac:dyDescent="0.25">
      <c r="AS829" s="202"/>
      <c r="AV829" s="200"/>
      <c r="AW829" s="200"/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</row>
    <row r="830" spans="45:71" x14ac:dyDescent="0.25">
      <c r="AS830" s="202"/>
      <c r="AV830" s="200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</row>
    <row r="831" spans="45:71" x14ac:dyDescent="0.25">
      <c r="AS831" s="202"/>
      <c r="AV831" s="200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</row>
    <row r="832" spans="45:71" x14ac:dyDescent="0.25">
      <c r="AZ832" s="334"/>
      <c r="BB832" s="334"/>
      <c r="BC832" s="334"/>
      <c r="BD832" s="334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</row>
    <row r="833" spans="45:57" x14ac:dyDescent="0.25">
      <c r="AS833" s="202"/>
      <c r="AT833" s="154"/>
      <c r="AV833" s="200"/>
      <c r="AW833" s="200"/>
      <c r="AX833" s="334"/>
      <c r="AY833" s="334"/>
      <c r="AZ833" s="334"/>
      <c r="BA833" s="201"/>
      <c r="BB833" s="334"/>
      <c r="BC833" s="334"/>
      <c r="BD833" s="334"/>
      <c r="BE833" s="201"/>
    </row>
    <row r="834" spans="45:57" x14ac:dyDescent="0.25">
      <c r="AS834" s="202"/>
      <c r="AV834" s="200"/>
      <c r="AW834" s="200"/>
      <c r="AX834" s="334"/>
      <c r="AY834" s="334"/>
      <c r="AZ834" s="334"/>
      <c r="BA834" s="201"/>
      <c r="BB834" s="334"/>
      <c r="BC834" s="334"/>
      <c r="BD834" s="334"/>
      <c r="BE834" s="201"/>
    </row>
    <row r="835" spans="45:57" x14ac:dyDescent="0.25">
      <c r="AS835" s="202"/>
      <c r="AV835" s="200"/>
      <c r="AW835" s="200"/>
      <c r="AX835" s="334"/>
      <c r="AY835" s="334"/>
      <c r="AZ835" s="334"/>
      <c r="BA835" s="201"/>
      <c r="BB835" s="334"/>
      <c r="BC835" s="334"/>
      <c r="BD835" s="334"/>
      <c r="BE835" s="201"/>
    </row>
    <row r="836" spans="45:57" x14ac:dyDescent="0.25">
      <c r="AS836" s="202"/>
      <c r="AV836" s="200"/>
      <c r="AW836" s="200"/>
      <c r="AX836" s="334"/>
      <c r="AY836" s="334"/>
      <c r="AZ836" s="334"/>
      <c r="BA836" s="201"/>
      <c r="BB836" s="334"/>
      <c r="BC836" s="334"/>
      <c r="BD836" s="334"/>
      <c r="BE836" s="201"/>
    </row>
    <row r="837" spans="45:57" x14ac:dyDescent="0.25">
      <c r="AS837" s="202"/>
      <c r="AV837" s="200"/>
      <c r="AW837" s="200"/>
      <c r="AX837" s="334"/>
      <c r="AY837" s="334"/>
      <c r="AZ837" s="334"/>
      <c r="BA837" s="201"/>
      <c r="BB837" s="334"/>
      <c r="BC837" s="334"/>
      <c r="BD837" s="334"/>
      <c r="BE837" s="201"/>
    </row>
    <row r="838" spans="45:57" x14ac:dyDescent="0.25">
      <c r="AS838" s="202"/>
      <c r="AV838" s="200"/>
      <c r="AW838" s="200"/>
      <c r="AX838" s="334"/>
      <c r="AY838" s="334"/>
      <c r="AZ838" s="334"/>
      <c r="BA838" s="201"/>
      <c r="BB838" s="334"/>
      <c r="BC838" s="334"/>
      <c r="BD838" s="334"/>
      <c r="BE838" s="201"/>
    </row>
    <row r="839" spans="45:57" x14ac:dyDescent="0.25">
      <c r="AS839" s="202"/>
      <c r="AV839" s="200"/>
      <c r="AW839" s="200"/>
      <c r="AX839" s="334"/>
      <c r="AY839" s="334"/>
      <c r="AZ839" s="334"/>
      <c r="BA839" s="201"/>
      <c r="BB839" s="334"/>
      <c r="BC839" s="334"/>
      <c r="BD839" s="334"/>
      <c r="BE839" s="201"/>
    </row>
    <row r="840" spans="45:57" x14ac:dyDescent="0.25">
      <c r="AS840" s="202"/>
      <c r="AV840" s="200"/>
      <c r="AW840" s="200"/>
      <c r="AX840" s="334"/>
      <c r="AY840" s="334"/>
      <c r="AZ840" s="334"/>
      <c r="BA840" s="201"/>
      <c r="BB840" s="334"/>
      <c r="BC840" s="334"/>
      <c r="BD840" s="334"/>
      <c r="BE840" s="201"/>
    </row>
    <row r="841" spans="45:57" x14ac:dyDescent="0.25">
      <c r="AS841" s="202"/>
      <c r="AV841" s="200"/>
      <c r="AW841" s="200"/>
      <c r="AX841" s="334"/>
      <c r="AY841" s="334"/>
      <c r="AZ841" s="334"/>
      <c r="BA841" s="201"/>
      <c r="BB841" s="334"/>
      <c r="BC841" s="334"/>
      <c r="BD841" s="334"/>
      <c r="BE841" s="201"/>
    </row>
    <row r="842" spans="45:57" x14ac:dyDescent="0.25">
      <c r="AS842" s="202"/>
      <c r="AV842" s="200"/>
      <c r="AW842" s="200"/>
      <c r="AX842" s="334"/>
      <c r="AY842" s="334"/>
      <c r="AZ842" s="334"/>
      <c r="BA842" s="201"/>
      <c r="BB842" s="334"/>
      <c r="BC842" s="334"/>
      <c r="BD842" s="334"/>
      <c r="BE842" s="201"/>
    </row>
    <row r="843" spans="45:57" x14ac:dyDescent="0.25">
      <c r="AS843" s="202"/>
      <c r="AV843" s="200"/>
      <c r="AW843" s="200"/>
      <c r="AX843" s="334"/>
      <c r="AY843" s="334"/>
      <c r="AZ843" s="334"/>
      <c r="BA843" s="201"/>
      <c r="BB843" s="334"/>
      <c r="BC843" s="334"/>
      <c r="BD843" s="334"/>
      <c r="BE843" s="201"/>
    </row>
    <row r="844" spans="45:57" x14ac:dyDescent="0.25">
      <c r="AS844" s="202"/>
      <c r="AV844" s="200"/>
      <c r="AW844" s="200"/>
      <c r="AX844" s="334"/>
      <c r="AY844" s="334"/>
      <c r="AZ844" s="334"/>
      <c r="BA844" s="201"/>
      <c r="BB844" s="334"/>
      <c r="BC844" s="334"/>
      <c r="BD844" s="334"/>
      <c r="BE844" s="201"/>
    </row>
    <row r="845" spans="45:57" x14ac:dyDescent="0.25">
      <c r="AS845" s="202"/>
      <c r="AV845" s="200"/>
      <c r="AW845" s="200"/>
      <c r="AX845" s="334"/>
      <c r="AY845" s="334"/>
      <c r="AZ845" s="334"/>
      <c r="BA845" s="201"/>
      <c r="BB845" s="334"/>
      <c r="BC845" s="334"/>
      <c r="BD845" s="334"/>
      <c r="BE845" s="201"/>
    </row>
    <row r="846" spans="45:57" x14ac:dyDescent="0.25">
      <c r="AS846" s="202"/>
      <c r="AV846" s="200"/>
      <c r="AW846" s="200"/>
      <c r="AX846" s="334"/>
      <c r="AY846" s="334"/>
      <c r="AZ846" s="334"/>
      <c r="BA846" s="201"/>
      <c r="BB846" s="334"/>
      <c r="BC846" s="334"/>
      <c r="BD846" s="334"/>
      <c r="BE846" s="201"/>
    </row>
    <row r="847" spans="45:57" x14ac:dyDescent="0.25">
      <c r="AS847" s="202"/>
      <c r="AV847" s="200"/>
      <c r="AW847" s="200"/>
      <c r="AX847" s="334"/>
      <c r="AY847" s="334"/>
      <c r="AZ847" s="334"/>
      <c r="BA847" s="201"/>
      <c r="BB847" s="334"/>
      <c r="BC847" s="334"/>
      <c r="BD847" s="334"/>
      <c r="BE847" s="201"/>
    </row>
    <row r="848" spans="45:57" x14ac:dyDescent="0.25">
      <c r="AS848" s="202"/>
      <c r="AV848" s="200"/>
      <c r="AW848" s="200"/>
      <c r="AX848" s="334"/>
      <c r="AY848" s="334"/>
      <c r="AZ848" s="334"/>
      <c r="BA848" s="201"/>
      <c r="BB848" s="334"/>
      <c r="BC848" s="334"/>
      <c r="BD848" s="334"/>
      <c r="BE848" s="201"/>
    </row>
    <row r="849" spans="45:57" x14ac:dyDescent="0.25">
      <c r="AS849" s="202"/>
      <c r="AV849" s="200"/>
      <c r="AW849" s="200"/>
      <c r="AX849" s="334"/>
      <c r="AY849" s="334"/>
      <c r="AZ849" s="334"/>
      <c r="BA849" s="201"/>
      <c r="BB849" s="334"/>
      <c r="BC849" s="334"/>
      <c r="BD849" s="334"/>
      <c r="BE849" s="201"/>
    </row>
    <row r="850" spans="45:57" x14ac:dyDescent="0.25">
      <c r="AS850" s="202"/>
      <c r="AV850" s="200"/>
      <c r="AW850" s="200"/>
      <c r="AX850" s="334"/>
      <c r="AY850" s="334"/>
      <c r="AZ850" s="334"/>
      <c r="BA850" s="201"/>
      <c r="BB850" s="334"/>
      <c r="BC850" s="334"/>
      <c r="BD850" s="334"/>
      <c r="BE850" s="201"/>
    </row>
    <row r="851" spans="45:57" x14ac:dyDescent="0.25">
      <c r="BB851" s="334"/>
    </row>
    <row r="852" spans="45:57" x14ac:dyDescent="0.25">
      <c r="AU852" s="154"/>
      <c r="BB852" s="334"/>
    </row>
    <row r="853" spans="45:57" x14ac:dyDescent="0.25">
      <c r="AU853" s="154"/>
    </row>
    <row r="854" spans="45:57" x14ac:dyDescent="0.25">
      <c r="AU854" s="154"/>
      <c r="BB854" s="334"/>
    </row>
    <row r="855" spans="45:57" x14ac:dyDescent="0.25">
      <c r="AS855" s="154"/>
      <c r="AZ855" s="334"/>
      <c r="BB855" s="334"/>
    </row>
    <row r="856" spans="45:57" x14ac:dyDescent="0.25">
      <c r="AY856" s="202"/>
      <c r="AZ856" s="334"/>
      <c r="BB856" s="334"/>
    </row>
    <row r="857" spans="45:57" x14ac:dyDescent="0.25">
      <c r="AY857" s="334"/>
      <c r="AZ857" s="334"/>
      <c r="BB857" s="334"/>
    </row>
    <row r="858" spans="45:57" x14ac:dyDescent="0.25">
      <c r="AY858" s="154"/>
      <c r="AZ858" s="334"/>
      <c r="BB858" s="334"/>
    </row>
    <row r="859" spans="45:57" x14ac:dyDescent="0.25">
      <c r="AY859" s="154"/>
      <c r="AZ859" s="334"/>
      <c r="BB859" s="334"/>
    </row>
    <row r="860" spans="45:57" x14ac:dyDescent="0.25">
      <c r="AS860" s="202"/>
      <c r="AZ860" s="334"/>
      <c r="BB860" s="334"/>
      <c r="BD860" s="154"/>
    </row>
    <row r="861" spans="45:57" x14ac:dyDescent="0.25">
      <c r="AS861" s="202"/>
      <c r="AZ861" s="334"/>
      <c r="BB861" s="334"/>
      <c r="BD861" s="154"/>
    </row>
    <row r="862" spans="45:57" x14ac:dyDescent="0.25">
      <c r="AS862" s="154"/>
      <c r="AZ862" s="334"/>
      <c r="BB862" s="334"/>
      <c r="BD862" s="154"/>
    </row>
    <row r="863" spans="45:57" x14ac:dyDescent="0.25">
      <c r="AZ863" s="334"/>
      <c r="BB863" s="334"/>
      <c r="BD863" s="202"/>
    </row>
    <row r="864" spans="45:57" x14ac:dyDescent="0.25">
      <c r="AS864" s="102"/>
      <c r="AT864" s="102"/>
      <c r="AU864" s="102"/>
      <c r="AV864" s="102"/>
      <c r="AW864" s="102"/>
      <c r="AX864" s="102"/>
      <c r="AY864" s="102"/>
      <c r="AZ864" s="335"/>
      <c r="BA864" s="102"/>
      <c r="BB864" s="335"/>
      <c r="BC864" s="102"/>
      <c r="BD864" s="102"/>
      <c r="BE864" s="102"/>
    </row>
    <row r="865" spans="45:57" x14ac:dyDescent="0.25">
      <c r="AX865" s="154"/>
      <c r="AZ865" s="334"/>
      <c r="BB865" s="334"/>
    </row>
    <row r="866" spans="45:57" x14ac:dyDescent="0.25">
      <c r="AX866" s="102"/>
      <c r="AY866" s="102"/>
      <c r="AZ866" s="335"/>
      <c r="BA866" s="102"/>
      <c r="BB866" s="334"/>
      <c r="BC866" s="103"/>
      <c r="BD866" s="103"/>
    </row>
    <row r="867" spans="45:57" x14ac:dyDescent="0.25">
      <c r="AV867" s="103"/>
      <c r="AW867" s="103"/>
      <c r="AZ867" s="336"/>
      <c r="BA867" s="103"/>
      <c r="BB867" s="334"/>
      <c r="BC867" s="103"/>
      <c r="BD867" s="103"/>
      <c r="BE867" s="103"/>
    </row>
    <row r="868" spans="45:57" x14ac:dyDescent="0.25">
      <c r="AV868" s="103"/>
      <c r="AW868" s="103"/>
      <c r="AX868" s="103"/>
      <c r="AY868" s="103"/>
      <c r="AZ868" s="336"/>
      <c r="BA868" s="103"/>
      <c r="BB868" s="336"/>
      <c r="BC868" s="103"/>
      <c r="BD868" s="103"/>
      <c r="BE868" s="103"/>
    </row>
    <row r="869" spans="45:57" x14ac:dyDescent="0.25">
      <c r="AS869" s="103"/>
      <c r="AU869" s="154"/>
      <c r="AV869" s="103"/>
      <c r="AW869" s="103"/>
      <c r="AX869" s="103"/>
      <c r="AY869" s="103"/>
      <c r="AZ869" s="336"/>
      <c r="BA869" s="103"/>
      <c r="BB869" s="336"/>
      <c r="BC869" s="103"/>
      <c r="BD869" s="103"/>
      <c r="BE869" s="103"/>
    </row>
    <row r="870" spans="45:57" x14ac:dyDescent="0.25">
      <c r="AS870" s="103"/>
      <c r="AU870" s="154"/>
      <c r="AV870" s="103"/>
      <c r="AW870" s="103"/>
      <c r="AX870" s="103"/>
      <c r="AY870" s="103"/>
      <c r="AZ870" s="336"/>
      <c r="BA870" s="103"/>
      <c r="BB870" s="336"/>
      <c r="BC870" s="103"/>
      <c r="BD870" s="103"/>
      <c r="BE870" s="103"/>
    </row>
    <row r="871" spans="45:57" x14ac:dyDescent="0.25">
      <c r="AS871" s="102"/>
      <c r="AT871" s="102"/>
      <c r="AU871" s="102"/>
      <c r="AV871" s="102"/>
      <c r="AW871" s="102"/>
      <c r="AX871" s="102"/>
      <c r="AY871" s="102"/>
      <c r="AZ871" s="335"/>
      <c r="BA871" s="102"/>
      <c r="BB871" s="335"/>
      <c r="BC871" s="102"/>
      <c r="BD871" s="102"/>
      <c r="BE871" s="102"/>
    </row>
    <row r="872" spans="45:57" x14ac:dyDescent="0.25">
      <c r="AV872" s="103"/>
      <c r="AW872" s="103"/>
      <c r="AX872" s="103"/>
      <c r="AY872" s="103"/>
      <c r="AZ872" s="336"/>
      <c r="BA872" s="103"/>
      <c r="BB872" s="336"/>
      <c r="BC872" s="103"/>
      <c r="BD872" s="103"/>
      <c r="BE872" s="103"/>
    </row>
    <row r="873" spans="45:57" x14ac:dyDescent="0.25">
      <c r="AS873" s="202"/>
      <c r="AT873" s="154"/>
      <c r="AV873" s="200"/>
      <c r="AW873" s="200"/>
      <c r="AX873" s="334"/>
      <c r="AY873" s="334"/>
      <c r="AZ873" s="334"/>
      <c r="BA873" s="201"/>
      <c r="BB873" s="334"/>
      <c r="BC873" s="334"/>
      <c r="BD873" s="334"/>
      <c r="BE873" s="201"/>
    </row>
    <row r="874" spans="45:57" x14ac:dyDescent="0.25">
      <c r="AS874" s="202"/>
      <c r="AV874" s="200"/>
      <c r="AW874" s="200"/>
      <c r="AX874" s="334"/>
      <c r="AY874" s="334"/>
      <c r="AZ874" s="334"/>
      <c r="BA874" s="201"/>
      <c r="BB874" s="334"/>
      <c r="BC874" s="334"/>
      <c r="BD874" s="334"/>
      <c r="BE874" s="201"/>
    </row>
    <row r="875" spans="45:57" x14ac:dyDescent="0.25">
      <c r="AS875" s="202"/>
      <c r="AV875" s="200"/>
      <c r="AW875" s="200"/>
      <c r="AX875" s="334"/>
      <c r="AY875" s="334"/>
      <c r="AZ875" s="334"/>
      <c r="BA875" s="201"/>
      <c r="BB875" s="334"/>
      <c r="BC875" s="334"/>
      <c r="BD875" s="334"/>
      <c r="BE875" s="201"/>
    </row>
    <row r="876" spans="45:57" x14ac:dyDescent="0.25">
      <c r="AS876" s="202"/>
      <c r="AV876" s="200"/>
      <c r="AW876" s="200"/>
      <c r="AX876" s="334"/>
      <c r="AY876" s="334"/>
      <c r="AZ876" s="334"/>
      <c r="BA876" s="201"/>
      <c r="BB876" s="334"/>
      <c r="BC876" s="334"/>
      <c r="BD876" s="334"/>
      <c r="BE876" s="201"/>
    </row>
    <row r="877" spans="45:57" x14ac:dyDescent="0.25">
      <c r="AS877" s="202"/>
      <c r="AV877" s="200"/>
      <c r="AW877" s="200"/>
      <c r="AX877" s="334"/>
      <c r="AY877" s="334"/>
      <c r="AZ877" s="334"/>
      <c r="BA877" s="201"/>
      <c r="BB877" s="334"/>
      <c r="BC877" s="334"/>
      <c r="BD877" s="334"/>
      <c r="BE877" s="201"/>
    </row>
    <row r="878" spans="45:57" x14ac:dyDescent="0.25">
      <c r="AS878" s="202"/>
      <c r="AV878" s="200"/>
      <c r="AW878" s="200"/>
      <c r="AX878" s="334"/>
      <c r="AY878" s="334"/>
      <c r="AZ878" s="334"/>
      <c r="BA878" s="201"/>
      <c r="BB878" s="334"/>
      <c r="BC878" s="334"/>
      <c r="BD878" s="334"/>
      <c r="BE878" s="201"/>
    </row>
    <row r="879" spans="45:57" x14ac:dyDescent="0.25">
      <c r="AS879" s="202"/>
      <c r="AV879" s="200"/>
      <c r="AW879" s="200"/>
      <c r="AX879" s="334"/>
      <c r="AY879" s="334"/>
      <c r="AZ879" s="334"/>
      <c r="BA879" s="201"/>
      <c r="BB879" s="334"/>
      <c r="BC879" s="334"/>
      <c r="BD879" s="334"/>
      <c r="BE879" s="201"/>
    </row>
    <row r="880" spans="45:57" x14ac:dyDescent="0.25">
      <c r="AS880" s="202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</row>
    <row r="881" spans="45:57" x14ac:dyDescent="0.25">
      <c r="AS881" s="202"/>
      <c r="AV881" s="200"/>
      <c r="AW881" s="200"/>
      <c r="AX881" s="334"/>
      <c r="AY881" s="334"/>
      <c r="AZ881" s="334"/>
      <c r="BA881" s="201"/>
      <c r="BB881" s="334"/>
      <c r="BC881" s="334"/>
      <c r="BD881" s="334"/>
      <c r="BE881" s="201"/>
    </row>
    <row r="882" spans="45:57" x14ac:dyDescent="0.25">
      <c r="AS882" s="202"/>
      <c r="AV882" s="200"/>
      <c r="AW882" s="200"/>
      <c r="AX882" s="334"/>
      <c r="AY882" s="334"/>
      <c r="AZ882" s="334"/>
      <c r="BA882" s="201"/>
      <c r="BB882" s="334"/>
      <c r="BC882" s="334"/>
      <c r="BD882" s="334"/>
      <c r="BE882" s="201"/>
    </row>
    <row r="883" spans="45:57" x14ac:dyDescent="0.25">
      <c r="AV883" s="200"/>
      <c r="AW883" s="200"/>
      <c r="BB883" s="334"/>
    </row>
    <row r="884" spans="45:57" x14ac:dyDescent="0.25">
      <c r="AS884" s="202"/>
      <c r="AT884" s="154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</row>
    <row r="885" spans="45:57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</row>
    <row r="886" spans="45:57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</row>
    <row r="887" spans="45:57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</row>
    <row r="888" spans="45:57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</row>
    <row r="889" spans="45:57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57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57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57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</row>
    <row r="893" spans="45:57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5" spans="45:57" x14ac:dyDescent="0.25">
      <c r="AU895" s="154"/>
    </row>
    <row r="896" spans="45:57" x14ac:dyDescent="0.25">
      <c r="AU896" s="154"/>
    </row>
    <row r="897" spans="45:47" x14ac:dyDescent="0.25">
      <c r="AU897" s="154"/>
    </row>
    <row r="898" spans="45:47" x14ac:dyDescent="0.25">
      <c r="AS898" s="154"/>
    </row>
    <row r="919" spans="52:71" x14ac:dyDescent="0.25">
      <c r="AZ919" s="334"/>
      <c r="BB919" s="334"/>
      <c r="BC919" s="334"/>
      <c r="BD919" s="334"/>
      <c r="BG919" s="334"/>
      <c r="BH919" s="334"/>
      <c r="BI919" s="334"/>
      <c r="BJ919" s="334"/>
      <c r="BK919" s="334"/>
      <c r="BL919" s="334"/>
      <c r="BM919" s="334"/>
      <c r="BN919" s="334"/>
      <c r="BO919" s="334"/>
      <c r="BP919" s="334"/>
      <c r="BQ919" s="334"/>
      <c r="BR919" s="334"/>
      <c r="BS919" s="334"/>
    </row>
    <row r="920" spans="52:71" x14ac:dyDescent="0.25">
      <c r="AZ920" s="334"/>
      <c r="BB920" s="334"/>
      <c r="BC920" s="334"/>
      <c r="BD920" s="334"/>
      <c r="BG920" s="334"/>
      <c r="BH920" s="334"/>
      <c r="BI920" s="334"/>
      <c r="BJ920" s="334"/>
      <c r="BK920" s="334"/>
      <c r="BL920" s="334"/>
      <c r="BM920" s="334"/>
      <c r="BN920" s="334"/>
      <c r="BO920" s="334"/>
      <c r="BP920" s="334"/>
      <c r="BQ920" s="334"/>
      <c r="BR920" s="334"/>
      <c r="BS920" s="334"/>
    </row>
    <row r="921" spans="52:71" x14ac:dyDescent="0.25">
      <c r="AZ921" s="334"/>
      <c r="BB921" s="334"/>
      <c r="BC921" s="334"/>
      <c r="BD921" s="334"/>
      <c r="BG921" s="334"/>
      <c r="BH921" s="334"/>
      <c r="BI921" s="334"/>
      <c r="BJ921" s="334"/>
      <c r="BK921" s="334"/>
      <c r="BL921" s="334"/>
      <c r="BM921" s="334"/>
      <c r="BN921" s="334"/>
      <c r="BO921" s="334"/>
      <c r="BP921" s="334"/>
      <c r="BQ921" s="334"/>
      <c r="BR921" s="334"/>
      <c r="BS921" s="334"/>
    </row>
    <row r="922" spans="52:71" x14ac:dyDescent="0.25">
      <c r="AZ922" s="334"/>
      <c r="BB922" s="334"/>
      <c r="BC922" s="334"/>
      <c r="BD922" s="334"/>
      <c r="BG922" s="334"/>
      <c r="BH922" s="334"/>
      <c r="BI922" s="334"/>
      <c r="BJ922" s="334"/>
      <c r="BK922" s="334"/>
      <c r="BL922" s="334"/>
      <c r="BM922" s="334"/>
      <c r="BN922" s="334"/>
      <c r="BO922" s="334"/>
      <c r="BP922" s="334"/>
      <c r="BQ922" s="334"/>
      <c r="BR922" s="334"/>
      <c r="BS922" s="334"/>
    </row>
    <row r="923" spans="52:71" x14ac:dyDescent="0.25">
      <c r="AZ923" s="334"/>
      <c r="BB923" s="334"/>
      <c r="BC923" s="334"/>
      <c r="BD923" s="334"/>
      <c r="BG923" s="334"/>
      <c r="BH923" s="334"/>
      <c r="BI923" s="334"/>
      <c r="BJ923" s="334"/>
      <c r="BK923" s="334"/>
      <c r="BL923" s="334"/>
      <c r="BM923" s="334"/>
      <c r="BN923" s="334"/>
      <c r="BO923" s="334"/>
      <c r="BP923" s="334"/>
      <c r="BQ923" s="334"/>
      <c r="BR923" s="334"/>
      <c r="BS923" s="334"/>
    </row>
    <row r="924" spans="52:71" x14ac:dyDescent="0.25">
      <c r="AZ924" s="334"/>
      <c r="BB924" s="334"/>
      <c r="BC924" s="334"/>
      <c r="BD924" s="334"/>
      <c r="BG924" s="334"/>
      <c r="BH924" s="334"/>
      <c r="BI924" s="334"/>
      <c r="BJ924" s="334"/>
      <c r="BK924" s="334"/>
      <c r="BL924" s="334"/>
      <c r="BM924" s="334"/>
      <c r="BN924" s="334"/>
      <c r="BO924" s="334"/>
      <c r="BP924" s="334"/>
      <c r="BQ924" s="334"/>
      <c r="BR924" s="334"/>
      <c r="BS924" s="334"/>
    </row>
    <row r="925" spans="52:71" x14ac:dyDescent="0.25">
      <c r="AZ925" s="334"/>
      <c r="BB925" s="334"/>
      <c r="BC925" s="334"/>
      <c r="BD925" s="334"/>
      <c r="BG925" s="334"/>
      <c r="BH925" s="334"/>
      <c r="BI925" s="334"/>
      <c r="BJ925" s="334"/>
      <c r="BK925" s="334"/>
      <c r="BL925" s="334"/>
      <c r="BM925" s="334"/>
      <c r="BN925" s="334"/>
      <c r="BO925" s="334"/>
      <c r="BP925" s="334"/>
      <c r="BQ925" s="334"/>
      <c r="BR925" s="334"/>
      <c r="BS925" s="334"/>
    </row>
    <row r="926" spans="52:71" x14ac:dyDescent="0.25">
      <c r="AZ926" s="334"/>
      <c r="BB926" s="334"/>
      <c r="BC926" s="334"/>
      <c r="BD926" s="334"/>
      <c r="BG926" s="334"/>
      <c r="BH926" s="334"/>
      <c r="BI926" s="334"/>
      <c r="BJ926" s="334"/>
      <c r="BK926" s="334"/>
      <c r="BL926" s="334"/>
      <c r="BM926" s="334"/>
      <c r="BN926" s="334"/>
      <c r="BO926" s="334"/>
      <c r="BP926" s="334"/>
      <c r="BQ926" s="334"/>
      <c r="BR926" s="334"/>
      <c r="BS926" s="334"/>
    </row>
    <row r="927" spans="52:71" x14ac:dyDescent="0.25">
      <c r="AZ927" s="334"/>
      <c r="BB927" s="334"/>
      <c r="BC927" s="334"/>
      <c r="BD927" s="334"/>
      <c r="BG927" s="334"/>
      <c r="BH927" s="334"/>
      <c r="BI927" s="334"/>
      <c r="BJ927" s="334"/>
      <c r="BK927" s="334"/>
      <c r="BL927" s="334"/>
      <c r="BM927" s="334"/>
      <c r="BN927" s="334"/>
      <c r="BO927" s="334"/>
      <c r="BP927" s="334"/>
      <c r="BQ927" s="334"/>
      <c r="BR927" s="334"/>
      <c r="BS927" s="334"/>
    </row>
    <row r="928" spans="52:71" x14ac:dyDescent="0.25">
      <c r="AZ928" s="334"/>
      <c r="BB928" s="334"/>
      <c r="BC928" s="334"/>
      <c r="BD928" s="334"/>
      <c r="BG928" s="334"/>
      <c r="BH928" s="334"/>
      <c r="BI928" s="334"/>
      <c r="BJ928" s="334"/>
      <c r="BK928" s="334"/>
      <c r="BL928" s="334"/>
      <c r="BM928" s="334"/>
      <c r="BN928" s="334"/>
      <c r="BO928" s="334"/>
      <c r="BP928" s="334"/>
      <c r="BQ928" s="334"/>
      <c r="BR928" s="334"/>
      <c r="BS928" s="334"/>
    </row>
    <row r="929" spans="52:71" x14ac:dyDescent="0.25">
      <c r="AZ929" s="334"/>
      <c r="BB929" s="334"/>
      <c r="BC929" s="334"/>
      <c r="BD929" s="334"/>
      <c r="BG929" s="334"/>
      <c r="BH929" s="334"/>
      <c r="BI929" s="334"/>
      <c r="BJ929" s="334"/>
      <c r="BK929" s="334"/>
      <c r="BL929" s="334"/>
      <c r="BM929" s="334"/>
      <c r="BN929" s="334"/>
      <c r="BO929" s="334"/>
      <c r="BP929" s="334"/>
      <c r="BQ929" s="334"/>
      <c r="BR929" s="334"/>
      <c r="BS929" s="334"/>
    </row>
    <row r="930" spans="52:71" x14ac:dyDescent="0.25">
      <c r="AZ930" s="334"/>
      <c r="BB930" s="334"/>
      <c r="BC930" s="334"/>
      <c r="BD930" s="334"/>
      <c r="BG930" s="334"/>
      <c r="BH930" s="334"/>
      <c r="BI930" s="334"/>
      <c r="BJ930" s="334"/>
      <c r="BK930" s="334"/>
      <c r="BL930" s="334"/>
      <c r="BM930" s="334"/>
      <c r="BN930" s="334"/>
      <c r="BO930" s="334"/>
      <c r="BP930" s="334"/>
      <c r="BQ930" s="334"/>
      <c r="BR930" s="334"/>
      <c r="BS930" s="334"/>
    </row>
    <row r="931" spans="52:71" x14ac:dyDescent="0.25">
      <c r="AZ931" s="334"/>
      <c r="BG931" s="334"/>
      <c r="BH931" s="334"/>
      <c r="BI931" s="334"/>
      <c r="BJ931" s="334"/>
      <c r="BK931" s="334"/>
      <c r="BL931" s="334"/>
      <c r="BM931" s="334"/>
      <c r="BN931" s="334"/>
      <c r="BO931" s="334"/>
      <c r="BP931" s="334"/>
      <c r="BQ931" s="334"/>
      <c r="BR931" s="334"/>
      <c r="BS931" s="334"/>
    </row>
    <row r="932" spans="52:71" x14ac:dyDescent="0.25">
      <c r="AZ932" s="334"/>
      <c r="BG932" s="334"/>
      <c r="BH932" s="334"/>
      <c r="BI932" s="334"/>
      <c r="BJ932" s="334"/>
      <c r="BK932" s="334"/>
      <c r="BL932" s="334"/>
      <c r="BM932" s="334"/>
      <c r="BN932" s="334"/>
      <c r="BO932" s="334"/>
      <c r="BP932" s="334"/>
      <c r="BQ932" s="334"/>
      <c r="BR932" s="334"/>
      <c r="BS932" s="334"/>
    </row>
    <row r="933" spans="52:71" x14ac:dyDescent="0.25">
      <c r="AZ933" s="334"/>
      <c r="BG933" s="334"/>
      <c r="BH933" s="334"/>
      <c r="BI933" s="334"/>
      <c r="BJ933" s="334"/>
      <c r="BK933" s="334"/>
      <c r="BL933" s="334"/>
      <c r="BM933" s="334"/>
      <c r="BN933" s="334"/>
      <c r="BO933" s="334"/>
      <c r="BP933" s="334"/>
      <c r="BQ933" s="334"/>
      <c r="BR933" s="334"/>
      <c r="BS933" s="334"/>
    </row>
    <row r="934" spans="52:71" x14ac:dyDescent="0.25">
      <c r="AZ934" s="334"/>
      <c r="BG934" s="334"/>
      <c r="BH934" s="334"/>
      <c r="BI934" s="334"/>
      <c r="BJ934" s="334"/>
      <c r="BK934" s="334"/>
      <c r="BL934" s="334"/>
      <c r="BM934" s="334"/>
      <c r="BN934" s="334"/>
      <c r="BO934" s="334"/>
      <c r="BP934" s="334"/>
      <c r="BQ934" s="334"/>
      <c r="BR934" s="334"/>
      <c r="BS934" s="334"/>
    </row>
    <row r="935" spans="52:71" x14ac:dyDescent="0.25">
      <c r="AZ935" s="334"/>
      <c r="BG935" s="334"/>
      <c r="BH935" s="334"/>
      <c r="BI935" s="334"/>
      <c r="BJ935" s="334"/>
      <c r="BK935" s="334"/>
      <c r="BL935" s="334"/>
      <c r="BM935" s="334"/>
      <c r="BN935" s="334"/>
      <c r="BO935" s="334"/>
      <c r="BP935" s="334"/>
      <c r="BQ935" s="334"/>
      <c r="BR935" s="334"/>
      <c r="BS935" s="334"/>
    </row>
    <row r="936" spans="52:71" x14ac:dyDescent="0.25">
      <c r="AZ936" s="334"/>
      <c r="BG936" s="334"/>
      <c r="BH936" s="334"/>
      <c r="BI936" s="334"/>
      <c r="BJ936" s="334"/>
      <c r="BK936" s="334"/>
      <c r="BL936" s="334"/>
      <c r="BM936" s="334"/>
      <c r="BN936" s="334"/>
      <c r="BO936" s="334"/>
      <c r="BP936" s="334"/>
      <c r="BQ936" s="334"/>
      <c r="BR936" s="334"/>
      <c r="BS936" s="334"/>
    </row>
    <row r="937" spans="52:71" x14ac:dyDescent="0.25">
      <c r="AZ937" s="334"/>
      <c r="BG937" s="334"/>
      <c r="BH937" s="334"/>
      <c r="BI937" s="334"/>
      <c r="BJ937" s="334"/>
      <c r="BK937" s="334"/>
      <c r="BL937" s="334"/>
      <c r="BM937" s="334"/>
      <c r="BN937" s="334"/>
      <c r="BO937" s="334"/>
      <c r="BP937" s="334"/>
      <c r="BQ937" s="334"/>
      <c r="BR937" s="334"/>
      <c r="BS937" s="334"/>
    </row>
    <row r="938" spans="52:71" x14ac:dyDescent="0.25">
      <c r="AZ938" s="334"/>
    </row>
    <row r="939" spans="52:71" x14ac:dyDescent="0.25">
      <c r="AZ939" s="334"/>
    </row>
    <row r="953" spans="1:28" x14ac:dyDescent="0.25">
      <c r="A953" s="154"/>
    </row>
    <row r="956" spans="1:28" x14ac:dyDescent="0.25">
      <c r="Y956" s="154"/>
    </row>
    <row r="957" spans="1:28" x14ac:dyDescent="0.25">
      <c r="A957" s="154"/>
      <c r="H957" s="154"/>
      <c r="I957" s="154"/>
    </row>
    <row r="958" spans="1:28" x14ac:dyDescent="0.25">
      <c r="A958" s="154"/>
      <c r="V958" s="103"/>
      <c r="AA958" s="103"/>
      <c r="AB958" s="103"/>
    </row>
    <row r="959" spans="1:28" x14ac:dyDescent="0.25">
      <c r="A959" s="154"/>
      <c r="V959" s="102"/>
      <c r="AA959" s="102"/>
      <c r="AB959" s="102"/>
    </row>
    <row r="960" spans="1:28" x14ac:dyDescent="0.25">
      <c r="A960" s="154"/>
      <c r="U960" s="154"/>
      <c r="AA960" s="103"/>
      <c r="AB960" s="103"/>
    </row>
    <row r="961" spans="1:28" x14ac:dyDescent="0.25">
      <c r="A961" s="154"/>
    </row>
    <row r="962" spans="1:28" x14ac:dyDescent="0.25">
      <c r="A962" s="154"/>
      <c r="U962" s="154"/>
      <c r="AA962" s="103"/>
      <c r="AB962" s="103"/>
    </row>
    <row r="963" spans="1:28" x14ac:dyDescent="0.25">
      <c r="A963" s="154"/>
    </row>
    <row r="964" spans="1:28" x14ac:dyDescent="0.25">
      <c r="A964" s="154"/>
      <c r="U964" s="154"/>
      <c r="V964" s="338"/>
      <c r="AA964" s="103"/>
      <c r="AB964" s="103"/>
    </row>
    <row r="965" spans="1:28" x14ac:dyDescent="0.25">
      <c r="A965" s="154"/>
    </row>
    <row r="966" spans="1:28" x14ac:dyDescent="0.25">
      <c r="A966" s="154"/>
      <c r="U966" s="154"/>
      <c r="AA966" s="103"/>
      <c r="AB966" s="103"/>
    </row>
    <row r="967" spans="1:28" x14ac:dyDescent="0.25">
      <c r="A967" s="154"/>
    </row>
    <row r="968" spans="1:28" x14ac:dyDescent="0.25">
      <c r="A968" s="154"/>
      <c r="U968" s="154"/>
      <c r="AA968" s="103"/>
      <c r="AB968" s="103"/>
    </row>
    <row r="969" spans="1:28" x14ac:dyDescent="0.25">
      <c r="A969" s="154"/>
    </row>
    <row r="970" spans="1:28" x14ac:dyDescent="0.25">
      <c r="A970" s="154"/>
    </row>
    <row r="971" spans="1:28" x14ac:dyDescent="0.25">
      <c r="A971" s="154"/>
    </row>
    <row r="972" spans="1:28" x14ac:dyDescent="0.25">
      <c r="A972" s="154"/>
    </row>
    <row r="973" spans="1:28" x14ac:dyDescent="0.25">
      <c r="A973" s="154"/>
    </row>
    <row r="974" spans="1:28" x14ac:dyDescent="0.25">
      <c r="A974" s="154"/>
    </row>
    <row r="975" spans="1:28" x14ac:dyDescent="0.25">
      <c r="A975" s="154"/>
    </row>
    <row r="976" spans="1:28" x14ac:dyDescent="0.25">
      <c r="A976" s="154"/>
    </row>
    <row r="977" spans="1:9" x14ac:dyDescent="0.25">
      <c r="A977" s="154"/>
    </row>
    <row r="978" spans="1:9" x14ac:dyDescent="0.25">
      <c r="A978" s="154"/>
    </row>
    <row r="979" spans="1:9" x14ac:dyDescent="0.25">
      <c r="A979" s="154"/>
      <c r="H979" s="154"/>
      <c r="I979" s="154"/>
    </row>
    <row r="982" spans="1:9" x14ac:dyDescent="0.25">
      <c r="A982" s="154"/>
    </row>
    <row r="985" spans="1:9" x14ac:dyDescent="0.25">
      <c r="A985" s="154"/>
    </row>
    <row r="988" spans="1:9" x14ac:dyDescent="0.25">
      <c r="A988" s="154"/>
    </row>
    <row r="989" spans="1:9" x14ac:dyDescent="0.25">
      <c r="A989" s="154"/>
    </row>
    <row r="990" spans="1:9" x14ac:dyDescent="0.25">
      <c r="A990" s="154"/>
    </row>
    <row r="991" spans="1:9" x14ac:dyDescent="0.25">
      <c r="A991" s="154"/>
    </row>
    <row r="992" spans="1:9" x14ac:dyDescent="0.25">
      <c r="A992" s="154"/>
    </row>
    <row r="993" spans="1:1" x14ac:dyDescent="0.25">
      <c r="A993" s="154"/>
    </row>
    <row r="994" spans="1:1" x14ac:dyDescent="0.25">
      <c r="A994" s="154"/>
    </row>
    <row r="995" spans="1:1" x14ac:dyDescent="0.25">
      <c r="A995" s="154"/>
    </row>
    <row r="996" spans="1:1" x14ac:dyDescent="0.25">
      <c r="A996" s="154"/>
    </row>
    <row r="997" spans="1:1" x14ac:dyDescent="0.25">
      <c r="A997" s="154"/>
    </row>
    <row r="998" spans="1:1" x14ac:dyDescent="0.25">
      <c r="A998" s="154"/>
    </row>
    <row r="999" spans="1:1" x14ac:dyDescent="0.25">
      <c r="A999" s="154"/>
    </row>
    <row r="1000" spans="1:1" x14ac:dyDescent="0.25">
      <c r="A1000" s="154"/>
    </row>
    <row r="1001" spans="1:1" x14ac:dyDescent="0.25">
      <c r="A1001" s="154"/>
    </row>
    <row r="1002" spans="1:1" x14ac:dyDescent="0.25">
      <c r="A1002" s="154"/>
    </row>
    <row r="1003" spans="1:1" x14ac:dyDescent="0.25">
      <c r="A1003" s="154"/>
    </row>
    <row r="1004" spans="1:1" x14ac:dyDescent="0.25">
      <c r="A1004" s="154"/>
    </row>
    <row r="1005" spans="1:1" x14ac:dyDescent="0.25">
      <c r="A1005" s="154"/>
    </row>
    <row r="1006" spans="1:1" x14ac:dyDescent="0.25">
      <c r="A1006" s="154"/>
    </row>
    <row r="1007" spans="1:1" x14ac:dyDescent="0.25">
      <c r="A1007" s="154"/>
    </row>
    <row r="1008" spans="1:1" x14ac:dyDescent="0.25">
      <c r="A1008" s="154"/>
    </row>
    <row r="1009" spans="1:1" x14ac:dyDescent="0.25">
      <c r="A1009" s="154"/>
    </row>
    <row r="1010" spans="1:1" x14ac:dyDescent="0.25">
      <c r="A1010" s="154"/>
    </row>
    <row r="1011" spans="1:1" x14ac:dyDescent="0.25">
      <c r="A1011" s="154"/>
    </row>
    <row r="1012" spans="1:1" x14ac:dyDescent="0.25">
      <c r="A1012" s="154"/>
    </row>
    <row r="1013" spans="1:1" x14ac:dyDescent="0.25">
      <c r="A1013" s="154"/>
    </row>
    <row r="1014" spans="1:1" x14ac:dyDescent="0.25">
      <c r="A1014" s="154"/>
    </row>
    <row r="1015" spans="1:1" x14ac:dyDescent="0.25">
      <c r="A1015" s="154"/>
    </row>
    <row r="1016" spans="1:1" x14ac:dyDescent="0.25">
      <c r="A1016" s="154"/>
    </row>
    <row r="1017" spans="1:1" x14ac:dyDescent="0.25">
      <c r="A1017" s="154"/>
    </row>
    <row r="1018" spans="1:1" x14ac:dyDescent="0.25">
      <c r="A1018" s="154"/>
    </row>
    <row r="1019" spans="1:1" x14ac:dyDescent="0.25">
      <c r="A1019" s="154"/>
    </row>
    <row r="1020" spans="1:1" x14ac:dyDescent="0.25">
      <c r="A1020" s="154"/>
    </row>
    <row r="1021" spans="1:1" x14ac:dyDescent="0.25">
      <c r="A1021" s="154"/>
    </row>
    <row r="1022" spans="1:1" x14ac:dyDescent="0.25">
      <c r="A1022" s="154"/>
    </row>
    <row r="1027" spans="1:1" x14ac:dyDescent="0.25">
      <c r="A1027" s="154"/>
    </row>
    <row r="1028" spans="1:1" x14ac:dyDescent="0.25">
      <c r="A1028" s="154"/>
    </row>
    <row r="1031" spans="1:1" x14ac:dyDescent="0.25">
      <c r="A1031" s="154"/>
    </row>
    <row r="1033" spans="1:1" x14ac:dyDescent="0.25">
      <c r="A1033" s="154"/>
    </row>
    <row r="1035" spans="1:1" x14ac:dyDescent="0.25">
      <c r="A1035" s="154"/>
    </row>
    <row r="1037" spans="1:1" x14ac:dyDescent="0.25">
      <c r="A1037" s="154"/>
    </row>
    <row r="1040" spans="1:1" x14ac:dyDescent="0.25">
      <c r="A1040" s="154"/>
    </row>
    <row r="1041" spans="1:1" x14ac:dyDescent="0.25">
      <c r="A1041" s="154"/>
    </row>
    <row r="1042" spans="1:1" x14ac:dyDescent="0.25">
      <c r="A1042" s="154"/>
    </row>
    <row r="1043" spans="1:1" x14ac:dyDescent="0.25">
      <c r="A1043" s="154"/>
    </row>
    <row r="1044" spans="1:1" x14ac:dyDescent="0.25">
      <c r="A1044" s="154"/>
    </row>
    <row r="1045" spans="1:1" x14ac:dyDescent="0.25">
      <c r="A1045" s="154"/>
    </row>
    <row r="1046" spans="1:1" x14ac:dyDescent="0.25">
      <c r="A1046" s="154"/>
    </row>
    <row r="1047" spans="1:1" x14ac:dyDescent="0.25">
      <c r="A1047" s="154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1"/>
  <dimension ref="A1:BX1111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4.88671875" style="101" customWidth="1"/>
    <col min="2" max="2" width="0.6640625" style="101" customWidth="1"/>
    <col min="3" max="3" width="7.6640625" style="101" customWidth="1"/>
    <col min="4" max="4" width="43.88671875" style="101" customWidth="1"/>
    <col min="5" max="5" width="0.66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2.218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20.21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7.6640625" style="101" customWidth="1"/>
    <col min="23" max="23" width="43.6640625" style="101" customWidth="1"/>
    <col min="24" max="24" width="0.55468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2.3320312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759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475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51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474</v>
      </c>
      <c r="D20" s="253" t="s">
        <v>472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154"/>
      <c r="U20" s="154"/>
    </row>
    <row r="21" spans="1:40" x14ac:dyDescent="0.25">
      <c r="A21" s="159">
        <v>2</v>
      </c>
      <c r="B21" s="80"/>
      <c r="C21" s="258"/>
      <c r="D21" s="253" t="s">
        <v>154</v>
      </c>
      <c r="E21" s="82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154"/>
    </row>
    <row r="22" spans="1:40" ht="19.5" customHeight="1" x14ac:dyDescent="0.25">
      <c r="A22" s="80"/>
      <c r="B22" s="80"/>
      <c r="C22" s="80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8"/>
      <c r="G23" s="70"/>
      <c r="H23" s="78"/>
      <c r="I23" s="78"/>
      <c r="J23" s="284"/>
      <c r="K23" s="284"/>
      <c r="L23" s="79"/>
      <c r="M23" s="79"/>
      <c r="N23" s="156"/>
      <c r="O23" s="156"/>
      <c r="P23" s="70"/>
      <c r="Q23" s="70"/>
      <c r="R23" s="79"/>
      <c r="S23" s="200"/>
      <c r="T23" s="154"/>
      <c r="V23" s="200"/>
      <c r="Y23" s="200"/>
      <c r="Z23" s="300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159">
        <v>4</v>
      </c>
      <c r="B24" s="80"/>
      <c r="C24" s="82" t="s">
        <v>417</v>
      </c>
      <c r="D24" s="80"/>
      <c r="E24" s="80"/>
      <c r="F24" s="252">
        <v>0</v>
      </c>
      <c r="G24" s="70"/>
      <c r="H24" s="78"/>
      <c r="I24" s="78"/>
      <c r="J24" s="283">
        <f>INPUT!D135</f>
        <v>0</v>
      </c>
      <c r="K24" s="284"/>
      <c r="L24" s="79">
        <f>ROUND(F24*J24,0)</f>
        <v>0</v>
      </c>
      <c r="M24" s="79"/>
      <c r="N24" s="341">
        <v>0</v>
      </c>
      <c r="O24" s="156"/>
      <c r="P24" s="302"/>
      <c r="Q24" s="302"/>
      <c r="R24" s="79">
        <f>L24+P24</f>
        <v>0</v>
      </c>
      <c r="S24" s="200"/>
      <c r="V24" s="211"/>
      <c r="Y24" s="200"/>
      <c r="Z24" s="252"/>
      <c r="AA24" s="200"/>
      <c r="AB24" s="200"/>
      <c r="AC24" s="210"/>
      <c r="AD24" s="210"/>
      <c r="AE24" s="200"/>
      <c r="AF24" s="200"/>
      <c r="AI24" s="200"/>
      <c r="AJ24" s="200"/>
      <c r="AK24" s="209"/>
      <c r="AL24" s="200"/>
    </row>
    <row r="25" spans="1:40" ht="20.100000000000001" customHeight="1" x14ac:dyDescent="0.25">
      <c r="A25" s="159">
        <v>5</v>
      </c>
      <c r="B25" s="80"/>
      <c r="C25" s="253" t="s">
        <v>158</v>
      </c>
      <c r="D25" s="80"/>
      <c r="E25" s="80"/>
      <c r="F25" s="163"/>
      <c r="G25" s="70"/>
      <c r="H25" s="79"/>
      <c r="I25" s="79"/>
      <c r="J25" s="388"/>
      <c r="K25" s="268"/>
      <c r="L25" s="169">
        <f>SUM(L24)</f>
        <v>0</v>
      </c>
      <c r="M25" s="79"/>
      <c r="N25" s="341">
        <v>0</v>
      </c>
      <c r="O25" s="156"/>
      <c r="P25" s="169"/>
      <c r="Q25" s="79"/>
      <c r="R25" s="169">
        <f>SUM(R24)</f>
        <v>0</v>
      </c>
      <c r="S25" s="200"/>
      <c r="T25" s="154"/>
      <c r="V25" s="200"/>
      <c r="Y25" s="200"/>
      <c r="Z25" s="304"/>
      <c r="AA25" s="200"/>
      <c r="AB25" s="200"/>
      <c r="AC25" s="210"/>
      <c r="AD25" s="210"/>
      <c r="AE25" s="200"/>
      <c r="AF25" s="200"/>
      <c r="AG25" s="209"/>
      <c r="AH25" s="210"/>
      <c r="AI25" s="200"/>
      <c r="AJ25" s="200"/>
      <c r="AK25" s="209"/>
      <c r="AL25" s="200"/>
      <c r="AM25" s="210"/>
      <c r="AN25" s="210"/>
    </row>
    <row r="26" spans="1:40" ht="24" customHeight="1" x14ac:dyDescent="0.25">
      <c r="A26" s="80"/>
      <c r="B26" s="80"/>
      <c r="C26" s="80"/>
      <c r="D26" s="80"/>
      <c r="E26" s="80"/>
      <c r="F26" s="79"/>
      <c r="G26" s="70"/>
      <c r="H26" s="79"/>
      <c r="I26" s="79"/>
      <c r="J26" s="388"/>
      <c r="K26" s="268"/>
      <c r="L26" s="79"/>
      <c r="M26" s="79"/>
      <c r="N26" s="79"/>
      <c r="O26" s="79"/>
      <c r="P26" s="79"/>
      <c r="Q26" s="79"/>
      <c r="R26" s="79"/>
      <c r="S26" s="200"/>
      <c r="V26" s="211"/>
      <c r="Y26" s="211"/>
      <c r="Z26" s="305"/>
      <c r="AA26" s="211"/>
      <c r="AB26" s="211"/>
      <c r="AC26" s="211"/>
      <c r="AD26" s="211"/>
      <c r="AE26" s="211"/>
      <c r="AF26" s="211"/>
      <c r="AI26" s="211"/>
      <c r="AJ26" s="211"/>
      <c r="AK26" s="212"/>
      <c r="AL26" s="211"/>
      <c r="AM26" s="210"/>
      <c r="AN26" s="210"/>
    </row>
    <row r="27" spans="1:40" x14ac:dyDescent="0.25">
      <c r="A27" s="159">
        <v>6</v>
      </c>
      <c r="B27" s="80"/>
      <c r="C27" s="253" t="s">
        <v>69</v>
      </c>
      <c r="D27" s="80"/>
      <c r="E27" s="80"/>
      <c r="F27" s="78"/>
      <c r="G27" s="70"/>
      <c r="H27" s="78"/>
      <c r="I27" s="78"/>
      <c r="J27" s="389"/>
      <c r="K27" s="289"/>
      <c r="L27" s="79"/>
      <c r="M27" s="79"/>
      <c r="N27" s="156"/>
      <c r="O27" s="156"/>
      <c r="P27" s="230"/>
      <c r="Q27" s="78"/>
      <c r="R27" s="79"/>
      <c r="S27" s="200"/>
      <c r="T27" s="154"/>
      <c r="V27" s="200"/>
      <c r="Y27" s="200"/>
      <c r="Z27" s="305"/>
      <c r="AA27" s="200"/>
      <c r="AB27" s="200"/>
      <c r="AC27" s="210"/>
      <c r="AD27" s="210"/>
      <c r="AE27" s="200"/>
      <c r="AF27" s="200"/>
      <c r="AG27" s="209"/>
      <c r="AH27" s="210"/>
      <c r="AI27" s="200"/>
      <c r="AJ27" s="200"/>
      <c r="AK27" s="209"/>
      <c r="AL27" s="200"/>
      <c r="AM27" s="210"/>
      <c r="AN27" s="210"/>
    </row>
    <row r="28" spans="1:40" x14ac:dyDescent="0.25">
      <c r="A28" s="159">
        <v>7</v>
      </c>
      <c r="B28" s="80"/>
      <c r="C28" s="82" t="s">
        <v>494</v>
      </c>
      <c r="D28" s="80"/>
      <c r="E28" s="80"/>
      <c r="F28" s="230"/>
      <c r="G28" s="70"/>
      <c r="H28" s="225">
        <v>0</v>
      </c>
      <c r="I28" s="78"/>
      <c r="J28" s="295">
        <f>INPUT!D139</f>
        <v>0</v>
      </c>
      <c r="K28" s="289"/>
      <c r="L28" s="79">
        <f>ROUND((H28*J28),0)</f>
        <v>0</v>
      </c>
      <c r="M28" s="79"/>
      <c r="N28" s="198">
        <v>0</v>
      </c>
      <c r="O28" s="198"/>
      <c r="P28" s="163"/>
      <c r="Q28" s="78"/>
      <c r="R28" s="79">
        <f>L28+P28</f>
        <v>0</v>
      </c>
      <c r="S28" s="200"/>
      <c r="T28" s="154"/>
      <c r="Z28" s="305"/>
      <c r="AA28" s="200"/>
      <c r="AB28" s="200"/>
      <c r="AC28" s="210"/>
      <c r="AD28" s="210"/>
      <c r="AE28" s="200"/>
      <c r="AF28" s="200"/>
      <c r="AG28" s="209"/>
      <c r="AH28" s="210"/>
      <c r="AI28" s="200"/>
      <c r="AJ28" s="200"/>
      <c r="AK28" s="209"/>
      <c r="AL28" s="200"/>
      <c r="AM28" s="210"/>
      <c r="AN28" s="210"/>
    </row>
    <row r="29" spans="1:40" x14ac:dyDescent="0.25">
      <c r="A29" s="159">
        <v>8</v>
      </c>
      <c r="B29" s="80"/>
      <c r="C29" s="82" t="s">
        <v>419</v>
      </c>
      <c r="D29" s="80"/>
      <c r="E29" s="80"/>
      <c r="F29" s="230"/>
      <c r="G29" s="70"/>
      <c r="H29" s="78">
        <f>H28</f>
        <v>0</v>
      </c>
      <c r="I29" s="78"/>
      <c r="J29" s="295">
        <f>INPUT!D143</f>
        <v>0</v>
      </c>
      <c r="K29" s="289"/>
      <c r="L29" s="79">
        <f>ROUND((H29*J29),0)</f>
        <v>0</v>
      </c>
      <c r="M29" s="79"/>
      <c r="N29" s="198">
        <v>0</v>
      </c>
      <c r="O29" s="198"/>
      <c r="P29" s="163"/>
      <c r="Q29" s="78"/>
      <c r="R29" s="79">
        <f>L29+P29</f>
        <v>0</v>
      </c>
      <c r="S29" s="200"/>
      <c r="T29" s="154"/>
      <c r="Z29" s="305"/>
      <c r="AA29" s="200"/>
      <c r="AB29" s="200"/>
      <c r="AC29" s="210"/>
      <c r="AD29" s="210"/>
      <c r="AE29" s="200"/>
      <c r="AF29" s="200"/>
      <c r="AG29" s="209"/>
      <c r="AH29" s="210"/>
      <c r="AI29" s="200"/>
      <c r="AJ29" s="200"/>
      <c r="AK29" s="209"/>
      <c r="AL29" s="200"/>
      <c r="AM29" s="210"/>
      <c r="AN29" s="210"/>
    </row>
    <row r="30" spans="1:40" x14ac:dyDescent="0.25">
      <c r="A30" s="159">
        <v>9</v>
      </c>
      <c r="B30" s="80"/>
      <c r="C30" s="82" t="s">
        <v>480</v>
      </c>
      <c r="D30" s="80"/>
      <c r="E30" s="80"/>
      <c r="F30" s="230"/>
      <c r="G30" s="70"/>
      <c r="H30" s="78">
        <f>H29</f>
        <v>0</v>
      </c>
      <c r="I30" s="78"/>
      <c r="J30" s="295">
        <f>INPUT!D147</f>
        <v>0</v>
      </c>
      <c r="K30" s="289"/>
      <c r="L30" s="79">
        <f>ROUND((H30*J30),0)</f>
        <v>0</v>
      </c>
      <c r="M30" s="79"/>
      <c r="N30" s="341">
        <v>0</v>
      </c>
      <c r="O30" s="198"/>
      <c r="P30" s="353">
        <f>ROUND(-H30*(CUR_FAC+CUR_BASE_FUEL),0)</f>
        <v>0</v>
      </c>
      <c r="Q30" s="78"/>
      <c r="R30" s="79">
        <f>L30+P30</f>
        <v>0</v>
      </c>
      <c r="S30" s="200"/>
      <c r="T30" s="154"/>
      <c r="Z30" s="305"/>
      <c r="AA30" s="200"/>
      <c r="AB30" s="200"/>
      <c r="AC30" s="210"/>
      <c r="AD30" s="210"/>
      <c r="AE30" s="200"/>
      <c r="AF30" s="200"/>
      <c r="AG30" s="209"/>
      <c r="AH30" s="210"/>
      <c r="AI30" s="200"/>
      <c r="AJ30" s="200"/>
      <c r="AK30" s="209"/>
      <c r="AL30" s="200"/>
      <c r="AM30" s="210"/>
      <c r="AN30" s="210"/>
    </row>
    <row r="31" spans="1:40" ht="20.100000000000001" customHeight="1" x14ac:dyDescent="0.25">
      <c r="A31" s="159">
        <v>10</v>
      </c>
      <c r="B31" s="80"/>
      <c r="C31" s="253" t="s">
        <v>164</v>
      </c>
      <c r="D31" s="80"/>
      <c r="E31" s="80"/>
      <c r="F31" s="167"/>
      <c r="G31" s="70"/>
      <c r="H31" s="169">
        <f>H28</f>
        <v>0</v>
      </c>
      <c r="I31" s="79"/>
      <c r="J31" s="307"/>
      <c r="K31" s="263"/>
      <c r="L31" s="169">
        <f>SUM(L28:L30)</f>
        <v>0</v>
      </c>
      <c r="M31" s="79"/>
      <c r="N31" s="341">
        <v>0</v>
      </c>
      <c r="O31" s="156"/>
      <c r="P31" s="167">
        <f>P30</f>
        <v>0</v>
      </c>
      <c r="Q31" s="79"/>
      <c r="R31" s="169">
        <f>SUM(R28:R30)</f>
        <v>0</v>
      </c>
      <c r="S31" s="200"/>
      <c r="T31" s="154"/>
      <c r="AA31" s="200"/>
      <c r="AB31" s="200"/>
      <c r="AC31" s="200"/>
      <c r="AD31" s="200"/>
      <c r="AI31" s="200"/>
      <c r="AJ31" s="200"/>
      <c r="AK31" s="209"/>
      <c r="AL31" s="200"/>
    </row>
    <row r="32" spans="1:40" ht="20.100000000000001" customHeight="1" x14ac:dyDescent="0.25">
      <c r="A32" s="159">
        <v>11</v>
      </c>
      <c r="B32" s="80"/>
      <c r="C32" s="265" t="s">
        <v>578</v>
      </c>
      <c r="D32" s="80"/>
      <c r="E32" s="80"/>
      <c r="F32" s="169">
        <f>F24</f>
        <v>0</v>
      </c>
      <c r="G32" s="70"/>
      <c r="H32" s="169">
        <f>H31</f>
        <v>0</v>
      </c>
      <c r="I32" s="79"/>
      <c r="J32" s="307"/>
      <c r="K32" s="263"/>
      <c r="L32" s="169">
        <f>L31+L25</f>
        <v>0</v>
      </c>
      <c r="M32" s="79"/>
      <c r="N32" s="303">
        <v>0</v>
      </c>
      <c r="O32" s="156"/>
      <c r="P32" s="169">
        <f>P31+P25</f>
        <v>0</v>
      </c>
      <c r="Q32" s="79"/>
      <c r="R32" s="169">
        <f>R31+R25</f>
        <v>0</v>
      </c>
      <c r="S32" s="200"/>
      <c r="T32" s="154"/>
      <c r="AA32" s="200"/>
      <c r="AB32" s="200"/>
      <c r="AC32" s="200"/>
      <c r="AD32" s="200"/>
      <c r="AI32" s="200"/>
      <c r="AJ32" s="200"/>
      <c r="AK32" s="209"/>
      <c r="AL32" s="200"/>
    </row>
    <row r="33" spans="1:46" ht="15.75" customHeight="1" x14ac:dyDescent="0.25">
      <c r="A33" s="159"/>
      <c r="B33" s="80"/>
      <c r="C33" s="82"/>
      <c r="D33" s="80"/>
      <c r="E33" s="80"/>
      <c r="F33" s="163"/>
      <c r="G33" s="70"/>
      <c r="H33" s="163"/>
      <c r="I33" s="79"/>
      <c r="J33" s="307"/>
      <c r="K33" s="263"/>
      <c r="L33" s="163"/>
      <c r="M33" s="79"/>
      <c r="N33" s="198"/>
      <c r="O33" s="156"/>
      <c r="P33" s="163"/>
      <c r="Q33" s="79"/>
      <c r="R33" s="163"/>
      <c r="S33" s="200"/>
      <c r="T33" s="154"/>
      <c r="AA33" s="200"/>
      <c r="AB33" s="200"/>
      <c r="AC33" s="200"/>
      <c r="AD33" s="200"/>
      <c r="AI33" s="200"/>
      <c r="AJ33" s="200"/>
      <c r="AK33" s="209"/>
      <c r="AL33" s="200"/>
    </row>
    <row r="34" spans="1:46" ht="15.75" customHeight="1" x14ac:dyDescent="0.25">
      <c r="A34" s="159">
        <v>12</v>
      </c>
      <c r="B34" s="80"/>
      <c r="C34" s="253" t="s">
        <v>553</v>
      </c>
      <c r="D34" s="80"/>
      <c r="E34" s="80"/>
      <c r="F34" s="163"/>
      <c r="G34" s="70"/>
      <c r="H34" s="163"/>
      <c r="I34" s="79"/>
      <c r="J34" s="307"/>
      <c r="K34" s="263"/>
      <c r="L34" s="163"/>
      <c r="M34" s="79"/>
      <c r="N34" s="198"/>
      <c r="O34" s="156"/>
      <c r="P34" s="163"/>
      <c r="Q34" s="79"/>
      <c r="R34" s="163"/>
      <c r="S34" s="200"/>
      <c r="T34" s="154"/>
      <c r="AA34" s="200"/>
      <c r="AB34" s="200"/>
      <c r="AC34" s="200"/>
      <c r="AD34" s="200"/>
      <c r="AI34" s="200"/>
      <c r="AJ34" s="200"/>
      <c r="AK34" s="209"/>
      <c r="AL34" s="200"/>
    </row>
    <row r="35" spans="1:46" ht="15.75" customHeight="1" x14ac:dyDescent="0.25">
      <c r="A35" s="159">
        <v>13</v>
      </c>
      <c r="B35" s="80"/>
      <c r="C35" s="153" t="s">
        <v>556</v>
      </c>
      <c r="D35" s="80"/>
      <c r="E35" s="80"/>
      <c r="F35" s="163"/>
      <c r="G35" s="70"/>
      <c r="H35" s="163"/>
      <c r="I35" s="79"/>
      <c r="J35" s="295">
        <f>PRO_DSM_DIST</f>
        <v>2.5760000000000002E-3</v>
      </c>
      <c r="K35" s="263"/>
      <c r="L35" s="163">
        <f>ROUND(H32*PRO_DSM_DIST,0)</f>
        <v>0</v>
      </c>
      <c r="M35" s="79"/>
      <c r="N35" s="197">
        <v>0</v>
      </c>
      <c r="O35" s="156"/>
      <c r="P35" s="163"/>
      <c r="Q35" s="79"/>
      <c r="R35" s="79">
        <f t="shared" ref="R35:R36" si="0">L35+P35</f>
        <v>0</v>
      </c>
      <c r="S35" s="200"/>
      <c r="T35" s="154"/>
      <c r="AA35" s="200"/>
      <c r="AB35" s="200"/>
      <c r="AC35" s="200"/>
      <c r="AD35" s="200"/>
      <c r="AI35" s="200"/>
      <c r="AJ35" s="200"/>
      <c r="AK35" s="209"/>
      <c r="AL35" s="200"/>
    </row>
    <row r="36" spans="1:46" ht="15.75" customHeight="1" x14ac:dyDescent="0.25">
      <c r="A36" s="159">
        <v>14</v>
      </c>
      <c r="B36" s="80"/>
      <c r="C36" s="153" t="s">
        <v>555</v>
      </c>
      <c r="D36" s="80"/>
      <c r="E36" s="80"/>
      <c r="F36" s="163"/>
      <c r="G36" s="70"/>
      <c r="H36" s="163"/>
      <c r="I36" s="79"/>
      <c r="J36" s="295">
        <f>PRO_PSM</f>
        <v>-4.5600000000000003E-4</v>
      </c>
      <c r="K36" s="263"/>
      <c r="L36" s="163">
        <f>ROUND(H32*PRO_PSM,0)</f>
        <v>0</v>
      </c>
      <c r="M36" s="79"/>
      <c r="N36" s="166">
        <v>0</v>
      </c>
      <c r="O36" s="156"/>
      <c r="P36" s="167"/>
      <c r="Q36" s="79"/>
      <c r="R36" s="167">
        <f t="shared" si="0"/>
        <v>0</v>
      </c>
      <c r="S36" s="200"/>
      <c r="T36" s="154"/>
      <c r="AA36" s="200"/>
      <c r="AB36" s="200"/>
      <c r="AC36" s="200"/>
      <c r="AD36" s="200"/>
      <c r="AI36" s="200"/>
      <c r="AJ36" s="200"/>
      <c r="AK36" s="209"/>
      <c r="AL36" s="200"/>
    </row>
    <row r="37" spans="1:46" ht="20.100000000000001" customHeight="1" x14ac:dyDescent="0.25">
      <c r="A37" s="159">
        <v>15</v>
      </c>
      <c r="B37" s="80"/>
      <c r="C37" s="253" t="s">
        <v>557</v>
      </c>
      <c r="D37" s="80"/>
      <c r="E37" s="80"/>
      <c r="F37" s="167"/>
      <c r="G37" s="70"/>
      <c r="H37" s="167"/>
      <c r="I37" s="79"/>
      <c r="J37" s="263"/>
      <c r="K37" s="263"/>
      <c r="L37" s="169">
        <f>SUM(L35:L36)</f>
        <v>0</v>
      </c>
      <c r="M37" s="79"/>
      <c r="N37" s="170">
        <v>0</v>
      </c>
      <c r="O37" s="156"/>
      <c r="P37" s="169">
        <f>SUM(P35:P36)</f>
        <v>0</v>
      </c>
      <c r="Q37" s="79"/>
      <c r="R37" s="169">
        <f>SUM(R35:R36)</f>
        <v>0</v>
      </c>
      <c r="S37" s="200"/>
      <c r="T37" s="154"/>
      <c r="AA37" s="200"/>
      <c r="AB37" s="200"/>
      <c r="AC37" s="200"/>
      <c r="AD37" s="200"/>
      <c r="AI37" s="200"/>
      <c r="AJ37" s="200"/>
      <c r="AK37" s="209"/>
      <c r="AL37" s="200"/>
    </row>
    <row r="38" spans="1:46" ht="15.75" customHeight="1" x14ac:dyDescent="0.25">
      <c r="A38" s="159"/>
      <c r="B38" s="80"/>
      <c r="C38" s="253"/>
      <c r="D38" s="80"/>
      <c r="E38" s="80"/>
      <c r="F38" s="163"/>
      <c r="G38" s="70"/>
      <c r="H38" s="163"/>
      <c r="I38" s="79"/>
      <c r="J38" s="263"/>
      <c r="K38" s="263"/>
      <c r="L38" s="163"/>
      <c r="M38" s="79"/>
      <c r="N38" s="198"/>
      <c r="O38" s="156"/>
      <c r="P38" s="163"/>
      <c r="Q38" s="79"/>
      <c r="R38" s="163"/>
      <c r="S38" s="200"/>
      <c r="T38" s="154"/>
      <c r="AA38" s="200"/>
      <c r="AB38" s="200"/>
      <c r="AC38" s="200"/>
      <c r="AD38" s="200"/>
      <c r="AI38" s="200"/>
      <c r="AJ38" s="200"/>
      <c r="AK38" s="209"/>
      <c r="AL38" s="200"/>
    </row>
    <row r="39" spans="1:46" ht="20.100000000000001" customHeight="1" thickBot="1" x14ac:dyDescent="0.3">
      <c r="A39" s="159">
        <v>16</v>
      </c>
      <c r="B39" s="80"/>
      <c r="C39" s="265" t="s">
        <v>579</v>
      </c>
      <c r="D39" s="80"/>
      <c r="E39" s="80"/>
      <c r="F39" s="275">
        <f>F32</f>
        <v>0</v>
      </c>
      <c r="G39" s="70"/>
      <c r="H39" s="275">
        <f>H32</f>
        <v>0</v>
      </c>
      <c r="I39" s="79"/>
      <c r="J39" s="263"/>
      <c r="K39" s="263"/>
      <c r="L39" s="275">
        <f>L37+L32</f>
        <v>0</v>
      </c>
      <c r="M39" s="79"/>
      <c r="N39" s="309">
        <v>100</v>
      </c>
      <c r="O39" s="156"/>
      <c r="P39" s="275">
        <f>P37+P32</f>
        <v>0</v>
      </c>
      <c r="Q39" s="79"/>
      <c r="R39" s="275">
        <f>R37+R32</f>
        <v>0</v>
      </c>
      <c r="Y39" s="154"/>
    </row>
    <row r="40" spans="1:46" ht="16.5" thickTop="1" x14ac:dyDescent="0.25">
      <c r="A40" s="80"/>
      <c r="B40" s="80"/>
      <c r="C40" s="80"/>
      <c r="D40" s="80"/>
      <c r="E40" s="80"/>
      <c r="F40" s="79"/>
      <c r="G40" s="70"/>
      <c r="H40" s="79"/>
      <c r="I40" s="79"/>
      <c r="J40" s="263"/>
      <c r="K40" s="263"/>
      <c r="L40" s="79"/>
      <c r="M40" s="79"/>
      <c r="N40" s="79"/>
      <c r="O40" s="79"/>
      <c r="P40" s="79"/>
      <c r="Q40" s="79"/>
      <c r="R40" s="79"/>
      <c r="AA40" s="154"/>
      <c r="AB40" s="154"/>
    </row>
    <row r="41" spans="1:46" x14ac:dyDescent="0.25">
      <c r="A41" s="80"/>
      <c r="B41" s="80"/>
      <c r="C41" s="173" t="s">
        <v>61</v>
      </c>
      <c r="D41" s="80"/>
      <c r="E41" s="80"/>
      <c r="F41" s="189"/>
      <c r="G41" s="80"/>
      <c r="H41" s="189"/>
      <c r="I41" s="189"/>
      <c r="J41" s="310"/>
      <c r="K41" s="310"/>
      <c r="L41" s="189"/>
      <c r="M41" s="189"/>
      <c r="N41" s="189"/>
      <c r="O41" s="189"/>
      <c r="P41" s="189"/>
      <c r="Q41" s="189"/>
      <c r="R41" s="189"/>
      <c r="AK41" s="297"/>
      <c r="AL41" s="154"/>
    </row>
    <row r="42" spans="1:46" x14ac:dyDescent="0.25">
      <c r="A42" s="202"/>
      <c r="C42" s="82"/>
      <c r="H42" s="109"/>
      <c r="R42" s="154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188"/>
      <c r="AH42" s="80"/>
      <c r="AI42" s="80"/>
      <c r="AJ42" s="80"/>
      <c r="AK42" s="188"/>
      <c r="AL42" s="80"/>
      <c r="AM42" s="80"/>
      <c r="AN42" s="80"/>
      <c r="AO42" s="80"/>
      <c r="AP42" s="80"/>
      <c r="AQ42" s="188"/>
      <c r="AR42" s="80"/>
      <c r="AS42" s="80"/>
      <c r="AT42" s="80"/>
    </row>
    <row r="43" spans="1:46" x14ac:dyDescent="0.25">
      <c r="A43" s="154"/>
      <c r="R43" s="154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188"/>
      <c r="AH43" s="80"/>
      <c r="AI43" s="80"/>
      <c r="AJ43" s="80"/>
      <c r="AK43" s="188"/>
      <c r="AL43" s="80"/>
      <c r="AM43" s="80"/>
      <c r="AN43" s="80"/>
      <c r="AO43" s="80"/>
      <c r="AP43" s="80"/>
      <c r="AQ43" s="188"/>
      <c r="AR43" s="80"/>
      <c r="AS43" s="80"/>
      <c r="AT43" s="80"/>
    </row>
    <row r="44" spans="1:46" x14ac:dyDescent="0.25">
      <c r="L44" s="154"/>
      <c r="M44" s="154"/>
      <c r="R44" s="202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188"/>
      <c r="AH44" s="80"/>
      <c r="AI44" s="80"/>
      <c r="AJ44" s="80"/>
      <c r="AK44" s="188"/>
      <c r="AL44" s="80"/>
      <c r="AM44" s="80"/>
      <c r="AN44" s="80"/>
      <c r="AO44" s="80"/>
      <c r="AP44" s="80"/>
      <c r="AQ44" s="188"/>
      <c r="AR44" s="80"/>
      <c r="AS44" s="80"/>
      <c r="AT44" s="80"/>
    </row>
    <row r="45" spans="1:46" x14ac:dyDescent="0.25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T45" s="150" t="str">
        <f>NAME</f>
        <v>DUKE ENERGY KENTUCKY, INC.</v>
      </c>
      <c r="U45" s="150"/>
      <c r="V45" s="150"/>
      <c r="W45" s="150"/>
      <c r="X45" s="150"/>
      <c r="Y45" s="150"/>
      <c r="Z45" s="150"/>
      <c r="AA45" s="150"/>
      <c r="AB45" s="150"/>
      <c r="AC45" s="187"/>
      <c r="AD45" s="187"/>
      <c r="AE45" s="150"/>
      <c r="AF45" s="100"/>
      <c r="AG45" s="190"/>
      <c r="AH45" s="100"/>
      <c r="AI45" s="150"/>
      <c r="AJ45" s="150"/>
      <c r="AK45" s="190"/>
      <c r="AL45" s="150"/>
      <c r="AM45" s="150"/>
      <c r="AN45" s="100"/>
      <c r="AO45" s="150"/>
      <c r="AP45" s="150"/>
      <c r="AQ45" s="190"/>
    </row>
    <row r="46" spans="1:46" x14ac:dyDescent="0.25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T46" s="150" t="str">
        <f>CASE_NO</f>
        <v>CASE NO.   2017-00321</v>
      </c>
      <c r="U46" s="150"/>
      <c r="V46" s="150"/>
      <c r="W46" s="150"/>
      <c r="X46" s="150"/>
      <c r="Y46" s="150"/>
      <c r="Z46" s="150"/>
      <c r="AA46" s="150"/>
      <c r="AB46" s="150"/>
      <c r="AC46" s="187"/>
      <c r="AD46" s="187"/>
      <c r="AE46" s="150"/>
      <c r="AF46" s="100"/>
      <c r="AG46" s="190"/>
      <c r="AH46" s="100"/>
      <c r="AI46" s="150"/>
      <c r="AJ46" s="150"/>
      <c r="AK46" s="190"/>
      <c r="AL46" s="150"/>
      <c r="AM46" s="150"/>
      <c r="AN46" s="100"/>
      <c r="AO46" s="150"/>
      <c r="AP46" s="150"/>
      <c r="AQ46" s="190"/>
    </row>
    <row r="47" spans="1:46" x14ac:dyDescent="0.25">
      <c r="L47" s="103"/>
      <c r="M47" s="103"/>
      <c r="N47" s="103"/>
      <c r="O47" s="103"/>
      <c r="R47" s="103"/>
      <c r="T47" s="187" t="str">
        <f>TITLE</f>
        <v>ANNUALIZED BASE YEAR REVENUES AT PROPOSED VS. MOST CURRENT RATES</v>
      </c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00"/>
      <c r="AG47" s="190"/>
      <c r="AH47" s="100"/>
      <c r="AI47" s="150"/>
      <c r="AJ47" s="150"/>
      <c r="AK47" s="190"/>
      <c r="AL47" s="150"/>
      <c r="AM47" s="150"/>
      <c r="AN47" s="100"/>
      <c r="AO47" s="150"/>
      <c r="AP47" s="150"/>
      <c r="AQ47" s="190"/>
    </row>
    <row r="48" spans="1:46" x14ac:dyDescent="0.25">
      <c r="L48" s="103"/>
      <c r="M48" s="103"/>
      <c r="N48" s="103"/>
      <c r="O48" s="103"/>
      <c r="R48" s="103"/>
      <c r="T48" s="150" t="str">
        <f>DATE</f>
        <v>FOR THE TWELVE MONTHS ENDED November 30, 2017</v>
      </c>
      <c r="U48" s="150"/>
      <c r="V48" s="150"/>
      <c r="W48" s="150"/>
      <c r="X48" s="150"/>
      <c r="Y48" s="150"/>
      <c r="Z48" s="150"/>
      <c r="AA48" s="150"/>
      <c r="AB48" s="150"/>
      <c r="AC48" s="187"/>
      <c r="AD48" s="187"/>
      <c r="AE48" s="150"/>
      <c r="AF48" s="100"/>
      <c r="AG48" s="190"/>
      <c r="AH48" s="100"/>
      <c r="AI48" s="150"/>
      <c r="AJ48" s="150"/>
      <c r="AK48" s="190"/>
      <c r="AL48" s="150"/>
      <c r="AM48" s="150"/>
      <c r="AN48" s="100"/>
      <c r="AO48" s="150"/>
      <c r="AP48" s="150"/>
      <c r="AQ48" s="190"/>
    </row>
    <row r="49" spans="1:47" x14ac:dyDescent="0.25">
      <c r="A49" s="103"/>
      <c r="C49" s="103"/>
      <c r="D49" s="103"/>
      <c r="E49" s="103"/>
      <c r="F49" s="103"/>
      <c r="J49" s="103"/>
      <c r="K49" s="103"/>
      <c r="L49" s="103"/>
      <c r="M49" s="103"/>
      <c r="N49" s="103"/>
      <c r="O49" s="103"/>
      <c r="P49" s="103"/>
      <c r="Q49" s="103"/>
      <c r="R49" s="103"/>
      <c r="T49" s="150" t="str">
        <f>SERVICE</f>
        <v>(ELECTRIC SERVICE)</v>
      </c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87"/>
      <c r="AF49" s="312"/>
      <c r="AG49" s="190"/>
      <c r="AH49" s="100"/>
      <c r="AI49" s="150"/>
      <c r="AJ49" s="150"/>
      <c r="AK49" s="190"/>
      <c r="AL49" s="150"/>
      <c r="AM49" s="150"/>
      <c r="AN49" s="100"/>
      <c r="AO49" s="150"/>
      <c r="AP49" s="150"/>
      <c r="AQ49" s="190"/>
    </row>
    <row r="50" spans="1:47" x14ac:dyDescent="0.25">
      <c r="A50" s="103"/>
      <c r="C50" s="103"/>
      <c r="D50" s="103"/>
      <c r="E50" s="103"/>
      <c r="F50" s="103"/>
      <c r="J50" s="103"/>
      <c r="K50" s="103"/>
      <c r="L50" s="103"/>
      <c r="M50" s="103"/>
      <c r="N50" s="103"/>
      <c r="O50" s="103"/>
      <c r="P50" s="103"/>
      <c r="Q50" s="103"/>
      <c r="R50" s="103"/>
      <c r="T50" s="159" t="str">
        <f>DATA_PERIOD</f>
        <v>DATA: __X__ BASE PERIOD   ____FORECASTED PERIOD</v>
      </c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G50" s="188"/>
      <c r="AI50" s="80"/>
      <c r="AJ50" s="80"/>
      <c r="AK50" s="188"/>
      <c r="AL50" s="80"/>
      <c r="AM50" s="80"/>
      <c r="AO50" s="82" t="s">
        <v>179</v>
      </c>
      <c r="AP50" s="82"/>
      <c r="AQ50" s="188"/>
    </row>
    <row r="51" spans="1:47" x14ac:dyDescent="0.25">
      <c r="A51" s="103"/>
      <c r="C51" s="103"/>
      <c r="D51" s="103"/>
      <c r="E51" s="103"/>
      <c r="F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T51" s="159" t="str">
        <f>TYPE</f>
        <v>TYPE OF FILING: _X_ ORIGINAL   ___UPDATED  ___ REVISED</v>
      </c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G51" s="188"/>
      <c r="AI51" s="80"/>
      <c r="AJ51" s="80"/>
      <c r="AK51" s="188"/>
      <c r="AL51" s="80"/>
      <c r="AM51" s="80"/>
      <c r="AO51" s="81" t="str">
        <f>R7</f>
        <v>PAGE xx  OF  22</v>
      </c>
      <c r="AP51" s="82"/>
      <c r="AQ51" s="188"/>
    </row>
    <row r="52" spans="1:47" x14ac:dyDescent="0.25">
      <c r="C52" s="103"/>
      <c r="D52" s="103"/>
      <c r="E52" s="103"/>
      <c r="F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T52" s="82" t="s">
        <v>192</v>
      </c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G52" s="188"/>
      <c r="AI52" s="80"/>
      <c r="AJ52" s="80"/>
      <c r="AK52" s="188"/>
      <c r="AL52" s="80"/>
      <c r="AM52" s="80"/>
      <c r="AO52" s="82" t="s">
        <v>3</v>
      </c>
      <c r="AP52" s="82"/>
      <c r="AQ52" s="188"/>
    </row>
    <row r="53" spans="1:47" x14ac:dyDescent="0.25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T53" s="253" t="str">
        <f>TIME</f>
        <v>6 Months Actual and 6 Months Projected</v>
      </c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G53" s="188"/>
      <c r="AI53" s="80"/>
      <c r="AJ53" s="80"/>
      <c r="AK53" s="188"/>
      <c r="AL53" s="80"/>
      <c r="AM53" s="80"/>
      <c r="AO53" s="159" t="str">
        <f>WIT</f>
        <v>B. L. SAILERS</v>
      </c>
      <c r="AP53" s="159"/>
      <c r="AQ53" s="188"/>
    </row>
    <row r="54" spans="1:47" x14ac:dyDescent="0.25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T54" s="253" t="str">
        <f>INPUT!B5</f>
        <v>6 Months Actual Ending May 31, 2017</v>
      </c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G54" s="188"/>
      <c r="AI54" s="80"/>
      <c r="AJ54" s="80"/>
      <c r="AK54" s="188"/>
      <c r="AL54" s="80"/>
      <c r="AM54" s="80"/>
      <c r="AO54" s="159"/>
      <c r="AP54" s="159"/>
      <c r="AQ54" s="188"/>
    </row>
    <row r="55" spans="1:47" x14ac:dyDescent="0.25"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T55" s="187" t="s">
        <v>152</v>
      </c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00"/>
      <c r="AG55" s="190"/>
      <c r="AH55" s="100"/>
      <c r="AI55" s="150"/>
      <c r="AJ55" s="150"/>
      <c r="AK55" s="190"/>
      <c r="AL55" s="150"/>
      <c r="AM55" s="150"/>
      <c r="AN55" s="100"/>
      <c r="AO55" s="150"/>
      <c r="AP55" s="150"/>
      <c r="AQ55" s="190"/>
    </row>
    <row r="56" spans="1:47" x14ac:dyDescent="0.25">
      <c r="A56" s="202"/>
      <c r="C56" s="154"/>
      <c r="D56" s="154"/>
      <c r="E56" s="1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5"/>
      <c r="AH56" s="254"/>
      <c r="AI56" s="254"/>
      <c r="AJ56" s="254"/>
      <c r="AK56" s="255"/>
      <c r="AL56" s="254"/>
      <c r="AM56" s="254"/>
      <c r="AN56" s="254"/>
      <c r="AO56" s="254"/>
      <c r="AP56" s="254"/>
      <c r="AQ56" s="255"/>
    </row>
    <row r="57" spans="1:47" ht="18" customHeight="1" x14ac:dyDescent="0.25">
      <c r="A57" s="202"/>
      <c r="D57" s="154"/>
      <c r="E57" s="154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3" t="s">
        <v>8</v>
      </c>
      <c r="AF57" s="103"/>
      <c r="AG57" s="195" t="s">
        <v>7</v>
      </c>
      <c r="AH57" s="103"/>
      <c r="AI57" s="83" t="s">
        <v>9</v>
      </c>
      <c r="AJ57" s="83"/>
      <c r="AK57" s="195" t="s">
        <v>10</v>
      </c>
      <c r="AL57" s="83"/>
      <c r="AM57" s="80"/>
      <c r="AO57" s="83" t="s">
        <v>8</v>
      </c>
      <c r="AP57" s="83"/>
      <c r="AQ57" s="195" t="s">
        <v>11</v>
      </c>
    </row>
    <row r="58" spans="1:47" x14ac:dyDescent="0.25">
      <c r="T58" s="80"/>
      <c r="U58" s="80"/>
      <c r="V58" s="80"/>
      <c r="W58" s="80"/>
      <c r="X58" s="80"/>
      <c r="Y58" s="80"/>
      <c r="Z58" s="80"/>
      <c r="AA58" s="80"/>
      <c r="AB58" s="80"/>
      <c r="AC58" s="83" t="s">
        <v>14</v>
      </c>
      <c r="AD58" s="83"/>
      <c r="AE58" s="83" t="s">
        <v>12</v>
      </c>
      <c r="AF58" s="103"/>
      <c r="AG58" s="195" t="s">
        <v>13</v>
      </c>
      <c r="AH58" s="103"/>
      <c r="AI58" s="83" t="s">
        <v>15</v>
      </c>
      <c r="AJ58" s="83"/>
      <c r="AK58" s="195" t="s">
        <v>16</v>
      </c>
      <c r="AL58" s="83"/>
      <c r="AM58" s="80"/>
      <c r="AO58" s="83" t="s">
        <v>11</v>
      </c>
      <c r="AP58" s="83"/>
      <c r="AQ58" s="195" t="s">
        <v>9</v>
      </c>
    </row>
    <row r="59" spans="1:47" x14ac:dyDescent="0.25">
      <c r="A59" s="202"/>
      <c r="C59" s="154"/>
      <c r="T59" s="83" t="s">
        <v>17</v>
      </c>
      <c r="U59" s="80"/>
      <c r="V59" s="83" t="s">
        <v>18</v>
      </c>
      <c r="W59" s="83" t="s">
        <v>19</v>
      </c>
      <c r="X59" s="83"/>
      <c r="Y59" s="83" t="s">
        <v>20</v>
      </c>
      <c r="Z59" s="80"/>
      <c r="AA59" s="80"/>
      <c r="AB59" s="80"/>
      <c r="AC59" s="83" t="s">
        <v>8</v>
      </c>
      <c r="AD59" s="83"/>
      <c r="AE59" s="83" t="s">
        <v>21</v>
      </c>
      <c r="AF59" s="103"/>
      <c r="AG59" s="195" t="s">
        <v>21</v>
      </c>
      <c r="AH59" s="103"/>
      <c r="AI59" s="83" t="s">
        <v>22</v>
      </c>
      <c r="AJ59" s="83"/>
      <c r="AK59" s="195" t="s">
        <v>22</v>
      </c>
      <c r="AL59" s="83"/>
      <c r="AM59" s="83" t="s">
        <v>21</v>
      </c>
      <c r="AN59" s="103"/>
      <c r="AO59" s="83" t="s">
        <v>9</v>
      </c>
      <c r="AP59" s="83"/>
      <c r="AQ59" s="195" t="s">
        <v>23</v>
      </c>
    </row>
    <row r="60" spans="1:47" x14ac:dyDescent="0.25">
      <c r="A60" s="202"/>
      <c r="C60" s="154"/>
      <c r="F60" s="252"/>
      <c r="H60" s="252"/>
      <c r="I60" s="252"/>
      <c r="J60" s="300"/>
      <c r="K60" s="300"/>
      <c r="L60" s="200"/>
      <c r="M60" s="200"/>
      <c r="N60" s="210"/>
      <c r="O60" s="210"/>
      <c r="P60" s="202"/>
      <c r="Q60" s="202"/>
      <c r="R60" s="200"/>
      <c r="T60" s="83" t="s">
        <v>24</v>
      </c>
      <c r="U60" s="80"/>
      <c r="V60" s="83" t="s">
        <v>25</v>
      </c>
      <c r="W60" s="83" t="s">
        <v>26</v>
      </c>
      <c r="X60" s="83"/>
      <c r="Y60" s="83" t="s">
        <v>27</v>
      </c>
      <c r="Z60" s="80"/>
      <c r="AA60" s="83" t="s">
        <v>28</v>
      </c>
      <c r="AB60" s="83"/>
      <c r="AC60" s="83" t="s">
        <v>29</v>
      </c>
      <c r="AD60" s="83"/>
      <c r="AE60" s="83" t="s">
        <v>9</v>
      </c>
      <c r="AF60" s="103"/>
      <c r="AG60" s="195" t="s">
        <v>9</v>
      </c>
      <c r="AH60" s="103"/>
      <c r="AI60" s="256" t="s">
        <v>31</v>
      </c>
      <c r="AJ60" s="256"/>
      <c r="AK60" s="257" t="s">
        <v>32</v>
      </c>
      <c r="AL60" s="83"/>
      <c r="AM60" s="83" t="s">
        <v>475</v>
      </c>
      <c r="AN60" s="103"/>
      <c r="AO60" s="256" t="s">
        <v>33</v>
      </c>
      <c r="AP60" s="256"/>
      <c r="AQ60" s="257" t="s">
        <v>34</v>
      </c>
    </row>
    <row r="61" spans="1:47" x14ac:dyDescent="0.25">
      <c r="A61" s="202"/>
      <c r="C61" s="154"/>
      <c r="F61" s="252"/>
      <c r="H61" s="252"/>
      <c r="I61" s="252"/>
      <c r="J61" s="300"/>
      <c r="K61" s="300"/>
      <c r="L61" s="200"/>
      <c r="M61" s="200"/>
      <c r="N61" s="210"/>
      <c r="O61" s="210"/>
      <c r="P61" s="202"/>
      <c r="Q61" s="202"/>
      <c r="R61" s="200"/>
      <c r="T61" s="80"/>
      <c r="U61" s="80"/>
      <c r="V61" s="256" t="s">
        <v>35</v>
      </c>
      <c r="W61" s="256" t="s">
        <v>36</v>
      </c>
      <c r="X61" s="256"/>
      <c r="Y61" s="256" t="s">
        <v>37</v>
      </c>
      <c r="Z61" s="258"/>
      <c r="AA61" s="256" t="s">
        <v>38</v>
      </c>
      <c r="AB61" s="256"/>
      <c r="AC61" s="256" t="s">
        <v>44</v>
      </c>
      <c r="AD61" s="256"/>
      <c r="AE61" s="256" t="s">
        <v>45</v>
      </c>
      <c r="AF61" s="313"/>
      <c r="AG61" s="257" t="s">
        <v>46</v>
      </c>
      <c r="AH61" s="313"/>
      <c r="AI61" s="256" t="s">
        <v>47</v>
      </c>
      <c r="AJ61" s="256"/>
      <c r="AK61" s="257" t="s">
        <v>48</v>
      </c>
      <c r="AL61" s="256"/>
      <c r="AM61" s="256" t="s">
        <v>42</v>
      </c>
      <c r="AN61" s="313"/>
      <c r="AO61" s="256" t="s">
        <v>49</v>
      </c>
      <c r="AP61" s="256"/>
      <c r="AQ61" s="257" t="s">
        <v>50</v>
      </c>
      <c r="AU61" s="80"/>
    </row>
    <row r="62" spans="1:47" x14ac:dyDescent="0.25">
      <c r="F62" s="211"/>
      <c r="H62" s="200"/>
      <c r="I62" s="200"/>
      <c r="J62" s="305"/>
      <c r="K62" s="305"/>
      <c r="L62" s="211"/>
      <c r="M62" s="211"/>
      <c r="N62" s="211"/>
      <c r="O62" s="211"/>
      <c r="P62" s="211"/>
      <c r="Q62" s="211"/>
      <c r="R62" s="211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5"/>
      <c r="AH62" s="254"/>
      <c r="AI62" s="254"/>
      <c r="AJ62" s="254"/>
      <c r="AK62" s="255"/>
      <c r="AL62" s="254"/>
      <c r="AM62" s="254"/>
      <c r="AN62" s="254"/>
      <c r="AO62" s="254"/>
      <c r="AP62" s="254"/>
      <c r="AQ62" s="255"/>
      <c r="AU62" s="80"/>
    </row>
    <row r="63" spans="1:47" ht="17.100000000000001" customHeight="1" x14ac:dyDescent="0.25">
      <c r="A63" s="202"/>
      <c r="C63" s="154"/>
      <c r="F63" s="200"/>
      <c r="H63" s="200"/>
      <c r="I63" s="200"/>
      <c r="J63" s="305"/>
      <c r="K63" s="305"/>
      <c r="L63" s="200"/>
      <c r="M63" s="200"/>
      <c r="N63" s="210"/>
      <c r="O63" s="210"/>
      <c r="P63" s="200"/>
      <c r="Q63" s="200"/>
      <c r="R63" s="200"/>
      <c r="T63" s="80"/>
      <c r="U63" s="80"/>
      <c r="V63" s="80"/>
      <c r="W63" s="80"/>
      <c r="X63" s="80"/>
      <c r="Y63" s="80"/>
      <c r="Z63" s="80"/>
      <c r="AA63" s="260" t="s">
        <v>51</v>
      </c>
      <c r="AB63" s="259"/>
      <c r="AC63" s="260" t="s">
        <v>418</v>
      </c>
      <c r="AD63" s="259"/>
      <c r="AE63" s="259" t="s">
        <v>52</v>
      </c>
      <c r="AF63" s="314"/>
      <c r="AG63" s="261" t="s">
        <v>53</v>
      </c>
      <c r="AH63" s="314"/>
      <c r="AI63" s="259" t="s">
        <v>52</v>
      </c>
      <c r="AJ63" s="259"/>
      <c r="AK63" s="261" t="s">
        <v>53</v>
      </c>
      <c r="AL63" s="259"/>
      <c r="AM63" s="259" t="s">
        <v>52</v>
      </c>
      <c r="AN63" s="314"/>
      <c r="AO63" s="259" t="s">
        <v>52</v>
      </c>
      <c r="AP63" s="259"/>
      <c r="AQ63" s="261" t="s">
        <v>53</v>
      </c>
      <c r="AU63" s="80"/>
    </row>
    <row r="64" spans="1:47" x14ac:dyDescent="0.25">
      <c r="F64" s="211"/>
      <c r="H64" s="200"/>
      <c r="I64" s="200"/>
      <c r="J64" s="305"/>
      <c r="K64" s="305"/>
      <c r="L64" s="211"/>
      <c r="M64" s="211"/>
      <c r="N64" s="211"/>
      <c r="O64" s="211"/>
      <c r="P64" s="211"/>
      <c r="Q64" s="211"/>
      <c r="R64" s="211"/>
      <c r="T64" s="159">
        <v>1</v>
      </c>
      <c r="U64" s="80"/>
      <c r="V64" s="253" t="s">
        <v>412</v>
      </c>
      <c r="W64" s="253" t="s">
        <v>472</v>
      </c>
      <c r="X64" s="82"/>
      <c r="Y64" s="70"/>
      <c r="Z64" s="70"/>
      <c r="AA64" s="70"/>
      <c r="AB64" s="70"/>
      <c r="AC64" s="70"/>
      <c r="AD64" s="70"/>
      <c r="AE64" s="70"/>
      <c r="AF64" s="70"/>
      <c r="AG64" s="164"/>
      <c r="AH64" s="70"/>
      <c r="AI64" s="70"/>
      <c r="AJ64" s="70"/>
      <c r="AK64" s="164"/>
      <c r="AL64" s="70"/>
      <c r="AM64" s="70"/>
      <c r="AN64" s="70"/>
      <c r="AO64" s="70"/>
      <c r="AP64" s="70"/>
      <c r="AQ64" s="164"/>
      <c r="AR64" s="80"/>
      <c r="AS64" s="80"/>
      <c r="AT64" s="80"/>
      <c r="AU64" s="362"/>
    </row>
    <row r="65" spans="1:76" x14ac:dyDescent="0.25">
      <c r="F65" s="200"/>
      <c r="H65" s="200"/>
      <c r="I65" s="200"/>
      <c r="J65" s="305"/>
      <c r="K65" s="305"/>
      <c r="L65" s="200"/>
      <c r="M65" s="200"/>
      <c r="N65" s="210"/>
      <c r="O65" s="210"/>
      <c r="P65" s="200"/>
      <c r="Q65" s="200"/>
      <c r="R65" s="200"/>
      <c r="T65" s="159">
        <v>2</v>
      </c>
      <c r="U65" s="80"/>
      <c r="V65" s="258"/>
      <c r="W65" s="253" t="s">
        <v>154</v>
      </c>
      <c r="X65" s="82"/>
      <c r="Y65" s="70"/>
      <c r="Z65" s="70"/>
      <c r="AA65" s="70"/>
      <c r="AB65" s="70"/>
      <c r="AC65" s="70"/>
      <c r="AD65" s="70"/>
      <c r="AE65" s="70"/>
      <c r="AF65" s="70"/>
      <c r="AG65" s="164"/>
      <c r="AH65" s="70"/>
      <c r="AI65" s="70"/>
      <c r="AJ65" s="70"/>
      <c r="AK65" s="164"/>
      <c r="AL65" s="70"/>
      <c r="AM65" s="70"/>
      <c r="AN65" s="70"/>
      <c r="AO65" s="70"/>
      <c r="AP65" s="70"/>
      <c r="AQ65" s="164"/>
      <c r="AR65" s="80"/>
      <c r="AS65" s="80"/>
      <c r="AT65" s="80"/>
      <c r="AU65" s="363"/>
      <c r="BX65" s="317"/>
    </row>
    <row r="66" spans="1:76" ht="21.75" customHeight="1" x14ac:dyDescent="0.25">
      <c r="A66" s="202"/>
      <c r="C66" s="154"/>
      <c r="F66" s="252"/>
      <c r="H66" s="252"/>
      <c r="I66" s="252"/>
      <c r="J66" s="300"/>
      <c r="K66" s="300"/>
      <c r="L66" s="200"/>
      <c r="M66" s="200"/>
      <c r="N66" s="210"/>
      <c r="O66" s="210"/>
      <c r="P66" s="200"/>
      <c r="Q66" s="200"/>
      <c r="R66" s="200"/>
      <c r="T66" s="80"/>
      <c r="U66" s="80"/>
      <c r="V66" s="80"/>
      <c r="W66" s="80"/>
      <c r="X66" s="80"/>
      <c r="Y66" s="70"/>
      <c r="Z66" s="70"/>
      <c r="AA66" s="70"/>
      <c r="AB66" s="70"/>
      <c r="AC66" s="70"/>
      <c r="AD66" s="70"/>
      <c r="AE66" s="70"/>
      <c r="AF66" s="70"/>
      <c r="AG66" s="164"/>
      <c r="AH66" s="70"/>
      <c r="AI66" s="70"/>
      <c r="AJ66" s="70"/>
      <c r="AK66" s="164"/>
      <c r="AL66" s="70"/>
      <c r="AM66" s="70"/>
      <c r="AN66" s="70"/>
      <c r="AO66" s="70"/>
      <c r="AP66" s="70"/>
      <c r="AQ66" s="164"/>
      <c r="AR66" s="80"/>
      <c r="AS66" s="80"/>
      <c r="AT66" s="80"/>
      <c r="AU66" s="363"/>
    </row>
    <row r="67" spans="1:76" x14ac:dyDescent="0.25">
      <c r="F67" s="200"/>
      <c r="H67" s="211"/>
      <c r="I67" s="211"/>
      <c r="J67" s="305"/>
      <c r="K67" s="305"/>
      <c r="L67" s="211"/>
      <c r="M67" s="211"/>
      <c r="N67" s="211"/>
      <c r="O67" s="211"/>
      <c r="P67" s="211"/>
      <c r="Q67" s="211"/>
      <c r="R67" s="211"/>
      <c r="T67" s="159">
        <v>3</v>
      </c>
      <c r="U67" s="80"/>
      <c r="V67" s="253" t="s">
        <v>155</v>
      </c>
      <c r="W67" s="80"/>
      <c r="X67" s="80"/>
      <c r="Y67" s="79"/>
      <c r="Z67" s="70"/>
      <c r="AA67" s="78"/>
      <c r="AB67" s="78"/>
      <c r="AC67" s="284"/>
      <c r="AD67" s="284"/>
      <c r="AE67" s="79"/>
      <c r="AF67" s="79"/>
      <c r="AG67" s="155"/>
      <c r="AH67" s="156"/>
      <c r="AI67" s="79"/>
      <c r="AJ67" s="79"/>
      <c r="AK67" s="318"/>
      <c r="AL67" s="319"/>
      <c r="AM67" s="70"/>
      <c r="AN67" s="70"/>
      <c r="AO67" s="79"/>
      <c r="AP67" s="79"/>
      <c r="AQ67" s="318"/>
      <c r="AR67" s="80"/>
      <c r="AS67" s="189"/>
      <c r="AT67" s="189"/>
      <c r="AU67" s="363"/>
    </row>
    <row r="68" spans="1:76" x14ac:dyDescent="0.25">
      <c r="A68" s="202"/>
      <c r="C68" s="154"/>
      <c r="F68" s="200"/>
      <c r="H68" s="200"/>
      <c r="I68" s="200"/>
      <c r="J68" s="213"/>
      <c r="K68" s="213"/>
      <c r="L68" s="200"/>
      <c r="M68" s="200"/>
      <c r="N68" s="210"/>
      <c r="O68" s="210"/>
      <c r="P68" s="200"/>
      <c r="Q68" s="200"/>
      <c r="R68" s="200"/>
      <c r="T68" s="159">
        <v>4</v>
      </c>
      <c r="U68" s="80"/>
      <c r="V68" s="82" t="s">
        <v>417</v>
      </c>
      <c r="W68" s="80"/>
      <c r="X68" s="80"/>
      <c r="Y68" s="163">
        <f>F24</f>
        <v>0</v>
      </c>
      <c r="Z68" s="70"/>
      <c r="AA68" s="78"/>
      <c r="AB68" s="78"/>
      <c r="AC68" s="283">
        <f>INPUT!C135</f>
        <v>198</v>
      </c>
      <c r="AD68" s="284"/>
      <c r="AE68" s="79">
        <f>ROUND(Y68*AC68,0)</f>
        <v>0</v>
      </c>
      <c r="AF68" s="79"/>
      <c r="AG68" s="166" t="e">
        <f>ROUND((AE68/$AE$83)*100,1)</f>
        <v>#DIV/0!</v>
      </c>
      <c r="AH68" s="156"/>
      <c r="AI68" s="79">
        <f>L24-AE68</f>
        <v>0</v>
      </c>
      <c r="AJ68" s="79"/>
      <c r="AK68" s="166" t="e">
        <f>ROUND((AI68/AE68)*100,1)</f>
        <v>#DIV/0!</v>
      </c>
      <c r="AL68" s="158"/>
      <c r="AM68" s="79"/>
      <c r="AN68" s="302"/>
      <c r="AO68" s="79">
        <f>AE68+AM68</f>
        <v>0</v>
      </c>
      <c r="AP68" s="79"/>
      <c r="AQ68" s="155" t="e">
        <f>ROUND((AI68/AO68)*100,1)</f>
        <v>#DIV/0!</v>
      </c>
      <c r="AR68" s="159"/>
      <c r="AS68" s="189"/>
      <c r="AT68" s="189"/>
      <c r="AU68" s="362"/>
    </row>
    <row r="69" spans="1:76" ht="20.100000000000001" customHeight="1" x14ac:dyDescent="0.25">
      <c r="A69" s="202"/>
      <c r="C69" s="154"/>
      <c r="F69" s="252"/>
      <c r="H69" s="252"/>
      <c r="I69" s="252"/>
      <c r="J69" s="320"/>
      <c r="K69" s="320"/>
      <c r="L69" s="200"/>
      <c r="M69" s="200"/>
      <c r="N69" s="210"/>
      <c r="O69" s="210"/>
      <c r="P69" s="252"/>
      <c r="Q69" s="252"/>
      <c r="R69" s="200"/>
      <c r="T69" s="159">
        <v>5</v>
      </c>
      <c r="U69" s="80"/>
      <c r="V69" s="253" t="s">
        <v>158</v>
      </c>
      <c r="W69" s="80"/>
      <c r="X69" s="80"/>
      <c r="Y69" s="163"/>
      <c r="Z69" s="70"/>
      <c r="AA69" s="79"/>
      <c r="AB69" s="79"/>
      <c r="AC69" s="310"/>
      <c r="AD69" s="263"/>
      <c r="AE69" s="169">
        <f>SUM(AE68)</f>
        <v>0</v>
      </c>
      <c r="AF69" s="79"/>
      <c r="AG69" s="166" t="e">
        <f>ROUND((AE69/$AE$83)*100,1)</f>
        <v>#DIV/0!</v>
      </c>
      <c r="AH69" s="156"/>
      <c r="AI69" s="169">
        <f>SUM(AI68)</f>
        <v>0</v>
      </c>
      <c r="AJ69" s="79"/>
      <c r="AK69" s="170" t="e">
        <f>ROUND((AI69/AE69)*100,1)</f>
        <v>#DIV/0!</v>
      </c>
      <c r="AL69" s="158"/>
      <c r="AM69" s="169"/>
      <c r="AN69" s="79"/>
      <c r="AO69" s="169">
        <f>SUM(AO68)</f>
        <v>0</v>
      </c>
      <c r="AP69" s="79"/>
      <c r="AQ69" s="155" t="e">
        <f>ROUND((AI69/AO69)*100,1)</f>
        <v>#DIV/0!</v>
      </c>
      <c r="AR69" s="189"/>
      <c r="AS69" s="189"/>
      <c r="AT69" s="189"/>
      <c r="AU69" s="363"/>
    </row>
    <row r="70" spans="1:76" ht="18.75" customHeight="1" x14ac:dyDescent="0.25">
      <c r="A70" s="202"/>
      <c r="C70" s="154"/>
      <c r="F70" s="200"/>
      <c r="H70" s="200"/>
      <c r="I70" s="200"/>
      <c r="J70" s="213"/>
      <c r="K70" s="213"/>
      <c r="L70" s="200"/>
      <c r="M70" s="200"/>
      <c r="N70" s="210"/>
      <c r="O70" s="210"/>
      <c r="P70" s="200"/>
      <c r="Q70" s="200"/>
      <c r="R70" s="200"/>
      <c r="T70" s="80"/>
      <c r="U70" s="80"/>
      <c r="V70" s="80"/>
      <c r="W70" s="80"/>
      <c r="X70" s="80"/>
      <c r="Y70" s="79"/>
      <c r="Z70" s="70"/>
      <c r="AA70" s="79"/>
      <c r="AB70" s="79"/>
      <c r="AC70" s="388"/>
      <c r="AD70" s="268"/>
      <c r="AE70" s="79"/>
      <c r="AF70" s="79"/>
      <c r="AG70" s="155"/>
      <c r="AH70" s="79"/>
      <c r="AI70" s="79"/>
      <c r="AJ70" s="79"/>
      <c r="AK70" s="155"/>
      <c r="AL70" s="158"/>
      <c r="AM70" s="79"/>
      <c r="AN70" s="79"/>
      <c r="AO70" s="79"/>
      <c r="AP70" s="79"/>
      <c r="AQ70" s="155"/>
      <c r="AR70" s="189"/>
      <c r="AS70" s="189"/>
      <c r="AT70" s="189"/>
      <c r="AU70" s="363"/>
    </row>
    <row r="71" spans="1:76" x14ac:dyDescent="0.25">
      <c r="A71" s="154"/>
      <c r="F71" s="200"/>
      <c r="H71" s="200"/>
      <c r="I71" s="200"/>
      <c r="J71" s="213"/>
      <c r="K71" s="213"/>
      <c r="L71" s="200"/>
      <c r="M71" s="200"/>
      <c r="N71" s="200"/>
      <c r="O71" s="200"/>
      <c r="P71" s="200"/>
      <c r="Q71" s="200"/>
      <c r="R71" s="200"/>
      <c r="T71" s="159">
        <v>6</v>
      </c>
      <c r="U71" s="80"/>
      <c r="V71" s="253" t="s">
        <v>69</v>
      </c>
      <c r="W71" s="80"/>
      <c r="X71" s="80"/>
      <c r="Y71" s="78"/>
      <c r="Z71" s="70"/>
      <c r="AA71" s="78"/>
      <c r="AB71" s="78"/>
      <c r="AC71" s="377"/>
      <c r="AD71" s="339"/>
      <c r="AE71" s="79"/>
      <c r="AF71" s="79"/>
      <c r="AG71" s="155"/>
      <c r="AH71" s="156"/>
      <c r="AI71" s="79"/>
      <c r="AJ71" s="79"/>
      <c r="AK71" s="155"/>
      <c r="AL71" s="158"/>
      <c r="AM71" s="78"/>
      <c r="AN71" s="78"/>
      <c r="AO71" s="79"/>
      <c r="AP71" s="79"/>
      <c r="AQ71" s="155"/>
      <c r="AR71" s="225"/>
      <c r="AS71" s="189"/>
      <c r="AT71" s="189"/>
      <c r="AU71" s="363"/>
    </row>
    <row r="72" spans="1:76" x14ac:dyDescent="0.25">
      <c r="T72" s="159">
        <v>7</v>
      </c>
      <c r="U72" s="80"/>
      <c r="V72" s="82" t="s">
        <v>494</v>
      </c>
      <c r="W72" s="80"/>
      <c r="X72" s="80"/>
      <c r="Y72" s="78"/>
      <c r="Z72" s="70"/>
      <c r="AA72" s="79">
        <f>H28</f>
        <v>0</v>
      </c>
      <c r="AB72" s="79"/>
      <c r="AC72" s="295">
        <f>INPUT!C139</f>
        <v>6.0530000000000002E-3</v>
      </c>
      <c r="AD72" s="293"/>
      <c r="AE72" s="79">
        <f>ROUND((AA72*AC72),0)</f>
        <v>0</v>
      </c>
      <c r="AF72" s="79"/>
      <c r="AG72" s="197" t="e">
        <f>ROUND((AE72/$AE$83)*100,1)</f>
        <v>#DIV/0!</v>
      </c>
      <c r="AH72" s="156"/>
      <c r="AI72" s="79">
        <f>L28-AE72</f>
        <v>0</v>
      </c>
      <c r="AJ72" s="79"/>
      <c r="AK72" s="155" t="e">
        <f>ROUND((AI72/AE72)*100,1)</f>
        <v>#DIV/0!</v>
      </c>
      <c r="AL72" s="158"/>
      <c r="AM72" s="78"/>
      <c r="AN72" s="78"/>
      <c r="AO72" s="79">
        <f>AE72+AM72</f>
        <v>0</v>
      </c>
      <c r="AP72" s="79"/>
      <c r="AQ72" s="155" t="e">
        <f>ROUND((AI72/AO72)*100,1)</f>
        <v>#DIV/0!</v>
      </c>
      <c r="AR72" s="225"/>
      <c r="AS72" s="189"/>
      <c r="AT72" s="189"/>
      <c r="AU72" s="363"/>
    </row>
    <row r="73" spans="1:76" x14ac:dyDescent="0.25">
      <c r="L73" s="200"/>
      <c r="M73" s="200"/>
      <c r="N73" s="200"/>
      <c r="O73" s="200"/>
      <c r="P73" s="200"/>
      <c r="Q73" s="200"/>
      <c r="R73" s="200"/>
      <c r="T73" s="159">
        <v>8</v>
      </c>
      <c r="U73" s="80"/>
      <c r="V73" s="82" t="s">
        <v>419</v>
      </c>
      <c r="W73" s="80"/>
      <c r="X73" s="80"/>
      <c r="Y73" s="230"/>
      <c r="Z73" s="70"/>
      <c r="AA73" s="79">
        <f>H29</f>
        <v>0</v>
      </c>
      <c r="AB73" s="79"/>
      <c r="AC73" s="295">
        <f>INPUT!C143</f>
        <v>7.6000000000000004E-4</v>
      </c>
      <c r="AD73" s="293"/>
      <c r="AE73" s="79">
        <f>ROUND((AA73*AC73),0)</f>
        <v>0</v>
      </c>
      <c r="AF73" s="79"/>
      <c r="AG73" s="197" t="e">
        <f>ROUND((AE73/$AE$83)*100,1)</f>
        <v>#DIV/0!</v>
      </c>
      <c r="AH73" s="156"/>
      <c r="AI73" s="79">
        <f>L29-AE73</f>
        <v>0</v>
      </c>
      <c r="AJ73" s="79"/>
      <c r="AK73" s="197" t="e">
        <f>ROUND((AI73/AE73)*100,1)</f>
        <v>#DIV/0!</v>
      </c>
      <c r="AL73" s="158"/>
      <c r="AM73" s="78"/>
      <c r="AN73" s="78"/>
      <c r="AO73" s="79">
        <f>AE73+AM73</f>
        <v>0</v>
      </c>
      <c r="AP73" s="79"/>
      <c r="AQ73" s="155" t="e">
        <f>ROUND((AI73/AO73)*100,1)</f>
        <v>#DIV/0!</v>
      </c>
      <c r="AR73" s="225"/>
      <c r="AS73" s="189"/>
      <c r="AT73" s="189"/>
      <c r="AU73" s="363"/>
    </row>
    <row r="74" spans="1:76" x14ac:dyDescent="0.25">
      <c r="L74" s="200"/>
      <c r="M74" s="200"/>
      <c r="N74" s="200"/>
      <c r="O74" s="200"/>
      <c r="P74" s="200"/>
      <c r="Q74" s="200"/>
      <c r="R74" s="200"/>
      <c r="T74" s="159">
        <v>9</v>
      </c>
      <c r="U74" s="80"/>
      <c r="V74" s="82" t="s">
        <v>480</v>
      </c>
      <c r="W74" s="80"/>
      <c r="X74" s="80"/>
      <c r="Y74" s="230"/>
      <c r="Z74" s="70"/>
      <c r="AA74" s="79">
        <f>H30</f>
        <v>0</v>
      </c>
      <c r="AB74" s="79"/>
      <c r="AC74" s="295">
        <f>INPUT!C147</f>
        <v>5.1858583333333333E-2</v>
      </c>
      <c r="AD74" s="293"/>
      <c r="AE74" s="79">
        <f>ROUND((AA74*AC74),0)</f>
        <v>0</v>
      </c>
      <c r="AF74" s="79"/>
      <c r="AG74" s="166" t="e">
        <f>ROUND((AE74/$AE$83)*100,1)</f>
        <v>#DIV/0!</v>
      </c>
      <c r="AH74" s="156"/>
      <c r="AI74" s="79">
        <f>L30-AE74</f>
        <v>0</v>
      </c>
      <c r="AJ74" s="79"/>
      <c r="AK74" s="166" t="e">
        <f>ROUND((AI74/AE74)*100,1)</f>
        <v>#DIV/0!</v>
      </c>
      <c r="AL74" s="158"/>
      <c r="AM74" s="353">
        <f>ROUND(-AA74*(CUR_FAC+CUR_BASE_FUEL),0)</f>
        <v>0</v>
      </c>
      <c r="AN74" s="78"/>
      <c r="AO74" s="79">
        <f>AE74+AM74</f>
        <v>0</v>
      </c>
      <c r="AP74" s="79"/>
      <c r="AQ74" s="155" t="e">
        <f>ROUND((AI74/AO74)*100,1)</f>
        <v>#DIV/0!</v>
      </c>
      <c r="AR74" s="225"/>
      <c r="AS74" s="189"/>
      <c r="AT74" s="189"/>
      <c r="AU74" s="363"/>
    </row>
    <row r="75" spans="1:76" ht="20.100000000000001" customHeight="1" x14ac:dyDescent="0.25">
      <c r="J75" s="202"/>
      <c r="K75" s="202"/>
      <c r="T75" s="159">
        <v>10</v>
      </c>
      <c r="U75" s="80"/>
      <c r="V75" s="253" t="s">
        <v>164</v>
      </c>
      <c r="W75" s="80"/>
      <c r="X75" s="80"/>
      <c r="Y75" s="167"/>
      <c r="Z75" s="70"/>
      <c r="AA75" s="169">
        <f>H31</f>
        <v>0</v>
      </c>
      <c r="AB75" s="79"/>
      <c r="AC75" s="307"/>
      <c r="AD75" s="263"/>
      <c r="AE75" s="169">
        <f>SUM(AE72:AE74)</f>
        <v>0</v>
      </c>
      <c r="AF75" s="79"/>
      <c r="AG75" s="166" t="e">
        <f>ROUND((AE75/$AE$83)*100,1)</f>
        <v>#DIV/0!</v>
      </c>
      <c r="AH75" s="156"/>
      <c r="AI75" s="169">
        <f>SUM(AI72:AI74)</f>
        <v>0</v>
      </c>
      <c r="AJ75" s="79"/>
      <c r="AK75" s="170" t="e">
        <f>ROUND((AI75/AE75)*100,1)</f>
        <v>#DIV/0!</v>
      </c>
      <c r="AL75" s="158"/>
      <c r="AM75" s="169">
        <f>AM74</f>
        <v>0</v>
      </c>
      <c r="AN75" s="79"/>
      <c r="AO75" s="169">
        <f>SUM(AO72:AO74)</f>
        <v>0</v>
      </c>
      <c r="AP75" s="79"/>
      <c r="AQ75" s="155" t="e">
        <f>ROUND((AI75/AO75)*100,1)</f>
        <v>#DIV/0!</v>
      </c>
      <c r="AR75" s="189"/>
      <c r="AS75" s="189"/>
      <c r="AT75" s="189"/>
      <c r="AU75" s="80"/>
    </row>
    <row r="76" spans="1:76" ht="20.100000000000001" customHeight="1" x14ac:dyDescent="0.25">
      <c r="J76" s="202"/>
      <c r="K76" s="202"/>
      <c r="T76" s="159">
        <v>11</v>
      </c>
      <c r="U76" s="80"/>
      <c r="V76" s="265" t="s">
        <v>578</v>
      </c>
      <c r="W76" s="80"/>
      <c r="X76" s="80"/>
      <c r="Y76" s="169">
        <f>Y68</f>
        <v>0</v>
      </c>
      <c r="Z76" s="70"/>
      <c r="AA76" s="169">
        <f>AA75</f>
        <v>0</v>
      </c>
      <c r="AB76" s="79"/>
      <c r="AC76" s="307"/>
      <c r="AD76" s="263"/>
      <c r="AE76" s="169">
        <f>AE75+AE69</f>
        <v>0</v>
      </c>
      <c r="AF76" s="79"/>
      <c r="AG76" s="166" t="e">
        <f>ROUND((AE76/$AE$83)*100,1)</f>
        <v>#DIV/0!</v>
      </c>
      <c r="AH76" s="156"/>
      <c r="AI76" s="169">
        <f>AI75+AI69</f>
        <v>0</v>
      </c>
      <c r="AJ76" s="79"/>
      <c r="AK76" s="170" t="e">
        <f>ROUND((AI76/AE76)*100,1)</f>
        <v>#DIV/0!</v>
      </c>
      <c r="AL76" s="158"/>
      <c r="AM76" s="169">
        <f>AM75+AM69</f>
        <v>0</v>
      </c>
      <c r="AN76" s="79"/>
      <c r="AO76" s="169">
        <f>AO75+AO69</f>
        <v>0</v>
      </c>
      <c r="AP76" s="79"/>
      <c r="AQ76" s="155" t="e">
        <f>ROUND((AI76/AO76)*100,1)</f>
        <v>#DIV/0!</v>
      </c>
      <c r="AR76" s="189"/>
      <c r="AS76" s="189"/>
      <c r="AT76" s="189"/>
      <c r="AU76" s="80"/>
    </row>
    <row r="77" spans="1:76" ht="15.75" customHeight="1" x14ac:dyDescent="0.25">
      <c r="J77" s="202"/>
      <c r="K77" s="202"/>
      <c r="T77" s="159"/>
      <c r="U77" s="80"/>
      <c r="V77" s="82"/>
      <c r="W77" s="80"/>
      <c r="X77" s="80"/>
      <c r="Y77" s="163"/>
      <c r="Z77" s="70"/>
      <c r="AA77" s="163"/>
      <c r="AB77" s="79"/>
      <c r="AC77" s="307"/>
      <c r="AD77" s="263"/>
      <c r="AE77" s="163"/>
      <c r="AF77" s="79"/>
      <c r="AG77" s="197"/>
      <c r="AH77" s="156"/>
      <c r="AI77" s="163"/>
      <c r="AJ77" s="79"/>
      <c r="AK77" s="197"/>
      <c r="AL77" s="158"/>
      <c r="AM77" s="163"/>
      <c r="AN77" s="79"/>
      <c r="AO77" s="163"/>
      <c r="AP77" s="79"/>
      <c r="AQ77" s="155"/>
      <c r="AR77" s="189"/>
      <c r="AS77" s="189"/>
      <c r="AT77" s="189"/>
      <c r="AU77" s="80"/>
    </row>
    <row r="78" spans="1:76" ht="15.75" customHeight="1" x14ac:dyDescent="0.25">
      <c r="J78" s="202"/>
      <c r="K78" s="202"/>
      <c r="T78" s="159">
        <v>12</v>
      </c>
      <c r="U78" s="80"/>
      <c r="V78" s="253" t="s">
        <v>553</v>
      </c>
      <c r="W78" s="80"/>
      <c r="X78" s="80"/>
      <c r="Y78" s="163"/>
      <c r="Z78" s="70"/>
      <c r="AA78" s="163"/>
      <c r="AB78" s="79"/>
      <c r="AC78" s="307"/>
      <c r="AD78" s="263"/>
      <c r="AE78" s="163"/>
      <c r="AF78" s="79"/>
      <c r="AG78" s="197"/>
      <c r="AH78" s="156"/>
      <c r="AI78" s="163"/>
      <c r="AJ78" s="79"/>
      <c r="AK78" s="197"/>
      <c r="AL78" s="158"/>
      <c r="AM78" s="163"/>
      <c r="AN78" s="79"/>
      <c r="AO78" s="163"/>
      <c r="AP78" s="79"/>
      <c r="AQ78" s="155"/>
      <c r="AR78" s="189"/>
      <c r="AS78" s="189"/>
      <c r="AT78" s="189"/>
      <c r="AU78" s="80"/>
    </row>
    <row r="79" spans="1:76" ht="15.75" customHeight="1" x14ac:dyDescent="0.25">
      <c r="J79" s="202"/>
      <c r="K79" s="202"/>
      <c r="T79" s="159">
        <v>13</v>
      </c>
      <c r="U79" s="80"/>
      <c r="V79" s="153" t="s">
        <v>556</v>
      </c>
      <c r="W79" s="80"/>
      <c r="X79" s="80"/>
      <c r="Y79" s="163"/>
      <c r="Z79" s="70"/>
      <c r="AA79" s="163"/>
      <c r="AB79" s="79"/>
      <c r="AC79" s="295">
        <f>DSM_DIST</f>
        <v>2.5760000000000002E-3</v>
      </c>
      <c r="AD79" s="268"/>
      <c r="AE79" s="163">
        <f>ROUND(AA76*DSM_DIST,0)</f>
        <v>0</v>
      </c>
      <c r="AF79" s="79"/>
      <c r="AG79" s="197" t="e">
        <f>ROUND((AE79/$AE$83)*100,1)+0.1</f>
        <v>#DIV/0!</v>
      </c>
      <c r="AH79" s="156"/>
      <c r="AI79" s="79">
        <f>L35-AE79</f>
        <v>0</v>
      </c>
      <c r="AJ79" s="79"/>
      <c r="AK79" s="155" t="e">
        <f t="shared" ref="AK79:AK81" si="1">ROUND((AI79/AE79)*100,1)</f>
        <v>#DIV/0!</v>
      </c>
      <c r="AL79" s="158"/>
      <c r="AM79" s="163"/>
      <c r="AN79" s="79"/>
      <c r="AO79" s="79">
        <f t="shared" ref="AO79:AO80" si="2">AE79+AM79</f>
        <v>0</v>
      </c>
      <c r="AP79" s="79"/>
      <c r="AQ79" s="155" t="e">
        <f t="shared" ref="AQ79:AQ81" si="3">ROUND((AI79/AO79)*100,1)</f>
        <v>#DIV/0!</v>
      </c>
      <c r="AR79" s="189"/>
      <c r="AS79" s="189"/>
      <c r="AT79" s="189"/>
      <c r="AU79" s="80"/>
    </row>
    <row r="80" spans="1:76" ht="15.75" customHeight="1" x14ac:dyDescent="0.25">
      <c r="J80" s="202"/>
      <c r="K80" s="202"/>
      <c r="T80" s="159">
        <v>14</v>
      </c>
      <c r="U80" s="80"/>
      <c r="V80" s="153" t="s">
        <v>555</v>
      </c>
      <c r="W80" s="80"/>
      <c r="X80" s="80"/>
      <c r="Y80" s="163"/>
      <c r="Z80" s="70"/>
      <c r="AA80" s="163"/>
      <c r="AB80" s="79"/>
      <c r="AC80" s="295">
        <f>RS_PSM</f>
        <v>-4.5600000000000003E-4</v>
      </c>
      <c r="AD80" s="268"/>
      <c r="AE80" s="167">
        <f>ROUND(AA76*RS_PSM,0)</f>
        <v>0</v>
      </c>
      <c r="AF80" s="79"/>
      <c r="AG80" s="166" t="e">
        <f>ROUND((AE80/$AE$83)*100,1)</f>
        <v>#DIV/0!</v>
      </c>
      <c r="AH80" s="156"/>
      <c r="AI80" s="167">
        <f>L36-AE80</f>
        <v>0</v>
      </c>
      <c r="AJ80" s="79"/>
      <c r="AK80" s="166" t="e">
        <f t="shared" si="1"/>
        <v>#DIV/0!</v>
      </c>
      <c r="AL80" s="158"/>
      <c r="AM80" s="167"/>
      <c r="AN80" s="79"/>
      <c r="AO80" s="167">
        <f t="shared" si="2"/>
        <v>0</v>
      </c>
      <c r="AP80" s="79"/>
      <c r="AQ80" s="155" t="e">
        <f t="shared" si="3"/>
        <v>#DIV/0!</v>
      </c>
      <c r="AR80" s="189"/>
      <c r="AS80" s="189"/>
      <c r="AT80" s="189"/>
      <c r="AU80" s="80"/>
    </row>
    <row r="81" spans="1:47" ht="20.100000000000001" customHeight="1" x14ac:dyDescent="0.25">
      <c r="J81" s="202"/>
      <c r="K81" s="202"/>
      <c r="T81" s="159">
        <v>15</v>
      </c>
      <c r="U81" s="80"/>
      <c r="V81" s="253" t="s">
        <v>557</v>
      </c>
      <c r="W81" s="80"/>
      <c r="X81" s="80"/>
      <c r="Y81" s="167"/>
      <c r="Z81" s="70"/>
      <c r="AA81" s="167"/>
      <c r="AB81" s="79"/>
      <c r="AC81" s="263"/>
      <c r="AD81" s="263"/>
      <c r="AE81" s="169">
        <f>SUM(AE79:AE80)</f>
        <v>0</v>
      </c>
      <c r="AF81" s="79"/>
      <c r="AG81" s="170" t="e">
        <f>ROUND((AE81/$AE$83)*100,1)</f>
        <v>#DIV/0!</v>
      </c>
      <c r="AH81" s="156"/>
      <c r="AI81" s="169">
        <f>SUM(AI79:AI80)</f>
        <v>0</v>
      </c>
      <c r="AJ81" s="79"/>
      <c r="AK81" s="170" t="e">
        <f t="shared" si="1"/>
        <v>#DIV/0!</v>
      </c>
      <c r="AL81" s="158"/>
      <c r="AM81" s="169">
        <f>SUM(AM79:AM80)</f>
        <v>0</v>
      </c>
      <c r="AN81" s="79"/>
      <c r="AO81" s="169">
        <f>SUM(AO79:AO80)</f>
        <v>0</v>
      </c>
      <c r="AP81" s="79"/>
      <c r="AQ81" s="155" t="e">
        <f t="shared" si="3"/>
        <v>#DIV/0!</v>
      </c>
      <c r="AR81" s="189"/>
      <c r="AS81" s="189"/>
      <c r="AT81" s="189"/>
      <c r="AU81" s="80"/>
    </row>
    <row r="82" spans="1:47" ht="15.75" customHeight="1" x14ac:dyDescent="0.25">
      <c r="J82" s="202"/>
      <c r="K82" s="202"/>
      <c r="T82" s="159"/>
      <c r="U82" s="80"/>
      <c r="V82" s="253"/>
      <c r="W82" s="80"/>
      <c r="X82" s="80"/>
      <c r="Y82" s="163"/>
      <c r="Z82" s="70"/>
      <c r="AA82" s="163"/>
      <c r="AB82" s="79"/>
      <c r="AC82" s="263"/>
      <c r="AD82" s="263"/>
      <c r="AE82" s="163"/>
      <c r="AF82" s="79"/>
      <c r="AG82" s="197"/>
      <c r="AH82" s="156"/>
      <c r="AI82" s="163"/>
      <c r="AJ82" s="79"/>
      <c r="AK82" s="197"/>
      <c r="AL82" s="158"/>
      <c r="AM82" s="163"/>
      <c r="AN82" s="79"/>
      <c r="AO82" s="163"/>
      <c r="AP82" s="79"/>
      <c r="AQ82" s="155"/>
      <c r="AR82" s="189"/>
      <c r="AS82" s="189"/>
      <c r="AT82" s="189"/>
      <c r="AU82" s="80"/>
    </row>
    <row r="83" spans="1:47" ht="20.100000000000001" customHeight="1" thickBot="1" x14ac:dyDescent="0.3">
      <c r="J83" s="202"/>
      <c r="K83" s="202"/>
      <c r="T83" s="159">
        <v>16</v>
      </c>
      <c r="U83" s="80"/>
      <c r="V83" s="265" t="s">
        <v>580</v>
      </c>
      <c r="W83" s="80"/>
      <c r="X83" s="80"/>
      <c r="Y83" s="275">
        <f>F39</f>
        <v>0</v>
      </c>
      <c r="Z83" s="70"/>
      <c r="AA83" s="275">
        <f>H39</f>
        <v>0</v>
      </c>
      <c r="AB83" s="79"/>
      <c r="AC83" s="263"/>
      <c r="AD83" s="263"/>
      <c r="AE83" s="275">
        <f>AE81+AE76</f>
        <v>0</v>
      </c>
      <c r="AF83" s="79"/>
      <c r="AG83" s="291">
        <v>100</v>
      </c>
      <c r="AH83" s="156"/>
      <c r="AI83" s="275">
        <f>AI81+AI76</f>
        <v>0</v>
      </c>
      <c r="AJ83" s="79"/>
      <c r="AK83" s="291" t="e">
        <f>ROUND((AI83/AE83)*100,1)</f>
        <v>#DIV/0!</v>
      </c>
      <c r="AL83" s="158"/>
      <c r="AM83" s="275">
        <f>AM81+AM76</f>
        <v>0</v>
      </c>
      <c r="AN83" s="79"/>
      <c r="AO83" s="275">
        <f>AO81+AO76</f>
        <v>0</v>
      </c>
      <c r="AP83" s="79"/>
      <c r="AQ83" s="155" t="e">
        <f>ROUND((AI83/AO83)*100,1)</f>
        <v>#DIV/0!</v>
      </c>
      <c r="AR83" s="189"/>
      <c r="AS83" s="189"/>
      <c r="AT83" s="189"/>
    </row>
    <row r="84" spans="1:47" ht="16.5" thickTop="1" x14ac:dyDescent="0.25">
      <c r="L84" s="154"/>
      <c r="M84" s="154"/>
      <c r="T84" s="80"/>
      <c r="U84" s="80"/>
      <c r="V84" s="80"/>
      <c r="W84" s="80"/>
      <c r="X84" s="80"/>
      <c r="Y84" s="79"/>
      <c r="Z84" s="70"/>
      <c r="AA84" s="79"/>
      <c r="AB84" s="79"/>
      <c r="AC84" s="263"/>
      <c r="AD84" s="263"/>
      <c r="AE84" s="79"/>
      <c r="AF84" s="79"/>
      <c r="AG84" s="155"/>
      <c r="AH84" s="79"/>
      <c r="AI84" s="70"/>
      <c r="AJ84" s="70"/>
      <c r="AK84" s="164"/>
      <c r="AL84" s="70"/>
      <c r="AM84" s="70"/>
      <c r="AN84" s="70"/>
      <c r="AO84" s="70"/>
      <c r="AP84" s="70"/>
      <c r="AQ84" s="164"/>
      <c r="AR84" s="80"/>
      <c r="AS84" s="80"/>
      <c r="AT84" s="80"/>
    </row>
    <row r="85" spans="1:47" x14ac:dyDescent="0.25">
      <c r="A85" s="202"/>
      <c r="R85" s="154"/>
      <c r="T85" s="80"/>
      <c r="U85" s="80"/>
      <c r="V85" s="173" t="s">
        <v>61</v>
      </c>
      <c r="W85" s="80"/>
      <c r="X85" s="80"/>
      <c r="Y85" s="189"/>
      <c r="Z85" s="80"/>
      <c r="AA85" s="189"/>
      <c r="AB85" s="189"/>
      <c r="AC85" s="310"/>
      <c r="AD85" s="310"/>
      <c r="AE85" s="189"/>
      <c r="AF85" s="189"/>
      <c r="AG85" s="296"/>
      <c r="AH85" s="189"/>
      <c r="AI85" s="80"/>
      <c r="AJ85" s="80"/>
      <c r="AK85" s="188"/>
      <c r="AL85" s="80"/>
      <c r="AM85" s="80"/>
      <c r="AN85" s="80"/>
      <c r="AO85" s="80"/>
      <c r="AP85" s="80"/>
      <c r="AQ85" s="188"/>
      <c r="AR85" s="80"/>
      <c r="AS85" s="80"/>
      <c r="AT85" s="80"/>
    </row>
    <row r="86" spans="1:47" x14ac:dyDescent="0.25">
      <c r="A86" s="202"/>
      <c r="R86" s="154"/>
      <c r="V86" s="82"/>
      <c r="Z86" s="202"/>
    </row>
    <row r="87" spans="1:47" x14ac:dyDescent="0.25">
      <c r="A87" s="154"/>
      <c r="R87" s="154"/>
      <c r="AA87" s="154"/>
      <c r="AB87" s="154"/>
    </row>
    <row r="88" spans="1:47" x14ac:dyDescent="0.25">
      <c r="L88" s="154"/>
      <c r="M88" s="154"/>
      <c r="R88" s="202"/>
      <c r="AK88" s="297"/>
      <c r="AL88" s="154"/>
    </row>
    <row r="89" spans="1:47" x14ac:dyDescent="0.2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AK89" s="297"/>
      <c r="AL89" s="154"/>
    </row>
    <row r="90" spans="1:47" x14ac:dyDescent="0.25">
      <c r="L90" s="103"/>
      <c r="M90" s="103"/>
      <c r="N90" s="103"/>
      <c r="O90" s="103"/>
      <c r="R90" s="103"/>
      <c r="AK90" s="297"/>
      <c r="AL90" s="154"/>
    </row>
    <row r="91" spans="1:47" x14ac:dyDescent="0.25">
      <c r="L91" s="103"/>
      <c r="M91" s="103"/>
      <c r="N91" s="103"/>
      <c r="O91" s="103"/>
      <c r="R91" s="103"/>
      <c r="AA91" s="154"/>
      <c r="AB91" s="154"/>
      <c r="AK91" s="209"/>
      <c r="AL91" s="202"/>
    </row>
    <row r="92" spans="1:47" x14ac:dyDescent="0.25">
      <c r="A92" s="103"/>
      <c r="C92" s="103"/>
      <c r="D92" s="103"/>
      <c r="E92" s="103"/>
      <c r="F92" s="103"/>
      <c r="J92" s="103"/>
      <c r="K92" s="103"/>
      <c r="L92" s="103"/>
      <c r="M92" s="103"/>
      <c r="N92" s="103"/>
      <c r="O92" s="103"/>
      <c r="P92" s="103"/>
      <c r="Q92" s="103"/>
      <c r="R92" s="103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208"/>
      <c r="AH92" s="102"/>
      <c r="AI92" s="102"/>
      <c r="AJ92" s="102"/>
      <c r="AK92" s="208"/>
      <c r="AL92" s="102"/>
      <c r="AM92" s="102"/>
      <c r="AN92" s="102"/>
    </row>
    <row r="93" spans="1:47" x14ac:dyDescent="0.25">
      <c r="A93" s="103"/>
      <c r="C93" s="103"/>
      <c r="D93" s="103"/>
      <c r="E93" s="103"/>
      <c r="F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AA93" s="103"/>
      <c r="AB93" s="103"/>
      <c r="AC93" s="103"/>
      <c r="AD93" s="103"/>
      <c r="AE93" s="103"/>
      <c r="AF93" s="103"/>
      <c r="AG93" s="185"/>
      <c r="AH93" s="103"/>
      <c r="AK93" s="185"/>
      <c r="AL93" s="103"/>
      <c r="AM93" s="103"/>
      <c r="AN93" s="103"/>
    </row>
    <row r="94" spans="1:47" x14ac:dyDescent="0.25">
      <c r="C94" s="103"/>
      <c r="D94" s="103"/>
      <c r="E94" s="103"/>
      <c r="F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Z94" s="103"/>
      <c r="AA94" s="103"/>
      <c r="AB94" s="103"/>
      <c r="AC94" s="103"/>
      <c r="AD94" s="103"/>
      <c r="AE94" s="103"/>
      <c r="AF94" s="103"/>
      <c r="AG94" s="185"/>
      <c r="AH94" s="103"/>
      <c r="AK94" s="185"/>
      <c r="AL94" s="103"/>
      <c r="AM94" s="103"/>
      <c r="AN94" s="103"/>
    </row>
    <row r="95" spans="1:47" x14ac:dyDescent="0.2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T95" s="103"/>
      <c r="U95" s="103"/>
      <c r="V95" s="103"/>
      <c r="Z95" s="103"/>
      <c r="AA95" s="103"/>
      <c r="AB95" s="103"/>
      <c r="AC95" s="103"/>
      <c r="AD95" s="103"/>
      <c r="AE95" s="103"/>
      <c r="AF95" s="103"/>
      <c r="AG95" s="185"/>
      <c r="AH95" s="103"/>
      <c r="AI95" s="103"/>
      <c r="AJ95" s="103"/>
      <c r="AK95" s="185"/>
      <c r="AL95" s="103"/>
      <c r="AM95" s="103"/>
      <c r="AN95" s="103"/>
    </row>
    <row r="96" spans="1:47" x14ac:dyDescent="0.25"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T96" s="103"/>
      <c r="U96" s="103"/>
      <c r="V96" s="103"/>
      <c r="Y96" s="103"/>
      <c r="Z96" s="103"/>
      <c r="AA96" s="103"/>
      <c r="AB96" s="103"/>
      <c r="AC96" s="103"/>
      <c r="AD96" s="103"/>
      <c r="AE96" s="103"/>
      <c r="AF96" s="103"/>
      <c r="AG96" s="185"/>
      <c r="AH96" s="103"/>
      <c r="AI96" s="103"/>
      <c r="AJ96" s="103"/>
      <c r="AK96" s="185"/>
      <c r="AL96" s="103"/>
      <c r="AM96" s="103"/>
      <c r="AN96" s="103"/>
    </row>
    <row r="97" spans="1:40" x14ac:dyDescent="0.25">
      <c r="A97" s="202"/>
      <c r="C97" s="154"/>
      <c r="D97" s="154"/>
      <c r="E97" s="154"/>
      <c r="T97" s="103"/>
      <c r="U97" s="103"/>
      <c r="V97" s="103"/>
      <c r="Y97" s="103"/>
      <c r="Z97" s="103"/>
      <c r="AA97" s="103"/>
      <c r="AB97" s="103"/>
      <c r="AC97" s="103"/>
      <c r="AD97" s="103"/>
      <c r="AE97" s="103"/>
      <c r="AF97" s="103"/>
      <c r="AG97" s="185"/>
      <c r="AH97" s="103"/>
      <c r="AI97" s="103"/>
      <c r="AJ97" s="103"/>
      <c r="AK97" s="185"/>
      <c r="AL97" s="103"/>
      <c r="AM97" s="103"/>
      <c r="AN97" s="103"/>
    </row>
    <row r="98" spans="1:40" x14ac:dyDescent="0.25">
      <c r="A98" s="202"/>
      <c r="C98" s="154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208"/>
      <c r="AH98" s="102"/>
      <c r="AI98" s="102"/>
      <c r="AJ98" s="102"/>
      <c r="AK98" s="208"/>
      <c r="AL98" s="102"/>
      <c r="AM98" s="102"/>
      <c r="AN98" s="102"/>
    </row>
    <row r="99" spans="1:40" x14ac:dyDescent="0.25">
      <c r="Y99" s="103"/>
      <c r="Z99" s="103"/>
      <c r="AA99" s="103"/>
      <c r="AB99" s="103"/>
      <c r="AC99" s="103"/>
      <c r="AD99" s="103"/>
      <c r="AE99" s="103"/>
      <c r="AF99" s="103"/>
      <c r="AG99" s="185"/>
      <c r="AH99" s="103"/>
      <c r="AI99" s="103"/>
      <c r="AJ99" s="103"/>
      <c r="AK99" s="185"/>
      <c r="AL99" s="103"/>
      <c r="AM99" s="103"/>
      <c r="AN99" s="103"/>
    </row>
    <row r="100" spans="1:40" x14ac:dyDescent="0.25">
      <c r="A100" s="202"/>
      <c r="C100" s="154"/>
      <c r="T100" s="154"/>
      <c r="U100" s="154"/>
    </row>
    <row r="101" spans="1:40" x14ac:dyDescent="0.25">
      <c r="A101" s="202"/>
      <c r="C101" s="154"/>
      <c r="F101" s="252"/>
      <c r="H101" s="252"/>
      <c r="I101" s="252"/>
      <c r="J101" s="300"/>
      <c r="K101" s="300"/>
      <c r="L101" s="200"/>
      <c r="M101" s="200"/>
      <c r="N101" s="210"/>
      <c r="O101" s="210"/>
      <c r="P101" s="202"/>
      <c r="Q101" s="202"/>
      <c r="R101" s="200"/>
      <c r="T101" s="154"/>
    </row>
    <row r="102" spans="1:40" x14ac:dyDescent="0.25">
      <c r="A102" s="202"/>
      <c r="C102" s="154"/>
      <c r="F102" s="252"/>
      <c r="H102" s="252"/>
      <c r="I102" s="252"/>
      <c r="J102" s="300"/>
      <c r="K102" s="300"/>
      <c r="L102" s="200"/>
      <c r="M102" s="200"/>
      <c r="N102" s="210"/>
      <c r="O102" s="210"/>
      <c r="P102" s="202"/>
      <c r="Q102" s="202"/>
      <c r="R102" s="200"/>
    </row>
    <row r="103" spans="1:40" x14ac:dyDescent="0.25">
      <c r="A103" s="202"/>
      <c r="C103" s="154"/>
      <c r="F103" s="252"/>
      <c r="H103" s="252"/>
      <c r="I103" s="252"/>
      <c r="J103" s="300"/>
      <c r="K103" s="300"/>
      <c r="L103" s="200"/>
      <c r="M103" s="200"/>
      <c r="N103" s="210"/>
      <c r="O103" s="210"/>
      <c r="P103" s="202"/>
      <c r="Q103" s="202"/>
      <c r="R103" s="200"/>
      <c r="T103" s="154"/>
    </row>
    <row r="104" spans="1:40" x14ac:dyDescent="0.25">
      <c r="F104" s="211"/>
      <c r="H104" s="200"/>
      <c r="I104" s="200"/>
      <c r="J104" s="305"/>
      <c r="K104" s="305"/>
      <c r="L104" s="211"/>
      <c r="M104" s="211"/>
      <c r="N104" s="211"/>
      <c r="O104" s="211"/>
      <c r="P104" s="211"/>
      <c r="Q104" s="211"/>
      <c r="R104" s="211"/>
      <c r="T104" s="154"/>
      <c r="V104" s="200"/>
      <c r="Y104" s="252"/>
      <c r="Z104" s="300"/>
      <c r="AA104" s="200"/>
      <c r="AB104" s="200"/>
      <c r="AC104" s="210"/>
      <c r="AD104" s="210"/>
      <c r="AE104" s="200"/>
      <c r="AF104" s="200"/>
      <c r="AG104" s="325"/>
      <c r="AH104" s="326"/>
      <c r="AI104" s="202"/>
      <c r="AJ104" s="202"/>
      <c r="AK104" s="209"/>
      <c r="AL104" s="200"/>
      <c r="AM104" s="327"/>
      <c r="AN104" s="327"/>
    </row>
    <row r="105" spans="1:40" x14ac:dyDescent="0.25">
      <c r="A105" s="202"/>
      <c r="C105" s="154"/>
      <c r="F105" s="200"/>
      <c r="H105" s="200"/>
      <c r="I105" s="200"/>
      <c r="J105" s="305"/>
      <c r="K105" s="305"/>
      <c r="L105" s="200"/>
      <c r="M105" s="200"/>
      <c r="N105" s="210"/>
      <c r="O105" s="210"/>
      <c r="P105" s="200"/>
      <c r="Q105" s="200"/>
      <c r="R105" s="200"/>
      <c r="T105" s="154"/>
      <c r="V105" s="200"/>
      <c r="Y105" s="252"/>
      <c r="Z105" s="300"/>
      <c r="AA105" s="200"/>
      <c r="AB105" s="200"/>
      <c r="AC105" s="210"/>
      <c r="AD105" s="210"/>
      <c r="AE105" s="200"/>
      <c r="AF105" s="200"/>
      <c r="AG105" s="209"/>
      <c r="AH105" s="201"/>
      <c r="AI105" s="202"/>
      <c r="AJ105" s="202"/>
      <c r="AK105" s="209"/>
      <c r="AL105" s="200"/>
      <c r="AM105" s="210"/>
      <c r="AN105" s="210"/>
    </row>
    <row r="106" spans="1:40" x14ac:dyDescent="0.25">
      <c r="F106" s="211"/>
      <c r="H106" s="200"/>
      <c r="I106" s="200"/>
      <c r="J106" s="305"/>
      <c r="K106" s="305"/>
      <c r="L106" s="211"/>
      <c r="M106" s="211"/>
      <c r="N106" s="211"/>
      <c r="O106" s="211"/>
      <c r="P106" s="211"/>
      <c r="Q106" s="211"/>
      <c r="R106" s="211"/>
      <c r="T106" s="154"/>
      <c r="V106" s="200"/>
      <c r="Y106" s="252"/>
      <c r="Z106" s="300"/>
      <c r="AA106" s="200"/>
      <c r="AB106" s="200"/>
      <c r="AC106" s="210"/>
      <c r="AD106" s="210"/>
      <c r="AE106" s="200"/>
      <c r="AF106" s="200"/>
      <c r="AG106" s="209"/>
      <c r="AH106" s="201"/>
      <c r="AI106" s="202"/>
      <c r="AJ106" s="202"/>
      <c r="AK106" s="209"/>
      <c r="AL106" s="200"/>
      <c r="AM106" s="210"/>
      <c r="AN106" s="210"/>
    </row>
    <row r="107" spans="1:40" x14ac:dyDescent="0.25">
      <c r="A107" s="202"/>
      <c r="C107" s="154"/>
      <c r="F107" s="252"/>
      <c r="H107" s="252"/>
      <c r="I107" s="252"/>
      <c r="J107" s="328"/>
      <c r="K107" s="328"/>
      <c r="L107" s="200"/>
      <c r="M107" s="200"/>
      <c r="N107" s="210"/>
      <c r="O107" s="210"/>
      <c r="P107" s="200"/>
      <c r="Q107" s="200"/>
      <c r="R107" s="200"/>
      <c r="S107" s="200"/>
      <c r="V107" s="211"/>
      <c r="Y107" s="200"/>
      <c r="Z107" s="305"/>
      <c r="AA107" s="211"/>
      <c r="AB107" s="211"/>
      <c r="AC107" s="211"/>
      <c r="AD107" s="211"/>
      <c r="AE107" s="211"/>
      <c r="AF107" s="211"/>
      <c r="AI107" s="211"/>
      <c r="AJ107" s="211"/>
      <c r="AK107" s="212"/>
      <c r="AL107" s="211"/>
      <c r="AM107" s="210"/>
      <c r="AN107" s="210"/>
    </row>
    <row r="108" spans="1:40" x14ac:dyDescent="0.25">
      <c r="A108" s="202"/>
      <c r="C108" s="154"/>
      <c r="F108" s="252"/>
      <c r="H108" s="252"/>
      <c r="I108" s="252"/>
      <c r="J108" s="300"/>
      <c r="K108" s="300"/>
      <c r="L108" s="200"/>
      <c r="M108" s="200"/>
      <c r="N108" s="210"/>
      <c r="O108" s="210"/>
      <c r="P108" s="200"/>
      <c r="Q108" s="200"/>
      <c r="R108" s="200"/>
      <c r="T108" s="154"/>
      <c r="V108" s="200"/>
      <c r="Y108" s="200"/>
      <c r="Z108" s="213"/>
      <c r="AA108" s="200"/>
      <c r="AB108" s="200"/>
      <c r="AC108" s="210"/>
      <c r="AD108" s="210"/>
      <c r="AE108" s="200"/>
      <c r="AF108" s="200"/>
      <c r="AG108" s="209"/>
      <c r="AH108" s="201"/>
      <c r="AI108" s="200"/>
      <c r="AJ108" s="200"/>
      <c r="AK108" s="209"/>
      <c r="AL108" s="200"/>
      <c r="AM108" s="210"/>
      <c r="AN108" s="210"/>
    </row>
    <row r="109" spans="1:40" x14ac:dyDescent="0.25">
      <c r="A109" s="202"/>
      <c r="C109" s="154"/>
      <c r="F109" s="252"/>
      <c r="H109" s="252"/>
      <c r="I109" s="252"/>
      <c r="J109" s="300"/>
      <c r="K109" s="300"/>
      <c r="L109" s="200"/>
      <c r="M109" s="200"/>
      <c r="N109" s="210"/>
      <c r="O109" s="210"/>
      <c r="P109" s="200"/>
      <c r="Q109" s="200"/>
      <c r="R109" s="200"/>
      <c r="V109" s="211"/>
      <c r="Y109" s="200"/>
      <c r="Z109" s="305"/>
      <c r="AA109" s="211"/>
      <c r="AB109" s="211"/>
      <c r="AC109" s="211"/>
      <c r="AD109" s="211"/>
      <c r="AE109" s="211"/>
      <c r="AF109" s="211"/>
      <c r="AI109" s="211"/>
      <c r="AJ109" s="211"/>
      <c r="AK109" s="212"/>
      <c r="AL109" s="211"/>
      <c r="AM109" s="210"/>
      <c r="AN109" s="210"/>
    </row>
    <row r="110" spans="1:40" x14ac:dyDescent="0.25">
      <c r="F110" s="200"/>
      <c r="H110" s="211"/>
      <c r="I110" s="211"/>
      <c r="J110" s="305"/>
      <c r="K110" s="305"/>
      <c r="L110" s="211"/>
      <c r="M110" s="211"/>
      <c r="N110" s="211"/>
      <c r="O110" s="211"/>
      <c r="P110" s="211"/>
      <c r="Q110" s="211"/>
      <c r="R110" s="211"/>
      <c r="T110" s="154"/>
      <c r="V110" s="252"/>
      <c r="Y110" s="252"/>
      <c r="Z110" s="328"/>
      <c r="AA110" s="200"/>
      <c r="AB110" s="200"/>
      <c r="AC110" s="210"/>
      <c r="AD110" s="210"/>
      <c r="AE110" s="200"/>
      <c r="AF110" s="200"/>
      <c r="AG110" s="209"/>
      <c r="AH110" s="210"/>
      <c r="AI110" s="200"/>
      <c r="AJ110" s="200"/>
      <c r="AK110" s="209"/>
      <c r="AL110" s="200"/>
      <c r="AM110" s="210"/>
      <c r="AN110" s="210"/>
    </row>
    <row r="111" spans="1:40" x14ac:dyDescent="0.25">
      <c r="A111" s="202"/>
      <c r="C111" s="154"/>
      <c r="F111" s="200"/>
      <c r="H111" s="200"/>
      <c r="I111" s="200"/>
      <c r="J111" s="305"/>
      <c r="K111" s="305"/>
      <c r="L111" s="200"/>
      <c r="M111" s="200"/>
      <c r="N111" s="210"/>
      <c r="O111" s="210"/>
      <c r="P111" s="200"/>
      <c r="Q111" s="200"/>
      <c r="R111" s="200"/>
      <c r="T111" s="154"/>
      <c r="V111" s="252"/>
      <c r="Y111" s="200"/>
      <c r="Z111" s="300"/>
      <c r="AA111" s="200"/>
      <c r="AB111" s="200"/>
      <c r="AC111" s="210"/>
      <c r="AD111" s="210"/>
      <c r="AE111" s="200"/>
      <c r="AF111" s="200"/>
      <c r="AG111" s="209"/>
      <c r="AH111" s="201"/>
      <c r="AI111" s="200"/>
      <c r="AJ111" s="200"/>
      <c r="AK111" s="209"/>
      <c r="AL111" s="200"/>
      <c r="AM111" s="210"/>
      <c r="AN111" s="210"/>
    </row>
    <row r="112" spans="1:40" x14ac:dyDescent="0.25">
      <c r="F112" s="200"/>
      <c r="H112" s="211"/>
      <c r="I112" s="211"/>
      <c r="J112" s="305"/>
      <c r="K112" s="305"/>
      <c r="L112" s="211"/>
      <c r="M112" s="211"/>
      <c r="N112" s="211"/>
      <c r="O112" s="211"/>
      <c r="P112" s="211"/>
      <c r="Q112" s="211"/>
      <c r="R112" s="211"/>
      <c r="T112" s="154"/>
      <c r="V112" s="252"/>
      <c r="Y112" s="200"/>
      <c r="Z112" s="300"/>
      <c r="AA112" s="200"/>
      <c r="AB112" s="200"/>
      <c r="AC112" s="210"/>
      <c r="AD112" s="210"/>
      <c r="AE112" s="200"/>
      <c r="AF112" s="200"/>
      <c r="AG112" s="209"/>
      <c r="AH112" s="201"/>
      <c r="AI112" s="200"/>
      <c r="AJ112" s="200"/>
      <c r="AK112" s="209"/>
      <c r="AL112" s="200"/>
      <c r="AM112" s="210"/>
      <c r="AN112" s="210"/>
    </row>
    <row r="113" spans="1:40" x14ac:dyDescent="0.25">
      <c r="A113" s="202"/>
      <c r="C113" s="154"/>
      <c r="F113" s="200"/>
      <c r="H113" s="200"/>
      <c r="I113" s="200"/>
      <c r="J113" s="305"/>
      <c r="K113" s="305"/>
      <c r="L113" s="200"/>
      <c r="M113" s="200"/>
      <c r="N113" s="200"/>
      <c r="O113" s="200"/>
      <c r="P113" s="200"/>
      <c r="Q113" s="200"/>
      <c r="R113" s="200"/>
      <c r="V113" s="200"/>
      <c r="Y113" s="211"/>
      <c r="Z113" s="305"/>
      <c r="AA113" s="211"/>
      <c r="AB113" s="211"/>
      <c r="AC113" s="211"/>
      <c r="AD113" s="211"/>
      <c r="AE113" s="211"/>
      <c r="AF113" s="211"/>
      <c r="AI113" s="211"/>
      <c r="AJ113" s="211"/>
      <c r="AK113" s="212"/>
      <c r="AL113" s="211"/>
      <c r="AM113" s="210"/>
      <c r="AN113" s="210"/>
    </row>
    <row r="114" spans="1:40" x14ac:dyDescent="0.25">
      <c r="A114" s="202"/>
      <c r="C114" s="154"/>
      <c r="F114" s="200"/>
      <c r="H114" s="252"/>
      <c r="I114" s="252"/>
      <c r="J114" s="329"/>
      <c r="K114" s="329"/>
      <c r="L114" s="200"/>
      <c r="M114" s="200"/>
      <c r="N114" s="210"/>
      <c r="O114" s="210"/>
      <c r="P114" s="200"/>
      <c r="Q114" s="200"/>
      <c r="R114" s="200"/>
      <c r="T114" s="154"/>
      <c r="V114" s="200"/>
      <c r="Y114" s="200"/>
      <c r="Z114" s="305"/>
      <c r="AA114" s="200"/>
      <c r="AB114" s="200"/>
      <c r="AC114" s="210"/>
      <c r="AD114" s="210"/>
      <c r="AE114" s="200"/>
      <c r="AF114" s="200"/>
      <c r="AG114" s="209"/>
      <c r="AH114" s="201"/>
      <c r="AI114" s="200"/>
      <c r="AJ114" s="200"/>
      <c r="AK114" s="209"/>
      <c r="AL114" s="200"/>
      <c r="AM114" s="210"/>
      <c r="AN114" s="210"/>
    </row>
    <row r="115" spans="1:40" x14ac:dyDescent="0.25">
      <c r="A115" s="202"/>
      <c r="C115" s="154"/>
      <c r="H115" s="252"/>
      <c r="I115" s="252"/>
      <c r="J115" s="329"/>
      <c r="K115" s="329"/>
      <c r="L115" s="200"/>
      <c r="M115" s="200"/>
      <c r="N115" s="210"/>
      <c r="O115" s="210"/>
      <c r="P115" s="200"/>
      <c r="Q115" s="200"/>
      <c r="R115" s="200"/>
      <c r="V115" s="200"/>
      <c r="Y115" s="211"/>
      <c r="Z115" s="305"/>
      <c r="AA115" s="211"/>
      <c r="AB115" s="211"/>
      <c r="AC115" s="211"/>
      <c r="AD115" s="211"/>
      <c r="AE115" s="211"/>
      <c r="AF115" s="211"/>
      <c r="AI115" s="211"/>
      <c r="AJ115" s="211"/>
      <c r="AK115" s="212"/>
      <c r="AL115" s="211"/>
      <c r="AM115" s="210"/>
      <c r="AN115" s="210"/>
    </row>
    <row r="116" spans="1:40" x14ac:dyDescent="0.25">
      <c r="F116" s="200"/>
      <c r="H116" s="200"/>
      <c r="I116" s="200"/>
      <c r="J116" s="305"/>
      <c r="K116" s="305"/>
      <c r="L116" s="211"/>
      <c r="M116" s="211"/>
      <c r="N116" s="211"/>
      <c r="O116" s="211"/>
      <c r="P116" s="211"/>
      <c r="Q116" s="211"/>
      <c r="R116" s="211"/>
      <c r="T116" s="154"/>
      <c r="V116" s="200"/>
      <c r="Y116" s="200"/>
      <c r="Z116" s="305"/>
      <c r="AA116" s="200"/>
      <c r="AB116" s="200"/>
      <c r="AC116" s="200"/>
      <c r="AD116" s="200"/>
      <c r="AE116" s="200"/>
      <c r="AF116" s="200"/>
      <c r="AG116" s="209"/>
      <c r="AH116" s="201"/>
      <c r="AI116" s="200"/>
      <c r="AJ116" s="200"/>
      <c r="AK116" s="209"/>
      <c r="AL116" s="200"/>
      <c r="AM116" s="210"/>
      <c r="AN116" s="210"/>
    </row>
    <row r="117" spans="1:40" x14ac:dyDescent="0.25">
      <c r="A117" s="202"/>
      <c r="C117" s="154"/>
      <c r="F117" s="200"/>
      <c r="H117" s="200"/>
      <c r="I117" s="200"/>
      <c r="J117" s="213"/>
      <c r="K117" s="213"/>
      <c r="L117" s="200"/>
      <c r="M117" s="200"/>
      <c r="N117" s="210"/>
      <c r="O117" s="210"/>
      <c r="P117" s="200"/>
      <c r="Q117" s="200"/>
      <c r="R117" s="200"/>
      <c r="T117" s="154"/>
      <c r="V117" s="200"/>
      <c r="Y117" s="200"/>
      <c r="Z117" s="329"/>
      <c r="AA117" s="200"/>
      <c r="AB117" s="200"/>
      <c r="AC117" s="210"/>
      <c r="AD117" s="210"/>
      <c r="AE117" s="200"/>
      <c r="AF117" s="200"/>
      <c r="AG117" s="209"/>
      <c r="AH117" s="201"/>
      <c r="AI117" s="200"/>
      <c r="AJ117" s="200"/>
      <c r="AK117" s="209"/>
      <c r="AL117" s="200"/>
      <c r="AM117" s="210"/>
      <c r="AN117" s="210"/>
    </row>
    <row r="118" spans="1:40" x14ac:dyDescent="0.25">
      <c r="F118" s="200"/>
      <c r="H118" s="200"/>
      <c r="I118" s="200"/>
      <c r="J118" s="305"/>
      <c r="K118" s="305"/>
      <c r="L118" s="211"/>
      <c r="M118" s="211"/>
      <c r="N118" s="211"/>
      <c r="O118" s="211"/>
      <c r="P118" s="211"/>
      <c r="Q118" s="211"/>
      <c r="R118" s="211"/>
      <c r="T118" s="154"/>
      <c r="Y118" s="200"/>
      <c r="Z118" s="329"/>
      <c r="AA118" s="200"/>
      <c r="AB118" s="200"/>
      <c r="AC118" s="210"/>
      <c r="AD118" s="210"/>
      <c r="AE118" s="200"/>
      <c r="AF118" s="200"/>
      <c r="AG118" s="209"/>
      <c r="AH118" s="201"/>
      <c r="AI118" s="200"/>
      <c r="AJ118" s="200"/>
      <c r="AK118" s="209"/>
      <c r="AL118" s="200"/>
      <c r="AM118" s="210"/>
      <c r="AN118" s="210"/>
    </row>
    <row r="119" spans="1:40" x14ac:dyDescent="0.25">
      <c r="A119" s="202"/>
      <c r="C119" s="154"/>
      <c r="F119" s="200"/>
      <c r="H119" s="200"/>
      <c r="I119" s="200"/>
      <c r="J119" s="213"/>
      <c r="K119" s="213"/>
      <c r="L119" s="200"/>
      <c r="M119" s="200"/>
      <c r="N119" s="210"/>
      <c r="O119" s="210"/>
      <c r="P119" s="200"/>
      <c r="Q119" s="200"/>
      <c r="R119" s="200"/>
      <c r="V119" s="200"/>
      <c r="Y119" s="200"/>
      <c r="Z119" s="305"/>
      <c r="AA119" s="211"/>
      <c r="AB119" s="211"/>
      <c r="AC119" s="211"/>
      <c r="AD119" s="211"/>
      <c r="AE119" s="211"/>
      <c r="AF119" s="211"/>
      <c r="AI119" s="211"/>
      <c r="AJ119" s="211"/>
      <c r="AK119" s="212"/>
      <c r="AL119" s="211"/>
      <c r="AM119" s="210"/>
      <c r="AN119" s="210"/>
    </row>
    <row r="120" spans="1:40" x14ac:dyDescent="0.25">
      <c r="A120" s="202"/>
      <c r="C120" s="154"/>
      <c r="F120" s="200"/>
      <c r="H120" s="252"/>
      <c r="I120" s="252"/>
      <c r="J120" s="320"/>
      <c r="K120" s="320"/>
      <c r="L120" s="200"/>
      <c r="M120" s="200"/>
      <c r="N120" s="210"/>
      <c r="O120" s="210"/>
      <c r="P120" s="200"/>
      <c r="Q120" s="200"/>
      <c r="R120" s="200"/>
      <c r="T120" s="154"/>
      <c r="V120" s="200"/>
      <c r="Y120" s="200"/>
      <c r="Z120" s="213"/>
      <c r="AA120" s="200"/>
      <c r="AB120" s="200"/>
      <c r="AC120" s="210"/>
      <c r="AD120" s="210"/>
      <c r="AE120" s="200"/>
      <c r="AF120" s="200"/>
      <c r="AG120" s="209"/>
      <c r="AH120" s="201"/>
      <c r="AI120" s="200"/>
      <c r="AJ120" s="200"/>
      <c r="AK120" s="209"/>
      <c r="AL120" s="200"/>
      <c r="AM120" s="210"/>
      <c r="AN120" s="210"/>
    </row>
    <row r="121" spans="1:40" x14ac:dyDescent="0.25">
      <c r="F121" s="211"/>
      <c r="H121" s="211"/>
      <c r="I121" s="211"/>
      <c r="J121" s="305"/>
      <c r="K121" s="305"/>
      <c r="L121" s="211"/>
      <c r="M121" s="211"/>
      <c r="N121" s="211"/>
      <c r="O121" s="211"/>
      <c r="P121" s="211"/>
      <c r="Q121" s="211"/>
      <c r="R121" s="211"/>
      <c r="V121" s="200"/>
      <c r="Y121" s="200"/>
      <c r="Z121" s="305"/>
      <c r="AA121" s="211"/>
      <c r="AB121" s="211"/>
      <c r="AC121" s="211"/>
      <c r="AD121" s="211"/>
      <c r="AE121" s="211"/>
      <c r="AF121" s="211"/>
      <c r="AI121" s="211"/>
      <c r="AJ121" s="211"/>
      <c r="AK121" s="212"/>
      <c r="AL121" s="211"/>
      <c r="AM121" s="210"/>
      <c r="AN121" s="210"/>
    </row>
    <row r="122" spans="1:40" x14ac:dyDescent="0.25">
      <c r="A122" s="202"/>
      <c r="C122" s="154"/>
      <c r="F122" s="200"/>
      <c r="H122" s="200"/>
      <c r="I122" s="200"/>
      <c r="J122" s="305"/>
      <c r="K122" s="305"/>
      <c r="L122" s="200"/>
      <c r="M122" s="200"/>
      <c r="N122" s="210"/>
      <c r="O122" s="210"/>
      <c r="P122" s="200"/>
      <c r="Q122" s="200"/>
      <c r="R122" s="200"/>
      <c r="S122" s="200"/>
      <c r="T122" s="154"/>
      <c r="V122" s="200"/>
      <c r="Y122" s="200"/>
      <c r="Z122" s="213"/>
      <c r="AA122" s="200"/>
      <c r="AB122" s="200"/>
      <c r="AC122" s="210"/>
      <c r="AD122" s="210"/>
      <c r="AE122" s="200"/>
      <c r="AF122" s="200"/>
      <c r="AG122" s="209"/>
      <c r="AH122" s="201"/>
      <c r="AI122" s="200"/>
      <c r="AJ122" s="200"/>
      <c r="AK122" s="209"/>
      <c r="AL122" s="200"/>
      <c r="AM122" s="210"/>
      <c r="AN122" s="210"/>
    </row>
    <row r="123" spans="1:40" x14ac:dyDescent="0.25">
      <c r="F123" s="211"/>
      <c r="H123" s="211"/>
      <c r="I123" s="211"/>
      <c r="J123" s="305"/>
      <c r="K123" s="305"/>
      <c r="L123" s="211"/>
      <c r="M123" s="211"/>
      <c r="N123" s="211"/>
      <c r="O123" s="211"/>
      <c r="P123" s="211"/>
      <c r="Q123" s="211"/>
      <c r="R123" s="211"/>
      <c r="S123" s="200"/>
      <c r="T123" s="154"/>
      <c r="V123" s="252"/>
      <c r="Y123" s="200"/>
      <c r="Z123" s="320"/>
      <c r="AA123" s="200"/>
      <c r="AB123" s="200"/>
      <c r="AC123" s="210"/>
      <c r="AD123" s="210"/>
      <c r="AE123" s="200"/>
      <c r="AF123" s="200"/>
      <c r="AG123" s="209"/>
      <c r="AH123" s="201"/>
      <c r="AI123" s="200"/>
      <c r="AJ123" s="200"/>
      <c r="AK123" s="209"/>
      <c r="AL123" s="200"/>
      <c r="AM123" s="210"/>
      <c r="AN123" s="210"/>
    </row>
    <row r="124" spans="1:40" x14ac:dyDescent="0.25">
      <c r="A124" s="202"/>
      <c r="C124" s="154"/>
      <c r="F124" s="252"/>
      <c r="H124" s="330"/>
      <c r="I124" s="330"/>
      <c r="J124" s="305"/>
      <c r="K124" s="305"/>
      <c r="L124" s="200"/>
      <c r="M124" s="200"/>
      <c r="N124" s="210"/>
      <c r="O124" s="210"/>
      <c r="P124" s="200"/>
      <c r="Q124" s="200"/>
      <c r="R124" s="200"/>
      <c r="S124" s="200"/>
      <c r="V124" s="211"/>
      <c r="Y124" s="211"/>
      <c r="Z124" s="305"/>
      <c r="AA124" s="211"/>
      <c r="AB124" s="211"/>
      <c r="AC124" s="211"/>
      <c r="AD124" s="211"/>
      <c r="AE124" s="211"/>
      <c r="AF124" s="211"/>
      <c r="AI124" s="211"/>
      <c r="AJ124" s="211"/>
      <c r="AK124" s="212"/>
      <c r="AL124" s="211"/>
      <c r="AM124" s="210"/>
      <c r="AN124" s="210"/>
    </row>
    <row r="125" spans="1:40" x14ac:dyDescent="0.25">
      <c r="T125" s="154"/>
      <c r="V125" s="200"/>
      <c r="Y125" s="200"/>
      <c r="Z125" s="305"/>
      <c r="AA125" s="200"/>
      <c r="AB125" s="200"/>
      <c r="AC125" s="210"/>
      <c r="AD125" s="210"/>
      <c r="AE125" s="200"/>
      <c r="AF125" s="200"/>
      <c r="AG125" s="209"/>
      <c r="AH125" s="210"/>
      <c r="AI125" s="200"/>
      <c r="AJ125" s="200"/>
      <c r="AK125" s="209"/>
      <c r="AL125" s="200"/>
      <c r="AM125" s="210"/>
      <c r="AN125" s="210"/>
    </row>
    <row r="126" spans="1:40" x14ac:dyDescent="0.25">
      <c r="A126" s="202"/>
      <c r="C126" s="154"/>
      <c r="V126" s="211"/>
      <c r="Y126" s="211"/>
      <c r="Z126" s="305"/>
      <c r="AA126" s="211"/>
      <c r="AB126" s="211"/>
      <c r="AC126" s="211"/>
      <c r="AD126" s="211"/>
      <c r="AE126" s="211"/>
      <c r="AF126" s="211"/>
      <c r="AI126" s="211"/>
      <c r="AJ126" s="211"/>
      <c r="AK126" s="212"/>
      <c r="AL126" s="211"/>
      <c r="AM126" s="210"/>
      <c r="AN126" s="210"/>
    </row>
    <row r="127" spans="1:40" x14ac:dyDescent="0.25">
      <c r="A127" s="202"/>
      <c r="C127" s="154"/>
      <c r="F127" s="252"/>
      <c r="H127" s="252"/>
      <c r="I127" s="252"/>
      <c r="J127" s="300"/>
      <c r="K127" s="300"/>
      <c r="L127" s="200"/>
      <c r="M127" s="200"/>
      <c r="N127" s="210"/>
      <c r="O127" s="210"/>
      <c r="P127" s="202"/>
      <c r="Q127" s="202"/>
      <c r="R127" s="200"/>
      <c r="T127" s="154"/>
      <c r="V127" s="252"/>
      <c r="Y127" s="252"/>
      <c r="Z127" s="305"/>
      <c r="AA127" s="200"/>
      <c r="AB127" s="200"/>
      <c r="AC127" s="210"/>
      <c r="AD127" s="210"/>
      <c r="AE127" s="200"/>
      <c r="AF127" s="200"/>
      <c r="AI127" s="200"/>
      <c r="AJ127" s="200"/>
      <c r="AK127" s="209"/>
      <c r="AL127" s="200"/>
      <c r="AM127" s="210"/>
      <c r="AN127" s="210"/>
    </row>
    <row r="128" spans="1:40" x14ac:dyDescent="0.25">
      <c r="A128" s="202"/>
      <c r="C128" s="154"/>
      <c r="F128" s="252"/>
      <c r="H128" s="252"/>
      <c r="I128" s="252"/>
      <c r="J128" s="300"/>
      <c r="K128" s="300"/>
      <c r="L128" s="200"/>
      <c r="M128" s="200"/>
      <c r="N128" s="210"/>
      <c r="O128" s="210"/>
      <c r="P128" s="202"/>
      <c r="Q128" s="202"/>
      <c r="R128" s="200"/>
    </row>
    <row r="129" spans="1:40" x14ac:dyDescent="0.25">
      <c r="A129" s="202"/>
      <c r="C129" s="154"/>
      <c r="F129" s="252"/>
      <c r="H129" s="252"/>
      <c r="I129" s="252"/>
      <c r="J129" s="300"/>
      <c r="K129" s="300"/>
      <c r="L129" s="200"/>
      <c r="M129" s="200"/>
      <c r="N129" s="210"/>
      <c r="O129" s="210"/>
      <c r="P129" s="202"/>
      <c r="Q129" s="202"/>
      <c r="R129" s="200"/>
      <c r="T129" s="154"/>
    </row>
    <row r="130" spans="1:40" x14ac:dyDescent="0.25">
      <c r="F130" s="211"/>
      <c r="H130" s="200"/>
      <c r="I130" s="200"/>
      <c r="J130" s="305"/>
      <c r="K130" s="305"/>
      <c r="L130" s="211"/>
      <c r="M130" s="211"/>
      <c r="N130" s="211"/>
      <c r="O130" s="211"/>
      <c r="P130" s="211"/>
      <c r="Q130" s="211"/>
      <c r="R130" s="211"/>
      <c r="T130" s="154"/>
      <c r="V130" s="200"/>
      <c r="Y130" s="252"/>
      <c r="Z130" s="300"/>
      <c r="AA130" s="200"/>
      <c r="AB130" s="200"/>
      <c r="AC130" s="210"/>
      <c r="AD130" s="210"/>
      <c r="AE130" s="200"/>
      <c r="AF130" s="200"/>
      <c r="AG130" s="325"/>
      <c r="AH130" s="326"/>
      <c r="AI130" s="202"/>
      <c r="AJ130" s="202"/>
      <c r="AK130" s="209"/>
      <c r="AL130" s="200"/>
      <c r="AM130" s="327"/>
      <c r="AN130" s="327"/>
    </row>
    <row r="131" spans="1:40" x14ac:dyDescent="0.25">
      <c r="A131" s="202"/>
      <c r="C131" s="154"/>
      <c r="F131" s="200"/>
      <c r="H131" s="200"/>
      <c r="I131" s="200"/>
      <c r="J131" s="305"/>
      <c r="K131" s="305"/>
      <c r="L131" s="200"/>
      <c r="M131" s="200"/>
      <c r="N131" s="210"/>
      <c r="O131" s="210"/>
      <c r="P131" s="200"/>
      <c r="Q131" s="200"/>
      <c r="R131" s="200"/>
      <c r="T131" s="154"/>
      <c r="V131" s="200"/>
      <c r="Y131" s="252"/>
      <c r="Z131" s="300"/>
      <c r="AA131" s="200"/>
      <c r="AB131" s="200"/>
      <c r="AC131" s="210"/>
      <c r="AD131" s="210"/>
      <c r="AE131" s="200"/>
      <c r="AF131" s="200"/>
      <c r="AG131" s="209"/>
      <c r="AH131" s="201"/>
      <c r="AI131" s="202"/>
      <c r="AJ131" s="202"/>
      <c r="AK131" s="209"/>
      <c r="AL131" s="200"/>
      <c r="AM131" s="210"/>
      <c r="AN131" s="210"/>
    </row>
    <row r="132" spans="1:40" x14ac:dyDescent="0.25">
      <c r="F132" s="211"/>
      <c r="H132" s="200"/>
      <c r="I132" s="200"/>
      <c r="J132" s="305"/>
      <c r="K132" s="305"/>
      <c r="L132" s="211"/>
      <c r="M132" s="211"/>
      <c r="N132" s="211"/>
      <c r="O132" s="211"/>
      <c r="P132" s="211"/>
      <c r="Q132" s="211"/>
      <c r="R132" s="211"/>
      <c r="T132" s="154"/>
      <c r="V132" s="200"/>
      <c r="Y132" s="252"/>
      <c r="Z132" s="300"/>
      <c r="AA132" s="200"/>
      <c r="AB132" s="200"/>
      <c r="AC132" s="210"/>
      <c r="AD132" s="210"/>
      <c r="AE132" s="200"/>
      <c r="AF132" s="200"/>
      <c r="AG132" s="209"/>
      <c r="AH132" s="201"/>
      <c r="AI132" s="202"/>
      <c r="AJ132" s="202"/>
      <c r="AK132" s="209"/>
      <c r="AL132" s="200"/>
      <c r="AM132" s="210"/>
      <c r="AN132" s="210"/>
    </row>
    <row r="133" spans="1:40" x14ac:dyDescent="0.25">
      <c r="A133" s="202"/>
      <c r="C133" s="154"/>
      <c r="F133" s="252"/>
      <c r="H133" s="252"/>
      <c r="I133" s="252"/>
      <c r="J133" s="328"/>
      <c r="K133" s="328"/>
      <c r="L133" s="200"/>
      <c r="M133" s="200"/>
      <c r="N133" s="210"/>
      <c r="O133" s="210"/>
      <c r="P133" s="200"/>
      <c r="Q133" s="200"/>
      <c r="R133" s="200"/>
      <c r="S133" s="200"/>
      <c r="V133" s="211"/>
      <c r="Y133" s="200"/>
      <c r="Z133" s="305"/>
      <c r="AA133" s="211"/>
      <c r="AB133" s="211"/>
      <c r="AC133" s="211"/>
      <c r="AD133" s="211"/>
      <c r="AE133" s="211"/>
      <c r="AF133" s="211"/>
      <c r="AI133" s="211"/>
      <c r="AJ133" s="211"/>
      <c r="AK133" s="212"/>
      <c r="AL133" s="211"/>
      <c r="AM133" s="210"/>
      <c r="AN133" s="210"/>
    </row>
    <row r="134" spans="1:40" x14ac:dyDescent="0.25">
      <c r="A134" s="202"/>
      <c r="C134" s="154"/>
      <c r="F134" s="252"/>
      <c r="H134" s="252"/>
      <c r="I134" s="252"/>
      <c r="J134" s="300"/>
      <c r="K134" s="300"/>
      <c r="L134" s="200"/>
      <c r="M134" s="200"/>
      <c r="N134" s="210"/>
      <c r="O134" s="210"/>
      <c r="P134" s="200"/>
      <c r="Q134" s="200"/>
      <c r="R134" s="200"/>
      <c r="T134" s="154"/>
      <c r="V134" s="200"/>
      <c r="Y134" s="200"/>
      <c r="Z134" s="305"/>
      <c r="AA134" s="200"/>
      <c r="AB134" s="200"/>
      <c r="AC134" s="210"/>
      <c r="AD134" s="210"/>
      <c r="AE134" s="200"/>
      <c r="AF134" s="200"/>
      <c r="AG134" s="209"/>
      <c r="AH134" s="201"/>
      <c r="AI134" s="200"/>
      <c r="AJ134" s="200"/>
      <c r="AK134" s="209"/>
      <c r="AL134" s="200"/>
      <c r="AM134" s="210"/>
      <c r="AN134" s="210"/>
    </row>
    <row r="135" spans="1:40" x14ac:dyDescent="0.25">
      <c r="A135" s="202"/>
      <c r="C135" s="154"/>
      <c r="F135" s="252"/>
      <c r="H135" s="252"/>
      <c r="I135" s="252"/>
      <c r="J135" s="300"/>
      <c r="K135" s="300"/>
      <c r="L135" s="200"/>
      <c r="M135" s="200"/>
      <c r="N135" s="210"/>
      <c r="O135" s="210"/>
      <c r="P135" s="200"/>
      <c r="Q135" s="200"/>
      <c r="R135" s="200"/>
      <c r="V135" s="211"/>
      <c r="Y135" s="200"/>
      <c r="Z135" s="305"/>
      <c r="AA135" s="211"/>
      <c r="AB135" s="211"/>
      <c r="AC135" s="211"/>
      <c r="AD135" s="211"/>
      <c r="AE135" s="211"/>
      <c r="AF135" s="211"/>
      <c r="AI135" s="211"/>
      <c r="AJ135" s="211"/>
      <c r="AK135" s="212"/>
      <c r="AL135" s="211"/>
      <c r="AM135" s="210"/>
      <c r="AN135" s="210"/>
    </row>
    <row r="136" spans="1:40" x14ac:dyDescent="0.25">
      <c r="F136" s="200"/>
      <c r="H136" s="211"/>
      <c r="I136" s="211"/>
      <c r="J136" s="305"/>
      <c r="K136" s="305"/>
      <c r="L136" s="211"/>
      <c r="M136" s="211"/>
      <c r="N136" s="211"/>
      <c r="O136" s="211"/>
      <c r="P136" s="211"/>
      <c r="Q136" s="211"/>
      <c r="R136" s="211"/>
      <c r="T136" s="154"/>
      <c r="V136" s="252"/>
      <c r="Y136" s="252"/>
      <c r="Z136" s="328"/>
      <c r="AA136" s="200"/>
      <c r="AB136" s="200"/>
      <c r="AC136" s="210"/>
      <c r="AD136" s="210"/>
      <c r="AE136" s="200"/>
      <c r="AF136" s="200"/>
      <c r="AG136" s="209"/>
      <c r="AH136" s="210"/>
      <c r="AI136" s="200"/>
      <c r="AJ136" s="200"/>
      <c r="AK136" s="209"/>
      <c r="AL136" s="200"/>
      <c r="AM136" s="210"/>
      <c r="AN136" s="210"/>
    </row>
    <row r="137" spans="1:40" x14ac:dyDescent="0.25">
      <c r="A137" s="202"/>
      <c r="C137" s="154"/>
      <c r="F137" s="200"/>
      <c r="H137" s="200"/>
      <c r="I137" s="200"/>
      <c r="J137" s="305"/>
      <c r="K137" s="305"/>
      <c r="L137" s="200"/>
      <c r="M137" s="200"/>
      <c r="N137" s="210"/>
      <c r="O137" s="210"/>
      <c r="P137" s="200"/>
      <c r="Q137" s="200"/>
      <c r="R137" s="200"/>
      <c r="T137" s="154"/>
      <c r="V137" s="252"/>
      <c r="Y137" s="200"/>
      <c r="Z137" s="300"/>
      <c r="AA137" s="200"/>
      <c r="AB137" s="200"/>
      <c r="AC137" s="210"/>
      <c r="AD137" s="210"/>
      <c r="AE137" s="200"/>
      <c r="AF137" s="200"/>
      <c r="AG137" s="209"/>
      <c r="AH137" s="201"/>
      <c r="AI137" s="200"/>
      <c r="AJ137" s="200"/>
      <c r="AK137" s="209"/>
      <c r="AL137" s="200"/>
      <c r="AM137" s="210"/>
      <c r="AN137" s="210"/>
    </row>
    <row r="138" spans="1:40" x14ac:dyDescent="0.25">
      <c r="F138" s="200"/>
      <c r="H138" s="211"/>
      <c r="I138" s="211"/>
      <c r="J138" s="305"/>
      <c r="K138" s="305"/>
      <c r="L138" s="211"/>
      <c r="M138" s="211"/>
      <c r="N138" s="211"/>
      <c r="O138" s="211"/>
      <c r="P138" s="211"/>
      <c r="Q138" s="211"/>
      <c r="R138" s="211"/>
      <c r="T138" s="154"/>
      <c r="V138" s="252"/>
      <c r="Y138" s="200"/>
      <c r="Z138" s="300"/>
      <c r="AA138" s="200"/>
      <c r="AB138" s="200"/>
      <c r="AC138" s="210"/>
      <c r="AD138" s="210"/>
      <c r="AE138" s="200"/>
      <c r="AF138" s="200"/>
      <c r="AG138" s="209"/>
      <c r="AH138" s="201"/>
      <c r="AI138" s="200"/>
      <c r="AJ138" s="200"/>
      <c r="AK138" s="209"/>
      <c r="AL138" s="200"/>
      <c r="AM138" s="210"/>
      <c r="AN138" s="210"/>
    </row>
    <row r="139" spans="1:40" x14ac:dyDescent="0.25">
      <c r="A139" s="202"/>
      <c r="C139" s="154"/>
      <c r="F139" s="200"/>
      <c r="H139" s="200"/>
      <c r="I139" s="200"/>
      <c r="J139" s="305"/>
      <c r="K139" s="305"/>
      <c r="L139" s="200"/>
      <c r="M139" s="200"/>
      <c r="N139" s="200"/>
      <c r="O139" s="200"/>
      <c r="P139" s="200"/>
      <c r="Q139" s="200"/>
      <c r="R139" s="200"/>
      <c r="V139" s="200"/>
      <c r="Y139" s="211"/>
      <c r="Z139" s="305"/>
      <c r="AA139" s="211"/>
      <c r="AB139" s="211"/>
      <c r="AC139" s="211"/>
      <c r="AD139" s="211"/>
      <c r="AE139" s="211"/>
      <c r="AF139" s="211"/>
      <c r="AI139" s="211"/>
      <c r="AJ139" s="211"/>
      <c r="AK139" s="212"/>
      <c r="AL139" s="211"/>
      <c r="AM139" s="210"/>
      <c r="AN139" s="210"/>
    </row>
    <row r="140" spans="1:40" x14ac:dyDescent="0.25">
      <c r="A140" s="202"/>
      <c r="C140" s="154"/>
      <c r="F140" s="200"/>
      <c r="H140" s="252"/>
      <c r="I140" s="252"/>
      <c r="J140" s="329"/>
      <c r="K140" s="329"/>
      <c r="L140" s="200"/>
      <c r="M140" s="200"/>
      <c r="N140" s="210"/>
      <c r="O140" s="210"/>
      <c r="P140" s="200"/>
      <c r="Q140" s="200"/>
      <c r="R140" s="200"/>
      <c r="T140" s="154"/>
      <c r="V140" s="200"/>
      <c r="Y140" s="200"/>
      <c r="Z140" s="305"/>
      <c r="AA140" s="200"/>
      <c r="AB140" s="200"/>
      <c r="AC140" s="210"/>
      <c r="AD140" s="210"/>
      <c r="AE140" s="200"/>
      <c r="AF140" s="200"/>
      <c r="AG140" s="209"/>
      <c r="AH140" s="201"/>
      <c r="AI140" s="200"/>
      <c r="AJ140" s="200"/>
      <c r="AK140" s="209"/>
      <c r="AL140" s="200"/>
      <c r="AM140" s="210"/>
      <c r="AN140" s="210"/>
    </row>
    <row r="141" spans="1:40" x14ac:dyDescent="0.25">
      <c r="A141" s="202"/>
      <c r="C141" s="154"/>
      <c r="H141" s="252"/>
      <c r="I141" s="252"/>
      <c r="J141" s="329"/>
      <c r="K141" s="329"/>
      <c r="L141" s="200"/>
      <c r="M141" s="200"/>
      <c r="N141" s="210"/>
      <c r="O141" s="210"/>
      <c r="P141" s="200"/>
      <c r="Q141" s="200"/>
      <c r="R141" s="200"/>
      <c r="V141" s="200"/>
      <c r="Y141" s="211"/>
      <c r="Z141" s="305"/>
      <c r="AA141" s="211"/>
      <c r="AB141" s="211"/>
      <c r="AC141" s="211"/>
      <c r="AD141" s="211"/>
      <c r="AE141" s="211"/>
      <c r="AF141" s="211"/>
      <c r="AI141" s="211"/>
      <c r="AJ141" s="211"/>
      <c r="AK141" s="212"/>
      <c r="AL141" s="211"/>
      <c r="AM141" s="210"/>
      <c r="AN141" s="210"/>
    </row>
    <row r="142" spans="1:40" x14ac:dyDescent="0.25">
      <c r="F142" s="200"/>
      <c r="H142" s="200"/>
      <c r="I142" s="200"/>
      <c r="J142" s="305"/>
      <c r="K142" s="305"/>
      <c r="L142" s="211"/>
      <c r="M142" s="211"/>
      <c r="N142" s="211"/>
      <c r="O142" s="211"/>
      <c r="P142" s="211"/>
      <c r="Q142" s="211"/>
      <c r="R142" s="211"/>
      <c r="T142" s="154"/>
      <c r="V142" s="200"/>
      <c r="Y142" s="200"/>
      <c r="Z142" s="305"/>
      <c r="AA142" s="200"/>
      <c r="AB142" s="200"/>
      <c r="AC142" s="200"/>
      <c r="AD142" s="200"/>
      <c r="AE142" s="200"/>
      <c r="AF142" s="200"/>
      <c r="AG142" s="209"/>
      <c r="AH142" s="201"/>
      <c r="AI142" s="200"/>
      <c r="AJ142" s="200"/>
      <c r="AK142" s="209"/>
      <c r="AL142" s="200"/>
      <c r="AM142" s="210"/>
      <c r="AN142" s="210"/>
    </row>
    <row r="143" spans="1:40" x14ac:dyDescent="0.25">
      <c r="A143" s="202"/>
      <c r="C143" s="154"/>
      <c r="F143" s="200"/>
      <c r="H143" s="200"/>
      <c r="I143" s="200"/>
      <c r="J143" s="213"/>
      <c r="K143" s="213"/>
      <c r="L143" s="200"/>
      <c r="M143" s="200"/>
      <c r="N143" s="210"/>
      <c r="O143" s="210"/>
      <c r="P143" s="200"/>
      <c r="Q143" s="200"/>
      <c r="R143" s="200"/>
      <c r="T143" s="154"/>
      <c r="V143" s="200"/>
      <c r="Y143" s="200"/>
      <c r="Z143" s="329"/>
      <c r="AA143" s="200"/>
      <c r="AB143" s="200"/>
      <c r="AC143" s="210"/>
      <c r="AD143" s="210"/>
      <c r="AE143" s="200"/>
      <c r="AF143" s="200"/>
      <c r="AG143" s="209"/>
      <c r="AH143" s="201"/>
      <c r="AI143" s="200"/>
      <c r="AJ143" s="200"/>
      <c r="AK143" s="209"/>
      <c r="AL143" s="200"/>
      <c r="AM143" s="210"/>
      <c r="AN143" s="210"/>
    </row>
    <row r="144" spans="1:40" x14ac:dyDescent="0.25">
      <c r="F144" s="200"/>
      <c r="H144" s="200"/>
      <c r="I144" s="200"/>
      <c r="J144" s="305"/>
      <c r="K144" s="305"/>
      <c r="L144" s="211"/>
      <c r="M144" s="211"/>
      <c r="N144" s="211"/>
      <c r="O144" s="211"/>
      <c r="P144" s="211"/>
      <c r="Q144" s="211"/>
      <c r="R144" s="211"/>
      <c r="T144" s="154"/>
      <c r="Y144" s="200"/>
      <c r="Z144" s="329"/>
      <c r="AA144" s="200"/>
      <c r="AB144" s="200"/>
      <c r="AC144" s="210"/>
      <c r="AD144" s="210"/>
      <c r="AE144" s="200"/>
      <c r="AF144" s="200"/>
      <c r="AG144" s="209"/>
      <c r="AH144" s="201"/>
      <c r="AI144" s="200"/>
      <c r="AJ144" s="200"/>
      <c r="AK144" s="209"/>
      <c r="AL144" s="200"/>
      <c r="AM144" s="210"/>
      <c r="AN144" s="210"/>
    </row>
    <row r="145" spans="1:40" x14ac:dyDescent="0.25">
      <c r="A145" s="202"/>
      <c r="C145" s="154"/>
      <c r="F145" s="200"/>
      <c r="H145" s="200"/>
      <c r="I145" s="200"/>
      <c r="J145" s="213"/>
      <c r="K145" s="213"/>
      <c r="L145" s="200"/>
      <c r="M145" s="200"/>
      <c r="N145" s="210"/>
      <c r="O145" s="210"/>
      <c r="P145" s="200"/>
      <c r="Q145" s="200"/>
      <c r="R145" s="200"/>
      <c r="V145" s="200"/>
      <c r="Y145" s="200"/>
      <c r="Z145" s="305"/>
      <c r="AA145" s="211"/>
      <c r="AB145" s="211"/>
      <c r="AC145" s="211"/>
      <c r="AD145" s="211"/>
      <c r="AE145" s="211"/>
      <c r="AF145" s="211"/>
      <c r="AI145" s="211"/>
      <c r="AJ145" s="211"/>
      <c r="AK145" s="212"/>
      <c r="AL145" s="211"/>
      <c r="AM145" s="210"/>
      <c r="AN145" s="210"/>
    </row>
    <row r="146" spans="1:40" x14ac:dyDescent="0.25">
      <c r="A146" s="202"/>
      <c r="C146" s="154"/>
      <c r="F146" s="252"/>
      <c r="H146" s="252"/>
      <c r="I146" s="252"/>
      <c r="J146" s="320"/>
      <c r="K146" s="320"/>
      <c r="L146" s="200"/>
      <c r="M146" s="200"/>
      <c r="N146" s="210"/>
      <c r="O146" s="210"/>
      <c r="P146" s="200"/>
      <c r="Q146" s="200"/>
      <c r="R146" s="200"/>
      <c r="T146" s="154"/>
      <c r="V146" s="200"/>
      <c r="Y146" s="200"/>
      <c r="Z146" s="213"/>
      <c r="AA146" s="200"/>
      <c r="AB146" s="200"/>
      <c r="AC146" s="210"/>
      <c r="AD146" s="210"/>
      <c r="AE146" s="200"/>
      <c r="AF146" s="200"/>
      <c r="AG146" s="209"/>
      <c r="AH146" s="201"/>
      <c r="AI146" s="200"/>
      <c r="AJ146" s="200"/>
      <c r="AK146" s="209"/>
      <c r="AL146" s="200"/>
      <c r="AM146" s="210"/>
      <c r="AN146" s="210"/>
    </row>
    <row r="147" spans="1:40" x14ac:dyDescent="0.25">
      <c r="F147" s="211"/>
      <c r="H147" s="211"/>
      <c r="I147" s="211"/>
      <c r="J147" s="305"/>
      <c r="K147" s="305"/>
      <c r="L147" s="211"/>
      <c r="M147" s="211"/>
      <c r="N147" s="211"/>
      <c r="O147" s="211"/>
      <c r="P147" s="211"/>
      <c r="Q147" s="211"/>
      <c r="R147" s="211"/>
      <c r="V147" s="200"/>
      <c r="Y147" s="200"/>
      <c r="Z147" s="305"/>
      <c r="AA147" s="211"/>
      <c r="AB147" s="211"/>
      <c r="AC147" s="211"/>
      <c r="AD147" s="211"/>
      <c r="AE147" s="211"/>
      <c r="AF147" s="211"/>
      <c r="AI147" s="211"/>
      <c r="AJ147" s="211"/>
      <c r="AK147" s="212"/>
      <c r="AL147" s="211"/>
      <c r="AM147" s="210"/>
      <c r="AN147" s="210"/>
    </row>
    <row r="148" spans="1:40" x14ac:dyDescent="0.25">
      <c r="A148" s="202"/>
      <c r="C148" s="154"/>
      <c r="F148" s="200"/>
      <c r="H148" s="200"/>
      <c r="I148" s="200"/>
      <c r="J148" s="305"/>
      <c r="K148" s="305"/>
      <c r="L148" s="200"/>
      <c r="M148" s="200"/>
      <c r="N148" s="210"/>
      <c r="O148" s="210"/>
      <c r="P148" s="200"/>
      <c r="Q148" s="200"/>
      <c r="R148" s="200"/>
      <c r="S148" s="200"/>
      <c r="T148" s="154"/>
      <c r="V148" s="200"/>
      <c r="Y148" s="200"/>
      <c r="Z148" s="213"/>
      <c r="AA148" s="200"/>
      <c r="AB148" s="200"/>
      <c r="AC148" s="210"/>
      <c r="AD148" s="210"/>
      <c r="AE148" s="200"/>
      <c r="AF148" s="200"/>
      <c r="AG148" s="209"/>
      <c r="AH148" s="201"/>
      <c r="AI148" s="200"/>
      <c r="AJ148" s="200"/>
      <c r="AK148" s="209"/>
      <c r="AL148" s="200"/>
      <c r="AM148" s="210"/>
      <c r="AN148" s="210"/>
    </row>
    <row r="149" spans="1:40" x14ac:dyDescent="0.25">
      <c r="F149" s="211"/>
      <c r="H149" s="211"/>
      <c r="I149" s="211"/>
      <c r="J149" s="305"/>
      <c r="K149" s="305"/>
      <c r="L149" s="211"/>
      <c r="M149" s="211"/>
      <c r="N149" s="211"/>
      <c r="O149" s="211"/>
      <c r="P149" s="211"/>
      <c r="Q149" s="211"/>
      <c r="R149" s="211"/>
      <c r="S149" s="200"/>
      <c r="T149" s="154"/>
      <c r="V149" s="252"/>
      <c r="Y149" s="200"/>
      <c r="Z149" s="320"/>
      <c r="AA149" s="200"/>
      <c r="AB149" s="200"/>
      <c r="AC149" s="210"/>
      <c r="AD149" s="210"/>
      <c r="AE149" s="200"/>
      <c r="AF149" s="200"/>
      <c r="AG149" s="209"/>
      <c r="AH149" s="201"/>
      <c r="AI149" s="200"/>
      <c r="AJ149" s="200"/>
      <c r="AK149" s="209"/>
      <c r="AL149" s="200"/>
      <c r="AM149" s="210"/>
      <c r="AN149" s="210"/>
    </row>
    <row r="150" spans="1:40" x14ac:dyDescent="0.25">
      <c r="A150" s="202"/>
      <c r="C150" s="154"/>
      <c r="V150" s="211"/>
      <c r="Y150" s="211"/>
      <c r="Z150" s="305"/>
      <c r="AA150" s="211"/>
      <c r="AB150" s="211"/>
      <c r="AC150" s="211"/>
      <c r="AD150" s="211"/>
      <c r="AE150" s="211"/>
      <c r="AF150" s="211"/>
      <c r="AI150" s="211"/>
      <c r="AJ150" s="211"/>
      <c r="AK150" s="212"/>
      <c r="AL150" s="211"/>
      <c r="AM150" s="210"/>
      <c r="AN150" s="210"/>
    </row>
    <row r="151" spans="1:40" x14ac:dyDescent="0.25">
      <c r="A151" s="202"/>
      <c r="C151" s="154"/>
      <c r="F151" s="200"/>
      <c r="H151" s="200"/>
      <c r="I151" s="200"/>
      <c r="L151" s="200"/>
      <c r="M151" s="200"/>
      <c r="N151" s="210"/>
      <c r="O151" s="210"/>
      <c r="P151" s="252"/>
      <c r="Q151" s="252"/>
      <c r="R151" s="200"/>
      <c r="T151" s="154"/>
      <c r="V151" s="200"/>
      <c r="Y151" s="200"/>
      <c r="Z151" s="305"/>
      <c r="AA151" s="200"/>
      <c r="AB151" s="200"/>
      <c r="AC151" s="210"/>
      <c r="AD151" s="210"/>
      <c r="AE151" s="200"/>
      <c r="AF151" s="200"/>
      <c r="AG151" s="209"/>
      <c r="AH151" s="210"/>
      <c r="AI151" s="200"/>
      <c r="AJ151" s="200"/>
      <c r="AK151" s="209"/>
      <c r="AL151" s="200"/>
      <c r="AM151" s="210"/>
      <c r="AN151" s="210"/>
    </row>
    <row r="152" spans="1:40" x14ac:dyDescent="0.25">
      <c r="F152" s="211"/>
      <c r="H152" s="211"/>
      <c r="I152" s="211"/>
      <c r="J152" s="305"/>
      <c r="K152" s="305"/>
      <c r="L152" s="211"/>
      <c r="M152" s="211"/>
      <c r="N152" s="211"/>
      <c r="O152" s="211"/>
      <c r="P152" s="211"/>
      <c r="Q152" s="211"/>
      <c r="R152" s="211"/>
      <c r="V152" s="211"/>
      <c r="Y152" s="211"/>
      <c r="Z152" s="305"/>
      <c r="AA152" s="211"/>
      <c r="AB152" s="211"/>
      <c r="AC152" s="211"/>
      <c r="AD152" s="211"/>
      <c r="AE152" s="211"/>
      <c r="AF152" s="211"/>
      <c r="AI152" s="211"/>
      <c r="AJ152" s="211"/>
      <c r="AK152" s="212"/>
      <c r="AL152" s="211"/>
      <c r="AM152" s="210"/>
      <c r="AN152" s="210"/>
    </row>
    <row r="153" spans="1:40" x14ac:dyDescent="0.25">
      <c r="T153" s="154"/>
    </row>
    <row r="154" spans="1:40" x14ac:dyDescent="0.25">
      <c r="C154" s="154"/>
      <c r="L154" s="200"/>
      <c r="M154" s="200"/>
      <c r="N154" s="200"/>
      <c r="O154" s="200"/>
      <c r="P154" s="200"/>
      <c r="Q154" s="200"/>
      <c r="R154" s="200"/>
      <c r="S154" s="200"/>
      <c r="T154" s="154"/>
      <c r="V154" s="200"/>
      <c r="Y154" s="200"/>
      <c r="AA154" s="200"/>
      <c r="AB154" s="200"/>
      <c r="AC154" s="210"/>
      <c r="AD154" s="210"/>
      <c r="AE154" s="200"/>
      <c r="AF154" s="200"/>
      <c r="AG154" s="209"/>
      <c r="AH154" s="210"/>
      <c r="AI154" s="252"/>
      <c r="AJ154" s="252"/>
      <c r="AK154" s="209"/>
      <c r="AL154" s="200"/>
      <c r="AM154" s="210"/>
      <c r="AN154" s="210"/>
    </row>
    <row r="155" spans="1:40" x14ac:dyDescent="0.25">
      <c r="A155" s="154"/>
      <c r="V155" s="211"/>
      <c r="Y155" s="211"/>
      <c r="Z155" s="305"/>
      <c r="AA155" s="211"/>
      <c r="AB155" s="211"/>
      <c r="AC155" s="211"/>
      <c r="AD155" s="211"/>
      <c r="AE155" s="211"/>
      <c r="AF155" s="211"/>
      <c r="AI155" s="211"/>
      <c r="AJ155" s="211"/>
      <c r="AK155" s="212"/>
      <c r="AL155" s="211"/>
    </row>
    <row r="156" spans="1:40" x14ac:dyDescent="0.25">
      <c r="J156" s="202"/>
      <c r="K156" s="202"/>
    </row>
    <row r="157" spans="1:40" x14ac:dyDescent="0.25">
      <c r="H157" s="154"/>
      <c r="I157" s="154"/>
      <c r="T157" s="154"/>
      <c r="AA157" s="200"/>
      <c r="AB157" s="200"/>
      <c r="AC157" s="200"/>
      <c r="AD157" s="200"/>
      <c r="AI157" s="200"/>
      <c r="AJ157" s="200"/>
      <c r="AK157" s="209"/>
      <c r="AL157" s="200"/>
    </row>
    <row r="158" spans="1:40" x14ac:dyDescent="0.25">
      <c r="J158" s="202"/>
      <c r="K158" s="202"/>
    </row>
    <row r="159" spans="1:40" x14ac:dyDescent="0.25">
      <c r="L159" s="154"/>
      <c r="M159" s="154"/>
      <c r="Z159" s="202"/>
    </row>
    <row r="160" spans="1:40" x14ac:dyDescent="0.25">
      <c r="A160" s="202"/>
      <c r="R160" s="154"/>
      <c r="Y160" s="154"/>
    </row>
    <row r="161" spans="1:40" x14ac:dyDescent="0.25">
      <c r="A161" s="202"/>
      <c r="R161" s="154"/>
      <c r="Z161" s="202"/>
    </row>
    <row r="162" spans="1:40" x14ac:dyDescent="0.25">
      <c r="A162" s="154"/>
      <c r="R162" s="154"/>
      <c r="AK162" s="297"/>
      <c r="AL162" s="154"/>
    </row>
    <row r="163" spans="1:40" x14ac:dyDescent="0.25">
      <c r="L163" s="154"/>
      <c r="M163" s="154"/>
      <c r="R163" s="202"/>
      <c r="AA163" s="154"/>
      <c r="AB163" s="154"/>
      <c r="AK163" s="209"/>
      <c r="AL163" s="202"/>
    </row>
    <row r="164" spans="1:40" x14ac:dyDescent="0.25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208"/>
      <c r="AH164" s="102"/>
      <c r="AI164" s="102"/>
      <c r="AJ164" s="102"/>
      <c r="AK164" s="208"/>
      <c r="AL164" s="102"/>
      <c r="AM164" s="102"/>
      <c r="AN164" s="102"/>
    </row>
    <row r="165" spans="1:40" x14ac:dyDescent="0.25">
      <c r="L165" s="103"/>
      <c r="M165" s="103"/>
      <c r="N165" s="103"/>
      <c r="O165" s="103"/>
      <c r="R165" s="103"/>
      <c r="AA165" s="103"/>
      <c r="AB165" s="103"/>
      <c r="AC165" s="103"/>
      <c r="AD165" s="103"/>
      <c r="AE165" s="103"/>
      <c r="AF165" s="103"/>
      <c r="AG165" s="185"/>
      <c r="AH165" s="103"/>
      <c r="AK165" s="185"/>
      <c r="AL165" s="103"/>
      <c r="AM165" s="103"/>
      <c r="AN165" s="103"/>
    </row>
    <row r="166" spans="1:40" x14ac:dyDescent="0.25">
      <c r="L166" s="103"/>
      <c r="M166" s="103"/>
      <c r="N166" s="103"/>
      <c r="O166" s="103"/>
      <c r="R166" s="103"/>
      <c r="Z166" s="103"/>
      <c r="AA166" s="103"/>
      <c r="AB166" s="103"/>
      <c r="AC166" s="103"/>
      <c r="AD166" s="103"/>
      <c r="AE166" s="103"/>
      <c r="AF166" s="103"/>
      <c r="AG166" s="185"/>
      <c r="AH166" s="103"/>
      <c r="AK166" s="185"/>
      <c r="AL166" s="103"/>
      <c r="AM166" s="103"/>
      <c r="AN166" s="103"/>
    </row>
    <row r="167" spans="1:40" x14ac:dyDescent="0.25">
      <c r="A167" s="103"/>
      <c r="C167" s="103"/>
      <c r="D167" s="103"/>
      <c r="E167" s="103"/>
      <c r="F167" s="103"/>
      <c r="J167" s="103"/>
      <c r="K167" s="103"/>
      <c r="L167" s="103"/>
      <c r="M167" s="103"/>
      <c r="N167" s="103"/>
      <c r="O167" s="103"/>
      <c r="P167" s="103"/>
      <c r="Q167" s="103"/>
      <c r="R167" s="103"/>
      <c r="T167" s="103"/>
      <c r="U167" s="103"/>
      <c r="V167" s="103"/>
      <c r="Z167" s="103"/>
      <c r="AA167" s="103"/>
      <c r="AB167" s="103"/>
      <c r="AC167" s="103"/>
      <c r="AD167" s="103"/>
      <c r="AE167" s="103"/>
      <c r="AF167" s="103"/>
      <c r="AG167" s="185"/>
      <c r="AH167" s="103"/>
      <c r="AI167" s="103"/>
      <c r="AJ167" s="103"/>
      <c r="AK167" s="185"/>
      <c r="AL167" s="103"/>
      <c r="AM167" s="103"/>
      <c r="AN167" s="103"/>
    </row>
    <row r="168" spans="1:40" x14ac:dyDescent="0.25">
      <c r="A168" s="103"/>
      <c r="C168" s="103"/>
      <c r="D168" s="103"/>
      <c r="E168" s="103"/>
      <c r="F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T168" s="103"/>
      <c r="U168" s="103"/>
      <c r="V168" s="103"/>
      <c r="Y168" s="103"/>
      <c r="Z168" s="103"/>
      <c r="AA168" s="103"/>
      <c r="AB168" s="103"/>
      <c r="AC168" s="103"/>
      <c r="AD168" s="103"/>
      <c r="AE168" s="103"/>
      <c r="AF168" s="103"/>
      <c r="AG168" s="185"/>
      <c r="AH168" s="103"/>
      <c r="AI168" s="103"/>
      <c r="AJ168" s="103"/>
      <c r="AK168" s="185"/>
      <c r="AL168" s="103"/>
      <c r="AM168" s="103"/>
      <c r="AN168" s="103"/>
    </row>
    <row r="169" spans="1:40" x14ac:dyDescent="0.25">
      <c r="C169" s="103"/>
      <c r="D169" s="103"/>
      <c r="E169" s="103"/>
      <c r="F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T169" s="103"/>
      <c r="U169" s="103"/>
      <c r="V169" s="103"/>
      <c r="Y169" s="103"/>
      <c r="Z169" s="103"/>
      <c r="AA169" s="103"/>
      <c r="AB169" s="103"/>
      <c r="AC169" s="103"/>
      <c r="AD169" s="103"/>
      <c r="AE169" s="103"/>
      <c r="AF169" s="103"/>
      <c r="AG169" s="185"/>
      <c r="AH169" s="103"/>
      <c r="AI169" s="103"/>
      <c r="AJ169" s="103"/>
      <c r="AK169" s="185"/>
      <c r="AL169" s="103"/>
      <c r="AM169" s="103"/>
      <c r="AN169" s="103"/>
    </row>
    <row r="170" spans="1:40" x14ac:dyDescent="0.2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208"/>
      <c r="AH170" s="102"/>
      <c r="AI170" s="102"/>
      <c r="AJ170" s="102"/>
      <c r="AK170" s="208"/>
      <c r="AL170" s="102"/>
      <c r="AM170" s="102"/>
      <c r="AN170" s="102"/>
    </row>
    <row r="171" spans="1:40" x14ac:dyDescent="0.25"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Y171" s="103"/>
      <c r="Z171" s="103"/>
      <c r="AA171" s="103"/>
      <c r="AB171" s="103"/>
      <c r="AC171" s="103"/>
      <c r="AD171" s="103"/>
      <c r="AE171" s="103"/>
      <c r="AF171" s="103"/>
      <c r="AG171" s="185"/>
      <c r="AH171" s="103"/>
      <c r="AI171" s="103"/>
      <c r="AJ171" s="103"/>
      <c r="AK171" s="185"/>
      <c r="AL171" s="103"/>
      <c r="AM171" s="103"/>
      <c r="AN171" s="103"/>
    </row>
    <row r="172" spans="1:40" x14ac:dyDescent="0.25">
      <c r="A172" s="202"/>
      <c r="C172" s="154"/>
      <c r="D172" s="154"/>
      <c r="E172" s="154"/>
      <c r="T172" s="154"/>
      <c r="U172" s="154"/>
    </row>
    <row r="173" spans="1:40" x14ac:dyDescent="0.25">
      <c r="A173" s="202"/>
      <c r="D173" s="154"/>
      <c r="E173" s="154"/>
      <c r="U173" s="154"/>
    </row>
    <row r="175" spans="1:40" x14ac:dyDescent="0.25">
      <c r="A175" s="202"/>
      <c r="C175" s="154"/>
      <c r="F175" s="252"/>
      <c r="H175" s="252"/>
      <c r="I175" s="252"/>
      <c r="J175" s="300"/>
      <c r="K175" s="300"/>
      <c r="L175" s="200"/>
      <c r="M175" s="200"/>
      <c r="N175" s="210"/>
      <c r="O175" s="210"/>
      <c r="R175" s="200"/>
      <c r="T175" s="154"/>
      <c r="V175" s="200"/>
      <c r="Y175" s="252"/>
      <c r="Z175" s="300"/>
      <c r="AA175" s="200"/>
      <c r="AB175" s="200"/>
      <c r="AC175" s="210"/>
      <c r="AD175" s="210"/>
      <c r="AE175" s="200"/>
      <c r="AF175" s="200"/>
      <c r="AG175" s="325"/>
      <c r="AH175" s="326"/>
      <c r="AK175" s="209"/>
      <c r="AL175" s="200"/>
      <c r="AM175" s="327"/>
      <c r="AN175" s="327"/>
    </row>
    <row r="176" spans="1:40" x14ac:dyDescent="0.25">
      <c r="A176" s="202"/>
      <c r="C176" s="154"/>
      <c r="F176" s="252"/>
      <c r="H176" s="252"/>
      <c r="I176" s="252"/>
      <c r="J176" s="300"/>
      <c r="K176" s="300"/>
      <c r="L176" s="200"/>
      <c r="M176" s="200"/>
      <c r="N176" s="210"/>
      <c r="O176" s="210"/>
      <c r="P176" s="202"/>
      <c r="Q176" s="202"/>
      <c r="R176" s="200"/>
      <c r="T176" s="154"/>
      <c r="V176" s="200"/>
      <c r="Y176" s="252"/>
      <c r="Z176" s="300"/>
      <c r="AA176" s="200"/>
      <c r="AB176" s="200"/>
      <c r="AC176" s="210"/>
      <c r="AD176" s="210"/>
      <c r="AE176" s="200"/>
      <c r="AF176" s="200"/>
      <c r="AG176" s="209"/>
      <c r="AH176" s="201"/>
      <c r="AI176" s="202"/>
      <c r="AJ176" s="202"/>
      <c r="AK176" s="209"/>
      <c r="AL176" s="200"/>
      <c r="AM176" s="210"/>
      <c r="AN176" s="210"/>
    </row>
    <row r="177" spans="1:40" x14ac:dyDescent="0.25">
      <c r="F177" s="211"/>
      <c r="H177" s="200"/>
      <c r="I177" s="200"/>
      <c r="J177" s="305"/>
      <c r="K177" s="305"/>
      <c r="L177" s="211"/>
      <c r="M177" s="211"/>
      <c r="N177" s="211"/>
      <c r="O177" s="211"/>
      <c r="P177" s="211"/>
      <c r="Q177" s="211"/>
      <c r="R177" s="211"/>
      <c r="V177" s="211"/>
      <c r="Y177" s="200"/>
      <c r="Z177" s="305"/>
      <c r="AA177" s="211"/>
      <c r="AB177" s="211"/>
      <c r="AC177" s="211"/>
      <c r="AD177" s="211"/>
      <c r="AE177" s="211"/>
      <c r="AF177" s="211"/>
      <c r="AI177" s="211"/>
      <c r="AJ177" s="211"/>
      <c r="AK177" s="212"/>
      <c r="AL177" s="211"/>
      <c r="AM177" s="210"/>
      <c r="AN177" s="210"/>
    </row>
    <row r="178" spans="1:40" x14ac:dyDescent="0.25">
      <c r="A178" s="202"/>
      <c r="C178" s="154"/>
      <c r="F178" s="200"/>
      <c r="H178" s="200"/>
      <c r="I178" s="200"/>
      <c r="J178" s="305"/>
      <c r="K178" s="305"/>
      <c r="L178" s="200"/>
      <c r="M178" s="200"/>
      <c r="N178" s="210"/>
      <c r="O178" s="210"/>
      <c r="P178" s="200"/>
      <c r="Q178" s="200"/>
      <c r="R178" s="200"/>
      <c r="T178" s="154"/>
      <c r="V178" s="200"/>
      <c r="Y178" s="200"/>
      <c r="Z178" s="213"/>
      <c r="AA178" s="200"/>
      <c r="AB178" s="200"/>
      <c r="AC178" s="210"/>
      <c r="AD178" s="210"/>
      <c r="AE178" s="200"/>
      <c r="AF178" s="200"/>
      <c r="AG178" s="209"/>
      <c r="AH178" s="201"/>
      <c r="AI178" s="200"/>
      <c r="AJ178" s="200"/>
      <c r="AK178" s="209"/>
      <c r="AL178" s="200"/>
      <c r="AM178" s="210"/>
      <c r="AN178" s="210"/>
    </row>
    <row r="179" spans="1:40" x14ac:dyDescent="0.25">
      <c r="F179" s="211"/>
      <c r="H179" s="200"/>
      <c r="I179" s="200"/>
      <c r="J179" s="305"/>
      <c r="K179" s="305"/>
      <c r="L179" s="211"/>
      <c r="M179" s="211"/>
      <c r="N179" s="211"/>
      <c r="O179" s="211"/>
      <c r="P179" s="211"/>
      <c r="Q179" s="211"/>
      <c r="R179" s="211"/>
      <c r="V179" s="211"/>
      <c r="Y179" s="200"/>
      <c r="Z179" s="305"/>
      <c r="AA179" s="211"/>
      <c r="AB179" s="211"/>
      <c r="AC179" s="211"/>
      <c r="AD179" s="211"/>
      <c r="AE179" s="211"/>
      <c r="AF179" s="211"/>
      <c r="AI179" s="211"/>
      <c r="AJ179" s="211"/>
      <c r="AK179" s="212"/>
      <c r="AL179" s="211"/>
      <c r="AM179" s="210"/>
      <c r="AN179" s="210"/>
    </row>
    <row r="180" spans="1:40" x14ac:dyDescent="0.25">
      <c r="F180" s="200"/>
      <c r="H180" s="200"/>
      <c r="I180" s="200"/>
      <c r="J180" s="305"/>
      <c r="K180" s="305"/>
      <c r="L180" s="200"/>
      <c r="M180" s="200"/>
      <c r="N180" s="210"/>
      <c r="O180" s="210"/>
      <c r="P180" s="200"/>
      <c r="Q180" s="200"/>
      <c r="R180" s="200"/>
      <c r="V180" s="200"/>
      <c r="Y180" s="200"/>
      <c r="Z180" s="213"/>
      <c r="AA180" s="200"/>
      <c r="AB180" s="200"/>
      <c r="AC180" s="210"/>
      <c r="AD180" s="210"/>
      <c r="AE180" s="200"/>
      <c r="AF180" s="200"/>
      <c r="AG180" s="209"/>
      <c r="AH180" s="201"/>
      <c r="AI180" s="200"/>
      <c r="AJ180" s="200"/>
      <c r="AK180" s="209"/>
      <c r="AL180" s="200"/>
      <c r="AM180" s="210"/>
      <c r="AN180" s="210"/>
    </row>
    <row r="181" spans="1:40" x14ac:dyDescent="0.25">
      <c r="A181" s="202"/>
      <c r="C181" s="154"/>
      <c r="F181" s="252"/>
      <c r="H181" s="252"/>
      <c r="I181" s="252"/>
      <c r="J181" s="300"/>
      <c r="K181" s="300"/>
      <c r="L181" s="200"/>
      <c r="M181" s="200"/>
      <c r="N181" s="210"/>
      <c r="O181" s="210"/>
      <c r="P181" s="200"/>
      <c r="Q181" s="200"/>
      <c r="R181" s="200"/>
      <c r="T181" s="154"/>
      <c r="V181" s="252"/>
      <c r="Y181" s="200"/>
      <c r="Z181" s="300"/>
      <c r="AA181" s="200"/>
      <c r="AB181" s="200"/>
      <c r="AC181" s="210"/>
      <c r="AD181" s="210"/>
      <c r="AE181" s="200"/>
      <c r="AF181" s="200"/>
      <c r="AG181" s="325"/>
      <c r="AH181" s="326"/>
      <c r="AI181" s="200"/>
      <c r="AJ181" s="200"/>
      <c r="AK181" s="209"/>
      <c r="AL181" s="200"/>
      <c r="AM181" s="327"/>
      <c r="AN181" s="327"/>
    </row>
    <row r="182" spans="1:40" x14ac:dyDescent="0.25">
      <c r="A182" s="202"/>
      <c r="C182" s="154"/>
      <c r="F182" s="252"/>
      <c r="H182" s="252"/>
      <c r="I182" s="252"/>
      <c r="J182" s="300"/>
      <c r="K182" s="300"/>
      <c r="L182" s="200"/>
      <c r="M182" s="200"/>
      <c r="N182" s="210"/>
      <c r="O182" s="210"/>
      <c r="P182" s="200"/>
      <c r="Q182" s="200"/>
      <c r="R182" s="200"/>
      <c r="T182" s="154"/>
      <c r="V182" s="252"/>
      <c r="Y182" s="200"/>
      <c r="Z182" s="300"/>
      <c r="AA182" s="200"/>
      <c r="AB182" s="200"/>
      <c r="AC182" s="210"/>
      <c r="AD182" s="210"/>
      <c r="AE182" s="200"/>
      <c r="AF182" s="200"/>
      <c r="AG182" s="209"/>
      <c r="AH182" s="201"/>
      <c r="AI182" s="200"/>
      <c r="AJ182" s="200"/>
      <c r="AK182" s="209"/>
      <c r="AL182" s="200"/>
      <c r="AM182" s="210"/>
      <c r="AN182" s="210"/>
    </row>
    <row r="183" spans="1:40" x14ac:dyDescent="0.25">
      <c r="F183" s="200"/>
      <c r="H183" s="211"/>
      <c r="I183" s="211"/>
      <c r="J183" s="305"/>
      <c r="K183" s="305"/>
      <c r="L183" s="211"/>
      <c r="M183" s="211"/>
      <c r="N183" s="211"/>
      <c r="O183" s="211"/>
      <c r="P183" s="211"/>
      <c r="Q183" s="211"/>
      <c r="R183" s="211"/>
      <c r="V183" s="200"/>
      <c r="Y183" s="211"/>
      <c r="Z183" s="305"/>
      <c r="AA183" s="211"/>
      <c r="AB183" s="211"/>
      <c r="AC183" s="211"/>
      <c r="AD183" s="211"/>
      <c r="AE183" s="211"/>
      <c r="AF183" s="211"/>
      <c r="AI183" s="211"/>
      <c r="AJ183" s="211"/>
      <c r="AK183" s="212"/>
      <c r="AL183" s="211"/>
      <c r="AM183" s="210"/>
      <c r="AN183" s="210"/>
    </row>
    <row r="184" spans="1:40" x14ac:dyDescent="0.25">
      <c r="A184" s="202"/>
      <c r="C184" s="154"/>
      <c r="F184" s="200"/>
      <c r="H184" s="200"/>
      <c r="I184" s="200"/>
      <c r="J184" s="305"/>
      <c r="K184" s="305"/>
      <c r="L184" s="200"/>
      <c r="M184" s="200"/>
      <c r="N184" s="210"/>
      <c r="O184" s="210"/>
      <c r="P184" s="200"/>
      <c r="Q184" s="200"/>
      <c r="R184" s="200"/>
      <c r="T184" s="154"/>
      <c r="V184" s="200"/>
      <c r="Y184" s="200"/>
      <c r="Z184" s="305"/>
      <c r="AA184" s="200"/>
      <c r="AB184" s="200"/>
      <c r="AC184" s="210"/>
      <c r="AD184" s="210"/>
      <c r="AE184" s="200"/>
      <c r="AF184" s="200"/>
      <c r="AG184" s="209"/>
      <c r="AH184" s="201"/>
      <c r="AI184" s="200"/>
      <c r="AJ184" s="200"/>
      <c r="AK184" s="209"/>
      <c r="AL184" s="200"/>
      <c r="AM184" s="210"/>
      <c r="AN184" s="210"/>
    </row>
    <row r="185" spans="1:40" x14ac:dyDescent="0.25">
      <c r="F185" s="200"/>
      <c r="H185" s="211"/>
      <c r="I185" s="211"/>
      <c r="J185" s="305"/>
      <c r="K185" s="305"/>
      <c r="L185" s="211"/>
      <c r="M185" s="211"/>
      <c r="N185" s="211"/>
      <c r="O185" s="211"/>
      <c r="P185" s="211"/>
      <c r="Q185" s="211"/>
      <c r="R185" s="211"/>
      <c r="V185" s="200"/>
      <c r="Y185" s="211"/>
      <c r="Z185" s="305"/>
      <c r="AA185" s="211"/>
      <c r="AB185" s="211"/>
      <c r="AC185" s="211"/>
      <c r="AD185" s="211"/>
      <c r="AE185" s="211"/>
      <c r="AF185" s="211"/>
      <c r="AI185" s="211"/>
      <c r="AJ185" s="211"/>
      <c r="AK185" s="212"/>
      <c r="AL185" s="211"/>
      <c r="AM185" s="210"/>
      <c r="AN185" s="210"/>
    </row>
    <row r="186" spans="1:40" x14ac:dyDescent="0.25">
      <c r="F186" s="200"/>
      <c r="H186" s="200"/>
      <c r="I186" s="200"/>
      <c r="J186" s="305"/>
      <c r="K186" s="305"/>
      <c r="L186" s="200"/>
      <c r="M186" s="200"/>
      <c r="N186" s="200"/>
      <c r="O186" s="200"/>
      <c r="P186" s="200"/>
      <c r="Q186" s="200"/>
      <c r="R186" s="200"/>
      <c r="V186" s="200"/>
      <c r="Y186" s="200"/>
      <c r="Z186" s="305"/>
      <c r="AA186" s="200"/>
      <c r="AB186" s="200"/>
      <c r="AC186" s="200"/>
      <c r="AD186" s="200"/>
      <c r="AE186" s="200"/>
      <c r="AF186" s="200"/>
      <c r="AG186" s="209"/>
      <c r="AH186" s="201"/>
      <c r="AI186" s="200"/>
      <c r="AJ186" s="200"/>
      <c r="AK186" s="209"/>
      <c r="AL186" s="200"/>
      <c r="AM186" s="210"/>
      <c r="AN186" s="210"/>
    </row>
    <row r="187" spans="1:40" x14ac:dyDescent="0.25">
      <c r="A187" s="202"/>
      <c r="C187" s="154"/>
      <c r="F187" s="252"/>
      <c r="H187" s="252"/>
      <c r="I187" s="252"/>
      <c r="J187" s="320"/>
      <c r="K187" s="320"/>
      <c r="L187" s="200"/>
      <c r="M187" s="200"/>
      <c r="N187" s="210"/>
      <c r="O187" s="210"/>
      <c r="P187" s="252"/>
      <c r="Q187" s="252"/>
      <c r="R187" s="200"/>
      <c r="T187" s="154"/>
      <c r="V187" s="252"/>
      <c r="Y187" s="252"/>
      <c r="Z187" s="328"/>
      <c r="AA187" s="200"/>
      <c r="AB187" s="200"/>
      <c r="AC187" s="210"/>
      <c r="AD187" s="210"/>
      <c r="AE187" s="200"/>
      <c r="AF187" s="200"/>
      <c r="AG187" s="209"/>
      <c r="AH187" s="201"/>
      <c r="AI187" s="252"/>
      <c r="AJ187" s="252"/>
      <c r="AK187" s="209"/>
      <c r="AL187" s="200"/>
      <c r="AM187" s="210"/>
      <c r="AN187" s="210"/>
    </row>
    <row r="188" spans="1:40" x14ac:dyDescent="0.25">
      <c r="A188" s="202"/>
      <c r="C188" s="154"/>
      <c r="F188" s="252"/>
      <c r="H188" s="252"/>
      <c r="I188" s="252"/>
      <c r="J188" s="320"/>
      <c r="K188" s="320"/>
      <c r="L188" s="200"/>
      <c r="M188" s="200"/>
      <c r="N188" s="210"/>
      <c r="O188" s="210"/>
      <c r="P188" s="252"/>
      <c r="Q188" s="252"/>
      <c r="R188" s="200"/>
      <c r="T188" s="154"/>
      <c r="V188" s="252"/>
      <c r="Y188" s="200"/>
      <c r="Z188" s="304"/>
      <c r="AA188" s="200"/>
      <c r="AB188" s="200"/>
      <c r="AC188" s="210"/>
      <c r="AD188" s="210"/>
      <c r="AE188" s="200"/>
      <c r="AF188" s="200"/>
      <c r="AG188" s="209"/>
      <c r="AH188" s="201"/>
      <c r="AI188" s="252"/>
      <c r="AJ188" s="252"/>
      <c r="AK188" s="209"/>
      <c r="AL188" s="200"/>
      <c r="AM188" s="210"/>
      <c r="AN188" s="210"/>
    </row>
    <row r="189" spans="1:40" x14ac:dyDescent="0.25">
      <c r="A189" s="202"/>
      <c r="C189" s="154"/>
      <c r="F189" s="252"/>
      <c r="H189" s="252"/>
      <c r="I189" s="252"/>
      <c r="J189" s="320"/>
      <c r="K189" s="320"/>
      <c r="L189" s="200"/>
      <c r="M189" s="200"/>
      <c r="N189" s="210"/>
      <c r="O189" s="210"/>
      <c r="P189" s="252"/>
      <c r="Q189" s="252"/>
      <c r="R189" s="200"/>
      <c r="T189" s="154"/>
      <c r="V189" s="252"/>
      <c r="Y189" s="200"/>
      <c r="Z189" s="304"/>
      <c r="AA189" s="200"/>
      <c r="AB189" s="200"/>
      <c r="AC189" s="210"/>
      <c r="AD189" s="210"/>
      <c r="AE189" s="200"/>
      <c r="AF189" s="200"/>
      <c r="AG189" s="209"/>
      <c r="AH189" s="201"/>
      <c r="AI189" s="252"/>
      <c r="AJ189" s="252"/>
      <c r="AK189" s="209"/>
      <c r="AL189" s="200"/>
      <c r="AM189" s="210"/>
      <c r="AN189" s="210"/>
    </row>
    <row r="190" spans="1:40" x14ac:dyDescent="0.25">
      <c r="F190" s="211"/>
      <c r="H190" s="211"/>
      <c r="I190" s="211"/>
      <c r="J190" s="305"/>
      <c r="K190" s="305"/>
      <c r="L190" s="211"/>
      <c r="M190" s="211"/>
      <c r="N190" s="211"/>
      <c r="O190" s="211"/>
      <c r="P190" s="211"/>
      <c r="Q190" s="211"/>
      <c r="R190" s="211"/>
      <c r="V190" s="211"/>
      <c r="Y190" s="211"/>
      <c r="Z190" s="305"/>
      <c r="AA190" s="211"/>
      <c r="AB190" s="211"/>
      <c r="AC190" s="211"/>
      <c r="AD190" s="211"/>
      <c r="AE190" s="211"/>
      <c r="AF190" s="211"/>
      <c r="AI190" s="211"/>
      <c r="AJ190" s="211"/>
      <c r="AK190" s="212"/>
      <c r="AL190" s="211"/>
      <c r="AM190" s="210"/>
      <c r="AN190" s="210"/>
    </row>
    <row r="191" spans="1:40" x14ac:dyDescent="0.25">
      <c r="A191" s="202"/>
      <c r="C191" s="154"/>
      <c r="F191" s="200"/>
      <c r="H191" s="200"/>
      <c r="I191" s="200"/>
      <c r="J191" s="213"/>
      <c r="K191" s="213"/>
      <c r="L191" s="200"/>
      <c r="M191" s="200"/>
      <c r="N191" s="210"/>
      <c r="O191" s="210"/>
      <c r="P191" s="200"/>
      <c r="Q191" s="200"/>
      <c r="R191" s="200"/>
      <c r="T191" s="154"/>
      <c r="V191" s="200"/>
      <c r="Y191" s="200"/>
      <c r="Z191" s="213"/>
      <c r="AA191" s="200"/>
      <c r="AB191" s="200"/>
      <c r="AC191" s="210"/>
      <c r="AD191" s="210"/>
      <c r="AE191" s="200"/>
      <c r="AF191" s="200"/>
      <c r="AG191" s="209"/>
      <c r="AH191" s="201"/>
      <c r="AI191" s="200"/>
      <c r="AJ191" s="200"/>
      <c r="AK191" s="209"/>
      <c r="AL191" s="200"/>
      <c r="AM191" s="210"/>
      <c r="AN191" s="210"/>
    </row>
    <row r="192" spans="1:40" x14ac:dyDescent="0.25">
      <c r="F192" s="211"/>
      <c r="H192" s="211"/>
      <c r="I192" s="211"/>
      <c r="J192" s="305"/>
      <c r="K192" s="305"/>
      <c r="L192" s="211"/>
      <c r="M192" s="211"/>
      <c r="N192" s="211"/>
      <c r="O192" s="211"/>
      <c r="P192" s="211"/>
      <c r="Q192" s="211"/>
      <c r="R192" s="211"/>
      <c r="V192" s="211"/>
      <c r="Y192" s="211"/>
      <c r="Z192" s="305"/>
      <c r="AA192" s="211"/>
      <c r="AB192" s="211"/>
      <c r="AC192" s="211"/>
      <c r="AD192" s="211"/>
      <c r="AE192" s="211"/>
      <c r="AF192" s="211"/>
      <c r="AI192" s="211"/>
      <c r="AJ192" s="211"/>
      <c r="AK192" s="212"/>
      <c r="AL192" s="211"/>
      <c r="AM192" s="210"/>
      <c r="AN192" s="210"/>
    </row>
    <row r="193" spans="1:40" x14ac:dyDescent="0.25">
      <c r="A193" s="202"/>
      <c r="C193" s="154"/>
      <c r="F193" s="200"/>
      <c r="H193" s="200"/>
      <c r="I193" s="200"/>
      <c r="J193" s="213"/>
      <c r="K193" s="213"/>
      <c r="L193" s="200"/>
      <c r="M193" s="200"/>
      <c r="N193" s="210"/>
      <c r="O193" s="210"/>
      <c r="P193" s="200"/>
      <c r="Q193" s="200"/>
      <c r="R193" s="200"/>
      <c r="T193" s="154"/>
      <c r="V193" s="200"/>
      <c r="Y193" s="200"/>
      <c r="Z193" s="213"/>
      <c r="AA193" s="200"/>
      <c r="AB193" s="200"/>
      <c r="AC193" s="210"/>
      <c r="AD193" s="210"/>
      <c r="AE193" s="200"/>
      <c r="AF193" s="200"/>
      <c r="AG193" s="209"/>
      <c r="AH193" s="201"/>
      <c r="AI193" s="200"/>
      <c r="AJ193" s="200"/>
      <c r="AK193" s="209"/>
      <c r="AL193" s="200"/>
      <c r="AM193" s="210"/>
      <c r="AN193" s="210"/>
    </row>
    <row r="194" spans="1:40" x14ac:dyDescent="0.25">
      <c r="A194" s="202"/>
      <c r="C194" s="154"/>
      <c r="F194" s="200"/>
      <c r="H194" s="200"/>
      <c r="I194" s="200"/>
      <c r="J194" s="213"/>
      <c r="K194" s="213"/>
      <c r="L194" s="200"/>
      <c r="M194" s="200"/>
      <c r="N194" s="210"/>
      <c r="O194" s="210"/>
      <c r="P194" s="200"/>
      <c r="Q194" s="200"/>
      <c r="R194" s="200"/>
      <c r="T194" s="154"/>
      <c r="V194" s="200"/>
      <c r="Y194" s="200"/>
      <c r="Z194" s="213"/>
      <c r="AA194" s="200"/>
      <c r="AB194" s="200"/>
      <c r="AC194" s="210"/>
      <c r="AD194" s="210"/>
      <c r="AE194" s="200"/>
      <c r="AF194" s="200"/>
      <c r="AG194" s="209"/>
      <c r="AH194" s="201"/>
      <c r="AI194" s="200"/>
      <c r="AJ194" s="200"/>
      <c r="AK194" s="209"/>
      <c r="AL194" s="200"/>
      <c r="AM194" s="210"/>
      <c r="AN194" s="210"/>
    </row>
    <row r="195" spans="1:40" x14ac:dyDescent="0.25">
      <c r="F195" s="211"/>
      <c r="H195" s="211"/>
      <c r="I195" s="211"/>
      <c r="J195" s="305"/>
      <c r="K195" s="305"/>
      <c r="L195" s="211"/>
      <c r="M195" s="211"/>
      <c r="N195" s="211"/>
      <c r="O195" s="211"/>
      <c r="P195" s="211"/>
      <c r="Q195" s="211"/>
      <c r="R195" s="211"/>
      <c r="V195" s="211"/>
      <c r="Y195" s="211"/>
      <c r="Z195" s="305"/>
      <c r="AA195" s="211"/>
      <c r="AB195" s="211"/>
      <c r="AC195" s="211"/>
      <c r="AD195" s="211"/>
      <c r="AE195" s="211"/>
      <c r="AF195" s="211"/>
      <c r="AI195" s="211"/>
      <c r="AJ195" s="211"/>
      <c r="AK195" s="212"/>
      <c r="AL195" s="211"/>
      <c r="AM195" s="200"/>
      <c r="AN195" s="200"/>
    </row>
    <row r="196" spans="1:40" x14ac:dyDescent="0.25">
      <c r="F196" s="200"/>
      <c r="H196" s="200"/>
      <c r="I196" s="200"/>
      <c r="J196" s="213"/>
      <c r="K196" s="213"/>
      <c r="L196" s="200"/>
      <c r="M196" s="200"/>
      <c r="N196" s="200"/>
      <c r="O196" s="200"/>
      <c r="P196" s="200"/>
      <c r="Q196" s="200"/>
      <c r="R196" s="200"/>
      <c r="V196" s="200"/>
      <c r="Y196" s="200"/>
      <c r="Z196" s="213"/>
      <c r="AA196" s="200"/>
      <c r="AB196" s="200"/>
      <c r="AC196" s="200"/>
      <c r="AD196" s="200"/>
    </row>
    <row r="197" spans="1:40" x14ac:dyDescent="0.25">
      <c r="C197" s="154"/>
      <c r="F197" s="200"/>
      <c r="H197" s="200"/>
      <c r="I197" s="200"/>
      <c r="J197" s="213"/>
      <c r="K197" s="213"/>
      <c r="L197" s="200"/>
      <c r="M197" s="200"/>
      <c r="N197" s="200"/>
      <c r="O197" s="200"/>
      <c r="P197" s="200"/>
      <c r="Q197" s="200"/>
      <c r="R197" s="200"/>
      <c r="T197" s="154"/>
      <c r="V197" s="200"/>
      <c r="Y197" s="200"/>
      <c r="Z197" s="213"/>
      <c r="AA197" s="200"/>
      <c r="AB197" s="200"/>
      <c r="AC197" s="200"/>
      <c r="AD197" s="200"/>
    </row>
    <row r="198" spans="1:40" x14ac:dyDescent="0.25">
      <c r="A198" s="154"/>
    </row>
    <row r="199" spans="1:40" x14ac:dyDescent="0.25">
      <c r="J199" s="202"/>
      <c r="K199" s="202"/>
      <c r="Z199" s="202"/>
    </row>
    <row r="200" spans="1:40" x14ac:dyDescent="0.25">
      <c r="H200" s="154"/>
      <c r="I200" s="154"/>
      <c r="Y200" s="154"/>
    </row>
    <row r="201" spans="1:40" x14ac:dyDescent="0.25">
      <c r="J201" s="202"/>
      <c r="K201" s="202"/>
      <c r="Z201" s="202"/>
    </row>
    <row r="202" spans="1:40" x14ac:dyDescent="0.25">
      <c r="L202" s="154"/>
      <c r="M202" s="154"/>
      <c r="AA202" s="154"/>
      <c r="AB202" s="154"/>
    </row>
    <row r="203" spans="1:40" x14ac:dyDescent="0.25">
      <c r="A203" s="202"/>
      <c r="R203" s="154"/>
      <c r="AK203" s="297"/>
      <c r="AL203" s="154"/>
    </row>
    <row r="204" spans="1:40" x14ac:dyDescent="0.25">
      <c r="A204" s="202"/>
      <c r="R204" s="154"/>
      <c r="AK204" s="297"/>
      <c r="AL204" s="154"/>
    </row>
    <row r="205" spans="1:40" x14ac:dyDescent="0.25">
      <c r="A205" s="154"/>
      <c r="R205" s="154"/>
      <c r="AK205" s="297"/>
      <c r="AL205" s="154"/>
    </row>
    <row r="206" spans="1:40" x14ac:dyDescent="0.25">
      <c r="L206" s="154"/>
      <c r="M206" s="154"/>
      <c r="R206" s="202"/>
      <c r="AA206" s="154"/>
      <c r="AB206" s="154"/>
      <c r="AK206" s="209"/>
      <c r="AL206" s="202"/>
    </row>
    <row r="207" spans="1:40" x14ac:dyDescent="0.2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208"/>
      <c r="AH207" s="102"/>
      <c r="AI207" s="102"/>
      <c r="AJ207" s="102"/>
      <c r="AK207" s="208"/>
      <c r="AL207" s="102"/>
      <c r="AM207" s="102"/>
      <c r="AN207" s="102"/>
    </row>
    <row r="208" spans="1:40" x14ac:dyDescent="0.25">
      <c r="L208" s="103"/>
      <c r="M208" s="103"/>
      <c r="N208" s="103"/>
      <c r="O208" s="103"/>
      <c r="R208" s="103"/>
      <c r="AA208" s="103"/>
      <c r="AB208" s="103"/>
      <c r="AC208" s="103"/>
      <c r="AD208" s="103"/>
      <c r="AE208" s="103"/>
      <c r="AF208" s="103"/>
      <c r="AG208" s="185"/>
      <c r="AH208" s="103"/>
      <c r="AK208" s="185"/>
      <c r="AL208" s="103"/>
      <c r="AM208" s="103"/>
      <c r="AN208" s="103"/>
    </row>
    <row r="209" spans="1:40" x14ac:dyDescent="0.25">
      <c r="L209" s="103"/>
      <c r="M209" s="103"/>
      <c r="N209" s="103"/>
      <c r="O209" s="103"/>
      <c r="R209" s="103"/>
      <c r="Z209" s="103"/>
      <c r="AA209" s="103"/>
      <c r="AB209" s="103"/>
      <c r="AC209" s="103"/>
      <c r="AD209" s="103"/>
      <c r="AE209" s="103"/>
      <c r="AF209" s="103"/>
      <c r="AG209" s="185"/>
      <c r="AH209" s="103"/>
      <c r="AK209" s="185"/>
      <c r="AL209" s="103"/>
      <c r="AM209" s="103"/>
      <c r="AN209" s="103"/>
    </row>
    <row r="210" spans="1:40" x14ac:dyDescent="0.25">
      <c r="A210" s="103"/>
      <c r="C210" s="103"/>
      <c r="D210" s="103"/>
      <c r="E210" s="103"/>
      <c r="F210" s="103"/>
      <c r="J210" s="103"/>
      <c r="K210" s="103"/>
      <c r="L210" s="103"/>
      <c r="M210" s="103"/>
      <c r="N210" s="103"/>
      <c r="O210" s="103"/>
      <c r="P210" s="103"/>
      <c r="Q210" s="103"/>
      <c r="R210" s="103"/>
      <c r="T210" s="103"/>
      <c r="U210" s="103"/>
      <c r="V210" s="103"/>
      <c r="Z210" s="103"/>
      <c r="AA210" s="103"/>
      <c r="AB210" s="103"/>
      <c r="AC210" s="103"/>
      <c r="AD210" s="103"/>
      <c r="AE210" s="103"/>
      <c r="AF210" s="103"/>
      <c r="AG210" s="185"/>
      <c r="AH210" s="103"/>
      <c r="AI210" s="103"/>
      <c r="AJ210" s="103"/>
      <c r="AK210" s="185"/>
      <c r="AL210" s="103"/>
      <c r="AM210" s="103"/>
      <c r="AN210" s="103"/>
    </row>
    <row r="211" spans="1:40" x14ac:dyDescent="0.25">
      <c r="A211" s="103"/>
      <c r="C211" s="103"/>
      <c r="D211" s="103"/>
      <c r="E211" s="103"/>
      <c r="F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T211" s="103"/>
      <c r="U211" s="103"/>
      <c r="V211" s="103"/>
      <c r="Y211" s="103"/>
      <c r="Z211" s="103"/>
      <c r="AA211" s="103"/>
      <c r="AB211" s="103"/>
      <c r="AC211" s="103"/>
      <c r="AD211" s="103"/>
      <c r="AE211" s="103"/>
      <c r="AF211" s="103"/>
      <c r="AG211" s="185"/>
      <c r="AH211" s="103"/>
      <c r="AI211" s="103"/>
      <c r="AJ211" s="103"/>
      <c r="AK211" s="185"/>
      <c r="AL211" s="103"/>
      <c r="AM211" s="103"/>
      <c r="AN211" s="103"/>
    </row>
    <row r="212" spans="1:40" x14ac:dyDescent="0.25">
      <c r="C212" s="103"/>
      <c r="D212" s="103"/>
      <c r="E212" s="103"/>
      <c r="F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T212" s="103"/>
      <c r="U212" s="103"/>
      <c r="V212" s="103"/>
      <c r="Y212" s="103"/>
      <c r="Z212" s="103"/>
      <c r="AA212" s="103"/>
      <c r="AB212" s="103"/>
      <c r="AC212" s="103"/>
      <c r="AD212" s="103"/>
      <c r="AE212" s="103"/>
      <c r="AF212" s="103"/>
      <c r="AG212" s="185"/>
      <c r="AH212" s="103"/>
      <c r="AI212" s="103"/>
      <c r="AJ212" s="103"/>
      <c r="AK212" s="185"/>
      <c r="AL212" s="103"/>
      <c r="AM212" s="103"/>
      <c r="AN212" s="103"/>
    </row>
    <row r="213" spans="1:40" x14ac:dyDescent="0.2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208"/>
      <c r="AH213" s="102"/>
      <c r="AI213" s="102"/>
      <c r="AJ213" s="102"/>
      <c r="AK213" s="208"/>
      <c r="AL213" s="102"/>
      <c r="AM213" s="102"/>
      <c r="AN213" s="102"/>
    </row>
    <row r="214" spans="1:40" x14ac:dyDescent="0.25"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Y214" s="103"/>
      <c r="Z214" s="103"/>
      <c r="AA214" s="103"/>
      <c r="AB214" s="103"/>
      <c r="AC214" s="103"/>
      <c r="AD214" s="103"/>
      <c r="AE214" s="103"/>
      <c r="AF214" s="103"/>
      <c r="AG214" s="185"/>
      <c r="AH214" s="103"/>
      <c r="AI214" s="103"/>
      <c r="AJ214" s="103"/>
      <c r="AK214" s="185"/>
      <c r="AL214" s="103"/>
      <c r="AM214" s="103"/>
      <c r="AN214" s="103"/>
    </row>
    <row r="215" spans="1:40" x14ac:dyDescent="0.25">
      <c r="A215" s="202"/>
      <c r="C215" s="154"/>
      <c r="D215" s="154"/>
      <c r="E215" s="154"/>
      <c r="T215" s="154"/>
      <c r="U215" s="154"/>
    </row>
    <row r="217" spans="1:40" x14ac:dyDescent="0.25">
      <c r="A217" s="202"/>
      <c r="C217" s="154"/>
      <c r="F217" s="252"/>
      <c r="H217" s="317"/>
      <c r="I217" s="317"/>
      <c r="J217" s="300"/>
      <c r="K217" s="300"/>
      <c r="L217" s="200"/>
      <c r="M217" s="200"/>
      <c r="N217" s="202"/>
      <c r="O217" s="202"/>
      <c r="P217" s="202"/>
      <c r="Q217" s="202"/>
      <c r="R217" s="200"/>
      <c r="T217" s="154"/>
      <c r="V217" s="200"/>
      <c r="Y217" s="202"/>
      <c r="Z217" s="300"/>
      <c r="AA217" s="200"/>
      <c r="AB217" s="200"/>
      <c r="AC217" s="202"/>
      <c r="AD217" s="202"/>
      <c r="AE217" s="200"/>
      <c r="AF217" s="200"/>
      <c r="AG217" s="325"/>
      <c r="AH217" s="326"/>
      <c r="AI217" s="200"/>
      <c r="AJ217" s="200"/>
      <c r="AK217" s="209"/>
      <c r="AL217" s="200"/>
      <c r="AM217" s="327"/>
      <c r="AN217" s="327"/>
    </row>
    <row r="218" spans="1:40" x14ac:dyDescent="0.25">
      <c r="F218" s="252"/>
      <c r="H218" s="317"/>
      <c r="I218" s="317"/>
      <c r="J218" s="317"/>
      <c r="K218" s="317"/>
      <c r="R218" s="200"/>
      <c r="V218" s="200"/>
      <c r="Z218" s="317"/>
    </row>
    <row r="219" spans="1:40" x14ac:dyDescent="0.25">
      <c r="A219" s="202"/>
      <c r="C219" s="154"/>
      <c r="F219" s="252"/>
      <c r="H219" s="252"/>
      <c r="I219" s="252"/>
      <c r="J219" s="320"/>
      <c r="K219" s="320"/>
      <c r="L219" s="200"/>
      <c r="M219" s="200"/>
      <c r="N219" s="210"/>
      <c r="O219" s="210"/>
      <c r="P219" s="252"/>
      <c r="Q219" s="252"/>
      <c r="R219" s="200"/>
      <c r="T219" s="154"/>
      <c r="V219" s="200"/>
      <c r="Y219" s="200"/>
      <c r="Z219" s="304"/>
      <c r="AA219" s="200"/>
      <c r="AB219" s="200"/>
      <c r="AC219" s="210"/>
      <c r="AD219" s="210"/>
      <c r="AE219" s="200"/>
      <c r="AF219" s="200"/>
      <c r="AG219" s="209"/>
      <c r="AH219" s="201"/>
      <c r="AI219" s="252"/>
      <c r="AJ219" s="252"/>
      <c r="AK219" s="209"/>
      <c r="AL219" s="200"/>
      <c r="AM219" s="210"/>
      <c r="AN219" s="210"/>
    </row>
    <row r="220" spans="1:40" x14ac:dyDescent="0.25">
      <c r="F220" s="211"/>
      <c r="H220" s="211"/>
      <c r="I220" s="211"/>
      <c r="J220" s="305"/>
      <c r="K220" s="305"/>
      <c r="L220" s="211"/>
      <c r="M220" s="211"/>
      <c r="N220" s="211"/>
      <c r="O220" s="211"/>
      <c r="P220" s="211"/>
      <c r="Q220" s="211"/>
      <c r="R220" s="211"/>
      <c r="V220" s="211"/>
      <c r="Y220" s="211"/>
      <c r="Z220" s="305"/>
      <c r="AA220" s="211"/>
      <c r="AB220" s="211"/>
      <c r="AC220" s="211"/>
      <c r="AD220" s="211"/>
      <c r="AE220" s="211"/>
      <c r="AF220" s="211"/>
      <c r="AI220" s="211"/>
      <c r="AJ220" s="211"/>
      <c r="AK220" s="212"/>
      <c r="AL220" s="211"/>
    </row>
    <row r="221" spans="1:40" x14ac:dyDescent="0.25">
      <c r="A221" s="202"/>
      <c r="D221" s="154"/>
      <c r="E221" s="154"/>
      <c r="F221" s="200"/>
      <c r="H221" s="200"/>
      <c r="I221" s="200"/>
      <c r="J221" s="213"/>
      <c r="K221" s="213"/>
      <c r="L221" s="200"/>
      <c r="M221" s="200"/>
      <c r="N221" s="210"/>
      <c r="O221" s="210"/>
      <c r="P221" s="200"/>
      <c r="Q221" s="200"/>
      <c r="R221" s="200"/>
      <c r="U221" s="154"/>
      <c r="V221" s="200"/>
      <c r="Y221" s="200"/>
      <c r="Z221" s="213"/>
      <c r="AA221" s="200"/>
      <c r="AB221" s="200"/>
      <c r="AC221" s="210"/>
      <c r="AD221" s="210"/>
      <c r="AE221" s="200"/>
      <c r="AF221" s="200"/>
      <c r="AG221" s="209"/>
      <c r="AH221" s="201"/>
      <c r="AI221" s="200"/>
      <c r="AJ221" s="200"/>
      <c r="AK221" s="209"/>
      <c r="AL221" s="200"/>
      <c r="AM221" s="210"/>
      <c r="AN221" s="210"/>
    </row>
    <row r="222" spans="1:40" x14ac:dyDescent="0.25">
      <c r="F222" s="211"/>
      <c r="H222" s="211"/>
      <c r="I222" s="211"/>
      <c r="J222" s="305"/>
      <c r="K222" s="305"/>
      <c r="L222" s="211"/>
      <c r="M222" s="211"/>
      <c r="N222" s="211"/>
      <c r="O222" s="211"/>
      <c r="P222" s="211"/>
      <c r="Q222" s="211"/>
      <c r="R222" s="211"/>
      <c r="V222" s="211"/>
      <c r="Y222" s="211"/>
      <c r="Z222" s="305"/>
      <c r="AA222" s="211"/>
      <c r="AB222" s="211"/>
      <c r="AC222" s="211"/>
      <c r="AD222" s="211"/>
      <c r="AE222" s="211"/>
      <c r="AF222" s="211"/>
      <c r="AI222" s="211"/>
      <c r="AJ222" s="211"/>
      <c r="AK222" s="212"/>
      <c r="AL222" s="211"/>
    </row>
    <row r="223" spans="1:40" x14ac:dyDescent="0.25">
      <c r="R223" s="200"/>
    </row>
    <row r="224" spans="1:40" x14ac:dyDescent="0.25">
      <c r="R224" s="200"/>
    </row>
    <row r="225" spans="1:40" x14ac:dyDescent="0.25">
      <c r="R225" s="200"/>
    </row>
    <row r="226" spans="1:40" x14ac:dyDescent="0.25">
      <c r="A226" s="202"/>
      <c r="C226" s="154"/>
      <c r="D226" s="154"/>
      <c r="E226" s="154"/>
      <c r="H226" s="200"/>
      <c r="I226" s="200"/>
      <c r="J226" s="213"/>
      <c r="K226" s="213"/>
      <c r="L226" s="200"/>
      <c r="M226" s="200"/>
      <c r="N226" s="210"/>
      <c r="O226" s="210"/>
      <c r="P226" s="200"/>
      <c r="Q226" s="200"/>
      <c r="R226" s="200"/>
      <c r="T226" s="154"/>
      <c r="U226" s="154"/>
      <c r="Y226" s="200"/>
      <c r="Z226" s="213"/>
      <c r="AA226" s="200"/>
      <c r="AB226" s="200"/>
      <c r="AC226" s="210"/>
      <c r="AD226" s="210"/>
    </row>
    <row r="227" spans="1:40" x14ac:dyDescent="0.25">
      <c r="H227" s="200"/>
      <c r="I227" s="200"/>
      <c r="J227" s="213"/>
      <c r="K227" s="213"/>
      <c r="L227" s="200"/>
      <c r="M227" s="200"/>
      <c r="N227" s="210"/>
      <c r="O227" s="210"/>
      <c r="P227" s="200"/>
      <c r="Q227" s="200"/>
      <c r="R227" s="200"/>
      <c r="Y227" s="200"/>
      <c r="Z227" s="213"/>
      <c r="AA227" s="200"/>
      <c r="AB227" s="200"/>
      <c r="AC227" s="210"/>
      <c r="AD227" s="210"/>
    </row>
    <row r="228" spans="1:40" x14ac:dyDescent="0.25">
      <c r="A228" s="202"/>
      <c r="C228" s="154"/>
      <c r="F228" s="252"/>
      <c r="H228" s="252"/>
      <c r="I228" s="252"/>
      <c r="J228" s="214"/>
      <c r="K228" s="214"/>
      <c r="L228" s="252"/>
      <c r="M228" s="252"/>
      <c r="N228" s="210"/>
      <c r="O228" s="210"/>
      <c r="P228" s="200"/>
      <c r="Q228" s="200"/>
      <c r="R228" s="200"/>
      <c r="T228" s="154"/>
      <c r="V228" s="200"/>
      <c r="Y228" s="200"/>
      <c r="Z228" s="214"/>
      <c r="AA228" s="200"/>
      <c r="AB228" s="200"/>
      <c r="AC228" s="210"/>
      <c r="AD228" s="210"/>
      <c r="AE228" s="200"/>
      <c r="AF228" s="200"/>
      <c r="AG228" s="209"/>
      <c r="AH228" s="201"/>
      <c r="AI228" s="200"/>
      <c r="AJ228" s="200"/>
      <c r="AK228" s="209"/>
      <c r="AL228" s="200"/>
      <c r="AM228" s="210"/>
      <c r="AN228" s="210"/>
    </row>
    <row r="229" spans="1:40" x14ac:dyDescent="0.25">
      <c r="F229" s="252"/>
      <c r="H229" s="317"/>
      <c r="I229" s="317"/>
      <c r="J229" s="317"/>
      <c r="K229" s="317"/>
      <c r="R229" s="200"/>
      <c r="V229" s="200"/>
      <c r="Z229" s="317"/>
    </row>
    <row r="230" spans="1:40" x14ac:dyDescent="0.25">
      <c r="A230" s="202"/>
      <c r="C230" s="154"/>
      <c r="F230" s="252"/>
      <c r="H230" s="252"/>
      <c r="I230" s="252"/>
      <c r="J230" s="300"/>
      <c r="K230" s="300"/>
      <c r="L230" s="200"/>
      <c r="M230" s="200"/>
      <c r="N230" s="210"/>
      <c r="O230" s="210"/>
      <c r="P230" s="200"/>
      <c r="Q230" s="200"/>
      <c r="R230" s="200"/>
      <c r="T230" s="154"/>
      <c r="V230" s="200"/>
      <c r="Y230" s="200"/>
      <c r="Z230" s="300"/>
      <c r="AA230" s="200"/>
      <c r="AB230" s="200"/>
      <c r="AC230" s="210"/>
      <c r="AD230" s="210"/>
      <c r="AE230" s="200"/>
      <c r="AF230" s="200"/>
      <c r="AG230" s="209"/>
      <c r="AH230" s="201"/>
      <c r="AI230" s="200"/>
      <c r="AJ230" s="200"/>
      <c r="AK230" s="209"/>
      <c r="AL230" s="200"/>
      <c r="AM230" s="210"/>
      <c r="AN230" s="210"/>
    </row>
    <row r="231" spans="1:40" x14ac:dyDescent="0.25">
      <c r="F231" s="252"/>
      <c r="H231" s="317"/>
      <c r="I231" s="317"/>
      <c r="J231" s="317"/>
      <c r="K231" s="317"/>
      <c r="R231" s="200"/>
      <c r="V231" s="200"/>
      <c r="Z231" s="317"/>
    </row>
    <row r="232" spans="1:40" x14ac:dyDescent="0.25">
      <c r="A232" s="202"/>
      <c r="C232" s="154"/>
      <c r="F232" s="252"/>
      <c r="H232" s="252"/>
      <c r="I232" s="252"/>
      <c r="J232" s="320"/>
      <c r="K232" s="320"/>
      <c r="L232" s="200"/>
      <c r="M232" s="200"/>
      <c r="N232" s="210"/>
      <c r="O232" s="210"/>
      <c r="P232" s="200"/>
      <c r="Q232" s="200"/>
      <c r="R232" s="200"/>
      <c r="T232" s="154"/>
      <c r="V232" s="200"/>
      <c r="Y232" s="200"/>
      <c r="Z232" s="304"/>
      <c r="AA232" s="200"/>
      <c r="AB232" s="200"/>
      <c r="AC232" s="210"/>
      <c r="AD232" s="210"/>
      <c r="AE232" s="200"/>
      <c r="AF232" s="200"/>
      <c r="AG232" s="209"/>
      <c r="AH232" s="201"/>
      <c r="AI232" s="200"/>
      <c r="AJ232" s="200"/>
      <c r="AK232" s="209"/>
      <c r="AL232" s="200"/>
      <c r="AM232" s="210"/>
      <c r="AN232" s="210"/>
    </row>
    <row r="233" spans="1:40" x14ac:dyDescent="0.25">
      <c r="F233" s="211"/>
      <c r="H233" s="211"/>
      <c r="I233" s="211"/>
      <c r="J233" s="305"/>
      <c r="K233" s="305"/>
      <c r="L233" s="211"/>
      <c r="M233" s="211"/>
      <c r="N233" s="211"/>
      <c r="O233" s="211"/>
      <c r="P233" s="211"/>
      <c r="Q233" s="211"/>
      <c r="R233" s="211"/>
      <c r="S233" s="200"/>
      <c r="V233" s="211"/>
      <c r="Y233" s="211"/>
      <c r="Z233" s="305"/>
      <c r="AA233" s="211"/>
      <c r="AB233" s="211"/>
      <c r="AC233" s="211"/>
      <c r="AD233" s="211"/>
      <c r="AE233" s="211"/>
      <c r="AF233" s="211"/>
      <c r="AI233" s="211"/>
      <c r="AJ233" s="211"/>
      <c r="AK233" s="212"/>
      <c r="AL233" s="211"/>
    </row>
    <row r="234" spans="1:40" x14ac:dyDescent="0.25">
      <c r="A234" s="202"/>
      <c r="D234" s="154"/>
      <c r="E234" s="154"/>
      <c r="F234" s="200"/>
      <c r="H234" s="200"/>
      <c r="I234" s="200"/>
      <c r="J234" s="213"/>
      <c r="K234" s="213"/>
      <c r="L234" s="200"/>
      <c r="M234" s="200"/>
      <c r="N234" s="210"/>
      <c r="O234" s="210"/>
      <c r="P234" s="252"/>
      <c r="Q234" s="252"/>
      <c r="R234" s="200"/>
      <c r="S234" s="200"/>
      <c r="U234" s="154"/>
      <c r="V234" s="200"/>
      <c r="Y234" s="200"/>
      <c r="Z234" s="213"/>
      <c r="AA234" s="200"/>
      <c r="AB234" s="200"/>
      <c r="AC234" s="210"/>
      <c r="AD234" s="210"/>
      <c r="AE234" s="200"/>
      <c r="AF234" s="200"/>
      <c r="AG234" s="209"/>
      <c r="AH234" s="201"/>
      <c r="AI234" s="252"/>
      <c r="AJ234" s="252"/>
      <c r="AK234" s="209"/>
      <c r="AL234" s="200"/>
      <c r="AM234" s="210"/>
      <c r="AN234" s="210"/>
    </row>
    <row r="235" spans="1:40" x14ac:dyDescent="0.25">
      <c r="F235" s="211"/>
      <c r="H235" s="211"/>
      <c r="I235" s="211"/>
      <c r="J235" s="305"/>
      <c r="K235" s="305"/>
      <c r="L235" s="211"/>
      <c r="M235" s="211"/>
      <c r="N235" s="211"/>
      <c r="O235" s="211"/>
      <c r="P235" s="211"/>
      <c r="Q235" s="211"/>
      <c r="R235" s="211"/>
      <c r="S235" s="200"/>
      <c r="V235" s="211"/>
      <c r="Y235" s="211"/>
      <c r="Z235" s="305"/>
      <c r="AA235" s="211"/>
      <c r="AB235" s="211"/>
      <c r="AC235" s="211"/>
      <c r="AD235" s="211"/>
      <c r="AE235" s="211"/>
      <c r="AF235" s="211"/>
      <c r="AI235" s="211"/>
      <c r="AJ235" s="211"/>
      <c r="AK235" s="212"/>
      <c r="AL235" s="211"/>
    </row>
    <row r="236" spans="1:40" x14ac:dyDescent="0.25">
      <c r="R236" s="200"/>
    </row>
    <row r="237" spans="1:40" x14ac:dyDescent="0.25">
      <c r="F237" s="200"/>
      <c r="H237" s="200"/>
      <c r="I237" s="200"/>
      <c r="J237" s="213"/>
      <c r="K237" s="213"/>
      <c r="L237" s="200"/>
      <c r="M237" s="200"/>
      <c r="N237" s="200"/>
      <c r="O237" s="200"/>
      <c r="P237" s="200"/>
      <c r="Q237" s="200"/>
      <c r="R237" s="200"/>
      <c r="V237" s="200"/>
      <c r="Y237" s="200"/>
      <c r="Z237" s="213"/>
      <c r="AA237" s="200"/>
      <c r="AB237" s="200"/>
      <c r="AC237" s="200"/>
      <c r="AD237" s="200"/>
    </row>
    <row r="238" spans="1:40" x14ac:dyDescent="0.25">
      <c r="C238" s="154"/>
      <c r="F238" s="200"/>
      <c r="H238" s="200"/>
      <c r="I238" s="200"/>
      <c r="J238" s="213"/>
      <c r="K238" s="213"/>
      <c r="L238" s="200"/>
      <c r="M238" s="200"/>
      <c r="N238" s="200"/>
      <c r="O238" s="200"/>
      <c r="P238" s="200"/>
      <c r="Q238" s="200"/>
      <c r="R238" s="200"/>
      <c r="T238" s="154"/>
      <c r="V238" s="200"/>
      <c r="Y238" s="200"/>
      <c r="Z238" s="213"/>
      <c r="AA238" s="200"/>
      <c r="AB238" s="200"/>
      <c r="AC238" s="200"/>
      <c r="AD238" s="200"/>
    </row>
    <row r="239" spans="1:40" x14ac:dyDescent="0.25">
      <c r="C239" s="154"/>
      <c r="T239" s="154"/>
    </row>
    <row r="240" spans="1:40" x14ac:dyDescent="0.25">
      <c r="A240" s="154"/>
    </row>
    <row r="242" spans="1:40" x14ac:dyDescent="0.25">
      <c r="J242" s="202"/>
      <c r="K242" s="202"/>
      <c r="Z242" s="202"/>
    </row>
    <row r="243" spans="1:40" x14ac:dyDescent="0.25">
      <c r="H243" s="154"/>
      <c r="I243" s="154"/>
      <c r="Y243" s="154"/>
    </row>
    <row r="244" spans="1:40" x14ac:dyDescent="0.25">
      <c r="J244" s="202"/>
      <c r="K244" s="202"/>
      <c r="Z244" s="202"/>
    </row>
    <row r="245" spans="1:40" x14ac:dyDescent="0.25">
      <c r="L245" s="154"/>
      <c r="M245" s="154"/>
      <c r="AA245" s="154"/>
      <c r="AB245" s="154"/>
    </row>
    <row r="246" spans="1:40" x14ac:dyDescent="0.25">
      <c r="A246" s="202"/>
      <c r="R246" s="154"/>
      <c r="AK246" s="297"/>
      <c r="AL246" s="154"/>
    </row>
    <row r="247" spans="1:40" x14ac:dyDescent="0.25">
      <c r="A247" s="202"/>
      <c r="R247" s="154"/>
      <c r="AK247" s="297"/>
      <c r="AL247" s="154"/>
    </row>
    <row r="248" spans="1:40" x14ac:dyDescent="0.25">
      <c r="A248" s="154"/>
      <c r="R248" s="154"/>
      <c r="AK248" s="297"/>
      <c r="AL248" s="154"/>
    </row>
    <row r="249" spans="1:40" x14ac:dyDescent="0.25">
      <c r="L249" s="154"/>
      <c r="M249" s="154"/>
      <c r="R249" s="202"/>
      <c r="AA249" s="154"/>
      <c r="AB249" s="154"/>
      <c r="AK249" s="209"/>
      <c r="AL249" s="202"/>
    </row>
    <row r="250" spans="1:40" x14ac:dyDescent="0.2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208"/>
      <c r="AH250" s="102"/>
      <c r="AI250" s="102"/>
      <c r="AJ250" s="102"/>
      <c r="AK250" s="208"/>
      <c r="AL250" s="102"/>
      <c r="AM250" s="102"/>
      <c r="AN250" s="102"/>
    </row>
    <row r="251" spans="1:40" x14ac:dyDescent="0.25">
      <c r="L251" s="103"/>
      <c r="M251" s="103"/>
      <c r="N251" s="103"/>
      <c r="O251" s="103"/>
      <c r="R251" s="103"/>
      <c r="AA251" s="103"/>
      <c r="AB251" s="103"/>
      <c r="AC251" s="103"/>
      <c r="AD251" s="103"/>
      <c r="AE251" s="103"/>
      <c r="AF251" s="103"/>
      <c r="AG251" s="185"/>
      <c r="AH251" s="103"/>
      <c r="AK251" s="185"/>
      <c r="AL251" s="103"/>
      <c r="AM251" s="103"/>
      <c r="AN251" s="103"/>
    </row>
    <row r="252" spans="1:40" x14ac:dyDescent="0.25">
      <c r="L252" s="103"/>
      <c r="M252" s="103"/>
      <c r="N252" s="103"/>
      <c r="O252" s="103"/>
      <c r="R252" s="103"/>
      <c r="Z252" s="103"/>
      <c r="AA252" s="103"/>
      <c r="AB252" s="103"/>
      <c r="AC252" s="103"/>
      <c r="AD252" s="103"/>
      <c r="AE252" s="103"/>
      <c r="AF252" s="103"/>
      <c r="AG252" s="185"/>
      <c r="AH252" s="103"/>
      <c r="AK252" s="185"/>
      <c r="AL252" s="103"/>
      <c r="AM252" s="103"/>
      <c r="AN252" s="103"/>
    </row>
    <row r="253" spans="1:40" x14ac:dyDescent="0.25">
      <c r="A253" s="103"/>
      <c r="C253" s="103"/>
      <c r="D253" s="103"/>
      <c r="E253" s="103"/>
      <c r="F253" s="103"/>
      <c r="J253" s="103"/>
      <c r="K253" s="103"/>
      <c r="L253" s="103"/>
      <c r="M253" s="103"/>
      <c r="N253" s="103"/>
      <c r="O253" s="103"/>
      <c r="P253" s="103"/>
      <c r="Q253" s="103"/>
      <c r="R253" s="103"/>
      <c r="T253" s="103"/>
      <c r="U253" s="103"/>
      <c r="V253" s="103"/>
      <c r="Z253" s="103"/>
      <c r="AA253" s="103"/>
      <c r="AB253" s="103"/>
      <c r="AC253" s="103"/>
      <c r="AD253" s="103"/>
      <c r="AE253" s="103"/>
      <c r="AF253" s="103"/>
      <c r="AG253" s="185"/>
      <c r="AH253" s="103"/>
      <c r="AI253" s="103"/>
      <c r="AJ253" s="103"/>
      <c r="AK253" s="185"/>
      <c r="AL253" s="103"/>
      <c r="AM253" s="103"/>
      <c r="AN253" s="103"/>
    </row>
    <row r="254" spans="1:40" x14ac:dyDescent="0.25">
      <c r="A254" s="103"/>
      <c r="C254" s="103"/>
      <c r="D254" s="103"/>
      <c r="E254" s="103"/>
      <c r="F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T254" s="103"/>
      <c r="U254" s="103"/>
      <c r="V254" s="103"/>
      <c r="Y254" s="103"/>
      <c r="Z254" s="103"/>
      <c r="AA254" s="103"/>
      <c r="AB254" s="103"/>
      <c r="AC254" s="103"/>
      <c r="AD254" s="103"/>
      <c r="AE254" s="103"/>
      <c r="AF254" s="103"/>
      <c r="AG254" s="185"/>
      <c r="AH254" s="103"/>
      <c r="AI254" s="103"/>
      <c r="AJ254" s="103"/>
      <c r="AK254" s="185"/>
      <c r="AL254" s="103"/>
      <c r="AM254" s="103"/>
      <c r="AN254" s="103"/>
    </row>
    <row r="255" spans="1:40" x14ac:dyDescent="0.25">
      <c r="C255" s="103"/>
      <c r="D255" s="103"/>
      <c r="E255" s="103"/>
      <c r="F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T255" s="103"/>
      <c r="U255" s="103"/>
      <c r="V255" s="103"/>
      <c r="Y255" s="103"/>
      <c r="Z255" s="103"/>
      <c r="AA255" s="103"/>
      <c r="AB255" s="103"/>
      <c r="AC255" s="103"/>
      <c r="AD255" s="103"/>
      <c r="AE255" s="103"/>
      <c r="AF255" s="103"/>
      <c r="AG255" s="185"/>
      <c r="AH255" s="103"/>
      <c r="AI255" s="103"/>
      <c r="AJ255" s="103"/>
      <c r="AK255" s="185"/>
      <c r="AL255" s="103"/>
      <c r="AM255" s="103"/>
      <c r="AN255" s="103"/>
    </row>
    <row r="256" spans="1:40" x14ac:dyDescent="0.2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208"/>
      <c r="AH256" s="102"/>
      <c r="AI256" s="102"/>
      <c r="AJ256" s="102"/>
      <c r="AK256" s="208"/>
      <c r="AL256" s="102"/>
      <c r="AM256" s="102"/>
      <c r="AN256" s="102"/>
    </row>
    <row r="257" spans="1:40" x14ac:dyDescent="0.25"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Y257" s="103"/>
      <c r="Z257" s="103"/>
      <c r="AA257" s="103"/>
      <c r="AB257" s="103"/>
      <c r="AC257" s="103"/>
      <c r="AD257" s="103"/>
      <c r="AE257" s="103"/>
      <c r="AF257" s="103"/>
      <c r="AG257" s="185"/>
      <c r="AH257" s="103"/>
      <c r="AI257" s="103"/>
      <c r="AJ257" s="103"/>
      <c r="AK257" s="185"/>
      <c r="AL257" s="103"/>
      <c r="AM257" s="103"/>
      <c r="AN257" s="103"/>
    </row>
    <row r="258" spans="1:40" x14ac:dyDescent="0.25">
      <c r="A258" s="202"/>
      <c r="C258" s="154"/>
      <c r="D258" s="154"/>
      <c r="E258" s="154"/>
      <c r="T258" s="154"/>
      <c r="U258" s="154"/>
    </row>
    <row r="259" spans="1:40" x14ac:dyDescent="0.25">
      <c r="A259" s="202"/>
      <c r="D259" s="154"/>
      <c r="E259" s="154"/>
      <c r="U259" s="154"/>
    </row>
    <row r="261" spans="1:40" x14ac:dyDescent="0.25">
      <c r="A261" s="202"/>
      <c r="C261" s="154"/>
      <c r="F261" s="200"/>
      <c r="J261" s="215"/>
      <c r="K261" s="215"/>
      <c r="L261" s="200"/>
      <c r="M261" s="200"/>
      <c r="R261" s="200"/>
      <c r="T261" s="154"/>
      <c r="V261" s="200"/>
      <c r="Z261" s="215"/>
      <c r="AA261" s="200"/>
      <c r="AB261" s="200"/>
      <c r="AK261" s="209"/>
      <c r="AL261" s="200"/>
    </row>
    <row r="262" spans="1:40" x14ac:dyDescent="0.25">
      <c r="F262" s="200"/>
      <c r="R262" s="200"/>
      <c r="V262" s="200"/>
      <c r="AK262" s="209"/>
      <c r="AL262" s="200"/>
    </row>
    <row r="263" spans="1:40" x14ac:dyDescent="0.25">
      <c r="A263" s="202"/>
      <c r="C263" s="154"/>
      <c r="F263" s="252"/>
      <c r="H263" s="252"/>
      <c r="I263" s="252"/>
      <c r="J263" s="300"/>
      <c r="K263" s="300"/>
      <c r="L263" s="200"/>
      <c r="M263" s="200"/>
      <c r="N263" s="210"/>
      <c r="O263" s="210"/>
      <c r="P263" s="200"/>
      <c r="Q263" s="200"/>
      <c r="R263" s="200"/>
      <c r="T263" s="154"/>
      <c r="V263" s="200"/>
      <c r="Y263" s="200"/>
      <c r="Z263" s="300"/>
      <c r="AA263" s="200"/>
      <c r="AB263" s="200"/>
      <c r="AC263" s="210"/>
      <c r="AD263" s="210"/>
      <c r="AE263" s="200"/>
      <c r="AF263" s="200"/>
      <c r="AG263" s="209"/>
      <c r="AH263" s="201"/>
      <c r="AI263" s="200"/>
      <c r="AJ263" s="200"/>
      <c r="AK263" s="209"/>
      <c r="AL263" s="200"/>
      <c r="AM263" s="210"/>
      <c r="AN263" s="210"/>
    </row>
    <row r="264" spans="1:40" x14ac:dyDescent="0.25">
      <c r="A264" s="202"/>
      <c r="C264" s="154"/>
      <c r="F264" s="252"/>
      <c r="H264" s="317"/>
      <c r="I264" s="317"/>
      <c r="J264" s="300"/>
      <c r="K264" s="300"/>
      <c r="L264" s="200"/>
      <c r="M264" s="200"/>
      <c r="N264" s="210"/>
      <c r="O264" s="210"/>
      <c r="P264" s="200"/>
      <c r="Q264" s="200"/>
      <c r="R264" s="200"/>
      <c r="T264" s="154"/>
      <c r="V264" s="200"/>
      <c r="Y264" s="200"/>
      <c r="Z264" s="300"/>
      <c r="AA264" s="200"/>
      <c r="AB264" s="200"/>
      <c r="AC264" s="210"/>
      <c r="AD264" s="210"/>
      <c r="AE264" s="200"/>
      <c r="AF264" s="200"/>
      <c r="AG264" s="209"/>
      <c r="AH264" s="201"/>
      <c r="AI264" s="200"/>
      <c r="AJ264" s="200"/>
      <c r="AK264" s="209"/>
      <c r="AL264" s="200"/>
      <c r="AM264" s="210"/>
      <c r="AN264" s="210"/>
    </row>
    <row r="265" spans="1:40" x14ac:dyDescent="0.25">
      <c r="F265" s="211"/>
      <c r="H265" s="200"/>
      <c r="I265" s="200"/>
      <c r="J265" s="305"/>
      <c r="K265" s="305"/>
      <c r="L265" s="211"/>
      <c r="M265" s="211"/>
      <c r="N265" s="211"/>
      <c r="O265" s="211"/>
      <c r="P265" s="211"/>
      <c r="Q265" s="211"/>
      <c r="R265" s="211"/>
      <c r="V265" s="211"/>
      <c r="Y265" s="200"/>
      <c r="Z265" s="305"/>
      <c r="AA265" s="211"/>
      <c r="AB265" s="211"/>
      <c r="AC265" s="211"/>
      <c r="AD265" s="211"/>
      <c r="AE265" s="211"/>
      <c r="AF265" s="211"/>
      <c r="AI265" s="211"/>
      <c r="AJ265" s="211"/>
      <c r="AK265" s="212"/>
      <c r="AL265" s="211"/>
    </row>
    <row r="266" spans="1:40" x14ac:dyDescent="0.25">
      <c r="A266" s="202"/>
      <c r="C266" s="154"/>
      <c r="F266" s="200"/>
      <c r="H266" s="200"/>
      <c r="I266" s="200"/>
      <c r="J266" s="213"/>
      <c r="K266" s="213"/>
      <c r="L266" s="200"/>
      <c r="M266" s="200"/>
      <c r="N266" s="210"/>
      <c r="O266" s="210"/>
      <c r="P266" s="200"/>
      <c r="Q266" s="200"/>
      <c r="R266" s="200"/>
      <c r="T266" s="154"/>
      <c r="V266" s="200"/>
      <c r="Y266" s="200"/>
      <c r="Z266" s="213"/>
      <c r="AA266" s="200"/>
      <c r="AB266" s="200"/>
      <c r="AC266" s="210"/>
      <c r="AD266" s="210"/>
      <c r="AE266" s="200"/>
      <c r="AF266" s="200"/>
      <c r="AG266" s="209"/>
      <c r="AH266" s="201"/>
      <c r="AI266" s="200"/>
      <c r="AJ266" s="200"/>
      <c r="AK266" s="209"/>
      <c r="AL266" s="200"/>
      <c r="AM266" s="210"/>
      <c r="AN266" s="210"/>
    </row>
    <row r="267" spans="1:40" x14ac:dyDescent="0.25">
      <c r="F267" s="211"/>
      <c r="H267" s="200"/>
      <c r="I267" s="200"/>
      <c r="J267" s="305"/>
      <c r="K267" s="305"/>
      <c r="L267" s="211"/>
      <c r="M267" s="211"/>
      <c r="N267" s="211"/>
      <c r="O267" s="211"/>
      <c r="P267" s="211"/>
      <c r="Q267" s="211"/>
      <c r="R267" s="211"/>
      <c r="V267" s="211"/>
      <c r="Y267" s="200"/>
      <c r="Z267" s="305"/>
      <c r="AA267" s="211"/>
      <c r="AB267" s="211"/>
      <c r="AC267" s="211"/>
      <c r="AD267" s="211"/>
      <c r="AE267" s="211"/>
      <c r="AF267" s="211"/>
      <c r="AI267" s="211"/>
      <c r="AJ267" s="211"/>
      <c r="AK267" s="212"/>
      <c r="AL267" s="211"/>
    </row>
    <row r="268" spans="1:40" x14ac:dyDescent="0.25">
      <c r="F268" s="200"/>
      <c r="R268" s="200"/>
      <c r="V268" s="200"/>
      <c r="AK268" s="209"/>
      <c r="AL268" s="200"/>
    </row>
    <row r="269" spans="1:40" x14ac:dyDescent="0.25">
      <c r="A269" s="202"/>
      <c r="C269" s="154"/>
      <c r="F269" s="200"/>
      <c r="R269" s="200"/>
      <c r="T269" s="154"/>
      <c r="V269" s="200"/>
      <c r="AK269" s="209"/>
      <c r="AL269" s="200"/>
    </row>
    <row r="270" spans="1:40" x14ac:dyDescent="0.25">
      <c r="F270" s="200"/>
      <c r="R270" s="200"/>
      <c r="V270" s="200"/>
      <c r="AK270" s="209"/>
      <c r="AL270" s="200"/>
    </row>
    <row r="271" spans="1:40" x14ac:dyDescent="0.25">
      <c r="A271" s="202"/>
      <c r="C271" s="154"/>
      <c r="F271" s="200"/>
      <c r="H271" s="252"/>
      <c r="I271" s="252"/>
      <c r="J271" s="320"/>
      <c r="K271" s="320"/>
      <c r="L271" s="200"/>
      <c r="M271" s="200"/>
      <c r="N271" s="210"/>
      <c r="O271" s="210"/>
      <c r="P271" s="252"/>
      <c r="Q271" s="252"/>
      <c r="R271" s="200"/>
      <c r="T271" s="154"/>
      <c r="V271" s="200"/>
      <c r="Y271" s="200"/>
      <c r="Z271" s="304"/>
      <c r="AA271" s="200"/>
      <c r="AB271" s="200"/>
      <c r="AC271" s="210"/>
      <c r="AD271" s="210"/>
      <c r="AE271" s="200"/>
      <c r="AF271" s="200"/>
      <c r="AG271" s="209"/>
      <c r="AH271" s="201"/>
      <c r="AI271" s="252"/>
      <c r="AJ271" s="252"/>
      <c r="AK271" s="209"/>
      <c r="AL271" s="200"/>
      <c r="AM271" s="210"/>
      <c r="AN271" s="210"/>
    </row>
    <row r="272" spans="1:40" x14ac:dyDescent="0.25">
      <c r="F272" s="211"/>
      <c r="H272" s="211"/>
      <c r="I272" s="211"/>
      <c r="J272" s="305"/>
      <c r="K272" s="305"/>
      <c r="L272" s="211"/>
      <c r="M272" s="211"/>
      <c r="N272" s="211"/>
      <c r="O272" s="211"/>
      <c r="P272" s="211"/>
      <c r="Q272" s="211"/>
      <c r="R272" s="211"/>
      <c r="V272" s="211"/>
      <c r="Y272" s="211"/>
      <c r="Z272" s="305"/>
      <c r="AA272" s="211"/>
      <c r="AB272" s="211"/>
      <c r="AC272" s="211"/>
      <c r="AD272" s="211"/>
      <c r="AE272" s="211"/>
      <c r="AF272" s="211"/>
      <c r="AI272" s="211"/>
      <c r="AJ272" s="211"/>
      <c r="AK272" s="212"/>
      <c r="AL272" s="211"/>
    </row>
    <row r="274" spans="1:40" x14ac:dyDescent="0.25">
      <c r="A274" s="202"/>
      <c r="C274" s="154"/>
      <c r="F274" s="200"/>
      <c r="H274" s="200"/>
      <c r="I274" s="200"/>
      <c r="J274" s="215"/>
      <c r="K274" s="215"/>
      <c r="L274" s="200"/>
      <c r="M274" s="200"/>
      <c r="N274" s="210"/>
      <c r="O274" s="210"/>
      <c r="P274" s="200"/>
      <c r="Q274" s="200"/>
      <c r="R274" s="200"/>
      <c r="T274" s="154"/>
      <c r="V274" s="200"/>
      <c r="Y274" s="200"/>
      <c r="Z274" s="215"/>
      <c r="AA274" s="200"/>
      <c r="AB274" s="200"/>
      <c r="AC274" s="210"/>
      <c r="AD274" s="210"/>
      <c r="AE274" s="200"/>
      <c r="AF274" s="200"/>
      <c r="AG274" s="209"/>
      <c r="AH274" s="201"/>
      <c r="AI274" s="200"/>
      <c r="AJ274" s="200"/>
      <c r="AK274" s="209"/>
      <c r="AL274" s="200"/>
      <c r="AM274" s="210"/>
      <c r="AN274" s="210"/>
    </row>
    <row r="275" spans="1:40" x14ac:dyDescent="0.25">
      <c r="F275" s="211"/>
      <c r="H275" s="211"/>
      <c r="I275" s="211"/>
      <c r="J275" s="305"/>
      <c r="K275" s="305"/>
      <c r="L275" s="211"/>
      <c r="M275" s="211"/>
      <c r="N275" s="211"/>
      <c r="O275" s="211"/>
      <c r="P275" s="211"/>
      <c r="Q275" s="211"/>
      <c r="R275" s="211"/>
      <c r="V275" s="211"/>
      <c r="Y275" s="211"/>
      <c r="Z275" s="305"/>
      <c r="AA275" s="211"/>
      <c r="AB275" s="211"/>
      <c r="AC275" s="211"/>
      <c r="AD275" s="211"/>
      <c r="AE275" s="211"/>
      <c r="AF275" s="211"/>
      <c r="AI275" s="211"/>
      <c r="AJ275" s="211"/>
      <c r="AK275" s="212"/>
      <c r="AL275" s="211"/>
    </row>
    <row r="276" spans="1:40" x14ac:dyDescent="0.25">
      <c r="R276" s="200"/>
      <c r="AG276" s="209"/>
      <c r="AH276" s="200"/>
    </row>
    <row r="277" spans="1:40" x14ac:dyDescent="0.25">
      <c r="F277" s="200"/>
      <c r="H277" s="200"/>
      <c r="I277" s="200"/>
      <c r="J277" s="213"/>
      <c r="K277" s="213"/>
      <c r="L277" s="200"/>
      <c r="M277" s="200"/>
      <c r="N277" s="200"/>
      <c r="O277" s="200"/>
      <c r="P277" s="200"/>
      <c r="Q277" s="200"/>
      <c r="R277" s="200"/>
      <c r="V277" s="200"/>
      <c r="Y277" s="200"/>
      <c r="Z277" s="213"/>
      <c r="AA277" s="200"/>
      <c r="AB277" s="200"/>
      <c r="AC277" s="200"/>
      <c r="AD277" s="200"/>
      <c r="AE277" s="200"/>
      <c r="AF277" s="200"/>
      <c r="AG277" s="209"/>
      <c r="AH277" s="200"/>
    </row>
    <row r="278" spans="1:40" x14ac:dyDescent="0.25">
      <c r="C278" s="154"/>
      <c r="F278" s="200"/>
      <c r="H278" s="200"/>
      <c r="I278" s="200"/>
      <c r="J278" s="213"/>
      <c r="K278" s="213"/>
      <c r="L278" s="200"/>
      <c r="M278" s="200"/>
      <c r="N278" s="200"/>
      <c r="O278" s="200"/>
      <c r="P278" s="200"/>
      <c r="Q278" s="200"/>
      <c r="R278" s="200"/>
      <c r="T278" s="154"/>
      <c r="V278" s="200"/>
      <c r="Y278" s="200"/>
      <c r="Z278" s="213"/>
      <c r="AA278" s="200"/>
      <c r="AB278" s="200"/>
      <c r="AC278" s="200"/>
      <c r="AD278" s="200"/>
      <c r="AE278" s="200"/>
      <c r="AF278" s="200"/>
      <c r="AG278" s="209"/>
      <c r="AH278" s="200"/>
    </row>
    <row r="279" spans="1:40" x14ac:dyDescent="0.25">
      <c r="A279" s="154"/>
    </row>
    <row r="281" spans="1:40" x14ac:dyDescent="0.25">
      <c r="J281" s="202"/>
      <c r="K281" s="202"/>
      <c r="Z281" s="202"/>
    </row>
    <row r="282" spans="1:40" x14ac:dyDescent="0.25">
      <c r="H282" s="154"/>
      <c r="I282" s="154"/>
      <c r="Y282" s="154"/>
    </row>
    <row r="283" spans="1:40" x14ac:dyDescent="0.25">
      <c r="J283" s="202"/>
      <c r="K283" s="202"/>
      <c r="Z283" s="202"/>
    </row>
    <row r="284" spans="1:40" x14ac:dyDescent="0.25">
      <c r="L284" s="154"/>
      <c r="M284" s="154"/>
      <c r="AA284" s="154"/>
      <c r="AB284" s="154"/>
    </row>
    <row r="285" spans="1:40" x14ac:dyDescent="0.25">
      <c r="A285" s="202"/>
      <c r="R285" s="154"/>
      <c r="AK285" s="297"/>
      <c r="AL285" s="154"/>
    </row>
    <row r="286" spans="1:40" x14ac:dyDescent="0.25">
      <c r="A286" s="202"/>
      <c r="R286" s="154"/>
      <c r="AK286" s="297"/>
      <c r="AL286" s="154"/>
    </row>
    <row r="287" spans="1:40" x14ac:dyDescent="0.25">
      <c r="A287" s="154"/>
      <c r="R287" s="154"/>
      <c r="AK287" s="297"/>
      <c r="AL287" s="154"/>
    </row>
    <row r="288" spans="1:40" x14ac:dyDescent="0.25">
      <c r="L288" s="154"/>
      <c r="M288" s="154"/>
      <c r="R288" s="202"/>
      <c r="AA288" s="154"/>
      <c r="AB288" s="154"/>
      <c r="AK288" s="209"/>
      <c r="AL288" s="202"/>
    </row>
    <row r="289" spans="1:40" x14ac:dyDescent="0.25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208"/>
      <c r="AH289" s="102"/>
      <c r="AI289" s="102"/>
      <c r="AJ289" s="102"/>
      <c r="AK289" s="208"/>
      <c r="AL289" s="102"/>
      <c r="AM289" s="102"/>
      <c r="AN289" s="102"/>
    </row>
    <row r="290" spans="1:40" x14ac:dyDescent="0.25">
      <c r="L290" s="103"/>
      <c r="M290" s="103"/>
      <c r="N290" s="103"/>
      <c r="O290" s="103"/>
      <c r="R290" s="103"/>
      <c r="AA290" s="103"/>
      <c r="AB290" s="103"/>
      <c r="AC290" s="103"/>
      <c r="AD290" s="103"/>
      <c r="AE290" s="103"/>
      <c r="AF290" s="103"/>
      <c r="AG290" s="185"/>
      <c r="AH290" s="103"/>
      <c r="AK290" s="185"/>
      <c r="AL290" s="103"/>
      <c r="AM290" s="103"/>
      <c r="AN290" s="103"/>
    </row>
    <row r="291" spans="1:40" x14ac:dyDescent="0.25">
      <c r="L291" s="103"/>
      <c r="M291" s="103"/>
      <c r="N291" s="103"/>
      <c r="O291" s="103"/>
      <c r="R291" s="103"/>
      <c r="Z291" s="103"/>
      <c r="AA291" s="103"/>
      <c r="AB291" s="103"/>
      <c r="AC291" s="103"/>
      <c r="AD291" s="103"/>
      <c r="AE291" s="103"/>
      <c r="AF291" s="103"/>
      <c r="AG291" s="185"/>
      <c r="AH291" s="103"/>
      <c r="AK291" s="185"/>
      <c r="AL291" s="103"/>
      <c r="AM291" s="103"/>
      <c r="AN291" s="103"/>
    </row>
    <row r="292" spans="1:40" x14ac:dyDescent="0.25">
      <c r="A292" s="103"/>
      <c r="C292" s="103"/>
      <c r="D292" s="103"/>
      <c r="E292" s="103"/>
      <c r="F292" s="103"/>
      <c r="J292" s="103"/>
      <c r="K292" s="103"/>
      <c r="L292" s="103"/>
      <c r="M292" s="103"/>
      <c r="N292" s="103"/>
      <c r="O292" s="103"/>
      <c r="P292" s="103"/>
      <c r="Q292" s="103"/>
      <c r="R292" s="103"/>
      <c r="T292" s="103"/>
      <c r="U292" s="103"/>
      <c r="V292" s="103"/>
      <c r="Z292" s="103"/>
      <c r="AA292" s="103"/>
      <c r="AB292" s="103"/>
      <c r="AC292" s="103"/>
      <c r="AD292" s="103"/>
      <c r="AE292" s="103"/>
      <c r="AF292" s="103"/>
      <c r="AG292" s="185"/>
      <c r="AH292" s="103"/>
      <c r="AI292" s="103"/>
      <c r="AJ292" s="103"/>
      <c r="AK292" s="185"/>
      <c r="AL292" s="103"/>
      <c r="AM292" s="103"/>
      <c r="AN292" s="103"/>
    </row>
    <row r="293" spans="1:40" x14ac:dyDescent="0.25">
      <c r="A293" s="103"/>
      <c r="C293" s="103"/>
      <c r="D293" s="103"/>
      <c r="E293" s="103"/>
      <c r="F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T293" s="103"/>
      <c r="U293" s="103"/>
      <c r="V293" s="103"/>
      <c r="Y293" s="103"/>
      <c r="Z293" s="103"/>
      <c r="AA293" s="103"/>
      <c r="AB293" s="103"/>
      <c r="AC293" s="103"/>
      <c r="AD293" s="103"/>
      <c r="AE293" s="103"/>
      <c r="AF293" s="103"/>
      <c r="AG293" s="185"/>
      <c r="AH293" s="103"/>
      <c r="AI293" s="103"/>
      <c r="AJ293" s="103"/>
      <c r="AK293" s="185"/>
      <c r="AL293" s="103"/>
      <c r="AM293" s="103"/>
      <c r="AN293" s="103"/>
    </row>
    <row r="294" spans="1:40" x14ac:dyDescent="0.25">
      <c r="C294" s="103"/>
      <c r="D294" s="103"/>
      <c r="E294" s="103"/>
      <c r="F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T294" s="103"/>
      <c r="U294" s="103"/>
      <c r="V294" s="103"/>
      <c r="Y294" s="103"/>
      <c r="Z294" s="103"/>
      <c r="AA294" s="103"/>
      <c r="AB294" s="103"/>
      <c r="AC294" s="103"/>
      <c r="AD294" s="103"/>
      <c r="AE294" s="103"/>
      <c r="AF294" s="103"/>
      <c r="AG294" s="185"/>
      <c r="AH294" s="103"/>
      <c r="AI294" s="103"/>
      <c r="AJ294" s="103"/>
      <c r="AK294" s="185"/>
      <c r="AL294" s="103"/>
      <c r="AM294" s="103"/>
      <c r="AN294" s="103"/>
    </row>
    <row r="295" spans="1:40" x14ac:dyDescent="0.2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208"/>
      <c r="AH295" s="102"/>
      <c r="AI295" s="102"/>
      <c r="AJ295" s="102"/>
      <c r="AK295" s="208"/>
      <c r="AL295" s="102"/>
      <c r="AM295" s="102"/>
      <c r="AN295" s="102"/>
    </row>
    <row r="296" spans="1:40" x14ac:dyDescent="0.25"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Y296" s="103"/>
      <c r="Z296" s="103"/>
      <c r="AA296" s="103"/>
      <c r="AB296" s="103"/>
      <c r="AC296" s="103"/>
      <c r="AD296" s="103"/>
      <c r="AE296" s="103"/>
      <c r="AF296" s="103"/>
      <c r="AG296" s="185"/>
      <c r="AH296" s="103"/>
      <c r="AI296" s="103"/>
      <c r="AJ296" s="103"/>
      <c r="AK296" s="185"/>
      <c r="AL296" s="103"/>
      <c r="AM296" s="103"/>
      <c r="AN296" s="103"/>
    </row>
    <row r="297" spans="1:40" x14ac:dyDescent="0.25">
      <c r="A297" s="202"/>
      <c r="C297" s="154"/>
      <c r="D297" s="154"/>
      <c r="E297" s="154"/>
      <c r="T297" s="154"/>
      <c r="U297" s="154"/>
    </row>
    <row r="298" spans="1:40" x14ac:dyDescent="0.25">
      <c r="A298" s="202"/>
      <c r="C298" s="154"/>
      <c r="T298" s="154"/>
    </row>
    <row r="300" spans="1:40" x14ac:dyDescent="0.25">
      <c r="A300" s="202"/>
      <c r="C300" s="154"/>
      <c r="F300" s="252"/>
      <c r="H300" s="252"/>
      <c r="I300" s="252"/>
      <c r="J300" s="300"/>
      <c r="K300" s="300"/>
      <c r="L300" s="200"/>
      <c r="M300" s="200"/>
      <c r="N300" s="210"/>
      <c r="O300" s="210"/>
      <c r="P300" s="202"/>
      <c r="Q300" s="202"/>
      <c r="R300" s="200"/>
      <c r="T300" s="154"/>
      <c r="V300" s="200"/>
      <c r="Y300" s="252"/>
      <c r="Z300" s="300"/>
      <c r="AA300" s="200"/>
      <c r="AB300" s="200"/>
      <c r="AC300" s="210"/>
      <c r="AD300" s="210"/>
      <c r="AE300" s="200"/>
      <c r="AF300" s="200"/>
      <c r="AG300" s="209"/>
      <c r="AH300" s="201"/>
      <c r="AI300" s="202"/>
      <c r="AJ300" s="202"/>
      <c r="AK300" s="209"/>
      <c r="AL300" s="200"/>
      <c r="AM300" s="210"/>
      <c r="AN300" s="210"/>
    </row>
    <row r="301" spans="1:40" x14ac:dyDescent="0.25">
      <c r="F301" s="211"/>
      <c r="H301" s="200"/>
      <c r="I301" s="200"/>
      <c r="J301" s="305"/>
      <c r="K301" s="305"/>
      <c r="L301" s="211"/>
      <c r="M301" s="211"/>
      <c r="N301" s="211"/>
      <c r="O301" s="211"/>
      <c r="P301" s="211"/>
      <c r="Q301" s="211"/>
      <c r="R301" s="211"/>
      <c r="V301" s="211"/>
      <c r="Y301" s="200"/>
      <c r="Z301" s="305"/>
      <c r="AA301" s="211"/>
      <c r="AB301" s="211"/>
      <c r="AC301" s="211"/>
      <c r="AD301" s="211"/>
      <c r="AE301" s="211"/>
      <c r="AF301" s="211"/>
      <c r="AI301" s="211"/>
      <c r="AJ301" s="211"/>
      <c r="AK301" s="212"/>
      <c r="AL301" s="211"/>
      <c r="AM301" s="210"/>
      <c r="AN301" s="210"/>
    </row>
    <row r="302" spans="1:40" x14ac:dyDescent="0.25">
      <c r="A302" s="202"/>
      <c r="C302" s="154"/>
      <c r="F302" s="252"/>
      <c r="H302" s="252"/>
      <c r="I302" s="252"/>
      <c r="J302" s="328"/>
      <c r="K302" s="328"/>
      <c r="L302" s="200"/>
      <c r="M302" s="200"/>
      <c r="N302" s="210"/>
      <c r="O302" s="210"/>
      <c r="P302" s="200"/>
      <c r="Q302" s="200"/>
      <c r="R302" s="200"/>
      <c r="S302" s="200"/>
      <c r="T302" s="154"/>
      <c r="V302" s="252"/>
      <c r="Y302" s="252"/>
      <c r="Z302" s="328"/>
      <c r="AA302" s="200"/>
      <c r="AB302" s="200"/>
      <c r="AC302" s="210"/>
      <c r="AD302" s="210"/>
      <c r="AE302" s="200"/>
      <c r="AF302" s="200"/>
      <c r="AG302" s="209"/>
      <c r="AH302" s="210"/>
      <c r="AI302" s="200"/>
      <c r="AJ302" s="200"/>
      <c r="AK302" s="209"/>
      <c r="AL302" s="200"/>
      <c r="AM302" s="210"/>
      <c r="AN302" s="210"/>
    </row>
    <row r="303" spans="1:40" x14ac:dyDescent="0.25">
      <c r="A303" s="202"/>
      <c r="C303" s="154"/>
      <c r="F303" s="252"/>
      <c r="H303" s="252"/>
      <c r="I303" s="252"/>
      <c r="J303" s="300"/>
      <c r="K303" s="300"/>
      <c r="L303" s="200"/>
      <c r="M303" s="200"/>
      <c r="N303" s="210"/>
      <c r="O303" s="210"/>
      <c r="P303" s="200"/>
      <c r="Q303" s="200"/>
      <c r="R303" s="200"/>
      <c r="T303" s="154"/>
      <c r="V303" s="252"/>
      <c r="Y303" s="200"/>
      <c r="Z303" s="300"/>
      <c r="AA303" s="200"/>
      <c r="AB303" s="200"/>
      <c r="AC303" s="210"/>
      <c r="AD303" s="210"/>
      <c r="AE303" s="200"/>
      <c r="AF303" s="200"/>
      <c r="AG303" s="209"/>
      <c r="AH303" s="201"/>
      <c r="AI303" s="200"/>
      <c r="AJ303" s="200"/>
      <c r="AK303" s="209"/>
      <c r="AL303" s="200"/>
      <c r="AM303" s="210"/>
      <c r="AN303" s="210"/>
    </row>
    <row r="304" spans="1:40" x14ac:dyDescent="0.25">
      <c r="A304" s="202"/>
      <c r="C304" s="154"/>
      <c r="F304" s="252"/>
      <c r="H304" s="252"/>
      <c r="I304" s="252"/>
      <c r="J304" s="300"/>
      <c r="K304" s="300"/>
      <c r="L304" s="200"/>
      <c r="M304" s="200"/>
      <c r="N304" s="210"/>
      <c r="O304" s="210"/>
      <c r="P304" s="200"/>
      <c r="Q304" s="200"/>
      <c r="R304" s="200"/>
      <c r="T304" s="154"/>
      <c r="V304" s="252"/>
      <c r="Y304" s="200"/>
      <c r="Z304" s="300"/>
      <c r="AA304" s="200"/>
      <c r="AB304" s="200"/>
      <c r="AC304" s="210"/>
      <c r="AD304" s="210"/>
      <c r="AE304" s="200"/>
      <c r="AF304" s="200"/>
      <c r="AG304" s="209"/>
      <c r="AH304" s="201"/>
      <c r="AI304" s="200"/>
      <c r="AJ304" s="200"/>
      <c r="AK304" s="209"/>
      <c r="AL304" s="200"/>
      <c r="AM304" s="210"/>
      <c r="AN304" s="210"/>
    </row>
    <row r="305" spans="1:40" x14ac:dyDescent="0.25">
      <c r="F305" s="211"/>
      <c r="H305" s="211"/>
      <c r="I305" s="211"/>
      <c r="J305" s="305"/>
      <c r="K305" s="305"/>
      <c r="L305" s="211"/>
      <c r="M305" s="211"/>
      <c r="N305" s="211"/>
      <c r="O305" s="211"/>
      <c r="P305" s="211"/>
      <c r="Q305" s="211"/>
      <c r="R305" s="211"/>
      <c r="V305" s="211"/>
      <c r="Y305" s="211"/>
      <c r="Z305" s="305"/>
      <c r="AA305" s="211"/>
      <c r="AB305" s="211"/>
      <c r="AC305" s="211"/>
      <c r="AD305" s="211"/>
      <c r="AE305" s="211"/>
      <c r="AF305" s="211"/>
      <c r="AI305" s="211"/>
      <c r="AJ305" s="211"/>
      <c r="AK305" s="212"/>
      <c r="AL305" s="211"/>
      <c r="AM305" s="210"/>
      <c r="AN305" s="210"/>
    </row>
    <row r="306" spans="1:40" x14ac:dyDescent="0.25">
      <c r="A306" s="202"/>
      <c r="C306" s="154"/>
      <c r="F306" s="200"/>
      <c r="H306" s="200"/>
      <c r="I306" s="200"/>
      <c r="J306" s="213"/>
      <c r="K306" s="213"/>
      <c r="L306" s="200"/>
      <c r="M306" s="200"/>
      <c r="N306" s="210"/>
      <c r="O306" s="210"/>
      <c r="P306" s="200"/>
      <c r="Q306" s="200"/>
      <c r="R306" s="200"/>
      <c r="T306" s="154"/>
      <c r="V306" s="200"/>
      <c r="Y306" s="200"/>
      <c r="Z306" s="213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F307" s="211"/>
      <c r="H307" s="211"/>
      <c r="I307" s="211"/>
      <c r="J307" s="305"/>
      <c r="K307" s="305"/>
      <c r="L307" s="211"/>
      <c r="M307" s="211"/>
      <c r="N307" s="211"/>
      <c r="O307" s="211"/>
      <c r="P307" s="211"/>
      <c r="Q307" s="211"/>
      <c r="R307" s="211"/>
      <c r="V307" s="211"/>
      <c r="Y307" s="211"/>
      <c r="Z307" s="305"/>
      <c r="AA307" s="211"/>
      <c r="AB307" s="211"/>
      <c r="AC307" s="211"/>
      <c r="AD307" s="211"/>
      <c r="AE307" s="211"/>
      <c r="AF307" s="211"/>
      <c r="AI307" s="211"/>
      <c r="AJ307" s="211"/>
      <c r="AK307" s="212"/>
      <c r="AL307" s="211"/>
      <c r="AM307" s="210"/>
      <c r="AN307" s="210"/>
    </row>
    <row r="308" spans="1:40" x14ac:dyDescent="0.25">
      <c r="A308" s="202"/>
      <c r="C308" s="154"/>
      <c r="F308" s="200"/>
      <c r="H308" s="200"/>
      <c r="I308" s="200"/>
      <c r="J308" s="213"/>
      <c r="K308" s="213"/>
      <c r="L308" s="200"/>
      <c r="M308" s="200"/>
      <c r="N308" s="210"/>
      <c r="O308" s="210"/>
      <c r="P308" s="200"/>
      <c r="Q308" s="200"/>
      <c r="R308" s="200"/>
      <c r="T308" s="154"/>
      <c r="V308" s="200"/>
      <c r="Y308" s="200"/>
      <c r="Z308" s="213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A309" s="202"/>
      <c r="C309" s="154"/>
      <c r="F309" s="200"/>
      <c r="H309" s="252"/>
      <c r="I309" s="252"/>
      <c r="J309" s="320"/>
      <c r="K309" s="320"/>
      <c r="L309" s="200"/>
      <c r="M309" s="200"/>
      <c r="N309" s="210"/>
      <c r="O309" s="210"/>
      <c r="P309" s="200"/>
      <c r="Q309" s="200"/>
      <c r="R309" s="200"/>
      <c r="T309" s="154"/>
      <c r="V309" s="200"/>
      <c r="Y309" s="200"/>
      <c r="Z309" s="304"/>
      <c r="AA309" s="200"/>
      <c r="AB309" s="200"/>
      <c r="AC309" s="210"/>
      <c r="AD309" s="210"/>
      <c r="AE309" s="200"/>
      <c r="AF309" s="200"/>
      <c r="AG309" s="209"/>
      <c r="AH309" s="201"/>
      <c r="AI309" s="200"/>
      <c r="AJ309" s="200"/>
      <c r="AK309" s="209"/>
      <c r="AL309" s="200"/>
      <c r="AM309" s="210"/>
      <c r="AN309" s="210"/>
    </row>
    <row r="310" spans="1:40" x14ac:dyDescent="0.25">
      <c r="F310" s="211"/>
      <c r="H310" s="211"/>
      <c r="I310" s="211"/>
      <c r="J310" s="305"/>
      <c r="K310" s="305"/>
      <c r="L310" s="211"/>
      <c r="M310" s="211"/>
      <c r="N310" s="211"/>
      <c r="O310" s="211"/>
      <c r="P310" s="211"/>
      <c r="Q310" s="211"/>
      <c r="R310" s="211"/>
      <c r="V310" s="211"/>
      <c r="Y310" s="211"/>
      <c r="Z310" s="305"/>
      <c r="AA310" s="211"/>
      <c r="AB310" s="211"/>
      <c r="AC310" s="211"/>
      <c r="AD310" s="211"/>
      <c r="AE310" s="211"/>
      <c r="AF310" s="211"/>
      <c r="AI310" s="211"/>
      <c r="AJ310" s="211"/>
      <c r="AK310" s="212"/>
      <c r="AL310" s="211"/>
      <c r="AM310" s="210"/>
      <c r="AN310" s="210"/>
    </row>
    <row r="312" spans="1:40" x14ac:dyDescent="0.25">
      <c r="A312" s="202"/>
      <c r="C312" s="154"/>
      <c r="F312" s="200"/>
      <c r="H312" s="200"/>
      <c r="I312" s="200"/>
      <c r="J312" s="305"/>
      <c r="K312" s="305"/>
      <c r="L312" s="200"/>
      <c r="M312" s="200"/>
      <c r="N312" s="210"/>
      <c r="O312" s="210"/>
      <c r="P312" s="200"/>
      <c r="Q312" s="200"/>
      <c r="R312" s="200"/>
      <c r="S312" s="200"/>
      <c r="T312" s="154"/>
      <c r="V312" s="200"/>
      <c r="Y312" s="200"/>
      <c r="Z312" s="305"/>
      <c r="AA312" s="200"/>
      <c r="AB312" s="200"/>
      <c r="AC312" s="210"/>
      <c r="AD312" s="210"/>
      <c r="AE312" s="200"/>
      <c r="AF312" s="200"/>
      <c r="AG312" s="209"/>
      <c r="AH312" s="210"/>
      <c r="AI312" s="200"/>
      <c r="AJ312" s="200"/>
      <c r="AK312" s="209"/>
      <c r="AL312" s="200"/>
      <c r="AM312" s="210"/>
      <c r="AN312" s="210"/>
    </row>
    <row r="313" spans="1:40" x14ac:dyDescent="0.25">
      <c r="F313" s="211"/>
      <c r="H313" s="211"/>
      <c r="I313" s="211"/>
      <c r="J313" s="305"/>
      <c r="K313" s="305"/>
      <c r="L313" s="211"/>
      <c r="M313" s="211"/>
      <c r="N313" s="211"/>
      <c r="O313" s="211"/>
      <c r="P313" s="211"/>
      <c r="Q313" s="211"/>
      <c r="R313" s="211"/>
      <c r="S313" s="200"/>
      <c r="V313" s="211"/>
      <c r="Y313" s="211"/>
      <c r="Z313" s="305"/>
      <c r="AA313" s="211"/>
      <c r="AB313" s="211"/>
      <c r="AC313" s="211"/>
      <c r="AD313" s="211"/>
      <c r="AE313" s="211"/>
      <c r="AF313" s="211"/>
      <c r="AI313" s="211"/>
      <c r="AJ313" s="211"/>
      <c r="AK313" s="212"/>
      <c r="AL313" s="211"/>
      <c r="AM313" s="210"/>
      <c r="AN313" s="210"/>
    </row>
    <row r="314" spans="1:40" x14ac:dyDescent="0.25">
      <c r="A314" s="202"/>
      <c r="C314" s="154"/>
      <c r="F314" s="252"/>
      <c r="H314" s="252"/>
      <c r="I314" s="252"/>
      <c r="J314" s="305"/>
      <c r="K314" s="305"/>
      <c r="L314" s="200"/>
      <c r="M314" s="200"/>
      <c r="N314" s="210"/>
      <c r="O314" s="210"/>
      <c r="P314" s="200"/>
      <c r="Q314" s="200"/>
      <c r="R314" s="200"/>
      <c r="S314" s="200"/>
      <c r="T314" s="154"/>
      <c r="V314" s="252"/>
      <c r="Y314" s="252"/>
      <c r="Z314" s="305"/>
      <c r="AA314" s="200"/>
      <c r="AB314" s="200"/>
      <c r="AC314" s="210"/>
      <c r="AD314" s="210"/>
      <c r="AE314" s="200"/>
      <c r="AF314" s="200"/>
      <c r="AI314" s="200"/>
      <c r="AJ314" s="200"/>
      <c r="AK314" s="209"/>
      <c r="AL314" s="200"/>
      <c r="AM314" s="210"/>
      <c r="AN314" s="210"/>
    </row>
    <row r="316" spans="1:40" x14ac:dyDescent="0.25">
      <c r="A316" s="202"/>
      <c r="C316" s="154"/>
      <c r="F316" s="252"/>
      <c r="H316" s="252"/>
      <c r="I316" s="252"/>
      <c r="J316" s="300"/>
      <c r="K316" s="300"/>
      <c r="L316" s="200"/>
      <c r="M316" s="200"/>
      <c r="N316" s="210"/>
      <c r="O316" s="210"/>
      <c r="P316" s="202"/>
      <c r="Q316" s="202"/>
      <c r="R316" s="200"/>
      <c r="T316" s="154"/>
      <c r="V316" s="200"/>
      <c r="Y316" s="252"/>
      <c r="Z316" s="300"/>
      <c r="AA316" s="200"/>
      <c r="AB316" s="200"/>
      <c r="AC316" s="210"/>
      <c r="AD316" s="210"/>
      <c r="AE316" s="200"/>
      <c r="AF316" s="200"/>
      <c r="AG316" s="209"/>
      <c r="AH316" s="201"/>
      <c r="AI316" s="202"/>
      <c r="AJ316" s="202"/>
      <c r="AK316" s="209"/>
      <c r="AL316" s="200"/>
      <c r="AM316" s="210"/>
      <c r="AN316" s="210"/>
    </row>
    <row r="317" spans="1:40" x14ac:dyDescent="0.25">
      <c r="F317" s="211"/>
      <c r="H317" s="200"/>
      <c r="I317" s="200"/>
      <c r="J317" s="305"/>
      <c r="K317" s="305"/>
      <c r="L317" s="211"/>
      <c r="M317" s="211"/>
      <c r="N317" s="211"/>
      <c r="O317" s="211"/>
      <c r="P317" s="211"/>
      <c r="Q317" s="211"/>
      <c r="R317" s="211"/>
      <c r="V317" s="211"/>
      <c r="Y317" s="200"/>
      <c r="Z317" s="305"/>
      <c r="AA317" s="211"/>
      <c r="AB317" s="211"/>
      <c r="AC317" s="211"/>
      <c r="AD317" s="211"/>
      <c r="AE317" s="211"/>
      <c r="AF317" s="211"/>
      <c r="AI317" s="211"/>
      <c r="AJ317" s="211"/>
      <c r="AK317" s="212"/>
      <c r="AL317" s="211"/>
      <c r="AM317" s="210"/>
      <c r="AN317" s="210"/>
    </row>
    <row r="318" spans="1:40" x14ac:dyDescent="0.25">
      <c r="A318" s="202"/>
      <c r="C318" s="154"/>
      <c r="F318" s="252"/>
      <c r="H318" s="252"/>
      <c r="I318" s="252"/>
      <c r="J318" s="328"/>
      <c r="K318" s="328"/>
      <c r="L318" s="200"/>
      <c r="M318" s="200"/>
      <c r="N318" s="210"/>
      <c r="O318" s="210"/>
      <c r="P318" s="200"/>
      <c r="Q318" s="200"/>
      <c r="R318" s="200"/>
      <c r="S318" s="200"/>
      <c r="T318" s="154"/>
      <c r="V318" s="252"/>
      <c r="Y318" s="252"/>
      <c r="Z318" s="328"/>
      <c r="AA318" s="200"/>
      <c r="AB318" s="200"/>
      <c r="AC318" s="210"/>
      <c r="AD318" s="210"/>
      <c r="AE318" s="200"/>
      <c r="AF318" s="200"/>
      <c r="AG318" s="209"/>
      <c r="AH318" s="210"/>
      <c r="AI318" s="200"/>
      <c r="AJ318" s="200"/>
      <c r="AK318" s="209"/>
      <c r="AL318" s="200"/>
      <c r="AM318" s="210"/>
      <c r="AN318" s="210"/>
    </row>
    <row r="319" spans="1:40" x14ac:dyDescent="0.25">
      <c r="A319" s="202"/>
      <c r="C319" s="154"/>
      <c r="F319" s="252"/>
      <c r="H319" s="252"/>
      <c r="I319" s="252"/>
      <c r="J319" s="300"/>
      <c r="K319" s="300"/>
      <c r="L319" s="200"/>
      <c r="M319" s="200"/>
      <c r="N319" s="210"/>
      <c r="O319" s="210"/>
      <c r="P319" s="200"/>
      <c r="Q319" s="200"/>
      <c r="R319" s="200"/>
      <c r="T319" s="154"/>
      <c r="V319" s="252"/>
      <c r="Y319" s="200"/>
      <c r="Z319" s="300"/>
      <c r="AA319" s="200"/>
      <c r="AB319" s="200"/>
      <c r="AC319" s="210"/>
      <c r="AD319" s="210"/>
      <c r="AE319" s="200"/>
      <c r="AF319" s="200"/>
      <c r="AG319" s="209"/>
      <c r="AH319" s="201"/>
      <c r="AI319" s="200"/>
      <c r="AJ319" s="200"/>
      <c r="AK319" s="209"/>
      <c r="AL319" s="200"/>
      <c r="AM319" s="210"/>
      <c r="AN319" s="210"/>
    </row>
    <row r="320" spans="1:40" x14ac:dyDescent="0.25">
      <c r="A320" s="202"/>
      <c r="C320" s="154"/>
      <c r="F320" s="252"/>
      <c r="H320" s="252"/>
      <c r="I320" s="252"/>
      <c r="J320" s="300"/>
      <c r="K320" s="300"/>
      <c r="L320" s="200"/>
      <c r="M320" s="200"/>
      <c r="N320" s="210"/>
      <c r="O320" s="210"/>
      <c r="P320" s="200"/>
      <c r="Q320" s="200"/>
      <c r="R320" s="200"/>
      <c r="T320" s="154"/>
      <c r="V320" s="252"/>
      <c r="Y320" s="200"/>
      <c r="Z320" s="300"/>
      <c r="AA320" s="200"/>
      <c r="AB320" s="200"/>
      <c r="AC320" s="210"/>
      <c r="AD320" s="210"/>
      <c r="AE320" s="200"/>
      <c r="AF320" s="200"/>
      <c r="AG320" s="209"/>
      <c r="AH320" s="201"/>
      <c r="AI320" s="200"/>
      <c r="AJ320" s="200"/>
      <c r="AK320" s="209"/>
      <c r="AL320" s="200"/>
      <c r="AM320" s="210"/>
      <c r="AN320" s="210"/>
    </row>
    <row r="321" spans="1:40" x14ac:dyDescent="0.25">
      <c r="F321" s="211"/>
      <c r="H321" s="211"/>
      <c r="I321" s="211"/>
      <c r="J321" s="305"/>
      <c r="K321" s="305"/>
      <c r="L321" s="211"/>
      <c r="M321" s="211"/>
      <c r="N321" s="211"/>
      <c r="O321" s="211"/>
      <c r="P321" s="211"/>
      <c r="Q321" s="211"/>
      <c r="R321" s="211"/>
      <c r="V321" s="211"/>
      <c r="Y321" s="211"/>
      <c r="Z321" s="305"/>
      <c r="AA321" s="211"/>
      <c r="AB321" s="211"/>
      <c r="AC321" s="211"/>
      <c r="AD321" s="211"/>
      <c r="AE321" s="211"/>
      <c r="AF321" s="211"/>
      <c r="AI321" s="211"/>
      <c r="AJ321" s="211"/>
      <c r="AK321" s="212"/>
      <c r="AL321" s="211"/>
      <c r="AM321" s="210"/>
      <c r="AN321" s="210"/>
    </row>
    <row r="322" spans="1:40" x14ac:dyDescent="0.25">
      <c r="A322" s="202"/>
      <c r="C322" s="154"/>
      <c r="F322" s="200"/>
      <c r="H322" s="200"/>
      <c r="I322" s="200"/>
      <c r="J322" s="213"/>
      <c r="K322" s="213"/>
      <c r="L322" s="200"/>
      <c r="M322" s="200"/>
      <c r="N322" s="210"/>
      <c r="O322" s="210"/>
      <c r="P322" s="200"/>
      <c r="Q322" s="200"/>
      <c r="R322" s="200"/>
      <c r="T322" s="154"/>
      <c r="V322" s="200"/>
      <c r="Y322" s="200"/>
      <c r="Z322" s="213"/>
      <c r="AA322" s="200"/>
      <c r="AB322" s="200"/>
      <c r="AC322" s="210"/>
      <c r="AD322" s="210"/>
      <c r="AE322" s="200"/>
      <c r="AF322" s="200"/>
      <c r="AG322" s="209"/>
      <c r="AH322" s="201"/>
      <c r="AI322" s="200"/>
      <c r="AJ322" s="200"/>
      <c r="AK322" s="209"/>
      <c r="AL322" s="200"/>
      <c r="AM322" s="210"/>
      <c r="AN322" s="210"/>
    </row>
    <row r="323" spans="1:40" x14ac:dyDescent="0.25">
      <c r="F323" s="211"/>
      <c r="H323" s="211"/>
      <c r="I323" s="211"/>
      <c r="J323" s="305"/>
      <c r="K323" s="305"/>
      <c r="L323" s="211"/>
      <c r="M323" s="211"/>
      <c r="N323" s="211"/>
      <c r="O323" s="211"/>
      <c r="P323" s="211"/>
      <c r="Q323" s="211"/>
      <c r="R323" s="211"/>
      <c r="V323" s="211"/>
      <c r="Y323" s="211"/>
      <c r="Z323" s="305"/>
      <c r="AA323" s="211"/>
      <c r="AB323" s="211"/>
      <c r="AC323" s="211"/>
      <c r="AD323" s="211"/>
      <c r="AE323" s="211"/>
      <c r="AF323" s="211"/>
      <c r="AI323" s="211"/>
      <c r="AJ323" s="211"/>
      <c r="AK323" s="212"/>
      <c r="AL323" s="211"/>
      <c r="AM323" s="210"/>
      <c r="AN323" s="210"/>
    </row>
    <row r="324" spans="1:40" x14ac:dyDescent="0.25">
      <c r="A324" s="202"/>
      <c r="C324" s="154"/>
      <c r="F324" s="200"/>
      <c r="H324" s="200"/>
      <c r="I324" s="200"/>
      <c r="J324" s="213"/>
      <c r="K324" s="213"/>
      <c r="L324" s="200"/>
      <c r="M324" s="200"/>
      <c r="N324" s="210"/>
      <c r="O324" s="210"/>
      <c r="P324" s="200"/>
      <c r="Q324" s="200"/>
      <c r="R324" s="200"/>
      <c r="T324" s="154"/>
      <c r="V324" s="200"/>
      <c r="Y324" s="200"/>
      <c r="Z324" s="213"/>
      <c r="AA324" s="200"/>
      <c r="AB324" s="200"/>
      <c r="AC324" s="210"/>
      <c r="AD324" s="210"/>
      <c r="AE324" s="200"/>
      <c r="AF324" s="200"/>
      <c r="AG324" s="209"/>
      <c r="AH324" s="201"/>
      <c r="AI324" s="200"/>
      <c r="AJ324" s="200"/>
      <c r="AK324" s="209"/>
      <c r="AL324" s="200"/>
      <c r="AM324" s="210"/>
      <c r="AN324" s="210"/>
    </row>
    <row r="325" spans="1:40" x14ac:dyDescent="0.25">
      <c r="A325" s="202"/>
      <c r="C325" s="154"/>
      <c r="F325" s="200"/>
      <c r="H325" s="252"/>
      <c r="I325" s="252"/>
      <c r="J325" s="320"/>
      <c r="K325" s="320"/>
      <c r="L325" s="200"/>
      <c r="M325" s="200"/>
      <c r="N325" s="210"/>
      <c r="O325" s="210"/>
      <c r="P325" s="200"/>
      <c r="Q325" s="200"/>
      <c r="R325" s="200"/>
      <c r="T325" s="154"/>
      <c r="V325" s="200"/>
      <c r="Y325" s="200"/>
      <c r="Z325" s="304"/>
      <c r="AA325" s="200"/>
      <c r="AB325" s="200"/>
      <c r="AC325" s="210"/>
      <c r="AD325" s="210"/>
      <c r="AE325" s="200"/>
      <c r="AF325" s="200"/>
      <c r="AG325" s="209"/>
      <c r="AH325" s="201"/>
      <c r="AI325" s="200"/>
      <c r="AJ325" s="200"/>
      <c r="AK325" s="209"/>
      <c r="AL325" s="200"/>
      <c r="AM325" s="210"/>
      <c r="AN325" s="210"/>
    </row>
    <row r="326" spans="1:40" x14ac:dyDescent="0.25">
      <c r="F326" s="211"/>
      <c r="H326" s="211"/>
      <c r="I326" s="211"/>
      <c r="J326" s="305"/>
      <c r="K326" s="305"/>
      <c r="L326" s="211"/>
      <c r="M326" s="211"/>
      <c r="N326" s="211"/>
      <c r="O326" s="211"/>
      <c r="P326" s="211"/>
      <c r="Q326" s="211"/>
      <c r="R326" s="211"/>
      <c r="V326" s="211"/>
      <c r="Y326" s="211"/>
      <c r="Z326" s="305"/>
      <c r="AA326" s="211"/>
      <c r="AB326" s="211"/>
      <c r="AC326" s="211"/>
      <c r="AD326" s="211"/>
      <c r="AE326" s="211"/>
      <c r="AF326" s="211"/>
      <c r="AI326" s="211"/>
      <c r="AJ326" s="211"/>
      <c r="AK326" s="212"/>
      <c r="AL326" s="211"/>
      <c r="AM326" s="210"/>
      <c r="AN326" s="210"/>
    </row>
    <row r="328" spans="1:40" x14ac:dyDescent="0.25">
      <c r="A328" s="202"/>
      <c r="C328" s="154"/>
      <c r="F328" s="200"/>
      <c r="H328" s="200"/>
      <c r="I328" s="200"/>
      <c r="J328" s="305"/>
      <c r="K328" s="305"/>
      <c r="L328" s="200"/>
      <c r="M328" s="200"/>
      <c r="N328" s="210"/>
      <c r="O328" s="210"/>
      <c r="P328" s="200"/>
      <c r="Q328" s="200"/>
      <c r="R328" s="200"/>
      <c r="S328" s="200"/>
      <c r="T328" s="154"/>
      <c r="V328" s="200"/>
      <c r="Y328" s="200"/>
      <c r="Z328" s="305"/>
      <c r="AA328" s="200"/>
      <c r="AB328" s="200"/>
      <c r="AC328" s="210"/>
      <c r="AD328" s="210"/>
      <c r="AE328" s="200"/>
      <c r="AF328" s="200"/>
      <c r="AG328" s="209"/>
      <c r="AH328" s="210"/>
      <c r="AI328" s="200"/>
      <c r="AJ328" s="200"/>
      <c r="AK328" s="209"/>
      <c r="AL328" s="200"/>
      <c r="AM328" s="210"/>
      <c r="AN328" s="210"/>
    </row>
    <row r="329" spans="1:40" x14ac:dyDescent="0.25">
      <c r="F329" s="211"/>
      <c r="H329" s="211"/>
      <c r="I329" s="211"/>
      <c r="J329" s="305"/>
      <c r="K329" s="305"/>
      <c r="L329" s="211"/>
      <c r="M329" s="211"/>
      <c r="N329" s="211"/>
      <c r="O329" s="211"/>
      <c r="P329" s="211"/>
      <c r="Q329" s="211"/>
      <c r="R329" s="211"/>
      <c r="S329" s="200"/>
      <c r="V329" s="211"/>
      <c r="Y329" s="211"/>
      <c r="Z329" s="305"/>
      <c r="AA329" s="211"/>
      <c r="AB329" s="211"/>
      <c r="AC329" s="211"/>
      <c r="AD329" s="211"/>
      <c r="AE329" s="211"/>
      <c r="AF329" s="211"/>
      <c r="AI329" s="211"/>
      <c r="AJ329" s="211"/>
      <c r="AK329" s="212"/>
      <c r="AL329" s="211"/>
      <c r="AM329" s="210"/>
      <c r="AN329" s="210"/>
    </row>
    <row r="330" spans="1:40" x14ac:dyDescent="0.25">
      <c r="A330" s="202"/>
      <c r="C330" s="154"/>
      <c r="T330" s="154"/>
    </row>
    <row r="331" spans="1:40" x14ac:dyDescent="0.25">
      <c r="A331" s="202"/>
      <c r="C331" s="154"/>
      <c r="F331" s="200"/>
      <c r="H331" s="200"/>
      <c r="I331" s="200"/>
      <c r="L331" s="200"/>
      <c r="M331" s="200"/>
      <c r="N331" s="210"/>
      <c r="O331" s="210"/>
      <c r="P331" s="252"/>
      <c r="Q331" s="252"/>
      <c r="R331" s="200"/>
      <c r="T331" s="154"/>
      <c r="V331" s="200"/>
      <c r="Y331" s="200"/>
      <c r="AA331" s="200"/>
      <c r="AB331" s="200"/>
      <c r="AC331" s="210"/>
      <c r="AD331" s="210"/>
      <c r="AE331" s="200"/>
      <c r="AF331" s="200"/>
      <c r="AG331" s="209"/>
      <c r="AH331" s="210"/>
      <c r="AI331" s="252"/>
      <c r="AJ331" s="252"/>
      <c r="AK331" s="209"/>
      <c r="AL331" s="200"/>
      <c r="AM331" s="210"/>
      <c r="AN331" s="210"/>
    </row>
    <row r="332" spans="1:40" x14ac:dyDescent="0.25">
      <c r="F332" s="211"/>
      <c r="H332" s="211"/>
      <c r="I332" s="211"/>
      <c r="J332" s="305"/>
      <c r="K332" s="305"/>
      <c r="L332" s="211"/>
      <c r="M332" s="211"/>
      <c r="N332" s="211"/>
      <c r="O332" s="211"/>
      <c r="P332" s="211"/>
      <c r="Q332" s="211"/>
      <c r="R332" s="211"/>
      <c r="V332" s="211"/>
      <c r="Y332" s="211"/>
      <c r="Z332" s="305"/>
      <c r="AA332" s="211"/>
      <c r="AB332" s="211"/>
      <c r="AC332" s="211"/>
      <c r="AD332" s="211"/>
      <c r="AE332" s="211"/>
      <c r="AF332" s="211"/>
      <c r="AI332" s="211"/>
      <c r="AJ332" s="211"/>
      <c r="AK332" s="212"/>
      <c r="AL332" s="211"/>
    </row>
    <row r="334" spans="1:40" x14ac:dyDescent="0.25">
      <c r="C334" s="154"/>
      <c r="L334" s="200"/>
      <c r="M334" s="200"/>
      <c r="N334" s="200"/>
      <c r="O334" s="200"/>
      <c r="P334" s="200"/>
      <c r="Q334" s="200"/>
      <c r="R334" s="200"/>
      <c r="S334" s="200"/>
      <c r="T334" s="154"/>
      <c r="AA334" s="200"/>
      <c r="AB334" s="200"/>
      <c r="AC334" s="200"/>
      <c r="AD334" s="200"/>
      <c r="AI334" s="200"/>
      <c r="AJ334" s="200"/>
      <c r="AK334" s="209"/>
      <c r="AL334" s="200"/>
    </row>
    <row r="335" spans="1:40" x14ac:dyDescent="0.25">
      <c r="A335" s="154"/>
    </row>
    <row r="336" spans="1:40" x14ac:dyDescent="0.25">
      <c r="J336" s="202"/>
      <c r="K336" s="202"/>
      <c r="Z336" s="202"/>
    </row>
    <row r="337" spans="1:40" x14ac:dyDescent="0.25">
      <c r="H337" s="154"/>
      <c r="I337" s="154"/>
      <c r="Y337" s="154"/>
    </row>
    <row r="338" spans="1:40" x14ac:dyDescent="0.25">
      <c r="J338" s="202"/>
      <c r="K338" s="202"/>
      <c r="Z338" s="202"/>
    </row>
    <row r="339" spans="1:40" x14ac:dyDescent="0.25">
      <c r="L339" s="154"/>
      <c r="M339" s="154"/>
      <c r="AA339" s="154"/>
      <c r="AB339" s="154"/>
    </row>
    <row r="340" spans="1:40" x14ac:dyDescent="0.25">
      <c r="A340" s="202"/>
      <c r="R340" s="154"/>
      <c r="AK340" s="297"/>
      <c r="AL340" s="154"/>
    </row>
    <row r="341" spans="1:40" x14ac:dyDescent="0.25">
      <c r="A341" s="202"/>
      <c r="R341" s="154"/>
      <c r="AK341" s="297"/>
      <c r="AL341" s="154"/>
    </row>
    <row r="342" spans="1:40" x14ac:dyDescent="0.25">
      <c r="A342" s="154"/>
      <c r="R342" s="154"/>
      <c r="AK342" s="297"/>
      <c r="AL342" s="154"/>
    </row>
    <row r="343" spans="1:40" x14ac:dyDescent="0.25">
      <c r="L343" s="154"/>
      <c r="M343" s="154"/>
      <c r="R343" s="202"/>
      <c r="AA343" s="154"/>
      <c r="AB343" s="154"/>
      <c r="AK343" s="209"/>
      <c r="AL343" s="202"/>
    </row>
    <row r="344" spans="1:40" x14ac:dyDescent="0.25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208"/>
      <c r="AH344" s="102"/>
      <c r="AI344" s="102"/>
      <c r="AJ344" s="102"/>
      <c r="AK344" s="208"/>
      <c r="AL344" s="102"/>
      <c r="AM344" s="102"/>
      <c r="AN344" s="102"/>
    </row>
    <row r="345" spans="1:40" x14ac:dyDescent="0.25">
      <c r="L345" s="103"/>
      <c r="M345" s="103"/>
      <c r="N345" s="103"/>
      <c r="O345" s="103"/>
      <c r="R345" s="103"/>
      <c r="AA345" s="103"/>
      <c r="AB345" s="103"/>
      <c r="AC345" s="103"/>
      <c r="AD345" s="103"/>
      <c r="AE345" s="103"/>
      <c r="AF345" s="103"/>
      <c r="AG345" s="185"/>
      <c r="AH345" s="103"/>
      <c r="AK345" s="185"/>
      <c r="AL345" s="103"/>
      <c r="AM345" s="103"/>
      <c r="AN345" s="103"/>
    </row>
    <row r="346" spans="1:40" x14ac:dyDescent="0.25">
      <c r="L346" s="103"/>
      <c r="M346" s="103"/>
      <c r="N346" s="103"/>
      <c r="O346" s="103"/>
      <c r="R346" s="103"/>
      <c r="Z346" s="103"/>
      <c r="AA346" s="103"/>
      <c r="AB346" s="103"/>
      <c r="AC346" s="103"/>
      <c r="AD346" s="103"/>
      <c r="AE346" s="103"/>
      <c r="AF346" s="103"/>
      <c r="AG346" s="185"/>
      <c r="AH346" s="103"/>
      <c r="AK346" s="185"/>
      <c r="AL346" s="103"/>
      <c r="AM346" s="103"/>
      <c r="AN346" s="103"/>
    </row>
    <row r="347" spans="1:40" x14ac:dyDescent="0.25">
      <c r="A347" s="103"/>
      <c r="C347" s="103"/>
      <c r="D347" s="103"/>
      <c r="E347" s="103"/>
      <c r="F347" s="103"/>
      <c r="J347" s="103"/>
      <c r="K347" s="103"/>
      <c r="L347" s="103"/>
      <c r="M347" s="103"/>
      <c r="N347" s="103"/>
      <c r="O347" s="103"/>
      <c r="P347" s="103"/>
      <c r="Q347" s="103"/>
      <c r="R347" s="103"/>
      <c r="T347" s="103"/>
      <c r="U347" s="103"/>
      <c r="V347" s="103"/>
      <c r="Z347" s="103"/>
      <c r="AA347" s="103"/>
      <c r="AB347" s="103"/>
      <c r="AC347" s="103"/>
      <c r="AD347" s="103"/>
      <c r="AE347" s="103"/>
      <c r="AF347" s="103"/>
      <c r="AG347" s="185"/>
      <c r="AH347" s="103"/>
      <c r="AI347" s="103"/>
      <c r="AJ347" s="103"/>
      <c r="AK347" s="185"/>
      <c r="AL347" s="103"/>
      <c r="AM347" s="103"/>
      <c r="AN347" s="103"/>
    </row>
    <row r="348" spans="1:40" x14ac:dyDescent="0.25">
      <c r="A348" s="103"/>
      <c r="C348" s="103"/>
      <c r="D348" s="103"/>
      <c r="E348" s="103"/>
      <c r="F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T348" s="103"/>
      <c r="U348" s="103"/>
      <c r="V348" s="103"/>
      <c r="Y348" s="103"/>
      <c r="Z348" s="103"/>
      <c r="AA348" s="103"/>
      <c r="AB348" s="103"/>
      <c r="AC348" s="103"/>
      <c r="AD348" s="103"/>
      <c r="AE348" s="103"/>
      <c r="AF348" s="103"/>
      <c r="AG348" s="185"/>
      <c r="AH348" s="103"/>
      <c r="AI348" s="103"/>
      <c r="AJ348" s="103"/>
      <c r="AK348" s="185"/>
      <c r="AL348" s="103"/>
      <c r="AM348" s="103"/>
      <c r="AN348" s="103"/>
    </row>
    <row r="349" spans="1:40" x14ac:dyDescent="0.25">
      <c r="C349" s="103"/>
      <c r="D349" s="103"/>
      <c r="E349" s="103"/>
      <c r="F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T349" s="103"/>
      <c r="U349" s="103"/>
      <c r="V349" s="103"/>
      <c r="Y349" s="103"/>
      <c r="Z349" s="103"/>
      <c r="AA349" s="103"/>
      <c r="AB349" s="103"/>
      <c r="AC349" s="103"/>
      <c r="AD349" s="103"/>
      <c r="AE349" s="103"/>
      <c r="AF349" s="103"/>
      <c r="AG349" s="185"/>
      <c r="AH349" s="103"/>
      <c r="AI349" s="103"/>
      <c r="AJ349" s="103"/>
      <c r="AK349" s="185"/>
      <c r="AL349" s="103"/>
      <c r="AM349" s="103"/>
      <c r="AN349" s="103"/>
    </row>
    <row r="350" spans="1:40" x14ac:dyDescent="0.2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208"/>
      <c r="AH350" s="102"/>
      <c r="AI350" s="102"/>
      <c r="AJ350" s="102"/>
      <c r="AK350" s="208"/>
      <c r="AL350" s="102"/>
      <c r="AM350" s="102"/>
      <c r="AN350" s="102"/>
    </row>
    <row r="351" spans="1:40" x14ac:dyDescent="0.25"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Y351" s="103"/>
      <c r="Z351" s="103"/>
      <c r="AA351" s="103"/>
      <c r="AB351" s="103"/>
      <c r="AC351" s="103"/>
      <c r="AD351" s="103"/>
      <c r="AE351" s="103"/>
      <c r="AF351" s="103"/>
      <c r="AG351" s="185"/>
      <c r="AH351" s="103"/>
      <c r="AI351" s="103"/>
      <c r="AJ351" s="103"/>
      <c r="AK351" s="185"/>
      <c r="AL351" s="103"/>
      <c r="AM351" s="103"/>
      <c r="AN351" s="103"/>
    </row>
    <row r="352" spans="1:40" x14ac:dyDescent="0.25">
      <c r="A352" s="202"/>
      <c r="C352" s="154"/>
      <c r="D352" s="154"/>
      <c r="E352" s="154"/>
      <c r="T352" s="154"/>
      <c r="U352" s="154"/>
    </row>
    <row r="353" spans="1:40" x14ac:dyDescent="0.25">
      <c r="D353" s="154"/>
      <c r="E353" s="154"/>
      <c r="U353" s="154"/>
    </row>
    <row r="355" spans="1:40" x14ac:dyDescent="0.25">
      <c r="A355" s="202"/>
      <c r="C355" s="154"/>
      <c r="T355" s="154"/>
    </row>
    <row r="356" spans="1:40" x14ac:dyDescent="0.25">
      <c r="A356" s="202"/>
      <c r="C356" s="154"/>
      <c r="F356" s="252"/>
      <c r="H356" s="252"/>
      <c r="I356" s="252"/>
      <c r="J356" s="329"/>
      <c r="K356" s="329"/>
      <c r="L356" s="200"/>
      <c r="M356" s="200"/>
      <c r="N356" s="210"/>
      <c r="O356" s="210"/>
      <c r="P356" s="200"/>
      <c r="Q356" s="200"/>
      <c r="R356" s="200"/>
      <c r="T356" s="154"/>
      <c r="V356" s="252"/>
      <c r="W356" s="200"/>
      <c r="X356" s="200"/>
      <c r="Y356" s="252"/>
      <c r="Z356" s="329"/>
      <c r="AA356" s="200"/>
      <c r="AB356" s="200"/>
      <c r="AC356" s="210"/>
      <c r="AD356" s="21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A357" s="202"/>
      <c r="C357" s="154"/>
      <c r="F357" s="200"/>
      <c r="H357" s="200"/>
      <c r="I357" s="200"/>
      <c r="J357" s="305"/>
      <c r="K357" s="305"/>
      <c r="L357" s="200"/>
      <c r="M357" s="200"/>
      <c r="N357" s="210"/>
      <c r="O357" s="210"/>
      <c r="P357" s="200"/>
      <c r="Q357" s="200"/>
      <c r="R357" s="200"/>
      <c r="T357" s="154"/>
      <c r="V357" s="252"/>
      <c r="W357" s="200"/>
      <c r="X357" s="200"/>
      <c r="Y357" s="252"/>
      <c r="Z357" s="305"/>
      <c r="AA357" s="200"/>
      <c r="AB357" s="200"/>
      <c r="AC357" s="210"/>
      <c r="AD357" s="210"/>
      <c r="AE357" s="200"/>
      <c r="AF357" s="200"/>
      <c r="AG357" s="209"/>
      <c r="AH357" s="201"/>
      <c r="AI357" s="200"/>
      <c r="AJ357" s="200"/>
      <c r="AK357" s="209"/>
      <c r="AL357" s="200"/>
      <c r="AM357" s="210"/>
      <c r="AN357" s="210"/>
    </row>
    <row r="358" spans="1:40" x14ac:dyDescent="0.25">
      <c r="A358" s="202"/>
      <c r="C358" s="154"/>
      <c r="F358" s="252"/>
      <c r="H358" s="252"/>
      <c r="I358" s="252"/>
      <c r="J358" s="329"/>
      <c r="K358" s="329"/>
      <c r="L358" s="200"/>
      <c r="M358" s="200"/>
      <c r="N358" s="210"/>
      <c r="O358" s="210"/>
      <c r="P358" s="200"/>
      <c r="Q358" s="200"/>
      <c r="R358" s="200"/>
      <c r="T358" s="154"/>
      <c r="V358" s="252"/>
      <c r="W358" s="200"/>
      <c r="X358" s="200"/>
      <c r="Y358" s="252"/>
      <c r="Z358" s="329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A359" s="202"/>
      <c r="C359" s="154"/>
      <c r="F359" s="252"/>
      <c r="H359" s="252"/>
      <c r="I359" s="252"/>
      <c r="J359" s="329"/>
      <c r="K359" s="329"/>
      <c r="L359" s="200"/>
      <c r="M359" s="200"/>
      <c r="N359" s="210"/>
      <c r="O359" s="210"/>
      <c r="P359" s="200"/>
      <c r="Q359" s="200"/>
      <c r="R359" s="200"/>
      <c r="T359" s="154"/>
      <c r="V359" s="252"/>
      <c r="W359" s="200"/>
      <c r="X359" s="200"/>
      <c r="Y359" s="252"/>
      <c r="Z359" s="329"/>
      <c r="AA359" s="200"/>
      <c r="AB359" s="200"/>
      <c r="AC359" s="210"/>
      <c r="AD359" s="210"/>
      <c r="AE359" s="200"/>
      <c r="AF359" s="200"/>
      <c r="AG359" s="209"/>
      <c r="AH359" s="201"/>
      <c r="AI359" s="200"/>
      <c r="AJ359" s="200"/>
      <c r="AK359" s="209"/>
      <c r="AL359" s="200"/>
      <c r="AM359" s="210"/>
      <c r="AN359" s="210"/>
    </row>
    <row r="360" spans="1:40" x14ac:dyDescent="0.25">
      <c r="A360" s="202"/>
      <c r="C360" s="154"/>
      <c r="F360" s="252"/>
      <c r="H360" s="252"/>
      <c r="I360" s="252"/>
      <c r="J360" s="329"/>
      <c r="K360" s="329"/>
      <c r="L360" s="200"/>
      <c r="M360" s="200"/>
      <c r="N360" s="210"/>
      <c r="O360" s="210"/>
      <c r="P360" s="200"/>
      <c r="Q360" s="200"/>
      <c r="R360" s="200"/>
      <c r="T360" s="154"/>
      <c r="V360" s="252"/>
      <c r="W360" s="200"/>
      <c r="X360" s="200"/>
      <c r="Y360" s="252"/>
      <c r="Z360" s="329"/>
      <c r="AA360" s="200"/>
      <c r="AB360" s="200"/>
      <c r="AC360" s="210"/>
      <c r="AD360" s="210"/>
      <c r="AE360" s="200"/>
      <c r="AF360" s="200"/>
      <c r="AG360" s="209"/>
      <c r="AH360" s="201"/>
      <c r="AI360" s="200"/>
      <c r="AJ360" s="200"/>
      <c r="AK360" s="209"/>
      <c r="AL360" s="200"/>
      <c r="AM360" s="210"/>
      <c r="AN360" s="210"/>
    </row>
    <row r="361" spans="1:40" x14ac:dyDescent="0.25">
      <c r="A361" s="202"/>
      <c r="C361" s="154"/>
      <c r="F361" s="200"/>
      <c r="H361" s="200"/>
      <c r="I361" s="200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52"/>
      <c r="W361" s="200"/>
      <c r="X361" s="200"/>
      <c r="Y361" s="252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00"/>
      <c r="H362" s="200"/>
      <c r="I362" s="200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52"/>
      <c r="W362" s="200"/>
      <c r="X362" s="200"/>
      <c r="Y362" s="252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F363" s="331"/>
      <c r="H363" s="332"/>
      <c r="I363" s="332"/>
      <c r="J363" s="329"/>
      <c r="K363" s="329"/>
      <c r="L363" s="331"/>
      <c r="M363" s="331"/>
      <c r="N363" s="211"/>
      <c r="O363" s="211"/>
      <c r="P363" s="331"/>
      <c r="Q363" s="331"/>
      <c r="R363" s="331"/>
      <c r="V363" s="331"/>
      <c r="W363" s="200"/>
      <c r="X363" s="200"/>
      <c r="Y363" s="331"/>
      <c r="Z363" s="329"/>
      <c r="AA363" s="331"/>
      <c r="AB363" s="331"/>
      <c r="AC363" s="333"/>
      <c r="AD363" s="333"/>
      <c r="AE363" s="331"/>
      <c r="AF363" s="331"/>
      <c r="AG363" s="209"/>
      <c r="AH363" s="201"/>
      <c r="AI363" s="331"/>
      <c r="AJ363" s="331"/>
      <c r="AK363" s="208"/>
      <c r="AL363" s="331"/>
      <c r="AM363" s="210"/>
      <c r="AN363" s="210"/>
    </row>
    <row r="364" spans="1:40" x14ac:dyDescent="0.25">
      <c r="A364" s="202"/>
      <c r="C364" s="154"/>
      <c r="F364" s="200"/>
      <c r="H364" s="200"/>
      <c r="I364" s="200"/>
      <c r="J364" s="329"/>
      <c r="K364" s="329"/>
      <c r="L364" s="200"/>
      <c r="M364" s="200"/>
      <c r="N364" s="201"/>
      <c r="O364" s="201"/>
      <c r="P364" s="200"/>
      <c r="Q364" s="200"/>
      <c r="R364" s="200"/>
      <c r="T364" s="103"/>
      <c r="V364" s="200"/>
      <c r="W364" s="200"/>
      <c r="X364" s="200"/>
      <c r="Y364" s="200"/>
      <c r="Z364" s="329"/>
      <c r="AA364" s="200"/>
      <c r="AB364" s="200"/>
      <c r="AC364" s="201"/>
      <c r="AD364" s="201"/>
      <c r="AE364" s="200"/>
      <c r="AF364" s="200"/>
      <c r="AG364" s="209"/>
      <c r="AH364" s="201"/>
      <c r="AI364" s="200"/>
      <c r="AJ364" s="200"/>
      <c r="AK364" s="209"/>
      <c r="AL364" s="200"/>
      <c r="AM364" s="210"/>
      <c r="AN364" s="210"/>
    </row>
    <row r="365" spans="1:40" x14ac:dyDescent="0.25">
      <c r="F365" s="102"/>
      <c r="H365" s="102"/>
      <c r="I365" s="102"/>
      <c r="L365" s="102"/>
      <c r="M365" s="102"/>
      <c r="N365" s="333"/>
      <c r="O365" s="333"/>
      <c r="P365" s="331"/>
      <c r="Q365" s="331"/>
      <c r="R365" s="331"/>
      <c r="V365" s="331"/>
      <c r="Y365" s="331"/>
      <c r="Z365" s="305"/>
      <c r="AA365" s="331"/>
      <c r="AB365" s="331"/>
      <c r="AC365" s="331"/>
      <c r="AD365" s="331"/>
      <c r="AE365" s="331"/>
      <c r="AF365" s="331"/>
      <c r="AI365" s="331"/>
      <c r="AJ365" s="331"/>
      <c r="AK365" s="208"/>
      <c r="AL365" s="331"/>
      <c r="AM365" s="333"/>
      <c r="AN365" s="333"/>
    </row>
    <row r="366" spans="1:40" x14ac:dyDescent="0.25">
      <c r="AI366" s="202"/>
      <c r="AJ366" s="202"/>
    </row>
    <row r="370" spans="1:40" x14ac:dyDescent="0.25">
      <c r="N370" s="200"/>
      <c r="O370" s="200"/>
      <c r="P370" s="200"/>
      <c r="Q370" s="200"/>
      <c r="R370" s="200"/>
      <c r="V370" s="200"/>
      <c r="Y370" s="200"/>
      <c r="Z370" s="213"/>
      <c r="AA370" s="200"/>
      <c r="AB370" s="200"/>
      <c r="AC370" s="210"/>
      <c r="AD370" s="210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A371" s="202"/>
      <c r="C371" s="154"/>
      <c r="D371" s="154"/>
      <c r="E371" s="154"/>
      <c r="J371" s="334"/>
      <c r="K371" s="334"/>
      <c r="T371" s="154"/>
      <c r="U371" s="154"/>
      <c r="Z371" s="334"/>
      <c r="AE371" s="200"/>
      <c r="AF371" s="200"/>
      <c r="AI371" s="200"/>
      <c r="AJ371" s="200"/>
      <c r="AK371" s="209"/>
      <c r="AL371" s="200"/>
      <c r="AM371" s="210"/>
      <c r="AN371" s="210"/>
    </row>
    <row r="372" spans="1:40" x14ac:dyDescent="0.25">
      <c r="D372" s="154"/>
      <c r="E372" s="154"/>
      <c r="F372" s="200"/>
      <c r="H372" s="200"/>
      <c r="I372" s="200"/>
      <c r="J372" s="329"/>
      <c r="K372" s="329"/>
      <c r="L372" s="200"/>
      <c r="M372" s="200"/>
      <c r="N372" s="210"/>
      <c r="O372" s="210"/>
      <c r="P372" s="200"/>
      <c r="Q372" s="200"/>
      <c r="R372" s="200"/>
      <c r="U372" s="154"/>
      <c r="V372" s="200"/>
      <c r="Y372" s="200"/>
      <c r="Z372" s="329"/>
      <c r="AA372" s="200"/>
      <c r="AB372" s="200"/>
      <c r="AC372" s="210"/>
      <c r="AD372" s="210"/>
      <c r="AE372" s="200"/>
      <c r="AF372" s="200"/>
      <c r="AG372" s="209"/>
      <c r="AH372" s="201"/>
      <c r="AI372" s="200"/>
      <c r="AJ372" s="200"/>
      <c r="AK372" s="209"/>
      <c r="AL372" s="200"/>
      <c r="AM372" s="210"/>
      <c r="AN372" s="210"/>
    </row>
    <row r="373" spans="1:40" x14ac:dyDescent="0.25">
      <c r="F373" s="200"/>
      <c r="H373" s="200"/>
      <c r="I373" s="200"/>
      <c r="J373" s="305"/>
      <c r="K373" s="305"/>
      <c r="L373" s="200"/>
      <c r="M373" s="200"/>
      <c r="N373" s="200"/>
      <c r="O373" s="200"/>
      <c r="P373" s="200"/>
      <c r="Q373" s="200"/>
      <c r="R373" s="200"/>
      <c r="V373" s="200"/>
      <c r="Y373" s="200"/>
      <c r="Z373" s="305"/>
      <c r="AA373" s="200"/>
      <c r="AB373" s="200"/>
      <c r="AC373" s="200"/>
      <c r="AD373" s="200"/>
      <c r="AE373" s="200"/>
      <c r="AF373" s="200"/>
      <c r="AG373" s="209"/>
      <c r="AH373" s="201"/>
      <c r="AI373" s="252"/>
      <c r="AJ373" s="252"/>
      <c r="AK373" s="209"/>
      <c r="AL373" s="200"/>
      <c r="AM373" s="210"/>
      <c r="AN373" s="210"/>
    </row>
    <row r="374" spans="1:40" x14ac:dyDescent="0.25">
      <c r="A374" s="202"/>
      <c r="C374" s="154"/>
      <c r="F374" s="252"/>
      <c r="H374" s="252"/>
      <c r="I374" s="252"/>
      <c r="J374" s="304"/>
      <c r="K374" s="304"/>
      <c r="L374" s="200"/>
      <c r="M374" s="200"/>
      <c r="N374" s="210"/>
      <c r="O374" s="210"/>
      <c r="P374" s="200"/>
      <c r="Q374" s="200"/>
      <c r="R374" s="200"/>
      <c r="T374" s="154"/>
      <c r="V374" s="252"/>
      <c r="Y374" s="252"/>
      <c r="Z374" s="304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F375" s="102"/>
      <c r="H375" s="102"/>
      <c r="I375" s="102"/>
      <c r="L375" s="102"/>
      <c r="M375" s="102"/>
      <c r="N375" s="102"/>
      <c r="O375" s="102"/>
      <c r="P375" s="102"/>
      <c r="Q375" s="102"/>
      <c r="R375" s="102"/>
      <c r="V375" s="102"/>
      <c r="Y375" s="102"/>
      <c r="AA375" s="102"/>
      <c r="AB375" s="102"/>
      <c r="AC375" s="102"/>
      <c r="AD375" s="102"/>
      <c r="AE375" s="102"/>
      <c r="AF375" s="102"/>
      <c r="AG375" s="208"/>
      <c r="AH375" s="102"/>
      <c r="AI375" s="102"/>
      <c r="AJ375" s="102"/>
      <c r="AK375" s="208"/>
      <c r="AL375" s="102"/>
      <c r="AM375" s="102"/>
      <c r="AN375" s="102"/>
    </row>
    <row r="376" spans="1:40" x14ac:dyDescent="0.25">
      <c r="A376" s="202"/>
      <c r="C376" s="103"/>
      <c r="F376" s="252"/>
      <c r="H376" s="252"/>
      <c r="I376" s="252"/>
      <c r="J376" s="300"/>
      <c r="K376" s="300"/>
      <c r="L376" s="252"/>
      <c r="M376" s="252"/>
      <c r="N376" s="210"/>
      <c r="O376" s="210"/>
      <c r="P376" s="252"/>
      <c r="Q376" s="252"/>
      <c r="R376" s="252"/>
      <c r="T376" s="103"/>
      <c r="V376" s="200"/>
      <c r="Y376" s="200"/>
      <c r="Z376" s="213"/>
      <c r="AA376" s="200"/>
      <c r="AB376" s="200"/>
      <c r="AC376" s="210"/>
      <c r="AD376" s="210"/>
      <c r="AE376" s="202"/>
      <c r="AF376" s="202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F377" s="331"/>
      <c r="H377" s="331"/>
      <c r="I377" s="331"/>
      <c r="J377" s="305"/>
      <c r="K377" s="305"/>
      <c r="L377" s="331"/>
      <c r="M377" s="331"/>
      <c r="N377" s="331"/>
      <c r="O377" s="331"/>
      <c r="P377" s="331"/>
      <c r="Q377" s="331"/>
      <c r="R377" s="331"/>
      <c r="V377" s="102"/>
      <c r="Y377" s="102"/>
      <c r="AA377" s="102"/>
      <c r="AB377" s="102"/>
      <c r="AC377" s="102"/>
      <c r="AD377" s="102"/>
      <c r="AE377" s="102"/>
      <c r="AF377" s="102"/>
      <c r="AG377" s="208"/>
      <c r="AH377" s="102"/>
      <c r="AI377" s="102"/>
      <c r="AJ377" s="102"/>
      <c r="AK377" s="208"/>
      <c r="AL377" s="102"/>
      <c r="AM377" s="102"/>
      <c r="AN377" s="102"/>
    </row>
    <row r="378" spans="1:40" x14ac:dyDescent="0.25">
      <c r="F378" s="252"/>
      <c r="H378" s="252"/>
      <c r="I378" s="252"/>
      <c r="J378" s="328"/>
      <c r="K378" s="328"/>
      <c r="L378" s="200"/>
      <c r="M378" s="200"/>
      <c r="N378" s="210"/>
      <c r="O378" s="210"/>
      <c r="P378" s="200"/>
      <c r="Q378" s="200"/>
      <c r="R378" s="200"/>
    </row>
    <row r="379" spans="1:40" x14ac:dyDescent="0.25">
      <c r="A379" s="154"/>
      <c r="F379" s="252"/>
      <c r="H379" s="252"/>
      <c r="I379" s="252"/>
      <c r="J379" s="300"/>
      <c r="K379" s="300"/>
      <c r="L379" s="200"/>
      <c r="M379" s="200"/>
      <c r="N379" s="210"/>
      <c r="O379" s="210"/>
      <c r="P379" s="200"/>
      <c r="Q379" s="200"/>
      <c r="R379" s="200"/>
    </row>
    <row r="380" spans="1:40" x14ac:dyDescent="0.25">
      <c r="F380" s="252"/>
      <c r="H380" s="252"/>
      <c r="I380" s="252"/>
      <c r="J380" s="300"/>
      <c r="K380" s="300"/>
      <c r="L380" s="200"/>
      <c r="M380" s="200"/>
      <c r="N380" s="210"/>
      <c r="O380" s="210"/>
      <c r="P380" s="200"/>
      <c r="Q380" s="200"/>
      <c r="R380" s="200"/>
    </row>
    <row r="381" spans="1:40" x14ac:dyDescent="0.25">
      <c r="A381" s="154"/>
    </row>
    <row r="383" spans="1:40" x14ac:dyDescent="0.25">
      <c r="J383" s="202"/>
      <c r="K383" s="202"/>
      <c r="Z383" s="202"/>
    </row>
    <row r="384" spans="1:40" x14ac:dyDescent="0.25">
      <c r="H384" s="154"/>
      <c r="I384" s="154"/>
      <c r="Y384" s="154"/>
    </row>
    <row r="385" spans="1:40" x14ac:dyDescent="0.25">
      <c r="J385" s="202"/>
      <c r="K385" s="202"/>
      <c r="Z385" s="202"/>
    </row>
    <row r="386" spans="1:40" x14ac:dyDescent="0.25">
      <c r="L386" s="154"/>
      <c r="M386" s="154"/>
      <c r="AA386" s="154"/>
      <c r="AB386" s="154"/>
    </row>
    <row r="387" spans="1:40" x14ac:dyDescent="0.25">
      <c r="A387" s="202"/>
      <c r="R387" s="154"/>
      <c r="AK387" s="297"/>
      <c r="AL387" s="154"/>
    </row>
    <row r="388" spans="1:40" x14ac:dyDescent="0.25">
      <c r="A388" s="202"/>
      <c r="R388" s="154"/>
      <c r="AK388" s="297"/>
      <c r="AL388" s="154"/>
    </row>
    <row r="389" spans="1:40" x14ac:dyDescent="0.25">
      <c r="A389" s="154"/>
      <c r="R389" s="154"/>
      <c r="AK389" s="297"/>
      <c r="AL389" s="154"/>
    </row>
    <row r="390" spans="1:40" x14ac:dyDescent="0.25">
      <c r="L390" s="154"/>
      <c r="M390" s="154"/>
      <c r="R390" s="202"/>
      <c r="AA390" s="154"/>
      <c r="AB390" s="154"/>
      <c r="AK390" s="209"/>
      <c r="AL390" s="202"/>
    </row>
    <row r="391" spans="1:40" x14ac:dyDescent="0.25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208"/>
      <c r="AH391" s="102"/>
      <c r="AI391" s="102"/>
      <c r="AJ391" s="102"/>
      <c r="AK391" s="208"/>
      <c r="AL391" s="102"/>
      <c r="AM391" s="102"/>
      <c r="AN391" s="102"/>
    </row>
    <row r="392" spans="1:40" x14ac:dyDescent="0.25">
      <c r="L392" s="103"/>
      <c r="M392" s="103"/>
      <c r="N392" s="103"/>
      <c r="O392" s="103"/>
      <c r="R392" s="103"/>
      <c r="AA392" s="103"/>
      <c r="AB392" s="103"/>
      <c r="AC392" s="103"/>
      <c r="AD392" s="103"/>
      <c r="AE392" s="103"/>
      <c r="AF392" s="103"/>
      <c r="AG392" s="185"/>
      <c r="AH392" s="103"/>
      <c r="AK392" s="185"/>
      <c r="AL392" s="103"/>
      <c r="AM392" s="103"/>
      <c r="AN392" s="103"/>
    </row>
    <row r="393" spans="1:40" x14ac:dyDescent="0.25">
      <c r="L393" s="103"/>
      <c r="M393" s="103"/>
      <c r="N393" s="103"/>
      <c r="O393" s="103"/>
      <c r="R393" s="103"/>
      <c r="Z393" s="103"/>
      <c r="AA393" s="103"/>
      <c r="AB393" s="103"/>
      <c r="AC393" s="103"/>
      <c r="AD393" s="103"/>
      <c r="AE393" s="103"/>
      <c r="AF393" s="103"/>
      <c r="AG393" s="185"/>
      <c r="AH393" s="103"/>
      <c r="AK393" s="185"/>
      <c r="AL393" s="103"/>
      <c r="AM393" s="103"/>
      <c r="AN393" s="103"/>
    </row>
    <row r="394" spans="1:40" x14ac:dyDescent="0.25">
      <c r="A394" s="103"/>
      <c r="C394" s="103"/>
      <c r="D394" s="103"/>
      <c r="E394" s="103"/>
      <c r="F394" s="103"/>
      <c r="J394" s="103"/>
      <c r="K394" s="103"/>
      <c r="L394" s="103"/>
      <c r="M394" s="103"/>
      <c r="N394" s="103"/>
      <c r="O394" s="103"/>
      <c r="P394" s="103"/>
      <c r="Q394" s="103"/>
      <c r="R394" s="103"/>
      <c r="T394" s="103"/>
      <c r="U394" s="103"/>
      <c r="V394" s="103"/>
      <c r="Z394" s="103"/>
      <c r="AA394" s="103"/>
      <c r="AB394" s="103"/>
      <c r="AC394" s="103"/>
      <c r="AD394" s="103"/>
      <c r="AE394" s="103"/>
      <c r="AF394" s="103"/>
      <c r="AG394" s="185"/>
      <c r="AH394" s="103"/>
      <c r="AI394" s="103"/>
      <c r="AJ394" s="103"/>
      <c r="AK394" s="185"/>
      <c r="AL394" s="103"/>
      <c r="AM394" s="103"/>
      <c r="AN394" s="103"/>
    </row>
    <row r="395" spans="1:40" x14ac:dyDescent="0.25">
      <c r="A395" s="103"/>
      <c r="C395" s="103"/>
      <c r="D395" s="103"/>
      <c r="E395" s="103"/>
      <c r="F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T395" s="103"/>
      <c r="U395" s="103"/>
      <c r="V395" s="103"/>
      <c r="Y395" s="103"/>
      <c r="Z395" s="103"/>
      <c r="AA395" s="103"/>
      <c r="AB395" s="103"/>
      <c r="AC395" s="103"/>
      <c r="AD395" s="103"/>
      <c r="AE395" s="103"/>
      <c r="AF395" s="103"/>
      <c r="AG395" s="185"/>
      <c r="AH395" s="103"/>
      <c r="AI395" s="103"/>
      <c r="AJ395" s="103"/>
      <c r="AK395" s="185"/>
      <c r="AL395" s="103"/>
      <c r="AM395" s="103"/>
      <c r="AN395" s="103"/>
    </row>
    <row r="396" spans="1:40" x14ac:dyDescent="0.25">
      <c r="C396" s="103"/>
      <c r="D396" s="103"/>
      <c r="E396" s="103"/>
      <c r="F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T396" s="103"/>
      <c r="U396" s="103"/>
      <c r="V396" s="103"/>
      <c r="Y396" s="103"/>
      <c r="Z396" s="103"/>
      <c r="AA396" s="103"/>
      <c r="AB396" s="103"/>
      <c r="AC396" s="103"/>
      <c r="AD396" s="103"/>
      <c r="AE396" s="103"/>
      <c r="AF396" s="103"/>
      <c r="AG396" s="185"/>
      <c r="AH396" s="103"/>
      <c r="AI396" s="103"/>
      <c r="AJ396" s="103"/>
      <c r="AK396" s="185"/>
      <c r="AL396" s="103"/>
      <c r="AM396" s="103"/>
      <c r="AN396" s="103"/>
    </row>
    <row r="397" spans="1:40" x14ac:dyDescent="0.2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208"/>
      <c r="AH397" s="102"/>
      <c r="AI397" s="102"/>
      <c r="AJ397" s="102"/>
      <c r="AK397" s="208"/>
      <c r="AL397" s="102"/>
      <c r="AM397" s="102"/>
      <c r="AN397" s="102"/>
    </row>
    <row r="398" spans="1:40" x14ac:dyDescent="0.25"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Y398" s="103"/>
      <c r="Z398" s="103"/>
      <c r="AA398" s="103"/>
      <c r="AB398" s="103"/>
      <c r="AC398" s="103"/>
      <c r="AD398" s="103"/>
      <c r="AE398" s="103"/>
      <c r="AF398" s="103"/>
      <c r="AG398" s="185"/>
      <c r="AH398" s="103"/>
      <c r="AI398" s="103"/>
      <c r="AJ398" s="103"/>
      <c r="AK398" s="185"/>
      <c r="AL398" s="103"/>
      <c r="AM398" s="103"/>
      <c r="AN398" s="103"/>
    </row>
    <row r="399" spans="1:40" x14ac:dyDescent="0.25">
      <c r="A399" s="202"/>
      <c r="C399" s="154"/>
      <c r="D399" s="154"/>
      <c r="E399" s="154"/>
      <c r="T399" s="154"/>
      <c r="U399" s="154"/>
    </row>
    <row r="401" spans="1:40" x14ac:dyDescent="0.25">
      <c r="A401" s="202"/>
      <c r="C401" s="154"/>
      <c r="T401" s="154"/>
    </row>
    <row r="402" spans="1:40" x14ac:dyDescent="0.25">
      <c r="A402" s="202"/>
      <c r="C402" s="154"/>
      <c r="F402" s="252"/>
      <c r="H402" s="252"/>
      <c r="I402" s="252"/>
      <c r="J402" s="305"/>
      <c r="K402" s="305"/>
      <c r="L402" s="200"/>
      <c r="M402" s="200"/>
      <c r="N402" s="210"/>
      <c r="O402" s="210"/>
      <c r="P402" s="200"/>
      <c r="Q402" s="200"/>
      <c r="R402" s="200"/>
      <c r="T402" s="154"/>
      <c r="V402" s="252"/>
      <c r="Y402" s="252"/>
      <c r="Z402" s="305"/>
      <c r="AA402" s="200"/>
      <c r="AB402" s="200"/>
      <c r="AC402" s="210"/>
      <c r="AD402" s="210"/>
      <c r="AE402" s="200"/>
      <c r="AF402" s="200"/>
      <c r="AG402" s="209"/>
      <c r="AH402" s="201"/>
      <c r="AI402" s="200"/>
      <c r="AJ402" s="200"/>
      <c r="AK402" s="209"/>
      <c r="AL402" s="200"/>
      <c r="AM402" s="210"/>
      <c r="AN402" s="210"/>
    </row>
    <row r="403" spans="1:40" x14ac:dyDescent="0.25">
      <c r="A403" s="202"/>
      <c r="C403" s="154"/>
      <c r="T403" s="154"/>
    </row>
    <row r="404" spans="1:40" x14ac:dyDescent="0.25">
      <c r="A404" s="202"/>
      <c r="C404" s="154"/>
      <c r="F404" s="252"/>
      <c r="H404" s="252"/>
      <c r="I404" s="252"/>
      <c r="J404" s="329"/>
      <c r="K404" s="329"/>
      <c r="L404" s="200"/>
      <c r="M404" s="200"/>
      <c r="N404" s="210"/>
      <c r="O404" s="210"/>
      <c r="P404" s="200"/>
      <c r="Q404" s="200"/>
      <c r="R404" s="200"/>
      <c r="T404" s="154"/>
      <c r="V404" s="200"/>
      <c r="Y404" s="200"/>
      <c r="Z404" s="329"/>
      <c r="AA404" s="200"/>
      <c r="AB404" s="200"/>
      <c r="AC404" s="210"/>
      <c r="AD404" s="210"/>
      <c r="AE404" s="200"/>
      <c r="AF404" s="200"/>
      <c r="AG404" s="209"/>
      <c r="AH404" s="201"/>
      <c r="AI404" s="200"/>
      <c r="AJ404" s="200"/>
      <c r="AK404" s="209"/>
      <c r="AL404" s="200"/>
      <c r="AM404" s="210"/>
      <c r="AN404" s="210"/>
    </row>
    <row r="405" spans="1:40" x14ac:dyDescent="0.25">
      <c r="A405" s="202"/>
      <c r="C405" s="154"/>
      <c r="F405" s="252"/>
      <c r="H405" s="252"/>
      <c r="I405" s="252"/>
      <c r="J405" s="329"/>
      <c r="K405" s="329"/>
      <c r="L405" s="200"/>
      <c r="M405" s="200"/>
      <c r="N405" s="210"/>
      <c r="O405" s="210"/>
      <c r="P405" s="200"/>
      <c r="Q405" s="200"/>
      <c r="R405" s="200"/>
      <c r="T405" s="154"/>
      <c r="V405" s="200"/>
      <c r="Y405" s="200"/>
      <c r="Z405" s="329"/>
      <c r="AA405" s="200"/>
      <c r="AB405" s="200"/>
      <c r="AC405" s="210"/>
      <c r="AD405" s="210"/>
      <c r="AE405" s="200"/>
      <c r="AF405" s="200"/>
      <c r="AG405" s="209"/>
      <c r="AH405" s="201"/>
      <c r="AI405" s="200"/>
      <c r="AJ405" s="200"/>
      <c r="AK405" s="209"/>
      <c r="AL405" s="200"/>
      <c r="AM405" s="210"/>
      <c r="AN405" s="210"/>
    </row>
    <row r="406" spans="1:40" x14ac:dyDescent="0.25">
      <c r="A406" s="202"/>
      <c r="C406" s="154"/>
      <c r="F406" s="252"/>
      <c r="H406" s="252"/>
      <c r="I406" s="252"/>
      <c r="J406" s="329"/>
      <c r="K406" s="329"/>
      <c r="L406" s="200"/>
      <c r="M406" s="200"/>
      <c r="N406" s="210"/>
      <c r="O406" s="210"/>
      <c r="P406" s="200"/>
      <c r="Q406" s="200"/>
      <c r="R406" s="200"/>
      <c r="T406" s="154"/>
      <c r="V406" s="200"/>
      <c r="Y406" s="200"/>
      <c r="Z406" s="329"/>
      <c r="AA406" s="200"/>
      <c r="AB406" s="200"/>
      <c r="AC406" s="210"/>
      <c r="AD406" s="210"/>
      <c r="AE406" s="200"/>
      <c r="AF406" s="200"/>
      <c r="AG406" s="209"/>
      <c r="AH406" s="201"/>
      <c r="AI406" s="200"/>
      <c r="AJ406" s="200"/>
      <c r="AK406" s="209"/>
      <c r="AL406" s="200"/>
      <c r="AM406" s="210"/>
      <c r="AN406" s="210"/>
    </row>
    <row r="407" spans="1:40" x14ac:dyDescent="0.25">
      <c r="A407" s="202"/>
      <c r="C407" s="154"/>
      <c r="F407" s="252"/>
      <c r="H407" s="252"/>
      <c r="I407" s="252"/>
      <c r="J407" s="329"/>
      <c r="K407" s="329"/>
      <c r="L407" s="200"/>
      <c r="M407" s="200"/>
      <c r="N407" s="210"/>
      <c r="O407" s="210"/>
      <c r="P407" s="200"/>
      <c r="Q407" s="200"/>
      <c r="R407" s="200"/>
      <c r="T407" s="154"/>
      <c r="V407" s="200"/>
      <c r="Y407" s="200"/>
      <c r="Z407" s="329"/>
      <c r="AA407" s="200"/>
      <c r="AB407" s="200"/>
      <c r="AC407" s="210"/>
      <c r="AD407" s="210"/>
      <c r="AE407" s="200"/>
      <c r="AF407" s="200"/>
      <c r="AG407" s="209"/>
      <c r="AH407" s="201"/>
      <c r="AI407" s="200"/>
      <c r="AJ407" s="200"/>
      <c r="AK407" s="209"/>
      <c r="AL407" s="200"/>
      <c r="AM407" s="210"/>
      <c r="AN407" s="210"/>
    </row>
    <row r="408" spans="1:40" x14ac:dyDescent="0.25">
      <c r="A408" s="202"/>
      <c r="C408" s="154"/>
      <c r="J408" s="334"/>
      <c r="K408" s="334"/>
      <c r="T408" s="154"/>
      <c r="Z408" s="334"/>
    </row>
    <row r="409" spans="1:40" x14ac:dyDescent="0.25">
      <c r="A409" s="202"/>
      <c r="C409" s="154"/>
      <c r="F409" s="252"/>
      <c r="H409" s="252"/>
      <c r="I409" s="252"/>
      <c r="J409" s="329"/>
      <c r="K409" s="329"/>
      <c r="L409" s="200"/>
      <c r="M409" s="200"/>
      <c r="N409" s="210"/>
      <c r="O409" s="210"/>
      <c r="P409" s="200"/>
      <c r="Q409" s="200"/>
      <c r="R409" s="200"/>
      <c r="T409" s="154"/>
      <c r="V409" s="200"/>
      <c r="Y409" s="200"/>
      <c r="Z409" s="329"/>
      <c r="AA409" s="200"/>
      <c r="AB409" s="200"/>
      <c r="AC409" s="210"/>
      <c r="AD409" s="210"/>
      <c r="AE409" s="200"/>
      <c r="AF409" s="200"/>
      <c r="AG409" s="209"/>
      <c r="AH409" s="201"/>
      <c r="AI409" s="200"/>
      <c r="AJ409" s="200"/>
      <c r="AK409" s="209"/>
      <c r="AL409" s="200"/>
      <c r="AM409" s="210"/>
      <c r="AN409" s="210"/>
    </row>
    <row r="410" spans="1:40" x14ac:dyDescent="0.25">
      <c r="A410" s="202"/>
      <c r="C410" s="154"/>
      <c r="F410" s="252"/>
      <c r="H410" s="252"/>
      <c r="I410" s="252"/>
      <c r="J410" s="329"/>
      <c r="K410" s="329"/>
      <c r="L410" s="200"/>
      <c r="M410" s="200"/>
      <c r="N410" s="210"/>
      <c r="O410" s="210"/>
      <c r="P410" s="200"/>
      <c r="Q410" s="200"/>
      <c r="R410" s="200"/>
      <c r="T410" s="154"/>
      <c r="V410" s="200"/>
      <c r="Y410" s="200"/>
      <c r="Z410" s="329"/>
      <c r="AA410" s="200"/>
      <c r="AB410" s="200"/>
      <c r="AC410" s="210"/>
      <c r="AD410" s="210"/>
      <c r="AE410" s="200"/>
      <c r="AF410" s="200"/>
      <c r="AG410" s="209"/>
      <c r="AH410" s="201"/>
      <c r="AI410" s="200"/>
      <c r="AJ410" s="200"/>
      <c r="AK410" s="209"/>
      <c r="AL410" s="200"/>
      <c r="AM410" s="210"/>
      <c r="AN410" s="210"/>
    </row>
    <row r="411" spans="1:40" x14ac:dyDescent="0.25">
      <c r="A411" s="202"/>
      <c r="C411" s="154"/>
      <c r="F411" s="252"/>
      <c r="H411" s="252"/>
      <c r="I411" s="252"/>
      <c r="J411" s="329"/>
      <c r="K411" s="329"/>
      <c r="L411" s="200"/>
      <c r="M411" s="200"/>
      <c r="N411" s="210"/>
      <c r="O411" s="210"/>
      <c r="P411" s="200"/>
      <c r="Q411" s="200"/>
      <c r="R411" s="200"/>
      <c r="T411" s="154"/>
      <c r="V411" s="200"/>
      <c r="Y411" s="200"/>
      <c r="Z411" s="329"/>
      <c r="AA411" s="200"/>
      <c r="AB411" s="200"/>
      <c r="AC411" s="210"/>
      <c r="AD411" s="210"/>
      <c r="AE411" s="200"/>
      <c r="AF411" s="200"/>
      <c r="AG411" s="209"/>
      <c r="AH411" s="201"/>
      <c r="AI411" s="200"/>
      <c r="AJ411" s="200"/>
      <c r="AK411" s="209"/>
      <c r="AL411" s="200"/>
      <c r="AM411" s="210"/>
      <c r="AN411" s="210"/>
    </row>
    <row r="412" spans="1:40" x14ac:dyDescent="0.25">
      <c r="A412" s="202"/>
      <c r="C412" s="154"/>
      <c r="J412" s="334"/>
      <c r="K412" s="334"/>
      <c r="T412" s="154"/>
      <c r="Z412" s="334"/>
    </row>
    <row r="413" spans="1:40" x14ac:dyDescent="0.25">
      <c r="A413" s="202"/>
      <c r="C413" s="154"/>
      <c r="F413" s="252"/>
      <c r="H413" s="252"/>
      <c r="I413" s="252"/>
      <c r="J413" s="329"/>
      <c r="K413" s="329"/>
      <c r="L413" s="200"/>
      <c r="M413" s="200"/>
      <c r="N413" s="210"/>
      <c r="O413" s="210"/>
      <c r="P413" s="200"/>
      <c r="Q413" s="200"/>
      <c r="R413" s="200"/>
      <c r="T413" s="154"/>
      <c r="V413" s="200"/>
      <c r="Y413" s="200"/>
      <c r="Z413" s="329"/>
      <c r="AA413" s="200"/>
      <c r="AB413" s="200"/>
      <c r="AC413" s="210"/>
      <c r="AD413" s="210"/>
      <c r="AE413" s="200"/>
      <c r="AF413" s="200"/>
      <c r="AG413" s="209"/>
      <c r="AH413" s="201"/>
      <c r="AI413" s="200"/>
      <c r="AJ413" s="200"/>
      <c r="AK413" s="209"/>
      <c r="AL413" s="200"/>
      <c r="AM413" s="210"/>
      <c r="AN413" s="210"/>
    </row>
    <row r="414" spans="1:40" x14ac:dyDescent="0.25">
      <c r="A414" s="202"/>
      <c r="C414" s="154"/>
      <c r="F414" s="252"/>
      <c r="H414" s="252"/>
      <c r="I414" s="252"/>
      <c r="J414" s="329"/>
      <c r="K414" s="329"/>
      <c r="L414" s="200"/>
      <c r="M414" s="200"/>
      <c r="N414" s="210"/>
      <c r="O414" s="210"/>
      <c r="P414" s="200"/>
      <c r="Q414" s="200"/>
      <c r="R414" s="200"/>
      <c r="T414" s="154"/>
      <c r="V414" s="200"/>
      <c r="Y414" s="200"/>
      <c r="Z414" s="329"/>
      <c r="AA414" s="200"/>
      <c r="AB414" s="200"/>
      <c r="AC414" s="210"/>
      <c r="AD414" s="210"/>
      <c r="AE414" s="200"/>
      <c r="AF414" s="200"/>
      <c r="AG414" s="209"/>
      <c r="AH414" s="201"/>
      <c r="AI414" s="200"/>
      <c r="AJ414" s="200"/>
      <c r="AK414" s="209"/>
      <c r="AL414" s="200"/>
      <c r="AM414" s="210"/>
      <c r="AN414" s="210"/>
    </row>
    <row r="415" spans="1:40" x14ac:dyDescent="0.25">
      <c r="A415" s="202"/>
      <c r="C415" s="154"/>
      <c r="J415" s="334"/>
      <c r="K415" s="334"/>
      <c r="T415" s="154"/>
      <c r="Z415" s="334"/>
    </row>
    <row r="416" spans="1:40" x14ac:dyDescent="0.25">
      <c r="A416" s="202"/>
      <c r="C416" s="154"/>
      <c r="F416" s="252"/>
      <c r="H416" s="252"/>
      <c r="I416" s="252"/>
      <c r="J416" s="329"/>
      <c r="K416" s="329"/>
      <c r="L416" s="200"/>
      <c r="M416" s="200"/>
      <c r="N416" s="210"/>
      <c r="O416" s="210"/>
      <c r="P416" s="200"/>
      <c r="Q416" s="200"/>
      <c r="R416" s="200"/>
      <c r="T416" s="154"/>
      <c r="V416" s="200"/>
      <c r="Y416" s="200"/>
      <c r="Z416" s="329"/>
      <c r="AA416" s="200"/>
      <c r="AB416" s="200"/>
      <c r="AC416" s="210"/>
      <c r="AD416" s="210"/>
      <c r="AE416" s="200"/>
      <c r="AF416" s="200"/>
      <c r="AG416" s="209"/>
      <c r="AH416" s="201"/>
      <c r="AI416" s="200"/>
      <c r="AJ416" s="200"/>
      <c r="AK416" s="209"/>
      <c r="AL416" s="200"/>
      <c r="AM416" s="210"/>
      <c r="AN416" s="210"/>
    </row>
    <row r="417" spans="1:40" x14ac:dyDescent="0.25">
      <c r="A417" s="202"/>
      <c r="C417" s="154"/>
      <c r="F417" s="252"/>
      <c r="H417" s="252"/>
      <c r="I417" s="252"/>
      <c r="J417" s="329"/>
      <c r="K417" s="329"/>
      <c r="L417" s="200"/>
      <c r="M417" s="200"/>
      <c r="N417" s="210"/>
      <c r="O417" s="210"/>
      <c r="P417" s="200"/>
      <c r="Q417" s="200"/>
      <c r="R417" s="200"/>
      <c r="T417" s="154"/>
      <c r="V417" s="200"/>
      <c r="Y417" s="200"/>
      <c r="Z417" s="329"/>
      <c r="AA417" s="200"/>
      <c r="AB417" s="200"/>
      <c r="AC417" s="210"/>
      <c r="AD417" s="210"/>
      <c r="AE417" s="200"/>
      <c r="AF417" s="200"/>
      <c r="AG417" s="209"/>
      <c r="AH417" s="201"/>
      <c r="AI417" s="200"/>
      <c r="AJ417" s="200"/>
      <c r="AK417" s="209"/>
      <c r="AL417" s="200"/>
      <c r="AM417" s="210"/>
      <c r="AN417" s="210"/>
    </row>
    <row r="418" spans="1:40" x14ac:dyDescent="0.25">
      <c r="A418" s="202"/>
      <c r="C418" s="154"/>
      <c r="F418" s="252"/>
      <c r="H418" s="252"/>
      <c r="I418" s="252"/>
      <c r="J418" s="329"/>
      <c r="K418" s="329"/>
      <c r="L418" s="200"/>
      <c r="M418" s="200"/>
      <c r="N418" s="210"/>
      <c r="O418" s="210"/>
      <c r="P418" s="200"/>
      <c r="Q418" s="200"/>
      <c r="R418" s="200"/>
      <c r="T418" s="154"/>
      <c r="V418" s="200"/>
      <c r="Y418" s="200"/>
      <c r="Z418" s="329"/>
      <c r="AA418" s="200"/>
      <c r="AB418" s="200"/>
      <c r="AC418" s="210"/>
      <c r="AD418" s="210"/>
      <c r="AE418" s="200"/>
      <c r="AF418" s="200"/>
      <c r="AG418" s="209"/>
      <c r="AH418" s="201"/>
      <c r="AI418" s="200"/>
      <c r="AJ418" s="200"/>
      <c r="AK418" s="209"/>
      <c r="AL418" s="200"/>
      <c r="AM418" s="210"/>
      <c r="AN418" s="210"/>
    </row>
    <row r="419" spans="1:40" x14ac:dyDescent="0.25">
      <c r="F419" s="211"/>
      <c r="H419" s="211"/>
      <c r="I419" s="211"/>
      <c r="J419" s="329"/>
      <c r="K419" s="329"/>
      <c r="L419" s="211"/>
      <c r="M419" s="211"/>
      <c r="N419" s="211"/>
      <c r="O419" s="211"/>
      <c r="P419" s="211"/>
      <c r="Q419" s="211"/>
      <c r="R419" s="211"/>
      <c r="V419" s="211"/>
      <c r="Y419" s="211"/>
      <c r="Z419" s="329"/>
      <c r="AA419" s="211"/>
      <c r="AB419" s="211"/>
      <c r="AC419" s="211"/>
      <c r="AD419" s="211"/>
      <c r="AE419" s="211"/>
      <c r="AF419" s="211"/>
      <c r="AI419" s="211"/>
      <c r="AJ419" s="211"/>
      <c r="AK419" s="212"/>
      <c r="AL419" s="211"/>
    </row>
    <row r="420" spans="1:40" x14ac:dyDescent="0.25">
      <c r="A420" s="202"/>
      <c r="C420" s="103"/>
      <c r="F420" s="200"/>
      <c r="H420" s="200"/>
      <c r="I420" s="200"/>
      <c r="J420" s="334"/>
      <c r="K420" s="334"/>
      <c r="L420" s="200"/>
      <c r="M420" s="200"/>
      <c r="N420" s="201"/>
      <c r="O420" s="201"/>
      <c r="P420" s="200"/>
      <c r="Q420" s="200"/>
      <c r="R420" s="200"/>
      <c r="T420" s="103"/>
      <c r="V420" s="200"/>
      <c r="Y420" s="200"/>
      <c r="Z420" s="334"/>
      <c r="AA420" s="200"/>
      <c r="AB420" s="200"/>
      <c r="AC420" s="200"/>
      <c r="AD420" s="200"/>
      <c r="AE420" s="200"/>
      <c r="AF420" s="200"/>
      <c r="AG420" s="209"/>
      <c r="AH420" s="201"/>
      <c r="AI420" s="200"/>
      <c r="AJ420" s="200"/>
      <c r="AK420" s="209"/>
      <c r="AL420" s="200"/>
      <c r="AM420" s="210"/>
      <c r="AN420" s="210"/>
    </row>
    <row r="421" spans="1:40" x14ac:dyDescent="0.25">
      <c r="F421" s="211"/>
      <c r="H421" s="211"/>
      <c r="I421" s="211"/>
      <c r="J421" s="329"/>
      <c r="K421" s="329"/>
      <c r="L421" s="211"/>
      <c r="M421" s="211"/>
      <c r="N421" s="211"/>
      <c r="O421" s="211"/>
      <c r="P421" s="211"/>
      <c r="Q421" s="211"/>
      <c r="R421" s="211"/>
      <c r="V421" s="211"/>
      <c r="Y421" s="211"/>
      <c r="Z421" s="329"/>
      <c r="AA421" s="211"/>
      <c r="AB421" s="211"/>
      <c r="AC421" s="211"/>
      <c r="AD421" s="211"/>
      <c r="AE421" s="211"/>
      <c r="AF421" s="211"/>
      <c r="AI421" s="211"/>
      <c r="AJ421" s="211"/>
      <c r="AK421" s="212"/>
      <c r="AL421" s="211"/>
    </row>
    <row r="422" spans="1:40" x14ac:dyDescent="0.25">
      <c r="A422" s="202"/>
      <c r="C422" s="154"/>
      <c r="J422" s="334"/>
      <c r="K422" s="334"/>
      <c r="T422" s="154"/>
      <c r="Z422" s="334"/>
    </row>
    <row r="423" spans="1:40" x14ac:dyDescent="0.25">
      <c r="A423" s="202"/>
      <c r="C423" s="154"/>
      <c r="J423" s="334"/>
      <c r="K423" s="334"/>
      <c r="T423" s="154"/>
      <c r="Z423" s="334"/>
    </row>
    <row r="424" spans="1:40" x14ac:dyDescent="0.25">
      <c r="A424" s="202"/>
      <c r="C424" s="154"/>
      <c r="F424" s="252"/>
      <c r="H424" s="252"/>
      <c r="I424" s="252"/>
      <c r="J424" s="329"/>
      <c r="K424" s="329"/>
      <c r="L424" s="200"/>
      <c r="M424" s="200"/>
      <c r="N424" s="210"/>
      <c r="O424" s="210"/>
      <c r="P424" s="200"/>
      <c r="Q424" s="200"/>
      <c r="R424" s="200"/>
      <c r="T424" s="154"/>
      <c r="V424" s="200"/>
      <c r="Y424" s="200"/>
      <c r="Z424" s="329"/>
      <c r="AA424" s="200"/>
      <c r="AB424" s="200"/>
      <c r="AC424" s="210"/>
      <c r="AD424" s="210"/>
      <c r="AE424" s="200"/>
      <c r="AF424" s="200"/>
      <c r="AG424" s="209"/>
      <c r="AH424" s="201"/>
      <c r="AI424" s="200"/>
      <c r="AJ424" s="200"/>
      <c r="AK424" s="209"/>
      <c r="AL424" s="200"/>
      <c r="AM424" s="210"/>
      <c r="AN424" s="210"/>
    </row>
    <row r="425" spans="1:40" x14ac:dyDescent="0.25">
      <c r="A425" s="202"/>
      <c r="C425" s="154"/>
      <c r="F425" s="252"/>
      <c r="H425" s="252"/>
      <c r="I425" s="252"/>
      <c r="J425" s="329"/>
      <c r="K425" s="329"/>
      <c r="L425" s="200"/>
      <c r="M425" s="200"/>
      <c r="N425" s="210"/>
      <c r="O425" s="210"/>
      <c r="P425" s="200"/>
      <c r="Q425" s="200"/>
      <c r="R425" s="200"/>
      <c r="T425" s="154"/>
      <c r="V425" s="200"/>
      <c r="Y425" s="200"/>
      <c r="Z425" s="329"/>
      <c r="AA425" s="200"/>
      <c r="AB425" s="200"/>
      <c r="AC425" s="210"/>
      <c r="AD425" s="210"/>
      <c r="AE425" s="200"/>
      <c r="AF425" s="200"/>
      <c r="AG425" s="209"/>
      <c r="AH425" s="201"/>
      <c r="AI425" s="200"/>
      <c r="AJ425" s="200"/>
      <c r="AK425" s="209"/>
      <c r="AL425" s="200"/>
      <c r="AM425" s="210"/>
      <c r="AN425" s="210"/>
    </row>
    <row r="426" spans="1:40" x14ac:dyDescent="0.25">
      <c r="A426" s="202"/>
      <c r="C426" s="154"/>
      <c r="F426" s="252"/>
      <c r="H426" s="252"/>
      <c r="I426" s="252"/>
      <c r="J426" s="329"/>
      <c r="K426" s="329"/>
      <c r="L426" s="200"/>
      <c r="M426" s="200"/>
      <c r="N426" s="210"/>
      <c r="O426" s="210"/>
      <c r="P426" s="200"/>
      <c r="Q426" s="200"/>
      <c r="R426" s="200"/>
      <c r="T426" s="154"/>
      <c r="V426" s="200"/>
      <c r="Y426" s="200"/>
      <c r="Z426" s="329"/>
      <c r="AA426" s="200"/>
      <c r="AB426" s="200"/>
      <c r="AC426" s="210"/>
      <c r="AD426" s="210"/>
      <c r="AE426" s="200"/>
      <c r="AF426" s="200"/>
      <c r="AG426" s="209"/>
      <c r="AH426" s="201"/>
      <c r="AI426" s="200"/>
      <c r="AJ426" s="200"/>
      <c r="AK426" s="209"/>
      <c r="AL426" s="200"/>
      <c r="AM426" s="210"/>
      <c r="AN426" s="210"/>
    </row>
    <row r="427" spans="1:40" x14ac:dyDescent="0.25">
      <c r="A427" s="202"/>
      <c r="C427" s="154"/>
      <c r="F427" s="252"/>
      <c r="H427" s="252"/>
      <c r="I427" s="252"/>
      <c r="J427" s="329"/>
      <c r="K427" s="329"/>
      <c r="L427" s="200"/>
      <c r="M427" s="200"/>
      <c r="N427" s="210"/>
      <c r="O427" s="210"/>
      <c r="P427" s="200"/>
      <c r="Q427" s="200"/>
      <c r="R427" s="200"/>
      <c r="T427" s="154"/>
      <c r="V427" s="200"/>
      <c r="Y427" s="200"/>
      <c r="Z427" s="329"/>
      <c r="AA427" s="200"/>
      <c r="AB427" s="200"/>
      <c r="AC427" s="210"/>
      <c r="AD427" s="210"/>
      <c r="AE427" s="200"/>
      <c r="AF427" s="200"/>
      <c r="AG427" s="209"/>
      <c r="AH427" s="201"/>
      <c r="AI427" s="200"/>
      <c r="AJ427" s="200"/>
      <c r="AK427" s="209"/>
      <c r="AL427" s="200"/>
      <c r="AM427" s="210"/>
      <c r="AN427" s="210"/>
    </row>
    <row r="428" spans="1:40" x14ac:dyDescent="0.25">
      <c r="A428" s="202"/>
      <c r="C428" s="154"/>
      <c r="F428" s="252"/>
      <c r="H428" s="252"/>
      <c r="I428" s="252"/>
      <c r="J428" s="329"/>
      <c r="K428" s="329"/>
      <c r="L428" s="200"/>
      <c r="M428" s="200"/>
      <c r="N428" s="210"/>
      <c r="O428" s="210"/>
      <c r="P428" s="200"/>
      <c r="Q428" s="200"/>
      <c r="R428" s="200"/>
      <c r="T428" s="154"/>
      <c r="V428" s="200"/>
      <c r="Y428" s="200"/>
      <c r="Z428" s="329"/>
      <c r="AA428" s="200"/>
      <c r="AB428" s="200"/>
      <c r="AC428" s="210"/>
      <c r="AD428" s="210"/>
      <c r="AE428" s="200"/>
      <c r="AF428" s="200"/>
      <c r="AG428" s="209"/>
      <c r="AH428" s="201"/>
      <c r="AI428" s="200"/>
      <c r="AJ428" s="200"/>
      <c r="AK428" s="209"/>
      <c r="AL428" s="200"/>
      <c r="AM428" s="210"/>
      <c r="AN428" s="210"/>
    </row>
    <row r="429" spans="1:40" x14ac:dyDescent="0.25">
      <c r="A429" s="202"/>
      <c r="C429" s="154"/>
      <c r="F429" s="252"/>
      <c r="H429" s="252"/>
      <c r="I429" s="252"/>
      <c r="J429" s="329"/>
      <c r="K429" s="329"/>
      <c r="L429" s="200"/>
      <c r="M429" s="200"/>
      <c r="N429" s="210"/>
      <c r="O429" s="210"/>
      <c r="P429" s="200"/>
      <c r="Q429" s="200"/>
      <c r="R429" s="200"/>
      <c r="T429" s="154"/>
      <c r="V429" s="200"/>
      <c r="Y429" s="200"/>
      <c r="Z429" s="329"/>
      <c r="AA429" s="200"/>
      <c r="AB429" s="200"/>
      <c r="AC429" s="210"/>
      <c r="AD429" s="210"/>
      <c r="AE429" s="200"/>
      <c r="AF429" s="200"/>
      <c r="AG429" s="209"/>
      <c r="AH429" s="201"/>
      <c r="AI429" s="200"/>
      <c r="AJ429" s="200"/>
      <c r="AK429" s="209"/>
      <c r="AL429" s="200"/>
      <c r="AM429" s="210"/>
      <c r="AN429" s="210"/>
    </row>
    <row r="430" spans="1:40" x14ac:dyDescent="0.25">
      <c r="A430" s="202"/>
      <c r="C430" s="154"/>
      <c r="F430" s="252"/>
      <c r="H430" s="252"/>
      <c r="I430" s="252"/>
      <c r="J430" s="329"/>
      <c r="K430" s="329"/>
      <c r="L430" s="200"/>
      <c r="M430" s="200"/>
      <c r="N430" s="210"/>
      <c r="O430" s="210"/>
      <c r="P430" s="200"/>
      <c r="Q430" s="200"/>
      <c r="R430" s="200"/>
      <c r="T430" s="154"/>
      <c r="V430" s="200"/>
      <c r="Y430" s="200"/>
      <c r="Z430" s="329"/>
      <c r="AA430" s="200"/>
      <c r="AB430" s="200"/>
      <c r="AC430" s="210"/>
      <c r="AD430" s="210"/>
      <c r="AE430" s="200"/>
      <c r="AF430" s="200"/>
      <c r="AG430" s="209"/>
      <c r="AH430" s="201"/>
      <c r="AI430" s="200"/>
      <c r="AJ430" s="200"/>
      <c r="AK430" s="209"/>
      <c r="AL430" s="200"/>
      <c r="AM430" s="210"/>
      <c r="AN430" s="210"/>
    </row>
    <row r="431" spans="1:40" x14ac:dyDescent="0.25">
      <c r="A431" s="202"/>
      <c r="C431" s="154"/>
      <c r="J431" s="334"/>
      <c r="K431" s="334"/>
      <c r="T431" s="154"/>
      <c r="Z431" s="334"/>
    </row>
    <row r="432" spans="1:40" x14ac:dyDescent="0.25">
      <c r="A432" s="202"/>
      <c r="C432" s="154"/>
      <c r="F432" s="252"/>
      <c r="H432" s="252"/>
      <c r="I432" s="252"/>
      <c r="J432" s="329"/>
      <c r="K432" s="329"/>
      <c r="L432" s="200"/>
      <c r="M432" s="200"/>
      <c r="N432" s="210"/>
      <c r="O432" s="210"/>
      <c r="P432" s="200"/>
      <c r="Q432" s="200"/>
      <c r="R432" s="200"/>
      <c r="T432" s="154"/>
      <c r="V432" s="200"/>
      <c r="Y432" s="200"/>
      <c r="Z432" s="329"/>
      <c r="AA432" s="200"/>
      <c r="AB432" s="200"/>
      <c r="AC432" s="210"/>
      <c r="AD432" s="210"/>
      <c r="AE432" s="200"/>
      <c r="AF432" s="200"/>
      <c r="AG432" s="209"/>
      <c r="AH432" s="201"/>
      <c r="AI432" s="200"/>
      <c r="AJ432" s="200"/>
      <c r="AK432" s="209"/>
      <c r="AL432" s="200"/>
      <c r="AM432" s="210"/>
      <c r="AN432" s="210"/>
    </row>
    <row r="433" spans="1:40" x14ac:dyDescent="0.25">
      <c r="A433" s="202"/>
      <c r="C433" s="154"/>
      <c r="F433" s="252"/>
      <c r="H433" s="252"/>
      <c r="I433" s="252"/>
      <c r="J433" s="329"/>
      <c r="K433" s="329"/>
      <c r="L433" s="200"/>
      <c r="M433" s="200"/>
      <c r="N433" s="210"/>
      <c r="O433" s="210"/>
      <c r="P433" s="200"/>
      <c r="Q433" s="200"/>
      <c r="R433" s="200"/>
      <c r="T433" s="154"/>
      <c r="V433" s="200"/>
      <c r="Y433" s="200"/>
      <c r="Z433" s="329"/>
      <c r="AA433" s="200"/>
      <c r="AB433" s="200"/>
      <c r="AC433" s="210"/>
      <c r="AD433" s="210"/>
      <c r="AE433" s="200"/>
      <c r="AF433" s="200"/>
      <c r="AG433" s="209"/>
      <c r="AH433" s="201"/>
      <c r="AI433" s="200"/>
      <c r="AJ433" s="200"/>
      <c r="AK433" s="209"/>
      <c r="AL433" s="200"/>
      <c r="AM433" s="210"/>
      <c r="AN433" s="210"/>
    </row>
    <row r="434" spans="1:40" x14ac:dyDescent="0.25">
      <c r="A434" s="202"/>
      <c r="C434" s="154"/>
      <c r="F434" s="252"/>
      <c r="H434" s="252"/>
      <c r="I434" s="252"/>
      <c r="J434" s="329"/>
      <c r="K434" s="329"/>
      <c r="L434" s="200"/>
      <c r="M434" s="200"/>
      <c r="N434" s="210"/>
      <c r="O434" s="210"/>
      <c r="P434" s="200"/>
      <c r="Q434" s="200"/>
      <c r="R434" s="200"/>
      <c r="T434" s="154"/>
      <c r="V434" s="200"/>
      <c r="Y434" s="200"/>
      <c r="Z434" s="329"/>
      <c r="AA434" s="200"/>
      <c r="AB434" s="200"/>
      <c r="AC434" s="210"/>
      <c r="AD434" s="210"/>
      <c r="AE434" s="200"/>
      <c r="AF434" s="200"/>
      <c r="AG434" s="209"/>
      <c r="AH434" s="201"/>
      <c r="AI434" s="200"/>
      <c r="AJ434" s="200"/>
      <c r="AK434" s="209"/>
      <c r="AL434" s="200"/>
      <c r="AM434" s="210"/>
      <c r="AN434" s="210"/>
    </row>
    <row r="435" spans="1:40" x14ac:dyDescent="0.25">
      <c r="A435" s="202"/>
      <c r="C435" s="154"/>
      <c r="F435" s="252"/>
      <c r="H435" s="252"/>
      <c r="I435" s="252"/>
      <c r="J435" s="329"/>
      <c r="K435" s="329"/>
      <c r="L435" s="200"/>
      <c r="M435" s="200"/>
      <c r="N435" s="210"/>
      <c r="O435" s="210"/>
      <c r="P435" s="200"/>
      <c r="Q435" s="200"/>
      <c r="R435" s="200"/>
      <c r="T435" s="154"/>
      <c r="V435" s="200"/>
      <c r="Y435" s="200"/>
      <c r="Z435" s="329"/>
      <c r="AA435" s="200"/>
      <c r="AB435" s="200"/>
      <c r="AC435" s="210"/>
      <c r="AD435" s="210"/>
      <c r="AE435" s="200"/>
      <c r="AF435" s="200"/>
      <c r="AG435" s="209"/>
      <c r="AH435" s="201"/>
      <c r="AI435" s="200"/>
      <c r="AJ435" s="200"/>
      <c r="AK435" s="209"/>
      <c r="AL435" s="200"/>
      <c r="AM435" s="210"/>
      <c r="AN435" s="210"/>
    </row>
    <row r="436" spans="1:40" x14ac:dyDescent="0.25">
      <c r="A436" s="202"/>
      <c r="C436" s="154"/>
      <c r="J436" s="334"/>
      <c r="K436" s="334"/>
      <c r="T436" s="154"/>
      <c r="Z436" s="334"/>
    </row>
    <row r="437" spans="1:40" x14ac:dyDescent="0.25">
      <c r="A437" s="202"/>
      <c r="C437" s="154"/>
      <c r="F437" s="252"/>
      <c r="H437" s="252"/>
      <c r="I437" s="252"/>
      <c r="J437" s="329"/>
      <c r="K437" s="329"/>
      <c r="L437" s="200"/>
      <c r="M437" s="200"/>
      <c r="N437" s="210"/>
      <c r="O437" s="210"/>
      <c r="P437" s="200"/>
      <c r="Q437" s="200"/>
      <c r="R437" s="200"/>
      <c r="T437" s="154"/>
      <c r="V437" s="200"/>
      <c r="Y437" s="200"/>
      <c r="Z437" s="329"/>
      <c r="AA437" s="200"/>
      <c r="AB437" s="200"/>
      <c r="AC437" s="210"/>
      <c r="AD437" s="210"/>
      <c r="AE437" s="200"/>
      <c r="AF437" s="200"/>
      <c r="AG437" s="209"/>
      <c r="AH437" s="201"/>
      <c r="AI437" s="200"/>
      <c r="AJ437" s="200"/>
      <c r="AK437" s="209"/>
      <c r="AL437" s="200"/>
      <c r="AM437" s="210"/>
      <c r="AN437" s="210"/>
    </row>
    <row r="438" spans="1:40" x14ac:dyDescent="0.25">
      <c r="A438" s="202"/>
      <c r="C438" s="154"/>
      <c r="F438" s="252"/>
      <c r="H438" s="252"/>
      <c r="I438" s="252"/>
      <c r="J438" s="329"/>
      <c r="K438" s="329"/>
      <c r="L438" s="200"/>
      <c r="M438" s="200"/>
      <c r="N438" s="210"/>
      <c r="O438" s="210"/>
      <c r="P438" s="200"/>
      <c r="Q438" s="200"/>
      <c r="R438" s="200"/>
      <c r="T438" s="154"/>
      <c r="V438" s="200"/>
      <c r="Y438" s="200"/>
      <c r="Z438" s="329"/>
      <c r="AA438" s="200"/>
      <c r="AB438" s="200"/>
      <c r="AC438" s="210"/>
      <c r="AD438" s="210"/>
      <c r="AE438" s="200"/>
      <c r="AF438" s="200"/>
      <c r="AG438" s="209"/>
      <c r="AH438" s="201"/>
      <c r="AI438" s="200"/>
      <c r="AJ438" s="200"/>
      <c r="AK438" s="209"/>
      <c r="AL438" s="200"/>
      <c r="AM438" s="210"/>
      <c r="AN438" s="210"/>
    </row>
    <row r="439" spans="1:40" x14ac:dyDescent="0.25">
      <c r="A439" s="202"/>
      <c r="C439" s="154"/>
      <c r="F439" s="252"/>
      <c r="H439" s="252"/>
      <c r="I439" s="252"/>
      <c r="J439" s="329"/>
      <c r="K439" s="329"/>
      <c r="L439" s="200"/>
      <c r="M439" s="200"/>
      <c r="N439" s="210"/>
      <c r="O439" s="210"/>
      <c r="P439" s="200"/>
      <c r="Q439" s="200"/>
      <c r="R439" s="200"/>
      <c r="T439" s="154"/>
      <c r="V439" s="200"/>
      <c r="Y439" s="200"/>
      <c r="Z439" s="329"/>
      <c r="AA439" s="200"/>
      <c r="AB439" s="200"/>
      <c r="AC439" s="210"/>
      <c r="AD439" s="210"/>
      <c r="AE439" s="200"/>
      <c r="AF439" s="200"/>
      <c r="AG439" s="209"/>
      <c r="AH439" s="201"/>
      <c r="AI439" s="200"/>
      <c r="AJ439" s="200"/>
      <c r="AK439" s="209"/>
      <c r="AL439" s="200"/>
      <c r="AM439" s="210"/>
      <c r="AN439" s="210"/>
    </row>
    <row r="440" spans="1:40" x14ac:dyDescent="0.25">
      <c r="A440" s="202"/>
      <c r="C440" s="154"/>
      <c r="F440" s="252"/>
      <c r="H440" s="252"/>
      <c r="I440" s="252"/>
      <c r="J440" s="329"/>
      <c r="K440" s="329"/>
      <c r="L440" s="200"/>
      <c r="M440" s="200"/>
      <c r="N440" s="210"/>
      <c r="O440" s="210"/>
      <c r="P440" s="200"/>
      <c r="Q440" s="200"/>
      <c r="R440" s="200"/>
      <c r="T440" s="154"/>
      <c r="V440" s="200"/>
      <c r="Y440" s="200"/>
      <c r="Z440" s="329"/>
      <c r="AA440" s="200"/>
      <c r="AB440" s="200"/>
      <c r="AC440" s="210"/>
      <c r="AD440" s="210"/>
      <c r="AE440" s="200"/>
      <c r="AF440" s="200"/>
      <c r="AG440" s="209"/>
      <c r="AH440" s="201"/>
      <c r="AI440" s="200"/>
      <c r="AJ440" s="200"/>
      <c r="AK440" s="209"/>
      <c r="AL440" s="200"/>
      <c r="AM440" s="210"/>
      <c r="AN440" s="210"/>
    </row>
    <row r="441" spans="1:40" x14ac:dyDescent="0.25">
      <c r="A441" s="202"/>
      <c r="C441" s="154"/>
      <c r="F441" s="252"/>
      <c r="H441" s="252"/>
      <c r="I441" s="252"/>
      <c r="J441" s="329"/>
      <c r="K441" s="329"/>
      <c r="L441" s="200"/>
      <c r="M441" s="200"/>
      <c r="N441" s="210"/>
      <c r="O441" s="210"/>
      <c r="P441" s="200"/>
      <c r="Q441" s="200"/>
      <c r="R441" s="200"/>
      <c r="T441" s="154"/>
      <c r="V441" s="200"/>
      <c r="Y441" s="200"/>
      <c r="Z441" s="329"/>
      <c r="AA441" s="200"/>
      <c r="AB441" s="200"/>
      <c r="AC441" s="210"/>
      <c r="AD441" s="210"/>
      <c r="AE441" s="200"/>
      <c r="AF441" s="200"/>
      <c r="AG441" s="209"/>
      <c r="AH441" s="201"/>
      <c r="AI441" s="200"/>
      <c r="AJ441" s="200"/>
      <c r="AK441" s="209"/>
      <c r="AL441" s="200"/>
      <c r="AM441" s="210"/>
      <c r="AN441" s="210"/>
    </row>
    <row r="442" spans="1:40" x14ac:dyDescent="0.25">
      <c r="F442" s="211"/>
      <c r="H442" s="211"/>
      <c r="I442" s="211"/>
      <c r="J442" s="305"/>
      <c r="K442" s="305"/>
      <c r="L442" s="211"/>
      <c r="M442" s="211"/>
      <c r="N442" s="211"/>
      <c r="O442" s="211"/>
      <c r="P442" s="211"/>
      <c r="Q442" s="211"/>
      <c r="R442" s="211"/>
      <c r="V442" s="211"/>
      <c r="Y442" s="211"/>
      <c r="Z442" s="329"/>
      <c r="AA442" s="211"/>
      <c r="AB442" s="211"/>
      <c r="AC442" s="211"/>
      <c r="AD442" s="211"/>
      <c r="AE442" s="211"/>
      <c r="AF442" s="211"/>
      <c r="AI442" s="211"/>
      <c r="AJ442" s="211"/>
      <c r="AK442" s="212"/>
      <c r="AL442" s="211"/>
    </row>
    <row r="443" spans="1:40" x14ac:dyDescent="0.25">
      <c r="A443" s="202"/>
      <c r="C443" s="154"/>
      <c r="F443" s="200"/>
      <c r="H443" s="200"/>
      <c r="I443" s="200"/>
      <c r="L443" s="200"/>
      <c r="M443" s="200"/>
      <c r="N443" s="201"/>
      <c r="O443" s="201"/>
      <c r="P443" s="200"/>
      <c r="Q443" s="200"/>
      <c r="R443" s="200"/>
      <c r="T443" s="154"/>
      <c r="V443" s="200"/>
      <c r="Y443" s="200"/>
      <c r="AA443" s="200"/>
      <c r="AB443" s="200"/>
      <c r="AC443" s="210"/>
      <c r="AD443" s="210"/>
      <c r="AE443" s="200"/>
      <c r="AF443" s="200"/>
      <c r="AG443" s="209"/>
      <c r="AH443" s="201"/>
      <c r="AI443" s="200"/>
      <c r="AJ443" s="200"/>
      <c r="AK443" s="209"/>
      <c r="AL443" s="200"/>
      <c r="AM443" s="210"/>
      <c r="AN443" s="210"/>
    </row>
    <row r="444" spans="1:40" x14ac:dyDescent="0.25">
      <c r="F444" s="211"/>
      <c r="H444" s="211"/>
      <c r="I444" s="211"/>
      <c r="J444" s="305"/>
      <c r="K444" s="305"/>
      <c r="L444" s="211"/>
      <c r="M444" s="211"/>
      <c r="N444" s="211"/>
      <c r="O444" s="211"/>
      <c r="P444" s="211"/>
      <c r="Q444" s="211"/>
      <c r="R444" s="211"/>
      <c r="V444" s="211"/>
      <c r="Y444" s="211"/>
      <c r="Z444" s="305"/>
      <c r="AA444" s="211"/>
      <c r="AB444" s="211"/>
      <c r="AC444" s="211"/>
      <c r="AD444" s="211"/>
      <c r="AE444" s="211"/>
      <c r="AF444" s="211"/>
      <c r="AI444" s="211"/>
      <c r="AJ444" s="211"/>
      <c r="AK444" s="212"/>
      <c r="AL444" s="211"/>
    </row>
    <row r="445" spans="1:40" x14ac:dyDescent="0.25">
      <c r="A445" s="202"/>
      <c r="C445" s="154"/>
      <c r="T445" s="154"/>
    </row>
    <row r="446" spans="1:40" x14ac:dyDescent="0.25">
      <c r="A446" s="202"/>
      <c r="C446" s="154"/>
      <c r="F446" s="252"/>
      <c r="H446" s="252"/>
      <c r="I446" s="252"/>
      <c r="J446" s="300"/>
      <c r="K446" s="300"/>
      <c r="L446" s="200"/>
      <c r="M446" s="200"/>
      <c r="N446" s="210"/>
      <c r="O446" s="210"/>
      <c r="P446" s="200"/>
      <c r="Q446" s="200"/>
      <c r="R446" s="200"/>
      <c r="T446" s="154"/>
      <c r="V446" s="200"/>
      <c r="Y446" s="200"/>
      <c r="Z446" s="300"/>
      <c r="AA446" s="200"/>
      <c r="AB446" s="200"/>
      <c r="AC446" s="210"/>
      <c r="AD446" s="210"/>
      <c r="AE446" s="200"/>
      <c r="AF446" s="200"/>
      <c r="AG446" s="209"/>
      <c r="AH446" s="201"/>
      <c r="AI446" s="200"/>
      <c r="AJ446" s="200"/>
      <c r="AK446" s="209"/>
      <c r="AL446" s="200"/>
      <c r="AM446" s="210"/>
      <c r="AN446" s="210"/>
    </row>
    <row r="447" spans="1:40" x14ac:dyDescent="0.25">
      <c r="A447" s="202"/>
      <c r="C447" s="154"/>
      <c r="F447" s="252"/>
      <c r="H447" s="252"/>
      <c r="I447" s="252"/>
      <c r="J447" s="300"/>
      <c r="K447" s="300"/>
      <c r="L447" s="200"/>
      <c r="M447" s="200"/>
      <c r="N447" s="210"/>
      <c r="O447" s="210"/>
      <c r="P447" s="200"/>
      <c r="Q447" s="200"/>
      <c r="R447" s="200"/>
      <c r="T447" s="154"/>
      <c r="V447" s="200"/>
      <c r="Y447" s="200"/>
      <c r="Z447" s="300"/>
      <c r="AA447" s="200"/>
      <c r="AB447" s="200"/>
      <c r="AC447" s="210"/>
      <c r="AD447" s="210"/>
      <c r="AE447" s="200"/>
      <c r="AF447" s="200"/>
      <c r="AG447" s="209"/>
      <c r="AH447" s="201"/>
      <c r="AI447" s="200"/>
      <c r="AJ447" s="200"/>
      <c r="AK447" s="209"/>
      <c r="AL447" s="200"/>
      <c r="AM447" s="210"/>
      <c r="AN447" s="210"/>
    </row>
    <row r="448" spans="1:40" x14ac:dyDescent="0.25">
      <c r="F448" s="211"/>
      <c r="H448" s="200"/>
      <c r="I448" s="200"/>
      <c r="J448" s="305"/>
      <c r="K448" s="305"/>
      <c r="L448" s="211"/>
      <c r="M448" s="211"/>
      <c r="N448" s="211"/>
      <c r="O448" s="211"/>
      <c r="P448" s="211"/>
      <c r="Q448" s="211"/>
      <c r="R448" s="211"/>
      <c r="V448" s="211"/>
      <c r="Y448" s="200"/>
      <c r="Z448" s="305"/>
      <c r="AA448" s="211"/>
      <c r="AB448" s="211"/>
      <c r="AC448" s="211"/>
      <c r="AD448" s="211"/>
      <c r="AE448" s="211"/>
      <c r="AF448" s="211"/>
      <c r="AI448" s="211"/>
      <c r="AJ448" s="211"/>
      <c r="AK448" s="212"/>
      <c r="AL448" s="211"/>
    </row>
    <row r="449" spans="1:40" x14ac:dyDescent="0.25">
      <c r="F449" s="200"/>
      <c r="H449" s="200"/>
      <c r="I449" s="200"/>
      <c r="J449" s="305"/>
      <c r="K449" s="305"/>
      <c r="L449" s="200"/>
      <c r="M449" s="200"/>
      <c r="N449" s="200"/>
      <c r="O449" s="200"/>
      <c r="P449" s="200"/>
      <c r="Q449" s="200"/>
      <c r="R449" s="200"/>
      <c r="V449" s="200"/>
      <c r="Y449" s="200"/>
      <c r="Z449" s="305"/>
      <c r="AA449" s="200"/>
      <c r="AB449" s="200"/>
      <c r="AC449" s="200"/>
      <c r="AD449" s="200"/>
      <c r="AE449" s="200"/>
      <c r="AF449" s="200"/>
      <c r="AI449" s="200"/>
      <c r="AJ449" s="200"/>
      <c r="AK449" s="209"/>
      <c r="AL449" s="200"/>
    </row>
    <row r="450" spans="1:40" x14ac:dyDescent="0.25">
      <c r="A450" s="202"/>
      <c r="C450" s="154"/>
      <c r="F450" s="200"/>
      <c r="H450" s="200"/>
      <c r="I450" s="200"/>
      <c r="L450" s="200"/>
      <c r="M450" s="200"/>
      <c r="N450" s="210"/>
      <c r="O450" s="210"/>
      <c r="P450" s="200"/>
      <c r="Q450" s="200"/>
      <c r="R450" s="200"/>
      <c r="T450" s="154"/>
      <c r="V450" s="200"/>
      <c r="Y450" s="200"/>
      <c r="AA450" s="200"/>
      <c r="AB450" s="200"/>
      <c r="AC450" s="210"/>
      <c r="AD450" s="210"/>
      <c r="AE450" s="200"/>
      <c r="AF450" s="200"/>
      <c r="AG450" s="209"/>
      <c r="AH450" s="201"/>
      <c r="AI450" s="252"/>
      <c r="AJ450" s="252"/>
      <c r="AK450" s="209"/>
      <c r="AL450" s="200"/>
      <c r="AM450" s="210"/>
      <c r="AN450" s="210"/>
    </row>
    <row r="451" spans="1:40" x14ac:dyDescent="0.25">
      <c r="F451" s="211"/>
      <c r="H451" s="211"/>
      <c r="I451" s="211"/>
      <c r="J451" s="305"/>
      <c r="K451" s="305"/>
      <c r="L451" s="211"/>
      <c r="M451" s="211"/>
      <c r="N451" s="211"/>
      <c r="O451" s="211"/>
      <c r="P451" s="211"/>
      <c r="Q451" s="211"/>
      <c r="R451" s="211"/>
      <c r="V451" s="211"/>
      <c r="Y451" s="211"/>
      <c r="Z451" s="305"/>
      <c r="AA451" s="211"/>
      <c r="AB451" s="211"/>
      <c r="AC451" s="211"/>
      <c r="AD451" s="211"/>
      <c r="AE451" s="211"/>
      <c r="AF451" s="211"/>
      <c r="AI451" s="211"/>
      <c r="AJ451" s="211"/>
      <c r="AK451" s="212"/>
      <c r="AL451" s="211"/>
    </row>
    <row r="453" spans="1:40" x14ac:dyDescent="0.25">
      <c r="A453" s="154"/>
      <c r="T453" s="154"/>
    </row>
    <row r="454" spans="1:40" x14ac:dyDescent="0.25">
      <c r="A454" s="154"/>
      <c r="T454" s="154"/>
    </row>
    <row r="455" spans="1:40" x14ac:dyDescent="0.25">
      <c r="A455" s="154"/>
      <c r="T455" s="154"/>
    </row>
    <row r="456" spans="1:40" x14ac:dyDescent="0.25">
      <c r="A456" s="154"/>
      <c r="T456" s="154"/>
    </row>
    <row r="457" spans="1:40" x14ac:dyDescent="0.25">
      <c r="A457" s="154"/>
      <c r="T457" s="154"/>
    </row>
    <row r="458" spans="1:40" x14ac:dyDescent="0.25">
      <c r="A458" s="154"/>
      <c r="T458" s="154"/>
    </row>
    <row r="459" spans="1:40" x14ac:dyDescent="0.25">
      <c r="A459" s="154"/>
      <c r="T459" s="154"/>
    </row>
    <row r="460" spans="1:40" x14ac:dyDescent="0.25">
      <c r="A460" s="154"/>
      <c r="T460" s="154"/>
    </row>
    <row r="461" spans="1:40" x14ac:dyDescent="0.25">
      <c r="A461" s="154"/>
      <c r="T461" s="154"/>
    </row>
    <row r="463" spans="1:40" x14ac:dyDescent="0.25">
      <c r="A463" s="154"/>
    </row>
    <row r="464" spans="1:40" x14ac:dyDescent="0.25">
      <c r="J464" s="202"/>
      <c r="K464" s="202"/>
      <c r="Z464" s="202"/>
    </row>
    <row r="465" spans="1:40" x14ac:dyDescent="0.25">
      <c r="H465" s="154"/>
      <c r="I465" s="154"/>
      <c r="Y465" s="154"/>
    </row>
    <row r="466" spans="1:40" x14ac:dyDescent="0.25">
      <c r="J466" s="202"/>
      <c r="K466" s="202"/>
      <c r="Z466" s="202"/>
    </row>
    <row r="467" spans="1:40" x14ac:dyDescent="0.25">
      <c r="L467" s="154"/>
      <c r="M467" s="154"/>
      <c r="AA467" s="154"/>
      <c r="AB467" s="154"/>
    </row>
    <row r="468" spans="1:40" x14ac:dyDescent="0.25">
      <c r="A468" s="202"/>
      <c r="R468" s="154"/>
      <c r="AK468" s="297"/>
      <c r="AL468" s="154"/>
    </row>
    <row r="469" spans="1:40" x14ac:dyDescent="0.25">
      <c r="A469" s="202"/>
      <c r="R469" s="154"/>
      <c r="AK469" s="297"/>
      <c r="AL469" s="154"/>
    </row>
    <row r="470" spans="1:40" x14ac:dyDescent="0.25">
      <c r="A470" s="154"/>
      <c r="R470" s="154"/>
      <c r="AK470" s="297"/>
      <c r="AL470" s="154"/>
    </row>
    <row r="471" spans="1:40" x14ac:dyDescent="0.25">
      <c r="L471" s="154"/>
      <c r="M471" s="154"/>
      <c r="R471" s="202"/>
      <c r="AA471" s="154"/>
      <c r="AB471" s="154"/>
      <c r="AK471" s="209"/>
      <c r="AL471" s="202"/>
    </row>
    <row r="472" spans="1:40" x14ac:dyDescent="0.25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208"/>
      <c r="AH472" s="102"/>
      <c r="AI472" s="102"/>
      <c r="AJ472" s="102"/>
      <c r="AK472" s="208"/>
      <c r="AL472" s="102"/>
      <c r="AM472" s="102"/>
      <c r="AN472" s="102"/>
    </row>
    <row r="473" spans="1:40" x14ac:dyDescent="0.25">
      <c r="L473" s="103"/>
      <c r="M473" s="103"/>
      <c r="N473" s="103"/>
      <c r="O473" s="103"/>
      <c r="R473" s="103"/>
      <c r="AA473" s="103"/>
      <c r="AB473" s="103"/>
      <c r="AC473" s="103"/>
      <c r="AD473" s="103"/>
      <c r="AE473" s="103"/>
      <c r="AF473" s="103"/>
      <c r="AG473" s="185"/>
      <c r="AH473" s="103"/>
      <c r="AK473" s="185"/>
      <c r="AL473" s="103"/>
      <c r="AM473" s="103"/>
      <c r="AN473" s="103"/>
    </row>
    <row r="474" spans="1:40" x14ac:dyDescent="0.25">
      <c r="L474" s="103"/>
      <c r="M474" s="103"/>
      <c r="N474" s="103"/>
      <c r="O474" s="103"/>
      <c r="R474" s="103"/>
      <c r="Z474" s="103"/>
      <c r="AA474" s="103"/>
      <c r="AB474" s="103"/>
      <c r="AC474" s="103"/>
      <c r="AD474" s="103"/>
      <c r="AE474" s="103"/>
      <c r="AF474" s="103"/>
      <c r="AG474" s="185"/>
      <c r="AH474" s="103"/>
      <c r="AK474" s="185"/>
      <c r="AL474" s="103"/>
      <c r="AM474" s="103"/>
      <c r="AN474" s="103"/>
    </row>
    <row r="475" spans="1:40" x14ac:dyDescent="0.25">
      <c r="A475" s="103"/>
      <c r="C475" s="103"/>
      <c r="D475" s="103"/>
      <c r="E475" s="103"/>
      <c r="F475" s="103"/>
      <c r="J475" s="103"/>
      <c r="K475" s="103"/>
      <c r="L475" s="103"/>
      <c r="M475" s="103"/>
      <c r="N475" s="103"/>
      <c r="O475" s="103"/>
      <c r="P475" s="103"/>
      <c r="Q475" s="103"/>
      <c r="R475" s="103"/>
      <c r="T475" s="103"/>
      <c r="U475" s="103"/>
      <c r="V475" s="103"/>
      <c r="Z475" s="103"/>
      <c r="AA475" s="103"/>
      <c r="AB475" s="103"/>
      <c r="AC475" s="103"/>
      <c r="AD475" s="103"/>
      <c r="AE475" s="103"/>
      <c r="AF475" s="103"/>
      <c r="AG475" s="185"/>
      <c r="AH475" s="103"/>
      <c r="AI475" s="103"/>
      <c r="AJ475" s="103"/>
      <c r="AK475" s="185"/>
      <c r="AL475" s="103"/>
      <c r="AM475" s="103"/>
      <c r="AN475" s="103"/>
    </row>
    <row r="476" spans="1:40" x14ac:dyDescent="0.25">
      <c r="A476" s="103"/>
      <c r="C476" s="103"/>
      <c r="D476" s="103"/>
      <c r="E476" s="103"/>
      <c r="F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T476" s="103"/>
      <c r="U476" s="103"/>
      <c r="V476" s="103"/>
      <c r="Y476" s="103"/>
      <c r="Z476" s="103"/>
      <c r="AA476" s="103"/>
      <c r="AB476" s="103"/>
      <c r="AC476" s="103"/>
      <c r="AD476" s="103"/>
      <c r="AE476" s="103"/>
      <c r="AF476" s="103"/>
      <c r="AG476" s="185"/>
      <c r="AH476" s="103"/>
      <c r="AI476" s="103"/>
      <c r="AJ476" s="103"/>
      <c r="AK476" s="185"/>
      <c r="AL476" s="103"/>
      <c r="AM476" s="103"/>
      <c r="AN476" s="103"/>
    </row>
    <row r="477" spans="1:40" x14ac:dyDescent="0.25">
      <c r="C477" s="103"/>
      <c r="D477" s="103"/>
      <c r="E477" s="103"/>
      <c r="F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T477" s="103"/>
      <c r="U477" s="103"/>
      <c r="V477" s="103"/>
      <c r="Y477" s="103"/>
      <c r="Z477" s="103"/>
      <c r="AA477" s="103"/>
      <c r="AB477" s="103"/>
      <c r="AC477" s="103"/>
      <c r="AD477" s="103"/>
      <c r="AE477" s="103"/>
      <c r="AF477" s="103"/>
      <c r="AG477" s="185"/>
      <c r="AH477" s="103"/>
      <c r="AI477" s="103"/>
      <c r="AJ477" s="103"/>
      <c r="AK477" s="185"/>
      <c r="AL477" s="103"/>
      <c r="AM477" s="103"/>
      <c r="AN477" s="103"/>
    </row>
    <row r="478" spans="1:40" x14ac:dyDescent="0.2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208"/>
      <c r="AH478" s="102"/>
      <c r="AI478" s="102"/>
      <c r="AJ478" s="102"/>
      <c r="AK478" s="208"/>
      <c r="AL478" s="102"/>
      <c r="AM478" s="102"/>
      <c r="AN478" s="102"/>
    </row>
    <row r="479" spans="1:40" x14ac:dyDescent="0.25"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Y479" s="103"/>
      <c r="Z479" s="103"/>
      <c r="AA479" s="103"/>
      <c r="AB479" s="103"/>
      <c r="AC479" s="103"/>
      <c r="AD479" s="103"/>
      <c r="AE479" s="103"/>
      <c r="AF479" s="103"/>
      <c r="AG479" s="185"/>
      <c r="AH479" s="103"/>
      <c r="AI479" s="103"/>
      <c r="AJ479" s="103"/>
      <c r="AK479" s="185"/>
      <c r="AL479" s="103"/>
      <c r="AM479" s="103"/>
      <c r="AN479" s="103"/>
    </row>
    <row r="480" spans="1:40" x14ac:dyDescent="0.25">
      <c r="A480" s="202"/>
      <c r="C480" s="154"/>
      <c r="D480" s="154"/>
      <c r="E480" s="154"/>
      <c r="T480" s="154"/>
      <c r="U480" s="154"/>
    </row>
    <row r="481" spans="1:40" x14ac:dyDescent="0.25">
      <c r="A481" s="202"/>
      <c r="D481" s="154"/>
      <c r="E481" s="154"/>
      <c r="U481" s="154"/>
    </row>
    <row r="483" spans="1:40" x14ac:dyDescent="0.25">
      <c r="A483" s="202"/>
      <c r="C483" s="154"/>
      <c r="F483" s="200"/>
      <c r="J483" s="215"/>
      <c r="K483" s="215"/>
      <c r="L483" s="200"/>
      <c r="M483" s="200"/>
      <c r="R483" s="200"/>
      <c r="T483" s="154"/>
      <c r="V483" s="200"/>
      <c r="Z483" s="215"/>
      <c r="AA483" s="200"/>
      <c r="AB483" s="200"/>
      <c r="AG483" s="209"/>
      <c r="AH483" s="200"/>
      <c r="AK483" s="209"/>
      <c r="AL483" s="200"/>
    </row>
    <row r="484" spans="1:40" x14ac:dyDescent="0.25">
      <c r="A484" s="202"/>
      <c r="C484" s="154"/>
      <c r="F484" s="200"/>
      <c r="R484" s="200"/>
      <c r="T484" s="154"/>
      <c r="V484" s="200"/>
      <c r="AG484" s="209"/>
      <c r="AH484" s="200"/>
      <c r="AK484" s="209"/>
      <c r="AL484" s="200"/>
    </row>
    <row r="485" spans="1:40" x14ac:dyDescent="0.25">
      <c r="AI485" s="200"/>
      <c r="AJ485" s="200"/>
      <c r="AK485" s="209"/>
      <c r="AL485" s="200"/>
      <c r="AM485" s="210"/>
      <c r="AN485" s="210"/>
    </row>
    <row r="486" spans="1:40" x14ac:dyDescent="0.25">
      <c r="A486" s="202"/>
      <c r="C486" s="154"/>
      <c r="F486" s="252"/>
      <c r="H486" s="252"/>
      <c r="I486" s="252"/>
      <c r="J486" s="328"/>
      <c r="K486" s="328"/>
      <c r="L486" s="200"/>
      <c r="M486" s="200"/>
      <c r="N486" s="210"/>
      <c r="O486" s="210"/>
      <c r="P486" s="200"/>
      <c r="Q486" s="200"/>
      <c r="R486" s="200"/>
      <c r="T486" s="154"/>
      <c r="V486" s="200"/>
      <c r="Y486" s="200"/>
      <c r="Z486" s="328"/>
      <c r="AA486" s="200"/>
      <c r="AB486" s="200"/>
      <c r="AC486" s="210"/>
      <c r="AD486" s="210"/>
      <c r="AE486" s="200"/>
      <c r="AF486" s="200"/>
      <c r="AG486" s="209"/>
      <c r="AH486" s="201"/>
      <c r="AI486" s="200"/>
      <c r="AJ486" s="200"/>
      <c r="AK486" s="209"/>
      <c r="AL486" s="200"/>
      <c r="AM486" s="210"/>
      <c r="AN486" s="210"/>
    </row>
    <row r="487" spans="1:40" x14ac:dyDescent="0.25">
      <c r="F487" s="200"/>
      <c r="H487" s="200"/>
      <c r="I487" s="200"/>
      <c r="J487" s="213"/>
      <c r="K487" s="213"/>
      <c r="L487" s="200"/>
      <c r="M487" s="200"/>
      <c r="P487" s="200"/>
      <c r="Q487" s="200"/>
      <c r="R487" s="200"/>
      <c r="V487" s="200"/>
      <c r="Y487" s="200"/>
      <c r="Z487" s="213"/>
      <c r="AA487" s="200"/>
      <c r="AB487" s="200"/>
      <c r="AI487" s="200"/>
      <c r="AJ487" s="200"/>
      <c r="AK487" s="209"/>
      <c r="AL487" s="200"/>
      <c r="AM487" s="210"/>
      <c r="AN487" s="210"/>
    </row>
    <row r="488" spans="1:40" x14ac:dyDescent="0.25">
      <c r="F488" s="200"/>
      <c r="R488" s="200"/>
      <c r="V488" s="200"/>
      <c r="AK488" s="209"/>
      <c r="AL488" s="200"/>
      <c r="AM488" s="210"/>
      <c r="AN488" s="210"/>
    </row>
    <row r="489" spans="1:40" x14ac:dyDescent="0.25">
      <c r="A489" s="202"/>
      <c r="C489" s="154"/>
      <c r="F489" s="200"/>
      <c r="J489" s="215"/>
      <c r="K489" s="215"/>
      <c r="L489" s="200"/>
      <c r="M489" s="200"/>
      <c r="N489" s="210"/>
      <c r="O489" s="210"/>
      <c r="R489" s="200"/>
      <c r="T489" s="154"/>
      <c r="V489" s="200"/>
      <c r="Z489" s="215"/>
      <c r="AA489" s="200"/>
      <c r="AB489" s="200"/>
      <c r="AC489" s="210"/>
      <c r="AD489" s="210"/>
      <c r="AK489" s="209"/>
      <c r="AL489" s="200"/>
      <c r="AM489" s="210"/>
      <c r="AN489" s="210"/>
    </row>
    <row r="490" spans="1:40" x14ac:dyDescent="0.25">
      <c r="A490" s="202"/>
      <c r="C490" s="154"/>
      <c r="F490" s="200"/>
      <c r="H490" s="200"/>
      <c r="I490" s="200"/>
      <c r="J490" s="215"/>
      <c r="K490" s="215"/>
      <c r="L490" s="200"/>
      <c r="M490" s="200"/>
      <c r="N490" s="210"/>
      <c r="O490" s="210"/>
      <c r="P490" s="200"/>
      <c r="Q490" s="200"/>
      <c r="R490" s="200"/>
      <c r="T490" s="154"/>
      <c r="V490" s="200"/>
      <c r="Y490" s="200"/>
      <c r="Z490" s="215"/>
      <c r="AA490" s="200"/>
      <c r="AB490" s="200"/>
      <c r="AC490" s="210"/>
      <c r="AD490" s="210"/>
      <c r="AI490" s="200"/>
      <c r="AJ490" s="200"/>
      <c r="AK490" s="209"/>
      <c r="AL490" s="200"/>
      <c r="AM490" s="210"/>
      <c r="AN490" s="210"/>
    </row>
    <row r="491" spans="1:40" x14ac:dyDescent="0.25">
      <c r="A491" s="202"/>
      <c r="C491" s="154"/>
      <c r="T491" s="154"/>
      <c r="AM491" s="210"/>
      <c r="AN491" s="210"/>
    </row>
    <row r="492" spans="1:40" x14ac:dyDescent="0.25">
      <c r="A492" s="202"/>
      <c r="C492" s="154"/>
      <c r="T492" s="154"/>
      <c r="AM492" s="210"/>
      <c r="AN492" s="210"/>
    </row>
    <row r="493" spans="1:40" x14ac:dyDescent="0.25">
      <c r="AM493" s="210"/>
      <c r="AN493" s="210"/>
    </row>
    <row r="494" spans="1:40" x14ac:dyDescent="0.25">
      <c r="A494" s="202"/>
      <c r="C494" s="154"/>
      <c r="F494" s="252"/>
      <c r="H494" s="252"/>
      <c r="I494" s="252"/>
      <c r="J494" s="328"/>
      <c r="K494" s="328"/>
      <c r="L494" s="200"/>
      <c r="M494" s="200"/>
      <c r="N494" s="210"/>
      <c r="O494" s="210"/>
      <c r="P494" s="200"/>
      <c r="Q494" s="200"/>
      <c r="R494" s="200"/>
      <c r="T494" s="154"/>
      <c r="V494" s="200"/>
      <c r="Y494" s="200"/>
      <c r="Z494" s="328"/>
      <c r="AA494" s="200"/>
      <c r="AB494" s="200"/>
      <c r="AC494" s="210"/>
      <c r="AD494" s="210"/>
      <c r="AE494" s="200"/>
      <c r="AF494" s="200"/>
      <c r="AG494" s="209"/>
      <c r="AH494" s="201"/>
      <c r="AI494" s="200"/>
      <c r="AJ494" s="200"/>
      <c r="AK494" s="209"/>
      <c r="AL494" s="200"/>
      <c r="AM494" s="210"/>
      <c r="AN494" s="210"/>
    </row>
    <row r="495" spans="1:40" x14ac:dyDescent="0.25">
      <c r="F495" s="211"/>
      <c r="H495" s="211"/>
      <c r="I495" s="211"/>
      <c r="J495" s="305"/>
      <c r="K495" s="305"/>
      <c r="L495" s="211"/>
      <c r="M495" s="211"/>
      <c r="N495" s="211"/>
      <c r="O495" s="211"/>
      <c r="P495" s="211"/>
      <c r="Q495" s="211"/>
      <c r="R495" s="211"/>
      <c r="V495" s="211"/>
      <c r="Y495" s="211"/>
      <c r="Z495" s="305"/>
      <c r="AA495" s="211"/>
      <c r="AB495" s="211"/>
      <c r="AC495" s="211"/>
      <c r="AD495" s="211"/>
      <c r="AE495" s="211"/>
      <c r="AF495" s="211"/>
      <c r="AI495" s="211"/>
      <c r="AJ495" s="211"/>
      <c r="AK495" s="212"/>
      <c r="AL495" s="211"/>
      <c r="AM495" s="210"/>
      <c r="AN495" s="210"/>
    </row>
    <row r="496" spans="1:40" x14ac:dyDescent="0.25">
      <c r="H496" s="200"/>
      <c r="I496" s="200"/>
      <c r="Y496" s="200"/>
      <c r="AM496" s="210"/>
      <c r="AN496" s="210"/>
    </row>
    <row r="497" spans="1:40" x14ac:dyDescent="0.25">
      <c r="A497" s="202"/>
      <c r="C497" s="154"/>
      <c r="F497" s="200"/>
      <c r="H497" s="200"/>
      <c r="I497" s="200"/>
      <c r="L497" s="200"/>
      <c r="M497" s="200"/>
      <c r="N497" s="210"/>
      <c r="O497" s="210"/>
      <c r="P497" s="252"/>
      <c r="Q497" s="252"/>
      <c r="R497" s="200"/>
      <c r="T497" s="154"/>
      <c r="V497" s="200"/>
      <c r="Y497" s="200"/>
      <c r="AA497" s="200"/>
      <c r="AB497" s="200"/>
      <c r="AC497" s="210"/>
      <c r="AD497" s="210"/>
      <c r="AE497" s="200"/>
      <c r="AF497" s="200"/>
      <c r="AG497" s="209"/>
      <c r="AH497" s="201"/>
      <c r="AI497" s="252"/>
      <c r="AJ497" s="252"/>
      <c r="AK497" s="209"/>
      <c r="AL497" s="200"/>
      <c r="AM497" s="210"/>
      <c r="AN497" s="210"/>
    </row>
    <row r="498" spans="1:40" x14ac:dyDescent="0.25">
      <c r="F498" s="211"/>
      <c r="H498" s="211"/>
      <c r="I498" s="211"/>
      <c r="J498" s="305"/>
      <c r="K498" s="305"/>
      <c r="L498" s="211"/>
      <c r="M498" s="211"/>
      <c r="N498" s="211"/>
      <c r="O498" s="211"/>
      <c r="P498" s="211"/>
      <c r="Q498" s="211"/>
      <c r="R498" s="211"/>
      <c r="V498" s="211"/>
      <c r="Y498" s="211"/>
      <c r="Z498" s="305"/>
      <c r="AA498" s="211"/>
      <c r="AB498" s="211"/>
      <c r="AC498" s="211"/>
      <c r="AD498" s="211"/>
      <c r="AE498" s="211"/>
      <c r="AF498" s="211"/>
      <c r="AI498" s="211"/>
      <c r="AJ498" s="211"/>
      <c r="AK498" s="212"/>
      <c r="AL498" s="211"/>
      <c r="AM498" s="210"/>
      <c r="AN498" s="210"/>
    </row>
    <row r="500" spans="1:40" x14ac:dyDescent="0.25">
      <c r="F500" s="200"/>
      <c r="H500" s="200"/>
      <c r="I500" s="200"/>
      <c r="J500" s="213"/>
      <c r="K500" s="213"/>
      <c r="L500" s="200"/>
      <c r="M500" s="200"/>
      <c r="N500" s="200"/>
      <c r="O500" s="200"/>
      <c r="P500" s="200"/>
      <c r="Q500" s="200"/>
      <c r="R500" s="200"/>
      <c r="V500" s="200"/>
      <c r="Y500" s="200"/>
      <c r="Z500" s="213"/>
      <c r="AA500" s="200"/>
      <c r="AB500" s="200"/>
      <c r="AC500" s="200"/>
      <c r="AD500" s="200"/>
      <c r="AE500" s="200"/>
      <c r="AF500" s="200"/>
      <c r="AG500" s="209"/>
      <c r="AH500" s="200"/>
      <c r="AI500" s="200"/>
      <c r="AJ500" s="200"/>
      <c r="AK500" s="209"/>
      <c r="AL500" s="200"/>
    </row>
    <row r="501" spans="1:40" x14ac:dyDescent="0.25">
      <c r="A501" s="154"/>
    </row>
    <row r="502" spans="1:40" x14ac:dyDescent="0.25">
      <c r="J502" s="202"/>
      <c r="K502" s="202"/>
      <c r="Z502" s="202"/>
    </row>
    <row r="503" spans="1:40" x14ac:dyDescent="0.25">
      <c r="H503" s="154"/>
      <c r="I503" s="154"/>
      <c r="Y503" s="154"/>
    </row>
    <row r="504" spans="1:40" x14ac:dyDescent="0.25">
      <c r="J504" s="202"/>
      <c r="K504" s="202"/>
      <c r="Z504" s="202"/>
    </row>
    <row r="505" spans="1:40" x14ac:dyDescent="0.25">
      <c r="L505" s="154"/>
      <c r="M505" s="154"/>
      <c r="AA505" s="154"/>
      <c r="AB505" s="154"/>
    </row>
    <row r="506" spans="1:40" x14ac:dyDescent="0.25">
      <c r="A506" s="202"/>
      <c r="R506" s="154"/>
      <c r="AK506" s="297"/>
      <c r="AL506" s="154"/>
    </row>
    <row r="507" spans="1:40" x14ac:dyDescent="0.25">
      <c r="A507" s="202"/>
      <c r="R507" s="154"/>
      <c r="AK507" s="297"/>
      <c r="AL507" s="154"/>
    </row>
    <row r="508" spans="1:40" x14ac:dyDescent="0.25">
      <c r="A508" s="154"/>
      <c r="R508" s="154"/>
      <c r="AK508" s="297"/>
      <c r="AL508" s="154"/>
    </row>
    <row r="509" spans="1:40" x14ac:dyDescent="0.25">
      <c r="L509" s="154"/>
      <c r="M509" s="154"/>
      <c r="R509" s="202"/>
      <c r="AA509" s="154"/>
      <c r="AB509" s="154"/>
      <c r="AK509" s="209"/>
      <c r="AL509" s="202"/>
    </row>
    <row r="510" spans="1:40" x14ac:dyDescent="0.25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208"/>
      <c r="AH510" s="102"/>
      <c r="AI510" s="102"/>
      <c r="AJ510" s="102"/>
      <c r="AK510" s="208"/>
      <c r="AL510" s="102"/>
      <c r="AM510" s="102"/>
      <c r="AN510" s="102"/>
    </row>
    <row r="511" spans="1:40" x14ac:dyDescent="0.25">
      <c r="L511" s="103"/>
      <c r="M511" s="103"/>
      <c r="N511" s="103"/>
      <c r="O511" s="103"/>
      <c r="R511" s="103"/>
      <c r="AA511" s="103"/>
      <c r="AB511" s="103"/>
      <c r="AC511" s="103"/>
      <c r="AD511" s="103"/>
      <c r="AE511" s="103"/>
      <c r="AF511" s="103"/>
      <c r="AG511" s="185"/>
      <c r="AH511" s="103"/>
      <c r="AK511" s="185"/>
      <c r="AL511" s="103"/>
      <c r="AM511" s="103"/>
      <c r="AN511" s="103"/>
    </row>
    <row r="512" spans="1:40" x14ac:dyDescent="0.25">
      <c r="L512" s="103"/>
      <c r="M512" s="103"/>
      <c r="N512" s="103"/>
      <c r="O512" s="103"/>
      <c r="R512" s="103"/>
      <c r="Z512" s="103"/>
      <c r="AA512" s="103"/>
      <c r="AB512" s="103"/>
      <c r="AC512" s="103"/>
      <c r="AD512" s="103"/>
      <c r="AE512" s="103"/>
      <c r="AF512" s="103"/>
      <c r="AG512" s="185"/>
      <c r="AH512" s="103"/>
      <c r="AK512" s="185"/>
      <c r="AL512" s="103"/>
      <c r="AM512" s="103"/>
      <c r="AN512" s="103"/>
    </row>
    <row r="513" spans="1:40" x14ac:dyDescent="0.25">
      <c r="A513" s="103"/>
      <c r="C513" s="103"/>
      <c r="D513" s="103"/>
      <c r="E513" s="103"/>
      <c r="F513" s="103"/>
      <c r="J513" s="103"/>
      <c r="K513" s="103"/>
      <c r="L513" s="103"/>
      <c r="M513" s="103"/>
      <c r="N513" s="103"/>
      <c r="O513" s="103"/>
      <c r="P513" s="103"/>
      <c r="Q513" s="103"/>
      <c r="R513" s="103"/>
      <c r="T513" s="103"/>
      <c r="U513" s="103"/>
      <c r="V513" s="103"/>
      <c r="Z513" s="103"/>
      <c r="AA513" s="103"/>
      <c r="AB513" s="103"/>
      <c r="AC513" s="103"/>
      <c r="AD513" s="103"/>
      <c r="AE513" s="103"/>
      <c r="AF513" s="103"/>
      <c r="AG513" s="185"/>
      <c r="AH513" s="103"/>
      <c r="AI513" s="103"/>
      <c r="AJ513" s="103"/>
      <c r="AK513" s="185"/>
      <c r="AL513" s="103"/>
      <c r="AM513" s="103"/>
      <c r="AN513" s="103"/>
    </row>
    <row r="514" spans="1:40" x14ac:dyDescent="0.25">
      <c r="A514" s="103"/>
      <c r="C514" s="103"/>
      <c r="D514" s="103"/>
      <c r="E514" s="103"/>
      <c r="F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T514" s="103"/>
      <c r="U514" s="103"/>
      <c r="V514" s="103"/>
      <c r="Y514" s="103"/>
      <c r="Z514" s="103"/>
      <c r="AA514" s="103"/>
      <c r="AB514" s="103"/>
      <c r="AC514" s="103"/>
      <c r="AD514" s="103"/>
      <c r="AE514" s="103"/>
      <c r="AF514" s="103"/>
      <c r="AG514" s="185"/>
      <c r="AH514" s="103"/>
      <c r="AI514" s="103"/>
      <c r="AJ514" s="103"/>
      <c r="AK514" s="185"/>
      <c r="AL514" s="103"/>
      <c r="AM514" s="103"/>
      <c r="AN514" s="103"/>
    </row>
    <row r="515" spans="1:40" x14ac:dyDescent="0.25">
      <c r="C515" s="103"/>
      <c r="D515" s="103"/>
      <c r="E515" s="103"/>
      <c r="F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T515" s="103"/>
      <c r="U515" s="103"/>
      <c r="V515" s="103"/>
      <c r="Y515" s="103"/>
      <c r="Z515" s="103"/>
      <c r="AA515" s="103"/>
      <c r="AB515" s="103"/>
      <c r="AC515" s="103"/>
      <c r="AD515" s="103"/>
      <c r="AE515" s="103"/>
      <c r="AF515" s="103"/>
      <c r="AG515" s="185"/>
      <c r="AH515" s="103"/>
      <c r="AI515" s="103"/>
      <c r="AJ515" s="103"/>
      <c r="AK515" s="185"/>
      <c r="AL515" s="103"/>
      <c r="AM515" s="103"/>
      <c r="AN515" s="103"/>
    </row>
    <row r="516" spans="1:40" x14ac:dyDescent="0.2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208"/>
      <c r="AH516" s="102"/>
      <c r="AI516" s="102"/>
      <c r="AJ516" s="102"/>
      <c r="AK516" s="208"/>
      <c r="AL516" s="102"/>
      <c r="AM516" s="102"/>
      <c r="AN516" s="102"/>
    </row>
    <row r="517" spans="1:40" x14ac:dyDescent="0.25"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Y517" s="103"/>
      <c r="Z517" s="103"/>
      <c r="AA517" s="103"/>
      <c r="AB517" s="103"/>
      <c r="AC517" s="103"/>
      <c r="AD517" s="103"/>
      <c r="AE517" s="103"/>
      <c r="AF517" s="103"/>
      <c r="AG517" s="185"/>
      <c r="AH517" s="103"/>
      <c r="AI517" s="103"/>
      <c r="AJ517" s="103"/>
      <c r="AK517" s="185"/>
      <c r="AL517" s="103"/>
      <c r="AM517" s="103"/>
      <c r="AN517" s="103"/>
    </row>
    <row r="518" spans="1:40" x14ac:dyDescent="0.25">
      <c r="A518" s="202"/>
      <c r="C518" s="154"/>
      <c r="D518" s="154"/>
      <c r="E518" s="154"/>
      <c r="T518" s="154"/>
      <c r="U518" s="154"/>
      <c r="V518" s="200"/>
      <c r="W518" s="200"/>
      <c r="X518" s="200"/>
      <c r="Y518" s="200"/>
      <c r="Z518" s="328"/>
    </row>
    <row r="520" spans="1:40" x14ac:dyDescent="0.25">
      <c r="A520" s="202"/>
      <c r="C520" s="154"/>
      <c r="T520" s="154"/>
      <c r="V520" s="200"/>
      <c r="W520" s="200"/>
      <c r="X520" s="200"/>
      <c r="Y520" s="200"/>
      <c r="Z520" s="328"/>
    </row>
    <row r="521" spans="1:40" x14ac:dyDescent="0.25">
      <c r="A521" s="202"/>
      <c r="C521" s="154"/>
      <c r="F521" s="252"/>
      <c r="H521" s="252"/>
      <c r="I521" s="252"/>
      <c r="J521" s="329"/>
      <c r="K521" s="329"/>
      <c r="L521" s="200"/>
      <c r="M521" s="200"/>
      <c r="N521" s="210"/>
      <c r="O521" s="210"/>
      <c r="P521" s="200"/>
      <c r="Q521" s="200"/>
      <c r="R521" s="200"/>
      <c r="T521" s="154"/>
      <c r="V521" s="200"/>
      <c r="W521" s="200"/>
      <c r="X521" s="200"/>
      <c r="Y521" s="200"/>
      <c r="Z521" s="329"/>
      <c r="AA521" s="200"/>
      <c r="AB521" s="200"/>
      <c r="AC521" s="210"/>
      <c r="AD521" s="210"/>
      <c r="AE521" s="200"/>
      <c r="AF521" s="200"/>
      <c r="AG521" s="209"/>
      <c r="AH521" s="201"/>
      <c r="AI521" s="200"/>
      <c r="AJ521" s="200"/>
      <c r="AK521" s="209"/>
      <c r="AL521" s="200"/>
      <c r="AM521" s="210"/>
      <c r="AN521" s="210"/>
    </row>
    <row r="522" spans="1:40" x14ac:dyDescent="0.25">
      <c r="A522" s="202"/>
      <c r="C522" s="154"/>
      <c r="F522" s="252"/>
      <c r="H522" s="252"/>
      <c r="I522" s="252"/>
      <c r="J522" s="329"/>
      <c r="K522" s="329"/>
      <c r="L522" s="200"/>
      <c r="M522" s="200"/>
      <c r="N522" s="210"/>
      <c r="O522" s="210"/>
      <c r="P522" s="200"/>
      <c r="Q522" s="200"/>
      <c r="R522" s="200"/>
      <c r="T522" s="154"/>
      <c r="V522" s="200"/>
      <c r="W522" s="200"/>
      <c r="X522" s="200"/>
      <c r="Y522" s="200"/>
      <c r="Z522" s="329"/>
      <c r="AA522" s="200"/>
      <c r="AB522" s="200"/>
      <c r="AC522" s="210"/>
      <c r="AD522" s="210"/>
      <c r="AE522" s="200"/>
      <c r="AF522" s="200"/>
      <c r="AG522" s="209"/>
      <c r="AH522" s="201"/>
      <c r="AI522" s="200"/>
      <c r="AJ522" s="200"/>
      <c r="AK522" s="209"/>
      <c r="AL522" s="200"/>
      <c r="AM522" s="210"/>
      <c r="AN522" s="210"/>
    </row>
    <row r="523" spans="1:40" x14ac:dyDescent="0.25">
      <c r="A523" s="202"/>
      <c r="C523" s="154"/>
      <c r="F523" s="252"/>
      <c r="H523" s="252"/>
      <c r="I523" s="252"/>
      <c r="J523" s="329"/>
      <c r="K523" s="329"/>
      <c r="L523" s="200"/>
      <c r="M523" s="200"/>
      <c r="N523" s="210"/>
      <c r="O523" s="210"/>
      <c r="P523" s="200"/>
      <c r="Q523" s="200"/>
      <c r="R523" s="200"/>
      <c r="T523" s="154"/>
      <c r="V523" s="200"/>
      <c r="W523" s="200"/>
      <c r="X523" s="200"/>
      <c r="Y523" s="200"/>
      <c r="Z523" s="329"/>
      <c r="AA523" s="200"/>
      <c r="AB523" s="200"/>
      <c r="AC523" s="210"/>
      <c r="AD523" s="210"/>
      <c r="AE523" s="200"/>
      <c r="AF523" s="200"/>
      <c r="AG523" s="209"/>
      <c r="AH523" s="201"/>
      <c r="AI523" s="200"/>
      <c r="AJ523" s="200"/>
      <c r="AK523" s="209"/>
      <c r="AL523" s="200"/>
      <c r="AM523" s="210"/>
      <c r="AN523" s="210"/>
    </row>
    <row r="524" spans="1:40" x14ac:dyDescent="0.25">
      <c r="A524" s="202"/>
      <c r="C524" s="154"/>
      <c r="F524" s="252"/>
      <c r="H524" s="252"/>
      <c r="I524" s="252"/>
      <c r="J524" s="329"/>
      <c r="K524" s="329"/>
      <c r="L524" s="200"/>
      <c r="M524" s="200"/>
      <c r="N524" s="210"/>
      <c r="O524" s="210"/>
      <c r="P524" s="200"/>
      <c r="Q524" s="200"/>
      <c r="R524" s="200"/>
      <c r="T524" s="154"/>
      <c r="V524" s="200"/>
      <c r="W524" s="200"/>
      <c r="X524" s="200"/>
      <c r="Y524" s="200"/>
      <c r="Z524" s="329"/>
      <c r="AA524" s="200"/>
      <c r="AB524" s="200"/>
      <c r="AC524" s="210"/>
      <c r="AD524" s="210"/>
      <c r="AE524" s="200"/>
      <c r="AF524" s="200"/>
      <c r="AG524" s="209"/>
      <c r="AH524" s="201"/>
      <c r="AI524" s="200"/>
      <c r="AJ524" s="200"/>
      <c r="AK524" s="209"/>
      <c r="AL524" s="200"/>
      <c r="AM524" s="210"/>
      <c r="AN524" s="210"/>
    </row>
    <row r="525" spans="1:40" x14ac:dyDescent="0.25">
      <c r="J525" s="334"/>
      <c r="K525" s="334"/>
      <c r="V525" s="200"/>
      <c r="W525" s="200"/>
      <c r="X525" s="200"/>
      <c r="Y525" s="200"/>
      <c r="Z525" s="329"/>
    </row>
    <row r="526" spans="1:40" x14ac:dyDescent="0.25">
      <c r="A526" s="202"/>
      <c r="C526" s="154"/>
      <c r="F526" s="252"/>
      <c r="H526" s="252"/>
      <c r="I526" s="252"/>
      <c r="J526" s="329"/>
      <c r="K526" s="329"/>
      <c r="L526" s="200"/>
      <c r="M526" s="200"/>
      <c r="N526" s="210"/>
      <c r="O526" s="210"/>
      <c r="P526" s="200"/>
      <c r="Q526" s="200"/>
      <c r="R526" s="200"/>
      <c r="T526" s="154"/>
      <c r="V526" s="200"/>
      <c r="W526" s="200"/>
      <c r="X526" s="200"/>
      <c r="Y526" s="200"/>
      <c r="Z526" s="329"/>
      <c r="AA526" s="200"/>
      <c r="AB526" s="200"/>
      <c r="AC526" s="210"/>
      <c r="AD526" s="210"/>
      <c r="AE526" s="200"/>
      <c r="AF526" s="200"/>
      <c r="AG526" s="209"/>
      <c r="AH526" s="201"/>
      <c r="AI526" s="200"/>
      <c r="AJ526" s="200"/>
      <c r="AK526" s="209"/>
      <c r="AL526" s="200"/>
      <c r="AM526" s="201"/>
      <c r="AN526" s="201"/>
    </row>
    <row r="527" spans="1:40" x14ac:dyDescent="0.25">
      <c r="A527" s="202"/>
      <c r="C527" s="154"/>
      <c r="J527" s="334"/>
      <c r="K527" s="334"/>
      <c r="T527" s="154"/>
      <c r="V527" s="200"/>
      <c r="W527" s="200"/>
      <c r="X527" s="200"/>
      <c r="Y527" s="200"/>
      <c r="Z527" s="329"/>
    </row>
    <row r="528" spans="1:40" x14ac:dyDescent="0.25">
      <c r="A528" s="202"/>
      <c r="C528" s="154"/>
      <c r="F528" s="252"/>
      <c r="H528" s="252"/>
      <c r="I528" s="252"/>
      <c r="J528" s="329"/>
      <c r="K528" s="329"/>
      <c r="L528" s="200"/>
      <c r="M528" s="200"/>
      <c r="N528" s="210"/>
      <c r="O528" s="210"/>
      <c r="P528" s="200"/>
      <c r="Q528" s="200"/>
      <c r="R528" s="200"/>
      <c r="T528" s="154"/>
      <c r="V528" s="200"/>
      <c r="W528" s="200"/>
      <c r="X528" s="200"/>
      <c r="Y528" s="200"/>
      <c r="Z528" s="329"/>
      <c r="AA528" s="200"/>
      <c r="AB528" s="200"/>
      <c r="AC528" s="210"/>
      <c r="AD528" s="210"/>
      <c r="AE528" s="200"/>
      <c r="AF528" s="200"/>
      <c r="AG528" s="209"/>
      <c r="AH528" s="201"/>
      <c r="AI528" s="200"/>
      <c r="AJ528" s="200"/>
      <c r="AK528" s="209"/>
      <c r="AL528" s="200"/>
      <c r="AM528" s="201"/>
      <c r="AN528" s="201"/>
    </row>
    <row r="529" spans="1:40" x14ac:dyDescent="0.25">
      <c r="J529" s="334"/>
      <c r="K529" s="334"/>
      <c r="Z529" s="334"/>
    </row>
    <row r="530" spans="1:40" x14ac:dyDescent="0.25">
      <c r="A530" s="202"/>
      <c r="C530" s="154"/>
      <c r="J530" s="334"/>
      <c r="K530" s="334"/>
      <c r="T530" s="154"/>
      <c r="V530" s="200"/>
      <c r="W530" s="200"/>
      <c r="X530" s="200"/>
      <c r="Y530" s="200"/>
      <c r="Z530" s="329"/>
    </row>
    <row r="531" spans="1:40" x14ac:dyDescent="0.25">
      <c r="A531" s="202"/>
      <c r="C531" s="154"/>
      <c r="F531" s="252"/>
      <c r="H531" s="252"/>
      <c r="I531" s="252"/>
      <c r="J531" s="329"/>
      <c r="K531" s="329"/>
      <c r="L531" s="200"/>
      <c r="M531" s="200"/>
      <c r="N531" s="210"/>
      <c r="O531" s="210"/>
      <c r="P531" s="200"/>
      <c r="Q531" s="200"/>
      <c r="R531" s="200"/>
      <c r="T531" s="154"/>
      <c r="V531" s="200"/>
      <c r="W531" s="200"/>
      <c r="X531" s="200"/>
      <c r="Y531" s="200"/>
      <c r="Z531" s="329"/>
      <c r="AA531" s="200"/>
      <c r="AB531" s="200"/>
      <c r="AC531" s="210"/>
      <c r="AD531" s="210"/>
      <c r="AE531" s="200"/>
      <c r="AF531" s="200"/>
      <c r="AG531" s="209"/>
      <c r="AH531" s="201"/>
      <c r="AI531" s="200"/>
      <c r="AJ531" s="200"/>
      <c r="AK531" s="209"/>
      <c r="AL531" s="200"/>
      <c r="AM531" s="201"/>
      <c r="AN531" s="201"/>
    </row>
    <row r="532" spans="1:40" x14ac:dyDescent="0.25">
      <c r="A532" s="202"/>
      <c r="C532" s="154"/>
      <c r="F532" s="252"/>
      <c r="H532" s="252"/>
      <c r="I532" s="252"/>
      <c r="J532" s="329"/>
      <c r="K532" s="329"/>
      <c r="L532" s="200"/>
      <c r="M532" s="200"/>
      <c r="N532" s="210"/>
      <c r="O532" s="210"/>
      <c r="P532" s="200"/>
      <c r="Q532" s="200"/>
      <c r="R532" s="200"/>
      <c r="T532" s="154"/>
      <c r="V532" s="200"/>
      <c r="W532" s="200"/>
      <c r="X532" s="200"/>
      <c r="Y532" s="200"/>
      <c r="Z532" s="329"/>
      <c r="AA532" s="200"/>
      <c r="AB532" s="200"/>
      <c r="AC532" s="210"/>
      <c r="AD532" s="210"/>
      <c r="AE532" s="200"/>
      <c r="AF532" s="200"/>
      <c r="AG532" s="209"/>
      <c r="AH532" s="201"/>
      <c r="AI532" s="200"/>
      <c r="AJ532" s="200"/>
      <c r="AK532" s="209"/>
      <c r="AL532" s="200"/>
      <c r="AM532" s="201"/>
      <c r="AN532" s="201"/>
    </row>
    <row r="533" spans="1:40" x14ac:dyDescent="0.25">
      <c r="F533" s="211"/>
      <c r="H533" s="211"/>
      <c r="I533" s="211"/>
      <c r="J533" s="329"/>
      <c r="K533" s="329"/>
      <c r="L533" s="211"/>
      <c r="M533" s="211"/>
      <c r="N533" s="211"/>
      <c r="O533" s="211"/>
      <c r="P533" s="211"/>
      <c r="Q533" s="211"/>
      <c r="R533" s="211"/>
      <c r="V533" s="211"/>
      <c r="Y533" s="211"/>
      <c r="Z533" s="305"/>
      <c r="AA533" s="211"/>
      <c r="AB533" s="211"/>
      <c r="AC533" s="211"/>
      <c r="AD533" s="211"/>
      <c r="AE533" s="211"/>
      <c r="AF533" s="211"/>
      <c r="AI533" s="211"/>
      <c r="AJ533" s="211"/>
      <c r="AK533" s="212"/>
      <c r="AL533" s="211"/>
    </row>
    <row r="534" spans="1:40" x14ac:dyDescent="0.25">
      <c r="A534" s="202"/>
      <c r="C534" s="154"/>
      <c r="F534" s="200"/>
      <c r="H534" s="200"/>
      <c r="I534" s="200"/>
      <c r="L534" s="200"/>
      <c r="M534" s="200"/>
      <c r="N534" s="210"/>
      <c r="O534" s="210"/>
      <c r="P534" s="252"/>
      <c r="Q534" s="252"/>
      <c r="R534" s="200"/>
      <c r="T534" s="154"/>
      <c r="V534" s="200"/>
      <c r="W534" s="200"/>
      <c r="X534" s="200"/>
      <c r="Y534" s="200"/>
      <c r="Z534" s="328"/>
      <c r="AA534" s="200"/>
      <c r="AB534" s="200"/>
      <c r="AC534" s="210"/>
      <c r="AD534" s="210"/>
      <c r="AE534" s="200"/>
      <c r="AF534" s="200"/>
      <c r="AG534" s="209"/>
      <c r="AH534" s="201"/>
      <c r="AI534" s="252"/>
      <c r="AJ534" s="252"/>
      <c r="AK534" s="209"/>
      <c r="AL534" s="200"/>
      <c r="AM534" s="201"/>
      <c r="AN534" s="201"/>
    </row>
    <row r="535" spans="1:40" x14ac:dyDescent="0.25">
      <c r="F535" s="211"/>
      <c r="H535" s="211"/>
      <c r="I535" s="211"/>
      <c r="J535" s="305"/>
      <c r="K535" s="305"/>
      <c r="L535" s="211"/>
      <c r="M535" s="211"/>
      <c r="N535" s="211"/>
      <c r="O535" s="211"/>
      <c r="P535" s="211"/>
      <c r="Q535" s="211"/>
      <c r="R535" s="211"/>
      <c r="V535" s="211"/>
      <c r="Y535" s="211"/>
      <c r="Z535" s="305"/>
      <c r="AA535" s="211"/>
      <c r="AB535" s="211"/>
      <c r="AC535" s="211"/>
      <c r="AD535" s="211"/>
      <c r="AE535" s="211"/>
      <c r="AF535" s="211"/>
      <c r="AI535" s="211"/>
      <c r="AJ535" s="211"/>
      <c r="AK535" s="212"/>
      <c r="AL535" s="211"/>
    </row>
    <row r="537" spans="1:40" x14ac:dyDescent="0.25">
      <c r="C537" s="202"/>
      <c r="T537" s="202"/>
    </row>
    <row r="538" spans="1:40" x14ac:dyDescent="0.25">
      <c r="A538" s="154"/>
    </row>
    <row r="539" spans="1:40" x14ac:dyDescent="0.25">
      <c r="J539" s="202"/>
      <c r="K539" s="202"/>
      <c r="Z539" s="202"/>
    </row>
    <row r="540" spans="1:40" x14ac:dyDescent="0.25">
      <c r="H540" s="154"/>
      <c r="I540" s="154"/>
      <c r="Y540" s="154"/>
    </row>
    <row r="541" spans="1:40" x14ac:dyDescent="0.25">
      <c r="J541" s="202"/>
      <c r="K541" s="202"/>
      <c r="Z541" s="202"/>
    </row>
    <row r="542" spans="1:40" x14ac:dyDescent="0.25">
      <c r="L542" s="154"/>
      <c r="M542" s="154"/>
      <c r="AA542" s="154"/>
      <c r="AB542" s="154"/>
    </row>
    <row r="543" spans="1:40" x14ac:dyDescent="0.25">
      <c r="A543" s="202"/>
      <c r="R543" s="154"/>
      <c r="AK543" s="297"/>
      <c r="AL543" s="154"/>
    </row>
    <row r="544" spans="1:40" x14ac:dyDescent="0.25">
      <c r="A544" s="202"/>
      <c r="R544" s="154"/>
      <c r="AK544" s="297"/>
      <c r="AL544" s="154"/>
    </row>
    <row r="545" spans="1:40" x14ac:dyDescent="0.25">
      <c r="A545" s="154"/>
      <c r="R545" s="154"/>
      <c r="AK545" s="297"/>
      <c r="AL545" s="154"/>
    </row>
    <row r="546" spans="1:40" x14ac:dyDescent="0.25">
      <c r="L546" s="154"/>
      <c r="M546" s="154"/>
      <c r="R546" s="202"/>
      <c r="AA546" s="154"/>
      <c r="AB546" s="154"/>
      <c r="AK546" s="209"/>
      <c r="AL546" s="202"/>
    </row>
    <row r="547" spans="1:40" x14ac:dyDescent="0.2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208"/>
      <c r="AH547" s="102"/>
      <c r="AI547" s="102"/>
      <c r="AJ547" s="102"/>
      <c r="AK547" s="208"/>
      <c r="AL547" s="102"/>
      <c r="AM547" s="102"/>
      <c r="AN547" s="102"/>
    </row>
    <row r="548" spans="1:40" x14ac:dyDescent="0.25">
      <c r="L548" s="103"/>
      <c r="M548" s="103"/>
      <c r="N548" s="103"/>
      <c r="O548" s="103"/>
      <c r="R548" s="103"/>
      <c r="AA548" s="103"/>
      <c r="AB548" s="103"/>
      <c r="AC548" s="103"/>
      <c r="AD548" s="103"/>
      <c r="AE548" s="103"/>
      <c r="AF548" s="103"/>
      <c r="AG548" s="185"/>
      <c r="AH548" s="103"/>
      <c r="AK548" s="185"/>
      <c r="AL548" s="103"/>
      <c r="AM548" s="103"/>
      <c r="AN548" s="103"/>
    </row>
    <row r="549" spans="1:40" x14ac:dyDescent="0.25">
      <c r="L549" s="103"/>
      <c r="M549" s="103"/>
      <c r="N549" s="103"/>
      <c r="O549" s="103"/>
      <c r="R549" s="103"/>
      <c r="Z549" s="103"/>
      <c r="AA549" s="103"/>
      <c r="AB549" s="103"/>
      <c r="AC549" s="103"/>
      <c r="AD549" s="103"/>
      <c r="AE549" s="103"/>
      <c r="AF549" s="103"/>
      <c r="AG549" s="185"/>
      <c r="AH549" s="103"/>
      <c r="AK549" s="185"/>
      <c r="AL549" s="103"/>
      <c r="AM549" s="103"/>
      <c r="AN549" s="103"/>
    </row>
    <row r="550" spans="1:40" x14ac:dyDescent="0.25">
      <c r="A550" s="103"/>
      <c r="C550" s="103"/>
      <c r="D550" s="103"/>
      <c r="E550" s="103"/>
      <c r="F550" s="103"/>
      <c r="J550" s="103"/>
      <c r="K550" s="103"/>
      <c r="L550" s="103"/>
      <c r="M550" s="103"/>
      <c r="N550" s="103"/>
      <c r="O550" s="103"/>
      <c r="P550" s="103"/>
      <c r="Q550" s="103"/>
      <c r="R550" s="103"/>
      <c r="T550" s="103"/>
      <c r="U550" s="103"/>
      <c r="V550" s="103"/>
      <c r="Z550" s="103"/>
      <c r="AA550" s="103"/>
      <c r="AB550" s="103"/>
      <c r="AC550" s="103"/>
      <c r="AD550" s="103"/>
      <c r="AE550" s="103"/>
      <c r="AF550" s="103"/>
      <c r="AG550" s="185"/>
      <c r="AH550" s="103"/>
      <c r="AI550" s="103"/>
      <c r="AJ550" s="103"/>
      <c r="AK550" s="185"/>
      <c r="AL550" s="103"/>
      <c r="AM550" s="103"/>
      <c r="AN550" s="103"/>
    </row>
    <row r="551" spans="1:40" x14ac:dyDescent="0.25">
      <c r="A551" s="103"/>
      <c r="C551" s="103"/>
      <c r="D551" s="103"/>
      <c r="E551" s="103"/>
      <c r="F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T551" s="103"/>
      <c r="U551" s="103"/>
      <c r="V551" s="103"/>
      <c r="Y551" s="103"/>
      <c r="Z551" s="103"/>
      <c r="AA551" s="103"/>
      <c r="AB551" s="103"/>
      <c r="AC551" s="103"/>
      <c r="AD551" s="103"/>
      <c r="AE551" s="103"/>
      <c r="AF551" s="103"/>
      <c r="AG551" s="185"/>
      <c r="AH551" s="103"/>
      <c r="AI551" s="103"/>
      <c r="AJ551" s="103"/>
      <c r="AK551" s="185"/>
      <c r="AL551" s="103"/>
      <c r="AM551" s="103"/>
      <c r="AN551" s="103"/>
    </row>
    <row r="552" spans="1:40" x14ac:dyDescent="0.25">
      <c r="C552" s="103"/>
      <c r="D552" s="103"/>
      <c r="E552" s="103"/>
      <c r="F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T552" s="103"/>
      <c r="U552" s="103"/>
      <c r="V552" s="103"/>
      <c r="Y552" s="103"/>
      <c r="Z552" s="103"/>
      <c r="AA552" s="103"/>
      <c r="AB552" s="103"/>
      <c r="AC552" s="103"/>
      <c r="AD552" s="103"/>
      <c r="AE552" s="103"/>
      <c r="AF552" s="103"/>
      <c r="AG552" s="185"/>
      <c r="AH552" s="103"/>
      <c r="AI552" s="103"/>
      <c r="AJ552" s="103"/>
      <c r="AK552" s="185"/>
      <c r="AL552" s="103"/>
      <c r="AM552" s="103"/>
      <c r="AN552" s="103"/>
    </row>
    <row r="553" spans="1:40" x14ac:dyDescent="0.2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208"/>
      <c r="AH553" s="102"/>
      <c r="AI553" s="102"/>
      <c r="AJ553" s="102"/>
      <c r="AK553" s="208"/>
      <c r="AL553" s="102"/>
      <c r="AM553" s="102"/>
      <c r="AN553" s="102"/>
    </row>
    <row r="554" spans="1:40" x14ac:dyDescent="0.25"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Y554" s="103"/>
      <c r="Z554" s="103"/>
      <c r="AA554" s="103"/>
      <c r="AB554" s="103"/>
      <c r="AC554" s="103"/>
      <c r="AD554" s="103"/>
      <c r="AE554" s="103"/>
      <c r="AF554" s="103"/>
      <c r="AG554" s="185"/>
      <c r="AH554" s="103"/>
      <c r="AI554" s="103"/>
      <c r="AJ554" s="103"/>
      <c r="AK554" s="185"/>
      <c r="AL554" s="103"/>
      <c r="AM554" s="103"/>
      <c r="AN554" s="103"/>
    </row>
    <row r="555" spans="1:40" x14ac:dyDescent="0.25">
      <c r="A555" s="202"/>
      <c r="C555" s="154"/>
      <c r="D555" s="154"/>
      <c r="E555" s="154"/>
      <c r="T555" s="154"/>
      <c r="U555" s="154"/>
    </row>
    <row r="557" spans="1:40" x14ac:dyDescent="0.25">
      <c r="A557" s="202"/>
      <c r="C557" s="154"/>
      <c r="T557" s="154"/>
    </row>
    <row r="558" spans="1:40" x14ac:dyDescent="0.25">
      <c r="A558" s="202"/>
      <c r="C558" s="154"/>
      <c r="T558" s="154"/>
    </row>
    <row r="559" spans="1:40" x14ac:dyDescent="0.25">
      <c r="A559" s="202"/>
      <c r="C559" s="154"/>
      <c r="F559" s="252"/>
      <c r="H559" s="252"/>
      <c r="I559" s="252"/>
      <c r="J559" s="329"/>
      <c r="K559" s="329"/>
      <c r="L559" s="200"/>
      <c r="M559" s="200"/>
      <c r="N559" s="210"/>
      <c r="O559" s="210"/>
      <c r="P559" s="200"/>
      <c r="Q559" s="200"/>
      <c r="R559" s="200"/>
      <c r="T559" s="154"/>
      <c r="V559" s="200"/>
      <c r="W559" s="200"/>
      <c r="X559" s="200"/>
      <c r="Y559" s="200"/>
      <c r="Z559" s="329"/>
      <c r="AA559" s="200"/>
      <c r="AB559" s="200"/>
      <c r="AC559" s="210"/>
      <c r="AD559" s="210"/>
      <c r="AE559" s="200"/>
      <c r="AF559" s="200"/>
      <c r="AG559" s="209"/>
      <c r="AH559" s="201"/>
      <c r="AI559" s="200"/>
      <c r="AJ559" s="200"/>
      <c r="AK559" s="209"/>
      <c r="AL559" s="200"/>
      <c r="AM559" s="201"/>
      <c r="AN559" s="201"/>
    </row>
    <row r="560" spans="1:40" x14ac:dyDescent="0.25">
      <c r="A560" s="202"/>
      <c r="C560" s="154"/>
      <c r="F560" s="200"/>
      <c r="H560" s="200"/>
      <c r="I560" s="200"/>
      <c r="J560" s="334"/>
      <c r="K560" s="334"/>
      <c r="L560" s="200"/>
      <c r="M560" s="200"/>
      <c r="N560" s="210"/>
      <c r="O560" s="210"/>
      <c r="P560" s="200"/>
      <c r="Q560" s="200"/>
      <c r="R560" s="200"/>
      <c r="T560" s="154"/>
      <c r="V560" s="200"/>
      <c r="W560" s="200"/>
      <c r="X560" s="200"/>
      <c r="Y560" s="200"/>
      <c r="Z560" s="334"/>
      <c r="AA560" s="200"/>
      <c r="AB560" s="200"/>
      <c r="AC560" s="210"/>
      <c r="AD560" s="210"/>
      <c r="AE560" s="200"/>
      <c r="AF560" s="200"/>
      <c r="AG560" s="209"/>
      <c r="AH560" s="201"/>
      <c r="AI560" s="200"/>
      <c r="AJ560" s="200"/>
      <c r="AK560" s="209"/>
      <c r="AL560" s="200"/>
      <c r="AM560" s="201"/>
      <c r="AN560" s="201"/>
    </row>
    <row r="561" spans="1:40" x14ac:dyDescent="0.25">
      <c r="A561" s="202"/>
      <c r="C561" s="154"/>
      <c r="F561" s="200"/>
      <c r="H561" s="200"/>
      <c r="I561" s="200"/>
      <c r="J561" s="334"/>
      <c r="K561" s="334"/>
      <c r="L561" s="200"/>
      <c r="M561" s="200"/>
      <c r="N561" s="210"/>
      <c r="O561" s="210"/>
      <c r="P561" s="200"/>
      <c r="Q561" s="200"/>
      <c r="R561" s="200"/>
      <c r="T561" s="154"/>
      <c r="V561" s="200"/>
      <c r="W561" s="200"/>
      <c r="X561" s="200"/>
      <c r="Y561" s="200"/>
      <c r="Z561" s="334"/>
      <c r="AA561" s="200"/>
      <c r="AB561" s="200"/>
      <c r="AC561" s="210"/>
      <c r="AD561" s="210"/>
      <c r="AE561" s="200"/>
      <c r="AF561" s="200"/>
      <c r="AG561" s="209"/>
      <c r="AH561" s="201"/>
      <c r="AI561" s="200"/>
      <c r="AJ561" s="200"/>
      <c r="AK561" s="209"/>
      <c r="AL561" s="200"/>
      <c r="AM561" s="201"/>
      <c r="AN561" s="201"/>
    </row>
    <row r="562" spans="1:40" x14ac:dyDescent="0.25">
      <c r="A562" s="202"/>
      <c r="C562" s="154"/>
      <c r="F562" s="200"/>
      <c r="H562" s="200"/>
      <c r="I562" s="200"/>
      <c r="J562" s="334"/>
      <c r="K562" s="334"/>
      <c r="T562" s="154"/>
      <c r="V562" s="200"/>
      <c r="Z562" s="334"/>
    </row>
    <row r="563" spans="1:40" x14ac:dyDescent="0.25">
      <c r="A563" s="202"/>
      <c r="C563" s="154"/>
      <c r="F563" s="252"/>
      <c r="H563" s="252"/>
      <c r="I563" s="252"/>
      <c r="J563" s="329"/>
      <c r="K563" s="329"/>
      <c r="L563" s="200"/>
      <c r="M563" s="200"/>
      <c r="N563" s="210"/>
      <c r="O563" s="210"/>
      <c r="P563" s="200"/>
      <c r="Q563" s="200"/>
      <c r="R563" s="200"/>
      <c r="T563" s="154"/>
      <c r="V563" s="200"/>
      <c r="W563" s="200"/>
      <c r="X563" s="200"/>
      <c r="Y563" s="200"/>
      <c r="Z563" s="329"/>
      <c r="AA563" s="200"/>
      <c r="AB563" s="200"/>
      <c r="AC563" s="210"/>
      <c r="AD563" s="210"/>
      <c r="AE563" s="200"/>
      <c r="AF563" s="200"/>
      <c r="AG563" s="209"/>
      <c r="AH563" s="201"/>
      <c r="AI563" s="200"/>
      <c r="AJ563" s="200"/>
      <c r="AK563" s="209"/>
      <c r="AL563" s="200"/>
      <c r="AM563" s="201"/>
      <c r="AN563" s="201"/>
    </row>
    <row r="564" spans="1:40" x14ac:dyDescent="0.25">
      <c r="A564" s="202"/>
      <c r="C564" s="154"/>
      <c r="F564" s="200"/>
      <c r="H564" s="200"/>
      <c r="I564" s="200"/>
      <c r="J564" s="334"/>
      <c r="K564" s="334"/>
      <c r="T564" s="154"/>
      <c r="V564" s="200"/>
      <c r="W564" s="200"/>
      <c r="X564" s="200"/>
      <c r="Y564" s="200"/>
      <c r="Z564" s="334"/>
      <c r="AC564" s="210"/>
      <c r="AD564" s="210"/>
      <c r="AE564" s="200"/>
      <c r="AF564" s="200"/>
      <c r="AG564" s="209"/>
      <c r="AH564" s="201"/>
      <c r="AI564" s="200"/>
      <c r="AJ564" s="200"/>
      <c r="AK564" s="209"/>
      <c r="AL564" s="200"/>
      <c r="AM564" s="201"/>
      <c r="AN564" s="201"/>
    </row>
    <row r="565" spans="1:40" x14ac:dyDescent="0.25">
      <c r="A565" s="202"/>
      <c r="C565" s="154"/>
      <c r="F565" s="252"/>
      <c r="H565" s="252"/>
      <c r="I565" s="252"/>
      <c r="J565" s="329"/>
      <c r="K565" s="329"/>
      <c r="L565" s="200"/>
      <c r="M565" s="200"/>
      <c r="N565" s="210"/>
      <c r="O565" s="210"/>
      <c r="P565" s="200"/>
      <c r="Q565" s="200"/>
      <c r="R565" s="200"/>
      <c r="T565" s="154"/>
      <c r="V565" s="200"/>
      <c r="W565" s="200"/>
      <c r="X565" s="200"/>
      <c r="Y565" s="200"/>
      <c r="Z565" s="329"/>
      <c r="AA565" s="200"/>
      <c r="AB565" s="200"/>
      <c r="AC565" s="210"/>
      <c r="AD565" s="210"/>
      <c r="AE565" s="200"/>
      <c r="AF565" s="200"/>
      <c r="AG565" s="209"/>
      <c r="AH565" s="201"/>
      <c r="AI565" s="200"/>
      <c r="AJ565" s="200"/>
      <c r="AK565" s="209"/>
      <c r="AL565" s="200"/>
      <c r="AM565" s="201"/>
      <c r="AN565" s="201"/>
    </row>
    <row r="566" spans="1:40" x14ac:dyDescent="0.25">
      <c r="A566" s="202"/>
      <c r="C566" s="154"/>
      <c r="F566" s="200"/>
      <c r="H566" s="200"/>
      <c r="I566" s="200"/>
      <c r="J566" s="334"/>
      <c r="K566" s="334"/>
      <c r="L566" s="200"/>
      <c r="M566" s="200"/>
      <c r="N566" s="210"/>
      <c r="O566" s="210"/>
      <c r="P566" s="200"/>
      <c r="Q566" s="200"/>
      <c r="R566" s="200"/>
      <c r="T566" s="154"/>
      <c r="V566" s="200"/>
      <c r="W566" s="200"/>
      <c r="X566" s="200"/>
      <c r="Y566" s="200"/>
      <c r="Z566" s="334"/>
      <c r="AA566" s="200"/>
      <c r="AB566" s="200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01"/>
      <c r="AN566" s="201"/>
    </row>
    <row r="567" spans="1:40" x14ac:dyDescent="0.25">
      <c r="F567" s="200"/>
      <c r="H567" s="200"/>
      <c r="I567" s="200"/>
      <c r="J567" s="334"/>
      <c r="K567" s="334"/>
      <c r="Z567" s="334"/>
    </row>
    <row r="568" spans="1:40" x14ac:dyDescent="0.25">
      <c r="A568" s="202"/>
      <c r="C568" s="154"/>
      <c r="F568" s="200"/>
      <c r="H568" s="252"/>
      <c r="I568" s="252"/>
      <c r="J568" s="329"/>
      <c r="K568" s="329"/>
      <c r="L568" s="200"/>
      <c r="M568" s="200"/>
      <c r="N568" s="210"/>
      <c r="O568" s="210"/>
      <c r="P568" s="200"/>
      <c r="Q568" s="200"/>
      <c r="R568" s="200"/>
      <c r="T568" s="154"/>
      <c r="V568" s="200"/>
      <c r="W568" s="200"/>
      <c r="X568" s="200"/>
      <c r="Y568" s="200"/>
      <c r="Z568" s="329"/>
      <c r="AA568" s="200"/>
      <c r="AB568" s="200"/>
      <c r="AC568" s="210"/>
      <c r="AD568" s="210"/>
      <c r="AE568" s="200"/>
      <c r="AF568" s="200"/>
      <c r="AG568" s="209"/>
      <c r="AH568" s="201"/>
      <c r="AI568" s="200"/>
      <c r="AJ568" s="200"/>
      <c r="AK568" s="209"/>
      <c r="AL568" s="200"/>
      <c r="AM568" s="201"/>
      <c r="AN568" s="201"/>
    </row>
    <row r="569" spans="1:40" x14ac:dyDescent="0.25">
      <c r="F569" s="211"/>
      <c r="H569" s="211"/>
      <c r="I569" s="211"/>
      <c r="J569" s="329"/>
      <c r="K569" s="329"/>
      <c r="L569" s="211"/>
      <c r="M569" s="211"/>
      <c r="N569" s="211"/>
      <c r="O569" s="211"/>
      <c r="P569" s="211"/>
      <c r="Q569" s="211"/>
      <c r="R569" s="211"/>
      <c r="V569" s="211"/>
      <c r="Y569" s="211"/>
      <c r="Z569" s="329"/>
      <c r="AA569" s="211"/>
      <c r="AB569" s="211"/>
      <c r="AC569" s="211"/>
      <c r="AD569" s="211"/>
      <c r="AE569" s="211"/>
      <c r="AF569" s="211"/>
      <c r="AI569" s="211"/>
      <c r="AJ569" s="211"/>
      <c r="AK569" s="212"/>
      <c r="AL569" s="211"/>
    </row>
    <row r="570" spans="1:40" x14ac:dyDescent="0.25">
      <c r="A570" s="202"/>
      <c r="C570" s="154"/>
      <c r="F570" s="200"/>
      <c r="H570" s="200"/>
      <c r="I570" s="200"/>
      <c r="J570" s="334"/>
      <c r="K570" s="334"/>
      <c r="L570" s="200"/>
      <c r="M570" s="200"/>
      <c r="N570" s="202"/>
      <c r="O570" s="202"/>
      <c r="P570" s="200"/>
      <c r="Q570" s="200"/>
      <c r="R570" s="200"/>
      <c r="T570" s="154"/>
      <c r="V570" s="200"/>
      <c r="Y570" s="200"/>
      <c r="Z570" s="334"/>
      <c r="AA570" s="200"/>
      <c r="AB570" s="200"/>
      <c r="AC570" s="201"/>
      <c r="AD570" s="201"/>
      <c r="AE570" s="200"/>
      <c r="AF570" s="200"/>
      <c r="AG570" s="209"/>
      <c r="AH570" s="201"/>
      <c r="AI570" s="200"/>
      <c r="AJ570" s="200"/>
      <c r="AK570" s="209"/>
      <c r="AL570" s="200"/>
      <c r="AM570" s="201"/>
      <c r="AN570" s="201"/>
    </row>
    <row r="571" spans="1:40" x14ac:dyDescent="0.25">
      <c r="F571" s="211"/>
      <c r="H571" s="211"/>
      <c r="I571" s="211"/>
      <c r="J571" s="329"/>
      <c r="K571" s="329"/>
      <c r="L571" s="211"/>
      <c r="M571" s="211"/>
      <c r="N571" s="211"/>
      <c r="O571" s="211"/>
      <c r="P571" s="211"/>
      <c r="Q571" s="211"/>
      <c r="R571" s="211"/>
      <c r="V571" s="211"/>
      <c r="Y571" s="211"/>
      <c r="Z571" s="329"/>
      <c r="AA571" s="211"/>
      <c r="AB571" s="211"/>
      <c r="AC571" s="211"/>
      <c r="AD571" s="211"/>
      <c r="AE571" s="211"/>
      <c r="AF571" s="211"/>
      <c r="AI571" s="211"/>
      <c r="AJ571" s="211"/>
      <c r="AK571" s="212"/>
      <c r="AL571" s="211"/>
    </row>
    <row r="572" spans="1:40" x14ac:dyDescent="0.25">
      <c r="J572" s="334"/>
      <c r="K572" s="334"/>
      <c r="Z572" s="334"/>
    </row>
    <row r="573" spans="1:40" x14ac:dyDescent="0.25">
      <c r="A573" s="202"/>
      <c r="C573" s="154"/>
      <c r="J573" s="334"/>
      <c r="K573" s="334"/>
      <c r="T573" s="154"/>
      <c r="Z573" s="334"/>
    </row>
    <row r="574" spans="1:40" x14ac:dyDescent="0.25">
      <c r="A574" s="202"/>
      <c r="C574" s="154"/>
      <c r="J574" s="334"/>
      <c r="K574" s="334"/>
      <c r="T574" s="154"/>
      <c r="Z574" s="334"/>
    </row>
    <row r="575" spans="1:40" x14ac:dyDescent="0.25">
      <c r="A575" s="202"/>
      <c r="C575" s="154"/>
      <c r="F575" s="252"/>
      <c r="H575" s="252"/>
      <c r="I575" s="252"/>
      <c r="J575" s="329"/>
      <c r="K575" s="329"/>
      <c r="L575" s="200"/>
      <c r="M575" s="200"/>
      <c r="N575" s="210"/>
      <c r="O575" s="210"/>
      <c r="P575" s="200"/>
      <c r="Q575" s="200"/>
      <c r="R575" s="200"/>
      <c r="T575" s="154"/>
      <c r="V575" s="200"/>
      <c r="W575" s="200"/>
      <c r="X575" s="200"/>
      <c r="Y575" s="200"/>
      <c r="Z575" s="329"/>
      <c r="AA575" s="200"/>
      <c r="AB575" s="200"/>
      <c r="AC575" s="210"/>
      <c r="AD575" s="210"/>
      <c r="AE575" s="200"/>
      <c r="AF575" s="200"/>
      <c r="AG575" s="209"/>
      <c r="AH575" s="201"/>
      <c r="AI575" s="200"/>
      <c r="AJ575" s="200"/>
      <c r="AK575" s="209"/>
      <c r="AL575" s="200"/>
      <c r="AM575" s="201"/>
      <c r="AN575" s="201"/>
    </row>
    <row r="576" spans="1:40" x14ac:dyDescent="0.25">
      <c r="A576" s="202"/>
      <c r="C576" s="154"/>
      <c r="J576" s="334"/>
      <c r="K576" s="334"/>
      <c r="T576" s="154"/>
      <c r="Z576" s="334"/>
    </row>
    <row r="577" spans="1:40" x14ac:dyDescent="0.25">
      <c r="A577" s="202"/>
      <c r="C577" s="154"/>
      <c r="F577" s="252"/>
      <c r="H577" s="252"/>
      <c r="I577" s="252"/>
      <c r="J577" s="329"/>
      <c r="K577" s="329"/>
      <c r="L577" s="200"/>
      <c r="M577" s="200"/>
      <c r="N577" s="210"/>
      <c r="O577" s="210"/>
      <c r="P577" s="200"/>
      <c r="Q577" s="200"/>
      <c r="R577" s="200"/>
      <c r="T577" s="154"/>
      <c r="V577" s="200"/>
      <c r="W577" s="200"/>
      <c r="X577" s="200"/>
      <c r="Y577" s="200"/>
      <c r="Z577" s="329"/>
      <c r="AA577" s="200"/>
      <c r="AB577" s="200"/>
      <c r="AC577" s="210"/>
      <c r="AD577" s="210"/>
      <c r="AE577" s="200"/>
      <c r="AF577" s="200"/>
      <c r="AG577" s="209"/>
      <c r="AH577" s="201"/>
      <c r="AI577" s="200"/>
      <c r="AJ577" s="200"/>
      <c r="AK577" s="209"/>
      <c r="AL577" s="200"/>
      <c r="AM577" s="201"/>
      <c r="AN577" s="201"/>
    </row>
    <row r="578" spans="1:40" x14ac:dyDescent="0.25">
      <c r="F578" s="211"/>
      <c r="H578" s="211"/>
      <c r="I578" s="211"/>
      <c r="J578" s="329"/>
      <c r="K578" s="329"/>
      <c r="L578" s="211"/>
      <c r="M578" s="211"/>
      <c r="N578" s="211"/>
      <c r="O578" s="211"/>
      <c r="P578" s="211"/>
      <c r="Q578" s="211"/>
      <c r="R578" s="211"/>
      <c r="V578" s="211"/>
      <c r="Y578" s="211"/>
      <c r="Z578" s="329"/>
      <c r="AA578" s="211"/>
      <c r="AB578" s="211"/>
      <c r="AC578" s="211"/>
      <c r="AD578" s="211"/>
      <c r="AE578" s="211"/>
      <c r="AF578" s="211"/>
      <c r="AI578" s="211"/>
      <c r="AJ578" s="211"/>
      <c r="AK578" s="212"/>
      <c r="AL578" s="211"/>
    </row>
    <row r="579" spans="1:40" x14ac:dyDescent="0.25">
      <c r="A579" s="202"/>
      <c r="C579" s="154"/>
      <c r="F579" s="200"/>
      <c r="H579" s="200"/>
      <c r="I579" s="200"/>
      <c r="J579" s="334"/>
      <c r="K579" s="334"/>
      <c r="L579" s="200"/>
      <c r="M579" s="200"/>
      <c r="N579" s="201"/>
      <c r="O579" s="201"/>
      <c r="P579" s="200"/>
      <c r="Q579" s="200"/>
      <c r="R579" s="200"/>
      <c r="T579" s="154"/>
      <c r="V579" s="200"/>
      <c r="Y579" s="200"/>
      <c r="Z579" s="334"/>
      <c r="AA579" s="200"/>
      <c r="AB579" s="200"/>
      <c r="AC579" s="201"/>
      <c r="AD579" s="201"/>
      <c r="AE579" s="200"/>
      <c r="AF579" s="200"/>
      <c r="AG579" s="209"/>
      <c r="AH579" s="201"/>
      <c r="AI579" s="200"/>
      <c r="AJ579" s="200"/>
      <c r="AK579" s="209"/>
      <c r="AL579" s="200"/>
      <c r="AM579" s="201"/>
      <c r="AN579" s="201"/>
    </row>
    <row r="580" spans="1:40" x14ac:dyDescent="0.25">
      <c r="F580" s="211"/>
      <c r="H580" s="211"/>
      <c r="I580" s="211"/>
      <c r="J580" s="329"/>
      <c r="K580" s="329"/>
      <c r="L580" s="211"/>
      <c r="M580" s="211"/>
      <c r="N580" s="211"/>
      <c r="O580" s="211"/>
      <c r="P580" s="211"/>
      <c r="Q580" s="211"/>
      <c r="R580" s="211"/>
      <c r="V580" s="211"/>
      <c r="Y580" s="211"/>
      <c r="Z580" s="305"/>
      <c r="AA580" s="211"/>
      <c r="AB580" s="211"/>
      <c r="AC580" s="211"/>
      <c r="AD580" s="211"/>
      <c r="AE580" s="211"/>
      <c r="AF580" s="211"/>
      <c r="AI580" s="211"/>
      <c r="AJ580" s="211"/>
      <c r="AK580" s="212"/>
      <c r="AL580" s="211"/>
    </row>
    <row r="581" spans="1:40" x14ac:dyDescent="0.25">
      <c r="J581" s="334"/>
      <c r="K581" s="334"/>
    </row>
    <row r="582" spans="1:40" x14ac:dyDescent="0.25">
      <c r="A582" s="202"/>
      <c r="C582" s="154"/>
      <c r="F582" s="200"/>
      <c r="H582" s="200"/>
      <c r="I582" s="200"/>
      <c r="J582" s="334"/>
      <c r="K582" s="334"/>
      <c r="L582" s="200"/>
      <c r="M582" s="200"/>
      <c r="N582" s="210"/>
      <c r="O582" s="210"/>
      <c r="P582" s="252"/>
      <c r="Q582" s="252"/>
      <c r="R582" s="200"/>
      <c r="T582" s="154"/>
      <c r="V582" s="200"/>
      <c r="Y582" s="200"/>
      <c r="AA582" s="200"/>
      <c r="AB582" s="200"/>
      <c r="AC582" s="201"/>
      <c r="AD582" s="201"/>
      <c r="AE582" s="200"/>
      <c r="AF582" s="200"/>
      <c r="AG582" s="209"/>
      <c r="AH582" s="201"/>
      <c r="AI582" s="252"/>
      <c r="AJ582" s="252"/>
      <c r="AK582" s="209"/>
      <c r="AL582" s="200"/>
      <c r="AM582" s="201"/>
      <c r="AN582" s="201"/>
    </row>
    <row r="583" spans="1:40" x14ac:dyDescent="0.25">
      <c r="F583" s="211"/>
      <c r="H583" s="211"/>
      <c r="I583" s="211"/>
      <c r="J583" s="329"/>
      <c r="K583" s="329"/>
      <c r="L583" s="211"/>
      <c r="M583" s="211"/>
      <c r="N583" s="211"/>
      <c r="O583" s="211"/>
      <c r="P583" s="211"/>
      <c r="Q583" s="211"/>
      <c r="R583" s="211"/>
      <c r="V583" s="211"/>
      <c r="Y583" s="211"/>
      <c r="Z583" s="305"/>
      <c r="AA583" s="211"/>
      <c r="AB583" s="211"/>
      <c r="AC583" s="211"/>
      <c r="AD583" s="211"/>
      <c r="AE583" s="211"/>
      <c r="AF583" s="211"/>
      <c r="AI583" s="211"/>
      <c r="AJ583" s="211"/>
      <c r="AK583" s="212"/>
      <c r="AL583" s="211"/>
    </row>
    <row r="585" spans="1:40" x14ac:dyDescent="0.25">
      <c r="C585" s="202"/>
      <c r="T585" s="202"/>
    </row>
    <row r="586" spans="1:40" x14ac:dyDescent="0.25">
      <c r="A586" s="154"/>
    </row>
    <row r="587" spans="1:40" x14ac:dyDescent="0.25">
      <c r="J587" s="202"/>
      <c r="K587" s="202"/>
      <c r="Z587" s="202"/>
    </row>
    <row r="588" spans="1:40" x14ac:dyDescent="0.25">
      <c r="H588" s="154"/>
      <c r="I588" s="154"/>
      <c r="Y588" s="154"/>
    </row>
    <row r="589" spans="1:40" x14ac:dyDescent="0.25">
      <c r="J589" s="202"/>
      <c r="K589" s="202"/>
      <c r="Z589" s="202"/>
    </row>
    <row r="590" spans="1:40" x14ac:dyDescent="0.25">
      <c r="L590" s="154"/>
      <c r="M590" s="154"/>
      <c r="AA590" s="154"/>
      <c r="AB590" s="154"/>
    </row>
    <row r="591" spans="1:40" x14ac:dyDescent="0.25">
      <c r="A591" s="202"/>
      <c r="R591" s="154"/>
      <c r="AK591" s="297"/>
      <c r="AL591" s="154"/>
    </row>
    <row r="592" spans="1:40" x14ac:dyDescent="0.25">
      <c r="A592" s="202"/>
      <c r="R592" s="154"/>
      <c r="AK592" s="297"/>
      <c r="AL592" s="154"/>
    </row>
    <row r="593" spans="1:40" x14ac:dyDescent="0.25">
      <c r="A593" s="154"/>
      <c r="R593" s="154"/>
      <c r="AK593" s="297"/>
      <c r="AL593" s="154"/>
    </row>
    <row r="594" spans="1:40" x14ac:dyDescent="0.25">
      <c r="L594" s="154"/>
      <c r="M594" s="154"/>
      <c r="R594" s="202"/>
      <c r="AA594" s="154"/>
      <c r="AB594" s="154"/>
      <c r="AK594" s="209"/>
      <c r="AL594" s="202"/>
    </row>
    <row r="595" spans="1:40" x14ac:dyDescent="0.25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208"/>
      <c r="AH595" s="102"/>
      <c r="AI595" s="102"/>
      <c r="AJ595" s="102"/>
      <c r="AK595" s="208"/>
      <c r="AL595" s="102"/>
      <c r="AM595" s="102"/>
      <c r="AN595" s="102"/>
    </row>
    <row r="596" spans="1:40" x14ac:dyDescent="0.25">
      <c r="L596" s="103"/>
      <c r="M596" s="103"/>
      <c r="N596" s="103"/>
      <c r="O596" s="103"/>
      <c r="R596" s="103"/>
      <c r="AA596" s="103"/>
      <c r="AB596" s="103"/>
      <c r="AC596" s="103"/>
      <c r="AD596" s="103"/>
      <c r="AE596" s="103"/>
      <c r="AF596" s="103"/>
      <c r="AG596" s="185"/>
      <c r="AH596" s="103"/>
      <c r="AK596" s="185"/>
      <c r="AL596" s="103"/>
      <c r="AM596" s="103"/>
      <c r="AN596" s="103"/>
    </row>
    <row r="597" spans="1:40" x14ac:dyDescent="0.25">
      <c r="L597" s="103"/>
      <c r="M597" s="103"/>
      <c r="N597" s="103"/>
      <c r="O597" s="103"/>
      <c r="R597" s="103"/>
      <c r="Z597" s="103"/>
      <c r="AA597" s="103"/>
      <c r="AB597" s="103"/>
      <c r="AC597" s="103"/>
      <c r="AD597" s="103"/>
      <c r="AE597" s="103"/>
      <c r="AF597" s="103"/>
      <c r="AG597" s="185"/>
      <c r="AH597" s="103"/>
      <c r="AK597" s="185"/>
      <c r="AL597" s="103"/>
      <c r="AM597" s="103"/>
      <c r="AN597" s="103"/>
    </row>
    <row r="598" spans="1:40" x14ac:dyDescent="0.25">
      <c r="A598" s="103"/>
      <c r="C598" s="103"/>
      <c r="D598" s="103"/>
      <c r="E598" s="103"/>
      <c r="F598" s="103"/>
      <c r="J598" s="103"/>
      <c r="K598" s="103"/>
      <c r="L598" s="103"/>
      <c r="M598" s="103"/>
      <c r="N598" s="103"/>
      <c r="O598" s="103"/>
      <c r="P598" s="103"/>
      <c r="Q598" s="103"/>
      <c r="R598" s="103"/>
      <c r="T598" s="103"/>
      <c r="U598" s="103"/>
      <c r="V598" s="103"/>
      <c r="Z598" s="103"/>
      <c r="AA598" s="103"/>
      <c r="AB598" s="103"/>
      <c r="AC598" s="103"/>
      <c r="AD598" s="103"/>
      <c r="AE598" s="103"/>
      <c r="AF598" s="103"/>
      <c r="AG598" s="185"/>
      <c r="AH598" s="103"/>
      <c r="AI598" s="103"/>
      <c r="AJ598" s="103"/>
      <c r="AK598" s="185"/>
      <c r="AL598" s="103"/>
      <c r="AM598" s="103"/>
      <c r="AN598" s="103"/>
    </row>
    <row r="599" spans="1:40" x14ac:dyDescent="0.25">
      <c r="A599" s="103"/>
      <c r="C599" s="103"/>
      <c r="D599" s="103"/>
      <c r="E599" s="103"/>
      <c r="F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T599" s="103"/>
      <c r="U599" s="103"/>
      <c r="V599" s="103"/>
      <c r="Y599" s="103"/>
      <c r="Z599" s="103"/>
      <c r="AA599" s="103"/>
      <c r="AB599" s="103"/>
      <c r="AC599" s="103"/>
      <c r="AD599" s="103"/>
      <c r="AE599" s="103"/>
      <c r="AF599" s="103"/>
      <c r="AG599" s="185"/>
      <c r="AH599" s="103"/>
      <c r="AI599" s="103"/>
      <c r="AJ599" s="103"/>
      <c r="AK599" s="185"/>
      <c r="AL599" s="103"/>
      <c r="AM599" s="103"/>
      <c r="AN599" s="103"/>
    </row>
    <row r="600" spans="1:40" x14ac:dyDescent="0.25">
      <c r="C600" s="103"/>
      <c r="D600" s="103"/>
      <c r="E600" s="103"/>
      <c r="F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T600" s="103"/>
      <c r="U600" s="103"/>
      <c r="V600" s="103"/>
      <c r="Y600" s="103"/>
      <c r="Z600" s="103"/>
      <c r="AA600" s="103"/>
      <c r="AB600" s="103"/>
      <c r="AC600" s="103"/>
      <c r="AD600" s="103"/>
      <c r="AE600" s="103"/>
      <c r="AF600" s="103"/>
      <c r="AG600" s="185"/>
      <c r="AH600" s="103"/>
      <c r="AI600" s="103"/>
      <c r="AJ600" s="103"/>
      <c r="AK600" s="185"/>
      <c r="AL600" s="103"/>
      <c r="AM600" s="103"/>
      <c r="AN600" s="103"/>
    </row>
    <row r="601" spans="1:40" x14ac:dyDescent="0.2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208"/>
      <c r="AH601" s="102"/>
      <c r="AI601" s="102"/>
      <c r="AJ601" s="102"/>
      <c r="AK601" s="208"/>
      <c r="AL601" s="102"/>
      <c r="AM601" s="102"/>
      <c r="AN601" s="102"/>
    </row>
    <row r="602" spans="1:40" x14ac:dyDescent="0.25"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Y602" s="103"/>
      <c r="Z602" s="103"/>
      <c r="AA602" s="103"/>
      <c r="AB602" s="103"/>
      <c r="AC602" s="103"/>
      <c r="AD602" s="103"/>
      <c r="AE602" s="103"/>
      <c r="AF602" s="103"/>
      <c r="AG602" s="185"/>
      <c r="AH602" s="103"/>
      <c r="AI602" s="103"/>
      <c r="AJ602" s="103"/>
      <c r="AK602" s="185"/>
      <c r="AL602" s="103"/>
      <c r="AM602" s="103"/>
      <c r="AN602" s="103"/>
    </row>
    <row r="603" spans="1:40" x14ac:dyDescent="0.25">
      <c r="A603" s="202"/>
      <c r="C603" s="154"/>
      <c r="D603" s="154"/>
      <c r="E603" s="154"/>
      <c r="T603" s="154"/>
      <c r="U603" s="154"/>
    </row>
    <row r="605" spans="1:40" x14ac:dyDescent="0.25">
      <c r="A605" s="202"/>
      <c r="C605" s="154"/>
      <c r="D605" s="154"/>
      <c r="E605" s="154"/>
      <c r="T605" s="154"/>
      <c r="U605" s="154"/>
    </row>
    <row r="606" spans="1:40" x14ac:dyDescent="0.25">
      <c r="A606" s="202"/>
      <c r="C606" s="154"/>
      <c r="T606" s="154"/>
    </row>
    <row r="607" spans="1:40" x14ac:dyDescent="0.25">
      <c r="A607" s="202"/>
      <c r="C607" s="154"/>
      <c r="T607" s="154"/>
    </row>
    <row r="608" spans="1:40" x14ac:dyDescent="0.25">
      <c r="A608" s="202"/>
      <c r="C608" s="154"/>
      <c r="F608" s="252"/>
      <c r="H608" s="252"/>
      <c r="I608" s="252"/>
      <c r="J608" s="329"/>
      <c r="K608" s="329"/>
      <c r="L608" s="200"/>
      <c r="M608" s="200"/>
      <c r="N608" s="210"/>
      <c r="O608" s="210"/>
      <c r="P608" s="200"/>
      <c r="Q608" s="200"/>
      <c r="R608" s="200"/>
      <c r="T608" s="154"/>
      <c r="V608" s="200"/>
      <c r="W608" s="200"/>
      <c r="X608" s="200"/>
      <c r="Y608" s="200"/>
      <c r="Z608" s="329"/>
      <c r="AA608" s="200"/>
      <c r="AB608" s="200"/>
      <c r="AC608" s="210"/>
      <c r="AD608" s="210"/>
      <c r="AE608" s="200"/>
      <c r="AF608" s="200"/>
      <c r="AG608" s="209"/>
      <c r="AH608" s="201"/>
      <c r="AI608" s="200"/>
      <c r="AJ608" s="200"/>
      <c r="AK608" s="209"/>
      <c r="AL608" s="200"/>
      <c r="AM608" s="210"/>
      <c r="AN608" s="210"/>
    </row>
    <row r="609" spans="1:40" x14ac:dyDescent="0.25">
      <c r="A609" s="202"/>
      <c r="C609" s="154"/>
      <c r="J609" s="334"/>
      <c r="K609" s="334"/>
      <c r="T609" s="154"/>
      <c r="V609" s="200"/>
      <c r="W609" s="200"/>
      <c r="X609" s="200"/>
      <c r="Y609" s="200"/>
      <c r="Z609" s="329"/>
    </row>
    <row r="610" spans="1:40" x14ac:dyDescent="0.25">
      <c r="A610" s="202"/>
      <c r="C610" s="154"/>
      <c r="F610" s="252"/>
      <c r="H610" s="252"/>
      <c r="I610" s="252"/>
      <c r="J610" s="329"/>
      <c r="K610" s="329"/>
      <c r="L610" s="200"/>
      <c r="M610" s="200"/>
      <c r="N610" s="210"/>
      <c r="O610" s="210"/>
      <c r="P610" s="200"/>
      <c r="Q610" s="200"/>
      <c r="R610" s="200"/>
      <c r="T610" s="154"/>
      <c r="V610" s="200"/>
      <c r="W610" s="200"/>
      <c r="X610" s="200"/>
      <c r="Y610" s="200"/>
      <c r="Z610" s="329"/>
      <c r="AA610" s="200"/>
      <c r="AB610" s="200"/>
      <c r="AC610" s="210"/>
      <c r="AD610" s="210"/>
      <c r="AE610" s="200"/>
      <c r="AF610" s="200"/>
      <c r="AG610" s="209"/>
      <c r="AH610" s="201"/>
      <c r="AI610" s="200"/>
      <c r="AJ610" s="200"/>
      <c r="AK610" s="209"/>
      <c r="AL610" s="200"/>
      <c r="AM610" s="210"/>
      <c r="AN610" s="210"/>
    </row>
    <row r="611" spans="1:40" x14ac:dyDescent="0.25">
      <c r="A611" s="202"/>
      <c r="C611" s="154"/>
      <c r="J611" s="334"/>
      <c r="K611" s="334"/>
      <c r="T611" s="154"/>
      <c r="V611" s="200"/>
      <c r="W611" s="200"/>
      <c r="X611" s="200"/>
      <c r="Y611" s="200"/>
      <c r="Z611" s="329"/>
    </row>
    <row r="612" spans="1:40" x14ac:dyDescent="0.25">
      <c r="A612" s="202"/>
      <c r="C612" s="154"/>
      <c r="F612" s="252"/>
      <c r="H612" s="252"/>
      <c r="I612" s="252"/>
      <c r="J612" s="329"/>
      <c r="K612" s="329"/>
      <c r="L612" s="200"/>
      <c r="M612" s="200"/>
      <c r="N612" s="210"/>
      <c r="O612" s="210"/>
      <c r="P612" s="200"/>
      <c r="Q612" s="200"/>
      <c r="R612" s="200"/>
      <c r="T612" s="154"/>
      <c r="V612" s="200"/>
      <c r="W612" s="200"/>
      <c r="X612" s="200"/>
      <c r="Y612" s="200"/>
      <c r="Z612" s="329"/>
      <c r="AA612" s="200"/>
      <c r="AB612" s="200"/>
      <c r="AC612" s="210"/>
      <c r="AD612" s="210"/>
      <c r="AE612" s="200"/>
      <c r="AF612" s="200"/>
      <c r="AG612" s="209"/>
      <c r="AH612" s="201"/>
      <c r="AI612" s="200"/>
      <c r="AJ612" s="200"/>
      <c r="AK612" s="209"/>
      <c r="AL612" s="200"/>
      <c r="AM612" s="210"/>
      <c r="AN612" s="210"/>
    </row>
    <row r="613" spans="1:40" x14ac:dyDescent="0.25">
      <c r="A613" s="202"/>
      <c r="C613" s="154"/>
      <c r="J613" s="334"/>
      <c r="K613" s="334"/>
      <c r="T613" s="154"/>
      <c r="V613" s="200"/>
      <c r="W613" s="200"/>
      <c r="X613" s="200"/>
      <c r="Y613" s="200"/>
      <c r="Z613" s="329"/>
    </row>
    <row r="614" spans="1:40" x14ac:dyDescent="0.25">
      <c r="A614" s="202"/>
      <c r="C614" s="154"/>
      <c r="F614" s="252"/>
      <c r="H614" s="252"/>
      <c r="I614" s="252"/>
      <c r="J614" s="329"/>
      <c r="K614" s="329"/>
      <c r="L614" s="200"/>
      <c r="M614" s="200"/>
      <c r="N614" s="210"/>
      <c r="O614" s="210"/>
      <c r="P614" s="200"/>
      <c r="Q614" s="200"/>
      <c r="R614" s="200"/>
      <c r="T614" s="154"/>
      <c r="V614" s="200"/>
      <c r="W614" s="200"/>
      <c r="X614" s="200"/>
      <c r="Y614" s="200"/>
      <c r="Z614" s="329"/>
      <c r="AA614" s="200"/>
      <c r="AB614" s="200"/>
      <c r="AC614" s="210"/>
      <c r="AD614" s="210"/>
      <c r="AE614" s="200"/>
      <c r="AF614" s="200"/>
      <c r="AG614" s="209"/>
      <c r="AH614" s="201"/>
      <c r="AI614" s="200"/>
      <c r="AJ614" s="200"/>
      <c r="AK614" s="209"/>
      <c r="AL614" s="200"/>
      <c r="AM614" s="210"/>
      <c r="AN614" s="210"/>
    </row>
    <row r="615" spans="1:40" x14ac:dyDescent="0.25">
      <c r="A615" s="202"/>
      <c r="C615" s="154"/>
      <c r="J615" s="334"/>
      <c r="K615" s="334"/>
      <c r="T615" s="154"/>
      <c r="V615" s="200"/>
      <c r="W615" s="200"/>
      <c r="X615" s="200"/>
      <c r="Y615" s="200"/>
      <c r="Z615" s="329"/>
    </row>
    <row r="616" spans="1:40" x14ac:dyDescent="0.25">
      <c r="A616" s="202"/>
      <c r="C616" s="154"/>
      <c r="F616" s="252"/>
      <c r="H616" s="252"/>
      <c r="I616" s="252"/>
      <c r="J616" s="329"/>
      <c r="K616" s="329"/>
      <c r="L616" s="200"/>
      <c r="M616" s="200"/>
      <c r="N616" s="210"/>
      <c r="O616" s="210"/>
      <c r="P616" s="200"/>
      <c r="Q616" s="200"/>
      <c r="R616" s="200"/>
      <c r="T616" s="154"/>
      <c r="V616" s="200"/>
      <c r="W616" s="200"/>
      <c r="X616" s="200"/>
      <c r="Y616" s="200"/>
      <c r="Z616" s="329"/>
      <c r="AA616" s="200"/>
      <c r="AB616" s="200"/>
      <c r="AC616" s="210"/>
      <c r="AD616" s="210"/>
      <c r="AE616" s="200"/>
      <c r="AF616" s="200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A617" s="202"/>
      <c r="C617" s="154"/>
      <c r="J617" s="334"/>
      <c r="K617" s="334"/>
      <c r="T617" s="154"/>
      <c r="V617" s="200"/>
      <c r="W617" s="200"/>
      <c r="X617" s="200"/>
      <c r="Y617" s="200"/>
      <c r="Z617" s="329"/>
    </row>
    <row r="618" spans="1:40" x14ac:dyDescent="0.25">
      <c r="A618" s="202"/>
      <c r="C618" s="154"/>
      <c r="F618" s="252"/>
      <c r="H618" s="252"/>
      <c r="I618" s="252"/>
      <c r="J618" s="329"/>
      <c r="K618" s="329"/>
      <c r="L618" s="200"/>
      <c r="M618" s="200"/>
      <c r="N618" s="210"/>
      <c r="O618" s="210"/>
      <c r="P618" s="200"/>
      <c r="Q618" s="200"/>
      <c r="R618" s="200"/>
      <c r="T618" s="154"/>
      <c r="V618" s="200"/>
      <c r="W618" s="200"/>
      <c r="X618" s="200"/>
      <c r="Y618" s="200"/>
      <c r="Z618" s="329"/>
      <c r="AA618" s="200"/>
      <c r="AB618" s="200"/>
      <c r="AC618" s="210"/>
      <c r="AD618" s="210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F619" s="211"/>
      <c r="H619" s="211"/>
      <c r="I619" s="211"/>
      <c r="J619" s="329"/>
      <c r="K619" s="329"/>
      <c r="L619" s="211"/>
      <c r="M619" s="211"/>
      <c r="N619" s="211"/>
      <c r="O619" s="211"/>
      <c r="P619" s="211"/>
      <c r="Q619" s="211"/>
      <c r="R619" s="211"/>
      <c r="V619" s="211"/>
      <c r="Y619" s="211"/>
      <c r="Z619" s="329"/>
      <c r="AA619" s="211"/>
      <c r="AB619" s="211"/>
      <c r="AC619" s="211"/>
      <c r="AD619" s="211"/>
      <c r="AE619" s="211"/>
      <c r="AF619" s="211"/>
      <c r="AI619" s="211"/>
      <c r="AJ619" s="211"/>
      <c r="AK619" s="212"/>
      <c r="AL619" s="211"/>
      <c r="AM619" s="210"/>
      <c r="AN619" s="210"/>
    </row>
    <row r="620" spans="1:40" x14ac:dyDescent="0.25">
      <c r="A620" s="202"/>
      <c r="C620" s="154"/>
      <c r="F620" s="200"/>
      <c r="H620" s="200"/>
      <c r="I620" s="200"/>
      <c r="J620" s="334"/>
      <c r="K620" s="334"/>
      <c r="L620" s="200"/>
      <c r="M620" s="200"/>
      <c r="N620" s="210"/>
      <c r="O620" s="210"/>
      <c r="P620" s="252"/>
      <c r="Q620" s="252"/>
      <c r="R620" s="200"/>
      <c r="T620" s="154"/>
      <c r="V620" s="200"/>
      <c r="W620" s="200"/>
      <c r="X620" s="200"/>
      <c r="Y620" s="200"/>
      <c r="Z620" s="329"/>
      <c r="AA620" s="200"/>
      <c r="AB620" s="200"/>
      <c r="AC620" s="210"/>
      <c r="AD620" s="210"/>
      <c r="AE620" s="200"/>
      <c r="AF620" s="200"/>
      <c r="AG620" s="209"/>
      <c r="AH620" s="201"/>
      <c r="AI620" s="252"/>
      <c r="AJ620" s="252"/>
      <c r="AK620" s="209"/>
      <c r="AL620" s="200"/>
      <c r="AM620" s="210"/>
      <c r="AN620" s="210"/>
    </row>
    <row r="621" spans="1:40" x14ac:dyDescent="0.25">
      <c r="F621" s="211"/>
      <c r="H621" s="211"/>
      <c r="I621" s="211"/>
      <c r="J621" s="329"/>
      <c r="K621" s="329"/>
      <c r="L621" s="211"/>
      <c r="M621" s="211"/>
      <c r="N621" s="211"/>
      <c r="O621" s="211"/>
      <c r="P621" s="211"/>
      <c r="Q621" s="211"/>
      <c r="R621" s="211"/>
      <c r="V621" s="211"/>
      <c r="Y621" s="211"/>
      <c r="Z621" s="329"/>
      <c r="AA621" s="211"/>
      <c r="AB621" s="211"/>
      <c r="AC621" s="211"/>
      <c r="AD621" s="211"/>
      <c r="AE621" s="211"/>
      <c r="AF621" s="211"/>
      <c r="AI621" s="211"/>
      <c r="AJ621" s="211"/>
      <c r="AK621" s="212"/>
      <c r="AL621" s="211"/>
    </row>
    <row r="622" spans="1:40" x14ac:dyDescent="0.25">
      <c r="A622" s="202"/>
      <c r="C622" s="154"/>
      <c r="D622" s="154"/>
      <c r="E622" s="154"/>
      <c r="J622" s="334"/>
      <c r="K622" s="334"/>
      <c r="T622" s="154"/>
      <c r="U622" s="154"/>
      <c r="V622" s="200"/>
      <c r="W622" s="200"/>
      <c r="X622" s="200"/>
      <c r="Y622" s="200"/>
      <c r="Z622" s="329"/>
    </row>
    <row r="623" spans="1:40" x14ac:dyDescent="0.25">
      <c r="A623" s="202"/>
      <c r="C623" s="154"/>
      <c r="J623" s="334"/>
      <c r="K623" s="334"/>
      <c r="T623" s="154"/>
      <c r="V623" s="200"/>
      <c r="W623" s="200"/>
      <c r="X623" s="200"/>
      <c r="Y623" s="200"/>
      <c r="Z623" s="329"/>
    </row>
    <row r="624" spans="1:40" x14ac:dyDescent="0.25">
      <c r="A624" s="202"/>
      <c r="C624" s="154"/>
      <c r="J624" s="334"/>
      <c r="K624" s="334"/>
      <c r="T624" s="154"/>
      <c r="V624" s="200"/>
      <c r="W624" s="200"/>
      <c r="X624" s="200"/>
      <c r="Y624" s="200"/>
      <c r="Z624" s="329"/>
    </row>
    <row r="625" spans="1:40" x14ac:dyDescent="0.25">
      <c r="A625" s="202"/>
      <c r="C625" s="154"/>
      <c r="F625" s="252"/>
      <c r="H625" s="252"/>
      <c r="I625" s="252"/>
      <c r="J625" s="329"/>
      <c r="K625" s="329"/>
      <c r="L625" s="200"/>
      <c r="M625" s="200"/>
      <c r="N625" s="210"/>
      <c r="O625" s="210"/>
      <c r="P625" s="200"/>
      <c r="Q625" s="200"/>
      <c r="R625" s="200"/>
      <c r="T625" s="154"/>
      <c r="V625" s="200"/>
      <c r="W625" s="200"/>
      <c r="X625" s="200"/>
      <c r="Y625" s="200"/>
      <c r="Z625" s="329"/>
      <c r="AA625" s="200"/>
      <c r="AB625" s="200"/>
      <c r="AC625" s="210"/>
      <c r="AD625" s="210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A626" s="202"/>
      <c r="C626" s="154"/>
      <c r="J626" s="334"/>
      <c r="K626" s="334"/>
      <c r="T626" s="154"/>
      <c r="V626" s="200"/>
      <c r="W626" s="200"/>
      <c r="X626" s="200"/>
      <c r="Y626" s="200"/>
      <c r="Z626" s="329"/>
    </row>
    <row r="627" spans="1:40" x14ac:dyDescent="0.25">
      <c r="A627" s="202"/>
      <c r="C627" s="154"/>
      <c r="F627" s="252"/>
      <c r="H627" s="252"/>
      <c r="I627" s="252"/>
      <c r="J627" s="329"/>
      <c r="K627" s="329"/>
      <c r="L627" s="200"/>
      <c r="M627" s="200"/>
      <c r="N627" s="210"/>
      <c r="O627" s="210"/>
      <c r="P627" s="200"/>
      <c r="Q627" s="200"/>
      <c r="R627" s="200"/>
      <c r="T627" s="154"/>
      <c r="V627" s="200"/>
      <c r="W627" s="200"/>
      <c r="X627" s="200"/>
      <c r="Y627" s="200"/>
      <c r="Z627" s="329"/>
      <c r="AA627" s="200"/>
      <c r="AB627" s="200"/>
      <c r="AC627" s="210"/>
      <c r="AD627" s="210"/>
      <c r="AE627" s="200"/>
      <c r="AF627" s="200"/>
      <c r="AG627" s="209"/>
      <c r="AH627" s="201"/>
      <c r="AI627" s="200"/>
      <c r="AJ627" s="200"/>
      <c r="AK627" s="209"/>
      <c r="AL627" s="200"/>
      <c r="AM627" s="210"/>
      <c r="AN627" s="210"/>
    </row>
    <row r="628" spans="1:40" x14ac:dyDescent="0.25">
      <c r="F628" s="211"/>
      <c r="H628" s="211"/>
      <c r="I628" s="211"/>
      <c r="J628" s="329"/>
      <c r="K628" s="329"/>
      <c r="L628" s="211"/>
      <c r="M628" s="211"/>
      <c r="N628" s="211"/>
      <c r="O628" s="211"/>
      <c r="P628" s="211"/>
      <c r="Q628" s="211"/>
      <c r="R628" s="211"/>
      <c r="V628" s="211"/>
      <c r="Y628" s="211"/>
      <c r="Z628" s="305"/>
      <c r="AA628" s="211"/>
      <c r="AB628" s="211"/>
      <c r="AC628" s="211"/>
      <c r="AD628" s="211"/>
      <c r="AE628" s="211"/>
      <c r="AF628" s="211"/>
      <c r="AI628" s="211"/>
      <c r="AJ628" s="211"/>
      <c r="AK628" s="212"/>
      <c r="AL628" s="211"/>
    </row>
    <row r="629" spans="1:40" x14ac:dyDescent="0.25">
      <c r="A629" s="202"/>
      <c r="C629" s="154"/>
      <c r="F629" s="200"/>
      <c r="H629" s="200"/>
      <c r="I629" s="200"/>
      <c r="L629" s="200"/>
      <c r="M629" s="200"/>
      <c r="N629" s="210"/>
      <c r="O629" s="210"/>
      <c r="P629" s="252"/>
      <c r="Q629" s="252"/>
      <c r="R629" s="200"/>
      <c r="T629" s="154"/>
      <c r="V629" s="200"/>
      <c r="W629" s="200"/>
      <c r="X629" s="200"/>
      <c r="Y629" s="200"/>
      <c r="Z629" s="328"/>
      <c r="AA629" s="200"/>
      <c r="AB629" s="200"/>
      <c r="AC629" s="210"/>
      <c r="AD629" s="210"/>
      <c r="AE629" s="200"/>
      <c r="AF629" s="200"/>
      <c r="AG629" s="209"/>
      <c r="AH629" s="201"/>
      <c r="AI629" s="252"/>
      <c r="AJ629" s="252"/>
      <c r="AK629" s="209"/>
      <c r="AL629" s="200"/>
      <c r="AM629" s="210"/>
      <c r="AN629" s="210"/>
    </row>
    <row r="630" spans="1:40" x14ac:dyDescent="0.25">
      <c r="F630" s="211"/>
      <c r="H630" s="211"/>
      <c r="I630" s="211"/>
      <c r="J630" s="305"/>
      <c r="K630" s="305"/>
      <c r="L630" s="211"/>
      <c r="M630" s="211"/>
      <c r="N630" s="211"/>
      <c r="O630" s="211"/>
      <c r="P630" s="211"/>
      <c r="Q630" s="211"/>
      <c r="R630" s="211"/>
      <c r="V630" s="211"/>
      <c r="Y630" s="211"/>
      <c r="Z630" s="305"/>
      <c r="AA630" s="211"/>
      <c r="AB630" s="211"/>
      <c r="AC630" s="211"/>
      <c r="AD630" s="211"/>
      <c r="AE630" s="211"/>
      <c r="AF630" s="211"/>
      <c r="AI630" s="211"/>
      <c r="AJ630" s="211"/>
      <c r="AK630" s="212"/>
      <c r="AL630" s="211"/>
    </row>
    <row r="631" spans="1:40" x14ac:dyDescent="0.25">
      <c r="A631" s="202"/>
      <c r="C631" s="154"/>
      <c r="D631" s="154"/>
      <c r="E631" s="154"/>
      <c r="T631" s="154"/>
      <c r="U631" s="154"/>
      <c r="V631" s="200"/>
      <c r="W631" s="200"/>
      <c r="X631" s="200"/>
      <c r="Y631" s="200"/>
      <c r="Z631" s="328"/>
    </row>
    <row r="632" spans="1:40" x14ac:dyDescent="0.25">
      <c r="A632" s="202"/>
      <c r="C632" s="154"/>
      <c r="T632" s="154"/>
      <c r="V632" s="200"/>
      <c r="W632" s="200"/>
      <c r="X632" s="200"/>
      <c r="Y632" s="200"/>
      <c r="Z632" s="328"/>
    </row>
    <row r="633" spans="1:40" x14ac:dyDescent="0.25">
      <c r="A633" s="202"/>
      <c r="C633" s="154"/>
      <c r="F633" s="252"/>
      <c r="H633" s="252"/>
      <c r="I633" s="252"/>
      <c r="J633" s="328"/>
      <c r="K633" s="328"/>
      <c r="L633" s="200"/>
      <c r="M633" s="200"/>
      <c r="N633" s="210"/>
      <c r="O633" s="210"/>
      <c r="P633" s="200"/>
      <c r="Q633" s="200"/>
      <c r="R633" s="200"/>
      <c r="T633" s="154"/>
      <c r="V633" s="200"/>
      <c r="W633" s="200"/>
      <c r="X633" s="200"/>
      <c r="Y633" s="200"/>
      <c r="Z633" s="328"/>
      <c r="AA633" s="200"/>
      <c r="AB633" s="200"/>
      <c r="AC633" s="210"/>
      <c r="AD633" s="210"/>
      <c r="AE633" s="200"/>
      <c r="AF633" s="200"/>
      <c r="AG633" s="209"/>
      <c r="AH633" s="201"/>
      <c r="AI633" s="200"/>
      <c r="AJ633" s="200"/>
      <c r="AK633" s="209"/>
      <c r="AL633" s="200"/>
      <c r="AM633" s="210"/>
      <c r="AN633" s="210"/>
    </row>
    <row r="634" spans="1:40" x14ac:dyDescent="0.25">
      <c r="A634" s="202"/>
      <c r="C634" s="154"/>
      <c r="T634" s="154"/>
      <c r="V634" s="200"/>
      <c r="W634" s="200"/>
      <c r="X634" s="200"/>
      <c r="Y634" s="200"/>
      <c r="Z634" s="328"/>
    </row>
    <row r="635" spans="1:40" x14ac:dyDescent="0.25">
      <c r="A635" s="202"/>
      <c r="C635" s="154"/>
      <c r="F635" s="252"/>
      <c r="H635" s="252"/>
      <c r="I635" s="252"/>
      <c r="J635" s="328"/>
      <c r="K635" s="328"/>
      <c r="L635" s="200"/>
      <c r="M635" s="200"/>
      <c r="N635" s="210"/>
      <c r="O635" s="210"/>
      <c r="P635" s="200"/>
      <c r="Q635" s="200"/>
      <c r="R635" s="200"/>
      <c r="T635" s="154"/>
      <c r="V635" s="200"/>
      <c r="W635" s="200"/>
      <c r="X635" s="200"/>
      <c r="Y635" s="200"/>
      <c r="Z635" s="328"/>
      <c r="AA635" s="200"/>
      <c r="AB635" s="200"/>
      <c r="AC635" s="210"/>
      <c r="AD635" s="210"/>
      <c r="AE635" s="200"/>
      <c r="AF635" s="200"/>
      <c r="AG635" s="209"/>
      <c r="AH635" s="201"/>
      <c r="AI635" s="200"/>
      <c r="AJ635" s="200"/>
      <c r="AK635" s="209"/>
      <c r="AL635" s="200"/>
      <c r="AM635" s="210"/>
      <c r="AN635" s="210"/>
    </row>
    <row r="636" spans="1:40" x14ac:dyDescent="0.25">
      <c r="A636" s="202"/>
      <c r="C636" s="154"/>
      <c r="T636" s="154"/>
      <c r="V636" s="200"/>
      <c r="W636" s="200"/>
      <c r="X636" s="200"/>
      <c r="Y636" s="200"/>
      <c r="Z636" s="328"/>
    </row>
    <row r="637" spans="1:40" x14ac:dyDescent="0.25">
      <c r="A637" s="202"/>
      <c r="C637" s="154"/>
      <c r="F637" s="252"/>
      <c r="H637" s="252"/>
      <c r="I637" s="252"/>
      <c r="J637" s="328"/>
      <c r="K637" s="328"/>
      <c r="L637" s="200"/>
      <c r="M637" s="200"/>
      <c r="N637" s="210"/>
      <c r="O637" s="210"/>
      <c r="P637" s="200"/>
      <c r="Q637" s="200"/>
      <c r="R637" s="200"/>
      <c r="T637" s="154"/>
      <c r="V637" s="200"/>
      <c r="W637" s="200"/>
      <c r="X637" s="200"/>
      <c r="Y637" s="200"/>
      <c r="Z637" s="328"/>
      <c r="AA637" s="200"/>
      <c r="AB637" s="200"/>
      <c r="AC637" s="210"/>
      <c r="AD637" s="210"/>
      <c r="AE637" s="200"/>
      <c r="AF637" s="200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A638" s="202"/>
      <c r="C638" s="154"/>
      <c r="T638" s="154"/>
      <c r="V638" s="200"/>
      <c r="W638" s="200"/>
      <c r="X638" s="200"/>
      <c r="Y638" s="200"/>
      <c r="Z638" s="328"/>
    </row>
    <row r="639" spans="1:40" x14ac:dyDescent="0.25">
      <c r="A639" s="202"/>
      <c r="C639" s="154"/>
      <c r="F639" s="252"/>
      <c r="H639" s="252"/>
      <c r="I639" s="252"/>
      <c r="J639" s="328"/>
      <c r="K639" s="328"/>
      <c r="L639" s="200"/>
      <c r="M639" s="200"/>
      <c r="N639" s="210"/>
      <c r="O639" s="210"/>
      <c r="P639" s="200"/>
      <c r="Q639" s="200"/>
      <c r="R639" s="200"/>
      <c r="T639" s="154"/>
      <c r="V639" s="200"/>
      <c r="W639" s="200"/>
      <c r="X639" s="200"/>
      <c r="Y639" s="200"/>
      <c r="Z639" s="328"/>
      <c r="AA639" s="200"/>
      <c r="AB639" s="200"/>
      <c r="AC639" s="210"/>
      <c r="AD639" s="210"/>
      <c r="AE639" s="200"/>
      <c r="AF639" s="200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F640" s="211"/>
      <c r="H640" s="211"/>
      <c r="I640" s="211"/>
      <c r="J640" s="305"/>
      <c r="K640" s="305"/>
      <c r="L640" s="211"/>
      <c r="M640" s="211"/>
      <c r="N640" s="211"/>
      <c r="O640" s="211"/>
      <c r="P640" s="211"/>
      <c r="Q640" s="211"/>
      <c r="R640" s="211"/>
      <c r="V640" s="211"/>
      <c r="Y640" s="211"/>
      <c r="Z640" s="305"/>
      <c r="AA640" s="211"/>
      <c r="AB640" s="211"/>
      <c r="AC640" s="211"/>
      <c r="AD640" s="211"/>
      <c r="AE640" s="211"/>
      <c r="AF640" s="211"/>
      <c r="AI640" s="211"/>
      <c r="AJ640" s="211"/>
      <c r="AK640" s="212"/>
      <c r="AL640" s="211"/>
    </row>
    <row r="641" spans="1:40" x14ac:dyDescent="0.25">
      <c r="A641" s="202"/>
      <c r="C641" s="154"/>
      <c r="F641" s="200"/>
      <c r="H641" s="200"/>
      <c r="I641" s="200"/>
      <c r="L641" s="200"/>
      <c r="M641" s="200"/>
      <c r="N641" s="210"/>
      <c r="O641" s="210"/>
      <c r="P641" s="252"/>
      <c r="Q641" s="252"/>
      <c r="R641" s="200"/>
      <c r="T641" s="154"/>
      <c r="V641" s="200"/>
      <c r="W641" s="200"/>
      <c r="X641" s="200"/>
      <c r="Y641" s="200"/>
      <c r="Z641" s="328"/>
      <c r="AA641" s="200"/>
      <c r="AB641" s="200"/>
      <c r="AC641" s="210"/>
      <c r="AD641" s="210"/>
      <c r="AE641" s="200"/>
      <c r="AF641" s="200"/>
      <c r="AG641" s="209"/>
      <c r="AH641" s="201"/>
      <c r="AI641" s="252"/>
      <c r="AJ641" s="252"/>
      <c r="AK641" s="209"/>
      <c r="AL641" s="200"/>
      <c r="AM641" s="210"/>
      <c r="AN641" s="210"/>
    </row>
    <row r="642" spans="1:40" x14ac:dyDescent="0.25">
      <c r="F642" s="211"/>
      <c r="H642" s="211"/>
      <c r="I642" s="211"/>
      <c r="J642" s="305"/>
      <c r="K642" s="305"/>
      <c r="L642" s="211"/>
      <c r="M642" s="211"/>
      <c r="N642" s="211"/>
      <c r="O642" s="211"/>
      <c r="P642" s="211"/>
      <c r="Q642" s="211"/>
      <c r="R642" s="211"/>
      <c r="V642" s="211"/>
      <c r="Y642" s="211"/>
      <c r="Z642" s="305"/>
      <c r="AA642" s="211"/>
      <c r="AB642" s="211"/>
      <c r="AC642" s="211"/>
      <c r="AD642" s="211"/>
      <c r="AE642" s="211"/>
      <c r="AF642" s="211"/>
      <c r="AI642" s="211"/>
      <c r="AJ642" s="211"/>
      <c r="AK642" s="212"/>
      <c r="AL642" s="211"/>
    </row>
    <row r="643" spans="1:40" x14ac:dyDescent="0.25">
      <c r="A643" s="202"/>
      <c r="C643" s="154"/>
      <c r="F643" s="200"/>
      <c r="H643" s="200"/>
      <c r="I643" s="200"/>
      <c r="L643" s="200"/>
      <c r="M643" s="200"/>
      <c r="N643" s="210"/>
      <c r="O643" s="210"/>
      <c r="P643" s="200"/>
      <c r="Q643" s="200"/>
      <c r="R643" s="200"/>
      <c r="T643" s="154"/>
      <c r="V643" s="200"/>
      <c r="W643" s="200"/>
      <c r="X643" s="200"/>
      <c r="Y643" s="200"/>
      <c r="AA643" s="200"/>
      <c r="AB643" s="200"/>
      <c r="AC643" s="210"/>
      <c r="AD643" s="210"/>
      <c r="AE643" s="200"/>
      <c r="AF643" s="200"/>
      <c r="AG643" s="209"/>
      <c r="AH643" s="201"/>
      <c r="AI643" s="200"/>
      <c r="AJ643" s="200"/>
      <c r="AK643" s="209"/>
      <c r="AL643" s="200"/>
      <c r="AM643" s="201"/>
      <c r="AN643" s="201"/>
    </row>
    <row r="644" spans="1:40" x14ac:dyDescent="0.25">
      <c r="F644" s="211"/>
      <c r="H644" s="211"/>
      <c r="I644" s="211"/>
      <c r="J644" s="305"/>
      <c r="K644" s="305"/>
      <c r="L644" s="211"/>
      <c r="M644" s="211"/>
      <c r="N644" s="211"/>
      <c r="O644" s="211"/>
      <c r="P644" s="211"/>
      <c r="Q644" s="211"/>
      <c r="R644" s="211"/>
      <c r="V644" s="211"/>
      <c r="Y644" s="211"/>
      <c r="Z644" s="305"/>
      <c r="AA644" s="211"/>
      <c r="AB644" s="211"/>
      <c r="AC644" s="211"/>
      <c r="AD644" s="211"/>
      <c r="AE644" s="211"/>
      <c r="AF644" s="211"/>
      <c r="AI644" s="211"/>
      <c r="AJ644" s="211"/>
      <c r="AK644" s="212"/>
      <c r="AL644" s="211"/>
    </row>
    <row r="646" spans="1:40" x14ac:dyDescent="0.25">
      <c r="C646" s="202"/>
      <c r="T646" s="202"/>
    </row>
    <row r="647" spans="1:40" x14ac:dyDescent="0.25">
      <c r="A647" s="154"/>
    </row>
    <row r="648" spans="1:40" x14ac:dyDescent="0.25">
      <c r="J648" s="202"/>
      <c r="K648" s="202"/>
      <c r="Z648" s="202"/>
    </row>
    <row r="649" spans="1:40" x14ac:dyDescent="0.25">
      <c r="H649" s="154"/>
      <c r="I649" s="154"/>
      <c r="Y649" s="154"/>
    </row>
    <row r="650" spans="1:40" x14ac:dyDescent="0.25">
      <c r="J650" s="202"/>
      <c r="K650" s="202"/>
      <c r="Z650" s="202"/>
    </row>
    <row r="651" spans="1:40" x14ac:dyDescent="0.25">
      <c r="L651" s="154"/>
      <c r="M651" s="154"/>
      <c r="AA651" s="154"/>
      <c r="AB651" s="154"/>
    </row>
    <row r="652" spans="1:40" x14ac:dyDescent="0.25">
      <c r="A652" s="202"/>
      <c r="R652" s="154"/>
      <c r="AK652" s="297"/>
      <c r="AL652" s="154"/>
    </row>
    <row r="653" spans="1:40" x14ac:dyDescent="0.25">
      <c r="A653" s="202"/>
      <c r="R653" s="154"/>
      <c r="AK653" s="297"/>
      <c r="AL653" s="154"/>
    </row>
    <row r="654" spans="1:40" x14ac:dyDescent="0.25">
      <c r="A654" s="154"/>
      <c r="R654" s="154"/>
      <c r="AK654" s="297"/>
      <c r="AL654" s="154"/>
    </row>
    <row r="655" spans="1:40" x14ac:dyDescent="0.25">
      <c r="L655" s="154"/>
      <c r="M655" s="154"/>
      <c r="R655" s="202"/>
      <c r="AA655" s="154"/>
      <c r="AB655" s="154"/>
      <c r="AK655" s="209"/>
      <c r="AL655" s="202"/>
    </row>
    <row r="656" spans="1:40" x14ac:dyDescent="0.25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208"/>
      <c r="AH656" s="102"/>
      <c r="AI656" s="102"/>
      <c r="AJ656" s="102"/>
      <c r="AK656" s="208"/>
      <c r="AL656" s="102"/>
      <c r="AM656" s="102"/>
      <c r="AN656" s="102"/>
    </row>
    <row r="657" spans="1:40" x14ac:dyDescent="0.25">
      <c r="L657" s="103"/>
      <c r="M657" s="103"/>
      <c r="N657" s="103"/>
      <c r="O657" s="103"/>
      <c r="R657" s="103"/>
      <c r="AA657" s="103"/>
      <c r="AB657" s="103"/>
      <c r="AC657" s="103"/>
      <c r="AD657" s="103"/>
      <c r="AE657" s="103"/>
      <c r="AF657" s="103"/>
      <c r="AG657" s="185"/>
      <c r="AH657" s="103"/>
      <c r="AK657" s="185"/>
      <c r="AL657" s="103"/>
      <c r="AM657" s="103"/>
      <c r="AN657" s="103"/>
    </row>
    <row r="658" spans="1:40" x14ac:dyDescent="0.25">
      <c r="L658" s="103"/>
      <c r="M658" s="103"/>
      <c r="N658" s="103"/>
      <c r="O658" s="103"/>
      <c r="R658" s="103"/>
      <c r="Z658" s="103"/>
      <c r="AA658" s="103"/>
      <c r="AB658" s="103"/>
      <c r="AC658" s="103"/>
      <c r="AD658" s="103"/>
      <c r="AE658" s="103"/>
      <c r="AF658" s="103"/>
      <c r="AG658" s="185"/>
      <c r="AH658" s="103"/>
      <c r="AK658" s="185"/>
      <c r="AL658" s="103"/>
      <c r="AM658" s="103"/>
      <c r="AN658" s="103"/>
    </row>
    <row r="659" spans="1:40" x14ac:dyDescent="0.25">
      <c r="A659" s="103"/>
      <c r="C659" s="103"/>
      <c r="D659" s="103"/>
      <c r="E659" s="103"/>
      <c r="F659" s="103"/>
      <c r="J659" s="103"/>
      <c r="K659" s="103"/>
      <c r="L659" s="103"/>
      <c r="M659" s="103"/>
      <c r="N659" s="103"/>
      <c r="O659" s="103"/>
      <c r="P659" s="103"/>
      <c r="Q659" s="103"/>
      <c r="R659" s="103"/>
      <c r="T659" s="103"/>
      <c r="U659" s="103"/>
      <c r="V659" s="103"/>
      <c r="Z659" s="103"/>
      <c r="AA659" s="103"/>
      <c r="AB659" s="103"/>
      <c r="AC659" s="103"/>
      <c r="AD659" s="103"/>
      <c r="AE659" s="103"/>
      <c r="AF659" s="103"/>
      <c r="AG659" s="185"/>
      <c r="AH659" s="103"/>
      <c r="AI659" s="103"/>
      <c r="AJ659" s="103"/>
      <c r="AK659" s="185"/>
      <c r="AL659" s="103"/>
      <c r="AM659" s="103"/>
      <c r="AN659" s="103"/>
    </row>
    <row r="660" spans="1:40" x14ac:dyDescent="0.25">
      <c r="A660" s="103"/>
      <c r="C660" s="103"/>
      <c r="D660" s="103"/>
      <c r="E660" s="103"/>
      <c r="F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T660" s="103"/>
      <c r="U660" s="103"/>
      <c r="V660" s="103"/>
      <c r="Y660" s="103"/>
      <c r="Z660" s="103"/>
      <c r="AA660" s="103"/>
      <c r="AB660" s="103"/>
      <c r="AC660" s="103"/>
      <c r="AD660" s="103"/>
      <c r="AE660" s="103"/>
      <c r="AF660" s="103"/>
      <c r="AG660" s="185"/>
      <c r="AH660" s="103"/>
      <c r="AI660" s="103"/>
      <c r="AJ660" s="103"/>
      <c r="AK660" s="185"/>
      <c r="AL660" s="103"/>
      <c r="AM660" s="103"/>
      <c r="AN660" s="103"/>
    </row>
    <row r="661" spans="1:40" x14ac:dyDescent="0.25">
      <c r="C661" s="103"/>
      <c r="D661" s="103"/>
      <c r="E661" s="103"/>
      <c r="F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T661" s="103"/>
      <c r="U661" s="103"/>
      <c r="V661" s="103"/>
      <c r="Y661" s="103"/>
      <c r="Z661" s="103"/>
      <c r="AA661" s="103"/>
      <c r="AB661" s="103"/>
      <c r="AC661" s="103"/>
      <c r="AD661" s="103"/>
      <c r="AE661" s="103"/>
      <c r="AF661" s="103"/>
      <c r="AG661" s="185"/>
      <c r="AH661" s="103"/>
      <c r="AI661" s="103"/>
      <c r="AJ661" s="103"/>
      <c r="AK661" s="185"/>
      <c r="AL661" s="103"/>
      <c r="AM661" s="103"/>
      <c r="AN661" s="103"/>
    </row>
    <row r="662" spans="1:40" x14ac:dyDescent="0.2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208"/>
      <c r="AH662" s="102"/>
      <c r="AI662" s="102"/>
      <c r="AJ662" s="102"/>
      <c r="AK662" s="208"/>
      <c r="AL662" s="102"/>
      <c r="AM662" s="102"/>
      <c r="AN662" s="102"/>
    </row>
    <row r="663" spans="1:40" x14ac:dyDescent="0.25"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Y663" s="103"/>
      <c r="Z663" s="103"/>
      <c r="AA663" s="103"/>
      <c r="AB663" s="103"/>
      <c r="AC663" s="103"/>
      <c r="AD663" s="103"/>
      <c r="AE663" s="103"/>
      <c r="AF663" s="103"/>
      <c r="AG663" s="185"/>
      <c r="AH663" s="103"/>
      <c r="AI663" s="103"/>
      <c r="AJ663" s="103"/>
      <c r="AK663" s="185"/>
      <c r="AL663" s="103"/>
      <c r="AM663" s="103"/>
      <c r="AN663" s="103"/>
    </row>
    <row r="664" spans="1:40" x14ac:dyDescent="0.25">
      <c r="A664" s="202"/>
      <c r="C664" s="154"/>
      <c r="D664" s="154"/>
      <c r="E664" s="154"/>
      <c r="F664" s="200"/>
      <c r="H664" s="200"/>
      <c r="I664" s="200"/>
      <c r="J664" s="213"/>
      <c r="K664" s="213"/>
      <c r="L664" s="200"/>
      <c r="M664" s="200"/>
      <c r="N664" s="213"/>
      <c r="O664" s="213"/>
      <c r="P664" s="200"/>
      <c r="Q664" s="200"/>
      <c r="R664" s="200"/>
      <c r="T664" s="154"/>
      <c r="U664" s="154"/>
      <c r="V664" s="200"/>
      <c r="Y664" s="200"/>
      <c r="Z664" s="213"/>
      <c r="AA664" s="200"/>
      <c r="AB664" s="200"/>
      <c r="AC664" s="213"/>
      <c r="AD664" s="213"/>
      <c r="AE664" s="200"/>
      <c r="AF664" s="200"/>
      <c r="AG664" s="209"/>
      <c r="AH664" s="201"/>
      <c r="AI664" s="200"/>
      <c r="AJ664" s="200"/>
      <c r="AK664" s="209"/>
      <c r="AL664" s="200"/>
      <c r="AM664" s="210"/>
      <c r="AN664" s="210"/>
    </row>
    <row r="665" spans="1:40" x14ac:dyDescent="0.25">
      <c r="F665" s="211"/>
      <c r="H665" s="211"/>
      <c r="I665" s="211"/>
      <c r="J665" s="305"/>
      <c r="K665" s="305"/>
      <c r="L665" s="211"/>
      <c r="M665" s="211"/>
      <c r="N665" s="211"/>
      <c r="O665" s="211"/>
      <c r="P665" s="211"/>
      <c r="Q665" s="211"/>
      <c r="R665" s="211"/>
      <c r="V665" s="211"/>
      <c r="Y665" s="211"/>
      <c r="Z665" s="305"/>
      <c r="AA665" s="211"/>
      <c r="AB665" s="211"/>
      <c r="AC665" s="211"/>
      <c r="AD665" s="211"/>
      <c r="AE665" s="211"/>
      <c r="AF665" s="211"/>
      <c r="AI665" s="211"/>
      <c r="AJ665" s="211"/>
      <c r="AK665" s="212"/>
      <c r="AL665" s="211"/>
      <c r="AM665" s="210"/>
      <c r="AN665" s="210"/>
    </row>
    <row r="666" spans="1:40" x14ac:dyDescent="0.25">
      <c r="A666" s="202"/>
      <c r="C666" s="154"/>
      <c r="F666" s="200"/>
      <c r="H666" s="200"/>
      <c r="I666" s="200"/>
      <c r="J666" s="213"/>
      <c r="K666" s="213"/>
      <c r="L666" s="200"/>
      <c r="M666" s="200"/>
      <c r="N666" s="213"/>
      <c r="O666" s="213"/>
      <c r="P666" s="200"/>
      <c r="Q666" s="200"/>
      <c r="R666" s="200"/>
      <c r="T666" s="154"/>
      <c r="V666" s="200"/>
      <c r="Y666" s="200"/>
      <c r="Z666" s="213"/>
      <c r="AA666" s="200"/>
      <c r="AB666" s="200"/>
      <c r="AC666" s="213"/>
      <c r="AD666" s="213"/>
      <c r="AE666" s="200"/>
      <c r="AF666" s="200"/>
      <c r="AG666" s="209"/>
      <c r="AH666" s="201"/>
      <c r="AI666" s="200"/>
      <c r="AJ666" s="200"/>
      <c r="AK666" s="209"/>
      <c r="AL666" s="200"/>
      <c r="AM666" s="210"/>
      <c r="AN666" s="210"/>
    </row>
    <row r="667" spans="1:40" x14ac:dyDescent="0.25">
      <c r="F667" s="200"/>
      <c r="H667" s="200"/>
      <c r="I667" s="200"/>
      <c r="J667" s="213"/>
      <c r="K667" s="213"/>
      <c r="L667" s="200"/>
      <c r="M667" s="200"/>
      <c r="N667" s="213"/>
      <c r="O667" s="213"/>
      <c r="P667" s="200"/>
      <c r="Q667" s="200"/>
      <c r="R667" s="200"/>
      <c r="V667" s="200"/>
      <c r="Y667" s="200"/>
      <c r="Z667" s="213"/>
      <c r="AA667" s="200"/>
      <c r="AB667" s="200"/>
      <c r="AC667" s="213"/>
      <c r="AD667" s="213"/>
      <c r="AG667" s="209"/>
      <c r="AH667" s="201"/>
      <c r="AI667" s="200"/>
      <c r="AJ667" s="200"/>
      <c r="AK667" s="209"/>
      <c r="AL667" s="200"/>
      <c r="AM667" s="210"/>
      <c r="AN667" s="210"/>
    </row>
    <row r="668" spans="1:40" x14ac:dyDescent="0.25">
      <c r="A668" s="202"/>
      <c r="C668" s="154"/>
      <c r="D668" s="154"/>
      <c r="E668" s="154"/>
      <c r="F668" s="200"/>
      <c r="H668" s="200"/>
      <c r="I668" s="200"/>
      <c r="J668" s="213"/>
      <c r="K668" s="213"/>
      <c r="L668" s="200"/>
      <c r="M668" s="200"/>
      <c r="N668" s="213"/>
      <c r="O668" s="213"/>
      <c r="P668" s="200"/>
      <c r="Q668" s="200"/>
      <c r="R668" s="200"/>
      <c r="T668" s="154"/>
      <c r="U668" s="154"/>
      <c r="V668" s="200"/>
      <c r="Y668" s="200"/>
      <c r="Z668" s="213"/>
      <c r="AA668" s="200"/>
      <c r="AB668" s="200"/>
      <c r="AC668" s="213"/>
      <c r="AD668" s="213"/>
      <c r="AE668" s="200"/>
      <c r="AF668" s="200"/>
      <c r="AG668" s="209"/>
      <c r="AH668" s="201"/>
      <c r="AI668" s="200"/>
      <c r="AJ668" s="200"/>
      <c r="AK668" s="209"/>
      <c r="AL668" s="200"/>
      <c r="AM668" s="210"/>
      <c r="AN668" s="210"/>
    </row>
    <row r="669" spans="1:40" x14ac:dyDescent="0.25">
      <c r="A669" s="202"/>
      <c r="C669" s="154"/>
      <c r="D669" s="154"/>
      <c r="E669" s="154"/>
      <c r="F669" s="200"/>
      <c r="H669" s="200"/>
      <c r="I669" s="200"/>
      <c r="J669" s="213"/>
      <c r="K669" s="213"/>
      <c r="L669" s="200"/>
      <c r="M669" s="200"/>
      <c r="N669" s="213"/>
      <c r="O669" s="213"/>
      <c r="P669" s="200"/>
      <c r="Q669" s="200"/>
      <c r="R669" s="200"/>
      <c r="T669" s="154"/>
      <c r="U669" s="154"/>
      <c r="V669" s="200"/>
      <c r="Y669" s="200"/>
      <c r="Z669" s="213"/>
      <c r="AA669" s="200"/>
      <c r="AB669" s="200"/>
      <c r="AC669" s="213"/>
      <c r="AD669" s="213"/>
      <c r="AE669" s="200"/>
      <c r="AF669" s="200"/>
      <c r="AG669" s="209"/>
      <c r="AH669" s="201"/>
      <c r="AI669" s="200"/>
      <c r="AJ669" s="200"/>
      <c r="AK669" s="209"/>
      <c r="AL669" s="200"/>
      <c r="AM669" s="210"/>
      <c r="AN669" s="210"/>
    </row>
    <row r="670" spans="1:40" x14ac:dyDescent="0.25">
      <c r="A670" s="202"/>
      <c r="C670" s="154"/>
      <c r="D670" s="154"/>
      <c r="E670" s="154"/>
      <c r="F670" s="200"/>
      <c r="H670" s="200"/>
      <c r="I670" s="200"/>
      <c r="J670" s="213"/>
      <c r="K670" s="213"/>
      <c r="L670" s="200"/>
      <c r="M670" s="200"/>
      <c r="N670" s="213"/>
      <c r="O670" s="213"/>
      <c r="P670" s="200"/>
      <c r="Q670" s="200"/>
      <c r="R670" s="200"/>
      <c r="T670" s="154"/>
      <c r="U670" s="154"/>
      <c r="V670" s="200"/>
      <c r="Y670" s="200"/>
      <c r="Z670" s="213"/>
      <c r="AA670" s="200"/>
      <c r="AB670" s="200"/>
      <c r="AC670" s="213"/>
      <c r="AD670" s="213"/>
      <c r="AE670" s="200"/>
      <c r="AF670" s="200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A671" s="202"/>
      <c r="C671" s="154"/>
      <c r="D671" s="154"/>
      <c r="E671" s="154"/>
      <c r="F671" s="200"/>
      <c r="H671" s="200"/>
      <c r="I671" s="200"/>
      <c r="J671" s="213"/>
      <c r="K671" s="213"/>
      <c r="L671" s="200"/>
      <c r="M671" s="200"/>
      <c r="N671" s="213"/>
      <c r="O671" s="213"/>
      <c r="P671" s="200"/>
      <c r="Q671" s="200"/>
      <c r="R671" s="200"/>
      <c r="T671" s="154"/>
      <c r="U671" s="154"/>
      <c r="V671" s="200"/>
      <c r="Y671" s="200"/>
      <c r="Z671" s="213"/>
      <c r="AA671" s="200"/>
      <c r="AB671" s="200"/>
      <c r="AC671" s="213"/>
      <c r="AD671" s="213"/>
      <c r="AE671" s="200"/>
      <c r="AF671" s="200"/>
      <c r="AG671" s="209"/>
      <c r="AH671" s="201"/>
      <c r="AI671" s="200"/>
      <c r="AJ671" s="200"/>
      <c r="AK671" s="209"/>
      <c r="AL671" s="200"/>
      <c r="AM671" s="210"/>
      <c r="AN671" s="210"/>
    </row>
    <row r="672" spans="1:40" x14ac:dyDescent="0.25">
      <c r="A672" s="202"/>
      <c r="C672" s="154"/>
      <c r="D672" s="154"/>
      <c r="E672" s="154"/>
      <c r="F672" s="200"/>
      <c r="H672" s="200"/>
      <c r="I672" s="200"/>
      <c r="J672" s="213"/>
      <c r="K672" s="213"/>
      <c r="L672" s="200"/>
      <c r="M672" s="200"/>
      <c r="N672" s="213"/>
      <c r="O672" s="213"/>
      <c r="P672" s="200"/>
      <c r="Q672" s="200"/>
      <c r="R672" s="200"/>
      <c r="T672" s="154"/>
      <c r="U672" s="154"/>
      <c r="V672" s="200"/>
      <c r="Y672" s="200"/>
      <c r="Z672" s="213"/>
      <c r="AA672" s="200"/>
      <c r="AB672" s="200"/>
      <c r="AC672" s="213"/>
      <c r="AD672" s="213"/>
      <c r="AE672" s="200"/>
      <c r="AF672" s="200"/>
      <c r="AG672" s="209"/>
      <c r="AH672" s="201"/>
      <c r="AI672" s="200"/>
      <c r="AJ672" s="200"/>
      <c r="AK672" s="209"/>
      <c r="AL672" s="200"/>
      <c r="AM672" s="210"/>
      <c r="AN672" s="210"/>
    </row>
    <row r="673" spans="1:40" x14ac:dyDescent="0.25">
      <c r="A673" s="202"/>
      <c r="C673" s="154"/>
      <c r="D673" s="154"/>
      <c r="E673" s="154"/>
      <c r="F673" s="200"/>
      <c r="H673" s="200"/>
      <c r="I673" s="200"/>
      <c r="J673" s="213"/>
      <c r="K673" s="213"/>
      <c r="L673" s="200"/>
      <c r="M673" s="200"/>
      <c r="N673" s="213"/>
      <c r="O673" s="213"/>
      <c r="P673" s="200"/>
      <c r="Q673" s="200"/>
      <c r="R673" s="200"/>
      <c r="T673" s="154"/>
      <c r="U673" s="154"/>
      <c r="V673" s="200"/>
      <c r="Y673" s="200"/>
      <c r="Z673" s="213"/>
      <c r="AA673" s="200"/>
      <c r="AB673" s="200"/>
      <c r="AC673" s="213"/>
      <c r="AD673" s="213"/>
      <c r="AE673" s="200"/>
      <c r="AF673" s="200"/>
      <c r="AG673" s="209"/>
      <c r="AH673" s="201"/>
      <c r="AI673" s="200"/>
      <c r="AJ673" s="200"/>
      <c r="AK673" s="209"/>
      <c r="AL673" s="200"/>
      <c r="AM673" s="210"/>
      <c r="AN673" s="210"/>
    </row>
    <row r="674" spans="1:40" x14ac:dyDescent="0.25">
      <c r="F674" s="211"/>
      <c r="H674" s="211"/>
      <c r="I674" s="211"/>
      <c r="J674" s="305"/>
      <c r="K674" s="305"/>
      <c r="L674" s="211"/>
      <c r="M674" s="211"/>
      <c r="N674" s="211"/>
      <c r="O674" s="211"/>
      <c r="P674" s="211"/>
      <c r="Q674" s="211"/>
      <c r="R674" s="211"/>
      <c r="V674" s="211"/>
      <c r="Y674" s="211"/>
      <c r="Z674" s="305"/>
      <c r="AA674" s="211"/>
      <c r="AB674" s="211"/>
      <c r="AC674" s="211"/>
      <c r="AD674" s="211"/>
      <c r="AE674" s="211"/>
      <c r="AF674" s="211"/>
      <c r="AI674" s="211"/>
      <c r="AJ674" s="211"/>
      <c r="AK674" s="212"/>
      <c r="AL674" s="211"/>
      <c r="AM674" s="210"/>
      <c r="AN674" s="210"/>
    </row>
    <row r="675" spans="1:40" x14ac:dyDescent="0.25">
      <c r="A675" s="202"/>
      <c r="C675" s="154"/>
      <c r="F675" s="200"/>
      <c r="H675" s="200"/>
      <c r="I675" s="200"/>
      <c r="J675" s="213"/>
      <c r="K675" s="213"/>
      <c r="L675" s="200"/>
      <c r="M675" s="200"/>
      <c r="N675" s="213"/>
      <c r="O675" s="213"/>
      <c r="P675" s="200"/>
      <c r="Q675" s="200"/>
      <c r="R675" s="200"/>
      <c r="T675" s="154"/>
      <c r="V675" s="200"/>
      <c r="Y675" s="200"/>
      <c r="Z675" s="213"/>
      <c r="AA675" s="200"/>
      <c r="AB675" s="200"/>
      <c r="AC675" s="213"/>
      <c r="AD675" s="213"/>
      <c r="AE675" s="200"/>
      <c r="AF675" s="200"/>
      <c r="AG675" s="209"/>
      <c r="AH675" s="201"/>
      <c r="AI675" s="200"/>
      <c r="AJ675" s="200"/>
      <c r="AK675" s="209"/>
      <c r="AL675" s="200"/>
      <c r="AM675" s="210"/>
      <c r="AN675" s="210"/>
    </row>
    <row r="676" spans="1:40" x14ac:dyDescent="0.25">
      <c r="F676" s="200"/>
      <c r="H676" s="200"/>
      <c r="I676" s="200"/>
      <c r="J676" s="213"/>
      <c r="K676" s="213"/>
      <c r="L676" s="200"/>
      <c r="M676" s="200"/>
      <c r="N676" s="213"/>
      <c r="O676" s="213"/>
      <c r="P676" s="200"/>
      <c r="Q676" s="200"/>
      <c r="R676" s="200"/>
      <c r="V676" s="200"/>
      <c r="Y676" s="200"/>
      <c r="Z676" s="213"/>
      <c r="AA676" s="200"/>
      <c r="AB676" s="200"/>
      <c r="AC676" s="213"/>
      <c r="AD676" s="213"/>
      <c r="AG676" s="209"/>
      <c r="AH676" s="201"/>
      <c r="AI676" s="200"/>
      <c r="AJ676" s="200"/>
      <c r="AK676" s="209"/>
      <c r="AL676" s="200"/>
      <c r="AM676" s="210"/>
      <c r="AN676" s="210"/>
    </row>
    <row r="677" spans="1:40" x14ac:dyDescent="0.25">
      <c r="A677" s="202"/>
      <c r="C677" s="154"/>
      <c r="D677" s="154"/>
      <c r="E677" s="154"/>
      <c r="F677" s="200"/>
      <c r="H677" s="200"/>
      <c r="I677" s="200"/>
      <c r="J677" s="213"/>
      <c r="K677" s="213"/>
      <c r="L677" s="200"/>
      <c r="M677" s="200"/>
      <c r="N677" s="213"/>
      <c r="O677" s="213"/>
      <c r="P677" s="200"/>
      <c r="Q677" s="200"/>
      <c r="R677" s="200"/>
      <c r="T677" s="154"/>
      <c r="U677" s="154"/>
      <c r="V677" s="200"/>
      <c r="Y677" s="200"/>
      <c r="Z677" s="213"/>
      <c r="AA677" s="200"/>
      <c r="AB677" s="200"/>
      <c r="AC677" s="213"/>
      <c r="AD677" s="213"/>
      <c r="AE677" s="200"/>
      <c r="AF677" s="200"/>
      <c r="AG677" s="209"/>
      <c r="AH677" s="201"/>
      <c r="AI677" s="200"/>
      <c r="AJ677" s="200"/>
      <c r="AK677" s="209"/>
      <c r="AL677" s="200"/>
      <c r="AM677" s="210"/>
      <c r="AN677" s="210"/>
    </row>
    <row r="678" spans="1:40" x14ac:dyDescent="0.25">
      <c r="F678" s="211"/>
      <c r="H678" s="211"/>
      <c r="I678" s="211"/>
      <c r="J678" s="305"/>
      <c r="K678" s="305"/>
      <c r="L678" s="211"/>
      <c r="M678" s="211"/>
      <c r="N678" s="211"/>
      <c r="O678" s="211"/>
      <c r="P678" s="211"/>
      <c r="Q678" s="211"/>
      <c r="R678" s="211"/>
      <c r="V678" s="211"/>
      <c r="Y678" s="211"/>
      <c r="Z678" s="305"/>
      <c r="AA678" s="211"/>
      <c r="AB678" s="211"/>
      <c r="AC678" s="211"/>
      <c r="AD678" s="211"/>
      <c r="AE678" s="211"/>
      <c r="AF678" s="211"/>
      <c r="AI678" s="211"/>
      <c r="AJ678" s="211"/>
      <c r="AK678" s="212"/>
      <c r="AL678" s="211"/>
      <c r="AM678" s="210"/>
      <c r="AN678" s="210"/>
    </row>
    <row r="679" spans="1:40" x14ac:dyDescent="0.25">
      <c r="A679" s="202"/>
      <c r="C679" s="154"/>
      <c r="F679" s="200"/>
      <c r="H679" s="200"/>
      <c r="I679" s="200"/>
      <c r="J679" s="213"/>
      <c r="K679" s="213"/>
      <c r="L679" s="200"/>
      <c r="M679" s="200"/>
      <c r="N679" s="213"/>
      <c r="O679" s="213"/>
      <c r="P679" s="200"/>
      <c r="Q679" s="200"/>
      <c r="R679" s="200"/>
      <c r="T679" s="154"/>
      <c r="V679" s="200"/>
      <c r="Y679" s="200"/>
      <c r="Z679" s="213"/>
      <c r="AA679" s="200"/>
      <c r="AB679" s="200"/>
      <c r="AC679" s="213"/>
      <c r="AD679" s="213"/>
      <c r="AE679" s="200"/>
      <c r="AF679" s="200"/>
      <c r="AG679" s="209"/>
      <c r="AH679" s="201"/>
      <c r="AI679" s="200"/>
      <c r="AJ679" s="200"/>
      <c r="AK679" s="209"/>
      <c r="AL679" s="200"/>
      <c r="AM679" s="210"/>
      <c r="AN679" s="210"/>
    </row>
    <row r="680" spans="1:40" x14ac:dyDescent="0.25">
      <c r="F680" s="200"/>
      <c r="H680" s="200"/>
      <c r="I680" s="200"/>
      <c r="J680" s="213"/>
      <c r="K680" s="213"/>
      <c r="L680" s="200"/>
      <c r="M680" s="200"/>
      <c r="N680" s="213"/>
      <c r="O680" s="213"/>
      <c r="P680" s="200"/>
      <c r="Q680" s="200"/>
      <c r="R680" s="200"/>
      <c r="V680" s="200"/>
      <c r="Y680" s="200"/>
      <c r="Z680" s="213"/>
      <c r="AA680" s="200"/>
      <c r="AB680" s="200"/>
      <c r="AC680" s="213"/>
      <c r="AD680" s="213"/>
      <c r="AG680" s="209"/>
      <c r="AH680" s="201"/>
      <c r="AI680" s="200"/>
      <c r="AJ680" s="200"/>
      <c r="AK680" s="209"/>
      <c r="AL680" s="200"/>
      <c r="AM680" s="210"/>
      <c r="AN680" s="210"/>
    </row>
    <row r="681" spans="1:40" x14ac:dyDescent="0.25">
      <c r="A681" s="202"/>
      <c r="C681" s="154"/>
      <c r="D681" s="154"/>
      <c r="E681" s="154"/>
      <c r="F681" s="200"/>
      <c r="H681" s="200"/>
      <c r="I681" s="200"/>
      <c r="J681" s="213"/>
      <c r="K681" s="213"/>
      <c r="L681" s="200"/>
      <c r="M681" s="200"/>
      <c r="N681" s="213"/>
      <c r="O681" s="213"/>
      <c r="P681" s="200"/>
      <c r="Q681" s="200"/>
      <c r="R681" s="200"/>
      <c r="T681" s="154"/>
      <c r="U681" s="154"/>
      <c r="V681" s="200"/>
      <c r="Y681" s="200"/>
      <c r="Z681" s="213"/>
      <c r="AA681" s="200"/>
      <c r="AB681" s="200"/>
      <c r="AC681" s="213"/>
      <c r="AD681" s="213"/>
      <c r="AE681" s="200"/>
      <c r="AF681" s="200"/>
      <c r="AG681" s="209"/>
      <c r="AH681" s="201"/>
      <c r="AI681" s="200"/>
      <c r="AJ681" s="200"/>
      <c r="AK681" s="209"/>
      <c r="AL681" s="200"/>
      <c r="AM681" s="210"/>
      <c r="AN681" s="210"/>
    </row>
    <row r="682" spans="1:40" x14ac:dyDescent="0.25">
      <c r="A682" s="202"/>
      <c r="C682" s="154"/>
      <c r="D682" s="154"/>
      <c r="E682" s="154"/>
      <c r="F682" s="200"/>
      <c r="G682" s="200"/>
      <c r="H682" s="200"/>
      <c r="I682" s="200"/>
      <c r="J682" s="213"/>
      <c r="K682" s="213"/>
      <c r="L682" s="200"/>
      <c r="M682" s="200"/>
      <c r="N682" s="213"/>
      <c r="O682" s="213"/>
      <c r="P682" s="200"/>
      <c r="Q682" s="200"/>
      <c r="R682" s="200"/>
      <c r="T682" s="154"/>
      <c r="U682" s="154"/>
      <c r="V682" s="200"/>
      <c r="W682" s="200"/>
      <c r="X682" s="200"/>
      <c r="Y682" s="200"/>
      <c r="Z682" s="213"/>
      <c r="AA682" s="200"/>
      <c r="AB682" s="200"/>
      <c r="AC682" s="213"/>
      <c r="AD682" s="213"/>
      <c r="AE682" s="200"/>
      <c r="AF682" s="200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A683" s="202"/>
      <c r="C683" s="154"/>
      <c r="D683" s="154"/>
      <c r="E683" s="154"/>
      <c r="F683" s="200"/>
      <c r="G683" s="200"/>
      <c r="H683" s="200"/>
      <c r="I683" s="200"/>
      <c r="J683" s="213"/>
      <c r="K683" s="213"/>
      <c r="L683" s="200"/>
      <c r="M683" s="200"/>
      <c r="N683" s="213"/>
      <c r="O683" s="213"/>
      <c r="P683" s="200"/>
      <c r="Q683" s="200"/>
      <c r="R683" s="200"/>
      <c r="T683" s="154"/>
      <c r="U683" s="154"/>
      <c r="V683" s="200"/>
      <c r="W683" s="200"/>
      <c r="X683" s="200"/>
      <c r="Y683" s="200"/>
      <c r="Z683" s="213"/>
      <c r="AA683" s="200"/>
      <c r="AB683" s="200"/>
      <c r="AC683" s="213"/>
      <c r="AD683" s="213"/>
      <c r="AE683" s="200"/>
      <c r="AF683" s="200"/>
      <c r="AG683" s="209"/>
      <c r="AH683" s="201"/>
      <c r="AI683" s="200"/>
      <c r="AJ683" s="200"/>
      <c r="AK683" s="209"/>
      <c r="AL683" s="200"/>
      <c r="AM683" s="210"/>
      <c r="AN683" s="210"/>
    </row>
    <row r="684" spans="1:40" x14ac:dyDescent="0.25">
      <c r="A684" s="202"/>
      <c r="C684" s="154"/>
      <c r="D684" s="154"/>
      <c r="E684" s="154"/>
      <c r="F684" s="200"/>
      <c r="H684" s="200"/>
      <c r="I684" s="200"/>
      <c r="J684" s="213"/>
      <c r="K684" s="213"/>
      <c r="L684" s="200"/>
      <c r="M684" s="200"/>
      <c r="N684" s="213"/>
      <c r="O684" s="213"/>
      <c r="P684" s="200"/>
      <c r="Q684" s="200"/>
      <c r="R684" s="200"/>
      <c r="T684" s="154"/>
      <c r="U684" s="154"/>
      <c r="V684" s="200"/>
      <c r="Y684" s="200"/>
      <c r="Z684" s="213"/>
      <c r="AA684" s="200"/>
      <c r="AB684" s="200"/>
      <c r="AC684" s="213"/>
      <c r="AD684" s="213"/>
      <c r="AE684" s="200"/>
      <c r="AF684" s="200"/>
      <c r="AG684" s="209"/>
      <c r="AH684" s="201"/>
      <c r="AI684" s="200"/>
      <c r="AJ684" s="200"/>
      <c r="AK684" s="209"/>
      <c r="AL684" s="200"/>
      <c r="AM684" s="210"/>
      <c r="AN684" s="210"/>
    </row>
    <row r="685" spans="1:40" x14ac:dyDescent="0.25">
      <c r="A685" s="202"/>
      <c r="C685" s="154"/>
      <c r="D685" s="154"/>
      <c r="E685" s="154"/>
      <c r="F685" s="200"/>
      <c r="H685" s="200"/>
      <c r="I685" s="200"/>
      <c r="J685" s="213"/>
      <c r="K685" s="213"/>
      <c r="L685" s="200"/>
      <c r="M685" s="200"/>
      <c r="N685" s="213"/>
      <c r="O685" s="213"/>
      <c r="P685" s="200"/>
      <c r="Q685" s="200"/>
      <c r="R685" s="200"/>
      <c r="T685" s="154"/>
      <c r="U685" s="154"/>
      <c r="V685" s="200"/>
      <c r="Y685" s="200"/>
      <c r="Z685" s="213"/>
      <c r="AA685" s="200"/>
      <c r="AB685" s="200"/>
      <c r="AC685" s="213"/>
      <c r="AD685" s="213"/>
      <c r="AE685" s="200"/>
      <c r="AF685" s="200"/>
      <c r="AG685" s="209"/>
      <c r="AH685" s="201"/>
      <c r="AI685" s="200"/>
      <c r="AJ685" s="200"/>
      <c r="AK685" s="209"/>
      <c r="AL685" s="200"/>
      <c r="AM685" s="210"/>
      <c r="AN685" s="210"/>
    </row>
    <row r="686" spans="1:40" x14ac:dyDescent="0.25">
      <c r="A686" s="202"/>
      <c r="C686" s="154"/>
      <c r="D686" s="154"/>
      <c r="E686" s="154"/>
      <c r="F686" s="200"/>
      <c r="H686" s="200"/>
      <c r="I686" s="200"/>
      <c r="J686" s="213"/>
      <c r="K686" s="213"/>
      <c r="L686" s="200"/>
      <c r="M686" s="200"/>
      <c r="N686" s="213"/>
      <c r="O686" s="213"/>
      <c r="P686" s="200"/>
      <c r="Q686" s="200"/>
      <c r="R686" s="200"/>
      <c r="T686" s="154"/>
      <c r="U686" s="154"/>
      <c r="V686" s="200"/>
      <c r="Y686" s="200"/>
      <c r="Z686" s="213"/>
      <c r="AA686" s="200"/>
      <c r="AB686" s="200"/>
      <c r="AC686" s="213"/>
      <c r="AD686" s="213"/>
      <c r="AE686" s="200"/>
      <c r="AF686" s="200"/>
      <c r="AG686" s="209"/>
      <c r="AH686" s="201"/>
      <c r="AI686" s="200"/>
      <c r="AJ686" s="200"/>
      <c r="AK686" s="209"/>
      <c r="AL686" s="200"/>
      <c r="AM686" s="210"/>
      <c r="AN686" s="210"/>
    </row>
    <row r="687" spans="1:40" x14ac:dyDescent="0.25">
      <c r="A687" s="202"/>
      <c r="C687" s="154"/>
      <c r="D687" s="154"/>
      <c r="E687" s="154"/>
      <c r="F687" s="200"/>
      <c r="H687" s="200"/>
      <c r="I687" s="200"/>
      <c r="J687" s="213"/>
      <c r="K687" s="213"/>
      <c r="L687" s="200"/>
      <c r="M687" s="200"/>
      <c r="N687" s="213"/>
      <c r="O687" s="213"/>
      <c r="P687" s="200"/>
      <c r="Q687" s="200"/>
      <c r="R687" s="200"/>
      <c r="T687" s="154"/>
      <c r="U687" s="154"/>
      <c r="V687" s="200"/>
      <c r="Y687" s="200"/>
      <c r="Z687" s="213"/>
      <c r="AA687" s="200"/>
      <c r="AB687" s="200"/>
      <c r="AC687" s="213"/>
      <c r="AD687" s="213"/>
      <c r="AE687" s="200"/>
      <c r="AF687" s="200"/>
      <c r="AG687" s="209"/>
      <c r="AH687" s="201"/>
      <c r="AI687" s="200"/>
      <c r="AJ687" s="200"/>
      <c r="AK687" s="209"/>
      <c r="AL687" s="200"/>
      <c r="AM687" s="210"/>
      <c r="AN687" s="210"/>
    </row>
    <row r="688" spans="1:40" x14ac:dyDescent="0.25">
      <c r="F688" s="211"/>
      <c r="H688" s="211"/>
      <c r="I688" s="211"/>
      <c r="J688" s="305"/>
      <c r="K688" s="305"/>
      <c r="L688" s="211"/>
      <c r="M688" s="211"/>
      <c r="N688" s="211"/>
      <c r="O688" s="211"/>
      <c r="P688" s="211"/>
      <c r="Q688" s="211"/>
      <c r="R688" s="211"/>
      <c r="V688" s="211"/>
      <c r="Y688" s="211"/>
      <c r="Z688" s="305"/>
      <c r="AA688" s="211"/>
      <c r="AB688" s="211"/>
      <c r="AC688" s="211"/>
      <c r="AD688" s="211"/>
      <c r="AE688" s="211"/>
      <c r="AF688" s="211"/>
      <c r="AI688" s="211"/>
      <c r="AJ688" s="211"/>
      <c r="AK688" s="212"/>
      <c r="AL688" s="211"/>
      <c r="AM688" s="210"/>
      <c r="AN688" s="210"/>
    </row>
    <row r="689" spans="1:40" x14ac:dyDescent="0.25">
      <c r="A689" s="202"/>
      <c r="C689" s="154"/>
      <c r="F689" s="200"/>
      <c r="H689" s="200"/>
      <c r="I689" s="200"/>
      <c r="J689" s="213"/>
      <c r="K689" s="213"/>
      <c r="L689" s="200"/>
      <c r="M689" s="200"/>
      <c r="N689" s="213"/>
      <c r="O689" s="213"/>
      <c r="P689" s="200"/>
      <c r="Q689" s="200"/>
      <c r="R689" s="200"/>
      <c r="T689" s="154"/>
      <c r="V689" s="200"/>
      <c r="Y689" s="200"/>
      <c r="Z689" s="213"/>
      <c r="AA689" s="200"/>
      <c r="AB689" s="200"/>
      <c r="AC689" s="213"/>
      <c r="AD689" s="213"/>
      <c r="AE689" s="200"/>
      <c r="AF689" s="200"/>
      <c r="AG689" s="209"/>
      <c r="AH689" s="201"/>
      <c r="AI689" s="200"/>
      <c r="AJ689" s="200"/>
      <c r="AK689" s="209"/>
      <c r="AL689" s="200"/>
      <c r="AM689" s="210"/>
      <c r="AN689" s="210"/>
    </row>
    <row r="690" spans="1:40" x14ac:dyDescent="0.25">
      <c r="V690" s="200"/>
      <c r="Y690" s="200"/>
      <c r="Z690" s="305"/>
      <c r="AA690" s="200"/>
      <c r="AB690" s="200"/>
      <c r="AC690" s="200"/>
      <c r="AD690" s="200"/>
      <c r="AE690" s="200"/>
      <c r="AF690" s="200"/>
      <c r="AI690" s="200"/>
      <c r="AJ690" s="200"/>
      <c r="AK690" s="209"/>
      <c r="AL690" s="200"/>
      <c r="AM690" s="210"/>
      <c r="AN690" s="210"/>
    </row>
    <row r="691" spans="1:40" x14ac:dyDescent="0.25">
      <c r="A691" s="202"/>
      <c r="C691" s="154"/>
      <c r="D691" s="154"/>
      <c r="E691" s="154"/>
      <c r="L691" s="200"/>
      <c r="M691" s="200"/>
      <c r="N691" s="213"/>
      <c r="O691" s="213"/>
      <c r="P691" s="202"/>
      <c r="Q691" s="202"/>
      <c r="R691" s="200"/>
      <c r="T691" s="154"/>
      <c r="U691" s="154"/>
      <c r="AA691" s="200"/>
      <c r="AB691" s="200"/>
      <c r="AC691" s="213"/>
      <c r="AD691" s="213"/>
      <c r="AE691" s="200"/>
      <c r="AF691" s="200"/>
      <c r="AG691" s="209"/>
      <c r="AH691" s="201"/>
      <c r="AI691" s="202"/>
      <c r="AJ691" s="202"/>
      <c r="AK691" s="209"/>
      <c r="AL691" s="200"/>
      <c r="AM691" s="210"/>
      <c r="AN691" s="210"/>
    </row>
    <row r="692" spans="1:40" x14ac:dyDescent="0.25">
      <c r="A692" s="202"/>
      <c r="D692" s="154"/>
      <c r="E692" s="154"/>
      <c r="F692" s="252"/>
      <c r="H692" s="252"/>
      <c r="I692" s="252"/>
      <c r="J692" s="213"/>
      <c r="K692" s="213"/>
      <c r="L692" s="200"/>
      <c r="M692" s="200"/>
      <c r="N692" s="213"/>
      <c r="O692" s="213"/>
      <c r="P692" s="252"/>
      <c r="Q692" s="252"/>
      <c r="R692" s="200"/>
      <c r="U692" s="154"/>
      <c r="V692" s="200"/>
      <c r="Y692" s="200"/>
      <c r="Z692" s="213"/>
      <c r="AA692" s="200"/>
      <c r="AB692" s="200"/>
      <c r="AC692" s="213"/>
      <c r="AD692" s="213"/>
      <c r="AE692" s="200"/>
      <c r="AF692" s="200"/>
      <c r="AG692" s="209"/>
      <c r="AH692" s="201"/>
      <c r="AI692" s="200"/>
      <c r="AJ692" s="200"/>
      <c r="AK692" s="209"/>
      <c r="AL692" s="200"/>
      <c r="AM692" s="210"/>
      <c r="AN692" s="210"/>
    </row>
    <row r="693" spans="1:40" x14ac:dyDescent="0.25">
      <c r="F693" s="211"/>
      <c r="H693" s="211"/>
      <c r="I693" s="211"/>
      <c r="J693" s="305"/>
      <c r="K693" s="305"/>
      <c r="L693" s="211"/>
      <c r="M693" s="211"/>
      <c r="N693" s="211"/>
      <c r="O693" s="211"/>
      <c r="P693" s="211"/>
      <c r="Q693" s="211"/>
      <c r="R693" s="211"/>
      <c r="V693" s="211"/>
      <c r="Y693" s="211"/>
      <c r="Z693" s="305"/>
      <c r="AA693" s="211"/>
      <c r="AB693" s="211"/>
      <c r="AC693" s="211"/>
      <c r="AD693" s="211"/>
      <c r="AE693" s="211"/>
      <c r="AF693" s="211"/>
      <c r="AI693" s="211"/>
      <c r="AJ693" s="211"/>
      <c r="AK693" s="212"/>
      <c r="AL693" s="211"/>
      <c r="AM693" s="210"/>
      <c r="AN693" s="210"/>
    </row>
    <row r="694" spans="1:40" x14ac:dyDescent="0.25">
      <c r="A694" s="202"/>
      <c r="C694" s="154"/>
      <c r="F694" s="200"/>
      <c r="H694" s="200"/>
      <c r="I694" s="200"/>
      <c r="J694" s="213"/>
      <c r="K694" s="213"/>
      <c r="L694" s="200"/>
      <c r="M694" s="200"/>
      <c r="N694" s="213"/>
      <c r="O694" s="213"/>
      <c r="P694" s="200"/>
      <c r="Q694" s="200"/>
      <c r="R694" s="200"/>
      <c r="T694" s="154"/>
      <c r="V694" s="200"/>
      <c r="Y694" s="200"/>
      <c r="Z694" s="213"/>
      <c r="AA694" s="200"/>
      <c r="AB694" s="200"/>
      <c r="AC694" s="213"/>
      <c r="AD694" s="213"/>
      <c r="AE694" s="200"/>
      <c r="AF694" s="200"/>
      <c r="AG694" s="209"/>
      <c r="AH694" s="201"/>
      <c r="AI694" s="200"/>
      <c r="AJ694" s="200"/>
      <c r="AK694" s="209"/>
      <c r="AL694" s="200"/>
      <c r="AM694" s="210"/>
      <c r="AN694" s="210"/>
    </row>
    <row r="695" spans="1:40" x14ac:dyDescent="0.25">
      <c r="F695" s="200"/>
      <c r="H695" s="200"/>
      <c r="I695" s="200"/>
      <c r="J695" s="213"/>
      <c r="K695" s="213"/>
      <c r="L695" s="200"/>
      <c r="M695" s="200"/>
      <c r="N695" s="213"/>
      <c r="O695" s="213"/>
      <c r="P695" s="200"/>
      <c r="Q695" s="200"/>
      <c r="R695" s="200"/>
      <c r="V695" s="200"/>
      <c r="Y695" s="200"/>
      <c r="Z695" s="213"/>
      <c r="AA695" s="200"/>
      <c r="AB695" s="200"/>
      <c r="AC695" s="213"/>
      <c r="AD695" s="213"/>
      <c r="AG695" s="209"/>
      <c r="AH695" s="201"/>
      <c r="AI695" s="200"/>
      <c r="AJ695" s="200"/>
      <c r="AK695" s="209"/>
      <c r="AL695" s="200"/>
      <c r="AM695" s="210"/>
      <c r="AN695" s="210"/>
    </row>
    <row r="696" spans="1:40" x14ac:dyDescent="0.25">
      <c r="A696" s="202"/>
      <c r="D696" s="154"/>
      <c r="E696" s="154"/>
      <c r="F696" s="200"/>
      <c r="H696" s="200"/>
      <c r="I696" s="200"/>
      <c r="J696" s="213"/>
      <c r="K696" s="213"/>
      <c r="L696" s="252"/>
      <c r="M696" s="252"/>
      <c r="N696" s="213"/>
      <c r="O696" s="213"/>
      <c r="P696" s="200"/>
      <c r="Q696" s="200"/>
      <c r="R696" s="200"/>
      <c r="U696" s="154"/>
      <c r="V696" s="200"/>
      <c r="Y696" s="200"/>
      <c r="Z696" s="213"/>
      <c r="AA696" s="252"/>
      <c r="AB696" s="252"/>
      <c r="AC696" s="213"/>
      <c r="AD696" s="213"/>
      <c r="AE696" s="200"/>
      <c r="AF696" s="200"/>
      <c r="AG696" s="209"/>
      <c r="AH696" s="201"/>
      <c r="AI696" s="200"/>
      <c r="AJ696" s="200"/>
      <c r="AK696" s="209"/>
      <c r="AL696" s="200"/>
      <c r="AM696" s="210"/>
      <c r="AN696" s="210"/>
    </row>
    <row r="697" spans="1:40" x14ac:dyDescent="0.25">
      <c r="A697" s="202"/>
      <c r="D697" s="154"/>
      <c r="E697" s="154"/>
      <c r="F697" s="200"/>
      <c r="H697" s="200"/>
      <c r="I697" s="200"/>
      <c r="J697" s="213"/>
      <c r="K697" s="213"/>
      <c r="L697" s="252"/>
      <c r="M697" s="252"/>
      <c r="N697" s="213"/>
      <c r="O697" s="213"/>
      <c r="P697" s="200"/>
      <c r="Q697" s="200"/>
      <c r="R697" s="200"/>
      <c r="U697" s="154"/>
      <c r="V697" s="200"/>
      <c r="Y697" s="200"/>
      <c r="Z697" s="213"/>
      <c r="AA697" s="252"/>
      <c r="AB697" s="252"/>
      <c r="AC697" s="213"/>
      <c r="AD697" s="213"/>
      <c r="AE697" s="200"/>
      <c r="AF697" s="200"/>
      <c r="AG697" s="209"/>
      <c r="AH697" s="201"/>
      <c r="AI697" s="200"/>
      <c r="AJ697" s="200"/>
      <c r="AK697" s="209"/>
      <c r="AL697" s="200"/>
      <c r="AM697" s="210"/>
      <c r="AN697" s="210"/>
    </row>
    <row r="698" spans="1:40" x14ac:dyDescent="0.25">
      <c r="A698" s="202"/>
      <c r="D698" s="154"/>
      <c r="E698" s="154"/>
      <c r="F698" s="200"/>
      <c r="H698" s="200"/>
      <c r="I698" s="200"/>
      <c r="J698" s="213"/>
      <c r="K698" s="213"/>
      <c r="L698" s="252"/>
      <c r="M698" s="252"/>
      <c r="N698" s="213"/>
      <c r="O698" s="213"/>
      <c r="P698" s="200"/>
      <c r="Q698" s="200"/>
      <c r="R698" s="200"/>
      <c r="U698" s="154"/>
      <c r="V698" s="200"/>
      <c r="Y698" s="200"/>
      <c r="Z698" s="213"/>
      <c r="AA698" s="252"/>
      <c r="AB698" s="252"/>
      <c r="AC698" s="213"/>
      <c r="AD698" s="213"/>
      <c r="AE698" s="200"/>
      <c r="AF698" s="200"/>
      <c r="AG698" s="209"/>
      <c r="AH698" s="201"/>
      <c r="AI698" s="200"/>
      <c r="AJ698" s="200"/>
      <c r="AK698" s="209"/>
      <c r="AL698" s="200"/>
      <c r="AM698" s="210"/>
      <c r="AN698" s="210"/>
    </row>
    <row r="699" spans="1:40" x14ac:dyDescent="0.25">
      <c r="F699" s="211"/>
      <c r="H699" s="211"/>
      <c r="I699" s="211"/>
      <c r="J699" s="305"/>
      <c r="K699" s="305"/>
      <c r="L699" s="211"/>
      <c r="M699" s="211"/>
      <c r="N699" s="211"/>
      <c r="O699" s="211"/>
      <c r="P699" s="211"/>
      <c r="Q699" s="211"/>
      <c r="R699" s="211"/>
      <c r="V699" s="211"/>
      <c r="Y699" s="211"/>
      <c r="Z699" s="305"/>
      <c r="AA699" s="211"/>
      <c r="AB699" s="211"/>
      <c r="AC699" s="211"/>
      <c r="AD699" s="211"/>
      <c r="AE699" s="211"/>
      <c r="AF699" s="211"/>
      <c r="AI699" s="211"/>
      <c r="AJ699" s="211"/>
      <c r="AK699" s="212"/>
      <c r="AL699" s="211"/>
      <c r="AM699" s="210"/>
      <c r="AN699" s="210"/>
    </row>
    <row r="700" spans="1:40" x14ac:dyDescent="0.25">
      <c r="A700" s="202"/>
      <c r="C700" s="154"/>
      <c r="F700" s="200"/>
      <c r="H700" s="200"/>
      <c r="I700" s="200"/>
      <c r="J700" s="213"/>
      <c r="K700" s="213"/>
      <c r="L700" s="200"/>
      <c r="M700" s="200"/>
      <c r="N700" s="213"/>
      <c r="O700" s="213"/>
      <c r="P700" s="200"/>
      <c r="Q700" s="200"/>
      <c r="R700" s="200"/>
      <c r="T700" s="154"/>
      <c r="V700" s="200"/>
      <c r="Y700" s="200"/>
      <c r="Z700" s="213"/>
      <c r="AA700" s="200"/>
      <c r="AB700" s="200"/>
      <c r="AC700" s="213"/>
      <c r="AD700" s="213"/>
      <c r="AE700" s="200"/>
      <c r="AF700" s="200"/>
      <c r="AG700" s="209"/>
      <c r="AH700" s="201"/>
      <c r="AI700" s="200"/>
      <c r="AJ700" s="200"/>
      <c r="AK700" s="209"/>
      <c r="AL700" s="200"/>
      <c r="AM700" s="210"/>
      <c r="AN700" s="210"/>
    </row>
    <row r="701" spans="1:40" x14ac:dyDescent="0.25">
      <c r="F701" s="200"/>
      <c r="H701" s="200"/>
      <c r="I701" s="200"/>
      <c r="J701" s="213"/>
      <c r="K701" s="213"/>
      <c r="L701" s="200"/>
      <c r="M701" s="200"/>
      <c r="N701" s="213"/>
      <c r="O701" s="213"/>
      <c r="P701" s="200"/>
      <c r="Q701" s="200"/>
      <c r="R701" s="200"/>
      <c r="V701" s="200"/>
      <c r="Y701" s="200"/>
      <c r="Z701" s="213"/>
      <c r="AA701" s="200"/>
      <c r="AB701" s="200"/>
      <c r="AC701" s="213"/>
      <c r="AD701" s="213"/>
      <c r="AG701" s="209"/>
      <c r="AH701" s="201"/>
      <c r="AI701" s="200"/>
      <c r="AJ701" s="200"/>
      <c r="AK701" s="209"/>
      <c r="AL701" s="200"/>
      <c r="AM701" s="210"/>
      <c r="AN701" s="210"/>
    </row>
    <row r="702" spans="1:40" x14ac:dyDescent="0.25">
      <c r="A702" s="202"/>
      <c r="C702" s="154"/>
      <c r="F702" s="200"/>
      <c r="H702" s="200"/>
      <c r="I702" s="200"/>
      <c r="J702" s="213"/>
      <c r="K702" s="213"/>
      <c r="L702" s="200"/>
      <c r="M702" s="200"/>
      <c r="N702" s="213"/>
      <c r="O702" s="213"/>
      <c r="P702" s="200"/>
      <c r="Q702" s="200"/>
      <c r="R702" s="200"/>
      <c r="T702" s="154"/>
      <c r="V702" s="200"/>
      <c r="Y702" s="200"/>
      <c r="Z702" s="213"/>
      <c r="AA702" s="200"/>
      <c r="AB702" s="200"/>
      <c r="AC702" s="213"/>
      <c r="AD702" s="213"/>
      <c r="AE702" s="200"/>
      <c r="AF702" s="200"/>
      <c r="AG702" s="209"/>
      <c r="AH702" s="201"/>
      <c r="AI702" s="200"/>
      <c r="AJ702" s="200"/>
      <c r="AK702" s="209"/>
      <c r="AL702" s="200"/>
      <c r="AM702" s="210"/>
      <c r="AN702" s="210"/>
    </row>
    <row r="703" spans="1:40" x14ac:dyDescent="0.25">
      <c r="F703" s="211"/>
      <c r="H703" s="211"/>
      <c r="I703" s="211"/>
      <c r="J703" s="305"/>
      <c r="K703" s="305"/>
      <c r="L703" s="211"/>
      <c r="M703" s="211"/>
      <c r="N703" s="211"/>
      <c r="O703" s="211"/>
      <c r="P703" s="211"/>
      <c r="Q703" s="211"/>
      <c r="R703" s="211"/>
      <c r="V703" s="211"/>
      <c r="Y703" s="211"/>
      <c r="Z703" s="305"/>
      <c r="AA703" s="211"/>
      <c r="AB703" s="211"/>
      <c r="AC703" s="211"/>
      <c r="AD703" s="211"/>
      <c r="AE703" s="211"/>
      <c r="AF703" s="211"/>
      <c r="AI703" s="211"/>
      <c r="AJ703" s="211"/>
      <c r="AK703" s="212"/>
      <c r="AL703" s="211"/>
    </row>
    <row r="705" spans="1:20" x14ac:dyDescent="0.25">
      <c r="C705" s="154"/>
      <c r="L705" s="200"/>
      <c r="M705" s="200"/>
      <c r="P705" s="200"/>
      <c r="Q705" s="200"/>
      <c r="R705" s="200"/>
      <c r="T705" s="154"/>
    </row>
    <row r="706" spans="1:20" x14ac:dyDescent="0.25">
      <c r="A706" s="154"/>
      <c r="L706" s="200"/>
      <c r="M706" s="200"/>
      <c r="P706" s="200"/>
      <c r="Q706" s="200"/>
      <c r="R706" s="200"/>
    </row>
    <row r="707" spans="1:20" x14ac:dyDescent="0.25">
      <c r="L707" s="200"/>
      <c r="M707" s="200"/>
      <c r="P707" s="200"/>
      <c r="Q707" s="200"/>
      <c r="R707" s="200"/>
    </row>
    <row r="708" spans="1:20" x14ac:dyDescent="0.25">
      <c r="L708" s="200"/>
      <c r="M708" s="200"/>
      <c r="P708" s="200"/>
      <c r="Q708" s="200"/>
      <c r="R708" s="200"/>
    </row>
    <row r="709" spans="1:20" x14ac:dyDescent="0.25">
      <c r="L709" s="200"/>
      <c r="M709" s="200"/>
      <c r="P709" s="200"/>
      <c r="Q709" s="200"/>
      <c r="R709" s="200"/>
    </row>
    <row r="710" spans="1:20" x14ac:dyDescent="0.25">
      <c r="L710" s="200"/>
      <c r="M710" s="200"/>
      <c r="P710" s="200"/>
      <c r="Q710" s="200"/>
      <c r="R710" s="200"/>
    </row>
    <row r="711" spans="1:20" x14ac:dyDescent="0.25">
      <c r="L711" s="200"/>
      <c r="M711" s="200"/>
      <c r="P711" s="200"/>
      <c r="Q711" s="200"/>
      <c r="R711" s="200"/>
    </row>
    <row r="744" spans="49:49" x14ac:dyDescent="0.25">
      <c r="AW744" s="200"/>
    </row>
    <row r="745" spans="49:49" x14ac:dyDescent="0.25">
      <c r="AW745" s="200"/>
    </row>
    <row r="746" spans="49:49" x14ac:dyDescent="0.25">
      <c r="AW746" s="200"/>
    </row>
    <row r="747" spans="49:49" x14ac:dyDescent="0.25">
      <c r="AW747" s="200"/>
    </row>
    <row r="748" spans="49:49" x14ac:dyDescent="0.25">
      <c r="AW748" s="200"/>
    </row>
    <row r="749" spans="49:49" x14ac:dyDescent="0.25">
      <c r="AW749" s="200"/>
    </row>
    <row r="752" spans="49:49" x14ac:dyDescent="0.25">
      <c r="AW752" s="200"/>
    </row>
    <row r="753" spans="49:49" x14ac:dyDescent="0.25">
      <c r="AW753" s="200"/>
    </row>
    <row r="754" spans="49:49" x14ac:dyDescent="0.25">
      <c r="AW754" s="200"/>
    </row>
    <row r="755" spans="49:49" x14ac:dyDescent="0.25">
      <c r="AW755" s="200"/>
    </row>
    <row r="756" spans="49:49" x14ac:dyDescent="0.25">
      <c r="AW756" s="200"/>
    </row>
    <row r="757" spans="49:49" x14ac:dyDescent="0.25">
      <c r="AW757" s="200"/>
    </row>
    <row r="758" spans="49:49" x14ac:dyDescent="0.25">
      <c r="AW758" s="200"/>
    </row>
    <row r="759" spans="49:49" x14ac:dyDescent="0.25">
      <c r="AW759" s="200"/>
    </row>
    <row r="762" spans="49:49" x14ac:dyDescent="0.25">
      <c r="AW762" s="200"/>
    </row>
    <row r="763" spans="49:49" x14ac:dyDescent="0.25">
      <c r="AW763" s="200"/>
    </row>
    <row r="766" spans="49:49" x14ac:dyDescent="0.25">
      <c r="AW766" s="200"/>
    </row>
    <row r="767" spans="49:49" x14ac:dyDescent="0.25">
      <c r="AW767" s="200"/>
    </row>
    <row r="768" spans="49:49" x14ac:dyDescent="0.25">
      <c r="AW768" s="200"/>
    </row>
    <row r="769" spans="45:57" x14ac:dyDescent="0.25">
      <c r="AW769" s="200"/>
    </row>
    <row r="775" spans="45:57" x14ac:dyDescent="0.25">
      <c r="AY775" s="202"/>
    </row>
    <row r="776" spans="45:57" x14ac:dyDescent="0.25">
      <c r="AY776" s="202"/>
    </row>
    <row r="777" spans="45:57" x14ac:dyDescent="0.25">
      <c r="AY777" s="154"/>
    </row>
    <row r="778" spans="45:57" x14ac:dyDescent="0.25">
      <c r="AY778" s="154"/>
    </row>
    <row r="779" spans="45:57" x14ac:dyDescent="0.25">
      <c r="AS779" s="202"/>
      <c r="BD779" s="154"/>
    </row>
    <row r="780" spans="45:57" x14ac:dyDescent="0.25">
      <c r="AS780" s="202"/>
      <c r="BD780" s="154"/>
    </row>
    <row r="781" spans="45:57" x14ac:dyDescent="0.25">
      <c r="AS781" s="154"/>
      <c r="BD781" s="154"/>
    </row>
    <row r="782" spans="45:57" x14ac:dyDescent="0.25">
      <c r="BD782" s="202"/>
    </row>
    <row r="783" spans="45:57" x14ac:dyDescent="0.25"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</row>
    <row r="784" spans="45:57" x14ac:dyDescent="0.25">
      <c r="AX784" s="154"/>
    </row>
    <row r="785" spans="45:69" x14ac:dyDescent="0.25">
      <c r="AX785" s="102"/>
      <c r="AY785" s="102"/>
      <c r="AZ785" s="102"/>
      <c r="BA785" s="102"/>
      <c r="BC785" s="103"/>
      <c r="BD785" s="103"/>
    </row>
    <row r="786" spans="45:69" x14ac:dyDescent="0.25">
      <c r="AV786" s="103"/>
      <c r="AW786" s="103"/>
      <c r="AZ786" s="103"/>
      <c r="BA786" s="103"/>
      <c r="BC786" s="103"/>
      <c r="BD786" s="103"/>
      <c r="BE786" s="103"/>
      <c r="BG786" s="102"/>
      <c r="BH786" s="154"/>
      <c r="BK786" s="102"/>
      <c r="BM786" s="102"/>
      <c r="BN786" s="154"/>
      <c r="BQ786" s="102"/>
    </row>
    <row r="787" spans="45:69" x14ac:dyDescent="0.25"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H787" s="103"/>
      <c r="BI787" s="103"/>
      <c r="BJ787" s="103"/>
      <c r="BN787" s="103"/>
      <c r="BO787" s="103"/>
      <c r="BP787" s="103"/>
    </row>
    <row r="788" spans="45:69" x14ac:dyDescent="0.25">
      <c r="AS788" s="103"/>
      <c r="AU788" s="154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G788" s="103"/>
      <c r="BH788" s="103"/>
      <c r="BI788" s="103"/>
      <c r="BJ788" s="103"/>
      <c r="BK788" s="103"/>
      <c r="BM788" s="103"/>
      <c r="BN788" s="103"/>
      <c r="BO788" s="103"/>
      <c r="BP788" s="103"/>
      <c r="BQ788" s="103"/>
    </row>
    <row r="789" spans="45:69" x14ac:dyDescent="0.25">
      <c r="AS789" s="103"/>
      <c r="AU789" s="154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G789" s="103"/>
      <c r="BH789" s="103"/>
      <c r="BI789" s="103"/>
      <c r="BJ789" s="103"/>
      <c r="BK789" s="103"/>
      <c r="BM789" s="103"/>
      <c r="BN789" s="103"/>
      <c r="BO789" s="103"/>
      <c r="BP789" s="103"/>
      <c r="BQ789" s="103"/>
    </row>
    <row r="790" spans="45:69" x14ac:dyDescent="0.25"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G790" s="102"/>
      <c r="BH790" s="102"/>
      <c r="BI790" s="102"/>
      <c r="BJ790" s="102"/>
      <c r="BK790" s="102"/>
      <c r="BM790" s="102"/>
      <c r="BN790" s="102"/>
      <c r="BO790" s="102"/>
      <c r="BP790" s="102"/>
      <c r="BQ790" s="102"/>
    </row>
    <row r="791" spans="45:69" x14ac:dyDescent="0.25"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</row>
    <row r="792" spans="45:69" x14ac:dyDescent="0.25">
      <c r="AS792" s="202"/>
      <c r="AU792" s="154"/>
      <c r="AV792" s="103"/>
      <c r="AY792" s="213"/>
    </row>
    <row r="793" spans="45:69" x14ac:dyDescent="0.25">
      <c r="AS793" s="202"/>
      <c r="AV793" s="103"/>
      <c r="AW793" s="200"/>
      <c r="AX793" s="334"/>
      <c r="AY793" s="334"/>
      <c r="AZ793" s="334"/>
      <c r="BA793" s="210"/>
      <c r="BB793" s="334"/>
      <c r="BC793" s="213"/>
      <c r="BD793" s="213"/>
      <c r="BE793" s="210"/>
      <c r="BG793" s="334"/>
      <c r="BH793" s="334"/>
      <c r="BI793" s="334"/>
      <c r="BJ793" s="334"/>
      <c r="BK793" s="334"/>
      <c r="BM793" s="334"/>
      <c r="BN793" s="334"/>
      <c r="BO793" s="334"/>
      <c r="BP793" s="334"/>
      <c r="BQ793" s="334"/>
    </row>
    <row r="794" spans="45:69" x14ac:dyDescent="0.25">
      <c r="AS794" s="202"/>
      <c r="AV794" s="103"/>
      <c r="AW794" s="200"/>
      <c r="AX794" s="334"/>
      <c r="AY794" s="334"/>
      <c r="AZ794" s="334"/>
      <c r="BA794" s="210"/>
      <c r="BB794" s="334"/>
      <c r="BC794" s="213"/>
      <c r="BD794" s="213"/>
      <c r="BE794" s="210"/>
      <c r="BG794" s="334"/>
      <c r="BH794" s="334"/>
      <c r="BI794" s="334"/>
      <c r="BJ794" s="334"/>
      <c r="BK794" s="334"/>
      <c r="BM794" s="334"/>
      <c r="BN794" s="334"/>
      <c r="BO794" s="334"/>
      <c r="BP794" s="334"/>
      <c r="BQ794" s="334"/>
    </row>
    <row r="795" spans="45:69" x14ac:dyDescent="0.25">
      <c r="AS795" s="202"/>
      <c r="AV795" s="103"/>
      <c r="AW795" s="200"/>
      <c r="AX795" s="334"/>
      <c r="AY795" s="334"/>
      <c r="AZ795" s="334"/>
      <c r="BA795" s="210"/>
      <c r="BB795" s="334"/>
      <c r="BC795" s="213"/>
      <c r="BD795" s="213"/>
      <c r="BE795" s="210"/>
      <c r="BG795" s="334"/>
      <c r="BH795" s="334"/>
      <c r="BI795" s="334"/>
      <c r="BJ795" s="334"/>
      <c r="BK795" s="334"/>
      <c r="BM795" s="334"/>
      <c r="BN795" s="334"/>
      <c r="BO795" s="334"/>
      <c r="BP795" s="334"/>
      <c r="BQ795" s="334"/>
    </row>
    <row r="796" spans="45:69" x14ac:dyDescent="0.25">
      <c r="AS796" s="202"/>
      <c r="AV796" s="103"/>
      <c r="AW796" s="200"/>
      <c r="AX796" s="334"/>
      <c r="AY796" s="334"/>
      <c r="AZ796" s="334"/>
      <c r="BA796" s="210"/>
      <c r="BB796" s="334"/>
      <c r="BC796" s="213"/>
      <c r="BD796" s="213"/>
      <c r="BE796" s="210"/>
      <c r="BG796" s="334"/>
      <c r="BH796" s="334"/>
      <c r="BI796" s="334"/>
      <c r="BJ796" s="334"/>
      <c r="BK796" s="334"/>
      <c r="BM796" s="334"/>
      <c r="BN796" s="334"/>
      <c r="BO796" s="334"/>
      <c r="BP796" s="334"/>
      <c r="BQ796" s="334"/>
    </row>
    <row r="797" spans="45:69" x14ac:dyDescent="0.25">
      <c r="AS797" s="202"/>
      <c r="AV797" s="103"/>
      <c r="AW797" s="200"/>
      <c r="AX797" s="334"/>
      <c r="AY797" s="334"/>
      <c r="AZ797" s="334"/>
      <c r="BA797" s="210"/>
      <c r="BB797" s="334"/>
      <c r="BC797" s="213"/>
      <c r="BD797" s="213"/>
      <c r="BE797" s="210"/>
      <c r="BG797" s="334"/>
      <c r="BH797" s="334"/>
      <c r="BI797" s="334"/>
      <c r="BJ797" s="334"/>
      <c r="BK797" s="334"/>
      <c r="BM797" s="334"/>
      <c r="BN797" s="334"/>
      <c r="BO797" s="334"/>
      <c r="BP797" s="334"/>
      <c r="BQ797" s="334"/>
    </row>
    <row r="798" spans="45:69" x14ac:dyDescent="0.25">
      <c r="AS798" s="202"/>
      <c r="AV798" s="103"/>
      <c r="AW798" s="200"/>
      <c r="AX798" s="334"/>
      <c r="AY798" s="334"/>
      <c r="AZ798" s="334"/>
      <c r="BA798" s="210"/>
      <c r="BB798" s="334"/>
      <c r="BC798" s="213"/>
      <c r="BD798" s="213"/>
      <c r="BE798" s="210"/>
      <c r="BG798" s="334"/>
      <c r="BH798" s="334"/>
      <c r="BI798" s="334"/>
      <c r="BJ798" s="334"/>
      <c r="BK798" s="334"/>
      <c r="BM798" s="334"/>
      <c r="BN798" s="334"/>
      <c r="BO798" s="334"/>
      <c r="BP798" s="334"/>
      <c r="BQ798" s="334"/>
    </row>
    <row r="799" spans="45:69" x14ac:dyDescent="0.25">
      <c r="AS799" s="202"/>
      <c r="AV799" s="103"/>
      <c r="AW799" s="200"/>
      <c r="AX799" s="334"/>
      <c r="AY799" s="334"/>
      <c r="AZ799" s="334"/>
      <c r="BA799" s="210"/>
      <c r="BB799" s="334"/>
      <c r="BC799" s="213"/>
      <c r="BD799" s="213"/>
      <c r="BE799" s="210"/>
      <c r="BG799" s="334"/>
      <c r="BH799" s="334"/>
      <c r="BI799" s="334"/>
      <c r="BJ799" s="334"/>
      <c r="BK799" s="334"/>
      <c r="BM799" s="334"/>
      <c r="BN799" s="334"/>
      <c r="BO799" s="334"/>
      <c r="BP799" s="334"/>
      <c r="BQ799" s="334"/>
    </row>
    <row r="800" spans="45:69" x14ac:dyDescent="0.25">
      <c r="AY800" s="213"/>
      <c r="AZ800" s="334"/>
      <c r="BA800" s="210"/>
      <c r="BB800" s="334"/>
      <c r="BC800" s="213"/>
      <c r="BD800" s="213"/>
      <c r="BE800" s="210"/>
      <c r="BK800" s="334"/>
      <c r="BQ800" s="334"/>
    </row>
    <row r="801" spans="45:69" x14ac:dyDescent="0.25">
      <c r="AS801" s="202"/>
      <c r="AV801" s="103"/>
      <c r="AY801" s="213"/>
      <c r="AZ801" s="334"/>
      <c r="BA801" s="210"/>
      <c r="BB801" s="334"/>
      <c r="BC801" s="213"/>
      <c r="BD801" s="213"/>
      <c r="BE801" s="210"/>
      <c r="BK801" s="334"/>
      <c r="BQ801" s="334"/>
    </row>
    <row r="802" spans="45:69" x14ac:dyDescent="0.25">
      <c r="AS802" s="202"/>
      <c r="AV802" s="103"/>
      <c r="AW802" s="200"/>
      <c r="AX802" s="334"/>
      <c r="AY802" s="334"/>
      <c r="AZ802" s="334"/>
      <c r="BA802" s="210"/>
      <c r="BB802" s="334"/>
      <c r="BC802" s="213"/>
      <c r="BD802" s="213"/>
      <c r="BE802" s="210"/>
      <c r="BG802" s="334"/>
      <c r="BH802" s="334"/>
      <c r="BI802" s="334"/>
      <c r="BJ802" s="334"/>
      <c r="BK802" s="334"/>
      <c r="BM802" s="334"/>
      <c r="BN802" s="334"/>
      <c r="BO802" s="334"/>
      <c r="BP802" s="334"/>
      <c r="BQ802" s="334"/>
    </row>
    <row r="803" spans="45:69" x14ac:dyDescent="0.25">
      <c r="AS803" s="202"/>
      <c r="AV803" s="103"/>
      <c r="AW803" s="200"/>
      <c r="AX803" s="334"/>
      <c r="AY803" s="334"/>
      <c r="AZ803" s="334"/>
      <c r="BA803" s="210"/>
      <c r="BB803" s="334"/>
      <c r="BC803" s="213"/>
      <c r="BD803" s="213"/>
      <c r="BE803" s="210"/>
      <c r="BG803" s="334"/>
      <c r="BH803" s="334"/>
      <c r="BI803" s="334"/>
      <c r="BJ803" s="334"/>
      <c r="BK803" s="334"/>
      <c r="BM803" s="334"/>
      <c r="BN803" s="334"/>
      <c r="BO803" s="334"/>
      <c r="BP803" s="334"/>
      <c r="BQ803" s="334"/>
    </row>
    <row r="804" spans="45:69" x14ac:dyDescent="0.25">
      <c r="AS804" s="202"/>
      <c r="AV804" s="103"/>
      <c r="AW804" s="200"/>
      <c r="AX804" s="334"/>
      <c r="AY804" s="334"/>
      <c r="AZ804" s="334"/>
      <c r="BA804" s="210"/>
      <c r="BB804" s="334"/>
      <c r="BC804" s="213"/>
      <c r="BD804" s="213"/>
      <c r="BE804" s="210"/>
      <c r="BG804" s="334"/>
      <c r="BH804" s="334"/>
      <c r="BI804" s="334"/>
      <c r="BJ804" s="334"/>
      <c r="BK804" s="334"/>
      <c r="BM804" s="334"/>
      <c r="BN804" s="334"/>
      <c r="BO804" s="334"/>
      <c r="BP804" s="334"/>
      <c r="BQ804" s="334"/>
    </row>
    <row r="805" spans="45:69" x14ac:dyDescent="0.25">
      <c r="AS805" s="202"/>
      <c r="AV805" s="103"/>
      <c r="AW805" s="200"/>
      <c r="AX805" s="334"/>
      <c r="AY805" s="334"/>
      <c r="AZ805" s="334"/>
      <c r="BA805" s="210"/>
      <c r="BB805" s="334"/>
      <c r="BC805" s="213"/>
      <c r="BD805" s="213"/>
      <c r="BE805" s="210"/>
      <c r="BG805" s="334"/>
      <c r="BH805" s="334"/>
      <c r="BI805" s="334"/>
      <c r="BJ805" s="334"/>
      <c r="BK805" s="334"/>
      <c r="BM805" s="334"/>
      <c r="BN805" s="334"/>
      <c r="BO805" s="334"/>
      <c r="BP805" s="334"/>
      <c r="BQ805" s="334"/>
    </row>
    <row r="806" spans="45:69" x14ac:dyDescent="0.25">
      <c r="AS806" s="202"/>
      <c r="AV806" s="103"/>
      <c r="AW806" s="200"/>
      <c r="AX806" s="334"/>
      <c r="AY806" s="334"/>
      <c r="AZ806" s="334"/>
      <c r="BA806" s="210"/>
      <c r="BB806" s="334"/>
      <c r="BC806" s="213"/>
      <c r="BD806" s="213"/>
      <c r="BE806" s="210"/>
      <c r="BG806" s="334"/>
      <c r="BH806" s="334"/>
      <c r="BI806" s="334"/>
      <c r="BJ806" s="334"/>
      <c r="BK806" s="334"/>
      <c r="BM806" s="334"/>
      <c r="BN806" s="334"/>
      <c r="BO806" s="334"/>
      <c r="BP806" s="334"/>
      <c r="BQ806" s="334"/>
    </row>
    <row r="807" spans="45:69" x14ac:dyDescent="0.25">
      <c r="AS807" s="202"/>
      <c r="AV807" s="103"/>
      <c r="AW807" s="200"/>
      <c r="AX807" s="334"/>
      <c r="AY807" s="334"/>
      <c r="AZ807" s="334"/>
      <c r="BA807" s="210"/>
      <c r="BB807" s="334"/>
      <c r="BC807" s="213"/>
      <c r="BD807" s="213"/>
      <c r="BE807" s="210"/>
      <c r="BG807" s="334"/>
      <c r="BH807" s="334"/>
      <c r="BI807" s="334"/>
      <c r="BJ807" s="334"/>
      <c r="BK807" s="334"/>
      <c r="BM807" s="334"/>
      <c r="BN807" s="334"/>
      <c r="BO807" s="334"/>
      <c r="BP807" s="334"/>
      <c r="BQ807" s="334"/>
    </row>
    <row r="808" spans="45:69" x14ac:dyDescent="0.25">
      <c r="AS808" s="202"/>
      <c r="AV808" s="103"/>
      <c r="AW808" s="200"/>
      <c r="AX808" s="334"/>
      <c r="AY808" s="334"/>
      <c r="AZ808" s="334"/>
      <c r="BA808" s="210"/>
      <c r="BB808" s="334"/>
      <c r="BC808" s="213"/>
      <c r="BD808" s="213"/>
      <c r="BE808" s="210"/>
      <c r="BG808" s="334"/>
      <c r="BH808" s="334"/>
      <c r="BI808" s="334"/>
      <c r="BJ808" s="334"/>
      <c r="BK808" s="334"/>
      <c r="BM808" s="334"/>
      <c r="BN808" s="334"/>
      <c r="BO808" s="334"/>
      <c r="BP808" s="334"/>
      <c r="BQ808" s="334"/>
    </row>
    <row r="809" spans="45:69" x14ac:dyDescent="0.25">
      <c r="AS809" s="202"/>
      <c r="AV809" s="103"/>
      <c r="AW809" s="200"/>
      <c r="AX809" s="334"/>
      <c r="AY809" s="334"/>
      <c r="AZ809" s="334"/>
      <c r="BA809" s="210"/>
      <c r="BB809" s="334"/>
      <c r="BC809" s="213"/>
      <c r="BD809" s="213"/>
      <c r="BE809" s="210"/>
      <c r="BG809" s="334"/>
      <c r="BH809" s="334"/>
      <c r="BI809" s="334"/>
      <c r="BJ809" s="334"/>
      <c r="BK809" s="334"/>
      <c r="BM809" s="334"/>
      <c r="BN809" s="334"/>
      <c r="BO809" s="334"/>
      <c r="BP809" s="334"/>
      <c r="BQ809" s="334"/>
    </row>
    <row r="810" spans="45:69" x14ac:dyDescent="0.25">
      <c r="AY810" s="213"/>
      <c r="AZ810" s="334"/>
      <c r="BA810" s="210"/>
      <c r="BB810" s="334"/>
      <c r="BC810" s="213"/>
      <c r="BD810" s="213"/>
      <c r="BE810" s="210"/>
      <c r="BK810" s="334"/>
      <c r="BQ810" s="334"/>
    </row>
    <row r="811" spans="45:69" x14ac:dyDescent="0.25">
      <c r="AU811" s="154"/>
      <c r="AZ811" s="334"/>
      <c r="BB811" s="334"/>
      <c r="BG811" s="334"/>
      <c r="BH811" s="334"/>
      <c r="BJ811" s="334"/>
      <c r="BK811" s="334"/>
    </row>
    <row r="812" spans="45:69" x14ac:dyDescent="0.25">
      <c r="AZ812" s="334"/>
      <c r="BB812" s="334"/>
    </row>
    <row r="813" spans="45:69" x14ac:dyDescent="0.25">
      <c r="AS813" s="154"/>
      <c r="AZ813" s="334"/>
      <c r="BB813" s="334"/>
      <c r="BI813" s="334"/>
    </row>
    <row r="814" spans="45:69" x14ac:dyDescent="0.25">
      <c r="AY814" s="202"/>
      <c r="AZ814" s="334"/>
      <c r="BB814" s="334"/>
    </row>
    <row r="815" spans="45:69" x14ac:dyDescent="0.25">
      <c r="AY815" s="334"/>
      <c r="BB815" s="334"/>
    </row>
    <row r="816" spans="45:69" x14ac:dyDescent="0.25">
      <c r="AY816" s="154"/>
      <c r="AZ816" s="334"/>
      <c r="BB816" s="334"/>
    </row>
    <row r="817" spans="45:75" x14ac:dyDescent="0.25">
      <c r="AY817" s="154"/>
      <c r="AZ817" s="334"/>
      <c r="BB817" s="334"/>
    </row>
    <row r="818" spans="45:75" x14ac:dyDescent="0.25">
      <c r="AS818" s="202"/>
      <c r="AZ818" s="334"/>
      <c r="BB818" s="334"/>
      <c r="BD818" s="154"/>
    </row>
    <row r="819" spans="45:75" x14ac:dyDescent="0.25">
      <c r="AS819" s="202"/>
      <c r="AZ819" s="334"/>
      <c r="BB819" s="334"/>
      <c r="BD819" s="154"/>
    </row>
    <row r="820" spans="45:75" x14ac:dyDescent="0.25">
      <c r="AS820" s="154"/>
      <c r="AZ820" s="334"/>
      <c r="BB820" s="334"/>
      <c r="BD820" s="154"/>
    </row>
    <row r="821" spans="45:75" x14ac:dyDescent="0.25">
      <c r="AZ821" s="334"/>
      <c r="BB821" s="334"/>
      <c r="BD821" s="202"/>
    </row>
    <row r="822" spans="45:75" x14ac:dyDescent="0.25">
      <c r="AS822" s="102"/>
      <c r="AT822" s="102"/>
      <c r="AU822" s="102"/>
      <c r="AV822" s="102"/>
      <c r="AW822" s="102"/>
      <c r="AX822" s="102"/>
      <c r="AY822" s="102"/>
      <c r="AZ822" s="335"/>
      <c r="BA822" s="102"/>
      <c r="BB822" s="335"/>
      <c r="BC822" s="102"/>
      <c r="BD822" s="102"/>
      <c r="BE822" s="102"/>
    </row>
    <row r="823" spans="45:75" x14ac:dyDescent="0.25">
      <c r="AX823" s="154"/>
      <c r="AZ823" s="334"/>
      <c r="BB823" s="334"/>
    </row>
    <row r="824" spans="45:75" x14ac:dyDescent="0.25">
      <c r="AX824" s="102"/>
      <c r="AY824" s="102"/>
      <c r="AZ824" s="335"/>
      <c r="BA824" s="102"/>
      <c r="BB824" s="334"/>
      <c r="BC824" s="103"/>
      <c r="BD824" s="103"/>
    </row>
    <row r="825" spans="45:75" x14ac:dyDescent="0.25">
      <c r="AV825" s="103"/>
      <c r="AW825" s="103"/>
      <c r="AZ825" s="336"/>
      <c r="BA825" s="103"/>
      <c r="BB825" s="334"/>
      <c r="BC825" s="103"/>
      <c r="BD825" s="103"/>
      <c r="BE825" s="103"/>
      <c r="BG825" s="102"/>
      <c r="BH825" s="102"/>
      <c r="BI825" s="154"/>
      <c r="BM825" s="102"/>
      <c r="BN825" s="102"/>
      <c r="BP825" s="102"/>
      <c r="BQ825" s="102"/>
      <c r="BR825" s="154"/>
      <c r="BV825" s="102"/>
      <c r="BW825" s="102"/>
    </row>
    <row r="826" spans="45:75" x14ac:dyDescent="0.25">
      <c r="AV826" s="103"/>
      <c r="AW826" s="103"/>
      <c r="AX826" s="103"/>
      <c r="AY826" s="103"/>
      <c r="AZ826" s="336"/>
      <c r="BA826" s="103"/>
      <c r="BB826" s="336"/>
      <c r="BC826" s="103"/>
      <c r="BD826" s="103"/>
      <c r="BE826" s="103"/>
      <c r="BH826" s="103"/>
      <c r="BI826" s="103"/>
      <c r="BJ826" s="103"/>
      <c r="BK826" s="103"/>
      <c r="BL826" s="103"/>
      <c r="BM826" s="103"/>
      <c r="BQ826" s="103"/>
      <c r="BR826" s="103"/>
      <c r="BS826" s="103"/>
      <c r="BT826" s="103"/>
      <c r="BU826" s="103"/>
      <c r="BV826" s="103"/>
    </row>
    <row r="827" spans="45:75" x14ac:dyDescent="0.25">
      <c r="AS827" s="103"/>
      <c r="AU827" s="154"/>
      <c r="AV827" s="103"/>
      <c r="AW827" s="103"/>
      <c r="AX827" s="103"/>
      <c r="AY827" s="103"/>
      <c r="AZ827" s="336"/>
      <c r="BA827" s="103"/>
      <c r="BB827" s="336"/>
      <c r="BC827" s="103"/>
      <c r="BD827" s="103"/>
      <c r="BE827" s="103"/>
      <c r="BG827" s="103"/>
      <c r="BH827" s="103"/>
      <c r="BI827" s="103"/>
      <c r="BJ827" s="103"/>
      <c r="BK827" s="103"/>
      <c r="BL827" s="103"/>
      <c r="BM827" s="103"/>
      <c r="BN827" s="103"/>
      <c r="BP827" s="103"/>
      <c r="BQ827" s="103"/>
      <c r="BR827" s="103"/>
      <c r="BS827" s="103"/>
      <c r="BT827" s="103"/>
      <c r="BU827" s="103"/>
      <c r="BV827" s="103"/>
      <c r="BW827" s="103"/>
    </row>
    <row r="828" spans="45:75" x14ac:dyDescent="0.25">
      <c r="AS828" s="103"/>
      <c r="AU828" s="154"/>
      <c r="AV828" s="103"/>
      <c r="AW828" s="103"/>
      <c r="AX828" s="103"/>
      <c r="AY828" s="103"/>
      <c r="AZ828" s="336"/>
      <c r="BA828" s="103"/>
      <c r="BB828" s="336"/>
      <c r="BC828" s="103"/>
      <c r="BD828" s="103"/>
      <c r="BE828" s="103"/>
      <c r="BG828" s="103"/>
      <c r="BH828" s="103"/>
      <c r="BI828" s="103"/>
      <c r="BJ828" s="103"/>
      <c r="BK828" s="103"/>
      <c r="BL828" s="103"/>
      <c r="BM828" s="103"/>
      <c r="BN828" s="103"/>
      <c r="BP828" s="103"/>
      <c r="BQ828" s="103"/>
      <c r="BR828" s="103"/>
      <c r="BS828" s="103"/>
      <c r="BT828" s="103"/>
      <c r="BU828" s="103"/>
      <c r="BV828" s="103"/>
      <c r="BW828" s="103"/>
    </row>
    <row r="829" spans="45:75" x14ac:dyDescent="0.25">
      <c r="AS829" s="102"/>
      <c r="AT829" s="102"/>
      <c r="AU829" s="102"/>
      <c r="AV829" s="102"/>
      <c r="AW829" s="102"/>
      <c r="AX829" s="102"/>
      <c r="AY829" s="102"/>
      <c r="AZ829" s="335"/>
      <c r="BA829" s="102"/>
      <c r="BB829" s="335"/>
      <c r="BC829" s="102"/>
      <c r="BD829" s="102"/>
      <c r="BE829" s="102"/>
      <c r="BG829" s="102"/>
      <c r="BH829" s="102"/>
      <c r="BI829" s="102"/>
      <c r="BJ829" s="102"/>
      <c r="BK829" s="102"/>
      <c r="BL829" s="102"/>
      <c r="BM829" s="102"/>
      <c r="BN829" s="102"/>
      <c r="BP829" s="102"/>
      <c r="BQ829" s="102"/>
      <c r="BR829" s="102"/>
      <c r="BS829" s="102"/>
      <c r="BT829" s="102"/>
      <c r="BU829" s="102"/>
      <c r="BV829" s="102"/>
      <c r="BW829" s="102"/>
    </row>
    <row r="830" spans="45:75" x14ac:dyDescent="0.25">
      <c r="AV830" s="103"/>
      <c r="AW830" s="103"/>
      <c r="AX830" s="103"/>
      <c r="AY830" s="103"/>
      <c r="AZ830" s="336"/>
      <c r="BA830" s="103"/>
      <c r="BB830" s="336"/>
      <c r="BC830" s="103"/>
      <c r="BD830" s="103"/>
      <c r="BE830" s="103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  <c r="BT830" s="334"/>
      <c r="BU830" s="334"/>
      <c r="BV830" s="334"/>
      <c r="BW830" s="334"/>
    </row>
    <row r="831" spans="45:75" x14ac:dyDescent="0.25">
      <c r="AS831" s="202"/>
      <c r="AU831" s="154"/>
      <c r="AV831" s="202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  <c r="BT831" s="334"/>
      <c r="BU831" s="334"/>
      <c r="BV831" s="334"/>
      <c r="BW831" s="334"/>
    </row>
    <row r="832" spans="45:75" x14ac:dyDescent="0.25">
      <c r="AS832" s="202"/>
      <c r="AV832" s="202"/>
      <c r="AW832" s="200"/>
      <c r="AX832" s="334"/>
      <c r="AY832" s="334"/>
      <c r="AZ832" s="334"/>
      <c r="BA832" s="201"/>
      <c r="BB832" s="334"/>
      <c r="BC832" s="334"/>
      <c r="BD832" s="334"/>
      <c r="BE832" s="201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  <c r="BT832" s="334"/>
      <c r="BU832" s="334"/>
      <c r="BV832" s="334"/>
      <c r="BW832" s="334"/>
    </row>
    <row r="833" spans="45:75" x14ac:dyDescent="0.25">
      <c r="AS833" s="202"/>
      <c r="AV833" s="202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  <c r="BT833" s="334"/>
      <c r="BU833" s="334"/>
      <c r="BV833" s="334"/>
      <c r="BW833" s="334"/>
    </row>
    <row r="834" spans="45:75" x14ac:dyDescent="0.25">
      <c r="AS834" s="202"/>
      <c r="AV834" s="202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  <c r="BT834" s="334"/>
      <c r="BU834" s="334"/>
      <c r="BV834" s="334"/>
      <c r="BW834" s="334"/>
    </row>
    <row r="835" spans="45:75" x14ac:dyDescent="0.25">
      <c r="AS835" s="202"/>
      <c r="AV835" s="202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  <c r="BT835" s="334"/>
      <c r="BU835" s="334"/>
      <c r="BV835" s="334"/>
      <c r="BW835" s="334"/>
    </row>
    <row r="836" spans="45:75" x14ac:dyDescent="0.25">
      <c r="AS836" s="202"/>
      <c r="AV836" s="202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  <c r="BT836" s="334"/>
      <c r="BU836" s="334"/>
      <c r="BV836" s="334"/>
      <c r="BW836" s="334"/>
    </row>
    <row r="837" spans="45:75" x14ac:dyDescent="0.25">
      <c r="AS837" s="202"/>
      <c r="AV837" s="202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  <c r="BT837" s="334"/>
      <c r="BU837" s="334"/>
      <c r="BV837" s="334"/>
      <c r="BW837" s="334"/>
    </row>
    <row r="838" spans="45:75" x14ac:dyDescent="0.25">
      <c r="AS838" s="202"/>
      <c r="AV838" s="202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  <c r="BT838" s="334"/>
      <c r="BU838" s="334"/>
      <c r="BV838" s="334"/>
      <c r="BW838" s="334"/>
    </row>
    <row r="839" spans="45:75" x14ac:dyDescent="0.25">
      <c r="AS839" s="202"/>
      <c r="AV839" s="202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  <c r="BT839" s="334"/>
      <c r="BU839" s="334"/>
      <c r="BV839" s="334"/>
      <c r="BW839" s="334"/>
    </row>
    <row r="840" spans="45:75" x14ac:dyDescent="0.25">
      <c r="AS840" s="202"/>
      <c r="AV840" s="202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  <c r="BT840" s="334"/>
      <c r="BU840" s="334"/>
      <c r="BV840" s="334"/>
      <c r="BW840" s="334"/>
    </row>
    <row r="841" spans="45:75" x14ac:dyDescent="0.25">
      <c r="AS841" s="202"/>
      <c r="AV841" s="202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  <c r="BT841" s="334"/>
      <c r="BU841" s="334"/>
      <c r="BV841" s="334"/>
      <c r="BW841" s="334"/>
    </row>
    <row r="842" spans="45:75" x14ac:dyDescent="0.25">
      <c r="AS842" s="202"/>
      <c r="AV842" s="202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  <c r="BT842" s="334"/>
      <c r="BU842" s="334"/>
      <c r="BV842" s="334"/>
      <c r="BW842" s="334"/>
    </row>
    <row r="843" spans="45:75" x14ac:dyDescent="0.25">
      <c r="AS843" s="202"/>
      <c r="AV843" s="202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  <c r="BT843" s="334"/>
      <c r="BU843" s="334"/>
      <c r="BV843" s="334"/>
      <c r="BW843" s="334"/>
    </row>
    <row r="844" spans="45:75" x14ac:dyDescent="0.25">
      <c r="AS844" s="202"/>
      <c r="AV844" s="202"/>
      <c r="AW844" s="200"/>
      <c r="AX844" s="334"/>
      <c r="AY844" s="334"/>
      <c r="AZ844" s="334"/>
      <c r="BA844" s="201"/>
      <c r="BB844" s="334"/>
      <c r="BC844" s="334"/>
      <c r="BD844" s="334"/>
      <c r="BE844" s="201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  <c r="BT844" s="334"/>
      <c r="BU844" s="334"/>
      <c r="BV844" s="334"/>
      <c r="BW844" s="334"/>
    </row>
    <row r="845" spans="45:75" x14ac:dyDescent="0.25">
      <c r="AS845" s="202"/>
      <c r="AV845" s="202"/>
      <c r="AW845" s="200"/>
      <c r="AX845" s="334"/>
      <c r="AY845" s="33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  <c r="BT845" s="334"/>
      <c r="BU845" s="334"/>
      <c r="BV845" s="334"/>
      <c r="BW845" s="334"/>
    </row>
    <row r="846" spans="45:75" x14ac:dyDescent="0.25">
      <c r="AS846" s="202"/>
      <c r="AV846" s="202"/>
      <c r="AW846" s="200"/>
      <c r="AX846" s="334"/>
      <c r="AY846" s="334"/>
      <c r="AZ846" s="334"/>
      <c r="BA846" s="201"/>
      <c r="BB846" s="334"/>
      <c r="BC846" s="334"/>
      <c r="BD846" s="334"/>
      <c r="BE846" s="201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  <c r="BT846" s="334"/>
      <c r="BU846" s="334"/>
      <c r="BV846" s="334"/>
      <c r="BW846" s="334"/>
    </row>
    <row r="847" spans="45:75" x14ac:dyDescent="0.25">
      <c r="AS847" s="202"/>
      <c r="AV847" s="202"/>
      <c r="AW847" s="200"/>
      <c r="AX847" s="334"/>
      <c r="AY847" s="334"/>
      <c r="AZ847" s="334"/>
      <c r="BA847" s="201"/>
      <c r="BB847" s="334"/>
      <c r="BC847" s="334"/>
      <c r="BD847" s="334"/>
      <c r="BE847" s="201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  <c r="BT847" s="334"/>
      <c r="BU847" s="334"/>
      <c r="BV847" s="334"/>
      <c r="BW847" s="334"/>
    </row>
    <row r="848" spans="45:75" x14ac:dyDescent="0.25">
      <c r="AS848" s="202"/>
      <c r="AV848" s="202"/>
      <c r="AW848" s="200"/>
      <c r="AX848" s="334"/>
      <c r="AY848" s="334"/>
      <c r="AZ848" s="334"/>
      <c r="BA848" s="201"/>
      <c r="BB848" s="334"/>
      <c r="BC848" s="334"/>
      <c r="BD848" s="334"/>
      <c r="BE848" s="201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  <c r="BT848" s="334"/>
      <c r="BU848" s="334"/>
      <c r="BV848" s="334"/>
      <c r="BW848" s="334"/>
    </row>
    <row r="849" spans="45:75" x14ac:dyDescent="0.25">
      <c r="AS849" s="202"/>
      <c r="AV849" s="202"/>
      <c r="AW849" s="200"/>
      <c r="AX849" s="334"/>
      <c r="AY849" s="334"/>
      <c r="AZ849" s="334"/>
      <c r="BA849" s="201"/>
      <c r="BB849" s="334"/>
      <c r="BC849" s="334"/>
      <c r="BD849" s="334"/>
      <c r="BE849" s="201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  <c r="BR849" s="334"/>
      <c r="BS849" s="334"/>
      <c r="BT849" s="334"/>
      <c r="BU849" s="334"/>
      <c r="BV849" s="334"/>
      <c r="BW849" s="334"/>
    </row>
    <row r="850" spans="45:75" x14ac:dyDescent="0.25">
      <c r="AS850" s="202"/>
      <c r="AV850" s="202"/>
      <c r="AW850" s="200"/>
      <c r="AX850" s="334"/>
      <c r="AY850" s="334"/>
      <c r="AZ850" s="334"/>
      <c r="BA850" s="201"/>
      <c r="BB850" s="334"/>
      <c r="BC850" s="334"/>
      <c r="BD850" s="334"/>
      <c r="BE850" s="201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  <c r="BT850" s="334"/>
      <c r="BU850" s="334"/>
      <c r="BV850" s="334"/>
      <c r="BW850" s="334"/>
    </row>
    <row r="851" spans="45:75" x14ac:dyDescent="0.25">
      <c r="AS851" s="202"/>
      <c r="AV851" s="202"/>
      <c r="AW851" s="200"/>
      <c r="AX851" s="334"/>
      <c r="AY851" s="334"/>
      <c r="AZ851" s="334"/>
      <c r="BA851" s="201"/>
      <c r="BB851" s="334"/>
      <c r="BC851" s="334"/>
      <c r="BD851" s="334"/>
      <c r="BE851" s="201"/>
      <c r="BG851" s="334"/>
      <c r="BH851" s="334"/>
      <c r="BI851" s="334"/>
      <c r="BJ851" s="334"/>
      <c r="BK851" s="334"/>
      <c r="BL851" s="334"/>
      <c r="BM851" s="334"/>
      <c r="BN851" s="334"/>
      <c r="BO851" s="334"/>
      <c r="BP851" s="334"/>
      <c r="BQ851" s="334"/>
      <c r="BR851" s="334"/>
      <c r="BS851" s="334"/>
      <c r="BT851" s="334"/>
      <c r="BU851" s="334"/>
      <c r="BV851" s="334"/>
      <c r="BW851" s="334"/>
    </row>
    <row r="852" spans="45:75" x14ac:dyDescent="0.25">
      <c r="AW852" s="200"/>
      <c r="AX852" s="334"/>
      <c r="AY852" s="334"/>
      <c r="AZ852" s="334"/>
      <c r="BA852" s="201"/>
      <c r="BB852" s="334"/>
      <c r="BC852" s="334"/>
      <c r="BD852" s="334"/>
      <c r="BE852" s="201"/>
      <c r="BG852" s="102"/>
      <c r="BH852" s="102"/>
      <c r="BI852" s="154"/>
      <c r="BM852" s="102"/>
      <c r="BN852" s="102"/>
      <c r="BO852" s="334"/>
      <c r="BP852" s="102"/>
      <c r="BQ852" s="102"/>
      <c r="BR852" s="154"/>
      <c r="BV852" s="102"/>
      <c r="BW852" s="102"/>
    </row>
    <row r="853" spans="45:75" x14ac:dyDescent="0.25">
      <c r="AS853" s="202"/>
      <c r="AU853" s="154"/>
      <c r="AV853" s="103"/>
      <c r="AW853" s="200"/>
      <c r="AX853" s="334"/>
      <c r="AY853" s="334"/>
      <c r="AZ853" s="334"/>
      <c r="BA853" s="201"/>
      <c r="BB853" s="334"/>
      <c r="BC853" s="334"/>
      <c r="BD853" s="334"/>
      <c r="BE853" s="201"/>
      <c r="BG853" s="336"/>
      <c r="BH853" s="334"/>
      <c r="BI853" s="334"/>
      <c r="BJ853" s="334"/>
      <c r="BK853" s="336"/>
      <c r="BL853" s="337"/>
      <c r="BM853" s="334"/>
      <c r="BN853" s="336"/>
      <c r="BO853" s="334"/>
      <c r="BP853" s="336"/>
      <c r="BQ853" s="334"/>
      <c r="BR853" s="334"/>
      <c r="BS853" s="334"/>
      <c r="BT853" s="336"/>
      <c r="BU853" s="337"/>
      <c r="BV853" s="334"/>
      <c r="BW853" s="336"/>
    </row>
    <row r="854" spans="45:75" x14ac:dyDescent="0.25">
      <c r="AS854" s="202"/>
      <c r="AV854" s="103"/>
      <c r="AW854" s="200"/>
      <c r="AX854" s="334"/>
      <c r="AY854" s="334"/>
      <c r="AZ854" s="334"/>
      <c r="BA854" s="201"/>
      <c r="BB854" s="334"/>
      <c r="BC854" s="334"/>
      <c r="BD854" s="334"/>
      <c r="BE854" s="201"/>
      <c r="BG854" s="334"/>
      <c r="BH854" s="334"/>
      <c r="BI854" s="334"/>
      <c r="BJ854" s="334"/>
      <c r="BK854" s="334"/>
      <c r="BL854" s="337"/>
      <c r="BM854" s="334"/>
      <c r="BN854" s="334"/>
      <c r="BO854" s="334"/>
      <c r="BP854" s="334"/>
      <c r="BQ854" s="334"/>
      <c r="BR854" s="334"/>
      <c r="BS854" s="334"/>
      <c r="BT854" s="334"/>
      <c r="BU854" s="337"/>
      <c r="BV854" s="334"/>
      <c r="BW854" s="334"/>
    </row>
    <row r="855" spans="45:75" x14ac:dyDescent="0.25">
      <c r="AS855" s="202"/>
      <c r="AV855" s="103"/>
      <c r="AW855" s="200"/>
      <c r="AX855" s="334"/>
      <c r="AY855" s="334"/>
      <c r="AZ855" s="334"/>
      <c r="BA855" s="201"/>
      <c r="BB855" s="334"/>
      <c r="BC855" s="334"/>
      <c r="BD855" s="334"/>
      <c r="BE855" s="201"/>
      <c r="BG855" s="334"/>
      <c r="BH855" s="334"/>
      <c r="BI855" s="334"/>
      <c r="BJ855" s="334"/>
      <c r="BK855" s="334"/>
      <c r="BL855" s="337"/>
      <c r="BM855" s="334"/>
      <c r="BN855" s="334"/>
      <c r="BO855" s="334"/>
      <c r="BP855" s="334"/>
      <c r="BQ855" s="334"/>
      <c r="BR855" s="334"/>
      <c r="BS855" s="334"/>
      <c r="BT855" s="334"/>
      <c r="BU855" s="337"/>
      <c r="BV855" s="334"/>
      <c r="BW855" s="334"/>
    </row>
    <row r="856" spans="45:75" x14ac:dyDescent="0.25">
      <c r="AS856" s="202"/>
      <c r="AV856" s="103"/>
      <c r="AW856" s="200"/>
      <c r="AX856" s="334"/>
      <c r="AY856" s="334"/>
      <c r="AZ856" s="334"/>
      <c r="BA856" s="201"/>
      <c r="BB856" s="334"/>
      <c r="BC856" s="334"/>
      <c r="BD856" s="334"/>
      <c r="BE856" s="201"/>
      <c r="BG856" s="334"/>
      <c r="BH856" s="334"/>
      <c r="BI856" s="334"/>
      <c r="BJ856" s="334"/>
      <c r="BK856" s="334"/>
      <c r="BL856" s="337"/>
      <c r="BM856" s="334"/>
      <c r="BN856" s="334"/>
      <c r="BO856" s="334"/>
      <c r="BP856" s="334"/>
      <c r="BQ856" s="334"/>
      <c r="BR856" s="334"/>
      <c r="BS856" s="334"/>
      <c r="BT856" s="334"/>
      <c r="BU856" s="337"/>
      <c r="BV856" s="334"/>
      <c r="BW856" s="334"/>
    </row>
    <row r="857" spans="45:75" x14ac:dyDescent="0.25">
      <c r="AX857" s="334"/>
      <c r="AY857" s="334"/>
      <c r="AZ857" s="334"/>
      <c r="BA857" s="201"/>
      <c r="BB857" s="334"/>
      <c r="BC857" s="334"/>
      <c r="BD857" s="334"/>
      <c r="BE857" s="201"/>
      <c r="BG857" s="334"/>
      <c r="BH857" s="334"/>
      <c r="BI857" s="334"/>
      <c r="BJ857" s="334"/>
      <c r="BK857" s="334"/>
      <c r="BL857" s="334"/>
      <c r="BM857" s="334"/>
      <c r="BN857" s="334"/>
      <c r="BO857" s="334"/>
      <c r="BP857" s="334"/>
      <c r="BQ857" s="334"/>
      <c r="BR857" s="334"/>
      <c r="BS857" s="334"/>
      <c r="BT857" s="334"/>
      <c r="BU857" s="334"/>
      <c r="BV857" s="334"/>
    </row>
    <row r="858" spans="45:75" x14ac:dyDescent="0.25">
      <c r="AU858" s="154"/>
    </row>
    <row r="859" spans="45:75" x14ac:dyDescent="0.25">
      <c r="AU859" s="154"/>
      <c r="AZ859" s="334"/>
      <c r="BA859" s="201"/>
      <c r="BB859" s="334"/>
      <c r="BC859" s="334"/>
      <c r="BD859" s="334"/>
      <c r="BE859" s="201"/>
      <c r="BG859" s="334"/>
      <c r="BH859" s="334"/>
      <c r="BI859" s="334"/>
      <c r="BJ859" s="334"/>
      <c r="BK859" s="334"/>
      <c r="BL859" s="334"/>
      <c r="BM859" s="334"/>
      <c r="BN859" s="334"/>
      <c r="BO859" s="334"/>
      <c r="BP859" s="334"/>
      <c r="BQ859" s="334"/>
      <c r="BR859" s="334"/>
      <c r="BS859" s="334"/>
      <c r="BT859" s="334"/>
      <c r="BU859" s="334"/>
      <c r="BV859" s="334"/>
    </row>
    <row r="860" spans="45:75" x14ac:dyDescent="0.25">
      <c r="AS860" s="154"/>
      <c r="AZ860" s="334"/>
      <c r="BB860" s="334"/>
    </row>
    <row r="861" spans="45:75" x14ac:dyDescent="0.25">
      <c r="AY861" s="202"/>
      <c r="AZ861" s="334"/>
      <c r="BB861" s="334"/>
      <c r="BO861" s="334"/>
      <c r="BP861" s="334"/>
      <c r="BQ861" s="334"/>
      <c r="BR861" s="334"/>
      <c r="BS861" s="334"/>
      <c r="BT861" s="334"/>
      <c r="BU861" s="334"/>
      <c r="BV861" s="334"/>
    </row>
    <row r="862" spans="45:75" x14ac:dyDescent="0.25">
      <c r="AY862" s="334"/>
      <c r="AZ862" s="334"/>
      <c r="BB862" s="334"/>
      <c r="BO862" s="334"/>
      <c r="BP862" s="334"/>
      <c r="BQ862" s="334"/>
      <c r="BR862" s="334"/>
      <c r="BS862" s="334"/>
      <c r="BT862" s="334"/>
      <c r="BU862" s="334"/>
      <c r="BV862" s="334"/>
    </row>
    <row r="863" spans="45:75" x14ac:dyDescent="0.25">
      <c r="AY863" s="154"/>
      <c r="AZ863" s="334"/>
      <c r="BB863" s="334"/>
      <c r="BO863" s="334"/>
      <c r="BP863" s="334"/>
      <c r="BQ863" s="334"/>
      <c r="BR863" s="334"/>
      <c r="BS863" s="334"/>
      <c r="BT863" s="334"/>
      <c r="BU863" s="334"/>
      <c r="BV863" s="334"/>
    </row>
    <row r="864" spans="45:75" x14ac:dyDescent="0.25">
      <c r="AY864" s="154"/>
      <c r="AZ864" s="334"/>
      <c r="BB864" s="334"/>
      <c r="BO864" s="334"/>
      <c r="BP864" s="334"/>
      <c r="BQ864" s="334"/>
      <c r="BR864" s="334"/>
      <c r="BS864" s="334"/>
      <c r="BT864" s="334"/>
      <c r="BU864" s="334"/>
      <c r="BV864" s="334"/>
    </row>
    <row r="865" spans="45:74" x14ac:dyDescent="0.25">
      <c r="AS865" s="202"/>
      <c r="AZ865" s="334"/>
      <c r="BB865" s="334"/>
      <c r="BD865" s="154"/>
      <c r="BO865" s="334"/>
      <c r="BP865" s="334"/>
      <c r="BQ865" s="334"/>
      <c r="BR865" s="334"/>
      <c r="BS865" s="334"/>
      <c r="BT865" s="334"/>
      <c r="BU865" s="334"/>
      <c r="BV865" s="334"/>
    </row>
    <row r="866" spans="45:74" x14ac:dyDescent="0.25">
      <c r="AS866" s="202"/>
      <c r="AZ866" s="334"/>
      <c r="BB866" s="334"/>
      <c r="BD866" s="154"/>
      <c r="BO866" s="334"/>
      <c r="BP866" s="334"/>
      <c r="BQ866" s="334"/>
      <c r="BR866" s="334"/>
      <c r="BS866" s="334"/>
      <c r="BT866" s="334"/>
      <c r="BU866" s="334"/>
      <c r="BV866" s="334"/>
    </row>
    <row r="867" spans="45:74" x14ac:dyDescent="0.25">
      <c r="AS867" s="154"/>
      <c r="AZ867" s="334"/>
      <c r="BB867" s="334"/>
      <c r="BD867" s="154"/>
      <c r="BO867" s="334"/>
      <c r="BP867" s="334"/>
      <c r="BQ867" s="334"/>
      <c r="BR867" s="334"/>
      <c r="BS867" s="334"/>
      <c r="BT867" s="334"/>
      <c r="BU867" s="334"/>
      <c r="BV867" s="334"/>
    </row>
    <row r="868" spans="45:74" x14ac:dyDescent="0.25">
      <c r="AZ868" s="334"/>
      <c r="BB868" s="334"/>
      <c r="BD868" s="202"/>
      <c r="BO868" s="334"/>
      <c r="BP868" s="334"/>
      <c r="BQ868" s="334"/>
      <c r="BR868" s="334"/>
      <c r="BS868" s="334"/>
      <c r="BT868" s="334"/>
      <c r="BU868" s="334"/>
      <c r="BV868" s="334"/>
    </row>
    <row r="869" spans="45:74" x14ac:dyDescent="0.25">
      <c r="AS869" s="102"/>
      <c r="AT869" s="102"/>
      <c r="AU869" s="102"/>
      <c r="AV869" s="102"/>
      <c r="AW869" s="102"/>
      <c r="AX869" s="102"/>
      <c r="AY869" s="102"/>
      <c r="AZ869" s="335"/>
      <c r="BA869" s="102"/>
      <c r="BB869" s="335"/>
      <c r="BC869" s="102"/>
      <c r="BD869" s="102"/>
      <c r="BE869" s="102"/>
      <c r="BO869" s="334"/>
      <c r="BP869" s="334"/>
      <c r="BQ869" s="334"/>
      <c r="BR869" s="334"/>
      <c r="BS869" s="334"/>
      <c r="BT869" s="334"/>
      <c r="BU869" s="334"/>
      <c r="BV869" s="334"/>
    </row>
    <row r="870" spans="45:74" x14ac:dyDescent="0.25">
      <c r="AX870" s="154"/>
      <c r="AZ870" s="334"/>
      <c r="BB870" s="334"/>
      <c r="BO870" s="334"/>
      <c r="BP870" s="334"/>
      <c r="BQ870" s="334"/>
      <c r="BR870" s="334"/>
      <c r="BS870" s="334"/>
      <c r="BT870" s="334"/>
      <c r="BU870" s="334"/>
      <c r="BV870" s="334"/>
    </row>
    <row r="871" spans="45:74" x14ac:dyDescent="0.25">
      <c r="AX871" s="102"/>
      <c r="AY871" s="102"/>
      <c r="AZ871" s="335"/>
      <c r="BA871" s="102"/>
      <c r="BB871" s="334"/>
      <c r="BC871" s="103"/>
      <c r="BD871" s="103"/>
      <c r="BO871" s="334"/>
      <c r="BP871" s="334"/>
      <c r="BQ871" s="334"/>
      <c r="BR871" s="334"/>
      <c r="BS871" s="334"/>
      <c r="BT871" s="334"/>
      <c r="BU871" s="334"/>
      <c r="BV871" s="334"/>
    </row>
    <row r="872" spans="45:74" x14ac:dyDescent="0.25">
      <c r="AV872" s="103"/>
      <c r="AW872" s="103"/>
      <c r="AZ872" s="336"/>
      <c r="BA872" s="103"/>
      <c r="BB872" s="334"/>
      <c r="BC872" s="103"/>
      <c r="BD872" s="103"/>
      <c r="BE872" s="103"/>
      <c r="BG872" s="102"/>
      <c r="BH872" s="154"/>
      <c r="BK872" s="102"/>
      <c r="BM872" s="102"/>
      <c r="BN872" s="154"/>
      <c r="BQ872" s="102"/>
    </row>
    <row r="873" spans="45:74" x14ac:dyDescent="0.25">
      <c r="AV873" s="103"/>
      <c r="AW873" s="103"/>
      <c r="AX873" s="103"/>
      <c r="AY873" s="103"/>
      <c r="AZ873" s="336"/>
      <c r="BA873" s="103"/>
      <c r="BB873" s="336"/>
      <c r="BC873" s="103"/>
      <c r="BD873" s="103"/>
      <c r="BE873" s="103"/>
      <c r="BH873" s="103"/>
      <c r="BI873" s="103"/>
      <c r="BN873" s="103"/>
      <c r="BO873" s="103"/>
    </row>
    <row r="874" spans="45:74" x14ac:dyDescent="0.25">
      <c r="AS874" s="103"/>
      <c r="AU874" s="154"/>
      <c r="AV874" s="103"/>
      <c r="AW874" s="103"/>
      <c r="AX874" s="103"/>
      <c r="AY874" s="103"/>
      <c r="AZ874" s="336"/>
      <c r="BA874" s="103"/>
      <c r="BB874" s="336"/>
      <c r="BC874" s="103"/>
      <c r="BD874" s="103"/>
      <c r="BE874" s="103"/>
      <c r="BG874" s="103"/>
      <c r="BH874" s="103"/>
      <c r="BI874" s="103"/>
      <c r="BJ874" s="103"/>
      <c r="BK874" s="103"/>
      <c r="BM874" s="103"/>
      <c r="BN874" s="103"/>
      <c r="BO874" s="103"/>
      <c r="BP874" s="103"/>
      <c r="BQ874" s="103"/>
    </row>
    <row r="875" spans="45:74" x14ac:dyDescent="0.25">
      <c r="AS875" s="103"/>
      <c r="AU875" s="154"/>
      <c r="AV875" s="103"/>
      <c r="AW875" s="103"/>
      <c r="AX875" s="103"/>
      <c r="AY875" s="103"/>
      <c r="AZ875" s="336"/>
      <c r="BA875" s="103"/>
      <c r="BB875" s="336"/>
      <c r="BC875" s="103"/>
      <c r="BD875" s="103"/>
      <c r="BE875" s="103"/>
      <c r="BG875" s="103"/>
      <c r="BH875" s="103"/>
      <c r="BI875" s="103"/>
      <c r="BJ875" s="103"/>
      <c r="BK875" s="103"/>
      <c r="BM875" s="103"/>
      <c r="BN875" s="103"/>
      <c r="BO875" s="103"/>
      <c r="BP875" s="103"/>
      <c r="BQ875" s="103"/>
    </row>
    <row r="876" spans="45:74" x14ac:dyDescent="0.25">
      <c r="AS876" s="102"/>
      <c r="AT876" s="102"/>
      <c r="AU876" s="102"/>
      <c r="AV876" s="102"/>
      <c r="AW876" s="102"/>
      <c r="AX876" s="102"/>
      <c r="AY876" s="102"/>
      <c r="AZ876" s="335"/>
      <c r="BA876" s="102"/>
      <c r="BB876" s="335"/>
      <c r="BC876" s="102"/>
      <c r="BD876" s="102"/>
      <c r="BE876" s="102"/>
      <c r="BG876" s="102"/>
      <c r="BH876" s="102"/>
      <c r="BI876" s="102"/>
      <c r="BJ876" s="102"/>
      <c r="BK876" s="102"/>
      <c r="BM876" s="102"/>
      <c r="BN876" s="102"/>
      <c r="BO876" s="102"/>
      <c r="BP876" s="102"/>
      <c r="BQ876" s="102"/>
    </row>
    <row r="877" spans="45:74" x14ac:dyDescent="0.25">
      <c r="AV877" s="103"/>
      <c r="AW877" s="103"/>
      <c r="AX877" s="103"/>
      <c r="AY877" s="103"/>
      <c r="AZ877" s="336"/>
      <c r="BA877" s="103"/>
      <c r="BB877" s="336"/>
      <c r="BC877" s="103"/>
      <c r="BD877" s="103"/>
      <c r="BE877" s="103"/>
      <c r="BG877" s="334"/>
      <c r="BH877" s="334"/>
      <c r="BI877" s="334"/>
      <c r="BJ877" s="334"/>
      <c r="BK877" s="334"/>
      <c r="BL877" s="334"/>
      <c r="BM877" s="334"/>
      <c r="BN877" s="334"/>
      <c r="BO877" s="334"/>
      <c r="BP877" s="334"/>
      <c r="BQ877" s="334"/>
    </row>
    <row r="878" spans="45:74" x14ac:dyDescent="0.25">
      <c r="AS878" s="202"/>
      <c r="AT878" s="154"/>
      <c r="AV878" s="200"/>
      <c r="AW878" s="200"/>
      <c r="AX878" s="334"/>
      <c r="AY878" s="334"/>
      <c r="AZ878" s="334"/>
      <c r="BA878" s="201"/>
      <c r="BB878" s="334"/>
      <c r="BC878" s="334"/>
      <c r="BD878" s="334"/>
      <c r="BE878" s="201"/>
      <c r="BG878" s="334"/>
      <c r="BH878" s="334"/>
      <c r="BI878" s="334"/>
      <c r="BJ878" s="334"/>
      <c r="BK878" s="334"/>
      <c r="BL878" s="334"/>
      <c r="BM878" s="334"/>
      <c r="BN878" s="334"/>
      <c r="BO878" s="334"/>
      <c r="BP878" s="334"/>
      <c r="BQ878" s="334"/>
      <c r="BR878" s="334"/>
      <c r="BS878" s="334"/>
    </row>
    <row r="879" spans="45:74" x14ac:dyDescent="0.25">
      <c r="AS879" s="202"/>
      <c r="AV879" s="200"/>
      <c r="AW879" s="200"/>
      <c r="AX879" s="334"/>
      <c r="AY879" s="334"/>
      <c r="AZ879" s="334"/>
      <c r="BA879" s="201"/>
      <c r="BB879" s="334"/>
      <c r="BC879" s="334"/>
      <c r="BD879" s="334"/>
      <c r="BE879" s="201"/>
      <c r="BG879" s="334"/>
      <c r="BH879" s="334"/>
      <c r="BI879" s="334"/>
      <c r="BJ879" s="334"/>
      <c r="BK879" s="334"/>
      <c r="BL879" s="334"/>
      <c r="BM879" s="334"/>
      <c r="BN879" s="334"/>
      <c r="BO879" s="334"/>
      <c r="BP879" s="334"/>
      <c r="BQ879" s="334"/>
      <c r="BR879" s="334"/>
      <c r="BS879" s="334"/>
    </row>
    <row r="880" spans="45:74" x14ac:dyDescent="0.25">
      <c r="AS880" s="202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  <c r="BG880" s="334"/>
      <c r="BH880" s="334"/>
      <c r="BI880" s="334"/>
      <c r="BJ880" s="334"/>
      <c r="BK880" s="334"/>
      <c r="BL880" s="334"/>
      <c r="BM880" s="334"/>
      <c r="BN880" s="334"/>
      <c r="BO880" s="334"/>
      <c r="BP880" s="334"/>
      <c r="BQ880" s="334"/>
      <c r="BR880" s="334"/>
      <c r="BS880" s="334"/>
    </row>
    <row r="881" spans="45:71" x14ac:dyDescent="0.25">
      <c r="AS881" s="202"/>
      <c r="AV881" s="200"/>
      <c r="AW881" s="200"/>
      <c r="AX881" s="334"/>
      <c r="AY881" s="334"/>
      <c r="AZ881" s="334"/>
      <c r="BA881" s="201"/>
      <c r="BB881" s="334"/>
      <c r="BC881" s="334"/>
      <c r="BD881" s="334"/>
      <c r="BE881" s="201"/>
      <c r="BG881" s="334"/>
      <c r="BH881" s="334"/>
      <c r="BI881" s="334"/>
      <c r="BJ881" s="334"/>
      <c r="BK881" s="334"/>
      <c r="BL881" s="334"/>
      <c r="BM881" s="334"/>
      <c r="BN881" s="334"/>
      <c r="BO881" s="334"/>
      <c r="BP881" s="334"/>
      <c r="BQ881" s="334"/>
      <c r="BR881" s="334"/>
      <c r="BS881" s="334"/>
    </row>
    <row r="882" spans="45:71" x14ac:dyDescent="0.25">
      <c r="AS882" s="202"/>
      <c r="AV882" s="200"/>
      <c r="AW882" s="200"/>
      <c r="AX882" s="334"/>
      <c r="AY882" s="334"/>
      <c r="AZ882" s="334"/>
      <c r="BA882" s="201"/>
      <c r="BB882" s="334"/>
      <c r="BC882" s="334"/>
      <c r="BD882" s="334"/>
      <c r="BE882" s="201"/>
      <c r="BG882" s="334"/>
      <c r="BH882" s="334"/>
      <c r="BI882" s="334"/>
      <c r="BJ882" s="334"/>
      <c r="BK882" s="334"/>
      <c r="BL882" s="334"/>
      <c r="BM882" s="334"/>
      <c r="BN882" s="334"/>
      <c r="BO882" s="334"/>
      <c r="BP882" s="334"/>
      <c r="BQ882" s="334"/>
      <c r="BR882" s="334"/>
      <c r="BS882" s="334"/>
    </row>
    <row r="883" spans="45:71" x14ac:dyDescent="0.25">
      <c r="AS883" s="202"/>
      <c r="AV883" s="200"/>
      <c r="AW883" s="200"/>
      <c r="AX883" s="334"/>
      <c r="AY883" s="334"/>
      <c r="AZ883" s="334"/>
      <c r="BA883" s="201"/>
      <c r="BB883" s="334"/>
      <c r="BC883" s="334"/>
      <c r="BD883" s="334"/>
      <c r="BE883" s="201"/>
      <c r="BG883" s="334"/>
      <c r="BH883" s="334"/>
      <c r="BI883" s="334"/>
      <c r="BJ883" s="334"/>
      <c r="BK883" s="334"/>
      <c r="BL883" s="334"/>
      <c r="BM883" s="334"/>
      <c r="BN883" s="334"/>
      <c r="BO883" s="334"/>
      <c r="BP883" s="334"/>
      <c r="BQ883" s="334"/>
      <c r="BR883" s="334"/>
      <c r="BS883" s="334"/>
    </row>
    <row r="884" spans="45:71" x14ac:dyDescent="0.25">
      <c r="AS884" s="202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  <c r="BG884" s="334"/>
      <c r="BH884" s="334"/>
      <c r="BI884" s="334"/>
      <c r="BJ884" s="334"/>
      <c r="BK884" s="334"/>
      <c r="BL884" s="334"/>
      <c r="BM884" s="334"/>
      <c r="BN884" s="334"/>
      <c r="BO884" s="334"/>
      <c r="BP884" s="334"/>
      <c r="BQ884" s="334"/>
      <c r="BR884" s="334"/>
      <c r="BS884" s="334"/>
    </row>
    <row r="885" spans="45:71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  <c r="BG885" s="334"/>
      <c r="BH885" s="334"/>
      <c r="BI885" s="334"/>
      <c r="BJ885" s="334"/>
      <c r="BK885" s="334"/>
      <c r="BL885" s="334"/>
      <c r="BM885" s="334"/>
      <c r="BN885" s="334"/>
      <c r="BO885" s="334"/>
      <c r="BP885" s="334"/>
      <c r="BQ885" s="334"/>
      <c r="BR885" s="334"/>
      <c r="BS885" s="334"/>
    </row>
    <row r="886" spans="45:71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  <c r="BG886" s="334"/>
      <c r="BH886" s="334"/>
      <c r="BI886" s="334"/>
      <c r="BJ886" s="334"/>
      <c r="BK886" s="334"/>
      <c r="BL886" s="334"/>
      <c r="BM886" s="334"/>
      <c r="BN886" s="334"/>
      <c r="BO886" s="334"/>
      <c r="BP886" s="334"/>
      <c r="BQ886" s="334"/>
      <c r="BR886" s="334"/>
      <c r="BS886" s="334"/>
    </row>
    <row r="887" spans="45:71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  <c r="BG887" s="334"/>
      <c r="BH887" s="334"/>
      <c r="BI887" s="334"/>
      <c r="BJ887" s="334"/>
      <c r="BK887" s="334"/>
      <c r="BL887" s="334"/>
      <c r="BM887" s="334"/>
      <c r="BN887" s="334"/>
      <c r="BO887" s="334"/>
      <c r="BP887" s="334"/>
      <c r="BQ887" s="334"/>
      <c r="BR887" s="334"/>
      <c r="BS887" s="334"/>
    </row>
    <row r="888" spans="45:71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  <c r="BG888" s="334"/>
      <c r="BH888" s="334"/>
      <c r="BI888" s="334"/>
      <c r="BJ888" s="334"/>
      <c r="BK888" s="334"/>
      <c r="BL888" s="334"/>
      <c r="BM888" s="334"/>
      <c r="BN888" s="334"/>
      <c r="BO888" s="334"/>
      <c r="BP888" s="334"/>
      <c r="BQ888" s="334"/>
      <c r="BR888" s="334"/>
      <c r="BS888" s="334"/>
    </row>
    <row r="889" spans="45:71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  <c r="BG889" s="334"/>
      <c r="BH889" s="334"/>
      <c r="BI889" s="334"/>
      <c r="BJ889" s="334"/>
      <c r="BK889" s="334"/>
      <c r="BL889" s="334"/>
      <c r="BM889" s="334"/>
      <c r="BN889" s="334"/>
      <c r="BO889" s="334"/>
      <c r="BP889" s="334"/>
      <c r="BQ889" s="334"/>
      <c r="BR889" s="334"/>
      <c r="BS889" s="334"/>
    </row>
    <row r="890" spans="45:71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  <c r="BG890" s="334"/>
      <c r="BH890" s="334"/>
      <c r="BI890" s="334"/>
      <c r="BJ890" s="334"/>
      <c r="BK890" s="334"/>
      <c r="BL890" s="334"/>
      <c r="BM890" s="334"/>
      <c r="BN890" s="334"/>
      <c r="BO890" s="334"/>
      <c r="BP890" s="334"/>
      <c r="BQ890" s="334"/>
      <c r="BR890" s="334"/>
      <c r="BS890" s="334"/>
    </row>
    <row r="891" spans="45:71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  <c r="BG891" s="334"/>
      <c r="BH891" s="334"/>
      <c r="BI891" s="334"/>
      <c r="BJ891" s="334"/>
      <c r="BK891" s="334"/>
      <c r="BL891" s="334"/>
      <c r="BM891" s="334"/>
      <c r="BN891" s="334"/>
      <c r="BO891" s="334"/>
      <c r="BP891" s="334"/>
      <c r="BQ891" s="334"/>
      <c r="BR891" s="334"/>
      <c r="BS891" s="334"/>
    </row>
    <row r="892" spans="45:71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  <c r="BG892" s="334"/>
      <c r="BH892" s="334"/>
      <c r="BI892" s="334"/>
      <c r="BJ892" s="334"/>
      <c r="BK892" s="334"/>
      <c r="BL892" s="334"/>
      <c r="BM892" s="334"/>
      <c r="BN892" s="334"/>
      <c r="BO892" s="334"/>
      <c r="BP892" s="334"/>
      <c r="BQ892" s="334"/>
      <c r="BR892" s="334"/>
      <c r="BS892" s="334"/>
    </row>
    <row r="893" spans="45:71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  <c r="BG893" s="334"/>
      <c r="BH893" s="334"/>
      <c r="BI893" s="334"/>
      <c r="BJ893" s="334"/>
      <c r="BK893" s="334"/>
      <c r="BL893" s="334"/>
      <c r="BM893" s="334"/>
      <c r="BN893" s="334"/>
      <c r="BO893" s="334"/>
      <c r="BP893" s="334"/>
      <c r="BQ893" s="334"/>
      <c r="BR893" s="334"/>
      <c r="BS893" s="334"/>
    </row>
    <row r="894" spans="45:71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  <c r="BG894" s="334"/>
      <c r="BH894" s="334"/>
      <c r="BI894" s="334"/>
      <c r="BJ894" s="334"/>
      <c r="BK894" s="334"/>
      <c r="BL894" s="334"/>
      <c r="BM894" s="334"/>
      <c r="BN894" s="334"/>
      <c r="BO894" s="334"/>
      <c r="BP894" s="334"/>
      <c r="BQ894" s="334"/>
      <c r="BR894" s="334"/>
      <c r="BS894" s="334"/>
    </row>
    <row r="895" spans="45:71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  <c r="BG895" s="334"/>
      <c r="BH895" s="334"/>
      <c r="BI895" s="334"/>
      <c r="BJ895" s="334"/>
      <c r="BK895" s="334"/>
      <c r="BL895" s="334"/>
      <c r="BM895" s="334"/>
      <c r="BN895" s="334"/>
      <c r="BO895" s="334"/>
      <c r="BP895" s="334"/>
      <c r="BQ895" s="334"/>
      <c r="BR895" s="334"/>
      <c r="BS895" s="334"/>
    </row>
    <row r="896" spans="45:71" x14ac:dyDescent="0.25">
      <c r="AZ896" s="334"/>
      <c r="BB896" s="334"/>
      <c r="BC896" s="334"/>
      <c r="BD896" s="334"/>
      <c r="BG896" s="334"/>
      <c r="BH896" s="334"/>
      <c r="BI896" s="334"/>
      <c r="BJ896" s="334"/>
      <c r="BK896" s="334"/>
      <c r="BL896" s="334"/>
      <c r="BM896" s="334"/>
      <c r="BN896" s="334"/>
      <c r="BO896" s="334"/>
      <c r="BP896" s="334"/>
      <c r="BQ896" s="334"/>
      <c r="BR896" s="334"/>
      <c r="BS896" s="334"/>
    </row>
    <row r="897" spans="45:57" x14ac:dyDescent="0.25">
      <c r="AS897" s="202"/>
      <c r="AT897" s="154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</row>
    <row r="898" spans="45:57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</row>
    <row r="899" spans="45:57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</row>
    <row r="900" spans="45:57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57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</row>
    <row r="902" spans="45:57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</row>
    <row r="903" spans="45:57" x14ac:dyDescent="0.25">
      <c r="AS903" s="202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</row>
    <row r="904" spans="45:57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</row>
    <row r="905" spans="45:57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</row>
    <row r="906" spans="45:57" x14ac:dyDescent="0.25">
      <c r="AS906" s="202"/>
      <c r="AV906" s="200"/>
      <c r="AW906" s="200"/>
      <c r="AX906" s="334"/>
      <c r="AY906" s="334"/>
      <c r="AZ906" s="334"/>
      <c r="BA906" s="201"/>
      <c r="BB906" s="334"/>
      <c r="BC906" s="334"/>
      <c r="BD906" s="334"/>
      <c r="BE906" s="201"/>
    </row>
    <row r="907" spans="45:57" x14ac:dyDescent="0.25">
      <c r="AS907" s="202"/>
      <c r="AV907" s="200"/>
      <c r="AW907" s="200"/>
      <c r="AX907" s="334"/>
      <c r="AY907" s="334"/>
      <c r="AZ907" s="334"/>
      <c r="BA907" s="201"/>
      <c r="BB907" s="334"/>
      <c r="BC907" s="334"/>
      <c r="BD907" s="334"/>
      <c r="BE907" s="201"/>
    </row>
    <row r="908" spans="45:57" x14ac:dyDescent="0.25">
      <c r="AS908" s="202"/>
      <c r="AV908" s="200"/>
      <c r="AW908" s="200"/>
      <c r="AX908" s="334"/>
      <c r="AY908" s="334"/>
      <c r="AZ908" s="334"/>
      <c r="BA908" s="201"/>
      <c r="BB908" s="334"/>
      <c r="BC908" s="334"/>
      <c r="BD908" s="334"/>
      <c r="BE908" s="201"/>
    </row>
    <row r="909" spans="45:57" x14ac:dyDescent="0.25">
      <c r="AS909" s="202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</row>
    <row r="910" spans="45:57" x14ac:dyDescent="0.25">
      <c r="AS910" s="202"/>
      <c r="AV910" s="200"/>
      <c r="AW910" s="200"/>
      <c r="AX910" s="334"/>
      <c r="AY910" s="334"/>
      <c r="AZ910" s="334"/>
      <c r="BA910" s="201"/>
      <c r="BB910" s="334"/>
      <c r="BC910" s="334"/>
      <c r="BD910" s="334"/>
      <c r="BE910" s="201"/>
    </row>
    <row r="911" spans="45:57" x14ac:dyDescent="0.25">
      <c r="AS911" s="202"/>
      <c r="AV911" s="200"/>
      <c r="AW911" s="200"/>
      <c r="AX911" s="334"/>
      <c r="AY911" s="334"/>
      <c r="AZ911" s="334"/>
      <c r="BA911" s="201"/>
      <c r="BB911" s="334"/>
      <c r="BC911" s="334"/>
      <c r="BD911" s="334"/>
      <c r="BE911" s="201"/>
    </row>
    <row r="912" spans="45:57" x14ac:dyDescent="0.25">
      <c r="AS912" s="202"/>
      <c r="AV912" s="200"/>
      <c r="AW912" s="200"/>
      <c r="AX912" s="334"/>
      <c r="AY912" s="334"/>
      <c r="AZ912" s="334"/>
      <c r="BA912" s="201"/>
      <c r="BB912" s="334"/>
      <c r="BC912" s="334"/>
      <c r="BD912" s="334"/>
      <c r="BE912" s="201"/>
    </row>
    <row r="913" spans="45:57" x14ac:dyDescent="0.25">
      <c r="AS913" s="202"/>
      <c r="AV913" s="200"/>
      <c r="AW913" s="200"/>
      <c r="AX913" s="334"/>
      <c r="AY913" s="334"/>
      <c r="AZ913" s="334"/>
      <c r="BA913" s="201"/>
      <c r="BB913" s="334"/>
      <c r="BC913" s="334"/>
      <c r="BD913" s="334"/>
      <c r="BE913" s="201"/>
    </row>
    <row r="914" spans="45:57" x14ac:dyDescent="0.25">
      <c r="AS914" s="202"/>
      <c r="AV914" s="200"/>
      <c r="AW914" s="200"/>
      <c r="AX914" s="334"/>
      <c r="AY914" s="334"/>
      <c r="AZ914" s="334"/>
      <c r="BA914" s="201"/>
      <c r="BB914" s="334"/>
      <c r="BC914" s="334"/>
      <c r="BD914" s="334"/>
      <c r="BE914" s="201"/>
    </row>
    <row r="915" spans="45:57" x14ac:dyDescent="0.25">
      <c r="BB915" s="334"/>
    </row>
    <row r="916" spans="45:57" x14ac:dyDescent="0.25">
      <c r="AU916" s="154"/>
      <c r="BB916" s="334"/>
    </row>
    <row r="917" spans="45:57" x14ac:dyDescent="0.25">
      <c r="AU917" s="154"/>
    </row>
    <row r="918" spans="45:57" x14ac:dyDescent="0.25">
      <c r="AU918" s="154"/>
      <c r="BB918" s="334"/>
    </row>
    <row r="919" spans="45:57" x14ac:dyDescent="0.25">
      <c r="AS919" s="154"/>
      <c r="AZ919" s="334"/>
      <c r="BB919" s="334"/>
    </row>
    <row r="920" spans="45:57" x14ac:dyDescent="0.25">
      <c r="AY920" s="202"/>
      <c r="AZ920" s="334"/>
      <c r="BB920" s="334"/>
    </row>
    <row r="921" spans="45:57" x14ac:dyDescent="0.25">
      <c r="AY921" s="334"/>
      <c r="AZ921" s="334"/>
      <c r="BB921" s="334"/>
    </row>
    <row r="922" spans="45:57" x14ac:dyDescent="0.25">
      <c r="AY922" s="154"/>
      <c r="AZ922" s="334"/>
      <c r="BB922" s="334"/>
    </row>
    <row r="923" spans="45:57" x14ac:dyDescent="0.25">
      <c r="AY923" s="154"/>
      <c r="AZ923" s="334"/>
      <c r="BB923" s="334"/>
    </row>
    <row r="924" spans="45:57" x14ac:dyDescent="0.25">
      <c r="AS924" s="202"/>
      <c r="AZ924" s="334"/>
      <c r="BB924" s="334"/>
      <c r="BD924" s="154"/>
    </row>
    <row r="925" spans="45:57" x14ac:dyDescent="0.25">
      <c r="AS925" s="202"/>
      <c r="AZ925" s="334"/>
      <c r="BB925" s="334"/>
      <c r="BD925" s="154"/>
    </row>
    <row r="926" spans="45:57" x14ac:dyDescent="0.25">
      <c r="AS926" s="154"/>
      <c r="AZ926" s="334"/>
      <c r="BB926" s="334"/>
      <c r="BD926" s="154"/>
    </row>
    <row r="927" spans="45:57" x14ac:dyDescent="0.25">
      <c r="AZ927" s="334"/>
      <c r="BB927" s="334"/>
      <c r="BD927" s="202"/>
    </row>
    <row r="928" spans="45:57" x14ac:dyDescent="0.25">
      <c r="AS928" s="102"/>
      <c r="AT928" s="102"/>
      <c r="AU928" s="102"/>
      <c r="AV928" s="102"/>
      <c r="AW928" s="102"/>
      <c r="AX928" s="102"/>
      <c r="AY928" s="102"/>
      <c r="AZ928" s="335"/>
      <c r="BA928" s="102"/>
      <c r="BB928" s="335"/>
      <c r="BC928" s="102"/>
      <c r="BD928" s="102"/>
      <c r="BE928" s="102"/>
    </row>
    <row r="929" spans="45:57" x14ac:dyDescent="0.25">
      <c r="AX929" s="154"/>
      <c r="AZ929" s="334"/>
      <c r="BB929" s="334"/>
    </row>
    <row r="930" spans="45:57" x14ac:dyDescent="0.25">
      <c r="AX930" s="102"/>
      <c r="AY930" s="102"/>
      <c r="AZ930" s="335"/>
      <c r="BA930" s="102"/>
      <c r="BB930" s="334"/>
      <c r="BC930" s="103"/>
      <c r="BD930" s="103"/>
    </row>
    <row r="931" spans="45:57" x14ac:dyDescent="0.25">
      <c r="AV931" s="103"/>
      <c r="AW931" s="103"/>
      <c r="AZ931" s="336"/>
      <c r="BA931" s="103"/>
      <c r="BB931" s="334"/>
      <c r="BC931" s="103"/>
      <c r="BD931" s="103"/>
      <c r="BE931" s="103"/>
    </row>
    <row r="932" spans="45:57" x14ac:dyDescent="0.25">
      <c r="AV932" s="103"/>
      <c r="AW932" s="103"/>
      <c r="AX932" s="103"/>
      <c r="AY932" s="103"/>
      <c r="AZ932" s="336"/>
      <c r="BA932" s="103"/>
      <c r="BB932" s="336"/>
      <c r="BC932" s="103"/>
      <c r="BD932" s="103"/>
      <c r="BE932" s="103"/>
    </row>
    <row r="933" spans="45:57" x14ac:dyDescent="0.25">
      <c r="AS933" s="103"/>
      <c r="AU933" s="154"/>
      <c r="AV933" s="103"/>
      <c r="AW933" s="103"/>
      <c r="AX933" s="103"/>
      <c r="AY933" s="103"/>
      <c r="AZ933" s="336"/>
      <c r="BA933" s="103"/>
      <c r="BB933" s="336"/>
      <c r="BC933" s="103"/>
      <c r="BD933" s="103"/>
      <c r="BE933" s="103"/>
    </row>
    <row r="934" spans="45:57" x14ac:dyDescent="0.25">
      <c r="AS934" s="103"/>
      <c r="AU934" s="154"/>
      <c r="AV934" s="103"/>
      <c r="AW934" s="103"/>
      <c r="AX934" s="103"/>
      <c r="AY934" s="103"/>
      <c r="AZ934" s="336"/>
      <c r="BA934" s="103"/>
      <c r="BB934" s="336"/>
      <c r="BC934" s="103"/>
      <c r="BD934" s="103"/>
      <c r="BE934" s="103"/>
    </row>
    <row r="935" spans="45:57" x14ac:dyDescent="0.25">
      <c r="AS935" s="102"/>
      <c r="AT935" s="102"/>
      <c r="AU935" s="102"/>
      <c r="AV935" s="102"/>
      <c r="AW935" s="102"/>
      <c r="AX935" s="102"/>
      <c r="AY935" s="102"/>
      <c r="AZ935" s="335"/>
      <c r="BA935" s="102"/>
      <c r="BB935" s="335"/>
      <c r="BC935" s="102"/>
      <c r="BD935" s="102"/>
      <c r="BE935" s="102"/>
    </row>
    <row r="936" spans="45:57" x14ac:dyDescent="0.25">
      <c r="AV936" s="103"/>
      <c r="AW936" s="103"/>
      <c r="AX936" s="103"/>
      <c r="AY936" s="103"/>
      <c r="AZ936" s="336"/>
      <c r="BA936" s="103"/>
      <c r="BB936" s="336"/>
      <c r="BC936" s="103"/>
      <c r="BD936" s="103"/>
      <c r="BE936" s="103"/>
    </row>
    <row r="937" spans="45:57" x14ac:dyDescent="0.25">
      <c r="AS937" s="202"/>
      <c r="AT937" s="154"/>
      <c r="AV937" s="200"/>
      <c r="AW937" s="200"/>
      <c r="AX937" s="334"/>
      <c r="AY937" s="334"/>
      <c r="AZ937" s="334"/>
      <c r="BA937" s="201"/>
      <c r="BB937" s="334"/>
      <c r="BC937" s="334"/>
      <c r="BD937" s="334"/>
      <c r="BE937" s="201"/>
    </row>
    <row r="938" spans="45:57" x14ac:dyDescent="0.25">
      <c r="AS938" s="202"/>
      <c r="AV938" s="200"/>
      <c r="AW938" s="200"/>
      <c r="AX938" s="334"/>
      <c r="AY938" s="334"/>
      <c r="AZ938" s="334"/>
      <c r="BA938" s="201"/>
      <c r="BB938" s="334"/>
      <c r="BC938" s="334"/>
      <c r="BD938" s="334"/>
      <c r="BE938" s="201"/>
    </row>
    <row r="939" spans="45:57" x14ac:dyDescent="0.25">
      <c r="AS939" s="202"/>
      <c r="AV939" s="200"/>
      <c r="AW939" s="200"/>
      <c r="AX939" s="334"/>
      <c r="AY939" s="334"/>
      <c r="AZ939" s="334"/>
      <c r="BA939" s="201"/>
      <c r="BB939" s="334"/>
      <c r="BC939" s="334"/>
      <c r="BD939" s="334"/>
      <c r="BE939" s="201"/>
    </row>
    <row r="940" spans="45:57" x14ac:dyDescent="0.25">
      <c r="AS940" s="202"/>
      <c r="AV940" s="200"/>
      <c r="AW940" s="200"/>
      <c r="AX940" s="334"/>
      <c r="AY940" s="334"/>
      <c r="AZ940" s="334"/>
      <c r="BA940" s="201"/>
      <c r="BB940" s="334"/>
      <c r="BC940" s="334"/>
      <c r="BD940" s="334"/>
      <c r="BE940" s="201"/>
    </row>
    <row r="941" spans="45:57" x14ac:dyDescent="0.25">
      <c r="AS941" s="202"/>
      <c r="AV941" s="200"/>
      <c r="AW941" s="200"/>
      <c r="AX941" s="334"/>
      <c r="AY941" s="334"/>
      <c r="AZ941" s="334"/>
      <c r="BA941" s="201"/>
      <c r="BB941" s="334"/>
      <c r="BC941" s="334"/>
      <c r="BD941" s="334"/>
      <c r="BE941" s="201"/>
    </row>
    <row r="942" spans="45:57" x14ac:dyDescent="0.25">
      <c r="AS942" s="202"/>
      <c r="AV942" s="200"/>
      <c r="AW942" s="200"/>
      <c r="AX942" s="334"/>
      <c r="AY942" s="334"/>
      <c r="AZ942" s="334"/>
      <c r="BA942" s="201"/>
      <c r="BB942" s="334"/>
      <c r="BC942" s="334"/>
      <c r="BD942" s="334"/>
      <c r="BE942" s="201"/>
    </row>
    <row r="943" spans="45:57" x14ac:dyDescent="0.25">
      <c r="AS943" s="202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4" spans="45:57" x14ac:dyDescent="0.25">
      <c r="AS944" s="202"/>
      <c r="AV944" s="200"/>
      <c r="AW944" s="200"/>
      <c r="AX944" s="334"/>
      <c r="AY944" s="334"/>
      <c r="AZ944" s="334"/>
      <c r="BA944" s="201"/>
      <c r="BB944" s="334"/>
      <c r="BC944" s="334"/>
      <c r="BD944" s="334"/>
      <c r="BE944" s="201"/>
    </row>
    <row r="945" spans="45:57" x14ac:dyDescent="0.25">
      <c r="AS945" s="202"/>
      <c r="AV945" s="200"/>
      <c r="AW945" s="200"/>
      <c r="AX945" s="334"/>
      <c r="AY945" s="334"/>
      <c r="AZ945" s="334"/>
      <c r="BA945" s="201"/>
      <c r="BB945" s="334"/>
      <c r="BC945" s="334"/>
      <c r="BD945" s="334"/>
      <c r="BE945" s="201"/>
    </row>
    <row r="946" spans="45:57" x14ac:dyDescent="0.25">
      <c r="AS946" s="202"/>
      <c r="AV946" s="200"/>
      <c r="AW946" s="200"/>
      <c r="AX946" s="334"/>
      <c r="AY946" s="334"/>
      <c r="AZ946" s="334"/>
      <c r="BA946" s="201"/>
      <c r="BB946" s="334"/>
      <c r="BC946" s="334"/>
      <c r="BD946" s="334"/>
      <c r="BE946" s="201"/>
    </row>
    <row r="947" spans="45:57" x14ac:dyDescent="0.25">
      <c r="AV947" s="200"/>
      <c r="AW947" s="200"/>
      <c r="BB947" s="334"/>
    </row>
    <row r="948" spans="45:57" x14ac:dyDescent="0.25">
      <c r="AS948" s="202"/>
      <c r="AT948" s="154"/>
      <c r="AV948" s="200"/>
      <c r="AW948" s="200"/>
      <c r="AX948" s="334"/>
      <c r="AY948" s="334"/>
      <c r="AZ948" s="334"/>
      <c r="BA948" s="201"/>
      <c r="BB948" s="334"/>
      <c r="BC948" s="334"/>
      <c r="BD948" s="334"/>
      <c r="BE948" s="201"/>
    </row>
    <row r="949" spans="45:57" x14ac:dyDescent="0.25">
      <c r="AS949" s="202"/>
      <c r="AV949" s="200"/>
      <c r="AW949" s="200"/>
      <c r="AX949" s="334"/>
      <c r="AY949" s="334"/>
      <c r="AZ949" s="334"/>
      <c r="BA949" s="201"/>
      <c r="BB949" s="334"/>
      <c r="BC949" s="334"/>
      <c r="BD949" s="334"/>
      <c r="BE949" s="201"/>
    </row>
    <row r="950" spans="45:57" x14ac:dyDescent="0.25">
      <c r="AS950" s="202"/>
      <c r="AV950" s="200"/>
      <c r="AW950" s="200"/>
      <c r="AX950" s="334"/>
      <c r="AY950" s="334"/>
      <c r="AZ950" s="334"/>
      <c r="BA950" s="201"/>
      <c r="BB950" s="334"/>
      <c r="BC950" s="334"/>
      <c r="BD950" s="334"/>
      <c r="BE950" s="201"/>
    </row>
    <row r="951" spans="45:57" x14ac:dyDescent="0.25">
      <c r="AS951" s="202"/>
      <c r="AV951" s="200"/>
      <c r="AW951" s="200"/>
      <c r="AX951" s="334"/>
      <c r="AY951" s="334"/>
      <c r="AZ951" s="334"/>
      <c r="BA951" s="201"/>
      <c r="BB951" s="334"/>
      <c r="BC951" s="334"/>
      <c r="BD951" s="334"/>
      <c r="BE951" s="201"/>
    </row>
    <row r="952" spans="45:57" x14ac:dyDescent="0.25">
      <c r="AS952" s="202"/>
      <c r="AV952" s="200"/>
      <c r="AW952" s="200"/>
      <c r="AX952" s="334"/>
      <c r="AY952" s="334"/>
      <c r="AZ952" s="334"/>
      <c r="BA952" s="201"/>
      <c r="BB952" s="334"/>
      <c r="BC952" s="334"/>
      <c r="BD952" s="334"/>
      <c r="BE952" s="201"/>
    </row>
    <row r="953" spans="45:57" x14ac:dyDescent="0.25">
      <c r="AS953" s="202"/>
      <c r="AV953" s="200"/>
      <c r="AW953" s="200"/>
      <c r="AX953" s="334"/>
      <c r="AY953" s="334"/>
      <c r="AZ953" s="334"/>
      <c r="BA953" s="201"/>
      <c r="BB953" s="334"/>
      <c r="BC953" s="334"/>
      <c r="BD953" s="334"/>
      <c r="BE953" s="201"/>
    </row>
    <row r="954" spans="45:57" x14ac:dyDescent="0.25">
      <c r="AS954" s="202"/>
      <c r="AV954" s="200"/>
      <c r="AW954" s="200"/>
      <c r="AX954" s="334"/>
      <c r="AY954" s="334"/>
      <c r="AZ954" s="334"/>
      <c r="BA954" s="201"/>
      <c r="BB954" s="334"/>
      <c r="BC954" s="334"/>
      <c r="BD954" s="334"/>
      <c r="BE954" s="201"/>
    </row>
    <row r="955" spans="45:57" x14ac:dyDescent="0.25">
      <c r="AS955" s="202"/>
      <c r="AV955" s="200"/>
      <c r="AW955" s="200"/>
      <c r="AX955" s="334"/>
      <c r="AY955" s="334"/>
      <c r="AZ955" s="334"/>
      <c r="BA955" s="201"/>
      <c r="BB955" s="334"/>
      <c r="BC955" s="334"/>
      <c r="BD955" s="334"/>
      <c r="BE955" s="201"/>
    </row>
    <row r="956" spans="45:57" x14ac:dyDescent="0.25">
      <c r="AS956" s="202"/>
      <c r="AV956" s="200"/>
      <c r="AW956" s="200"/>
      <c r="AX956" s="334"/>
      <c r="AY956" s="334"/>
      <c r="AZ956" s="334"/>
      <c r="BA956" s="201"/>
      <c r="BB956" s="334"/>
      <c r="BC956" s="334"/>
      <c r="BD956" s="334"/>
      <c r="BE956" s="201"/>
    </row>
    <row r="957" spans="45:57" x14ac:dyDescent="0.25">
      <c r="AS957" s="202"/>
      <c r="AV957" s="200"/>
      <c r="AW957" s="200"/>
      <c r="AX957" s="334"/>
      <c r="AY957" s="334"/>
      <c r="AZ957" s="334"/>
      <c r="BA957" s="201"/>
      <c r="BB957" s="334"/>
      <c r="BC957" s="334"/>
      <c r="BD957" s="334"/>
      <c r="BE957" s="201"/>
    </row>
    <row r="959" spans="45:57" x14ac:dyDescent="0.25">
      <c r="AU959" s="154"/>
    </row>
    <row r="960" spans="45:57" x14ac:dyDescent="0.25">
      <c r="AU960" s="154"/>
    </row>
    <row r="961" spans="45:47" x14ac:dyDescent="0.25">
      <c r="AU961" s="154"/>
    </row>
    <row r="962" spans="45:47" x14ac:dyDescent="0.25">
      <c r="AS962" s="154"/>
    </row>
    <row r="983" spans="52:71" x14ac:dyDescent="0.25">
      <c r="AZ983" s="334"/>
      <c r="BB983" s="334"/>
      <c r="BC983" s="334"/>
      <c r="BD983" s="334"/>
      <c r="BG983" s="334"/>
      <c r="BH983" s="334"/>
      <c r="BI983" s="334"/>
      <c r="BJ983" s="334"/>
      <c r="BK983" s="334"/>
      <c r="BL983" s="334"/>
      <c r="BM983" s="334"/>
      <c r="BN983" s="334"/>
      <c r="BO983" s="334"/>
      <c r="BP983" s="334"/>
      <c r="BQ983" s="334"/>
      <c r="BR983" s="334"/>
      <c r="BS983" s="334"/>
    </row>
    <row r="984" spans="52:71" x14ac:dyDescent="0.25">
      <c r="AZ984" s="334"/>
      <c r="BB984" s="334"/>
      <c r="BC984" s="334"/>
      <c r="BD984" s="334"/>
      <c r="BG984" s="334"/>
      <c r="BH984" s="334"/>
      <c r="BI984" s="334"/>
      <c r="BJ984" s="334"/>
      <c r="BK984" s="334"/>
      <c r="BL984" s="334"/>
      <c r="BM984" s="334"/>
      <c r="BN984" s="334"/>
      <c r="BO984" s="334"/>
      <c r="BP984" s="334"/>
      <c r="BQ984" s="334"/>
      <c r="BR984" s="334"/>
      <c r="BS984" s="334"/>
    </row>
    <row r="985" spans="52:71" x14ac:dyDescent="0.25">
      <c r="AZ985" s="334"/>
      <c r="BB985" s="334"/>
      <c r="BC985" s="334"/>
      <c r="BD985" s="334"/>
      <c r="BG985" s="334"/>
      <c r="BH985" s="334"/>
      <c r="BI985" s="334"/>
      <c r="BJ985" s="334"/>
      <c r="BK985" s="334"/>
      <c r="BL985" s="334"/>
      <c r="BM985" s="334"/>
      <c r="BN985" s="334"/>
      <c r="BO985" s="334"/>
      <c r="BP985" s="334"/>
      <c r="BQ985" s="334"/>
      <c r="BR985" s="334"/>
      <c r="BS985" s="334"/>
    </row>
    <row r="986" spans="52:71" x14ac:dyDescent="0.25">
      <c r="AZ986" s="334"/>
      <c r="BB986" s="334"/>
      <c r="BC986" s="334"/>
      <c r="BD986" s="334"/>
      <c r="BG986" s="334"/>
      <c r="BH986" s="334"/>
      <c r="BI986" s="334"/>
      <c r="BJ986" s="334"/>
      <c r="BK986" s="334"/>
      <c r="BL986" s="334"/>
      <c r="BM986" s="334"/>
      <c r="BN986" s="334"/>
      <c r="BO986" s="334"/>
      <c r="BP986" s="334"/>
      <c r="BQ986" s="334"/>
      <c r="BR986" s="334"/>
      <c r="BS986" s="334"/>
    </row>
    <row r="987" spans="52:71" x14ac:dyDescent="0.25">
      <c r="AZ987" s="334"/>
      <c r="BB987" s="334"/>
      <c r="BC987" s="334"/>
      <c r="BD987" s="334"/>
      <c r="BG987" s="334"/>
      <c r="BH987" s="334"/>
      <c r="BI987" s="334"/>
      <c r="BJ987" s="334"/>
      <c r="BK987" s="334"/>
      <c r="BL987" s="334"/>
      <c r="BM987" s="334"/>
      <c r="BN987" s="334"/>
      <c r="BO987" s="334"/>
      <c r="BP987" s="334"/>
      <c r="BQ987" s="334"/>
      <c r="BR987" s="334"/>
      <c r="BS987" s="334"/>
    </row>
    <row r="988" spans="52:71" x14ac:dyDescent="0.25">
      <c r="AZ988" s="334"/>
      <c r="BB988" s="334"/>
      <c r="BC988" s="334"/>
      <c r="BD988" s="334"/>
      <c r="BG988" s="334"/>
      <c r="BH988" s="334"/>
      <c r="BI988" s="334"/>
      <c r="BJ988" s="334"/>
      <c r="BK988" s="334"/>
      <c r="BL988" s="334"/>
      <c r="BM988" s="334"/>
      <c r="BN988" s="334"/>
      <c r="BO988" s="334"/>
      <c r="BP988" s="334"/>
      <c r="BQ988" s="334"/>
      <c r="BR988" s="334"/>
      <c r="BS988" s="334"/>
    </row>
    <row r="989" spans="52:71" x14ac:dyDescent="0.25">
      <c r="AZ989" s="334"/>
      <c r="BB989" s="334"/>
      <c r="BC989" s="334"/>
      <c r="BD989" s="334"/>
      <c r="BG989" s="334"/>
      <c r="BH989" s="334"/>
      <c r="BI989" s="334"/>
      <c r="BJ989" s="334"/>
      <c r="BK989" s="334"/>
      <c r="BL989" s="334"/>
      <c r="BM989" s="334"/>
      <c r="BN989" s="334"/>
      <c r="BO989" s="334"/>
      <c r="BP989" s="334"/>
      <c r="BQ989" s="334"/>
      <c r="BR989" s="334"/>
      <c r="BS989" s="334"/>
    </row>
    <row r="990" spans="52:71" x14ac:dyDescent="0.25">
      <c r="AZ990" s="334"/>
      <c r="BB990" s="334"/>
      <c r="BC990" s="334"/>
      <c r="BD990" s="334"/>
      <c r="BG990" s="334"/>
      <c r="BH990" s="334"/>
      <c r="BI990" s="334"/>
      <c r="BJ990" s="334"/>
      <c r="BK990" s="334"/>
      <c r="BL990" s="334"/>
      <c r="BM990" s="334"/>
      <c r="BN990" s="334"/>
      <c r="BO990" s="334"/>
      <c r="BP990" s="334"/>
      <c r="BQ990" s="334"/>
      <c r="BR990" s="334"/>
      <c r="BS990" s="334"/>
    </row>
    <row r="991" spans="52:71" x14ac:dyDescent="0.25">
      <c r="AZ991" s="334"/>
      <c r="BB991" s="334"/>
      <c r="BC991" s="334"/>
      <c r="BD991" s="334"/>
      <c r="BG991" s="334"/>
      <c r="BH991" s="334"/>
      <c r="BI991" s="334"/>
      <c r="BJ991" s="334"/>
      <c r="BK991" s="334"/>
      <c r="BL991" s="334"/>
      <c r="BM991" s="334"/>
      <c r="BN991" s="334"/>
      <c r="BO991" s="334"/>
      <c r="BP991" s="334"/>
      <c r="BQ991" s="334"/>
      <c r="BR991" s="334"/>
      <c r="BS991" s="334"/>
    </row>
    <row r="992" spans="52:71" x14ac:dyDescent="0.25">
      <c r="AZ992" s="334"/>
      <c r="BB992" s="334"/>
      <c r="BC992" s="334"/>
      <c r="BD992" s="334"/>
      <c r="BG992" s="334"/>
      <c r="BH992" s="334"/>
      <c r="BI992" s="334"/>
      <c r="BJ992" s="334"/>
      <c r="BK992" s="334"/>
      <c r="BL992" s="334"/>
      <c r="BM992" s="334"/>
      <c r="BN992" s="334"/>
      <c r="BO992" s="334"/>
      <c r="BP992" s="334"/>
      <c r="BQ992" s="334"/>
      <c r="BR992" s="334"/>
      <c r="BS992" s="334"/>
    </row>
    <row r="993" spans="52:71" x14ac:dyDescent="0.25">
      <c r="AZ993" s="334"/>
      <c r="BB993" s="334"/>
      <c r="BC993" s="334"/>
      <c r="BD993" s="334"/>
      <c r="BG993" s="334"/>
      <c r="BH993" s="334"/>
      <c r="BI993" s="334"/>
      <c r="BJ993" s="334"/>
      <c r="BK993" s="334"/>
      <c r="BL993" s="334"/>
      <c r="BM993" s="334"/>
      <c r="BN993" s="334"/>
      <c r="BO993" s="334"/>
      <c r="BP993" s="334"/>
      <c r="BQ993" s="334"/>
      <c r="BR993" s="334"/>
      <c r="BS993" s="334"/>
    </row>
    <row r="994" spans="52:71" x14ac:dyDescent="0.25">
      <c r="AZ994" s="334"/>
      <c r="BB994" s="334"/>
      <c r="BC994" s="334"/>
      <c r="BD994" s="334"/>
      <c r="BG994" s="334"/>
      <c r="BH994" s="334"/>
      <c r="BI994" s="334"/>
      <c r="BJ994" s="334"/>
      <c r="BK994" s="334"/>
      <c r="BL994" s="334"/>
      <c r="BM994" s="334"/>
      <c r="BN994" s="334"/>
      <c r="BO994" s="334"/>
      <c r="BP994" s="334"/>
      <c r="BQ994" s="334"/>
      <c r="BR994" s="334"/>
      <c r="BS994" s="334"/>
    </row>
    <row r="995" spans="52:71" x14ac:dyDescent="0.25">
      <c r="AZ995" s="334"/>
      <c r="BG995" s="334"/>
      <c r="BH995" s="334"/>
      <c r="BI995" s="334"/>
      <c r="BJ995" s="334"/>
      <c r="BK995" s="334"/>
      <c r="BL995" s="334"/>
      <c r="BM995" s="334"/>
      <c r="BN995" s="334"/>
      <c r="BO995" s="334"/>
      <c r="BP995" s="334"/>
      <c r="BQ995" s="334"/>
      <c r="BR995" s="334"/>
      <c r="BS995" s="334"/>
    </row>
    <row r="996" spans="52:71" x14ac:dyDescent="0.25">
      <c r="AZ996" s="334"/>
      <c r="BG996" s="334"/>
      <c r="BH996" s="334"/>
      <c r="BI996" s="334"/>
      <c r="BJ996" s="334"/>
      <c r="BK996" s="334"/>
      <c r="BL996" s="334"/>
      <c r="BM996" s="334"/>
      <c r="BN996" s="334"/>
      <c r="BO996" s="334"/>
      <c r="BP996" s="334"/>
      <c r="BQ996" s="334"/>
      <c r="BR996" s="334"/>
      <c r="BS996" s="334"/>
    </row>
    <row r="997" spans="52:71" x14ac:dyDescent="0.25">
      <c r="AZ997" s="334"/>
      <c r="BG997" s="334"/>
      <c r="BH997" s="334"/>
      <c r="BI997" s="334"/>
      <c r="BJ997" s="334"/>
      <c r="BK997" s="334"/>
      <c r="BL997" s="334"/>
      <c r="BM997" s="334"/>
      <c r="BN997" s="334"/>
      <c r="BO997" s="334"/>
      <c r="BP997" s="334"/>
      <c r="BQ997" s="334"/>
      <c r="BR997" s="334"/>
      <c r="BS997" s="334"/>
    </row>
    <row r="998" spans="52:71" x14ac:dyDescent="0.25">
      <c r="AZ998" s="334"/>
      <c r="BG998" s="334"/>
      <c r="BH998" s="334"/>
      <c r="BI998" s="334"/>
      <c r="BJ998" s="334"/>
      <c r="BK998" s="334"/>
      <c r="BL998" s="334"/>
      <c r="BM998" s="334"/>
      <c r="BN998" s="334"/>
      <c r="BO998" s="334"/>
      <c r="BP998" s="334"/>
      <c r="BQ998" s="334"/>
      <c r="BR998" s="334"/>
      <c r="BS998" s="334"/>
    </row>
    <row r="999" spans="52:71" x14ac:dyDescent="0.25">
      <c r="AZ999" s="334"/>
      <c r="BG999" s="334"/>
      <c r="BH999" s="334"/>
      <c r="BI999" s="334"/>
      <c r="BJ999" s="334"/>
      <c r="BK999" s="334"/>
      <c r="BL999" s="334"/>
      <c r="BM999" s="334"/>
      <c r="BN999" s="334"/>
      <c r="BO999" s="334"/>
      <c r="BP999" s="334"/>
      <c r="BQ999" s="334"/>
      <c r="BR999" s="334"/>
      <c r="BS999" s="334"/>
    </row>
    <row r="1000" spans="52:71" x14ac:dyDescent="0.25">
      <c r="AZ1000" s="334"/>
      <c r="BG1000" s="334"/>
      <c r="BH1000" s="334"/>
      <c r="BI1000" s="334"/>
      <c r="BJ1000" s="334"/>
      <c r="BK1000" s="334"/>
      <c r="BL1000" s="334"/>
      <c r="BM1000" s="334"/>
      <c r="BN1000" s="334"/>
      <c r="BO1000" s="334"/>
      <c r="BP1000" s="334"/>
      <c r="BQ1000" s="334"/>
      <c r="BR1000" s="334"/>
      <c r="BS1000" s="334"/>
    </row>
    <row r="1001" spans="52:71" x14ac:dyDescent="0.25">
      <c r="AZ1001" s="334"/>
      <c r="BG1001" s="334"/>
      <c r="BH1001" s="334"/>
      <c r="BI1001" s="334"/>
      <c r="BJ1001" s="334"/>
      <c r="BK1001" s="334"/>
      <c r="BL1001" s="334"/>
      <c r="BM1001" s="334"/>
      <c r="BN1001" s="334"/>
      <c r="BO1001" s="334"/>
      <c r="BP1001" s="334"/>
      <c r="BQ1001" s="334"/>
      <c r="BR1001" s="334"/>
      <c r="BS1001" s="334"/>
    </row>
    <row r="1002" spans="52:71" x14ac:dyDescent="0.25">
      <c r="AZ1002" s="334"/>
    </row>
    <row r="1003" spans="52:71" x14ac:dyDescent="0.25">
      <c r="AZ1003" s="334"/>
    </row>
    <row r="1017" spans="1:28" x14ac:dyDescent="0.25">
      <c r="A1017" s="154"/>
    </row>
    <row r="1020" spans="1:28" x14ac:dyDescent="0.25">
      <c r="Y1020" s="154"/>
    </row>
    <row r="1021" spans="1:28" x14ac:dyDescent="0.25">
      <c r="A1021" s="154"/>
      <c r="H1021" s="154"/>
      <c r="I1021" s="154"/>
    </row>
    <row r="1022" spans="1:28" x14ac:dyDescent="0.25">
      <c r="A1022" s="154"/>
      <c r="V1022" s="103"/>
      <c r="AA1022" s="103"/>
      <c r="AB1022" s="103"/>
    </row>
    <row r="1023" spans="1:28" x14ac:dyDescent="0.25">
      <c r="A1023" s="154"/>
      <c r="V1023" s="102"/>
      <c r="AA1023" s="102"/>
      <c r="AB1023" s="102"/>
    </row>
    <row r="1024" spans="1:28" x14ac:dyDescent="0.25">
      <c r="A1024" s="154"/>
      <c r="U1024" s="154"/>
      <c r="AA1024" s="103"/>
      <c r="AB1024" s="103"/>
    </row>
    <row r="1025" spans="1:28" x14ac:dyDescent="0.25">
      <c r="A1025" s="154"/>
    </row>
    <row r="1026" spans="1:28" x14ac:dyDescent="0.25">
      <c r="A1026" s="154"/>
      <c r="U1026" s="154"/>
      <c r="AA1026" s="103"/>
      <c r="AB1026" s="103"/>
    </row>
    <row r="1027" spans="1:28" x14ac:dyDescent="0.25">
      <c r="A1027" s="154"/>
    </row>
    <row r="1028" spans="1:28" x14ac:dyDescent="0.25">
      <c r="A1028" s="154"/>
      <c r="U1028" s="154"/>
      <c r="V1028" s="338"/>
      <c r="AA1028" s="103"/>
      <c r="AB1028" s="103"/>
    </row>
    <row r="1029" spans="1:28" x14ac:dyDescent="0.25">
      <c r="A1029" s="154"/>
    </row>
    <row r="1030" spans="1:28" x14ac:dyDescent="0.25">
      <c r="A1030" s="154"/>
      <c r="U1030" s="154"/>
      <c r="AA1030" s="103"/>
      <c r="AB1030" s="103"/>
    </row>
    <row r="1031" spans="1:28" x14ac:dyDescent="0.25">
      <c r="A1031" s="154"/>
    </row>
    <row r="1032" spans="1:28" x14ac:dyDescent="0.25">
      <c r="A1032" s="154"/>
      <c r="U1032" s="154"/>
      <c r="AA1032" s="103"/>
      <c r="AB1032" s="103"/>
    </row>
    <row r="1033" spans="1:28" x14ac:dyDescent="0.25">
      <c r="A1033" s="154"/>
    </row>
    <row r="1034" spans="1:28" x14ac:dyDescent="0.25">
      <c r="A1034" s="154"/>
    </row>
    <row r="1035" spans="1:28" x14ac:dyDescent="0.25">
      <c r="A1035" s="154"/>
    </row>
    <row r="1036" spans="1:28" x14ac:dyDescent="0.25">
      <c r="A1036" s="154"/>
    </row>
    <row r="1037" spans="1:28" x14ac:dyDescent="0.25">
      <c r="A1037" s="154"/>
    </row>
    <row r="1038" spans="1:28" x14ac:dyDescent="0.25">
      <c r="A1038" s="154"/>
    </row>
    <row r="1039" spans="1:28" x14ac:dyDescent="0.25">
      <c r="A1039" s="154"/>
    </row>
    <row r="1040" spans="1:28" x14ac:dyDescent="0.25">
      <c r="A1040" s="154"/>
    </row>
    <row r="1041" spans="1:9" x14ac:dyDescent="0.25">
      <c r="A1041" s="154"/>
    </row>
    <row r="1042" spans="1:9" x14ac:dyDescent="0.25">
      <c r="A1042" s="154"/>
    </row>
    <row r="1043" spans="1:9" x14ac:dyDescent="0.25">
      <c r="A1043" s="154"/>
      <c r="H1043" s="154"/>
      <c r="I1043" s="154"/>
    </row>
    <row r="1046" spans="1:9" x14ac:dyDescent="0.25">
      <c r="A1046" s="154"/>
    </row>
    <row r="1049" spans="1:9" x14ac:dyDescent="0.25">
      <c r="A1049" s="154"/>
    </row>
    <row r="1052" spans="1:9" x14ac:dyDescent="0.25">
      <c r="A1052" s="154"/>
    </row>
    <row r="1053" spans="1:9" x14ac:dyDescent="0.25">
      <c r="A1053" s="154"/>
    </row>
    <row r="1054" spans="1:9" x14ac:dyDescent="0.25">
      <c r="A1054" s="154"/>
    </row>
    <row r="1055" spans="1:9" x14ac:dyDescent="0.25">
      <c r="A1055" s="154"/>
    </row>
    <row r="1056" spans="1:9" x14ac:dyDescent="0.25">
      <c r="A1056" s="154"/>
    </row>
    <row r="1057" spans="1:1" x14ac:dyDescent="0.25">
      <c r="A1057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  <row r="1068" spans="1:1" x14ac:dyDescent="0.25">
      <c r="A1068" s="154"/>
    </row>
    <row r="1069" spans="1:1" x14ac:dyDescent="0.25">
      <c r="A1069" s="154"/>
    </row>
    <row r="1070" spans="1:1" x14ac:dyDescent="0.25">
      <c r="A1070" s="154"/>
    </row>
    <row r="1071" spans="1:1" x14ac:dyDescent="0.25">
      <c r="A1071" s="154"/>
    </row>
    <row r="1072" spans="1:1" x14ac:dyDescent="0.25">
      <c r="A1072" s="154"/>
    </row>
    <row r="1073" spans="1:1" x14ac:dyDescent="0.25">
      <c r="A1073" s="154"/>
    </row>
    <row r="1074" spans="1:1" x14ac:dyDescent="0.25">
      <c r="A1074" s="154"/>
    </row>
    <row r="1075" spans="1:1" x14ac:dyDescent="0.25">
      <c r="A1075" s="154"/>
    </row>
    <row r="1076" spans="1:1" x14ac:dyDescent="0.25">
      <c r="A1076" s="154"/>
    </row>
    <row r="1077" spans="1:1" x14ac:dyDescent="0.25">
      <c r="A1077" s="154"/>
    </row>
    <row r="1078" spans="1:1" x14ac:dyDescent="0.25">
      <c r="A1078" s="154"/>
    </row>
    <row r="1079" spans="1:1" x14ac:dyDescent="0.25">
      <c r="A1079" s="154"/>
    </row>
    <row r="1080" spans="1:1" x14ac:dyDescent="0.25">
      <c r="A1080" s="154"/>
    </row>
    <row r="1081" spans="1:1" x14ac:dyDescent="0.25">
      <c r="A1081" s="154"/>
    </row>
    <row r="1082" spans="1:1" x14ac:dyDescent="0.25">
      <c r="A1082" s="154"/>
    </row>
    <row r="1083" spans="1:1" x14ac:dyDescent="0.25">
      <c r="A1083" s="154"/>
    </row>
    <row r="1084" spans="1:1" x14ac:dyDescent="0.25">
      <c r="A1084" s="154"/>
    </row>
    <row r="1085" spans="1:1" x14ac:dyDescent="0.25">
      <c r="A1085" s="154"/>
    </row>
    <row r="1086" spans="1:1" x14ac:dyDescent="0.25">
      <c r="A1086" s="154"/>
    </row>
    <row r="1091" spans="1:1" x14ac:dyDescent="0.25">
      <c r="A1091" s="154"/>
    </row>
    <row r="1092" spans="1:1" x14ac:dyDescent="0.25">
      <c r="A1092" s="154"/>
    </row>
    <row r="1095" spans="1:1" x14ac:dyDescent="0.25">
      <c r="A1095" s="154"/>
    </row>
    <row r="1097" spans="1:1" x14ac:dyDescent="0.25">
      <c r="A1097" s="154"/>
    </row>
    <row r="1099" spans="1:1" x14ac:dyDescent="0.25">
      <c r="A1099" s="154"/>
    </row>
    <row r="1101" spans="1:1" x14ac:dyDescent="0.25">
      <c r="A1101" s="154"/>
    </row>
    <row r="1104" spans="1:1" x14ac:dyDescent="0.25">
      <c r="A1104" s="154"/>
    </row>
    <row r="1105" spans="1:1" x14ac:dyDescent="0.25">
      <c r="A1105" s="154"/>
    </row>
    <row r="1106" spans="1:1" x14ac:dyDescent="0.25">
      <c r="A1106" s="154"/>
    </row>
    <row r="1107" spans="1:1" x14ac:dyDescent="0.25">
      <c r="A1107" s="154"/>
    </row>
    <row r="1108" spans="1:1" x14ac:dyDescent="0.25">
      <c r="A1108" s="154"/>
    </row>
    <row r="1109" spans="1:1" x14ac:dyDescent="0.25">
      <c r="A1109" s="154"/>
    </row>
    <row r="1110" spans="1:1" x14ac:dyDescent="0.25">
      <c r="A1110" s="154"/>
    </row>
    <row r="1111" spans="1:1" x14ac:dyDescent="0.25">
      <c r="A1111" s="154"/>
    </row>
  </sheetData>
  <customSheetViews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"/>
      <headerFooter alignWithMargins="0"/>
    </customSheetView>
    <customSheetView guid="{0C49E549-011E-46F4-A82E-2CC8951A9C1E}" scale="75" fitToPage="1" showRuler="0">
      <selection activeCell="J28" sqref="J2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2"/>
      <headerFooter alignWithMargins="0"/>
    </customSheetView>
    <customSheetView guid="{4BC93440-BA85-4935-A8C9-66DC6AE5DE5E}" scale="75" fitToPage="1" showRuler="0" topLeftCell="AB51">
      <selection activeCell="AM69" sqref="AM6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 topLeftCell="AB51">
      <selection activeCell="AM69" sqref="AM6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5"/>
      <headerFooter alignWithMargins="0"/>
    </customSheetView>
    <customSheetView guid="{8FC77C99-DBF7-40B8-99B8-01B75826CDCB}" scale="75" fitToPage="1" showRuler="0">
      <selection activeCell="J28" sqref="J2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7"/>
      <headerFooter alignWithMargins="0"/>
    </customSheetView>
    <customSheetView guid="{6B3D5C27-2FDE-4561-9575-1E98BFB869D0}" scale="75" fitToPage="1" showRuler="0">
      <selection sqref="A1:R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7" orientation="landscape" r:id="rId8"/>
      <headerFooter alignWithMargins="0"/>
    </customSheetView>
    <customSheetView guid="{0BC1F393-8A13-47D5-BC6C-0C99615B5AB9}" scale="75" fitToPage="1" showRuler="0">
      <selection sqref="A1:R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9"/>
      <headerFooter alignWithMargins="0"/>
    </customSheetView>
    <customSheetView guid="{18BDED73-BFA0-442E-87EC-CED86EE4CF94}" scale="75" fitToPage="1" showRuler="0">
      <selection activeCell="J29" sqref="J2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0"/>
      <headerFooter alignWithMargins="0"/>
    </customSheetView>
    <customSheetView guid="{35F19056-2E6F-4935-B863-78836FE990BF}" scale="75" fitToPage="1" showRuler="0">
      <selection activeCell="J29" sqref="J2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1"/>
      <headerFooter alignWithMargins="0"/>
    </customSheetView>
    <customSheetView guid="{F562D92E-120C-4AE9-9663-89E64D41DC53}" scale="75" fitToPage="1">
      <selection activeCell="J29" sqref="J2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4"/>
  <dimension ref="A1:BX1117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4.88671875" style="101" customWidth="1"/>
    <col min="2" max="2" width="0.6640625" style="101" customWidth="1"/>
    <col min="3" max="3" width="7.6640625" style="101" customWidth="1"/>
    <col min="4" max="4" width="43.88671875" style="101" customWidth="1"/>
    <col min="5" max="5" width="0.66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2.218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19.664062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7.6640625" style="101" customWidth="1"/>
    <col min="23" max="23" width="43.6640625" style="101" customWidth="1"/>
    <col min="24" max="24" width="0.55468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2.3320312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760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475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51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474</v>
      </c>
      <c r="D20" s="253" t="s">
        <v>472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154"/>
      <c r="U20" s="154"/>
    </row>
    <row r="21" spans="1:40" x14ac:dyDescent="0.25">
      <c r="A21" s="159">
        <v>2</v>
      </c>
      <c r="B21" s="80"/>
      <c r="C21" s="258"/>
      <c r="D21" s="253" t="s">
        <v>154</v>
      </c>
      <c r="E21" s="82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154"/>
    </row>
    <row r="22" spans="1:40" ht="19.5" customHeight="1" x14ac:dyDescent="0.25">
      <c r="A22" s="80"/>
      <c r="B22" s="80"/>
      <c r="C22" s="80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8"/>
      <c r="G23" s="70"/>
      <c r="H23" s="78"/>
      <c r="I23" s="78"/>
      <c r="J23" s="284"/>
      <c r="K23" s="284"/>
      <c r="L23" s="79"/>
      <c r="M23" s="79"/>
      <c r="N23" s="156"/>
      <c r="O23" s="156"/>
      <c r="P23" s="70"/>
      <c r="Q23" s="70"/>
      <c r="R23" s="79"/>
      <c r="S23" s="200"/>
      <c r="T23" s="154"/>
      <c r="V23" s="200"/>
      <c r="Y23" s="200"/>
      <c r="Z23" s="300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159">
        <v>4</v>
      </c>
      <c r="B24" s="80"/>
      <c r="C24" s="82" t="s">
        <v>417</v>
      </c>
      <c r="D24" s="80"/>
      <c r="E24" s="80"/>
      <c r="F24" s="252">
        <v>24</v>
      </c>
      <c r="G24" s="70"/>
      <c r="H24" s="78"/>
      <c r="I24" s="78"/>
      <c r="J24" s="283">
        <f>INPUT!D153</f>
        <v>183</v>
      </c>
      <c r="K24" s="284"/>
      <c r="L24" s="79">
        <f>ROUND(F24*J24,0)</f>
        <v>4392</v>
      </c>
      <c r="M24" s="79"/>
      <c r="N24" s="341">
        <f>ROUND((L24/$L$42)*100,1)</f>
        <v>2.5</v>
      </c>
      <c r="O24" s="156"/>
      <c r="P24" s="302"/>
      <c r="Q24" s="302"/>
      <c r="R24" s="79">
        <f>L24+P24</f>
        <v>4392</v>
      </c>
      <c r="S24" s="200"/>
      <c r="V24" s="211"/>
      <c r="Y24" s="200"/>
      <c r="Z24" s="252"/>
      <c r="AA24" s="200"/>
      <c r="AB24" s="200"/>
      <c r="AC24" s="210"/>
      <c r="AD24" s="210"/>
      <c r="AE24" s="200"/>
      <c r="AF24" s="200"/>
      <c r="AI24" s="200"/>
      <c r="AJ24" s="200"/>
      <c r="AK24" s="209"/>
      <c r="AL24" s="200"/>
    </row>
    <row r="25" spans="1:40" ht="20.100000000000001" customHeight="1" x14ac:dyDescent="0.25">
      <c r="A25" s="159">
        <v>5</v>
      </c>
      <c r="B25" s="80"/>
      <c r="C25" s="253" t="s">
        <v>158</v>
      </c>
      <c r="D25" s="80"/>
      <c r="E25" s="80"/>
      <c r="F25" s="163"/>
      <c r="G25" s="70"/>
      <c r="H25" s="79"/>
      <c r="I25" s="79"/>
      <c r="J25" s="388"/>
      <c r="K25" s="268"/>
      <c r="L25" s="169">
        <f>SUM(L24)</f>
        <v>4392</v>
      </c>
      <c r="M25" s="79"/>
      <c r="N25" s="341">
        <f>ROUND((L25/$L$42)*100,1)</f>
        <v>2.5</v>
      </c>
      <c r="O25" s="156"/>
      <c r="P25" s="169"/>
      <c r="Q25" s="79"/>
      <c r="R25" s="169">
        <f>SUM(R24)</f>
        <v>4392</v>
      </c>
      <c r="S25" s="200"/>
      <c r="T25" s="154"/>
      <c r="V25" s="200"/>
      <c r="Y25" s="200"/>
      <c r="Z25" s="304"/>
      <c r="AA25" s="200"/>
      <c r="AB25" s="200"/>
      <c r="AC25" s="210"/>
      <c r="AD25" s="210"/>
      <c r="AE25" s="200"/>
      <c r="AF25" s="200"/>
      <c r="AG25" s="209"/>
      <c r="AH25" s="210"/>
      <c r="AI25" s="200"/>
      <c r="AJ25" s="200"/>
      <c r="AK25" s="209"/>
      <c r="AL25" s="200"/>
      <c r="AM25" s="210"/>
      <c r="AN25" s="210"/>
    </row>
    <row r="26" spans="1:40" ht="24" customHeight="1" x14ac:dyDescent="0.25">
      <c r="A26" s="80"/>
      <c r="B26" s="80"/>
      <c r="C26" s="80"/>
      <c r="D26" s="80"/>
      <c r="E26" s="80"/>
      <c r="F26" s="79"/>
      <c r="G26" s="70"/>
      <c r="H26" s="79"/>
      <c r="I26" s="79"/>
      <c r="J26" s="388"/>
      <c r="K26" s="268"/>
      <c r="L26" s="79"/>
      <c r="M26" s="79"/>
      <c r="N26" s="79"/>
      <c r="O26" s="79"/>
      <c r="P26" s="79"/>
      <c r="Q26" s="79"/>
      <c r="R26" s="79"/>
      <c r="S26" s="200"/>
      <c r="V26" s="211"/>
      <c r="Y26" s="211"/>
      <c r="Z26" s="305"/>
      <c r="AA26" s="211"/>
      <c r="AB26" s="211"/>
      <c r="AC26" s="211"/>
      <c r="AD26" s="211"/>
      <c r="AE26" s="211"/>
      <c r="AF26" s="211"/>
      <c r="AI26" s="211"/>
      <c r="AJ26" s="211"/>
      <c r="AK26" s="212"/>
      <c r="AL26" s="211"/>
      <c r="AM26" s="210"/>
      <c r="AN26" s="210"/>
    </row>
    <row r="27" spans="1:40" x14ac:dyDescent="0.25">
      <c r="A27" s="159">
        <v>6</v>
      </c>
      <c r="B27" s="80"/>
      <c r="C27" s="253" t="s">
        <v>69</v>
      </c>
      <c r="D27" s="80"/>
      <c r="E27" s="80"/>
      <c r="F27" s="78"/>
      <c r="G27" s="70"/>
      <c r="H27" s="78"/>
      <c r="I27" s="78"/>
      <c r="J27" s="389"/>
      <c r="K27" s="289"/>
      <c r="L27" s="79"/>
      <c r="M27" s="79"/>
      <c r="N27" s="156"/>
      <c r="O27" s="156"/>
      <c r="P27" s="230"/>
      <c r="Q27" s="78"/>
      <c r="R27" s="79"/>
      <c r="S27" s="200"/>
      <c r="T27" s="154"/>
      <c r="V27" s="200"/>
      <c r="Y27" s="200"/>
      <c r="Z27" s="305"/>
      <c r="AA27" s="200"/>
      <c r="AB27" s="200"/>
      <c r="AC27" s="210"/>
      <c r="AD27" s="210"/>
      <c r="AE27" s="200"/>
      <c r="AF27" s="200"/>
      <c r="AG27" s="209"/>
      <c r="AH27" s="210"/>
      <c r="AI27" s="200"/>
      <c r="AJ27" s="200"/>
      <c r="AK27" s="209"/>
      <c r="AL27" s="200"/>
      <c r="AM27" s="210"/>
      <c r="AN27" s="210"/>
    </row>
    <row r="28" spans="1:40" x14ac:dyDescent="0.25">
      <c r="A28" s="159">
        <v>7</v>
      </c>
      <c r="B28" s="80"/>
      <c r="C28" s="82" t="s">
        <v>494</v>
      </c>
      <c r="D28" s="80"/>
      <c r="E28" s="80"/>
      <c r="F28" s="230"/>
      <c r="G28" s="70"/>
      <c r="H28" s="225">
        <v>4131069</v>
      </c>
      <c r="I28" s="78"/>
      <c r="J28" s="295">
        <f>INPUT!D155</f>
        <v>1.5412E-2</v>
      </c>
      <c r="K28" s="289"/>
      <c r="L28" s="79">
        <f>ROUND((H28*J28),0)</f>
        <v>63668</v>
      </c>
      <c r="M28" s="79"/>
      <c r="N28" s="198">
        <f>ROUND((L28/$L$42)*100,1)</f>
        <v>35.9</v>
      </c>
      <c r="O28" s="198"/>
      <c r="P28" s="163"/>
      <c r="Q28" s="78"/>
      <c r="R28" s="79">
        <f>L28+P28</f>
        <v>63668</v>
      </c>
      <c r="S28" s="200"/>
      <c r="T28" s="154"/>
      <c r="Z28" s="305"/>
      <c r="AA28" s="200"/>
      <c r="AB28" s="200"/>
      <c r="AC28" s="210"/>
      <c r="AD28" s="210"/>
      <c r="AE28" s="200"/>
      <c r="AF28" s="200"/>
      <c r="AG28" s="209"/>
      <c r="AH28" s="210"/>
      <c r="AI28" s="200"/>
      <c r="AJ28" s="200"/>
      <c r="AK28" s="209"/>
      <c r="AL28" s="200"/>
      <c r="AM28" s="210"/>
      <c r="AN28" s="210"/>
    </row>
    <row r="29" spans="1:40" x14ac:dyDescent="0.25">
      <c r="A29" s="159">
        <v>8</v>
      </c>
      <c r="B29" s="80"/>
      <c r="C29" s="82" t="s">
        <v>419</v>
      </c>
      <c r="D29" s="80"/>
      <c r="E29" s="80"/>
      <c r="F29" s="230"/>
      <c r="G29" s="70"/>
      <c r="H29" s="78">
        <f>H28</f>
        <v>4131069</v>
      </c>
      <c r="I29" s="78"/>
      <c r="J29" s="295">
        <f>INPUT!D159</f>
        <v>0</v>
      </c>
      <c r="K29" s="289"/>
      <c r="L29" s="79">
        <f>ROUND((H29*J29),0)</f>
        <v>0</v>
      </c>
      <c r="M29" s="79"/>
      <c r="N29" s="198">
        <f>ROUND((L29/$L$42)*100,1)</f>
        <v>0</v>
      </c>
      <c r="O29" s="198"/>
      <c r="P29" s="163"/>
      <c r="Q29" s="78"/>
      <c r="R29" s="79">
        <f>L29+P29</f>
        <v>0</v>
      </c>
      <c r="S29" s="200"/>
      <c r="T29" s="154"/>
      <c r="Z29" s="305"/>
      <c r="AA29" s="200"/>
      <c r="AB29" s="200"/>
      <c r="AC29" s="210"/>
      <c r="AD29" s="210"/>
      <c r="AE29" s="200"/>
      <c r="AF29" s="200"/>
      <c r="AG29" s="209"/>
      <c r="AH29" s="210"/>
      <c r="AI29" s="200"/>
      <c r="AJ29" s="200"/>
      <c r="AK29" s="209"/>
      <c r="AL29" s="200"/>
      <c r="AM29" s="210"/>
      <c r="AN29" s="210"/>
    </row>
    <row r="30" spans="1:40" x14ac:dyDescent="0.25">
      <c r="A30" s="159">
        <v>9</v>
      </c>
      <c r="B30" s="80"/>
      <c r="C30" s="82" t="s">
        <v>480</v>
      </c>
      <c r="D30" s="80"/>
      <c r="E30" s="80"/>
      <c r="F30" s="230"/>
      <c r="G30" s="70"/>
      <c r="H30" s="78">
        <f>H29</f>
        <v>4131069</v>
      </c>
      <c r="I30" s="78"/>
      <c r="J30" s="295">
        <f>INPUT!D164</f>
        <v>2.4279999999999999E-2</v>
      </c>
      <c r="K30" s="289"/>
      <c r="L30" s="79">
        <f>ROUND((H30*J30),0)</f>
        <v>100302</v>
      </c>
      <c r="M30" s="79"/>
      <c r="N30" s="341">
        <f>ROUND((L30/$L$42)*100,1)+0.1</f>
        <v>56.7</v>
      </c>
      <c r="O30" s="198"/>
      <c r="P30" s="353">
        <v>0</v>
      </c>
      <c r="Q30" s="78"/>
      <c r="R30" s="79">
        <f>L30+P30</f>
        <v>100302</v>
      </c>
      <c r="S30" s="200"/>
      <c r="T30" s="154"/>
      <c r="Z30" s="305"/>
      <c r="AA30" s="200"/>
      <c r="AB30" s="200"/>
      <c r="AC30" s="210"/>
      <c r="AD30" s="210"/>
      <c r="AE30" s="200"/>
      <c r="AF30" s="200"/>
      <c r="AG30" s="209"/>
      <c r="AH30" s="210"/>
      <c r="AI30" s="200"/>
      <c r="AJ30" s="200"/>
      <c r="AK30" s="209"/>
      <c r="AL30" s="200"/>
      <c r="AM30" s="210"/>
      <c r="AN30" s="210"/>
    </row>
    <row r="31" spans="1:40" ht="20.100000000000001" customHeight="1" x14ac:dyDescent="0.25">
      <c r="A31" s="159">
        <v>10</v>
      </c>
      <c r="B31" s="80"/>
      <c r="C31" s="253" t="s">
        <v>164</v>
      </c>
      <c r="D31" s="80"/>
      <c r="E31" s="80"/>
      <c r="F31" s="167"/>
      <c r="G31" s="70"/>
      <c r="H31" s="169">
        <f>H28</f>
        <v>4131069</v>
      </c>
      <c r="I31" s="79"/>
      <c r="J31" s="307"/>
      <c r="K31" s="263"/>
      <c r="L31" s="169">
        <f>SUM(L28:L30)</f>
        <v>163970</v>
      </c>
      <c r="M31" s="79"/>
      <c r="N31" s="341">
        <f>ROUND((L31/$L$42)*100,1)</f>
        <v>92.6</v>
      </c>
      <c r="O31" s="156"/>
      <c r="P31" s="167">
        <f>P30</f>
        <v>0</v>
      </c>
      <c r="Q31" s="79"/>
      <c r="R31" s="169">
        <f>SUM(R28:R30)</f>
        <v>163970</v>
      </c>
      <c r="S31" s="200"/>
      <c r="T31" s="154"/>
      <c r="AA31" s="200"/>
      <c r="AB31" s="200"/>
      <c r="AC31" s="200"/>
      <c r="AD31" s="200"/>
      <c r="AI31" s="200"/>
      <c r="AJ31" s="200"/>
      <c r="AK31" s="209"/>
      <c r="AL31" s="200"/>
    </row>
    <row r="32" spans="1:40" ht="20.100000000000001" customHeight="1" x14ac:dyDescent="0.25">
      <c r="A32" s="159">
        <v>11</v>
      </c>
      <c r="B32" s="80"/>
      <c r="C32" s="265" t="s">
        <v>578</v>
      </c>
      <c r="D32" s="80"/>
      <c r="E32" s="80"/>
      <c r="F32" s="169">
        <f>F24</f>
        <v>24</v>
      </c>
      <c r="G32" s="70"/>
      <c r="H32" s="169">
        <f>H31</f>
        <v>4131069</v>
      </c>
      <c r="I32" s="79"/>
      <c r="J32" s="307"/>
      <c r="K32" s="263"/>
      <c r="L32" s="169">
        <f>L31+L25</f>
        <v>168362</v>
      </c>
      <c r="M32" s="79"/>
      <c r="N32" s="303">
        <f>ROUND((L32/$L$42)*100,1)</f>
        <v>95.1</v>
      </c>
      <c r="O32" s="156"/>
      <c r="P32" s="169">
        <f>P31+P25</f>
        <v>0</v>
      </c>
      <c r="Q32" s="79"/>
      <c r="R32" s="169">
        <f>R31+R25</f>
        <v>168362</v>
      </c>
      <c r="S32" s="200"/>
      <c r="T32" s="154"/>
      <c r="AA32" s="200"/>
      <c r="AB32" s="200"/>
      <c r="AC32" s="200"/>
      <c r="AD32" s="200"/>
      <c r="AI32" s="200"/>
      <c r="AJ32" s="200"/>
      <c r="AK32" s="209"/>
      <c r="AL32" s="200"/>
    </row>
    <row r="33" spans="1:46" ht="15.75" customHeight="1" x14ac:dyDescent="0.25">
      <c r="A33" s="159"/>
      <c r="B33" s="80"/>
      <c r="C33" s="82"/>
      <c r="D33" s="80"/>
      <c r="E33" s="80"/>
      <c r="F33" s="163"/>
      <c r="G33" s="70"/>
      <c r="H33" s="163"/>
      <c r="I33" s="79"/>
      <c r="J33" s="307"/>
      <c r="K33" s="263"/>
      <c r="L33" s="163"/>
      <c r="M33" s="79"/>
      <c r="N33" s="198"/>
      <c r="O33" s="156"/>
      <c r="P33" s="163"/>
      <c r="Q33" s="79"/>
      <c r="R33" s="163"/>
      <c r="S33" s="200"/>
      <c r="T33" s="154"/>
      <c r="AA33" s="200"/>
      <c r="AB33" s="200"/>
      <c r="AC33" s="200"/>
      <c r="AD33" s="200"/>
      <c r="AI33" s="200"/>
      <c r="AJ33" s="200"/>
      <c r="AK33" s="209"/>
      <c r="AL33" s="200"/>
    </row>
    <row r="34" spans="1:46" ht="15.75" customHeight="1" x14ac:dyDescent="0.25">
      <c r="A34" s="159">
        <v>12</v>
      </c>
      <c r="B34" s="80"/>
      <c r="C34" s="253" t="s">
        <v>553</v>
      </c>
      <c r="D34" s="80"/>
      <c r="E34" s="80"/>
      <c r="F34" s="163"/>
      <c r="G34" s="70"/>
      <c r="H34" s="163"/>
      <c r="I34" s="79"/>
      <c r="J34" s="307"/>
      <c r="K34" s="263"/>
      <c r="L34" s="163"/>
      <c r="M34" s="79"/>
      <c r="N34" s="198"/>
      <c r="O34" s="156"/>
      <c r="P34" s="163"/>
      <c r="Q34" s="79"/>
      <c r="R34" s="163"/>
      <c r="S34" s="200"/>
      <c r="T34" s="154"/>
      <c r="AA34" s="200"/>
      <c r="AB34" s="200"/>
      <c r="AC34" s="200"/>
      <c r="AD34" s="200"/>
      <c r="AI34" s="200"/>
      <c r="AJ34" s="200"/>
      <c r="AK34" s="209"/>
      <c r="AL34" s="200"/>
    </row>
    <row r="35" spans="1:46" ht="15.75" customHeight="1" x14ac:dyDescent="0.25">
      <c r="A35" s="159">
        <v>13</v>
      </c>
      <c r="B35" s="80"/>
      <c r="C35" s="153" t="str">
        <f>DSMR_Name</f>
        <v>DEMAND SIDE MANAGEMENT RIDER (DSMR)</v>
      </c>
      <c r="D35" s="80"/>
      <c r="E35" s="80"/>
      <c r="F35" s="163"/>
      <c r="G35" s="70"/>
      <c r="H35" s="163"/>
      <c r="I35" s="79"/>
      <c r="J35" s="295">
        <f>PRO_DSM_DIST</f>
        <v>2.5760000000000002E-3</v>
      </c>
      <c r="K35" s="263"/>
      <c r="L35" s="163">
        <f>ROUND(H32*PRO_DSM_DIST,0)</f>
        <v>10642</v>
      </c>
      <c r="M35" s="197">
        <f>ROUND((K35/$L$42)*100,1)</f>
        <v>0</v>
      </c>
      <c r="N35" s="156">
        <f>ROUND((L35/$L$42)*100,1)</f>
        <v>6</v>
      </c>
      <c r="O35" s="163"/>
      <c r="P35" s="79"/>
      <c r="Q35" s="79">
        <f t="shared" ref="Q35" si="0">K35+O35</f>
        <v>0</v>
      </c>
      <c r="R35" s="79">
        <f t="shared" ref="R35:R39" si="1">L35+P35</f>
        <v>10642</v>
      </c>
      <c r="S35" s="200"/>
      <c r="T35" s="154"/>
      <c r="AA35" s="200"/>
      <c r="AB35" s="200"/>
      <c r="AC35" s="200"/>
      <c r="AD35" s="200"/>
      <c r="AI35" s="200"/>
      <c r="AJ35" s="200"/>
      <c r="AK35" s="209"/>
      <c r="AL35" s="200"/>
    </row>
    <row r="36" spans="1:46" ht="15.75" customHeight="1" x14ac:dyDescent="0.25">
      <c r="A36" s="159">
        <v>14</v>
      </c>
      <c r="B36" s="80"/>
      <c r="C36" s="153" t="str">
        <f>ESM_Name</f>
        <v>ENVIRONMENTAL SURCHARGE MECHANISM RIDER (ESM)</v>
      </c>
      <c r="D36" s="80"/>
      <c r="E36" s="80"/>
      <c r="F36" s="163"/>
      <c r="G36" s="70"/>
      <c r="H36" s="163"/>
      <c r="I36" s="79"/>
      <c r="J36" s="295">
        <f>PRO_ESM</f>
        <v>0</v>
      </c>
      <c r="K36" s="263"/>
      <c r="L36" s="163">
        <f>ROUND(R32*J36,0)</f>
        <v>0</v>
      </c>
      <c r="M36" s="79"/>
      <c r="N36" s="197">
        <f>ROUND((L36/$L$42)*100,1)</f>
        <v>0</v>
      </c>
      <c r="O36" s="156"/>
      <c r="P36" s="163"/>
      <c r="Q36" s="79"/>
      <c r="R36" s="79">
        <f t="shared" si="1"/>
        <v>0</v>
      </c>
      <c r="S36" s="200"/>
      <c r="T36" s="154"/>
      <c r="AA36" s="200"/>
      <c r="AB36" s="200"/>
      <c r="AC36" s="200"/>
      <c r="AD36" s="200"/>
      <c r="AI36" s="200"/>
      <c r="AJ36" s="200"/>
      <c r="AK36" s="209"/>
      <c r="AL36" s="200"/>
    </row>
    <row r="37" spans="1:46" ht="15.75" customHeight="1" x14ac:dyDescent="0.25">
      <c r="A37" s="159">
        <v>15</v>
      </c>
      <c r="B37" s="80"/>
      <c r="C37" s="153" t="str">
        <f>DCI_Name</f>
        <v>DISTRIBUTION CAPITAL INVESTMENT RIDER (DCI)</v>
      </c>
      <c r="D37" s="80"/>
      <c r="E37" s="80"/>
      <c r="F37" s="163"/>
      <c r="G37" s="70"/>
      <c r="H37" s="78">
        <v>0</v>
      </c>
      <c r="I37" s="79"/>
      <c r="J37" s="349">
        <f>PRO_DCI_DTS</f>
        <v>0</v>
      </c>
      <c r="K37" s="263"/>
      <c r="L37" s="163">
        <f>ROUND(H37*J37,0)</f>
        <v>0</v>
      </c>
      <c r="M37" s="79"/>
      <c r="N37" s="197">
        <f t="shared" ref="N37" si="2">ROUND((L37/$L$42)*100,1)</f>
        <v>0</v>
      </c>
      <c r="O37" s="156"/>
      <c r="P37" s="163"/>
      <c r="Q37" s="79"/>
      <c r="R37" s="79">
        <f t="shared" si="1"/>
        <v>0</v>
      </c>
      <c r="S37" s="200"/>
      <c r="T37" s="154"/>
      <c r="AA37" s="200"/>
      <c r="AB37" s="200"/>
      <c r="AC37" s="200"/>
      <c r="AD37" s="200"/>
      <c r="AI37" s="200"/>
      <c r="AJ37" s="200"/>
      <c r="AK37" s="209"/>
      <c r="AL37" s="200"/>
    </row>
    <row r="38" spans="1:46" ht="15.75" customHeight="1" x14ac:dyDescent="0.25">
      <c r="A38" s="159">
        <v>16</v>
      </c>
      <c r="B38" s="80"/>
      <c r="C38" s="153" t="str">
        <f>FTR_Name</f>
        <v>FERC TRANSMISSION COST RECOVERY RECONCILIATION (FTR)</v>
      </c>
      <c r="D38" s="80"/>
      <c r="E38" s="80"/>
      <c r="F38" s="163"/>
      <c r="G38" s="70"/>
      <c r="H38" s="78"/>
      <c r="I38" s="79"/>
      <c r="J38" s="288">
        <f>PRO_FTR_DTS</f>
        <v>0</v>
      </c>
      <c r="K38" s="263"/>
      <c r="L38" s="163">
        <f>ROUND(H32*J38,0)</f>
        <v>0</v>
      </c>
      <c r="M38" s="79"/>
      <c r="N38" s="197">
        <f t="shared" ref="N38" si="3">ROUND((L38/$L$42)*100,1)</f>
        <v>0</v>
      </c>
      <c r="O38" s="156"/>
      <c r="P38" s="163"/>
      <c r="Q38" s="79"/>
      <c r="R38" s="79">
        <f t="shared" ref="R38" si="4">L38+P38</f>
        <v>0</v>
      </c>
      <c r="S38" s="200"/>
      <c r="T38" s="154"/>
      <c r="AA38" s="200"/>
      <c r="AB38" s="200"/>
      <c r="AC38" s="200"/>
      <c r="AD38" s="200"/>
      <c r="AI38" s="200"/>
      <c r="AJ38" s="200"/>
      <c r="AK38" s="209"/>
      <c r="AL38" s="200"/>
    </row>
    <row r="39" spans="1:46" ht="15.75" customHeight="1" x14ac:dyDescent="0.25">
      <c r="A39" s="159">
        <v>17</v>
      </c>
      <c r="B39" s="80"/>
      <c r="C39" s="153" t="str">
        <f>PSM_Name</f>
        <v>PROFIT SHARING MECHANISM (PSM)</v>
      </c>
      <c r="D39" s="80"/>
      <c r="E39" s="80"/>
      <c r="F39" s="163"/>
      <c r="G39" s="70"/>
      <c r="H39" s="163"/>
      <c r="I39" s="79"/>
      <c r="J39" s="295">
        <f>PRO_PSM</f>
        <v>-4.5600000000000003E-4</v>
      </c>
      <c r="K39" s="263"/>
      <c r="L39" s="163">
        <f>ROUND(H32*PRO_PSM,0)</f>
        <v>-1884</v>
      </c>
      <c r="M39" s="79"/>
      <c r="N39" s="166">
        <f>ROUND((L39/$L$42)*100,1)</f>
        <v>-1.1000000000000001</v>
      </c>
      <c r="O39" s="156"/>
      <c r="P39" s="167"/>
      <c r="Q39" s="79"/>
      <c r="R39" s="167">
        <f t="shared" si="1"/>
        <v>-1884</v>
      </c>
      <c r="S39" s="200"/>
      <c r="T39" s="154"/>
      <c r="AA39" s="200"/>
      <c r="AB39" s="200"/>
      <c r="AC39" s="200"/>
      <c r="AD39" s="200"/>
      <c r="AI39" s="200"/>
      <c r="AJ39" s="200"/>
      <c r="AK39" s="209"/>
      <c r="AL39" s="200"/>
    </row>
    <row r="40" spans="1:46" ht="20.100000000000001" customHeight="1" x14ac:dyDescent="0.25">
      <c r="A40" s="159">
        <v>18</v>
      </c>
      <c r="B40" s="80"/>
      <c r="C40" s="253" t="s">
        <v>557</v>
      </c>
      <c r="D40" s="80"/>
      <c r="E40" s="80"/>
      <c r="F40" s="167"/>
      <c r="G40" s="70"/>
      <c r="H40" s="167"/>
      <c r="I40" s="79"/>
      <c r="J40" s="263"/>
      <c r="K40" s="263"/>
      <c r="L40" s="169">
        <f>SUM(L35:L39)</f>
        <v>8758</v>
      </c>
      <c r="M40" s="79"/>
      <c r="N40" s="170">
        <f>ROUND((L40/$L$42)*100,1)</f>
        <v>4.9000000000000004</v>
      </c>
      <c r="O40" s="156"/>
      <c r="P40" s="169">
        <f>SUM(P35:P39)</f>
        <v>0</v>
      </c>
      <c r="Q40" s="79"/>
      <c r="R40" s="169">
        <f>SUM(R35:R39)</f>
        <v>8758</v>
      </c>
      <c r="S40" s="200"/>
      <c r="T40" s="154"/>
      <c r="AA40" s="200"/>
      <c r="AB40" s="200"/>
      <c r="AC40" s="200"/>
      <c r="AD40" s="200"/>
      <c r="AI40" s="200"/>
      <c r="AJ40" s="200"/>
      <c r="AK40" s="209"/>
      <c r="AL40" s="200"/>
    </row>
    <row r="41" spans="1:46" ht="15.75" customHeight="1" x14ac:dyDescent="0.25">
      <c r="A41" s="159"/>
      <c r="B41" s="80"/>
      <c r="C41" s="253"/>
      <c r="D41" s="80"/>
      <c r="E41" s="80"/>
      <c r="F41" s="163"/>
      <c r="G41" s="70"/>
      <c r="H41" s="163"/>
      <c r="I41" s="79"/>
      <c r="J41" s="263"/>
      <c r="K41" s="263"/>
      <c r="L41" s="163"/>
      <c r="M41" s="79"/>
      <c r="N41" s="198"/>
      <c r="O41" s="156"/>
      <c r="P41" s="163"/>
      <c r="Q41" s="79"/>
      <c r="R41" s="163"/>
      <c r="S41" s="200"/>
      <c r="T41" s="154"/>
      <c r="AA41" s="200"/>
      <c r="AB41" s="200"/>
      <c r="AC41" s="200"/>
      <c r="AD41" s="200"/>
      <c r="AI41" s="200"/>
      <c r="AJ41" s="200"/>
      <c r="AK41" s="209"/>
      <c r="AL41" s="200"/>
    </row>
    <row r="42" spans="1:46" ht="20.100000000000001" customHeight="1" thickBot="1" x14ac:dyDescent="0.3">
      <c r="A42" s="159">
        <v>19</v>
      </c>
      <c r="B42" s="80"/>
      <c r="C42" s="265" t="s">
        <v>579</v>
      </c>
      <c r="D42" s="80"/>
      <c r="E42" s="80"/>
      <c r="F42" s="275">
        <f>F32</f>
        <v>24</v>
      </c>
      <c r="G42" s="70"/>
      <c r="H42" s="275">
        <f>H32</f>
        <v>4131069</v>
      </c>
      <c r="I42" s="79"/>
      <c r="J42" s="263"/>
      <c r="K42" s="263"/>
      <c r="L42" s="275">
        <f>L40+L32</f>
        <v>177120</v>
      </c>
      <c r="M42" s="79"/>
      <c r="N42" s="309">
        <v>100</v>
      </c>
      <c r="O42" s="156"/>
      <c r="P42" s="275">
        <f>P40+P32</f>
        <v>0</v>
      </c>
      <c r="Q42" s="79"/>
      <c r="R42" s="275">
        <f>R40+R32</f>
        <v>177120</v>
      </c>
      <c r="Y42" s="154"/>
    </row>
    <row r="43" spans="1:46" ht="16.5" thickTop="1" x14ac:dyDescent="0.25">
      <c r="A43" s="80"/>
      <c r="B43" s="80"/>
      <c r="C43" s="80"/>
      <c r="D43" s="80"/>
      <c r="E43" s="80"/>
      <c r="F43" s="79"/>
      <c r="G43" s="70"/>
      <c r="H43" s="79"/>
      <c r="I43" s="79"/>
      <c r="J43" s="263"/>
      <c r="K43" s="263"/>
      <c r="L43" s="79"/>
      <c r="M43" s="79"/>
      <c r="N43" s="79"/>
      <c r="O43" s="79"/>
      <c r="P43" s="79"/>
      <c r="Q43" s="79"/>
      <c r="R43" s="79"/>
      <c r="AA43" s="154"/>
      <c r="AB43" s="154"/>
    </row>
    <row r="44" spans="1:46" x14ac:dyDescent="0.25">
      <c r="A44" s="80"/>
      <c r="B44" s="80"/>
      <c r="C44" s="173" t="s">
        <v>61</v>
      </c>
      <c r="D44" s="80"/>
      <c r="E44" s="80"/>
      <c r="F44" s="189"/>
      <c r="G44" s="80"/>
      <c r="H44" s="189"/>
      <c r="I44" s="189"/>
      <c r="J44" s="310"/>
      <c r="K44" s="310"/>
      <c r="L44" s="189"/>
      <c r="M44" s="189"/>
      <c r="N44" s="189"/>
      <c r="O44" s="189"/>
      <c r="P44" s="189"/>
      <c r="Q44" s="189"/>
      <c r="R44" s="189"/>
      <c r="AK44" s="297"/>
      <c r="AL44" s="154"/>
    </row>
    <row r="45" spans="1:46" x14ac:dyDescent="0.25">
      <c r="A45" s="202"/>
      <c r="C45" s="82"/>
      <c r="H45" s="109"/>
      <c r="R45" s="154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188"/>
      <c r="AH45" s="80"/>
      <c r="AI45" s="80"/>
      <c r="AJ45" s="80"/>
      <c r="AK45" s="188"/>
      <c r="AL45" s="80"/>
      <c r="AM45" s="80"/>
      <c r="AN45" s="80"/>
      <c r="AO45" s="80"/>
      <c r="AP45" s="80"/>
      <c r="AQ45" s="188"/>
      <c r="AR45" s="80"/>
      <c r="AS45" s="80"/>
      <c r="AT45" s="80"/>
    </row>
    <row r="46" spans="1:46" x14ac:dyDescent="0.25">
      <c r="A46" s="154"/>
      <c r="R46" s="154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188"/>
      <c r="AH46" s="80"/>
      <c r="AI46" s="80"/>
      <c r="AJ46" s="80"/>
      <c r="AK46" s="188"/>
      <c r="AL46" s="80"/>
      <c r="AM46" s="80"/>
      <c r="AN46" s="80"/>
      <c r="AO46" s="80"/>
      <c r="AP46" s="80"/>
      <c r="AQ46" s="188"/>
      <c r="AR46" s="80"/>
      <c r="AS46" s="80"/>
      <c r="AT46" s="80"/>
    </row>
    <row r="47" spans="1:46" x14ac:dyDescent="0.25">
      <c r="L47" s="154"/>
      <c r="M47" s="154"/>
      <c r="R47" s="202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188"/>
      <c r="AH47" s="80"/>
      <c r="AI47" s="80"/>
      <c r="AJ47" s="80"/>
      <c r="AK47" s="188"/>
      <c r="AL47" s="80"/>
      <c r="AM47" s="80"/>
      <c r="AN47" s="80"/>
      <c r="AO47" s="80"/>
      <c r="AP47" s="80"/>
      <c r="AQ47" s="188"/>
      <c r="AR47" s="80"/>
      <c r="AS47" s="80"/>
      <c r="AT47" s="80"/>
    </row>
    <row r="48" spans="1:46" x14ac:dyDescent="0.2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T48" s="150" t="str">
        <f>NAME</f>
        <v>DUKE ENERGY KENTUCKY, INC.</v>
      </c>
      <c r="U48" s="150"/>
      <c r="V48" s="150"/>
      <c r="W48" s="150"/>
      <c r="X48" s="150"/>
      <c r="Y48" s="150"/>
      <c r="Z48" s="150"/>
      <c r="AA48" s="150"/>
      <c r="AB48" s="150"/>
      <c r="AC48" s="187"/>
      <c r="AD48" s="187"/>
      <c r="AE48" s="150"/>
      <c r="AF48" s="100"/>
      <c r="AG48" s="190"/>
      <c r="AH48" s="100"/>
      <c r="AI48" s="150"/>
      <c r="AJ48" s="150"/>
      <c r="AK48" s="190"/>
      <c r="AL48" s="150"/>
      <c r="AM48" s="150"/>
      <c r="AN48" s="100"/>
      <c r="AO48" s="150"/>
      <c r="AP48" s="150"/>
      <c r="AQ48" s="190"/>
    </row>
    <row r="49" spans="1:47" x14ac:dyDescent="0.25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T49" s="150" t="str">
        <f>CASE_NO</f>
        <v>CASE NO.   2017-00321</v>
      </c>
      <c r="U49" s="150"/>
      <c r="V49" s="150"/>
      <c r="W49" s="150"/>
      <c r="X49" s="150"/>
      <c r="Y49" s="150"/>
      <c r="Z49" s="150"/>
      <c r="AA49" s="150"/>
      <c r="AB49" s="150"/>
      <c r="AC49" s="187"/>
      <c r="AD49" s="187"/>
      <c r="AE49" s="150"/>
      <c r="AF49" s="100"/>
      <c r="AG49" s="190"/>
      <c r="AH49" s="100"/>
      <c r="AI49" s="150"/>
      <c r="AJ49" s="150"/>
      <c r="AK49" s="190"/>
      <c r="AL49" s="150"/>
      <c r="AM49" s="150"/>
      <c r="AN49" s="100"/>
      <c r="AO49" s="150"/>
      <c r="AP49" s="150"/>
      <c r="AQ49" s="190"/>
    </row>
    <row r="50" spans="1:47" x14ac:dyDescent="0.25">
      <c r="L50" s="103"/>
      <c r="M50" s="103"/>
      <c r="N50" s="103"/>
      <c r="O50" s="103"/>
      <c r="R50" s="103"/>
      <c r="T50" s="187" t="str">
        <f>TITLE</f>
        <v>ANNUALIZED BASE YEAR REVENUES AT PROPOSED VS. MOST CURRENT RATES</v>
      </c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00"/>
      <c r="AG50" s="190"/>
      <c r="AH50" s="100"/>
      <c r="AI50" s="150"/>
      <c r="AJ50" s="150"/>
      <c r="AK50" s="190"/>
      <c r="AL50" s="150"/>
      <c r="AM50" s="150"/>
      <c r="AN50" s="100"/>
      <c r="AO50" s="150"/>
      <c r="AP50" s="150"/>
      <c r="AQ50" s="190"/>
    </row>
    <row r="51" spans="1:47" x14ac:dyDescent="0.25">
      <c r="L51" s="103"/>
      <c r="M51" s="103"/>
      <c r="N51" s="103"/>
      <c r="O51" s="103"/>
      <c r="R51" s="103"/>
      <c r="T51" s="150" t="str">
        <f>DATE</f>
        <v>FOR THE TWELVE MONTHS ENDED November 30, 2017</v>
      </c>
      <c r="U51" s="150"/>
      <c r="V51" s="150"/>
      <c r="W51" s="150"/>
      <c r="X51" s="150"/>
      <c r="Y51" s="150"/>
      <c r="Z51" s="150"/>
      <c r="AA51" s="150"/>
      <c r="AB51" s="150"/>
      <c r="AC51" s="187"/>
      <c r="AD51" s="187"/>
      <c r="AE51" s="150"/>
      <c r="AF51" s="100"/>
      <c r="AG51" s="190"/>
      <c r="AH51" s="100"/>
      <c r="AI51" s="150"/>
      <c r="AJ51" s="150"/>
      <c r="AK51" s="190"/>
      <c r="AL51" s="150"/>
      <c r="AM51" s="150"/>
      <c r="AN51" s="100"/>
      <c r="AO51" s="150"/>
      <c r="AP51" s="150"/>
      <c r="AQ51" s="190"/>
    </row>
    <row r="52" spans="1:47" x14ac:dyDescent="0.25">
      <c r="A52" s="103"/>
      <c r="C52" s="103"/>
      <c r="D52" s="103"/>
      <c r="E52" s="103"/>
      <c r="F52" s="103"/>
      <c r="J52" s="103"/>
      <c r="K52" s="103"/>
      <c r="L52" s="103"/>
      <c r="M52" s="103"/>
      <c r="N52" s="103"/>
      <c r="O52" s="103"/>
      <c r="P52" s="103"/>
      <c r="Q52" s="103"/>
      <c r="R52" s="103"/>
      <c r="T52" s="150" t="str">
        <f>SERVICE</f>
        <v>(ELECTRIC SERVICE)</v>
      </c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87"/>
      <c r="AF52" s="312"/>
      <c r="AG52" s="190"/>
      <c r="AH52" s="100"/>
      <c r="AI52" s="150"/>
      <c r="AJ52" s="150"/>
      <c r="AK52" s="190"/>
      <c r="AL52" s="150"/>
      <c r="AM52" s="150"/>
      <c r="AN52" s="100"/>
      <c r="AO52" s="150"/>
      <c r="AP52" s="150"/>
      <c r="AQ52" s="190"/>
    </row>
    <row r="53" spans="1:47" x14ac:dyDescent="0.25">
      <c r="A53" s="103"/>
      <c r="C53" s="103"/>
      <c r="D53" s="103"/>
      <c r="E53" s="103"/>
      <c r="F53" s="103"/>
      <c r="J53" s="103"/>
      <c r="K53" s="103"/>
      <c r="L53" s="103"/>
      <c r="M53" s="103"/>
      <c r="N53" s="103"/>
      <c r="O53" s="103"/>
      <c r="P53" s="103"/>
      <c r="Q53" s="103"/>
      <c r="R53" s="103"/>
      <c r="T53" s="159" t="str">
        <f>DATA_PERIOD</f>
        <v>DATA: __X__ BASE PERIOD   ____FORECASTED PERIOD</v>
      </c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G53" s="188"/>
      <c r="AI53" s="80"/>
      <c r="AJ53" s="80"/>
      <c r="AK53" s="188"/>
      <c r="AL53" s="80"/>
      <c r="AM53" s="80"/>
      <c r="AO53" s="82" t="s">
        <v>179</v>
      </c>
      <c r="AP53" s="82"/>
      <c r="AQ53" s="188"/>
    </row>
    <row r="54" spans="1:47" x14ac:dyDescent="0.25">
      <c r="A54" s="103"/>
      <c r="C54" s="103"/>
      <c r="D54" s="103"/>
      <c r="E54" s="103"/>
      <c r="F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T54" s="159" t="str">
        <f>TYPE</f>
        <v>TYPE OF FILING: _X_ ORIGINAL   ___UPDATED  ___ REVISED</v>
      </c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G54" s="188"/>
      <c r="AI54" s="80"/>
      <c r="AJ54" s="80"/>
      <c r="AK54" s="188"/>
      <c r="AL54" s="80"/>
      <c r="AM54" s="80"/>
      <c r="AO54" s="81" t="str">
        <f>R7</f>
        <v>PAGE 10  OF  22</v>
      </c>
      <c r="AP54" s="82"/>
      <c r="AQ54" s="188"/>
    </row>
    <row r="55" spans="1:47" x14ac:dyDescent="0.25">
      <c r="C55" s="103"/>
      <c r="D55" s="103"/>
      <c r="E55" s="103"/>
      <c r="F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T55" s="82" t="s">
        <v>192</v>
      </c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G55" s="188"/>
      <c r="AI55" s="80"/>
      <c r="AJ55" s="80"/>
      <c r="AK55" s="188"/>
      <c r="AL55" s="80"/>
      <c r="AM55" s="80"/>
      <c r="AO55" s="82" t="s">
        <v>3</v>
      </c>
      <c r="AP55" s="82"/>
      <c r="AQ55" s="188"/>
    </row>
    <row r="56" spans="1:47" x14ac:dyDescent="0.2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T56" s="253" t="str">
        <f>TIME</f>
        <v>6 Months Actual and 6 Months Projected</v>
      </c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G56" s="188"/>
      <c r="AI56" s="80"/>
      <c r="AJ56" s="80"/>
      <c r="AK56" s="188"/>
      <c r="AL56" s="80"/>
      <c r="AM56" s="80"/>
      <c r="AO56" s="159" t="str">
        <f>WIT</f>
        <v>B. L. SAILERS</v>
      </c>
      <c r="AP56" s="159"/>
      <c r="AQ56" s="188"/>
    </row>
    <row r="57" spans="1:47" x14ac:dyDescent="0.2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T57" s="253" t="str">
        <f>INPUT!B5</f>
        <v>6 Months Actual Ending May 31, 2017</v>
      </c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G57" s="188"/>
      <c r="AI57" s="80"/>
      <c r="AJ57" s="80"/>
      <c r="AK57" s="188"/>
      <c r="AL57" s="80"/>
      <c r="AM57" s="80"/>
      <c r="AO57" s="159"/>
      <c r="AP57" s="159"/>
      <c r="AQ57" s="188"/>
    </row>
    <row r="58" spans="1:47" x14ac:dyDescent="0.25"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T58" s="187" t="s">
        <v>152</v>
      </c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00"/>
      <c r="AG58" s="190"/>
      <c r="AH58" s="100"/>
      <c r="AI58" s="150"/>
      <c r="AJ58" s="150"/>
      <c r="AK58" s="190"/>
      <c r="AL58" s="150"/>
      <c r="AM58" s="150"/>
      <c r="AN58" s="100"/>
      <c r="AO58" s="150"/>
      <c r="AP58" s="150"/>
      <c r="AQ58" s="190"/>
    </row>
    <row r="59" spans="1:47" x14ac:dyDescent="0.25">
      <c r="A59" s="202"/>
      <c r="C59" s="154"/>
      <c r="D59" s="154"/>
      <c r="E59" s="1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5"/>
      <c r="AH59" s="254"/>
      <c r="AI59" s="254"/>
      <c r="AJ59" s="254"/>
      <c r="AK59" s="255"/>
      <c r="AL59" s="254"/>
      <c r="AM59" s="254"/>
      <c r="AN59" s="254"/>
      <c r="AO59" s="254"/>
      <c r="AP59" s="254"/>
      <c r="AQ59" s="255"/>
    </row>
    <row r="60" spans="1:47" ht="18" customHeight="1" x14ac:dyDescent="0.25">
      <c r="A60" s="202"/>
      <c r="D60" s="154"/>
      <c r="E60" s="154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3" t="s">
        <v>8</v>
      </c>
      <c r="AF60" s="103"/>
      <c r="AG60" s="195" t="s">
        <v>7</v>
      </c>
      <c r="AH60" s="103"/>
      <c r="AI60" s="83" t="s">
        <v>9</v>
      </c>
      <c r="AJ60" s="83"/>
      <c r="AK60" s="195" t="s">
        <v>10</v>
      </c>
      <c r="AL60" s="83"/>
      <c r="AM60" s="80"/>
      <c r="AO60" s="83" t="s">
        <v>8</v>
      </c>
      <c r="AP60" s="83"/>
      <c r="AQ60" s="195" t="s">
        <v>11</v>
      </c>
    </row>
    <row r="61" spans="1:47" x14ac:dyDescent="0.25">
      <c r="T61" s="80"/>
      <c r="U61" s="80"/>
      <c r="V61" s="80"/>
      <c r="W61" s="80"/>
      <c r="X61" s="80"/>
      <c r="Y61" s="80"/>
      <c r="Z61" s="80"/>
      <c r="AA61" s="80"/>
      <c r="AB61" s="80"/>
      <c r="AC61" s="83" t="s">
        <v>14</v>
      </c>
      <c r="AD61" s="83"/>
      <c r="AE61" s="83" t="s">
        <v>12</v>
      </c>
      <c r="AF61" s="103"/>
      <c r="AG61" s="195" t="s">
        <v>13</v>
      </c>
      <c r="AH61" s="103"/>
      <c r="AI61" s="83" t="s">
        <v>15</v>
      </c>
      <c r="AJ61" s="83"/>
      <c r="AK61" s="195" t="s">
        <v>16</v>
      </c>
      <c r="AL61" s="83"/>
      <c r="AM61" s="80"/>
      <c r="AO61" s="83" t="s">
        <v>11</v>
      </c>
      <c r="AP61" s="83"/>
      <c r="AQ61" s="195" t="s">
        <v>9</v>
      </c>
    </row>
    <row r="62" spans="1:47" x14ac:dyDescent="0.25">
      <c r="A62" s="202"/>
      <c r="C62" s="154"/>
      <c r="T62" s="83" t="s">
        <v>17</v>
      </c>
      <c r="U62" s="80"/>
      <c r="V62" s="83" t="s">
        <v>18</v>
      </c>
      <c r="W62" s="83" t="s">
        <v>19</v>
      </c>
      <c r="X62" s="83"/>
      <c r="Y62" s="83" t="s">
        <v>20</v>
      </c>
      <c r="Z62" s="80"/>
      <c r="AA62" s="80"/>
      <c r="AB62" s="80"/>
      <c r="AC62" s="83" t="s">
        <v>8</v>
      </c>
      <c r="AD62" s="83"/>
      <c r="AE62" s="83" t="s">
        <v>21</v>
      </c>
      <c r="AF62" s="103"/>
      <c r="AG62" s="195" t="s">
        <v>21</v>
      </c>
      <c r="AH62" s="103"/>
      <c r="AI62" s="83" t="s">
        <v>22</v>
      </c>
      <c r="AJ62" s="83"/>
      <c r="AK62" s="195" t="s">
        <v>22</v>
      </c>
      <c r="AL62" s="83"/>
      <c r="AM62" s="83" t="s">
        <v>21</v>
      </c>
      <c r="AN62" s="103"/>
      <c r="AO62" s="83" t="s">
        <v>9</v>
      </c>
      <c r="AP62" s="83"/>
      <c r="AQ62" s="195" t="s">
        <v>23</v>
      </c>
    </row>
    <row r="63" spans="1:47" x14ac:dyDescent="0.25">
      <c r="A63" s="202"/>
      <c r="C63" s="154"/>
      <c r="F63" s="252"/>
      <c r="H63" s="252"/>
      <c r="I63" s="252"/>
      <c r="J63" s="300"/>
      <c r="K63" s="300"/>
      <c r="L63" s="200"/>
      <c r="M63" s="200"/>
      <c r="N63" s="210"/>
      <c r="O63" s="210"/>
      <c r="P63" s="202"/>
      <c r="Q63" s="202"/>
      <c r="R63" s="200"/>
      <c r="T63" s="83" t="s">
        <v>24</v>
      </c>
      <c r="U63" s="80"/>
      <c r="V63" s="83" t="s">
        <v>25</v>
      </c>
      <c r="W63" s="83" t="s">
        <v>26</v>
      </c>
      <c r="X63" s="83"/>
      <c r="Y63" s="83" t="s">
        <v>27</v>
      </c>
      <c r="Z63" s="80"/>
      <c r="AA63" s="83" t="s">
        <v>28</v>
      </c>
      <c r="AB63" s="83"/>
      <c r="AC63" s="83" t="s">
        <v>29</v>
      </c>
      <c r="AD63" s="83"/>
      <c r="AE63" s="83" t="s">
        <v>9</v>
      </c>
      <c r="AF63" s="103"/>
      <c r="AG63" s="195" t="s">
        <v>9</v>
      </c>
      <c r="AH63" s="103"/>
      <c r="AI63" s="256" t="s">
        <v>31</v>
      </c>
      <c r="AJ63" s="256"/>
      <c r="AK63" s="257" t="s">
        <v>32</v>
      </c>
      <c r="AL63" s="83"/>
      <c r="AM63" s="83" t="s">
        <v>475</v>
      </c>
      <c r="AN63" s="103"/>
      <c r="AO63" s="256" t="s">
        <v>33</v>
      </c>
      <c r="AP63" s="256"/>
      <c r="AQ63" s="257" t="s">
        <v>34</v>
      </c>
    </row>
    <row r="64" spans="1:47" x14ac:dyDescent="0.25">
      <c r="A64" s="202"/>
      <c r="C64" s="154"/>
      <c r="F64" s="252"/>
      <c r="H64" s="252"/>
      <c r="I64" s="252"/>
      <c r="J64" s="300"/>
      <c r="K64" s="300"/>
      <c r="L64" s="200"/>
      <c r="M64" s="200"/>
      <c r="N64" s="210"/>
      <c r="O64" s="210"/>
      <c r="P64" s="202"/>
      <c r="Q64" s="202"/>
      <c r="R64" s="200"/>
      <c r="T64" s="80"/>
      <c r="U64" s="80"/>
      <c r="V64" s="256" t="s">
        <v>35</v>
      </c>
      <c r="W64" s="256" t="s">
        <v>36</v>
      </c>
      <c r="X64" s="256"/>
      <c r="Y64" s="256" t="s">
        <v>37</v>
      </c>
      <c r="Z64" s="258"/>
      <c r="AA64" s="256" t="s">
        <v>38</v>
      </c>
      <c r="AB64" s="256"/>
      <c r="AC64" s="256" t="s">
        <v>44</v>
      </c>
      <c r="AD64" s="256"/>
      <c r="AE64" s="256" t="s">
        <v>45</v>
      </c>
      <c r="AF64" s="313"/>
      <c r="AG64" s="257" t="s">
        <v>46</v>
      </c>
      <c r="AH64" s="313"/>
      <c r="AI64" s="256" t="s">
        <v>47</v>
      </c>
      <c r="AJ64" s="256"/>
      <c r="AK64" s="257" t="s">
        <v>48</v>
      </c>
      <c r="AL64" s="256"/>
      <c r="AM64" s="256" t="s">
        <v>42</v>
      </c>
      <c r="AN64" s="313"/>
      <c r="AO64" s="256" t="s">
        <v>49</v>
      </c>
      <c r="AP64" s="256"/>
      <c r="AQ64" s="257" t="s">
        <v>50</v>
      </c>
      <c r="AU64" s="80"/>
    </row>
    <row r="65" spans="1:76" x14ac:dyDescent="0.25">
      <c r="F65" s="211"/>
      <c r="H65" s="200"/>
      <c r="I65" s="200"/>
      <c r="J65" s="305"/>
      <c r="K65" s="305"/>
      <c r="L65" s="211"/>
      <c r="M65" s="211"/>
      <c r="N65" s="211"/>
      <c r="O65" s="211"/>
      <c r="P65" s="211"/>
      <c r="Q65" s="211"/>
      <c r="R65" s="211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5"/>
      <c r="AH65" s="254"/>
      <c r="AI65" s="254"/>
      <c r="AJ65" s="254"/>
      <c r="AK65" s="255"/>
      <c r="AL65" s="254"/>
      <c r="AM65" s="254"/>
      <c r="AN65" s="254"/>
      <c r="AO65" s="254"/>
      <c r="AP65" s="254"/>
      <c r="AQ65" s="255"/>
      <c r="AU65" s="80"/>
    </row>
    <row r="66" spans="1:76" ht="17.100000000000001" customHeight="1" x14ac:dyDescent="0.25">
      <c r="A66" s="202"/>
      <c r="C66" s="154"/>
      <c r="F66" s="200"/>
      <c r="H66" s="200"/>
      <c r="I66" s="200"/>
      <c r="J66" s="305"/>
      <c r="K66" s="305"/>
      <c r="L66" s="200"/>
      <c r="M66" s="200"/>
      <c r="N66" s="210"/>
      <c r="O66" s="210"/>
      <c r="P66" s="200"/>
      <c r="Q66" s="200"/>
      <c r="R66" s="200"/>
      <c r="T66" s="80"/>
      <c r="U66" s="80"/>
      <c r="V66" s="80"/>
      <c r="W66" s="80"/>
      <c r="X66" s="80"/>
      <c r="Y66" s="80"/>
      <c r="Z66" s="80"/>
      <c r="AA66" s="260" t="s">
        <v>51</v>
      </c>
      <c r="AB66" s="259"/>
      <c r="AC66" s="260" t="s">
        <v>418</v>
      </c>
      <c r="AD66" s="259"/>
      <c r="AE66" s="259" t="s">
        <v>52</v>
      </c>
      <c r="AF66" s="314"/>
      <c r="AG66" s="261" t="s">
        <v>53</v>
      </c>
      <c r="AH66" s="314"/>
      <c r="AI66" s="259" t="s">
        <v>52</v>
      </c>
      <c r="AJ66" s="259"/>
      <c r="AK66" s="261" t="s">
        <v>53</v>
      </c>
      <c r="AL66" s="259"/>
      <c r="AM66" s="259" t="s">
        <v>52</v>
      </c>
      <c r="AN66" s="314"/>
      <c r="AO66" s="259" t="s">
        <v>52</v>
      </c>
      <c r="AP66" s="259"/>
      <c r="AQ66" s="261" t="s">
        <v>53</v>
      </c>
      <c r="AU66" s="80"/>
    </row>
    <row r="67" spans="1:76" x14ac:dyDescent="0.25">
      <c r="F67" s="211"/>
      <c r="H67" s="200"/>
      <c r="I67" s="200"/>
      <c r="J67" s="305"/>
      <c r="K67" s="305"/>
      <c r="L67" s="211"/>
      <c r="M67" s="211"/>
      <c r="N67" s="211"/>
      <c r="O67" s="211"/>
      <c r="P67" s="211"/>
      <c r="Q67" s="211"/>
      <c r="R67" s="211"/>
      <c r="T67" s="159">
        <v>1</v>
      </c>
      <c r="U67" s="80"/>
      <c r="V67" s="253" t="s">
        <v>412</v>
      </c>
      <c r="W67" s="253" t="s">
        <v>472</v>
      </c>
      <c r="X67" s="82"/>
      <c r="Y67" s="70"/>
      <c r="Z67" s="70"/>
      <c r="AA67" s="70"/>
      <c r="AB67" s="70"/>
      <c r="AC67" s="70"/>
      <c r="AD67" s="70"/>
      <c r="AE67" s="70"/>
      <c r="AF67" s="70"/>
      <c r="AG67" s="164"/>
      <c r="AH67" s="70"/>
      <c r="AI67" s="70"/>
      <c r="AJ67" s="70"/>
      <c r="AK67" s="164"/>
      <c r="AL67" s="70"/>
      <c r="AM67" s="70"/>
      <c r="AN67" s="70"/>
      <c r="AO67" s="70"/>
      <c r="AP67" s="70"/>
      <c r="AQ67" s="164"/>
      <c r="AR67" s="80"/>
      <c r="AS67" s="80"/>
      <c r="AT67" s="80"/>
      <c r="AU67" s="362"/>
    </row>
    <row r="68" spans="1:76" x14ac:dyDescent="0.25">
      <c r="F68" s="200"/>
      <c r="H68" s="200"/>
      <c r="I68" s="200"/>
      <c r="J68" s="305"/>
      <c r="K68" s="305"/>
      <c r="L68" s="200"/>
      <c r="M68" s="200"/>
      <c r="N68" s="210"/>
      <c r="O68" s="210"/>
      <c r="P68" s="200"/>
      <c r="Q68" s="200"/>
      <c r="R68" s="200"/>
      <c r="T68" s="159">
        <v>2</v>
      </c>
      <c r="U68" s="80"/>
      <c r="V68" s="258"/>
      <c r="W68" s="253" t="s">
        <v>154</v>
      </c>
      <c r="X68" s="82"/>
      <c r="Y68" s="70"/>
      <c r="Z68" s="70"/>
      <c r="AA68" s="70"/>
      <c r="AB68" s="70"/>
      <c r="AC68" s="70"/>
      <c r="AD68" s="70"/>
      <c r="AE68" s="70"/>
      <c r="AF68" s="70"/>
      <c r="AG68" s="164"/>
      <c r="AH68" s="70"/>
      <c r="AI68" s="70"/>
      <c r="AJ68" s="70"/>
      <c r="AK68" s="164"/>
      <c r="AL68" s="70"/>
      <c r="AM68" s="70"/>
      <c r="AN68" s="70"/>
      <c r="AO68" s="70"/>
      <c r="AP68" s="70"/>
      <c r="AQ68" s="164"/>
      <c r="AR68" s="80"/>
      <c r="AS68" s="80"/>
      <c r="AT68" s="80"/>
      <c r="AU68" s="363"/>
      <c r="BX68" s="317"/>
    </row>
    <row r="69" spans="1:76" ht="21.75" customHeight="1" x14ac:dyDescent="0.25">
      <c r="A69" s="202"/>
      <c r="C69" s="154"/>
      <c r="F69" s="252"/>
      <c r="H69" s="252"/>
      <c r="I69" s="252"/>
      <c r="J69" s="300"/>
      <c r="K69" s="300"/>
      <c r="L69" s="200"/>
      <c r="M69" s="200"/>
      <c r="N69" s="210"/>
      <c r="O69" s="210"/>
      <c r="P69" s="200"/>
      <c r="Q69" s="200"/>
      <c r="R69" s="200"/>
      <c r="T69" s="80"/>
      <c r="U69" s="80"/>
      <c r="V69" s="80"/>
      <c r="W69" s="80"/>
      <c r="X69" s="80"/>
      <c r="Y69" s="70"/>
      <c r="Z69" s="70"/>
      <c r="AA69" s="70"/>
      <c r="AB69" s="70"/>
      <c r="AC69" s="70"/>
      <c r="AD69" s="70"/>
      <c r="AE69" s="70"/>
      <c r="AF69" s="70"/>
      <c r="AG69" s="164"/>
      <c r="AH69" s="70"/>
      <c r="AI69" s="70"/>
      <c r="AJ69" s="70"/>
      <c r="AK69" s="164"/>
      <c r="AL69" s="70"/>
      <c r="AM69" s="70"/>
      <c r="AN69" s="70"/>
      <c r="AO69" s="70"/>
      <c r="AP69" s="70"/>
      <c r="AQ69" s="164"/>
      <c r="AR69" s="80"/>
      <c r="AS69" s="80"/>
      <c r="AT69" s="80"/>
      <c r="AU69" s="363"/>
    </row>
    <row r="70" spans="1:76" x14ac:dyDescent="0.25">
      <c r="F70" s="200"/>
      <c r="H70" s="211"/>
      <c r="I70" s="211"/>
      <c r="J70" s="305"/>
      <c r="K70" s="305"/>
      <c r="L70" s="211"/>
      <c r="M70" s="211"/>
      <c r="N70" s="211"/>
      <c r="O70" s="211"/>
      <c r="P70" s="211"/>
      <c r="Q70" s="211"/>
      <c r="R70" s="211"/>
      <c r="T70" s="159">
        <v>3</v>
      </c>
      <c r="U70" s="80"/>
      <c r="V70" s="253" t="s">
        <v>155</v>
      </c>
      <c r="W70" s="80"/>
      <c r="X70" s="80"/>
      <c r="Y70" s="79"/>
      <c r="Z70" s="70"/>
      <c r="AA70" s="78"/>
      <c r="AB70" s="78"/>
      <c r="AC70" s="284"/>
      <c r="AD70" s="284"/>
      <c r="AE70" s="79"/>
      <c r="AF70" s="79"/>
      <c r="AG70" s="155"/>
      <c r="AH70" s="156"/>
      <c r="AI70" s="79"/>
      <c r="AJ70" s="79"/>
      <c r="AK70" s="318"/>
      <c r="AL70" s="319"/>
      <c r="AM70" s="70"/>
      <c r="AN70" s="70"/>
      <c r="AO70" s="79"/>
      <c r="AP70" s="79"/>
      <c r="AQ70" s="318"/>
      <c r="AR70" s="80"/>
      <c r="AS70" s="189"/>
      <c r="AT70" s="189"/>
      <c r="AU70" s="363"/>
    </row>
    <row r="71" spans="1:76" x14ac:dyDescent="0.25">
      <c r="A71" s="202"/>
      <c r="C71" s="154"/>
      <c r="F71" s="200"/>
      <c r="H71" s="200"/>
      <c r="I71" s="200"/>
      <c r="J71" s="213"/>
      <c r="K71" s="213"/>
      <c r="L71" s="200"/>
      <c r="M71" s="200"/>
      <c r="N71" s="210"/>
      <c r="O71" s="210"/>
      <c r="P71" s="200"/>
      <c r="Q71" s="200"/>
      <c r="R71" s="200"/>
      <c r="T71" s="159">
        <v>4</v>
      </c>
      <c r="U71" s="80"/>
      <c r="V71" s="82" t="s">
        <v>417</v>
      </c>
      <c r="W71" s="80"/>
      <c r="X71" s="80"/>
      <c r="Y71" s="163">
        <f>F24</f>
        <v>24</v>
      </c>
      <c r="Z71" s="70"/>
      <c r="AA71" s="78"/>
      <c r="AB71" s="78"/>
      <c r="AC71" s="283">
        <f>INPUT!C153</f>
        <v>183</v>
      </c>
      <c r="AD71" s="284"/>
      <c r="AE71" s="79">
        <f>ROUND(Y71*AC71,0)</f>
        <v>4392</v>
      </c>
      <c r="AF71" s="79"/>
      <c r="AG71" s="166">
        <f>ROUND((AE71/$AE$89)*100,1)</f>
        <v>3.1</v>
      </c>
      <c r="AH71" s="156"/>
      <c r="AI71" s="79">
        <f>L24-AE71</f>
        <v>0</v>
      </c>
      <c r="AJ71" s="79"/>
      <c r="AK71" s="166">
        <f>ROUND((AI71/AE71)*100,1)</f>
        <v>0</v>
      </c>
      <c r="AL71" s="158"/>
      <c r="AM71" s="79"/>
      <c r="AN71" s="302"/>
      <c r="AO71" s="79">
        <f>AE71+AM71</f>
        <v>4392</v>
      </c>
      <c r="AP71" s="79"/>
      <c r="AQ71" s="155">
        <f>ROUND((AI71/AO71)*100,1)</f>
        <v>0</v>
      </c>
      <c r="AR71" s="159"/>
      <c r="AS71" s="189"/>
      <c r="AT71" s="189"/>
      <c r="AU71" s="362"/>
    </row>
    <row r="72" spans="1:76" ht="20.100000000000001" customHeight="1" x14ac:dyDescent="0.25">
      <c r="A72" s="202"/>
      <c r="C72" s="154"/>
      <c r="F72" s="252"/>
      <c r="H72" s="252"/>
      <c r="I72" s="252"/>
      <c r="J72" s="320"/>
      <c r="K72" s="320"/>
      <c r="L72" s="200"/>
      <c r="M72" s="200"/>
      <c r="N72" s="210"/>
      <c r="O72" s="210"/>
      <c r="P72" s="252"/>
      <c r="Q72" s="252"/>
      <c r="R72" s="200"/>
      <c r="T72" s="159">
        <v>5</v>
      </c>
      <c r="U72" s="80"/>
      <c r="V72" s="253" t="s">
        <v>158</v>
      </c>
      <c r="W72" s="80"/>
      <c r="X72" s="80"/>
      <c r="Y72" s="163"/>
      <c r="Z72" s="70"/>
      <c r="AA72" s="79"/>
      <c r="AB72" s="79"/>
      <c r="AC72" s="310"/>
      <c r="AD72" s="263"/>
      <c r="AE72" s="169">
        <f>SUM(AE71)</f>
        <v>4392</v>
      </c>
      <c r="AF72" s="79"/>
      <c r="AG72" s="166">
        <f>ROUND((AE72/$AE$89)*100,1)</f>
        <v>3.1</v>
      </c>
      <c r="AH72" s="156"/>
      <c r="AI72" s="169">
        <f>SUM(AI71)</f>
        <v>0</v>
      </c>
      <c r="AJ72" s="79"/>
      <c r="AK72" s="170">
        <f>ROUND((AI72/AE72)*100,1)</f>
        <v>0</v>
      </c>
      <c r="AL72" s="158"/>
      <c r="AM72" s="169"/>
      <c r="AN72" s="79"/>
      <c r="AO72" s="169">
        <f>SUM(AO71)</f>
        <v>4392</v>
      </c>
      <c r="AP72" s="79"/>
      <c r="AQ72" s="155">
        <f>ROUND((AI72/AO72)*100,1)</f>
        <v>0</v>
      </c>
      <c r="AR72" s="189"/>
      <c r="AS72" s="189"/>
      <c r="AT72" s="189"/>
      <c r="AU72" s="363"/>
    </row>
    <row r="73" spans="1:76" ht="18.75" customHeight="1" x14ac:dyDescent="0.25">
      <c r="A73" s="202"/>
      <c r="C73" s="154"/>
      <c r="F73" s="200"/>
      <c r="H73" s="200"/>
      <c r="I73" s="200"/>
      <c r="J73" s="213"/>
      <c r="K73" s="213"/>
      <c r="L73" s="200"/>
      <c r="M73" s="200"/>
      <c r="N73" s="210"/>
      <c r="O73" s="210"/>
      <c r="P73" s="200"/>
      <c r="Q73" s="200"/>
      <c r="R73" s="200"/>
      <c r="T73" s="80"/>
      <c r="U73" s="80"/>
      <c r="V73" s="80"/>
      <c r="W73" s="80"/>
      <c r="X73" s="80"/>
      <c r="Y73" s="79"/>
      <c r="Z73" s="70"/>
      <c r="AA73" s="79"/>
      <c r="AB73" s="79"/>
      <c r="AC73" s="388"/>
      <c r="AD73" s="268"/>
      <c r="AE73" s="79"/>
      <c r="AF73" s="79"/>
      <c r="AG73" s="155"/>
      <c r="AH73" s="79"/>
      <c r="AI73" s="79"/>
      <c r="AJ73" s="79"/>
      <c r="AK73" s="155"/>
      <c r="AL73" s="158"/>
      <c r="AM73" s="79"/>
      <c r="AN73" s="79"/>
      <c r="AO73" s="79"/>
      <c r="AP73" s="79"/>
      <c r="AQ73" s="155"/>
      <c r="AR73" s="189"/>
      <c r="AS73" s="189"/>
      <c r="AT73" s="189"/>
      <c r="AU73" s="363"/>
    </row>
    <row r="74" spans="1:76" x14ac:dyDescent="0.25">
      <c r="A74" s="154"/>
      <c r="F74" s="200"/>
      <c r="H74" s="200"/>
      <c r="I74" s="200"/>
      <c r="J74" s="213"/>
      <c r="K74" s="213"/>
      <c r="L74" s="200"/>
      <c r="M74" s="200"/>
      <c r="N74" s="200"/>
      <c r="O74" s="200"/>
      <c r="P74" s="200"/>
      <c r="Q74" s="200"/>
      <c r="R74" s="200"/>
      <c r="T74" s="159">
        <v>6</v>
      </c>
      <c r="U74" s="80"/>
      <c r="V74" s="253" t="s">
        <v>69</v>
      </c>
      <c r="W74" s="80"/>
      <c r="X74" s="80"/>
      <c r="Y74" s="78"/>
      <c r="Z74" s="70"/>
      <c r="AA74" s="78"/>
      <c r="AB74" s="78"/>
      <c r="AC74" s="377"/>
      <c r="AD74" s="339"/>
      <c r="AE74" s="79"/>
      <c r="AF74" s="79"/>
      <c r="AG74" s="155"/>
      <c r="AH74" s="156"/>
      <c r="AI74" s="79"/>
      <c r="AJ74" s="79"/>
      <c r="AK74" s="155"/>
      <c r="AL74" s="158"/>
      <c r="AM74" s="78"/>
      <c r="AN74" s="78"/>
      <c r="AO74" s="79"/>
      <c r="AP74" s="79"/>
      <c r="AQ74" s="155"/>
      <c r="AR74" s="225"/>
      <c r="AS74" s="189"/>
      <c r="AT74" s="189"/>
      <c r="AU74" s="363"/>
    </row>
    <row r="75" spans="1:76" x14ac:dyDescent="0.25">
      <c r="T75" s="159">
        <v>7</v>
      </c>
      <c r="U75" s="80"/>
      <c r="V75" s="82" t="s">
        <v>494</v>
      </c>
      <c r="W75" s="80"/>
      <c r="X75" s="80"/>
      <c r="Y75" s="78"/>
      <c r="Z75" s="70"/>
      <c r="AA75" s="79">
        <f>H28</f>
        <v>4131069</v>
      </c>
      <c r="AB75" s="79"/>
      <c r="AC75" s="295">
        <f>INPUT!C155</f>
        <v>6.0530000000000002E-3</v>
      </c>
      <c r="AD75" s="293"/>
      <c r="AE75" s="79">
        <f>ROUND((AA75*AC75),0)</f>
        <v>25005</v>
      </c>
      <c r="AF75" s="79"/>
      <c r="AG75" s="197">
        <f>ROUND((AE75/$AE$89)*100,1)</f>
        <v>17.7</v>
      </c>
      <c r="AH75" s="156"/>
      <c r="AI75" s="79">
        <f>L28-AE75</f>
        <v>38663</v>
      </c>
      <c r="AJ75" s="79"/>
      <c r="AK75" s="155">
        <f>ROUND((AI75/AE75)*100,1)</f>
        <v>154.6</v>
      </c>
      <c r="AL75" s="158"/>
      <c r="AM75" s="78"/>
      <c r="AN75" s="78"/>
      <c r="AO75" s="79">
        <f>AE75+AM75</f>
        <v>25005</v>
      </c>
      <c r="AP75" s="79"/>
      <c r="AQ75" s="155">
        <f>ROUND((AI75/AO75)*100,1)</f>
        <v>154.6</v>
      </c>
      <c r="AR75" s="225"/>
      <c r="AS75" s="189"/>
      <c r="AT75" s="189"/>
      <c r="AU75" s="363"/>
    </row>
    <row r="76" spans="1:76" x14ac:dyDescent="0.25">
      <c r="L76" s="200"/>
      <c r="M76" s="200"/>
      <c r="N76" s="200"/>
      <c r="O76" s="200"/>
      <c r="P76" s="200"/>
      <c r="Q76" s="200"/>
      <c r="R76" s="200"/>
      <c r="T76" s="159">
        <v>8</v>
      </c>
      <c r="U76" s="80"/>
      <c r="V76" s="82" t="s">
        <v>419</v>
      </c>
      <c r="W76" s="80"/>
      <c r="X76" s="80"/>
      <c r="Y76" s="230"/>
      <c r="Z76" s="70"/>
      <c r="AA76" s="79">
        <f>H29</f>
        <v>4131069</v>
      </c>
      <c r="AB76" s="79"/>
      <c r="AC76" s="295">
        <f>INPUT!C159</f>
        <v>7.6000000000000004E-4</v>
      </c>
      <c r="AD76" s="293"/>
      <c r="AE76" s="79">
        <f>ROUND((AA76*AC76),0)</f>
        <v>3140</v>
      </c>
      <c r="AF76" s="79"/>
      <c r="AG76" s="197">
        <f>ROUND((AE76/$AE$89)*100,1)</f>
        <v>2.2000000000000002</v>
      </c>
      <c r="AH76" s="156"/>
      <c r="AI76" s="79">
        <f>L29-AE76</f>
        <v>-3140</v>
      </c>
      <c r="AJ76" s="79"/>
      <c r="AK76" s="197">
        <f>ROUND((AI76/AE76)*100,1)</f>
        <v>-100</v>
      </c>
      <c r="AL76" s="158"/>
      <c r="AM76" s="78"/>
      <c r="AN76" s="78"/>
      <c r="AO76" s="79">
        <f>AE76+AM76</f>
        <v>3140</v>
      </c>
      <c r="AP76" s="79"/>
      <c r="AQ76" s="155">
        <f>ROUND((AI76/AO76)*100,1)</f>
        <v>-100</v>
      </c>
      <c r="AR76" s="225"/>
      <c r="AS76" s="189"/>
      <c r="AT76" s="189"/>
      <c r="AU76" s="363"/>
    </row>
    <row r="77" spans="1:76" x14ac:dyDescent="0.25">
      <c r="L77" s="200"/>
      <c r="M77" s="200"/>
      <c r="N77" s="200"/>
      <c r="O77" s="200"/>
      <c r="P77" s="200"/>
      <c r="Q77" s="200"/>
      <c r="R77" s="200"/>
      <c r="T77" s="159">
        <v>9</v>
      </c>
      <c r="U77" s="80"/>
      <c r="V77" s="82" t="s">
        <v>480</v>
      </c>
      <c r="W77" s="80"/>
      <c r="X77" s="80"/>
      <c r="Y77" s="230"/>
      <c r="Z77" s="70"/>
      <c r="AA77" s="79">
        <f>H30</f>
        <v>4131069</v>
      </c>
      <c r="AB77" s="79"/>
      <c r="AC77" s="295">
        <f>INPUT!C164</f>
        <v>2.4279999999999999E-2</v>
      </c>
      <c r="AD77" s="293"/>
      <c r="AE77" s="79">
        <f>ROUND((AA77*AC77),0)</f>
        <v>100302</v>
      </c>
      <c r="AF77" s="79"/>
      <c r="AG77" s="166">
        <f>ROUND((AE77/$AE$89)*100,1)</f>
        <v>70.8</v>
      </c>
      <c r="AH77" s="156"/>
      <c r="AI77" s="79">
        <f>L30-AE77</f>
        <v>0</v>
      </c>
      <c r="AJ77" s="79"/>
      <c r="AK77" s="166">
        <f>ROUND((AI77/AE77)*100,1)</f>
        <v>0</v>
      </c>
      <c r="AL77" s="158"/>
      <c r="AM77" s="353">
        <v>0</v>
      </c>
      <c r="AN77" s="78"/>
      <c r="AO77" s="79">
        <f>AE77+AM77</f>
        <v>100302</v>
      </c>
      <c r="AP77" s="79"/>
      <c r="AQ77" s="155">
        <f>ROUND((AI77/AO77)*100,1)</f>
        <v>0</v>
      </c>
      <c r="AR77" s="225"/>
      <c r="AS77" s="189"/>
      <c r="AT77" s="189"/>
      <c r="AU77" s="363"/>
    </row>
    <row r="78" spans="1:76" ht="20.100000000000001" customHeight="1" x14ac:dyDescent="0.25">
      <c r="J78" s="202"/>
      <c r="K78" s="202"/>
      <c r="T78" s="159">
        <v>10</v>
      </c>
      <c r="U78" s="80"/>
      <c r="V78" s="253" t="s">
        <v>164</v>
      </c>
      <c r="W78" s="80"/>
      <c r="X78" s="80"/>
      <c r="Y78" s="167"/>
      <c r="Z78" s="70"/>
      <c r="AA78" s="169">
        <f>H31</f>
        <v>4131069</v>
      </c>
      <c r="AB78" s="79"/>
      <c r="AC78" s="307"/>
      <c r="AD78" s="263"/>
      <c r="AE78" s="169">
        <f>SUM(AE75:AE77)</f>
        <v>128447</v>
      </c>
      <c r="AF78" s="79"/>
      <c r="AG78" s="166">
        <f>ROUND((AE78/$AE$89)*100,1)</f>
        <v>90.7</v>
      </c>
      <c r="AH78" s="156"/>
      <c r="AI78" s="169">
        <f>SUM(AI75:AI77)</f>
        <v>35523</v>
      </c>
      <c r="AJ78" s="79"/>
      <c r="AK78" s="170">
        <f>ROUND((AI78/AE78)*100,1)</f>
        <v>27.7</v>
      </c>
      <c r="AL78" s="158"/>
      <c r="AM78" s="169">
        <f>AM77</f>
        <v>0</v>
      </c>
      <c r="AN78" s="79"/>
      <c r="AO78" s="169">
        <f>SUM(AO75:AO77)</f>
        <v>128447</v>
      </c>
      <c r="AP78" s="79"/>
      <c r="AQ78" s="155">
        <f>ROUND((AI78/AO78)*100,1)</f>
        <v>27.7</v>
      </c>
      <c r="AR78" s="189"/>
      <c r="AS78" s="189"/>
      <c r="AT78" s="189"/>
      <c r="AU78" s="80"/>
    </row>
    <row r="79" spans="1:76" ht="20.100000000000001" customHeight="1" x14ac:dyDescent="0.25">
      <c r="J79" s="202"/>
      <c r="K79" s="202"/>
      <c r="T79" s="159">
        <v>11</v>
      </c>
      <c r="U79" s="80"/>
      <c r="V79" s="265" t="s">
        <v>578</v>
      </c>
      <c r="W79" s="80"/>
      <c r="X79" s="80"/>
      <c r="Y79" s="169">
        <f>Y71</f>
        <v>24</v>
      </c>
      <c r="Z79" s="70"/>
      <c r="AA79" s="169">
        <f>AA78</f>
        <v>4131069</v>
      </c>
      <c r="AB79" s="79"/>
      <c r="AC79" s="307"/>
      <c r="AD79" s="263"/>
      <c r="AE79" s="169">
        <f>AE78+AE72</f>
        <v>132839</v>
      </c>
      <c r="AF79" s="79"/>
      <c r="AG79" s="166">
        <f>ROUND((AE79/$AE$89)*100,1)</f>
        <v>93.8</v>
      </c>
      <c r="AH79" s="156"/>
      <c r="AI79" s="169">
        <f>AI78+AI72</f>
        <v>35523</v>
      </c>
      <c r="AJ79" s="79"/>
      <c r="AK79" s="170">
        <f>ROUND((AI79/AE79)*100,1)</f>
        <v>26.7</v>
      </c>
      <c r="AL79" s="158"/>
      <c r="AM79" s="169">
        <f>AM78+AM72</f>
        <v>0</v>
      </c>
      <c r="AN79" s="79"/>
      <c r="AO79" s="169">
        <f>AO78+AO72</f>
        <v>132839</v>
      </c>
      <c r="AP79" s="79"/>
      <c r="AQ79" s="155">
        <f>ROUND((AI79/AO79)*100,1)</f>
        <v>26.7</v>
      </c>
      <c r="AR79" s="189"/>
      <c r="AS79" s="189"/>
      <c r="AT79" s="189"/>
      <c r="AU79" s="80"/>
    </row>
    <row r="80" spans="1:76" ht="15.75" customHeight="1" x14ac:dyDescent="0.25">
      <c r="J80" s="202"/>
      <c r="K80" s="202"/>
      <c r="T80" s="159"/>
      <c r="U80" s="80"/>
      <c r="V80" s="82"/>
      <c r="W80" s="80"/>
      <c r="X80" s="80"/>
      <c r="Y80" s="163"/>
      <c r="Z80" s="70"/>
      <c r="AA80" s="163"/>
      <c r="AB80" s="79"/>
      <c r="AC80" s="307"/>
      <c r="AD80" s="263"/>
      <c r="AE80" s="163"/>
      <c r="AF80" s="79"/>
      <c r="AG80" s="197"/>
      <c r="AH80" s="156"/>
      <c r="AI80" s="163"/>
      <c r="AJ80" s="79"/>
      <c r="AK80" s="197"/>
      <c r="AL80" s="158"/>
      <c r="AM80" s="163"/>
      <c r="AN80" s="79"/>
      <c r="AO80" s="163"/>
      <c r="AP80" s="79"/>
      <c r="AQ80" s="155"/>
      <c r="AR80" s="189"/>
      <c r="AS80" s="189"/>
      <c r="AT80" s="189"/>
      <c r="AU80" s="80"/>
    </row>
    <row r="81" spans="1:47" ht="15.75" customHeight="1" x14ac:dyDescent="0.25">
      <c r="J81" s="202"/>
      <c r="K81" s="202"/>
      <c r="T81" s="159">
        <f t="shared" ref="T81:T87" si="5">A34</f>
        <v>12</v>
      </c>
      <c r="U81" s="80"/>
      <c r="V81" s="253" t="s">
        <v>553</v>
      </c>
      <c r="W81" s="80"/>
      <c r="X81" s="80"/>
      <c r="Y81" s="163"/>
      <c r="Z81" s="70"/>
      <c r="AA81" s="163"/>
      <c r="AB81" s="79"/>
      <c r="AC81" s="307"/>
      <c r="AD81" s="263"/>
      <c r="AE81" s="163"/>
      <c r="AF81" s="79"/>
      <c r="AG81" s="197"/>
      <c r="AH81" s="156"/>
      <c r="AI81" s="163"/>
      <c r="AJ81" s="79"/>
      <c r="AK81" s="197"/>
      <c r="AL81" s="158"/>
      <c r="AM81" s="163"/>
      <c r="AN81" s="79"/>
      <c r="AO81" s="163"/>
      <c r="AP81" s="79"/>
      <c r="AQ81" s="155"/>
      <c r="AR81" s="189"/>
      <c r="AS81" s="189"/>
      <c r="AT81" s="189"/>
      <c r="AU81" s="80"/>
    </row>
    <row r="82" spans="1:47" ht="15.75" customHeight="1" x14ac:dyDescent="0.25">
      <c r="J82" s="202"/>
      <c r="K82" s="202"/>
      <c r="T82" s="159">
        <f t="shared" si="5"/>
        <v>13</v>
      </c>
      <c r="U82" s="80"/>
      <c r="V82" s="153" t="str">
        <f>C35</f>
        <v>DEMAND SIDE MANAGEMENT RIDER (DSMR)</v>
      </c>
      <c r="W82" s="80"/>
      <c r="X82" s="80"/>
      <c r="Y82" s="163"/>
      <c r="Z82" s="70"/>
      <c r="AA82" s="163"/>
      <c r="AB82" s="79"/>
      <c r="AC82" s="308">
        <f>DSM_DIST</f>
        <v>2.5760000000000002E-3</v>
      </c>
      <c r="AD82" s="268"/>
      <c r="AE82" s="163">
        <f>ROUND(AA79*DSM_DIST,0)</f>
        <v>10642</v>
      </c>
      <c r="AF82" s="79"/>
      <c r="AG82" s="197">
        <f t="shared" ref="AG82:AG87" si="6">ROUND((AE82/$AE$89)*100,1)</f>
        <v>7.5</v>
      </c>
      <c r="AH82" s="156"/>
      <c r="AI82" s="79">
        <f>L35-AE82</f>
        <v>0</v>
      </c>
      <c r="AJ82" s="79"/>
      <c r="AK82" s="155">
        <f t="shared" ref="AK82:AK87" si="7">ROUND((AI82/AE82)*100,1)</f>
        <v>0</v>
      </c>
      <c r="AL82" s="158"/>
      <c r="AM82" s="163"/>
      <c r="AN82" s="79"/>
      <c r="AO82" s="79">
        <f t="shared" ref="AO82:AO86" si="8">AE82+AM82</f>
        <v>10642</v>
      </c>
      <c r="AP82" s="79"/>
      <c r="AQ82" s="155">
        <f t="shared" ref="AQ82:AQ87" si="9">ROUND((AI82/AO82)*100,1)</f>
        <v>0</v>
      </c>
      <c r="AR82" s="189"/>
      <c r="AS82" s="189"/>
      <c r="AT82" s="189"/>
      <c r="AU82" s="80"/>
    </row>
    <row r="83" spans="1:47" ht="15.75" customHeight="1" x14ac:dyDescent="0.25">
      <c r="J83" s="202"/>
      <c r="K83" s="202"/>
      <c r="T83" s="159">
        <f t="shared" si="5"/>
        <v>14</v>
      </c>
      <c r="U83" s="80"/>
      <c r="V83" s="153" t="str">
        <f>C36</f>
        <v>ENVIRONMENTAL SURCHARGE MECHANISM RIDER (ESM)</v>
      </c>
      <c r="W83" s="80"/>
      <c r="X83" s="80"/>
      <c r="Y83" s="163"/>
      <c r="Z83" s="70"/>
      <c r="AA83" s="163"/>
      <c r="AB83" s="79"/>
      <c r="AC83" s="308">
        <f>CUR_ESM</f>
        <v>0</v>
      </c>
      <c r="AD83" s="268"/>
      <c r="AE83" s="163">
        <f>ROUND(AO79*AC83,0)</f>
        <v>0</v>
      </c>
      <c r="AF83" s="79"/>
      <c r="AG83" s="197">
        <f t="shared" si="6"/>
        <v>0</v>
      </c>
      <c r="AH83" s="156"/>
      <c r="AI83" s="79">
        <f>L36-AE83</f>
        <v>0</v>
      </c>
      <c r="AJ83" s="79"/>
      <c r="AK83" s="155">
        <f>IF(AE83=0,0,ROUND((AI83/AE83)*100,1))</f>
        <v>0</v>
      </c>
      <c r="AL83" s="158"/>
      <c r="AM83" s="163"/>
      <c r="AN83" s="79"/>
      <c r="AO83" s="79">
        <f t="shared" ref="AO83:AO85" si="10">AE83+AM83</f>
        <v>0</v>
      </c>
      <c r="AP83" s="79"/>
      <c r="AQ83" s="155">
        <f>IF(AO83=0,0,ROUND((AI83/AO83)*100,1))</f>
        <v>0</v>
      </c>
      <c r="AR83" s="189"/>
      <c r="AS83" s="189"/>
      <c r="AT83" s="189"/>
      <c r="AU83" s="80"/>
    </row>
    <row r="84" spans="1:47" ht="15.75" customHeight="1" x14ac:dyDescent="0.25">
      <c r="J84" s="202"/>
      <c r="K84" s="202"/>
      <c r="T84" s="159">
        <f t="shared" si="5"/>
        <v>15</v>
      </c>
      <c r="U84" s="80"/>
      <c r="V84" s="153" t="str">
        <f>C37</f>
        <v>DISTRIBUTION CAPITAL INVESTMENT RIDER (DCI)</v>
      </c>
      <c r="W84" s="80"/>
      <c r="X84" s="80"/>
      <c r="Y84" s="163"/>
      <c r="Z84" s="70"/>
      <c r="AA84" s="79">
        <f>H37</f>
        <v>0</v>
      </c>
      <c r="AB84" s="79"/>
      <c r="AC84" s="324">
        <f>CUR_DCI_DTS</f>
        <v>0</v>
      </c>
      <c r="AD84" s="268"/>
      <c r="AE84" s="163">
        <f>ROUND(AA84*AC84,0)</f>
        <v>0</v>
      </c>
      <c r="AF84" s="79"/>
      <c r="AG84" s="197">
        <f t="shared" si="6"/>
        <v>0</v>
      </c>
      <c r="AH84" s="156"/>
      <c r="AI84" s="79">
        <f t="shared" ref="AI84" si="11">L37-AE84</f>
        <v>0</v>
      </c>
      <c r="AJ84" s="79"/>
      <c r="AK84" s="155">
        <f>IF(AE84=0,0,ROUND((AI84/AE84)*100,1))</f>
        <v>0</v>
      </c>
      <c r="AL84" s="158"/>
      <c r="AM84" s="163"/>
      <c r="AN84" s="79"/>
      <c r="AO84" s="79">
        <f t="shared" ref="AO84" si="12">AE84+AM84</f>
        <v>0</v>
      </c>
      <c r="AP84" s="79"/>
      <c r="AQ84" s="155">
        <f>IF(AO84=0,0,ROUND((AI84/AO84)*100,1))</f>
        <v>0</v>
      </c>
      <c r="AR84" s="189"/>
      <c r="AS84" s="189"/>
      <c r="AT84" s="189"/>
      <c r="AU84" s="80"/>
    </row>
    <row r="85" spans="1:47" ht="15.75" customHeight="1" x14ac:dyDescent="0.25">
      <c r="J85" s="202"/>
      <c r="K85" s="202"/>
      <c r="T85" s="159">
        <f t="shared" si="5"/>
        <v>16</v>
      </c>
      <c r="U85" s="80"/>
      <c r="V85" s="153" t="str">
        <f>C38</f>
        <v>FERC TRANSMISSION COST RECOVERY RECONCILIATION (FTR)</v>
      </c>
      <c r="W85" s="80"/>
      <c r="X85" s="80"/>
      <c r="Y85" s="163"/>
      <c r="Z85" s="70"/>
      <c r="AA85" s="79"/>
      <c r="AB85" s="79"/>
      <c r="AC85" s="308">
        <f>CUR_FTR_DTS</f>
        <v>0</v>
      </c>
      <c r="AD85" s="268"/>
      <c r="AE85" s="163">
        <f>ROUND(AA79*AC85,0)</f>
        <v>0</v>
      </c>
      <c r="AF85" s="79"/>
      <c r="AG85" s="197">
        <f t="shared" si="6"/>
        <v>0</v>
      </c>
      <c r="AH85" s="156"/>
      <c r="AI85" s="79">
        <f t="shared" ref="AI85" si="13">L38-AE85</f>
        <v>0</v>
      </c>
      <c r="AJ85" s="79"/>
      <c r="AK85" s="155">
        <f>IF(AE85=0,0,ROUND((AI85/AE85)*100,1))</f>
        <v>0</v>
      </c>
      <c r="AL85" s="158"/>
      <c r="AM85" s="163"/>
      <c r="AN85" s="79"/>
      <c r="AO85" s="79">
        <f t="shared" si="10"/>
        <v>0</v>
      </c>
      <c r="AP85" s="79"/>
      <c r="AQ85" s="155">
        <f>IF(AO85=0,0,ROUND((AI85/AO85)*100,1))</f>
        <v>0</v>
      </c>
      <c r="AR85" s="189"/>
      <c r="AS85" s="189"/>
      <c r="AT85" s="189"/>
      <c r="AU85" s="80"/>
    </row>
    <row r="86" spans="1:47" ht="15.75" customHeight="1" x14ac:dyDescent="0.25">
      <c r="J86" s="202"/>
      <c r="K86" s="202"/>
      <c r="T86" s="159">
        <f t="shared" si="5"/>
        <v>17</v>
      </c>
      <c r="U86" s="80"/>
      <c r="V86" s="153" t="str">
        <f>C39</f>
        <v>PROFIT SHARING MECHANISM (PSM)</v>
      </c>
      <c r="W86" s="80"/>
      <c r="X86" s="80"/>
      <c r="Y86" s="163"/>
      <c r="Z86" s="70"/>
      <c r="AA86" s="163"/>
      <c r="AB86" s="79"/>
      <c r="AC86" s="308">
        <f>RS_PSM</f>
        <v>-4.5600000000000003E-4</v>
      </c>
      <c r="AD86" s="268"/>
      <c r="AE86" s="167">
        <f>ROUND(AA79*RS_PSM,0)</f>
        <v>-1884</v>
      </c>
      <c r="AF86" s="79"/>
      <c r="AG86" s="166">
        <f t="shared" si="6"/>
        <v>-1.3</v>
      </c>
      <c r="AH86" s="156"/>
      <c r="AI86" s="167">
        <f>L39-AE86</f>
        <v>0</v>
      </c>
      <c r="AJ86" s="79"/>
      <c r="AK86" s="166">
        <f t="shared" si="7"/>
        <v>0</v>
      </c>
      <c r="AL86" s="158"/>
      <c r="AM86" s="167"/>
      <c r="AN86" s="79"/>
      <c r="AO86" s="167">
        <f t="shared" si="8"/>
        <v>-1884</v>
      </c>
      <c r="AP86" s="79"/>
      <c r="AQ86" s="155">
        <f t="shared" si="9"/>
        <v>0</v>
      </c>
      <c r="AR86" s="189"/>
      <c r="AS86" s="189"/>
      <c r="AT86" s="189"/>
      <c r="AU86" s="80"/>
    </row>
    <row r="87" spans="1:47" ht="20.100000000000001" customHeight="1" x14ac:dyDescent="0.25">
      <c r="J87" s="202"/>
      <c r="K87" s="202"/>
      <c r="T87" s="159">
        <f t="shared" si="5"/>
        <v>18</v>
      </c>
      <c r="U87" s="80"/>
      <c r="V87" s="253" t="s">
        <v>557</v>
      </c>
      <c r="W87" s="80"/>
      <c r="X87" s="80"/>
      <c r="Y87" s="167"/>
      <c r="Z87" s="70"/>
      <c r="AA87" s="167"/>
      <c r="AB87" s="79"/>
      <c r="AC87" s="263"/>
      <c r="AD87" s="263"/>
      <c r="AE87" s="169">
        <f>SUM(AE82:AE86)</f>
        <v>8758</v>
      </c>
      <c r="AF87" s="79"/>
      <c r="AG87" s="170">
        <f t="shared" si="6"/>
        <v>6.2</v>
      </c>
      <c r="AH87" s="156"/>
      <c r="AI87" s="169">
        <f>SUM(AI82:AI86)</f>
        <v>0</v>
      </c>
      <c r="AJ87" s="79"/>
      <c r="AK87" s="170">
        <f t="shared" si="7"/>
        <v>0</v>
      </c>
      <c r="AL87" s="158"/>
      <c r="AM87" s="169">
        <f>SUM(AM82:AM86)</f>
        <v>0</v>
      </c>
      <c r="AN87" s="79"/>
      <c r="AO87" s="169">
        <f>SUM(AO82:AO86)</f>
        <v>8758</v>
      </c>
      <c r="AP87" s="79"/>
      <c r="AQ87" s="155">
        <f t="shared" si="9"/>
        <v>0</v>
      </c>
      <c r="AR87" s="189"/>
      <c r="AS87" s="189"/>
      <c r="AT87" s="189"/>
      <c r="AU87" s="80"/>
    </row>
    <row r="88" spans="1:47" ht="15.75" customHeight="1" x14ac:dyDescent="0.25">
      <c r="J88" s="202"/>
      <c r="K88" s="202"/>
      <c r="T88" s="159"/>
      <c r="U88" s="80"/>
      <c r="V88" s="253"/>
      <c r="W88" s="80"/>
      <c r="X88" s="80"/>
      <c r="Y88" s="163"/>
      <c r="Z88" s="70"/>
      <c r="AA88" s="163"/>
      <c r="AB88" s="79"/>
      <c r="AC88" s="263"/>
      <c r="AD88" s="263"/>
      <c r="AE88" s="163"/>
      <c r="AF88" s="79"/>
      <c r="AG88" s="197"/>
      <c r="AH88" s="156"/>
      <c r="AI88" s="163"/>
      <c r="AJ88" s="79"/>
      <c r="AK88" s="197"/>
      <c r="AL88" s="158"/>
      <c r="AM88" s="163"/>
      <c r="AN88" s="79"/>
      <c r="AO88" s="163"/>
      <c r="AP88" s="79"/>
      <c r="AQ88" s="155"/>
      <c r="AR88" s="189"/>
      <c r="AS88" s="189"/>
      <c r="AT88" s="189"/>
      <c r="AU88" s="80"/>
    </row>
    <row r="89" spans="1:47" ht="20.100000000000001" customHeight="1" thickBot="1" x14ac:dyDescent="0.3">
      <c r="J89" s="202"/>
      <c r="K89" s="202"/>
      <c r="T89" s="159">
        <f>A42</f>
        <v>19</v>
      </c>
      <c r="U89" s="80"/>
      <c r="V89" s="265" t="s">
        <v>580</v>
      </c>
      <c r="W89" s="80"/>
      <c r="X89" s="80"/>
      <c r="Y89" s="275">
        <f>F42</f>
        <v>24</v>
      </c>
      <c r="Z89" s="70"/>
      <c r="AA89" s="275">
        <f>H42</f>
        <v>4131069</v>
      </c>
      <c r="AB89" s="79"/>
      <c r="AC89" s="263"/>
      <c r="AD89" s="263"/>
      <c r="AE89" s="275">
        <f>AE87+AE79</f>
        <v>141597</v>
      </c>
      <c r="AF89" s="79"/>
      <c r="AG89" s="291">
        <v>100</v>
      </c>
      <c r="AH89" s="156"/>
      <c r="AI89" s="275">
        <f>AI87+AI79</f>
        <v>35523</v>
      </c>
      <c r="AJ89" s="79"/>
      <c r="AK89" s="291">
        <f>ROUND((AI89/AE89)*100,1)</f>
        <v>25.1</v>
      </c>
      <c r="AL89" s="158"/>
      <c r="AM89" s="275">
        <f>AM87+AM79</f>
        <v>0</v>
      </c>
      <c r="AN89" s="79"/>
      <c r="AO89" s="275">
        <f>AO87+AO79</f>
        <v>141597</v>
      </c>
      <c r="AP89" s="79"/>
      <c r="AQ89" s="155">
        <f>ROUND((AI89/AO89)*100,1)</f>
        <v>25.1</v>
      </c>
      <c r="AR89" s="189"/>
      <c r="AS89" s="189"/>
      <c r="AT89" s="189"/>
    </row>
    <row r="90" spans="1:47" ht="16.5" thickTop="1" x14ac:dyDescent="0.25">
      <c r="L90" s="154"/>
      <c r="M90" s="154"/>
      <c r="T90" s="80"/>
      <c r="U90" s="80"/>
      <c r="V90" s="80"/>
      <c r="W90" s="80"/>
      <c r="X90" s="80"/>
      <c r="Y90" s="79"/>
      <c r="Z90" s="70"/>
      <c r="AA90" s="79"/>
      <c r="AB90" s="79"/>
      <c r="AC90" s="263"/>
      <c r="AD90" s="263"/>
      <c r="AE90" s="79"/>
      <c r="AF90" s="79"/>
      <c r="AG90" s="155"/>
      <c r="AH90" s="79"/>
      <c r="AI90" s="70"/>
      <c r="AJ90" s="70"/>
      <c r="AK90" s="164"/>
      <c r="AL90" s="70"/>
      <c r="AM90" s="70"/>
      <c r="AN90" s="70"/>
      <c r="AO90" s="70"/>
      <c r="AP90" s="70"/>
      <c r="AQ90" s="164"/>
      <c r="AR90" s="80"/>
      <c r="AS90" s="80"/>
      <c r="AT90" s="80"/>
    </row>
    <row r="91" spans="1:47" x14ac:dyDescent="0.25">
      <c r="A91" s="202"/>
      <c r="R91" s="154"/>
      <c r="T91" s="80"/>
      <c r="U91" s="80"/>
      <c r="V91" s="173" t="s">
        <v>61</v>
      </c>
      <c r="W91" s="80"/>
      <c r="X91" s="80"/>
      <c r="Y91" s="189"/>
      <c r="Z91" s="80"/>
      <c r="AA91" s="189"/>
      <c r="AB91" s="189"/>
      <c r="AC91" s="310"/>
      <c r="AD91" s="310"/>
      <c r="AE91" s="189"/>
      <c r="AF91" s="189"/>
      <c r="AG91" s="296"/>
      <c r="AH91" s="189"/>
      <c r="AI91" s="80"/>
      <c r="AJ91" s="80"/>
      <c r="AK91" s="188"/>
      <c r="AL91" s="80"/>
      <c r="AM91" s="80"/>
      <c r="AN91" s="80"/>
      <c r="AO91" s="80"/>
      <c r="AP91" s="80"/>
      <c r="AQ91" s="188"/>
      <c r="AR91" s="80"/>
      <c r="AS91" s="80"/>
      <c r="AT91" s="80"/>
    </row>
    <row r="92" spans="1:47" x14ac:dyDescent="0.25">
      <c r="A92" s="202"/>
      <c r="R92" s="154"/>
      <c r="V92" s="82"/>
      <c r="Z92" s="202"/>
    </row>
    <row r="93" spans="1:47" x14ac:dyDescent="0.25">
      <c r="A93" s="154"/>
      <c r="R93" s="154"/>
      <c r="AA93" s="154"/>
      <c r="AB93" s="154"/>
    </row>
    <row r="94" spans="1:47" x14ac:dyDescent="0.25">
      <c r="L94" s="154"/>
      <c r="M94" s="154"/>
      <c r="R94" s="202"/>
      <c r="AK94" s="297"/>
      <c r="AL94" s="154"/>
    </row>
    <row r="95" spans="1:47" x14ac:dyDescent="0.2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AK95" s="297"/>
      <c r="AL95" s="154"/>
    </row>
    <row r="96" spans="1:47" x14ac:dyDescent="0.25">
      <c r="L96" s="103"/>
      <c r="M96" s="103"/>
      <c r="N96" s="103"/>
      <c r="O96" s="103"/>
      <c r="R96" s="103"/>
      <c r="AK96" s="297"/>
      <c r="AL96" s="154"/>
    </row>
    <row r="97" spans="1:40" x14ac:dyDescent="0.25">
      <c r="L97" s="103"/>
      <c r="M97" s="103"/>
      <c r="N97" s="103"/>
      <c r="O97" s="103"/>
      <c r="R97" s="103"/>
      <c r="AA97" s="154"/>
      <c r="AB97" s="154"/>
      <c r="AK97" s="209"/>
      <c r="AL97" s="202"/>
    </row>
    <row r="98" spans="1:40" x14ac:dyDescent="0.25">
      <c r="A98" s="103"/>
      <c r="C98" s="103"/>
      <c r="D98" s="103"/>
      <c r="E98" s="103"/>
      <c r="F98" s="103"/>
      <c r="J98" s="103"/>
      <c r="K98" s="103"/>
      <c r="L98" s="103"/>
      <c r="M98" s="103"/>
      <c r="N98" s="103"/>
      <c r="O98" s="103"/>
      <c r="P98" s="103"/>
      <c r="Q98" s="103"/>
      <c r="R98" s="103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208"/>
      <c r="AH98" s="102"/>
      <c r="AI98" s="102"/>
      <c r="AJ98" s="102"/>
      <c r="AK98" s="208"/>
      <c r="AL98" s="102"/>
      <c r="AM98" s="102"/>
      <c r="AN98" s="102"/>
    </row>
    <row r="99" spans="1:40" x14ac:dyDescent="0.25">
      <c r="A99" s="103"/>
      <c r="C99" s="103"/>
      <c r="D99" s="103"/>
      <c r="E99" s="103"/>
      <c r="F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AA99" s="103"/>
      <c r="AB99" s="103"/>
      <c r="AC99" s="103"/>
      <c r="AD99" s="103"/>
      <c r="AE99" s="103"/>
      <c r="AF99" s="103"/>
      <c r="AG99" s="185"/>
      <c r="AH99" s="103"/>
      <c r="AK99" s="185"/>
      <c r="AL99" s="103"/>
      <c r="AM99" s="103"/>
      <c r="AN99" s="103"/>
    </row>
    <row r="100" spans="1:40" x14ac:dyDescent="0.25">
      <c r="C100" s="103"/>
      <c r="D100" s="103"/>
      <c r="E100" s="103"/>
      <c r="F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Z100" s="103"/>
      <c r="AA100" s="103"/>
      <c r="AB100" s="103"/>
      <c r="AC100" s="103"/>
      <c r="AD100" s="103"/>
      <c r="AE100" s="103"/>
      <c r="AF100" s="103"/>
      <c r="AG100" s="185"/>
      <c r="AH100" s="103"/>
      <c r="AK100" s="185"/>
      <c r="AL100" s="103"/>
      <c r="AM100" s="103"/>
      <c r="AN100" s="103"/>
    </row>
    <row r="101" spans="1:40" x14ac:dyDescent="0.2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T101" s="103"/>
      <c r="U101" s="103"/>
      <c r="V101" s="103"/>
      <c r="Z101" s="103"/>
      <c r="AA101" s="103"/>
      <c r="AB101" s="103"/>
      <c r="AC101" s="103"/>
      <c r="AD101" s="103"/>
      <c r="AE101" s="103"/>
      <c r="AF101" s="103"/>
      <c r="AG101" s="185"/>
      <c r="AH101" s="103"/>
      <c r="AI101" s="103"/>
      <c r="AJ101" s="103"/>
      <c r="AK101" s="185"/>
      <c r="AL101" s="103"/>
      <c r="AM101" s="103"/>
      <c r="AN101" s="103"/>
    </row>
    <row r="102" spans="1:40" x14ac:dyDescent="0.25"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T102" s="103"/>
      <c r="U102" s="103"/>
      <c r="V102" s="103"/>
      <c r="Y102" s="103"/>
      <c r="Z102" s="103"/>
      <c r="AA102" s="103"/>
      <c r="AB102" s="103"/>
      <c r="AC102" s="103"/>
      <c r="AD102" s="103"/>
      <c r="AE102" s="103"/>
      <c r="AF102" s="103"/>
      <c r="AG102" s="185"/>
      <c r="AH102" s="103"/>
      <c r="AI102" s="103"/>
      <c r="AJ102" s="103"/>
      <c r="AK102" s="185"/>
      <c r="AL102" s="103"/>
      <c r="AM102" s="103"/>
      <c r="AN102" s="103"/>
    </row>
    <row r="103" spans="1:40" x14ac:dyDescent="0.25">
      <c r="A103" s="202"/>
      <c r="C103" s="154"/>
      <c r="D103" s="154"/>
      <c r="E103" s="154"/>
      <c r="T103" s="103"/>
      <c r="U103" s="103"/>
      <c r="V103" s="103"/>
      <c r="Y103" s="103"/>
      <c r="Z103" s="103"/>
      <c r="AA103" s="103"/>
      <c r="AB103" s="103"/>
      <c r="AC103" s="103"/>
      <c r="AD103" s="103"/>
      <c r="AE103" s="103"/>
      <c r="AF103" s="103"/>
      <c r="AG103" s="185"/>
      <c r="AH103" s="103"/>
      <c r="AI103" s="103"/>
      <c r="AJ103" s="103"/>
      <c r="AK103" s="185"/>
      <c r="AL103" s="103"/>
      <c r="AM103" s="103"/>
      <c r="AN103" s="103"/>
    </row>
    <row r="104" spans="1:40" x14ac:dyDescent="0.25">
      <c r="A104" s="202"/>
      <c r="C104" s="154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208"/>
      <c r="AH104" s="102"/>
      <c r="AI104" s="102"/>
      <c r="AJ104" s="102"/>
      <c r="AK104" s="208"/>
      <c r="AL104" s="102"/>
      <c r="AM104" s="102"/>
      <c r="AN104" s="102"/>
    </row>
    <row r="105" spans="1:40" x14ac:dyDescent="0.25">
      <c r="Y105" s="103"/>
      <c r="Z105" s="103"/>
      <c r="AA105" s="103"/>
      <c r="AB105" s="103"/>
      <c r="AC105" s="103"/>
      <c r="AD105" s="103"/>
      <c r="AE105" s="103"/>
      <c r="AF105" s="103"/>
      <c r="AG105" s="185"/>
      <c r="AH105" s="103"/>
      <c r="AI105" s="103"/>
      <c r="AJ105" s="103"/>
      <c r="AK105" s="185"/>
      <c r="AL105" s="103"/>
      <c r="AM105" s="103"/>
      <c r="AN105" s="103"/>
    </row>
    <row r="106" spans="1:40" x14ac:dyDescent="0.25">
      <c r="A106" s="202"/>
      <c r="C106" s="154"/>
      <c r="T106" s="154"/>
      <c r="U106" s="154"/>
    </row>
    <row r="107" spans="1:40" x14ac:dyDescent="0.25">
      <c r="A107" s="202"/>
      <c r="C107" s="154"/>
      <c r="F107" s="252"/>
      <c r="H107" s="252"/>
      <c r="I107" s="252"/>
      <c r="J107" s="300"/>
      <c r="K107" s="300"/>
      <c r="L107" s="200"/>
      <c r="M107" s="200"/>
      <c r="N107" s="210"/>
      <c r="O107" s="210"/>
      <c r="P107" s="202"/>
      <c r="Q107" s="202"/>
      <c r="R107" s="200"/>
      <c r="T107" s="154"/>
    </row>
    <row r="108" spans="1:40" x14ac:dyDescent="0.25">
      <c r="A108" s="202"/>
      <c r="C108" s="154"/>
      <c r="F108" s="252"/>
      <c r="H108" s="252"/>
      <c r="I108" s="252"/>
      <c r="J108" s="300"/>
      <c r="K108" s="300"/>
      <c r="L108" s="200"/>
      <c r="M108" s="200"/>
      <c r="N108" s="210"/>
      <c r="O108" s="210"/>
      <c r="P108" s="202"/>
      <c r="Q108" s="202"/>
      <c r="R108" s="200"/>
    </row>
    <row r="109" spans="1:40" x14ac:dyDescent="0.25">
      <c r="A109" s="202"/>
      <c r="C109" s="154"/>
      <c r="F109" s="252"/>
      <c r="H109" s="252"/>
      <c r="I109" s="252"/>
      <c r="J109" s="300"/>
      <c r="K109" s="300"/>
      <c r="L109" s="200"/>
      <c r="M109" s="200"/>
      <c r="N109" s="210"/>
      <c r="O109" s="210"/>
      <c r="P109" s="202"/>
      <c r="Q109" s="202"/>
      <c r="R109" s="200"/>
      <c r="T109" s="154"/>
    </row>
    <row r="110" spans="1:40" x14ac:dyDescent="0.25">
      <c r="F110" s="211"/>
      <c r="H110" s="200"/>
      <c r="I110" s="200"/>
      <c r="J110" s="305"/>
      <c r="K110" s="305"/>
      <c r="L110" s="211"/>
      <c r="M110" s="211"/>
      <c r="N110" s="211"/>
      <c r="O110" s="211"/>
      <c r="P110" s="211"/>
      <c r="Q110" s="211"/>
      <c r="R110" s="211"/>
      <c r="T110" s="154"/>
      <c r="V110" s="200"/>
      <c r="Y110" s="252"/>
      <c r="Z110" s="300"/>
      <c r="AA110" s="200"/>
      <c r="AB110" s="200"/>
      <c r="AC110" s="210"/>
      <c r="AD110" s="210"/>
      <c r="AE110" s="200"/>
      <c r="AF110" s="200"/>
      <c r="AG110" s="325"/>
      <c r="AH110" s="326"/>
      <c r="AI110" s="202"/>
      <c r="AJ110" s="202"/>
      <c r="AK110" s="209"/>
      <c r="AL110" s="200"/>
      <c r="AM110" s="327"/>
      <c r="AN110" s="327"/>
    </row>
    <row r="111" spans="1:40" x14ac:dyDescent="0.25">
      <c r="A111" s="202"/>
      <c r="C111" s="154"/>
      <c r="F111" s="200"/>
      <c r="H111" s="200"/>
      <c r="I111" s="200"/>
      <c r="J111" s="305"/>
      <c r="K111" s="305"/>
      <c r="L111" s="200"/>
      <c r="M111" s="200"/>
      <c r="N111" s="210"/>
      <c r="O111" s="210"/>
      <c r="P111" s="200"/>
      <c r="Q111" s="200"/>
      <c r="R111" s="200"/>
      <c r="T111" s="154"/>
      <c r="V111" s="200"/>
      <c r="Y111" s="252"/>
      <c r="Z111" s="300"/>
      <c r="AA111" s="200"/>
      <c r="AB111" s="200"/>
      <c r="AC111" s="210"/>
      <c r="AD111" s="210"/>
      <c r="AE111" s="200"/>
      <c r="AF111" s="200"/>
      <c r="AG111" s="209"/>
      <c r="AH111" s="201"/>
      <c r="AI111" s="202"/>
      <c r="AJ111" s="202"/>
      <c r="AK111" s="209"/>
      <c r="AL111" s="200"/>
      <c r="AM111" s="210"/>
      <c r="AN111" s="210"/>
    </row>
    <row r="112" spans="1:40" x14ac:dyDescent="0.25">
      <c r="F112" s="211"/>
      <c r="H112" s="200"/>
      <c r="I112" s="200"/>
      <c r="J112" s="305"/>
      <c r="K112" s="305"/>
      <c r="L112" s="211"/>
      <c r="M112" s="211"/>
      <c r="N112" s="211"/>
      <c r="O112" s="211"/>
      <c r="P112" s="211"/>
      <c r="Q112" s="211"/>
      <c r="R112" s="211"/>
      <c r="T112" s="154"/>
      <c r="V112" s="200"/>
      <c r="Y112" s="252"/>
      <c r="Z112" s="300"/>
      <c r="AA112" s="200"/>
      <c r="AB112" s="200"/>
      <c r="AC112" s="210"/>
      <c r="AD112" s="210"/>
      <c r="AE112" s="200"/>
      <c r="AF112" s="200"/>
      <c r="AG112" s="209"/>
      <c r="AH112" s="201"/>
      <c r="AI112" s="202"/>
      <c r="AJ112" s="202"/>
      <c r="AK112" s="209"/>
      <c r="AL112" s="200"/>
      <c r="AM112" s="210"/>
      <c r="AN112" s="210"/>
    </row>
    <row r="113" spans="1:40" x14ac:dyDescent="0.25">
      <c r="A113" s="202"/>
      <c r="C113" s="154"/>
      <c r="F113" s="252"/>
      <c r="H113" s="252"/>
      <c r="I113" s="252"/>
      <c r="J113" s="328"/>
      <c r="K113" s="328"/>
      <c r="L113" s="200"/>
      <c r="M113" s="200"/>
      <c r="N113" s="210"/>
      <c r="O113" s="210"/>
      <c r="P113" s="200"/>
      <c r="Q113" s="200"/>
      <c r="R113" s="200"/>
      <c r="S113" s="200"/>
      <c r="V113" s="211"/>
      <c r="Y113" s="200"/>
      <c r="Z113" s="305"/>
      <c r="AA113" s="211"/>
      <c r="AB113" s="211"/>
      <c r="AC113" s="211"/>
      <c r="AD113" s="211"/>
      <c r="AE113" s="211"/>
      <c r="AF113" s="211"/>
      <c r="AI113" s="211"/>
      <c r="AJ113" s="211"/>
      <c r="AK113" s="212"/>
      <c r="AL113" s="211"/>
      <c r="AM113" s="210"/>
      <c r="AN113" s="210"/>
    </row>
    <row r="114" spans="1:40" x14ac:dyDescent="0.25">
      <c r="A114" s="202"/>
      <c r="C114" s="154"/>
      <c r="F114" s="252"/>
      <c r="H114" s="252"/>
      <c r="I114" s="252"/>
      <c r="J114" s="300"/>
      <c r="K114" s="300"/>
      <c r="L114" s="200"/>
      <c r="M114" s="200"/>
      <c r="N114" s="210"/>
      <c r="O114" s="210"/>
      <c r="P114" s="200"/>
      <c r="Q114" s="200"/>
      <c r="R114" s="200"/>
      <c r="T114" s="154"/>
      <c r="V114" s="200"/>
      <c r="Y114" s="200"/>
      <c r="Z114" s="213"/>
      <c r="AA114" s="200"/>
      <c r="AB114" s="200"/>
      <c r="AC114" s="210"/>
      <c r="AD114" s="210"/>
      <c r="AE114" s="200"/>
      <c r="AF114" s="200"/>
      <c r="AG114" s="209"/>
      <c r="AH114" s="201"/>
      <c r="AI114" s="200"/>
      <c r="AJ114" s="200"/>
      <c r="AK114" s="209"/>
      <c r="AL114" s="200"/>
      <c r="AM114" s="210"/>
      <c r="AN114" s="210"/>
    </row>
    <row r="115" spans="1:40" x14ac:dyDescent="0.25">
      <c r="A115" s="202"/>
      <c r="C115" s="154"/>
      <c r="F115" s="252"/>
      <c r="H115" s="252"/>
      <c r="I115" s="252"/>
      <c r="J115" s="300"/>
      <c r="K115" s="300"/>
      <c r="L115" s="200"/>
      <c r="M115" s="200"/>
      <c r="N115" s="210"/>
      <c r="O115" s="210"/>
      <c r="P115" s="200"/>
      <c r="Q115" s="200"/>
      <c r="R115" s="200"/>
      <c r="V115" s="211"/>
      <c r="Y115" s="200"/>
      <c r="Z115" s="305"/>
      <c r="AA115" s="211"/>
      <c r="AB115" s="211"/>
      <c r="AC115" s="211"/>
      <c r="AD115" s="211"/>
      <c r="AE115" s="211"/>
      <c r="AF115" s="211"/>
      <c r="AI115" s="211"/>
      <c r="AJ115" s="211"/>
      <c r="AK115" s="212"/>
      <c r="AL115" s="211"/>
      <c r="AM115" s="210"/>
      <c r="AN115" s="210"/>
    </row>
    <row r="116" spans="1:40" x14ac:dyDescent="0.25">
      <c r="F116" s="200"/>
      <c r="H116" s="211"/>
      <c r="I116" s="211"/>
      <c r="J116" s="305"/>
      <c r="K116" s="305"/>
      <c r="L116" s="211"/>
      <c r="M116" s="211"/>
      <c r="N116" s="211"/>
      <c r="O116" s="211"/>
      <c r="P116" s="211"/>
      <c r="Q116" s="211"/>
      <c r="R116" s="211"/>
      <c r="T116" s="154"/>
      <c r="V116" s="252"/>
      <c r="Y116" s="252"/>
      <c r="Z116" s="328"/>
      <c r="AA116" s="200"/>
      <c r="AB116" s="200"/>
      <c r="AC116" s="210"/>
      <c r="AD116" s="210"/>
      <c r="AE116" s="200"/>
      <c r="AF116" s="200"/>
      <c r="AG116" s="209"/>
      <c r="AH116" s="210"/>
      <c r="AI116" s="200"/>
      <c r="AJ116" s="200"/>
      <c r="AK116" s="209"/>
      <c r="AL116" s="200"/>
      <c r="AM116" s="210"/>
      <c r="AN116" s="210"/>
    </row>
    <row r="117" spans="1:40" x14ac:dyDescent="0.25">
      <c r="A117" s="202"/>
      <c r="C117" s="154"/>
      <c r="F117" s="200"/>
      <c r="H117" s="200"/>
      <c r="I117" s="200"/>
      <c r="J117" s="305"/>
      <c r="K117" s="305"/>
      <c r="L117" s="200"/>
      <c r="M117" s="200"/>
      <c r="N117" s="210"/>
      <c r="O117" s="210"/>
      <c r="P117" s="200"/>
      <c r="Q117" s="200"/>
      <c r="R117" s="200"/>
      <c r="T117" s="154"/>
      <c r="V117" s="252"/>
      <c r="Y117" s="200"/>
      <c r="Z117" s="300"/>
      <c r="AA117" s="200"/>
      <c r="AB117" s="200"/>
      <c r="AC117" s="210"/>
      <c r="AD117" s="210"/>
      <c r="AE117" s="200"/>
      <c r="AF117" s="200"/>
      <c r="AG117" s="209"/>
      <c r="AH117" s="201"/>
      <c r="AI117" s="200"/>
      <c r="AJ117" s="200"/>
      <c r="AK117" s="209"/>
      <c r="AL117" s="200"/>
      <c r="AM117" s="210"/>
      <c r="AN117" s="210"/>
    </row>
    <row r="118" spans="1:40" x14ac:dyDescent="0.25">
      <c r="F118" s="200"/>
      <c r="H118" s="211"/>
      <c r="I118" s="211"/>
      <c r="J118" s="305"/>
      <c r="K118" s="305"/>
      <c r="L118" s="211"/>
      <c r="M118" s="211"/>
      <c r="N118" s="211"/>
      <c r="O118" s="211"/>
      <c r="P118" s="211"/>
      <c r="Q118" s="211"/>
      <c r="R118" s="211"/>
      <c r="T118" s="154"/>
      <c r="V118" s="252"/>
      <c r="Y118" s="200"/>
      <c r="Z118" s="300"/>
      <c r="AA118" s="200"/>
      <c r="AB118" s="200"/>
      <c r="AC118" s="210"/>
      <c r="AD118" s="210"/>
      <c r="AE118" s="200"/>
      <c r="AF118" s="200"/>
      <c r="AG118" s="209"/>
      <c r="AH118" s="201"/>
      <c r="AI118" s="200"/>
      <c r="AJ118" s="200"/>
      <c r="AK118" s="209"/>
      <c r="AL118" s="200"/>
      <c r="AM118" s="210"/>
      <c r="AN118" s="210"/>
    </row>
    <row r="119" spans="1:40" x14ac:dyDescent="0.25">
      <c r="A119" s="202"/>
      <c r="C119" s="154"/>
      <c r="F119" s="200"/>
      <c r="H119" s="200"/>
      <c r="I119" s="200"/>
      <c r="J119" s="305"/>
      <c r="K119" s="305"/>
      <c r="L119" s="200"/>
      <c r="M119" s="200"/>
      <c r="N119" s="200"/>
      <c r="O119" s="200"/>
      <c r="P119" s="200"/>
      <c r="Q119" s="200"/>
      <c r="R119" s="200"/>
      <c r="V119" s="200"/>
      <c r="Y119" s="211"/>
      <c r="Z119" s="305"/>
      <c r="AA119" s="211"/>
      <c r="AB119" s="211"/>
      <c r="AC119" s="211"/>
      <c r="AD119" s="211"/>
      <c r="AE119" s="211"/>
      <c r="AF119" s="211"/>
      <c r="AI119" s="211"/>
      <c r="AJ119" s="211"/>
      <c r="AK119" s="212"/>
      <c r="AL119" s="211"/>
      <c r="AM119" s="210"/>
      <c r="AN119" s="210"/>
    </row>
    <row r="120" spans="1:40" x14ac:dyDescent="0.25">
      <c r="A120" s="202"/>
      <c r="C120" s="154"/>
      <c r="F120" s="200"/>
      <c r="H120" s="252"/>
      <c r="I120" s="252"/>
      <c r="J120" s="329"/>
      <c r="K120" s="329"/>
      <c r="L120" s="200"/>
      <c r="M120" s="200"/>
      <c r="N120" s="210"/>
      <c r="O120" s="210"/>
      <c r="P120" s="200"/>
      <c r="Q120" s="200"/>
      <c r="R120" s="200"/>
      <c r="T120" s="154"/>
      <c r="V120" s="200"/>
      <c r="Y120" s="200"/>
      <c r="Z120" s="305"/>
      <c r="AA120" s="200"/>
      <c r="AB120" s="200"/>
      <c r="AC120" s="210"/>
      <c r="AD120" s="210"/>
      <c r="AE120" s="200"/>
      <c r="AF120" s="200"/>
      <c r="AG120" s="209"/>
      <c r="AH120" s="201"/>
      <c r="AI120" s="200"/>
      <c r="AJ120" s="200"/>
      <c r="AK120" s="209"/>
      <c r="AL120" s="200"/>
      <c r="AM120" s="210"/>
      <c r="AN120" s="210"/>
    </row>
    <row r="121" spans="1:40" x14ac:dyDescent="0.25">
      <c r="A121" s="202"/>
      <c r="C121" s="154"/>
      <c r="H121" s="252"/>
      <c r="I121" s="252"/>
      <c r="J121" s="329"/>
      <c r="K121" s="329"/>
      <c r="L121" s="200"/>
      <c r="M121" s="200"/>
      <c r="N121" s="210"/>
      <c r="O121" s="210"/>
      <c r="P121" s="200"/>
      <c r="Q121" s="200"/>
      <c r="R121" s="200"/>
      <c r="V121" s="200"/>
      <c r="Y121" s="211"/>
      <c r="Z121" s="305"/>
      <c r="AA121" s="211"/>
      <c r="AB121" s="211"/>
      <c r="AC121" s="211"/>
      <c r="AD121" s="211"/>
      <c r="AE121" s="211"/>
      <c r="AF121" s="211"/>
      <c r="AI121" s="211"/>
      <c r="AJ121" s="211"/>
      <c r="AK121" s="212"/>
      <c r="AL121" s="211"/>
      <c r="AM121" s="210"/>
      <c r="AN121" s="210"/>
    </row>
    <row r="122" spans="1:40" x14ac:dyDescent="0.25">
      <c r="F122" s="200"/>
      <c r="H122" s="200"/>
      <c r="I122" s="200"/>
      <c r="J122" s="305"/>
      <c r="K122" s="305"/>
      <c r="L122" s="211"/>
      <c r="M122" s="211"/>
      <c r="N122" s="211"/>
      <c r="O122" s="211"/>
      <c r="P122" s="211"/>
      <c r="Q122" s="211"/>
      <c r="R122" s="211"/>
      <c r="T122" s="154"/>
      <c r="V122" s="200"/>
      <c r="Y122" s="200"/>
      <c r="Z122" s="305"/>
      <c r="AA122" s="200"/>
      <c r="AB122" s="200"/>
      <c r="AC122" s="200"/>
      <c r="AD122" s="200"/>
      <c r="AE122" s="200"/>
      <c r="AF122" s="200"/>
      <c r="AG122" s="209"/>
      <c r="AH122" s="201"/>
      <c r="AI122" s="200"/>
      <c r="AJ122" s="200"/>
      <c r="AK122" s="209"/>
      <c r="AL122" s="200"/>
      <c r="AM122" s="210"/>
      <c r="AN122" s="210"/>
    </row>
    <row r="123" spans="1:40" x14ac:dyDescent="0.25">
      <c r="A123" s="202"/>
      <c r="C123" s="154"/>
      <c r="F123" s="200"/>
      <c r="H123" s="200"/>
      <c r="I123" s="200"/>
      <c r="J123" s="213"/>
      <c r="K123" s="213"/>
      <c r="L123" s="200"/>
      <c r="M123" s="200"/>
      <c r="N123" s="210"/>
      <c r="O123" s="210"/>
      <c r="P123" s="200"/>
      <c r="Q123" s="200"/>
      <c r="R123" s="200"/>
      <c r="T123" s="154"/>
      <c r="V123" s="200"/>
      <c r="Y123" s="200"/>
      <c r="Z123" s="329"/>
      <c r="AA123" s="200"/>
      <c r="AB123" s="200"/>
      <c r="AC123" s="210"/>
      <c r="AD123" s="210"/>
      <c r="AE123" s="200"/>
      <c r="AF123" s="200"/>
      <c r="AG123" s="209"/>
      <c r="AH123" s="201"/>
      <c r="AI123" s="200"/>
      <c r="AJ123" s="200"/>
      <c r="AK123" s="209"/>
      <c r="AL123" s="200"/>
      <c r="AM123" s="210"/>
      <c r="AN123" s="210"/>
    </row>
    <row r="124" spans="1:40" x14ac:dyDescent="0.25">
      <c r="F124" s="200"/>
      <c r="H124" s="200"/>
      <c r="I124" s="200"/>
      <c r="J124" s="305"/>
      <c r="K124" s="305"/>
      <c r="L124" s="211"/>
      <c r="M124" s="211"/>
      <c r="N124" s="211"/>
      <c r="O124" s="211"/>
      <c r="P124" s="211"/>
      <c r="Q124" s="211"/>
      <c r="R124" s="211"/>
      <c r="T124" s="154"/>
      <c r="Y124" s="200"/>
      <c r="Z124" s="329"/>
      <c r="AA124" s="200"/>
      <c r="AB124" s="200"/>
      <c r="AC124" s="210"/>
      <c r="AD124" s="210"/>
      <c r="AE124" s="200"/>
      <c r="AF124" s="200"/>
      <c r="AG124" s="209"/>
      <c r="AH124" s="201"/>
      <c r="AI124" s="200"/>
      <c r="AJ124" s="200"/>
      <c r="AK124" s="209"/>
      <c r="AL124" s="200"/>
      <c r="AM124" s="210"/>
      <c r="AN124" s="210"/>
    </row>
    <row r="125" spans="1:40" x14ac:dyDescent="0.25">
      <c r="A125" s="202"/>
      <c r="C125" s="154"/>
      <c r="F125" s="200"/>
      <c r="H125" s="200"/>
      <c r="I125" s="200"/>
      <c r="J125" s="213"/>
      <c r="K125" s="213"/>
      <c r="L125" s="200"/>
      <c r="M125" s="200"/>
      <c r="N125" s="210"/>
      <c r="O125" s="210"/>
      <c r="P125" s="200"/>
      <c r="Q125" s="200"/>
      <c r="R125" s="200"/>
      <c r="V125" s="200"/>
      <c r="Y125" s="200"/>
      <c r="Z125" s="305"/>
      <c r="AA125" s="211"/>
      <c r="AB125" s="211"/>
      <c r="AC125" s="211"/>
      <c r="AD125" s="211"/>
      <c r="AE125" s="211"/>
      <c r="AF125" s="211"/>
      <c r="AI125" s="211"/>
      <c r="AJ125" s="211"/>
      <c r="AK125" s="212"/>
      <c r="AL125" s="211"/>
      <c r="AM125" s="210"/>
      <c r="AN125" s="210"/>
    </row>
    <row r="126" spans="1:40" x14ac:dyDescent="0.25">
      <c r="A126" s="202"/>
      <c r="C126" s="154"/>
      <c r="F126" s="200"/>
      <c r="H126" s="252"/>
      <c r="I126" s="252"/>
      <c r="J126" s="320"/>
      <c r="K126" s="320"/>
      <c r="L126" s="200"/>
      <c r="M126" s="200"/>
      <c r="N126" s="210"/>
      <c r="O126" s="210"/>
      <c r="P126" s="200"/>
      <c r="Q126" s="200"/>
      <c r="R126" s="200"/>
      <c r="T126" s="154"/>
      <c r="V126" s="200"/>
      <c r="Y126" s="200"/>
      <c r="Z126" s="213"/>
      <c r="AA126" s="200"/>
      <c r="AB126" s="200"/>
      <c r="AC126" s="210"/>
      <c r="AD126" s="210"/>
      <c r="AE126" s="200"/>
      <c r="AF126" s="200"/>
      <c r="AG126" s="209"/>
      <c r="AH126" s="201"/>
      <c r="AI126" s="200"/>
      <c r="AJ126" s="200"/>
      <c r="AK126" s="209"/>
      <c r="AL126" s="200"/>
      <c r="AM126" s="210"/>
      <c r="AN126" s="210"/>
    </row>
    <row r="127" spans="1:40" x14ac:dyDescent="0.25">
      <c r="F127" s="211"/>
      <c r="H127" s="211"/>
      <c r="I127" s="211"/>
      <c r="J127" s="305"/>
      <c r="K127" s="305"/>
      <c r="L127" s="211"/>
      <c r="M127" s="211"/>
      <c r="N127" s="211"/>
      <c r="O127" s="211"/>
      <c r="P127" s="211"/>
      <c r="Q127" s="211"/>
      <c r="R127" s="211"/>
      <c r="V127" s="200"/>
      <c r="Y127" s="200"/>
      <c r="Z127" s="305"/>
      <c r="AA127" s="211"/>
      <c r="AB127" s="211"/>
      <c r="AC127" s="211"/>
      <c r="AD127" s="211"/>
      <c r="AE127" s="211"/>
      <c r="AF127" s="211"/>
      <c r="AI127" s="211"/>
      <c r="AJ127" s="211"/>
      <c r="AK127" s="212"/>
      <c r="AL127" s="211"/>
      <c r="AM127" s="210"/>
      <c r="AN127" s="210"/>
    </row>
    <row r="128" spans="1:40" x14ac:dyDescent="0.25">
      <c r="A128" s="202"/>
      <c r="C128" s="154"/>
      <c r="F128" s="200"/>
      <c r="H128" s="200"/>
      <c r="I128" s="200"/>
      <c r="J128" s="305"/>
      <c r="K128" s="305"/>
      <c r="L128" s="200"/>
      <c r="M128" s="200"/>
      <c r="N128" s="210"/>
      <c r="O128" s="210"/>
      <c r="P128" s="200"/>
      <c r="Q128" s="200"/>
      <c r="R128" s="200"/>
      <c r="S128" s="200"/>
      <c r="T128" s="154"/>
      <c r="V128" s="200"/>
      <c r="Y128" s="200"/>
      <c r="Z128" s="213"/>
      <c r="AA128" s="200"/>
      <c r="AB128" s="200"/>
      <c r="AC128" s="210"/>
      <c r="AD128" s="210"/>
      <c r="AE128" s="200"/>
      <c r="AF128" s="200"/>
      <c r="AG128" s="209"/>
      <c r="AH128" s="201"/>
      <c r="AI128" s="200"/>
      <c r="AJ128" s="200"/>
      <c r="AK128" s="209"/>
      <c r="AL128" s="200"/>
      <c r="AM128" s="210"/>
      <c r="AN128" s="210"/>
    </row>
    <row r="129" spans="1:40" x14ac:dyDescent="0.25">
      <c r="F129" s="211"/>
      <c r="H129" s="211"/>
      <c r="I129" s="211"/>
      <c r="J129" s="305"/>
      <c r="K129" s="305"/>
      <c r="L129" s="211"/>
      <c r="M129" s="211"/>
      <c r="N129" s="211"/>
      <c r="O129" s="211"/>
      <c r="P129" s="211"/>
      <c r="Q129" s="211"/>
      <c r="R129" s="211"/>
      <c r="S129" s="200"/>
      <c r="T129" s="154"/>
      <c r="V129" s="252"/>
      <c r="Y129" s="200"/>
      <c r="Z129" s="320"/>
      <c r="AA129" s="200"/>
      <c r="AB129" s="200"/>
      <c r="AC129" s="210"/>
      <c r="AD129" s="210"/>
      <c r="AE129" s="200"/>
      <c r="AF129" s="200"/>
      <c r="AG129" s="209"/>
      <c r="AH129" s="201"/>
      <c r="AI129" s="200"/>
      <c r="AJ129" s="200"/>
      <c r="AK129" s="209"/>
      <c r="AL129" s="200"/>
      <c r="AM129" s="210"/>
      <c r="AN129" s="210"/>
    </row>
    <row r="130" spans="1:40" x14ac:dyDescent="0.25">
      <c r="A130" s="202"/>
      <c r="C130" s="154"/>
      <c r="F130" s="252"/>
      <c r="H130" s="330"/>
      <c r="I130" s="330"/>
      <c r="J130" s="305"/>
      <c r="K130" s="305"/>
      <c r="L130" s="200"/>
      <c r="M130" s="200"/>
      <c r="N130" s="210"/>
      <c r="O130" s="210"/>
      <c r="P130" s="200"/>
      <c r="Q130" s="200"/>
      <c r="R130" s="200"/>
      <c r="S130" s="200"/>
      <c r="V130" s="211"/>
      <c r="Y130" s="211"/>
      <c r="Z130" s="305"/>
      <c r="AA130" s="211"/>
      <c r="AB130" s="211"/>
      <c r="AC130" s="211"/>
      <c r="AD130" s="211"/>
      <c r="AE130" s="211"/>
      <c r="AF130" s="211"/>
      <c r="AI130" s="211"/>
      <c r="AJ130" s="211"/>
      <c r="AK130" s="212"/>
      <c r="AL130" s="211"/>
      <c r="AM130" s="210"/>
      <c r="AN130" s="210"/>
    </row>
    <row r="131" spans="1:40" x14ac:dyDescent="0.25">
      <c r="T131" s="154"/>
      <c r="V131" s="200"/>
      <c r="Y131" s="200"/>
      <c r="Z131" s="305"/>
      <c r="AA131" s="200"/>
      <c r="AB131" s="200"/>
      <c r="AC131" s="210"/>
      <c r="AD131" s="210"/>
      <c r="AE131" s="200"/>
      <c r="AF131" s="200"/>
      <c r="AG131" s="209"/>
      <c r="AH131" s="210"/>
      <c r="AI131" s="200"/>
      <c r="AJ131" s="200"/>
      <c r="AK131" s="209"/>
      <c r="AL131" s="200"/>
      <c r="AM131" s="210"/>
      <c r="AN131" s="210"/>
    </row>
    <row r="132" spans="1:40" x14ac:dyDescent="0.25">
      <c r="A132" s="202"/>
      <c r="C132" s="154"/>
      <c r="V132" s="211"/>
      <c r="Y132" s="211"/>
      <c r="Z132" s="305"/>
      <c r="AA132" s="211"/>
      <c r="AB132" s="211"/>
      <c r="AC132" s="211"/>
      <c r="AD132" s="211"/>
      <c r="AE132" s="211"/>
      <c r="AF132" s="211"/>
      <c r="AI132" s="211"/>
      <c r="AJ132" s="211"/>
      <c r="AK132" s="212"/>
      <c r="AL132" s="211"/>
      <c r="AM132" s="210"/>
      <c r="AN132" s="210"/>
    </row>
    <row r="133" spans="1:40" x14ac:dyDescent="0.25">
      <c r="A133" s="202"/>
      <c r="C133" s="154"/>
      <c r="F133" s="252"/>
      <c r="H133" s="252"/>
      <c r="I133" s="252"/>
      <c r="J133" s="300"/>
      <c r="K133" s="300"/>
      <c r="L133" s="200"/>
      <c r="M133" s="200"/>
      <c r="N133" s="210"/>
      <c r="O133" s="210"/>
      <c r="P133" s="202"/>
      <c r="Q133" s="202"/>
      <c r="R133" s="200"/>
      <c r="T133" s="154"/>
      <c r="V133" s="252"/>
      <c r="Y133" s="252"/>
      <c r="Z133" s="305"/>
      <c r="AA133" s="200"/>
      <c r="AB133" s="200"/>
      <c r="AC133" s="210"/>
      <c r="AD133" s="210"/>
      <c r="AE133" s="200"/>
      <c r="AF133" s="200"/>
      <c r="AI133" s="200"/>
      <c r="AJ133" s="200"/>
      <c r="AK133" s="209"/>
      <c r="AL133" s="200"/>
      <c r="AM133" s="210"/>
      <c r="AN133" s="210"/>
    </row>
    <row r="134" spans="1:40" x14ac:dyDescent="0.25">
      <c r="A134" s="202"/>
      <c r="C134" s="154"/>
      <c r="F134" s="252"/>
      <c r="H134" s="252"/>
      <c r="I134" s="252"/>
      <c r="J134" s="300"/>
      <c r="K134" s="300"/>
      <c r="L134" s="200"/>
      <c r="M134" s="200"/>
      <c r="N134" s="210"/>
      <c r="O134" s="210"/>
      <c r="P134" s="202"/>
      <c r="Q134" s="202"/>
      <c r="R134" s="200"/>
    </row>
    <row r="135" spans="1:40" x14ac:dyDescent="0.25">
      <c r="A135" s="202"/>
      <c r="C135" s="154"/>
      <c r="F135" s="252"/>
      <c r="H135" s="252"/>
      <c r="I135" s="252"/>
      <c r="J135" s="300"/>
      <c r="K135" s="300"/>
      <c r="L135" s="200"/>
      <c r="M135" s="200"/>
      <c r="N135" s="210"/>
      <c r="O135" s="210"/>
      <c r="P135" s="202"/>
      <c r="Q135" s="202"/>
      <c r="R135" s="200"/>
      <c r="T135" s="154"/>
    </row>
    <row r="136" spans="1:40" x14ac:dyDescent="0.25">
      <c r="F136" s="211"/>
      <c r="H136" s="200"/>
      <c r="I136" s="200"/>
      <c r="J136" s="305"/>
      <c r="K136" s="305"/>
      <c r="L136" s="211"/>
      <c r="M136" s="211"/>
      <c r="N136" s="211"/>
      <c r="O136" s="211"/>
      <c r="P136" s="211"/>
      <c r="Q136" s="211"/>
      <c r="R136" s="211"/>
      <c r="T136" s="154"/>
      <c r="V136" s="200"/>
      <c r="Y136" s="252"/>
      <c r="Z136" s="300"/>
      <c r="AA136" s="200"/>
      <c r="AB136" s="200"/>
      <c r="AC136" s="210"/>
      <c r="AD136" s="210"/>
      <c r="AE136" s="200"/>
      <c r="AF136" s="200"/>
      <c r="AG136" s="325"/>
      <c r="AH136" s="326"/>
      <c r="AI136" s="202"/>
      <c r="AJ136" s="202"/>
      <c r="AK136" s="209"/>
      <c r="AL136" s="200"/>
      <c r="AM136" s="327"/>
      <c r="AN136" s="327"/>
    </row>
    <row r="137" spans="1:40" x14ac:dyDescent="0.25">
      <c r="A137" s="202"/>
      <c r="C137" s="154"/>
      <c r="F137" s="200"/>
      <c r="H137" s="200"/>
      <c r="I137" s="200"/>
      <c r="J137" s="305"/>
      <c r="K137" s="305"/>
      <c r="L137" s="200"/>
      <c r="M137" s="200"/>
      <c r="N137" s="210"/>
      <c r="O137" s="210"/>
      <c r="P137" s="200"/>
      <c r="Q137" s="200"/>
      <c r="R137" s="200"/>
      <c r="T137" s="154"/>
      <c r="V137" s="200"/>
      <c r="Y137" s="252"/>
      <c r="Z137" s="300"/>
      <c r="AA137" s="200"/>
      <c r="AB137" s="200"/>
      <c r="AC137" s="210"/>
      <c r="AD137" s="210"/>
      <c r="AE137" s="200"/>
      <c r="AF137" s="200"/>
      <c r="AG137" s="209"/>
      <c r="AH137" s="201"/>
      <c r="AI137" s="202"/>
      <c r="AJ137" s="202"/>
      <c r="AK137" s="209"/>
      <c r="AL137" s="200"/>
      <c r="AM137" s="210"/>
      <c r="AN137" s="210"/>
    </row>
    <row r="138" spans="1:40" x14ac:dyDescent="0.25">
      <c r="F138" s="211"/>
      <c r="H138" s="200"/>
      <c r="I138" s="200"/>
      <c r="J138" s="305"/>
      <c r="K138" s="305"/>
      <c r="L138" s="211"/>
      <c r="M138" s="211"/>
      <c r="N138" s="211"/>
      <c r="O138" s="211"/>
      <c r="P138" s="211"/>
      <c r="Q138" s="211"/>
      <c r="R138" s="211"/>
      <c r="T138" s="154"/>
      <c r="V138" s="200"/>
      <c r="Y138" s="252"/>
      <c r="Z138" s="300"/>
      <c r="AA138" s="200"/>
      <c r="AB138" s="200"/>
      <c r="AC138" s="210"/>
      <c r="AD138" s="210"/>
      <c r="AE138" s="200"/>
      <c r="AF138" s="200"/>
      <c r="AG138" s="209"/>
      <c r="AH138" s="201"/>
      <c r="AI138" s="202"/>
      <c r="AJ138" s="202"/>
      <c r="AK138" s="209"/>
      <c r="AL138" s="200"/>
      <c r="AM138" s="210"/>
      <c r="AN138" s="210"/>
    </row>
    <row r="139" spans="1:40" x14ac:dyDescent="0.25">
      <c r="A139" s="202"/>
      <c r="C139" s="154"/>
      <c r="F139" s="252"/>
      <c r="H139" s="252"/>
      <c r="I139" s="252"/>
      <c r="J139" s="328"/>
      <c r="K139" s="328"/>
      <c r="L139" s="200"/>
      <c r="M139" s="200"/>
      <c r="N139" s="210"/>
      <c r="O139" s="210"/>
      <c r="P139" s="200"/>
      <c r="Q139" s="200"/>
      <c r="R139" s="200"/>
      <c r="S139" s="200"/>
      <c r="V139" s="211"/>
      <c r="Y139" s="200"/>
      <c r="Z139" s="305"/>
      <c r="AA139" s="211"/>
      <c r="AB139" s="211"/>
      <c r="AC139" s="211"/>
      <c r="AD139" s="211"/>
      <c r="AE139" s="211"/>
      <c r="AF139" s="211"/>
      <c r="AI139" s="211"/>
      <c r="AJ139" s="211"/>
      <c r="AK139" s="212"/>
      <c r="AL139" s="211"/>
      <c r="AM139" s="210"/>
      <c r="AN139" s="210"/>
    </row>
    <row r="140" spans="1:40" x14ac:dyDescent="0.25">
      <c r="A140" s="202"/>
      <c r="C140" s="154"/>
      <c r="F140" s="252"/>
      <c r="H140" s="252"/>
      <c r="I140" s="252"/>
      <c r="J140" s="300"/>
      <c r="K140" s="300"/>
      <c r="L140" s="200"/>
      <c r="M140" s="200"/>
      <c r="N140" s="210"/>
      <c r="O140" s="210"/>
      <c r="P140" s="200"/>
      <c r="Q140" s="200"/>
      <c r="R140" s="200"/>
      <c r="T140" s="154"/>
      <c r="V140" s="200"/>
      <c r="Y140" s="200"/>
      <c r="Z140" s="305"/>
      <c r="AA140" s="200"/>
      <c r="AB140" s="200"/>
      <c r="AC140" s="210"/>
      <c r="AD140" s="210"/>
      <c r="AE140" s="200"/>
      <c r="AF140" s="200"/>
      <c r="AG140" s="209"/>
      <c r="AH140" s="201"/>
      <c r="AI140" s="200"/>
      <c r="AJ140" s="200"/>
      <c r="AK140" s="209"/>
      <c r="AL140" s="200"/>
      <c r="AM140" s="210"/>
      <c r="AN140" s="210"/>
    </row>
    <row r="141" spans="1:40" x14ac:dyDescent="0.25">
      <c r="A141" s="202"/>
      <c r="C141" s="154"/>
      <c r="F141" s="252"/>
      <c r="H141" s="252"/>
      <c r="I141" s="252"/>
      <c r="J141" s="300"/>
      <c r="K141" s="300"/>
      <c r="L141" s="200"/>
      <c r="M141" s="200"/>
      <c r="N141" s="210"/>
      <c r="O141" s="210"/>
      <c r="P141" s="200"/>
      <c r="Q141" s="200"/>
      <c r="R141" s="200"/>
      <c r="V141" s="211"/>
      <c r="Y141" s="200"/>
      <c r="Z141" s="305"/>
      <c r="AA141" s="211"/>
      <c r="AB141" s="211"/>
      <c r="AC141" s="211"/>
      <c r="AD141" s="211"/>
      <c r="AE141" s="211"/>
      <c r="AF141" s="211"/>
      <c r="AI141" s="211"/>
      <c r="AJ141" s="211"/>
      <c r="AK141" s="212"/>
      <c r="AL141" s="211"/>
      <c r="AM141" s="210"/>
      <c r="AN141" s="210"/>
    </row>
    <row r="142" spans="1:40" x14ac:dyDescent="0.25">
      <c r="F142" s="200"/>
      <c r="H142" s="211"/>
      <c r="I142" s="211"/>
      <c r="J142" s="305"/>
      <c r="K142" s="305"/>
      <c r="L142" s="211"/>
      <c r="M142" s="211"/>
      <c r="N142" s="211"/>
      <c r="O142" s="211"/>
      <c r="P142" s="211"/>
      <c r="Q142" s="211"/>
      <c r="R142" s="211"/>
      <c r="T142" s="154"/>
      <c r="V142" s="252"/>
      <c r="Y142" s="252"/>
      <c r="Z142" s="328"/>
      <c r="AA142" s="200"/>
      <c r="AB142" s="200"/>
      <c r="AC142" s="210"/>
      <c r="AD142" s="210"/>
      <c r="AE142" s="200"/>
      <c r="AF142" s="200"/>
      <c r="AG142" s="209"/>
      <c r="AH142" s="210"/>
      <c r="AI142" s="200"/>
      <c r="AJ142" s="200"/>
      <c r="AK142" s="209"/>
      <c r="AL142" s="200"/>
      <c r="AM142" s="210"/>
      <c r="AN142" s="210"/>
    </row>
    <row r="143" spans="1:40" x14ac:dyDescent="0.25">
      <c r="A143" s="202"/>
      <c r="C143" s="154"/>
      <c r="F143" s="200"/>
      <c r="H143" s="200"/>
      <c r="I143" s="200"/>
      <c r="J143" s="305"/>
      <c r="K143" s="305"/>
      <c r="L143" s="200"/>
      <c r="M143" s="200"/>
      <c r="N143" s="210"/>
      <c r="O143" s="210"/>
      <c r="P143" s="200"/>
      <c r="Q143" s="200"/>
      <c r="R143" s="200"/>
      <c r="T143" s="154"/>
      <c r="V143" s="252"/>
      <c r="Y143" s="200"/>
      <c r="Z143" s="300"/>
      <c r="AA143" s="200"/>
      <c r="AB143" s="200"/>
      <c r="AC143" s="210"/>
      <c r="AD143" s="210"/>
      <c r="AE143" s="200"/>
      <c r="AF143" s="200"/>
      <c r="AG143" s="209"/>
      <c r="AH143" s="201"/>
      <c r="AI143" s="200"/>
      <c r="AJ143" s="200"/>
      <c r="AK143" s="209"/>
      <c r="AL143" s="200"/>
      <c r="AM143" s="210"/>
      <c r="AN143" s="210"/>
    </row>
    <row r="144" spans="1:40" x14ac:dyDescent="0.25">
      <c r="F144" s="200"/>
      <c r="H144" s="211"/>
      <c r="I144" s="211"/>
      <c r="J144" s="305"/>
      <c r="K144" s="305"/>
      <c r="L144" s="211"/>
      <c r="M144" s="211"/>
      <c r="N144" s="211"/>
      <c r="O144" s="211"/>
      <c r="P144" s="211"/>
      <c r="Q144" s="211"/>
      <c r="R144" s="211"/>
      <c r="T144" s="154"/>
      <c r="V144" s="252"/>
      <c r="Y144" s="200"/>
      <c r="Z144" s="300"/>
      <c r="AA144" s="200"/>
      <c r="AB144" s="200"/>
      <c r="AC144" s="210"/>
      <c r="AD144" s="210"/>
      <c r="AE144" s="200"/>
      <c r="AF144" s="200"/>
      <c r="AG144" s="209"/>
      <c r="AH144" s="201"/>
      <c r="AI144" s="200"/>
      <c r="AJ144" s="200"/>
      <c r="AK144" s="209"/>
      <c r="AL144" s="200"/>
      <c r="AM144" s="210"/>
      <c r="AN144" s="210"/>
    </row>
    <row r="145" spans="1:40" x14ac:dyDescent="0.25">
      <c r="A145" s="202"/>
      <c r="C145" s="154"/>
      <c r="F145" s="200"/>
      <c r="H145" s="200"/>
      <c r="I145" s="200"/>
      <c r="J145" s="305"/>
      <c r="K145" s="305"/>
      <c r="L145" s="200"/>
      <c r="M145" s="200"/>
      <c r="N145" s="200"/>
      <c r="O145" s="200"/>
      <c r="P145" s="200"/>
      <c r="Q145" s="200"/>
      <c r="R145" s="200"/>
      <c r="V145" s="200"/>
      <c r="Y145" s="211"/>
      <c r="Z145" s="305"/>
      <c r="AA145" s="211"/>
      <c r="AB145" s="211"/>
      <c r="AC145" s="211"/>
      <c r="AD145" s="211"/>
      <c r="AE145" s="211"/>
      <c r="AF145" s="211"/>
      <c r="AI145" s="211"/>
      <c r="AJ145" s="211"/>
      <c r="AK145" s="212"/>
      <c r="AL145" s="211"/>
      <c r="AM145" s="210"/>
      <c r="AN145" s="210"/>
    </row>
    <row r="146" spans="1:40" x14ac:dyDescent="0.25">
      <c r="A146" s="202"/>
      <c r="C146" s="154"/>
      <c r="F146" s="200"/>
      <c r="H146" s="252"/>
      <c r="I146" s="252"/>
      <c r="J146" s="329"/>
      <c r="K146" s="329"/>
      <c r="L146" s="200"/>
      <c r="M146" s="200"/>
      <c r="N146" s="210"/>
      <c r="O146" s="210"/>
      <c r="P146" s="200"/>
      <c r="Q146" s="200"/>
      <c r="R146" s="200"/>
      <c r="T146" s="154"/>
      <c r="V146" s="200"/>
      <c r="Y146" s="200"/>
      <c r="Z146" s="305"/>
      <c r="AA146" s="200"/>
      <c r="AB146" s="200"/>
      <c r="AC146" s="210"/>
      <c r="AD146" s="210"/>
      <c r="AE146" s="200"/>
      <c r="AF146" s="200"/>
      <c r="AG146" s="209"/>
      <c r="AH146" s="201"/>
      <c r="AI146" s="200"/>
      <c r="AJ146" s="200"/>
      <c r="AK146" s="209"/>
      <c r="AL146" s="200"/>
      <c r="AM146" s="210"/>
      <c r="AN146" s="210"/>
    </row>
    <row r="147" spans="1:40" x14ac:dyDescent="0.25">
      <c r="A147" s="202"/>
      <c r="C147" s="154"/>
      <c r="H147" s="252"/>
      <c r="I147" s="252"/>
      <c r="J147" s="329"/>
      <c r="K147" s="329"/>
      <c r="L147" s="200"/>
      <c r="M147" s="200"/>
      <c r="N147" s="210"/>
      <c r="O147" s="210"/>
      <c r="P147" s="200"/>
      <c r="Q147" s="200"/>
      <c r="R147" s="200"/>
      <c r="V147" s="200"/>
      <c r="Y147" s="211"/>
      <c r="Z147" s="305"/>
      <c r="AA147" s="211"/>
      <c r="AB147" s="211"/>
      <c r="AC147" s="211"/>
      <c r="AD147" s="211"/>
      <c r="AE147" s="211"/>
      <c r="AF147" s="211"/>
      <c r="AI147" s="211"/>
      <c r="AJ147" s="211"/>
      <c r="AK147" s="212"/>
      <c r="AL147" s="211"/>
      <c r="AM147" s="210"/>
      <c r="AN147" s="210"/>
    </row>
    <row r="148" spans="1:40" x14ac:dyDescent="0.25">
      <c r="F148" s="200"/>
      <c r="H148" s="200"/>
      <c r="I148" s="200"/>
      <c r="J148" s="305"/>
      <c r="K148" s="305"/>
      <c r="L148" s="211"/>
      <c r="M148" s="211"/>
      <c r="N148" s="211"/>
      <c r="O148" s="211"/>
      <c r="P148" s="211"/>
      <c r="Q148" s="211"/>
      <c r="R148" s="211"/>
      <c r="T148" s="154"/>
      <c r="V148" s="200"/>
      <c r="Y148" s="200"/>
      <c r="Z148" s="305"/>
      <c r="AA148" s="200"/>
      <c r="AB148" s="200"/>
      <c r="AC148" s="200"/>
      <c r="AD148" s="200"/>
      <c r="AE148" s="200"/>
      <c r="AF148" s="200"/>
      <c r="AG148" s="209"/>
      <c r="AH148" s="201"/>
      <c r="AI148" s="200"/>
      <c r="AJ148" s="200"/>
      <c r="AK148" s="209"/>
      <c r="AL148" s="200"/>
      <c r="AM148" s="210"/>
      <c r="AN148" s="210"/>
    </row>
    <row r="149" spans="1:40" x14ac:dyDescent="0.25">
      <c r="A149" s="202"/>
      <c r="C149" s="154"/>
      <c r="F149" s="200"/>
      <c r="H149" s="200"/>
      <c r="I149" s="200"/>
      <c r="J149" s="213"/>
      <c r="K149" s="213"/>
      <c r="L149" s="200"/>
      <c r="M149" s="200"/>
      <c r="N149" s="210"/>
      <c r="O149" s="210"/>
      <c r="P149" s="200"/>
      <c r="Q149" s="200"/>
      <c r="R149" s="200"/>
      <c r="T149" s="154"/>
      <c r="V149" s="200"/>
      <c r="Y149" s="200"/>
      <c r="Z149" s="329"/>
      <c r="AA149" s="200"/>
      <c r="AB149" s="200"/>
      <c r="AC149" s="210"/>
      <c r="AD149" s="210"/>
      <c r="AE149" s="200"/>
      <c r="AF149" s="200"/>
      <c r="AG149" s="209"/>
      <c r="AH149" s="201"/>
      <c r="AI149" s="200"/>
      <c r="AJ149" s="200"/>
      <c r="AK149" s="209"/>
      <c r="AL149" s="200"/>
      <c r="AM149" s="210"/>
      <c r="AN149" s="210"/>
    </row>
    <row r="150" spans="1:40" x14ac:dyDescent="0.25">
      <c r="F150" s="200"/>
      <c r="H150" s="200"/>
      <c r="I150" s="200"/>
      <c r="J150" s="305"/>
      <c r="K150" s="305"/>
      <c r="L150" s="211"/>
      <c r="M150" s="211"/>
      <c r="N150" s="211"/>
      <c r="O150" s="211"/>
      <c r="P150" s="211"/>
      <c r="Q150" s="211"/>
      <c r="R150" s="211"/>
      <c r="T150" s="154"/>
      <c r="Y150" s="200"/>
      <c r="Z150" s="329"/>
      <c r="AA150" s="200"/>
      <c r="AB150" s="200"/>
      <c r="AC150" s="210"/>
      <c r="AD150" s="210"/>
      <c r="AE150" s="200"/>
      <c r="AF150" s="200"/>
      <c r="AG150" s="209"/>
      <c r="AH150" s="201"/>
      <c r="AI150" s="200"/>
      <c r="AJ150" s="200"/>
      <c r="AK150" s="209"/>
      <c r="AL150" s="200"/>
      <c r="AM150" s="210"/>
      <c r="AN150" s="210"/>
    </row>
    <row r="151" spans="1:40" x14ac:dyDescent="0.25">
      <c r="A151" s="202"/>
      <c r="C151" s="154"/>
      <c r="F151" s="200"/>
      <c r="H151" s="200"/>
      <c r="I151" s="200"/>
      <c r="J151" s="213"/>
      <c r="K151" s="213"/>
      <c r="L151" s="200"/>
      <c r="M151" s="200"/>
      <c r="N151" s="210"/>
      <c r="O151" s="210"/>
      <c r="P151" s="200"/>
      <c r="Q151" s="200"/>
      <c r="R151" s="200"/>
      <c r="V151" s="200"/>
      <c r="Y151" s="200"/>
      <c r="Z151" s="305"/>
      <c r="AA151" s="211"/>
      <c r="AB151" s="211"/>
      <c r="AC151" s="211"/>
      <c r="AD151" s="211"/>
      <c r="AE151" s="211"/>
      <c r="AF151" s="211"/>
      <c r="AI151" s="211"/>
      <c r="AJ151" s="211"/>
      <c r="AK151" s="212"/>
      <c r="AL151" s="211"/>
      <c r="AM151" s="210"/>
      <c r="AN151" s="210"/>
    </row>
    <row r="152" spans="1:40" x14ac:dyDescent="0.25">
      <c r="A152" s="202"/>
      <c r="C152" s="154"/>
      <c r="F152" s="252"/>
      <c r="H152" s="252"/>
      <c r="I152" s="252"/>
      <c r="J152" s="320"/>
      <c r="K152" s="320"/>
      <c r="L152" s="200"/>
      <c r="M152" s="200"/>
      <c r="N152" s="210"/>
      <c r="O152" s="210"/>
      <c r="P152" s="200"/>
      <c r="Q152" s="200"/>
      <c r="R152" s="200"/>
      <c r="T152" s="154"/>
      <c r="V152" s="200"/>
      <c r="Y152" s="200"/>
      <c r="Z152" s="213"/>
      <c r="AA152" s="200"/>
      <c r="AB152" s="200"/>
      <c r="AC152" s="210"/>
      <c r="AD152" s="210"/>
      <c r="AE152" s="200"/>
      <c r="AF152" s="200"/>
      <c r="AG152" s="209"/>
      <c r="AH152" s="201"/>
      <c r="AI152" s="200"/>
      <c r="AJ152" s="200"/>
      <c r="AK152" s="209"/>
      <c r="AL152" s="200"/>
      <c r="AM152" s="210"/>
      <c r="AN152" s="210"/>
    </row>
    <row r="153" spans="1:40" x14ac:dyDescent="0.25">
      <c r="F153" s="211"/>
      <c r="H153" s="211"/>
      <c r="I153" s="211"/>
      <c r="J153" s="305"/>
      <c r="K153" s="305"/>
      <c r="L153" s="211"/>
      <c r="M153" s="211"/>
      <c r="N153" s="211"/>
      <c r="O153" s="211"/>
      <c r="P153" s="211"/>
      <c r="Q153" s="211"/>
      <c r="R153" s="211"/>
      <c r="V153" s="200"/>
      <c r="Y153" s="200"/>
      <c r="Z153" s="305"/>
      <c r="AA153" s="211"/>
      <c r="AB153" s="211"/>
      <c r="AC153" s="211"/>
      <c r="AD153" s="211"/>
      <c r="AE153" s="211"/>
      <c r="AF153" s="211"/>
      <c r="AI153" s="211"/>
      <c r="AJ153" s="211"/>
      <c r="AK153" s="212"/>
      <c r="AL153" s="211"/>
      <c r="AM153" s="210"/>
      <c r="AN153" s="210"/>
    </row>
    <row r="154" spans="1:40" x14ac:dyDescent="0.25">
      <c r="A154" s="202"/>
      <c r="C154" s="154"/>
      <c r="F154" s="200"/>
      <c r="H154" s="200"/>
      <c r="I154" s="200"/>
      <c r="J154" s="305"/>
      <c r="K154" s="305"/>
      <c r="L154" s="200"/>
      <c r="M154" s="200"/>
      <c r="N154" s="210"/>
      <c r="O154" s="210"/>
      <c r="P154" s="200"/>
      <c r="Q154" s="200"/>
      <c r="R154" s="200"/>
      <c r="S154" s="200"/>
      <c r="T154" s="154"/>
      <c r="V154" s="200"/>
      <c r="Y154" s="200"/>
      <c r="Z154" s="213"/>
      <c r="AA154" s="200"/>
      <c r="AB154" s="200"/>
      <c r="AC154" s="210"/>
      <c r="AD154" s="210"/>
      <c r="AE154" s="200"/>
      <c r="AF154" s="200"/>
      <c r="AG154" s="209"/>
      <c r="AH154" s="201"/>
      <c r="AI154" s="200"/>
      <c r="AJ154" s="200"/>
      <c r="AK154" s="209"/>
      <c r="AL154" s="200"/>
      <c r="AM154" s="210"/>
      <c r="AN154" s="210"/>
    </row>
    <row r="155" spans="1:40" x14ac:dyDescent="0.25">
      <c r="F155" s="211"/>
      <c r="H155" s="211"/>
      <c r="I155" s="211"/>
      <c r="J155" s="305"/>
      <c r="K155" s="305"/>
      <c r="L155" s="211"/>
      <c r="M155" s="211"/>
      <c r="N155" s="211"/>
      <c r="O155" s="211"/>
      <c r="P155" s="211"/>
      <c r="Q155" s="211"/>
      <c r="R155" s="211"/>
      <c r="S155" s="200"/>
      <c r="T155" s="154"/>
      <c r="V155" s="252"/>
      <c r="Y155" s="200"/>
      <c r="Z155" s="320"/>
      <c r="AA155" s="200"/>
      <c r="AB155" s="200"/>
      <c r="AC155" s="210"/>
      <c r="AD155" s="210"/>
      <c r="AE155" s="200"/>
      <c r="AF155" s="200"/>
      <c r="AG155" s="209"/>
      <c r="AH155" s="201"/>
      <c r="AI155" s="200"/>
      <c r="AJ155" s="200"/>
      <c r="AK155" s="209"/>
      <c r="AL155" s="200"/>
      <c r="AM155" s="210"/>
      <c r="AN155" s="210"/>
    </row>
    <row r="156" spans="1:40" x14ac:dyDescent="0.25">
      <c r="A156" s="202"/>
      <c r="C156" s="154"/>
      <c r="V156" s="211"/>
      <c r="Y156" s="211"/>
      <c r="Z156" s="305"/>
      <c r="AA156" s="211"/>
      <c r="AB156" s="211"/>
      <c r="AC156" s="211"/>
      <c r="AD156" s="211"/>
      <c r="AE156" s="211"/>
      <c r="AF156" s="211"/>
      <c r="AI156" s="211"/>
      <c r="AJ156" s="211"/>
      <c r="AK156" s="212"/>
      <c r="AL156" s="211"/>
      <c r="AM156" s="210"/>
      <c r="AN156" s="210"/>
    </row>
    <row r="157" spans="1:40" x14ac:dyDescent="0.25">
      <c r="A157" s="202"/>
      <c r="C157" s="154"/>
      <c r="F157" s="200"/>
      <c r="H157" s="200"/>
      <c r="I157" s="200"/>
      <c r="L157" s="200"/>
      <c r="M157" s="200"/>
      <c r="N157" s="210"/>
      <c r="O157" s="210"/>
      <c r="P157" s="252"/>
      <c r="Q157" s="252"/>
      <c r="R157" s="200"/>
      <c r="T157" s="154"/>
      <c r="V157" s="200"/>
      <c r="Y157" s="200"/>
      <c r="Z157" s="305"/>
      <c r="AA157" s="200"/>
      <c r="AB157" s="200"/>
      <c r="AC157" s="210"/>
      <c r="AD157" s="210"/>
      <c r="AE157" s="200"/>
      <c r="AF157" s="200"/>
      <c r="AG157" s="209"/>
      <c r="AH157" s="210"/>
      <c r="AI157" s="200"/>
      <c r="AJ157" s="200"/>
      <c r="AK157" s="209"/>
      <c r="AL157" s="200"/>
      <c r="AM157" s="210"/>
      <c r="AN157" s="210"/>
    </row>
    <row r="158" spans="1:40" x14ac:dyDescent="0.25">
      <c r="F158" s="211"/>
      <c r="H158" s="211"/>
      <c r="I158" s="211"/>
      <c r="J158" s="305"/>
      <c r="K158" s="305"/>
      <c r="L158" s="211"/>
      <c r="M158" s="211"/>
      <c r="N158" s="211"/>
      <c r="O158" s="211"/>
      <c r="P158" s="211"/>
      <c r="Q158" s="211"/>
      <c r="R158" s="211"/>
      <c r="V158" s="211"/>
      <c r="Y158" s="211"/>
      <c r="Z158" s="305"/>
      <c r="AA158" s="211"/>
      <c r="AB158" s="211"/>
      <c r="AC158" s="211"/>
      <c r="AD158" s="211"/>
      <c r="AE158" s="211"/>
      <c r="AF158" s="211"/>
      <c r="AI158" s="211"/>
      <c r="AJ158" s="211"/>
      <c r="AK158" s="212"/>
      <c r="AL158" s="211"/>
      <c r="AM158" s="210"/>
      <c r="AN158" s="210"/>
    </row>
    <row r="159" spans="1:40" x14ac:dyDescent="0.25">
      <c r="T159" s="154"/>
    </row>
    <row r="160" spans="1:40" x14ac:dyDescent="0.25">
      <c r="C160" s="154"/>
      <c r="L160" s="200"/>
      <c r="M160" s="200"/>
      <c r="N160" s="200"/>
      <c r="O160" s="200"/>
      <c r="P160" s="200"/>
      <c r="Q160" s="200"/>
      <c r="R160" s="200"/>
      <c r="S160" s="200"/>
      <c r="T160" s="154"/>
      <c r="V160" s="200"/>
      <c r="Y160" s="200"/>
      <c r="AA160" s="200"/>
      <c r="AB160" s="200"/>
      <c r="AC160" s="210"/>
      <c r="AD160" s="210"/>
      <c r="AE160" s="200"/>
      <c r="AF160" s="200"/>
      <c r="AG160" s="209"/>
      <c r="AH160" s="210"/>
      <c r="AI160" s="252"/>
      <c r="AJ160" s="252"/>
      <c r="AK160" s="209"/>
      <c r="AL160" s="200"/>
      <c r="AM160" s="210"/>
      <c r="AN160" s="210"/>
    </row>
    <row r="161" spans="1:40" x14ac:dyDescent="0.25">
      <c r="A161" s="154"/>
      <c r="V161" s="211"/>
      <c r="Y161" s="211"/>
      <c r="Z161" s="305"/>
      <c r="AA161" s="211"/>
      <c r="AB161" s="211"/>
      <c r="AC161" s="211"/>
      <c r="AD161" s="211"/>
      <c r="AE161" s="211"/>
      <c r="AF161" s="211"/>
      <c r="AI161" s="211"/>
      <c r="AJ161" s="211"/>
      <c r="AK161" s="212"/>
      <c r="AL161" s="211"/>
    </row>
    <row r="162" spans="1:40" x14ac:dyDescent="0.25">
      <c r="J162" s="202"/>
      <c r="K162" s="202"/>
    </row>
    <row r="163" spans="1:40" x14ac:dyDescent="0.25">
      <c r="H163" s="154"/>
      <c r="I163" s="154"/>
      <c r="T163" s="154"/>
      <c r="AA163" s="200"/>
      <c r="AB163" s="200"/>
      <c r="AC163" s="200"/>
      <c r="AD163" s="200"/>
      <c r="AI163" s="200"/>
      <c r="AJ163" s="200"/>
      <c r="AK163" s="209"/>
      <c r="AL163" s="200"/>
    </row>
    <row r="164" spans="1:40" x14ac:dyDescent="0.25">
      <c r="J164" s="202"/>
      <c r="K164" s="202"/>
    </row>
    <row r="165" spans="1:40" x14ac:dyDescent="0.25">
      <c r="L165" s="154"/>
      <c r="M165" s="154"/>
      <c r="Z165" s="202"/>
    </row>
    <row r="166" spans="1:40" x14ac:dyDescent="0.25">
      <c r="A166" s="202"/>
      <c r="R166" s="154"/>
      <c r="Y166" s="154"/>
    </row>
    <row r="167" spans="1:40" x14ac:dyDescent="0.25">
      <c r="A167" s="202"/>
      <c r="R167" s="154"/>
      <c r="Z167" s="202"/>
    </row>
    <row r="168" spans="1:40" x14ac:dyDescent="0.25">
      <c r="A168" s="154"/>
      <c r="R168" s="154"/>
      <c r="AK168" s="297"/>
      <c r="AL168" s="154"/>
    </row>
    <row r="169" spans="1:40" x14ac:dyDescent="0.25">
      <c r="L169" s="154"/>
      <c r="M169" s="154"/>
      <c r="R169" s="202"/>
      <c r="AA169" s="154"/>
      <c r="AB169" s="154"/>
      <c r="AK169" s="209"/>
      <c r="AL169" s="202"/>
    </row>
    <row r="170" spans="1:40" x14ac:dyDescent="0.2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208"/>
      <c r="AH170" s="102"/>
      <c r="AI170" s="102"/>
      <c r="AJ170" s="102"/>
      <c r="AK170" s="208"/>
      <c r="AL170" s="102"/>
      <c r="AM170" s="102"/>
      <c r="AN170" s="102"/>
    </row>
    <row r="171" spans="1:40" x14ac:dyDescent="0.25">
      <c r="L171" s="103"/>
      <c r="M171" s="103"/>
      <c r="N171" s="103"/>
      <c r="O171" s="103"/>
      <c r="R171" s="103"/>
      <c r="AA171" s="103"/>
      <c r="AB171" s="103"/>
      <c r="AC171" s="103"/>
      <c r="AD171" s="103"/>
      <c r="AE171" s="103"/>
      <c r="AF171" s="103"/>
      <c r="AG171" s="185"/>
      <c r="AH171" s="103"/>
      <c r="AK171" s="185"/>
      <c r="AL171" s="103"/>
      <c r="AM171" s="103"/>
      <c r="AN171" s="103"/>
    </row>
    <row r="172" spans="1:40" x14ac:dyDescent="0.25">
      <c r="L172" s="103"/>
      <c r="M172" s="103"/>
      <c r="N172" s="103"/>
      <c r="O172" s="103"/>
      <c r="R172" s="103"/>
      <c r="Z172" s="103"/>
      <c r="AA172" s="103"/>
      <c r="AB172" s="103"/>
      <c r="AC172" s="103"/>
      <c r="AD172" s="103"/>
      <c r="AE172" s="103"/>
      <c r="AF172" s="103"/>
      <c r="AG172" s="185"/>
      <c r="AH172" s="103"/>
      <c r="AK172" s="185"/>
      <c r="AL172" s="103"/>
      <c r="AM172" s="103"/>
      <c r="AN172" s="103"/>
    </row>
    <row r="173" spans="1:40" x14ac:dyDescent="0.25">
      <c r="A173" s="103"/>
      <c r="C173" s="103"/>
      <c r="D173" s="103"/>
      <c r="E173" s="103"/>
      <c r="F173" s="103"/>
      <c r="J173" s="103"/>
      <c r="K173" s="103"/>
      <c r="L173" s="103"/>
      <c r="M173" s="103"/>
      <c r="N173" s="103"/>
      <c r="O173" s="103"/>
      <c r="P173" s="103"/>
      <c r="Q173" s="103"/>
      <c r="R173" s="103"/>
      <c r="T173" s="103"/>
      <c r="U173" s="103"/>
      <c r="V173" s="103"/>
      <c r="Z173" s="103"/>
      <c r="AA173" s="103"/>
      <c r="AB173" s="103"/>
      <c r="AC173" s="103"/>
      <c r="AD173" s="103"/>
      <c r="AE173" s="103"/>
      <c r="AF173" s="103"/>
      <c r="AG173" s="185"/>
      <c r="AH173" s="103"/>
      <c r="AI173" s="103"/>
      <c r="AJ173" s="103"/>
      <c r="AK173" s="185"/>
      <c r="AL173" s="103"/>
      <c r="AM173" s="103"/>
      <c r="AN173" s="103"/>
    </row>
    <row r="174" spans="1:40" x14ac:dyDescent="0.25">
      <c r="A174" s="103"/>
      <c r="C174" s="103"/>
      <c r="D174" s="103"/>
      <c r="E174" s="103"/>
      <c r="F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T174" s="103"/>
      <c r="U174" s="103"/>
      <c r="V174" s="103"/>
      <c r="Y174" s="103"/>
      <c r="Z174" s="103"/>
      <c r="AA174" s="103"/>
      <c r="AB174" s="103"/>
      <c r="AC174" s="103"/>
      <c r="AD174" s="103"/>
      <c r="AE174" s="103"/>
      <c r="AF174" s="103"/>
      <c r="AG174" s="185"/>
      <c r="AH174" s="103"/>
      <c r="AI174" s="103"/>
      <c r="AJ174" s="103"/>
      <c r="AK174" s="185"/>
      <c r="AL174" s="103"/>
      <c r="AM174" s="103"/>
      <c r="AN174" s="103"/>
    </row>
    <row r="175" spans="1:40" x14ac:dyDescent="0.25">
      <c r="C175" s="103"/>
      <c r="D175" s="103"/>
      <c r="E175" s="103"/>
      <c r="F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T175" s="103"/>
      <c r="U175" s="103"/>
      <c r="V175" s="103"/>
      <c r="Y175" s="103"/>
      <c r="Z175" s="103"/>
      <c r="AA175" s="103"/>
      <c r="AB175" s="103"/>
      <c r="AC175" s="103"/>
      <c r="AD175" s="103"/>
      <c r="AE175" s="103"/>
      <c r="AF175" s="103"/>
      <c r="AG175" s="185"/>
      <c r="AH175" s="103"/>
      <c r="AI175" s="103"/>
      <c r="AJ175" s="103"/>
      <c r="AK175" s="185"/>
      <c r="AL175" s="103"/>
      <c r="AM175" s="103"/>
      <c r="AN175" s="103"/>
    </row>
    <row r="176" spans="1:40" x14ac:dyDescent="0.2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208"/>
      <c r="AH176" s="102"/>
      <c r="AI176" s="102"/>
      <c r="AJ176" s="102"/>
      <c r="AK176" s="208"/>
      <c r="AL176" s="102"/>
      <c r="AM176" s="102"/>
      <c r="AN176" s="102"/>
    </row>
    <row r="177" spans="1:40" x14ac:dyDescent="0.25"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Y177" s="103"/>
      <c r="Z177" s="103"/>
      <c r="AA177" s="103"/>
      <c r="AB177" s="103"/>
      <c r="AC177" s="103"/>
      <c r="AD177" s="103"/>
      <c r="AE177" s="103"/>
      <c r="AF177" s="103"/>
      <c r="AG177" s="185"/>
      <c r="AH177" s="103"/>
      <c r="AI177" s="103"/>
      <c r="AJ177" s="103"/>
      <c r="AK177" s="185"/>
      <c r="AL177" s="103"/>
      <c r="AM177" s="103"/>
      <c r="AN177" s="103"/>
    </row>
    <row r="178" spans="1:40" x14ac:dyDescent="0.25">
      <c r="A178" s="202"/>
      <c r="C178" s="154"/>
      <c r="D178" s="154"/>
      <c r="E178" s="154"/>
      <c r="T178" s="154"/>
      <c r="U178" s="154"/>
    </row>
    <row r="179" spans="1:40" x14ac:dyDescent="0.25">
      <c r="A179" s="202"/>
      <c r="D179" s="154"/>
      <c r="E179" s="154"/>
      <c r="U179" s="154"/>
    </row>
    <row r="181" spans="1:40" x14ac:dyDescent="0.25">
      <c r="A181" s="202"/>
      <c r="C181" s="154"/>
      <c r="F181" s="252"/>
      <c r="H181" s="252"/>
      <c r="I181" s="252"/>
      <c r="J181" s="300"/>
      <c r="K181" s="300"/>
      <c r="L181" s="200"/>
      <c r="M181" s="200"/>
      <c r="N181" s="210"/>
      <c r="O181" s="210"/>
      <c r="R181" s="200"/>
      <c r="T181" s="154"/>
      <c r="V181" s="200"/>
      <c r="Y181" s="252"/>
      <c r="Z181" s="300"/>
      <c r="AA181" s="200"/>
      <c r="AB181" s="200"/>
      <c r="AC181" s="210"/>
      <c r="AD181" s="210"/>
      <c r="AE181" s="200"/>
      <c r="AF181" s="200"/>
      <c r="AG181" s="325"/>
      <c r="AH181" s="326"/>
      <c r="AK181" s="209"/>
      <c r="AL181" s="200"/>
      <c r="AM181" s="327"/>
      <c r="AN181" s="327"/>
    </row>
    <row r="182" spans="1:40" x14ac:dyDescent="0.25">
      <c r="A182" s="202"/>
      <c r="C182" s="154"/>
      <c r="F182" s="252"/>
      <c r="H182" s="252"/>
      <c r="I182" s="252"/>
      <c r="J182" s="300"/>
      <c r="K182" s="300"/>
      <c r="L182" s="200"/>
      <c r="M182" s="200"/>
      <c r="N182" s="210"/>
      <c r="O182" s="210"/>
      <c r="P182" s="202"/>
      <c r="Q182" s="202"/>
      <c r="R182" s="200"/>
      <c r="T182" s="154"/>
      <c r="V182" s="200"/>
      <c r="Y182" s="252"/>
      <c r="Z182" s="300"/>
      <c r="AA182" s="200"/>
      <c r="AB182" s="200"/>
      <c r="AC182" s="210"/>
      <c r="AD182" s="210"/>
      <c r="AE182" s="200"/>
      <c r="AF182" s="200"/>
      <c r="AG182" s="209"/>
      <c r="AH182" s="201"/>
      <c r="AI182" s="202"/>
      <c r="AJ182" s="202"/>
      <c r="AK182" s="209"/>
      <c r="AL182" s="200"/>
      <c r="AM182" s="210"/>
      <c r="AN182" s="210"/>
    </row>
    <row r="183" spans="1:40" x14ac:dyDescent="0.25">
      <c r="F183" s="211"/>
      <c r="H183" s="200"/>
      <c r="I183" s="200"/>
      <c r="J183" s="305"/>
      <c r="K183" s="305"/>
      <c r="L183" s="211"/>
      <c r="M183" s="211"/>
      <c r="N183" s="211"/>
      <c r="O183" s="211"/>
      <c r="P183" s="211"/>
      <c r="Q183" s="211"/>
      <c r="R183" s="211"/>
      <c r="V183" s="211"/>
      <c r="Y183" s="200"/>
      <c r="Z183" s="305"/>
      <c r="AA183" s="211"/>
      <c r="AB183" s="211"/>
      <c r="AC183" s="211"/>
      <c r="AD183" s="211"/>
      <c r="AE183" s="211"/>
      <c r="AF183" s="211"/>
      <c r="AI183" s="211"/>
      <c r="AJ183" s="211"/>
      <c r="AK183" s="212"/>
      <c r="AL183" s="211"/>
      <c r="AM183" s="210"/>
      <c r="AN183" s="210"/>
    </row>
    <row r="184" spans="1:40" x14ac:dyDescent="0.25">
      <c r="A184" s="202"/>
      <c r="C184" s="154"/>
      <c r="F184" s="200"/>
      <c r="H184" s="200"/>
      <c r="I184" s="200"/>
      <c r="J184" s="305"/>
      <c r="K184" s="305"/>
      <c r="L184" s="200"/>
      <c r="M184" s="200"/>
      <c r="N184" s="210"/>
      <c r="O184" s="210"/>
      <c r="P184" s="200"/>
      <c r="Q184" s="200"/>
      <c r="R184" s="200"/>
      <c r="T184" s="154"/>
      <c r="V184" s="200"/>
      <c r="Y184" s="200"/>
      <c r="Z184" s="213"/>
      <c r="AA184" s="200"/>
      <c r="AB184" s="200"/>
      <c r="AC184" s="210"/>
      <c r="AD184" s="210"/>
      <c r="AE184" s="200"/>
      <c r="AF184" s="200"/>
      <c r="AG184" s="209"/>
      <c r="AH184" s="201"/>
      <c r="AI184" s="200"/>
      <c r="AJ184" s="200"/>
      <c r="AK184" s="209"/>
      <c r="AL184" s="200"/>
      <c r="AM184" s="210"/>
      <c r="AN184" s="210"/>
    </row>
    <row r="185" spans="1:40" x14ac:dyDescent="0.25">
      <c r="F185" s="211"/>
      <c r="H185" s="200"/>
      <c r="I185" s="200"/>
      <c r="J185" s="305"/>
      <c r="K185" s="305"/>
      <c r="L185" s="211"/>
      <c r="M185" s="211"/>
      <c r="N185" s="211"/>
      <c r="O185" s="211"/>
      <c r="P185" s="211"/>
      <c r="Q185" s="211"/>
      <c r="R185" s="211"/>
      <c r="V185" s="211"/>
      <c r="Y185" s="200"/>
      <c r="Z185" s="305"/>
      <c r="AA185" s="211"/>
      <c r="AB185" s="211"/>
      <c r="AC185" s="211"/>
      <c r="AD185" s="211"/>
      <c r="AE185" s="211"/>
      <c r="AF185" s="211"/>
      <c r="AI185" s="211"/>
      <c r="AJ185" s="211"/>
      <c r="AK185" s="212"/>
      <c r="AL185" s="211"/>
      <c r="AM185" s="210"/>
      <c r="AN185" s="210"/>
    </row>
    <row r="186" spans="1:40" x14ac:dyDescent="0.25">
      <c r="F186" s="200"/>
      <c r="H186" s="200"/>
      <c r="I186" s="200"/>
      <c r="J186" s="305"/>
      <c r="K186" s="305"/>
      <c r="L186" s="200"/>
      <c r="M186" s="200"/>
      <c r="N186" s="210"/>
      <c r="O186" s="210"/>
      <c r="P186" s="200"/>
      <c r="Q186" s="200"/>
      <c r="R186" s="200"/>
      <c r="V186" s="200"/>
      <c r="Y186" s="200"/>
      <c r="Z186" s="213"/>
      <c r="AA186" s="200"/>
      <c r="AB186" s="200"/>
      <c r="AC186" s="210"/>
      <c r="AD186" s="210"/>
      <c r="AE186" s="200"/>
      <c r="AF186" s="200"/>
      <c r="AG186" s="209"/>
      <c r="AH186" s="201"/>
      <c r="AI186" s="200"/>
      <c r="AJ186" s="200"/>
      <c r="AK186" s="209"/>
      <c r="AL186" s="200"/>
      <c r="AM186" s="210"/>
      <c r="AN186" s="210"/>
    </row>
    <row r="187" spans="1:40" x14ac:dyDescent="0.25">
      <c r="A187" s="202"/>
      <c r="C187" s="154"/>
      <c r="F187" s="252"/>
      <c r="H187" s="252"/>
      <c r="I187" s="252"/>
      <c r="J187" s="300"/>
      <c r="K187" s="300"/>
      <c r="L187" s="200"/>
      <c r="M187" s="200"/>
      <c r="N187" s="210"/>
      <c r="O187" s="210"/>
      <c r="P187" s="200"/>
      <c r="Q187" s="200"/>
      <c r="R187" s="200"/>
      <c r="T187" s="154"/>
      <c r="V187" s="252"/>
      <c r="Y187" s="200"/>
      <c r="Z187" s="300"/>
      <c r="AA187" s="200"/>
      <c r="AB187" s="200"/>
      <c r="AC187" s="210"/>
      <c r="AD187" s="210"/>
      <c r="AE187" s="200"/>
      <c r="AF187" s="200"/>
      <c r="AG187" s="325"/>
      <c r="AH187" s="326"/>
      <c r="AI187" s="200"/>
      <c r="AJ187" s="200"/>
      <c r="AK187" s="209"/>
      <c r="AL187" s="200"/>
      <c r="AM187" s="327"/>
      <c r="AN187" s="327"/>
    </row>
    <row r="188" spans="1:40" x14ac:dyDescent="0.25">
      <c r="A188" s="202"/>
      <c r="C188" s="154"/>
      <c r="F188" s="252"/>
      <c r="H188" s="252"/>
      <c r="I188" s="252"/>
      <c r="J188" s="300"/>
      <c r="K188" s="300"/>
      <c r="L188" s="200"/>
      <c r="M188" s="200"/>
      <c r="N188" s="210"/>
      <c r="O188" s="210"/>
      <c r="P188" s="200"/>
      <c r="Q188" s="200"/>
      <c r="R188" s="200"/>
      <c r="T188" s="154"/>
      <c r="V188" s="252"/>
      <c r="Y188" s="200"/>
      <c r="Z188" s="300"/>
      <c r="AA188" s="200"/>
      <c r="AB188" s="200"/>
      <c r="AC188" s="210"/>
      <c r="AD188" s="210"/>
      <c r="AE188" s="200"/>
      <c r="AF188" s="200"/>
      <c r="AG188" s="209"/>
      <c r="AH188" s="201"/>
      <c r="AI188" s="200"/>
      <c r="AJ188" s="200"/>
      <c r="AK188" s="209"/>
      <c r="AL188" s="200"/>
      <c r="AM188" s="210"/>
      <c r="AN188" s="210"/>
    </row>
    <row r="189" spans="1:40" x14ac:dyDescent="0.25">
      <c r="F189" s="200"/>
      <c r="H189" s="211"/>
      <c r="I189" s="211"/>
      <c r="J189" s="305"/>
      <c r="K189" s="305"/>
      <c r="L189" s="211"/>
      <c r="M189" s="211"/>
      <c r="N189" s="211"/>
      <c r="O189" s="211"/>
      <c r="P189" s="211"/>
      <c r="Q189" s="211"/>
      <c r="R189" s="211"/>
      <c r="V189" s="200"/>
      <c r="Y189" s="211"/>
      <c r="Z189" s="305"/>
      <c r="AA189" s="211"/>
      <c r="AB189" s="211"/>
      <c r="AC189" s="211"/>
      <c r="AD189" s="211"/>
      <c r="AE189" s="211"/>
      <c r="AF189" s="211"/>
      <c r="AI189" s="211"/>
      <c r="AJ189" s="211"/>
      <c r="AK189" s="212"/>
      <c r="AL189" s="211"/>
      <c r="AM189" s="210"/>
      <c r="AN189" s="210"/>
    </row>
    <row r="190" spans="1:40" x14ac:dyDescent="0.25">
      <c r="A190" s="202"/>
      <c r="C190" s="154"/>
      <c r="F190" s="200"/>
      <c r="H190" s="200"/>
      <c r="I190" s="200"/>
      <c r="J190" s="305"/>
      <c r="K190" s="305"/>
      <c r="L190" s="200"/>
      <c r="M190" s="200"/>
      <c r="N190" s="210"/>
      <c r="O190" s="210"/>
      <c r="P190" s="200"/>
      <c r="Q190" s="200"/>
      <c r="R190" s="200"/>
      <c r="T190" s="154"/>
      <c r="V190" s="200"/>
      <c r="Y190" s="200"/>
      <c r="Z190" s="305"/>
      <c r="AA190" s="200"/>
      <c r="AB190" s="200"/>
      <c r="AC190" s="210"/>
      <c r="AD190" s="210"/>
      <c r="AE190" s="200"/>
      <c r="AF190" s="200"/>
      <c r="AG190" s="209"/>
      <c r="AH190" s="201"/>
      <c r="AI190" s="200"/>
      <c r="AJ190" s="200"/>
      <c r="AK190" s="209"/>
      <c r="AL190" s="200"/>
      <c r="AM190" s="210"/>
      <c r="AN190" s="210"/>
    </row>
    <row r="191" spans="1:40" x14ac:dyDescent="0.25">
      <c r="F191" s="200"/>
      <c r="H191" s="211"/>
      <c r="I191" s="211"/>
      <c r="J191" s="305"/>
      <c r="K191" s="305"/>
      <c r="L191" s="211"/>
      <c r="M191" s="211"/>
      <c r="N191" s="211"/>
      <c r="O191" s="211"/>
      <c r="P191" s="211"/>
      <c r="Q191" s="211"/>
      <c r="R191" s="211"/>
      <c r="V191" s="200"/>
      <c r="Y191" s="211"/>
      <c r="Z191" s="305"/>
      <c r="AA191" s="211"/>
      <c r="AB191" s="211"/>
      <c r="AC191" s="211"/>
      <c r="AD191" s="211"/>
      <c r="AE191" s="211"/>
      <c r="AF191" s="211"/>
      <c r="AI191" s="211"/>
      <c r="AJ191" s="211"/>
      <c r="AK191" s="212"/>
      <c r="AL191" s="211"/>
      <c r="AM191" s="210"/>
      <c r="AN191" s="210"/>
    </row>
    <row r="192" spans="1:40" x14ac:dyDescent="0.25">
      <c r="F192" s="200"/>
      <c r="H192" s="200"/>
      <c r="I192" s="200"/>
      <c r="J192" s="305"/>
      <c r="K192" s="305"/>
      <c r="L192" s="200"/>
      <c r="M192" s="200"/>
      <c r="N192" s="200"/>
      <c r="O192" s="200"/>
      <c r="P192" s="200"/>
      <c r="Q192" s="200"/>
      <c r="R192" s="200"/>
      <c r="V192" s="200"/>
      <c r="Y192" s="200"/>
      <c r="Z192" s="305"/>
      <c r="AA192" s="200"/>
      <c r="AB192" s="200"/>
      <c r="AC192" s="200"/>
      <c r="AD192" s="200"/>
      <c r="AE192" s="200"/>
      <c r="AF192" s="200"/>
      <c r="AG192" s="209"/>
      <c r="AH192" s="201"/>
      <c r="AI192" s="200"/>
      <c r="AJ192" s="200"/>
      <c r="AK192" s="209"/>
      <c r="AL192" s="200"/>
      <c r="AM192" s="210"/>
      <c r="AN192" s="210"/>
    </row>
    <row r="193" spans="1:40" x14ac:dyDescent="0.25">
      <c r="A193" s="202"/>
      <c r="C193" s="154"/>
      <c r="F193" s="252"/>
      <c r="H193" s="252"/>
      <c r="I193" s="252"/>
      <c r="J193" s="320"/>
      <c r="K193" s="320"/>
      <c r="L193" s="200"/>
      <c r="M193" s="200"/>
      <c r="N193" s="210"/>
      <c r="O193" s="210"/>
      <c r="P193" s="252"/>
      <c r="Q193" s="252"/>
      <c r="R193" s="200"/>
      <c r="T193" s="154"/>
      <c r="V193" s="252"/>
      <c r="Y193" s="252"/>
      <c r="Z193" s="328"/>
      <c r="AA193" s="200"/>
      <c r="AB193" s="200"/>
      <c r="AC193" s="210"/>
      <c r="AD193" s="210"/>
      <c r="AE193" s="200"/>
      <c r="AF193" s="200"/>
      <c r="AG193" s="209"/>
      <c r="AH193" s="201"/>
      <c r="AI193" s="252"/>
      <c r="AJ193" s="252"/>
      <c r="AK193" s="209"/>
      <c r="AL193" s="200"/>
      <c r="AM193" s="210"/>
      <c r="AN193" s="210"/>
    </row>
    <row r="194" spans="1:40" x14ac:dyDescent="0.25">
      <c r="A194" s="202"/>
      <c r="C194" s="154"/>
      <c r="F194" s="252"/>
      <c r="H194" s="252"/>
      <c r="I194" s="252"/>
      <c r="J194" s="320"/>
      <c r="K194" s="320"/>
      <c r="L194" s="200"/>
      <c r="M194" s="200"/>
      <c r="N194" s="210"/>
      <c r="O194" s="210"/>
      <c r="P194" s="252"/>
      <c r="Q194" s="252"/>
      <c r="R194" s="200"/>
      <c r="T194" s="154"/>
      <c r="V194" s="252"/>
      <c r="Y194" s="200"/>
      <c r="Z194" s="304"/>
      <c r="AA194" s="200"/>
      <c r="AB194" s="200"/>
      <c r="AC194" s="210"/>
      <c r="AD194" s="210"/>
      <c r="AE194" s="200"/>
      <c r="AF194" s="200"/>
      <c r="AG194" s="209"/>
      <c r="AH194" s="201"/>
      <c r="AI194" s="252"/>
      <c r="AJ194" s="252"/>
      <c r="AK194" s="209"/>
      <c r="AL194" s="200"/>
      <c r="AM194" s="210"/>
      <c r="AN194" s="210"/>
    </row>
    <row r="195" spans="1:40" x14ac:dyDescent="0.25">
      <c r="A195" s="202"/>
      <c r="C195" s="154"/>
      <c r="F195" s="252"/>
      <c r="H195" s="252"/>
      <c r="I195" s="252"/>
      <c r="J195" s="320"/>
      <c r="K195" s="320"/>
      <c r="L195" s="200"/>
      <c r="M195" s="200"/>
      <c r="N195" s="210"/>
      <c r="O195" s="210"/>
      <c r="P195" s="252"/>
      <c r="Q195" s="252"/>
      <c r="R195" s="200"/>
      <c r="T195" s="154"/>
      <c r="V195" s="252"/>
      <c r="Y195" s="200"/>
      <c r="Z195" s="304"/>
      <c r="AA195" s="200"/>
      <c r="AB195" s="200"/>
      <c r="AC195" s="210"/>
      <c r="AD195" s="210"/>
      <c r="AE195" s="200"/>
      <c r="AF195" s="200"/>
      <c r="AG195" s="209"/>
      <c r="AH195" s="201"/>
      <c r="AI195" s="252"/>
      <c r="AJ195" s="252"/>
      <c r="AK195" s="209"/>
      <c r="AL195" s="200"/>
      <c r="AM195" s="210"/>
      <c r="AN195" s="210"/>
    </row>
    <row r="196" spans="1:40" x14ac:dyDescent="0.25">
      <c r="F196" s="211"/>
      <c r="H196" s="211"/>
      <c r="I196" s="211"/>
      <c r="J196" s="305"/>
      <c r="K196" s="305"/>
      <c r="L196" s="211"/>
      <c r="M196" s="211"/>
      <c r="N196" s="211"/>
      <c r="O196" s="211"/>
      <c r="P196" s="211"/>
      <c r="Q196" s="211"/>
      <c r="R196" s="211"/>
      <c r="V196" s="211"/>
      <c r="Y196" s="211"/>
      <c r="Z196" s="305"/>
      <c r="AA196" s="211"/>
      <c r="AB196" s="211"/>
      <c r="AC196" s="211"/>
      <c r="AD196" s="211"/>
      <c r="AE196" s="211"/>
      <c r="AF196" s="211"/>
      <c r="AI196" s="211"/>
      <c r="AJ196" s="211"/>
      <c r="AK196" s="212"/>
      <c r="AL196" s="211"/>
      <c r="AM196" s="210"/>
      <c r="AN196" s="210"/>
    </row>
    <row r="197" spans="1:40" x14ac:dyDescent="0.25">
      <c r="A197" s="202"/>
      <c r="C197" s="154"/>
      <c r="F197" s="200"/>
      <c r="H197" s="200"/>
      <c r="I197" s="200"/>
      <c r="J197" s="213"/>
      <c r="K197" s="213"/>
      <c r="L197" s="200"/>
      <c r="M197" s="200"/>
      <c r="N197" s="210"/>
      <c r="O197" s="210"/>
      <c r="P197" s="200"/>
      <c r="Q197" s="200"/>
      <c r="R197" s="200"/>
      <c r="T197" s="154"/>
      <c r="V197" s="200"/>
      <c r="Y197" s="200"/>
      <c r="Z197" s="213"/>
      <c r="AA197" s="200"/>
      <c r="AB197" s="200"/>
      <c r="AC197" s="210"/>
      <c r="AD197" s="210"/>
      <c r="AE197" s="200"/>
      <c r="AF197" s="200"/>
      <c r="AG197" s="209"/>
      <c r="AH197" s="201"/>
      <c r="AI197" s="200"/>
      <c r="AJ197" s="200"/>
      <c r="AK197" s="209"/>
      <c r="AL197" s="200"/>
      <c r="AM197" s="210"/>
      <c r="AN197" s="210"/>
    </row>
    <row r="198" spans="1:40" x14ac:dyDescent="0.25">
      <c r="F198" s="211"/>
      <c r="H198" s="211"/>
      <c r="I198" s="211"/>
      <c r="J198" s="305"/>
      <c r="K198" s="305"/>
      <c r="L198" s="211"/>
      <c r="M198" s="211"/>
      <c r="N198" s="211"/>
      <c r="O198" s="211"/>
      <c r="P198" s="211"/>
      <c r="Q198" s="211"/>
      <c r="R198" s="211"/>
      <c r="V198" s="211"/>
      <c r="Y198" s="211"/>
      <c r="Z198" s="305"/>
      <c r="AA198" s="211"/>
      <c r="AB198" s="211"/>
      <c r="AC198" s="211"/>
      <c r="AD198" s="211"/>
      <c r="AE198" s="211"/>
      <c r="AF198" s="211"/>
      <c r="AI198" s="211"/>
      <c r="AJ198" s="211"/>
      <c r="AK198" s="212"/>
      <c r="AL198" s="211"/>
      <c r="AM198" s="210"/>
      <c r="AN198" s="210"/>
    </row>
    <row r="199" spans="1:40" x14ac:dyDescent="0.25">
      <c r="A199" s="202"/>
      <c r="C199" s="154"/>
      <c r="F199" s="200"/>
      <c r="H199" s="200"/>
      <c r="I199" s="200"/>
      <c r="J199" s="213"/>
      <c r="K199" s="213"/>
      <c r="L199" s="200"/>
      <c r="M199" s="200"/>
      <c r="N199" s="210"/>
      <c r="O199" s="210"/>
      <c r="P199" s="200"/>
      <c r="Q199" s="200"/>
      <c r="R199" s="200"/>
      <c r="T199" s="154"/>
      <c r="V199" s="200"/>
      <c r="Y199" s="200"/>
      <c r="Z199" s="213"/>
      <c r="AA199" s="200"/>
      <c r="AB199" s="200"/>
      <c r="AC199" s="210"/>
      <c r="AD199" s="210"/>
      <c r="AE199" s="200"/>
      <c r="AF199" s="200"/>
      <c r="AG199" s="209"/>
      <c r="AH199" s="201"/>
      <c r="AI199" s="200"/>
      <c r="AJ199" s="200"/>
      <c r="AK199" s="209"/>
      <c r="AL199" s="200"/>
      <c r="AM199" s="210"/>
      <c r="AN199" s="210"/>
    </row>
    <row r="200" spans="1:40" x14ac:dyDescent="0.25">
      <c r="A200" s="202"/>
      <c r="C200" s="154"/>
      <c r="F200" s="200"/>
      <c r="H200" s="200"/>
      <c r="I200" s="200"/>
      <c r="J200" s="213"/>
      <c r="K200" s="213"/>
      <c r="L200" s="200"/>
      <c r="M200" s="200"/>
      <c r="N200" s="210"/>
      <c r="O200" s="210"/>
      <c r="P200" s="200"/>
      <c r="Q200" s="200"/>
      <c r="R200" s="200"/>
      <c r="T200" s="154"/>
      <c r="V200" s="200"/>
      <c r="Y200" s="200"/>
      <c r="Z200" s="213"/>
      <c r="AA200" s="200"/>
      <c r="AB200" s="200"/>
      <c r="AC200" s="210"/>
      <c r="AD200" s="210"/>
      <c r="AE200" s="200"/>
      <c r="AF200" s="200"/>
      <c r="AG200" s="209"/>
      <c r="AH200" s="201"/>
      <c r="AI200" s="200"/>
      <c r="AJ200" s="200"/>
      <c r="AK200" s="209"/>
      <c r="AL200" s="200"/>
      <c r="AM200" s="210"/>
      <c r="AN200" s="210"/>
    </row>
    <row r="201" spans="1:40" x14ac:dyDescent="0.25">
      <c r="F201" s="211"/>
      <c r="H201" s="211"/>
      <c r="I201" s="211"/>
      <c r="J201" s="305"/>
      <c r="K201" s="305"/>
      <c r="L201" s="211"/>
      <c r="M201" s="211"/>
      <c r="N201" s="211"/>
      <c r="O201" s="211"/>
      <c r="P201" s="211"/>
      <c r="Q201" s="211"/>
      <c r="R201" s="211"/>
      <c r="V201" s="211"/>
      <c r="Y201" s="211"/>
      <c r="Z201" s="305"/>
      <c r="AA201" s="211"/>
      <c r="AB201" s="211"/>
      <c r="AC201" s="211"/>
      <c r="AD201" s="211"/>
      <c r="AE201" s="211"/>
      <c r="AF201" s="211"/>
      <c r="AI201" s="211"/>
      <c r="AJ201" s="211"/>
      <c r="AK201" s="212"/>
      <c r="AL201" s="211"/>
      <c r="AM201" s="200"/>
      <c r="AN201" s="200"/>
    </row>
    <row r="202" spans="1:40" x14ac:dyDescent="0.25">
      <c r="F202" s="200"/>
      <c r="H202" s="200"/>
      <c r="I202" s="200"/>
      <c r="J202" s="213"/>
      <c r="K202" s="213"/>
      <c r="L202" s="200"/>
      <c r="M202" s="200"/>
      <c r="N202" s="200"/>
      <c r="O202" s="200"/>
      <c r="P202" s="200"/>
      <c r="Q202" s="200"/>
      <c r="R202" s="200"/>
      <c r="V202" s="200"/>
      <c r="Y202" s="200"/>
      <c r="Z202" s="213"/>
      <c r="AA202" s="200"/>
      <c r="AB202" s="200"/>
      <c r="AC202" s="200"/>
      <c r="AD202" s="200"/>
    </row>
    <row r="203" spans="1:40" x14ac:dyDescent="0.25">
      <c r="C203" s="154"/>
      <c r="F203" s="200"/>
      <c r="H203" s="200"/>
      <c r="I203" s="200"/>
      <c r="J203" s="213"/>
      <c r="K203" s="213"/>
      <c r="L203" s="200"/>
      <c r="M203" s="200"/>
      <c r="N203" s="200"/>
      <c r="O203" s="200"/>
      <c r="P203" s="200"/>
      <c r="Q203" s="200"/>
      <c r="R203" s="200"/>
      <c r="T203" s="154"/>
      <c r="V203" s="200"/>
      <c r="Y203" s="200"/>
      <c r="Z203" s="213"/>
      <c r="AA203" s="200"/>
      <c r="AB203" s="200"/>
      <c r="AC203" s="200"/>
      <c r="AD203" s="200"/>
    </row>
    <row r="204" spans="1:40" x14ac:dyDescent="0.25">
      <c r="A204" s="154"/>
    </row>
    <row r="205" spans="1:40" x14ac:dyDescent="0.25">
      <c r="J205" s="202"/>
      <c r="K205" s="202"/>
      <c r="Z205" s="202"/>
    </row>
    <row r="206" spans="1:40" x14ac:dyDescent="0.25">
      <c r="H206" s="154"/>
      <c r="I206" s="154"/>
      <c r="Y206" s="154"/>
    </row>
    <row r="207" spans="1:40" x14ac:dyDescent="0.25">
      <c r="J207" s="202"/>
      <c r="K207" s="202"/>
      <c r="Z207" s="202"/>
    </row>
    <row r="208" spans="1:40" x14ac:dyDescent="0.25">
      <c r="L208" s="154"/>
      <c r="M208" s="154"/>
      <c r="AA208" s="154"/>
      <c r="AB208" s="154"/>
    </row>
    <row r="209" spans="1:40" x14ac:dyDescent="0.25">
      <c r="A209" s="202"/>
      <c r="R209" s="154"/>
      <c r="AK209" s="297"/>
      <c r="AL209" s="154"/>
    </row>
    <row r="210" spans="1:40" x14ac:dyDescent="0.25">
      <c r="A210" s="202"/>
      <c r="R210" s="154"/>
      <c r="AK210" s="297"/>
      <c r="AL210" s="154"/>
    </row>
    <row r="211" spans="1:40" x14ac:dyDescent="0.25">
      <c r="A211" s="154"/>
      <c r="R211" s="154"/>
      <c r="AK211" s="297"/>
      <c r="AL211" s="154"/>
    </row>
    <row r="212" spans="1:40" x14ac:dyDescent="0.25">
      <c r="L212" s="154"/>
      <c r="M212" s="154"/>
      <c r="R212" s="202"/>
      <c r="AA212" s="154"/>
      <c r="AB212" s="154"/>
      <c r="AK212" s="209"/>
      <c r="AL212" s="202"/>
    </row>
    <row r="213" spans="1:40" x14ac:dyDescent="0.2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208"/>
      <c r="AH213" s="102"/>
      <c r="AI213" s="102"/>
      <c r="AJ213" s="102"/>
      <c r="AK213" s="208"/>
      <c r="AL213" s="102"/>
      <c r="AM213" s="102"/>
      <c r="AN213" s="102"/>
    </row>
    <row r="214" spans="1:40" x14ac:dyDescent="0.25">
      <c r="L214" s="103"/>
      <c r="M214" s="103"/>
      <c r="N214" s="103"/>
      <c r="O214" s="103"/>
      <c r="R214" s="103"/>
      <c r="AA214" s="103"/>
      <c r="AB214" s="103"/>
      <c r="AC214" s="103"/>
      <c r="AD214" s="103"/>
      <c r="AE214" s="103"/>
      <c r="AF214" s="103"/>
      <c r="AG214" s="185"/>
      <c r="AH214" s="103"/>
      <c r="AK214" s="185"/>
      <c r="AL214" s="103"/>
      <c r="AM214" s="103"/>
      <c r="AN214" s="103"/>
    </row>
    <row r="215" spans="1:40" x14ac:dyDescent="0.25">
      <c r="L215" s="103"/>
      <c r="M215" s="103"/>
      <c r="N215" s="103"/>
      <c r="O215" s="103"/>
      <c r="R215" s="103"/>
      <c r="Z215" s="103"/>
      <c r="AA215" s="103"/>
      <c r="AB215" s="103"/>
      <c r="AC215" s="103"/>
      <c r="AD215" s="103"/>
      <c r="AE215" s="103"/>
      <c r="AF215" s="103"/>
      <c r="AG215" s="185"/>
      <c r="AH215" s="103"/>
      <c r="AK215" s="185"/>
      <c r="AL215" s="103"/>
      <c r="AM215" s="103"/>
      <c r="AN215" s="103"/>
    </row>
    <row r="216" spans="1:40" x14ac:dyDescent="0.25">
      <c r="A216" s="103"/>
      <c r="C216" s="103"/>
      <c r="D216" s="103"/>
      <c r="E216" s="103"/>
      <c r="F216" s="103"/>
      <c r="J216" s="103"/>
      <c r="K216" s="103"/>
      <c r="L216" s="103"/>
      <c r="M216" s="103"/>
      <c r="N216" s="103"/>
      <c r="O216" s="103"/>
      <c r="P216" s="103"/>
      <c r="Q216" s="103"/>
      <c r="R216" s="103"/>
      <c r="T216" s="103"/>
      <c r="U216" s="103"/>
      <c r="V216" s="103"/>
      <c r="Z216" s="103"/>
      <c r="AA216" s="103"/>
      <c r="AB216" s="103"/>
      <c r="AC216" s="103"/>
      <c r="AD216" s="103"/>
      <c r="AE216" s="103"/>
      <c r="AF216" s="103"/>
      <c r="AG216" s="185"/>
      <c r="AH216" s="103"/>
      <c r="AI216" s="103"/>
      <c r="AJ216" s="103"/>
      <c r="AK216" s="185"/>
      <c r="AL216" s="103"/>
      <c r="AM216" s="103"/>
      <c r="AN216" s="103"/>
    </row>
    <row r="217" spans="1:40" x14ac:dyDescent="0.25">
      <c r="A217" s="103"/>
      <c r="C217" s="103"/>
      <c r="D217" s="103"/>
      <c r="E217" s="103"/>
      <c r="F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T217" s="103"/>
      <c r="U217" s="103"/>
      <c r="V217" s="103"/>
      <c r="Y217" s="103"/>
      <c r="Z217" s="103"/>
      <c r="AA217" s="103"/>
      <c r="AB217" s="103"/>
      <c r="AC217" s="103"/>
      <c r="AD217" s="103"/>
      <c r="AE217" s="103"/>
      <c r="AF217" s="103"/>
      <c r="AG217" s="185"/>
      <c r="AH217" s="103"/>
      <c r="AI217" s="103"/>
      <c r="AJ217" s="103"/>
      <c r="AK217" s="185"/>
      <c r="AL217" s="103"/>
      <c r="AM217" s="103"/>
      <c r="AN217" s="103"/>
    </row>
    <row r="218" spans="1:40" x14ac:dyDescent="0.25">
      <c r="C218" s="103"/>
      <c r="D218" s="103"/>
      <c r="E218" s="103"/>
      <c r="F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T218" s="103"/>
      <c r="U218" s="103"/>
      <c r="V218" s="103"/>
      <c r="Y218" s="103"/>
      <c r="Z218" s="103"/>
      <c r="AA218" s="103"/>
      <c r="AB218" s="103"/>
      <c r="AC218" s="103"/>
      <c r="AD218" s="103"/>
      <c r="AE218" s="103"/>
      <c r="AF218" s="103"/>
      <c r="AG218" s="185"/>
      <c r="AH218" s="103"/>
      <c r="AI218" s="103"/>
      <c r="AJ218" s="103"/>
      <c r="AK218" s="185"/>
      <c r="AL218" s="103"/>
      <c r="AM218" s="103"/>
      <c r="AN218" s="103"/>
    </row>
    <row r="219" spans="1:40" x14ac:dyDescent="0.2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208"/>
      <c r="AH219" s="102"/>
      <c r="AI219" s="102"/>
      <c r="AJ219" s="102"/>
      <c r="AK219" s="208"/>
      <c r="AL219" s="102"/>
      <c r="AM219" s="102"/>
      <c r="AN219" s="102"/>
    </row>
    <row r="220" spans="1:40" x14ac:dyDescent="0.25"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Y220" s="103"/>
      <c r="Z220" s="103"/>
      <c r="AA220" s="103"/>
      <c r="AB220" s="103"/>
      <c r="AC220" s="103"/>
      <c r="AD220" s="103"/>
      <c r="AE220" s="103"/>
      <c r="AF220" s="103"/>
      <c r="AG220" s="185"/>
      <c r="AH220" s="103"/>
      <c r="AI220" s="103"/>
      <c r="AJ220" s="103"/>
      <c r="AK220" s="185"/>
      <c r="AL220" s="103"/>
      <c r="AM220" s="103"/>
      <c r="AN220" s="103"/>
    </row>
    <row r="221" spans="1:40" x14ac:dyDescent="0.25">
      <c r="A221" s="202"/>
      <c r="C221" s="154"/>
      <c r="D221" s="154"/>
      <c r="E221" s="154"/>
      <c r="T221" s="154"/>
      <c r="U221" s="154"/>
    </row>
    <row r="223" spans="1:40" x14ac:dyDescent="0.25">
      <c r="A223" s="202"/>
      <c r="C223" s="154"/>
      <c r="F223" s="252"/>
      <c r="H223" s="317"/>
      <c r="I223" s="317"/>
      <c r="J223" s="300"/>
      <c r="K223" s="300"/>
      <c r="L223" s="200"/>
      <c r="M223" s="200"/>
      <c r="N223" s="202"/>
      <c r="O223" s="202"/>
      <c r="P223" s="202"/>
      <c r="Q223" s="202"/>
      <c r="R223" s="200"/>
      <c r="T223" s="154"/>
      <c r="V223" s="200"/>
      <c r="Y223" s="202"/>
      <c r="Z223" s="300"/>
      <c r="AA223" s="200"/>
      <c r="AB223" s="200"/>
      <c r="AC223" s="202"/>
      <c r="AD223" s="202"/>
      <c r="AE223" s="200"/>
      <c r="AF223" s="200"/>
      <c r="AG223" s="325"/>
      <c r="AH223" s="326"/>
      <c r="AI223" s="200"/>
      <c r="AJ223" s="200"/>
      <c r="AK223" s="209"/>
      <c r="AL223" s="200"/>
      <c r="AM223" s="327"/>
      <c r="AN223" s="327"/>
    </row>
    <row r="224" spans="1:40" x14ac:dyDescent="0.25">
      <c r="F224" s="252"/>
      <c r="H224" s="317"/>
      <c r="I224" s="317"/>
      <c r="J224" s="317"/>
      <c r="K224" s="317"/>
      <c r="R224" s="200"/>
      <c r="V224" s="200"/>
      <c r="Z224" s="317"/>
    </row>
    <row r="225" spans="1:40" x14ac:dyDescent="0.25">
      <c r="A225" s="202"/>
      <c r="C225" s="154"/>
      <c r="F225" s="252"/>
      <c r="H225" s="252"/>
      <c r="I225" s="252"/>
      <c r="J225" s="320"/>
      <c r="K225" s="320"/>
      <c r="L225" s="200"/>
      <c r="M225" s="200"/>
      <c r="N225" s="210"/>
      <c r="O225" s="210"/>
      <c r="P225" s="252"/>
      <c r="Q225" s="252"/>
      <c r="R225" s="200"/>
      <c r="T225" s="154"/>
      <c r="V225" s="200"/>
      <c r="Y225" s="200"/>
      <c r="Z225" s="304"/>
      <c r="AA225" s="200"/>
      <c r="AB225" s="200"/>
      <c r="AC225" s="210"/>
      <c r="AD225" s="210"/>
      <c r="AE225" s="200"/>
      <c r="AF225" s="200"/>
      <c r="AG225" s="209"/>
      <c r="AH225" s="201"/>
      <c r="AI225" s="252"/>
      <c r="AJ225" s="252"/>
      <c r="AK225" s="209"/>
      <c r="AL225" s="200"/>
      <c r="AM225" s="210"/>
      <c r="AN225" s="210"/>
    </row>
    <row r="226" spans="1:40" x14ac:dyDescent="0.25">
      <c r="F226" s="211"/>
      <c r="H226" s="211"/>
      <c r="I226" s="211"/>
      <c r="J226" s="305"/>
      <c r="K226" s="305"/>
      <c r="L226" s="211"/>
      <c r="M226" s="211"/>
      <c r="N226" s="211"/>
      <c r="O226" s="211"/>
      <c r="P226" s="211"/>
      <c r="Q226" s="211"/>
      <c r="R226" s="211"/>
      <c r="V226" s="211"/>
      <c r="Y226" s="211"/>
      <c r="Z226" s="305"/>
      <c r="AA226" s="211"/>
      <c r="AB226" s="211"/>
      <c r="AC226" s="211"/>
      <c r="AD226" s="211"/>
      <c r="AE226" s="211"/>
      <c r="AF226" s="211"/>
      <c r="AI226" s="211"/>
      <c r="AJ226" s="211"/>
      <c r="AK226" s="212"/>
      <c r="AL226" s="211"/>
    </row>
    <row r="227" spans="1:40" x14ac:dyDescent="0.25">
      <c r="A227" s="202"/>
      <c r="D227" s="154"/>
      <c r="E227" s="154"/>
      <c r="F227" s="200"/>
      <c r="H227" s="200"/>
      <c r="I227" s="200"/>
      <c r="J227" s="213"/>
      <c r="K227" s="213"/>
      <c r="L227" s="200"/>
      <c r="M227" s="200"/>
      <c r="N227" s="210"/>
      <c r="O227" s="210"/>
      <c r="P227" s="200"/>
      <c r="Q227" s="200"/>
      <c r="R227" s="200"/>
      <c r="U227" s="154"/>
      <c r="V227" s="200"/>
      <c r="Y227" s="200"/>
      <c r="Z227" s="213"/>
      <c r="AA227" s="200"/>
      <c r="AB227" s="200"/>
      <c r="AC227" s="210"/>
      <c r="AD227" s="210"/>
      <c r="AE227" s="200"/>
      <c r="AF227" s="200"/>
      <c r="AG227" s="209"/>
      <c r="AH227" s="201"/>
      <c r="AI227" s="200"/>
      <c r="AJ227" s="200"/>
      <c r="AK227" s="209"/>
      <c r="AL227" s="200"/>
      <c r="AM227" s="210"/>
      <c r="AN227" s="210"/>
    </row>
    <row r="228" spans="1:40" x14ac:dyDescent="0.25">
      <c r="F228" s="211"/>
      <c r="H228" s="211"/>
      <c r="I228" s="211"/>
      <c r="J228" s="305"/>
      <c r="K228" s="305"/>
      <c r="L228" s="211"/>
      <c r="M228" s="211"/>
      <c r="N228" s="211"/>
      <c r="O228" s="211"/>
      <c r="P228" s="211"/>
      <c r="Q228" s="211"/>
      <c r="R228" s="211"/>
      <c r="V228" s="211"/>
      <c r="Y228" s="211"/>
      <c r="Z228" s="305"/>
      <c r="AA228" s="211"/>
      <c r="AB228" s="211"/>
      <c r="AC228" s="211"/>
      <c r="AD228" s="211"/>
      <c r="AE228" s="211"/>
      <c r="AF228" s="211"/>
      <c r="AI228" s="211"/>
      <c r="AJ228" s="211"/>
      <c r="AK228" s="212"/>
      <c r="AL228" s="211"/>
    </row>
    <row r="229" spans="1:40" x14ac:dyDescent="0.25">
      <c r="R229" s="200"/>
    </row>
    <row r="230" spans="1:40" x14ac:dyDescent="0.25">
      <c r="R230" s="200"/>
    </row>
    <row r="231" spans="1:40" x14ac:dyDescent="0.25">
      <c r="R231" s="200"/>
    </row>
    <row r="232" spans="1:40" x14ac:dyDescent="0.25">
      <c r="A232" s="202"/>
      <c r="C232" s="154"/>
      <c r="D232" s="154"/>
      <c r="E232" s="154"/>
      <c r="H232" s="200"/>
      <c r="I232" s="200"/>
      <c r="J232" s="213"/>
      <c r="K232" s="213"/>
      <c r="L232" s="200"/>
      <c r="M232" s="200"/>
      <c r="N232" s="210"/>
      <c r="O232" s="210"/>
      <c r="P232" s="200"/>
      <c r="Q232" s="200"/>
      <c r="R232" s="200"/>
      <c r="T232" s="154"/>
      <c r="U232" s="154"/>
      <c r="Y232" s="200"/>
      <c r="Z232" s="213"/>
      <c r="AA232" s="200"/>
      <c r="AB232" s="200"/>
      <c r="AC232" s="210"/>
      <c r="AD232" s="210"/>
    </row>
    <row r="233" spans="1:40" x14ac:dyDescent="0.25">
      <c r="H233" s="200"/>
      <c r="I233" s="200"/>
      <c r="J233" s="213"/>
      <c r="K233" s="213"/>
      <c r="L233" s="200"/>
      <c r="M233" s="200"/>
      <c r="N233" s="210"/>
      <c r="O233" s="210"/>
      <c r="P233" s="200"/>
      <c r="Q233" s="200"/>
      <c r="R233" s="200"/>
      <c r="Y233" s="200"/>
      <c r="Z233" s="213"/>
      <c r="AA233" s="200"/>
      <c r="AB233" s="200"/>
      <c r="AC233" s="210"/>
      <c r="AD233" s="210"/>
    </row>
    <row r="234" spans="1:40" x14ac:dyDescent="0.25">
      <c r="A234" s="202"/>
      <c r="C234" s="154"/>
      <c r="F234" s="252"/>
      <c r="H234" s="252"/>
      <c r="I234" s="252"/>
      <c r="J234" s="214"/>
      <c r="K234" s="214"/>
      <c r="L234" s="252"/>
      <c r="M234" s="252"/>
      <c r="N234" s="210"/>
      <c r="O234" s="210"/>
      <c r="P234" s="200"/>
      <c r="Q234" s="200"/>
      <c r="R234" s="200"/>
      <c r="T234" s="154"/>
      <c r="V234" s="200"/>
      <c r="Y234" s="200"/>
      <c r="Z234" s="214"/>
      <c r="AA234" s="200"/>
      <c r="AB234" s="200"/>
      <c r="AC234" s="210"/>
      <c r="AD234" s="210"/>
      <c r="AE234" s="200"/>
      <c r="AF234" s="200"/>
      <c r="AG234" s="209"/>
      <c r="AH234" s="201"/>
      <c r="AI234" s="200"/>
      <c r="AJ234" s="200"/>
      <c r="AK234" s="209"/>
      <c r="AL234" s="200"/>
      <c r="AM234" s="210"/>
      <c r="AN234" s="210"/>
    </row>
    <row r="235" spans="1:40" x14ac:dyDescent="0.25">
      <c r="F235" s="252"/>
      <c r="H235" s="317"/>
      <c r="I235" s="317"/>
      <c r="J235" s="317"/>
      <c r="K235" s="317"/>
      <c r="R235" s="200"/>
      <c r="V235" s="200"/>
      <c r="Z235" s="317"/>
    </row>
    <row r="236" spans="1:40" x14ac:dyDescent="0.25">
      <c r="A236" s="202"/>
      <c r="C236" s="154"/>
      <c r="F236" s="252"/>
      <c r="H236" s="252"/>
      <c r="I236" s="252"/>
      <c r="J236" s="300"/>
      <c r="K236" s="300"/>
      <c r="L236" s="200"/>
      <c r="M236" s="200"/>
      <c r="N236" s="210"/>
      <c r="O236" s="210"/>
      <c r="P236" s="200"/>
      <c r="Q236" s="200"/>
      <c r="R236" s="200"/>
      <c r="T236" s="154"/>
      <c r="V236" s="200"/>
      <c r="Y236" s="200"/>
      <c r="Z236" s="300"/>
      <c r="AA236" s="200"/>
      <c r="AB236" s="200"/>
      <c r="AC236" s="210"/>
      <c r="AD236" s="210"/>
      <c r="AE236" s="200"/>
      <c r="AF236" s="200"/>
      <c r="AG236" s="209"/>
      <c r="AH236" s="201"/>
      <c r="AI236" s="200"/>
      <c r="AJ236" s="200"/>
      <c r="AK236" s="209"/>
      <c r="AL236" s="200"/>
      <c r="AM236" s="210"/>
      <c r="AN236" s="210"/>
    </row>
    <row r="237" spans="1:40" x14ac:dyDescent="0.25">
      <c r="F237" s="252"/>
      <c r="H237" s="317"/>
      <c r="I237" s="317"/>
      <c r="J237" s="317"/>
      <c r="K237" s="317"/>
      <c r="R237" s="200"/>
      <c r="V237" s="200"/>
      <c r="Z237" s="317"/>
    </row>
    <row r="238" spans="1:40" x14ac:dyDescent="0.25">
      <c r="A238" s="202"/>
      <c r="C238" s="154"/>
      <c r="F238" s="252"/>
      <c r="H238" s="252"/>
      <c r="I238" s="252"/>
      <c r="J238" s="320"/>
      <c r="K238" s="320"/>
      <c r="L238" s="200"/>
      <c r="M238" s="200"/>
      <c r="N238" s="210"/>
      <c r="O238" s="210"/>
      <c r="P238" s="200"/>
      <c r="Q238" s="200"/>
      <c r="R238" s="200"/>
      <c r="T238" s="154"/>
      <c r="V238" s="200"/>
      <c r="Y238" s="200"/>
      <c r="Z238" s="304"/>
      <c r="AA238" s="200"/>
      <c r="AB238" s="200"/>
      <c r="AC238" s="210"/>
      <c r="AD238" s="210"/>
      <c r="AE238" s="200"/>
      <c r="AF238" s="200"/>
      <c r="AG238" s="209"/>
      <c r="AH238" s="201"/>
      <c r="AI238" s="200"/>
      <c r="AJ238" s="200"/>
      <c r="AK238" s="209"/>
      <c r="AL238" s="200"/>
      <c r="AM238" s="210"/>
      <c r="AN238" s="210"/>
    </row>
    <row r="239" spans="1:40" x14ac:dyDescent="0.25">
      <c r="F239" s="211"/>
      <c r="H239" s="211"/>
      <c r="I239" s="211"/>
      <c r="J239" s="305"/>
      <c r="K239" s="305"/>
      <c r="L239" s="211"/>
      <c r="M239" s="211"/>
      <c r="N239" s="211"/>
      <c r="O239" s="211"/>
      <c r="P239" s="211"/>
      <c r="Q239" s="211"/>
      <c r="R239" s="211"/>
      <c r="S239" s="200"/>
      <c r="V239" s="211"/>
      <c r="Y239" s="211"/>
      <c r="Z239" s="305"/>
      <c r="AA239" s="211"/>
      <c r="AB239" s="211"/>
      <c r="AC239" s="211"/>
      <c r="AD239" s="211"/>
      <c r="AE239" s="211"/>
      <c r="AF239" s="211"/>
      <c r="AI239" s="211"/>
      <c r="AJ239" s="211"/>
      <c r="AK239" s="212"/>
      <c r="AL239" s="211"/>
    </row>
    <row r="240" spans="1:40" x14ac:dyDescent="0.25">
      <c r="A240" s="202"/>
      <c r="D240" s="154"/>
      <c r="E240" s="154"/>
      <c r="F240" s="200"/>
      <c r="H240" s="200"/>
      <c r="I240" s="200"/>
      <c r="J240" s="213"/>
      <c r="K240" s="213"/>
      <c r="L240" s="200"/>
      <c r="M240" s="200"/>
      <c r="N240" s="210"/>
      <c r="O240" s="210"/>
      <c r="P240" s="252"/>
      <c r="Q240" s="252"/>
      <c r="R240" s="200"/>
      <c r="S240" s="200"/>
      <c r="U240" s="154"/>
      <c r="V240" s="200"/>
      <c r="Y240" s="200"/>
      <c r="Z240" s="213"/>
      <c r="AA240" s="200"/>
      <c r="AB240" s="200"/>
      <c r="AC240" s="210"/>
      <c r="AD240" s="210"/>
      <c r="AE240" s="200"/>
      <c r="AF240" s="200"/>
      <c r="AG240" s="209"/>
      <c r="AH240" s="201"/>
      <c r="AI240" s="252"/>
      <c r="AJ240" s="252"/>
      <c r="AK240" s="209"/>
      <c r="AL240" s="200"/>
      <c r="AM240" s="210"/>
      <c r="AN240" s="210"/>
    </row>
    <row r="241" spans="1:40" x14ac:dyDescent="0.25">
      <c r="F241" s="211"/>
      <c r="H241" s="211"/>
      <c r="I241" s="211"/>
      <c r="J241" s="305"/>
      <c r="K241" s="305"/>
      <c r="L241" s="211"/>
      <c r="M241" s="211"/>
      <c r="N241" s="211"/>
      <c r="O241" s="211"/>
      <c r="P241" s="211"/>
      <c r="Q241" s="211"/>
      <c r="R241" s="211"/>
      <c r="S241" s="200"/>
      <c r="V241" s="211"/>
      <c r="Y241" s="211"/>
      <c r="Z241" s="305"/>
      <c r="AA241" s="211"/>
      <c r="AB241" s="211"/>
      <c r="AC241" s="211"/>
      <c r="AD241" s="211"/>
      <c r="AE241" s="211"/>
      <c r="AF241" s="211"/>
      <c r="AI241" s="211"/>
      <c r="AJ241" s="211"/>
      <c r="AK241" s="212"/>
      <c r="AL241" s="211"/>
    </row>
    <row r="242" spans="1:40" x14ac:dyDescent="0.25">
      <c r="R242" s="200"/>
    </row>
    <row r="243" spans="1:40" x14ac:dyDescent="0.25">
      <c r="F243" s="200"/>
      <c r="H243" s="200"/>
      <c r="I243" s="200"/>
      <c r="J243" s="213"/>
      <c r="K243" s="213"/>
      <c r="L243" s="200"/>
      <c r="M243" s="200"/>
      <c r="N243" s="200"/>
      <c r="O243" s="200"/>
      <c r="P243" s="200"/>
      <c r="Q243" s="200"/>
      <c r="R243" s="200"/>
      <c r="V243" s="200"/>
      <c r="Y243" s="200"/>
      <c r="Z243" s="213"/>
      <c r="AA243" s="200"/>
      <c r="AB243" s="200"/>
      <c r="AC243" s="200"/>
      <c r="AD243" s="200"/>
    </row>
    <row r="244" spans="1:40" x14ac:dyDescent="0.25">
      <c r="C244" s="154"/>
      <c r="F244" s="200"/>
      <c r="H244" s="200"/>
      <c r="I244" s="200"/>
      <c r="J244" s="213"/>
      <c r="K244" s="213"/>
      <c r="L244" s="200"/>
      <c r="M244" s="200"/>
      <c r="N244" s="200"/>
      <c r="O244" s="200"/>
      <c r="P244" s="200"/>
      <c r="Q244" s="200"/>
      <c r="R244" s="200"/>
      <c r="T244" s="154"/>
      <c r="V244" s="200"/>
      <c r="Y244" s="200"/>
      <c r="Z244" s="213"/>
      <c r="AA244" s="200"/>
      <c r="AB244" s="200"/>
      <c r="AC244" s="200"/>
      <c r="AD244" s="200"/>
    </row>
    <row r="245" spans="1:40" x14ac:dyDescent="0.25">
      <c r="C245" s="154"/>
      <c r="T245" s="154"/>
    </row>
    <row r="246" spans="1:40" x14ac:dyDescent="0.25">
      <c r="A246" s="154"/>
    </row>
    <row r="248" spans="1:40" x14ac:dyDescent="0.25">
      <c r="J248" s="202"/>
      <c r="K248" s="202"/>
      <c r="Z248" s="202"/>
    </row>
    <row r="249" spans="1:40" x14ac:dyDescent="0.25">
      <c r="H249" s="154"/>
      <c r="I249" s="154"/>
      <c r="Y249" s="154"/>
    </row>
    <row r="250" spans="1:40" x14ac:dyDescent="0.25">
      <c r="J250" s="202"/>
      <c r="K250" s="202"/>
      <c r="Z250" s="202"/>
    </row>
    <row r="251" spans="1:40" x14ac:dyDescent="0.25">
      <c r="L251" s="154"/>
      <c r="M251" s="154"/>
      <c r="AA251" s="154"/>
      <c r="AB251" s="154"/>
    </row>
    <row r="252" spans="1:40" x14ac:dyDescent="0.25">
      <c r="A252" s="202"/>
      <c r="R252" s="154"/>
      <c r="AK252" s="297"/>
      <c r="AL252" s="154"/>
    </row>
    <row r="253" spans="1:40" x14ac:dyDescent="0.25">
      <c r="A253" s="202"/>
      <c r="R253" s="154"/>
      <c r="AK253" s="297"/>
      <c r="AL253" s="154"/>
    </row>
    <row r="254" spans="1:40" x14ac:dyDescent="0.25">
      <c r="A254" s="154"/>
      <c r="R254" s="154"/>
      <c r="AK254" s="297"/>
      <c r="AL254" s="154"/>
    </row>
    <row r="255" spans="1:40" x14ac:dyDescent="0.25">
      <c r="L255" s="154"/>
      <c r="M255" s="154"/>
      <c r="R255" s="202"/>
      <c r="AA255" s="154"/>
      <c r="AB255" s="154"/>
      <c r="AK255" s="209"/>
      <c r="AL255" s="202"/>
    </row>
    <row r="256" spans="1:40" x14ac:dyDescent="0.2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208"/>
      <c r="AH256" s="102"/>
      <c r="AI256" s="102"/>
      <c r="AJ256" s="102"/>
      <c r="AK256" s="208"/>
      <c r="AL256" s="102"/>
      <c r="AM256" s="102"/>
      <c r="AN256" s="102"/>
    </row>
    <row r="257" spans="1:40" x14ac:dyDescent="0.25">
      <c r="L257" s="103"/>
      <c r="M257" s="103"/>
      <c r="N257" s="103"/>
      <c r="O257" s="103"/>
      <c r="R257" s="103"/>
      <c r="AA257" s="103"/>
      <c r="AB257" s="103"/>
      <c r="AC257" s="103"/>
      <c r="AD257" s="103"/>
      <c r="AE257" s="103"/>
      <c r="AF257" s="103"/>
      <c r="AG257" s="185"/>
      <c r="AH257" s="103"/>
      <c r="AK257" s="185"/>
      <c r="AL257" s="103"/>
      <c r="AM257" s="103"/>
      <c r="AN257" s="103"/>
    </row>
    <row r="258" spans="1:40" x14ac:dyDescent="0.25">
      <c r="L258" s="103"/>
      <c r="M258" s="103"/>
      <c r="N258" s="103"/>
      <c r="O258" s="103"/>
      <c r="R258" s="103"/>
      <c r="Z258" s="103"/>
      <c r="AA258" s="103"/>
      <c r="AB258" s="103"/>
      <c r="AC258" s="103"/>
      <c r="AD258" s="103"/>
      <c r="AE258" s="103"/>
      <c r="AF258" s="103"/>
      <c r="AG258" s="185"/>
      <c r="AH258" s="103"/>
      <c r="AK258" s="185"/>
      <c r="AL258" s="103"/>
      <c r="AM258" s="103"/>
      <c r="AN258" s="103"/>
    </row>
    <row r="259" spans="1:40" x14ac:dyDescent="0.25">
      <c r="A259" s="103"/>
      <c r="C259" s="103"/>
      <c r="D259" s="103"/>
      <c r="E259" s="103"/>
      <c r="F259" s="103"/>
      <c r="J259" s="103"/>
      <c r="K259" s="103"/>
      <c r="L259" s="103"/>
      <c r="M259" s="103"/>
      <c r="N259" s="103"/>
      <c r="O259" s="103"/>
      <c r="P259" s="103"/>
      <c r="Q259" s="103"/>
      <c r="R259" s="103"/>
      <c r="T259" s="103"/>
      <c r="U259" s="103"/>
      <c r="V259" s="103"/>
      <c r="Z259" s="103"/>
      <c r="AA259" s="103"/>
      <c r="AB259" s="103"/>
      <c r="AC259" s="103"/>
      <c r="AD259" s="103"/>
      <c r="AE259" s="103"/>
      <c r="AF259" s="103"/>
      <c r="AG259" s="185"/>
      <c r="AH259" s="103"/>
      <c r="AI259" s="103"/>
      <c r="AJ259" s="103"/>
      <c r="AK259" s="185"/>
      <c r="AL259" s="103"/>
      <c r="AM259" s="103"/>
      <c r="AN259" s="103"/>
    </row>
    <row r="260" spans="1:40" x14ac:dyDescent="0.25">
      <c r="A260" s="103"/>
      <c r="C260" s="103"/>
      <c r="D260" s="103"/>
      <c r="E260" s="103"/>
      <c r="F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T260" s="103"/>
      <c r="U260" s="103"/>
      <c r="V260" s="103"/>
      <c r="Y260" s="103"/>
      <c r="Z260" s="103"/>
      <c r="AA260" s="103"/>
      <c r="AB260" s="103"/>
      <c r="AC260" s="103"/>
      <c r="AD260" s="103"/>
      <c r="AE260" s="103"/>
      <c r="AF260" s="103"/>
      <c r="AG260" s="185"/>
      <c r="AH260" s="103"/>
      <c r="AI260" s="103"/>
      <c r="AJ260" s="103"/>
      <c r="AK260" s="185"/>
      <c r="AL260" s="103"/>
      <c r="AM260" s="103"/>
      <c r="AN260" s="103"/>
    </row>
    <row r="261" spans="1:40" x14ac:dyDescent="0.25">
      <c r="C261" s="103"/>
      <c r="D261" s="103"/>
      <c r="E261" s="103"/>
      <c r="F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T261" s="103"/>
      <c r="U261" s="103"/>
      <c r="V261" s="103"/>
      <c r="Y261" s="103"/>
      <c r="Z261" s="103"/>
      <c r="AA261" s="103"/>
      <c r="AB261" s="103"/>
      <c r="AC261" s="103"/>
      <c r="AD261" s="103"/>
      <c r="AE261" s="103"/>
      <c r="AF261" s="103"/>
      <c r="AG261" s="185"/>
      <c r="AH261" s="103"/>
      <c r="AI261" s="103"/>
      <c r="AJ261" s="103"/>
      <c r="AK261" s="185"/>
      <c r="AL261" s="103"/>
      <c r="AM261" s="103"/>
      <c r="AN261" s="103"/>
    </row>
    <row r="262" spans="1:40" x14ac:dyDescent="0.2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208"/>
      <c r="AH262" s="102"/>
      <c r="AI262" s="102"/>
      <c r="AJ262" s="102"/>
      <c r="AK262" s="208"/>
      <c r="AL262" s="102"/>
      <c r="AM262" s="102"/>
      <c r="AN262" s="102"/>
    </row>
    <row r="263" spans="1:40" x14ac:dyDescent="0.25"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Y263" s="103"/>
      <c r="Z263" s="103"/>
      <c r="AA263" s="103"/>
      <c r="AB263" s="103"/>
      <c r="AC263" s="103"/>
      <c r="AD263" s="103"/>
      <c r="AE263" s="103"/>
      <c r="AF263" s="103"/>
      <c r="AG263" s="185"/>
      <c r="AH263" s="103"/>
      <c r="AI263" s="103"/>
      <c r="AJ263" s="103"/>
      <c r="AK263" s="185"/>
      <c r="AL263" s="103"/>
      <c r="AM263" s="103"/>
      <c r="AN263" s="103"/>
    </row>
    <row r="264" spans="1:40" x14ac:dyDescent="0.25">
      <c r="A264" s="202"/>
      <c r="C264" s="154"/>
      <c r="D264" s="154"/>
      <c r="E264" s="154"/>
      <c r="T264" s="154"/>
      <c r="U264" s="154"/>
    </row>
    <row r="265" spans="1:40" x14ac:dyDescent="0.25">
      <c r="A265" s="202"/>
      <c r="D265" s="154"/>
      <c r="E265" s="154"/>
      <c r="U265" s="154"/>
    </row>
    <row r="267" spans="1:40" x14ac:dyDescent="0.25">
      <c r="A267" s="202"/>
      <c r="C267" s="154"/>
      <c r="F267" s="200"/>
      <c r="J267" s="215"/>
      <c r="K267" s="215"/>
      <c r="L267" s="200"/>
      <c r="M267" s="200"/>
      <c r="R267" s="200"/>
      <c r="T267" s="154"/>
      <c r="V267" s="200"/>
      <c r="Z267" s="215"/>
      <c r="AA267" s="200"/>
      <c r="AB267" s="200"/>
      <c r="AK267" s="209"/>
      <c r="AL267" s="200"/>
    </row>
    <row r="268" spans="1:40" x14ac:dyDescent="0.25">
      <c r="F268" s="200"/>
      <c r="R268" s="200"/>
      <c r="V268" s="200"/>
      <c r="AK268" s="209"/>
      <c r="AL268" s="200"/>
    </row>
    <row r="269" spans="1:40" x14ac:dyDescent="0.25">
      <c r="A269" s="202"/>
      <c r="C269" s="154"/>
      <c r="F269" s="252"/>
      <c r="H269" s="252"/>
      <c r="I269" s="252"/>
      <c r="J269" s="300"/>
      <c r="K269" s="300"/>
      <c r="L269" s="200"/>
      <c r="M269" s="200"/>
      <c r="N269" s="210"/>
      <c r="O269" s="210"/>
      <c r="P269" s="200"/>
      <c r="Q269" s="200"/>
      <c r="R269" s="200"/>
      <c r="T269" s="154"/>
      <c r="V269" s="200"/>
      <c r="Y269" s="200"/>
      <c r="Z269" s="300"/>
      <c r="AA269" s="200"/>
      <c r="AB269" s="200"/>
      <c r="AC269" s="210"/>
      <c r="AD269" s="210"/>
      <c r="AE269" s="200"/>
      <c r="AF269" s="200"/>
      <c r="AG269" s="209"/>
      <c r="AH269" s="201"/>
      <c r="AI269" s="200"/>
      <c r="AJ269" s="200"/>
      <c r="AK269" s="209"/>
      <c r="AL269" s="200"/>
      <c r="AM269" s="210"/>
      <c r="AN269" s="210"/>
    </row>
    <row r="270" spans="1:40" x14ac:dyDescent="0.25">
      <c r="A270" s="202"/>
      <c r="C270" s="154"/>
      <c r="F270" s="252"/>
      <c r="H270" s="317"/>
      <c r="I270" s="317"/>
      <c r="J270" s="300"/>
      <c r="K270" s="300"/>
      <c r="L270" s="200"/>
      <c r="M270" s="200"/>
      <c r="N270" s="210"/>
      <c r="O270" s="210"/>
      <c r="P270" s="200"/>
      <c r="Q270" s="200"/>
      <c r="R270" s="200"/>
      <c r="T270" s="154"/>
      <c r="V270" s="200"/>
      <c r="Y270" s="200"/>
      <c r="Z270" s="300"/>
      <c r="AA270" s="200"/>
      <c r="AB270" s="200"/>
      <c r="AC270" s="210"/>
      <c r="AD270" s="210"/>
      <c r="AE270" s="200"/>
      <c r="AF270" s="200"/>
      <c r="AG270" s="209"/>
      <c r="AH270" s="201"/>
      <c r="AI270" s="200"/>
      <c r="AJ270" s="200"/>
      <c r="AK270" s="209"/>
      <c r="AL270" s="200"/>
      <c r="AM270" s="210"/>
      <c r="AN270" s="210"/>
    </row>
    <row r="271" spans="1:40" x14ac:dyDescent="0.25">
      <c r="F271" s="211"/>
      <c r="H271" s="200"/>
      <c r="I271" s="200"/>
      <c r="J271" s="305"/>
      <c r="K271" s="305"/>
      <c r="L271" s="211"/>
      <c r="M271" s="211"/>
      <c r="N271" s="211"/>
      <c r="O271" s="211"/>
      <c r="P271" s="211"/>
      <c r="Q271" s="211"/>
      <c r="R271" s="211"/>
      <c r="V271" s="211"/>
      <c r="Y271" s="200"/>
      <c r="Z271" s="305"/>
      <c r="AA271" s="211"/>
      <c r="AB271" s="211"/>
      <c r="AC271" s="211"/>
      <c r="AD271" s="211"/>
      <c r="AE271" s="211"/>
      <c r="AF271" s="211"/>
      <c r="AI271" s="211"/>
      <c r="AJ271" s="211"/>
      <c r="AK271" s="212"/>
      <c r="AL271" s="211"/>
    </row>
    <row r="272" spans="1:40" x14ac:dyDescent="0.25">
      <c r="A272" s="202"/>
      <c r="C272" s="154"/>
      <c r="F272" s="200"/>
      <c r="H272" s="200"/>
      <c r="I272" s="200"/>
      <c r="J272" s="213"/>
      <c r="K272" s="213"/>
      <c r="L272" s="200"/>
      <c r="M272" s="200"/>
      <c r="N272" s="210"/>
      <c r="O272" s="210"/>
      <c r="P272" s="200"/>
      <c r="Q272" s="200"/>
      <c r="R272" s="200"/>
      <c r="T272" s="154"/>
      <c r="V272" s="200"/>
      <c r="Y272" s="200"/>
      <c r="Z272" s="213"/>
      <c r="AA272" s="200"/>
      <c r="AB272" s="200"/>
      <c r="AC272" s="210"/>
      <c r="AD272" s="210"/>
      <c r="AE272" s="200"/>
      <c r="AF272" s="200"/>
      <c r="AG272" s="209"/>
      <c r="AH272" s="201"/>
      <c r="AI272" s="200"/>
      <c r="AJ272" s="200"/>
      <c r="AK272" s="209"/>
      <c r="AL272" s="200"/>
      <c r="AM272" s="210"/>
      <c r="AN272" s="210"/>
    </row>
    <row r="273" spans="1:40" x14ac:dyDescent="0.25">
      <c r="F273" s="211"/>
      <c r="H273" s="200"/>
      <c r="I273" s="200"/>
      <c r="J273" s="305"/>
      <c r="K273" s="305"/>
      <c r="L273" s="211"/>
      <c r="M273" s="211"/>
      <c r="N273" s="211"/>
      <c r="O273" s="211"/>
      <c r="P273" s="211"/>
      <c r="Q273" s="211"/>
      <c r="R273" s="211"/>
      <c r="V273" s="211"/>
      <c r="Y273" s="200"/>
      <c r="Z273" s="305"/>
      <c r="AA273" s="211"/>
      <c r="AB273" s="211"/>
      <c r="AC273" s="211"/>
      <c r="AD273" s="211"/>
      <c r="AE273" s="211"/>
      <c r="AF273" s="211"/>
      <c r="AI273" s="211"/>
      <c r="AJ273" s="211"/>
      <c r="AK273" s="212"/>
      <c r="AL273" s="211"/>
    </row>
    <row r="274" spans="1:40" x14ac:dyDescent="0.25">
      <c r="F274" s="200"/>
      <c r="R274" s="200"/>
      <c r="V274" s="200"/>
      <c r="AK274" s="209"/>
      <c r="AL274" s="200"/>
    </row>
    <row r="275" spans="1:40" x14ac:dyDescent="0.25">
      <c r="A275" s="202"/>
      <c r="C275" s="154"/>
      <c r="F275" s="200"/>
      <c r="R275" s="200"/>
      <c r="T275" s="154"/>
      <c r="V275" s="200"/>
      <c r="AK275" s="209"/>
      <c r="AL275" s="200"/>
    </row>
    <row r="276" spans="1:40" x14ac:dyDescent="0.25">
      <c r="F276" s="200"/>
      <c r="R276" s="200"/>
      <c r="V276" s="200"/>
      <c r="AK276" s="209"/>
      <c r="AL276" s="200"/>
    </row>
    <row r="277" spans="1:40" x14ac:dyDescent="0.25">
      <c r="A277" s="202"/>
      <c r="C277" s="154"/>
      <c r="F277" s="200"/>
      <c r="H277" s="252"/>
      <c r="I277" s="252"/>
      <c r="J277" s="320"/>
      <c r="K277" s="320"/>
      <c r="L277" s="200"/>
      <c r="M277" s="200"/>
      <c r="N277" s="210"/>
      <c r="O277" s="210"/>
      <c r="P277" s="252"/>
      <c r="Q277" s="252"/>
      <c r="R277" s="200"/>
      <c r="T277" s="154"/>
      <c r="V277" s="200"/>
      <c r="Y277" s="200"/>
      <c r="Z277" s="304"/>
      <c r="AA277" s="200"/>
      <c r="AB277" s="200"/>
      <c r="AC277" s="210"/>
      <c r="AD277" s="210"/>
      <c r="AE277" s="200"/>
      <c r="AF277" s="200"/>
      <c r="AG277" s="209"/>
      <c r="AH277" s="201"/>
      <c r="AI277" s="252"/>
      <c r="AJ277" s="252"/>
      <c r="AK277" s="209"/>
      <c r="AL277" s="200"/>
      <c r="AM277" s="210"/>
      <c r="AN277" s="210"/>
    </row>
    <row r="278" spans="1:40" x14ac:dyDescent="0.25">
      <c r="F278" s="211"/>
      <c r="H278" s="211"/>
      <c r="I278" s="211"/>
      <c r="J278" s="305"/>
      <c r="K278" s="305"/>
      <c r="L278" s="211"/>
      <c r="M278" s="211"/>
      <c r="N278" s="211"/>
      <c r="O278" s="211"/>
      <c r="P278" s="211"/>
      <c r="Q278" s="211"/>
      <c r="R278" s="211"/>
      <c r="V278" s="211"/>
      <c r="Y278" s="211"/>
      <c r="Z278" s="305"/>
      <c r="AA278" s="211"/>
      <c r="AB278" s="211"/>
      <c r="AC278" s="211"/>
      <c r="AD278" s="211"/>
      <c r="AE278" s="211"/>
      <c r="AF278" s="211"/>
      <c r="AI278" s="211"/>
      <c r="AJ278" s="211"/>
      <c r="AK278" s="212"/>
      <c r="AL278" s="211"/>
    </row>
    <row r="280" spans="1:40" x14ac:dyDescent="0.25">
      <c r="A280" s="202"/>
      <c r="C280" s="154"/>
      <c r="F280" s="200"/>
      <c r="H280" s="200"/>
      <c r="I280" s="200"/>
      <c r="J280" s="215"/>
      <c r="K280" s="215"/>
      <c r="L280" s="200"/>
      <c r="M280" s="200"/>
      <c r="N280" s="210"/>
      <c r="O280" s="210"/>
      <c r="P280" s="200"/>
      <c r="Q280" s="200"/>
      <c r="R280" s="200"/>
      <c r="T280" s="154"/>
      <c r="V280" s="200"/>
      <c r="Y280" s="200"/>
      <c r="Z280" s="215"/>
      <c r="AA280" s="200"/>
      <c r="AB280" s="200"/>
      <c r="AC280" s="210"/>
      <c r="AD280" s="210"/>
      <c r="AE280" s="200"/>
      <c r="AF280" s="200"/>
      <c r="AG280" s="209"/>
      <c r="AH280" s="201"/>
      <c r="AI280" s="200"/>
      <c r="AJ280" s="200"/>
      <c r="AK280" s="209"/>
      <c r="AL280" s="200"/>
      <c r="AM280" s="210"/>
      <c r="AN280" s="210"/>
    </row>
    <row r="281" spans="1:40" x14ac:dyDescent="0.25">
      <c r="F281" s="211"/>
      <c r="H281" s="211"/>
      <c r="I281" s="211"/>
      <c r="J281" s="305"/>
      <c r="K281" s="305"/>
      <c r="L281" s="211"/>
      <c r="M281" s="211"/>
      <c r="N281" s="211"/>
      <c r="O281" s="211"/>
      <c r="P281" s="211"/>
      <c r="Q281" s="211"/>
      <c r="R281" s="211"/>
      <c r="V281" s="211"/>
      <c r="Y281" s="211"/>
      <c r="Z281" s="305"/>
      <c r="AA281" s="211"/>
      <c r="AB281" s="211"/>
      <c r="AC281" s="211"/>
      <c r="AD281" s="211"/>
      <c r="AE281" s="211"/>
      <c r="AF281" s="211"/>
      <c r="AI281" s="211"/>
      <c r="AJ281" s="211"/>
      <c r="AK281" s="212"/>
      <c r="AL281" s="211"/>
    </row>
    <row r="282" spans="1:40" x14ac:dyDescent="0.25">
      <c r="R282" s="200"/>
      <c r="AG282" s="209"/>
      <c r="AH282" s="200"/>
    </row>
    <row r="283" spans="1:40" x14ac:dyDescent="0.25">
      <c r="F283" s="200"/>
      <c r="H283" s="200"/>
      <c r="I283" s="200"/>
      <c r="J283" s="213"/>
      <c r="K283" s="213"/>
      <c r="L283" s="200"/>
      <c r="M283" s="200"/>
      <c r="N283" s="200"/>
      <c r="O283" s="200"/>
      <c r="P283" s="200"/>
      <c r="Q283" s="200"/>
      <c r="R283" s="200"/>
      <c r="V283" s="200"/>
      <c r="Y283" s="200"/>
      <c r="Z283" s="213"/>
      <c r="AA283" s="200"/>
      <c r="AB283" s="200"/>
      <c r="AC283" s="200"/>
      <c r="AD283" s="200"/>
      <c r="AE283" s="200"/>
      <c r="AF283" s="200"/>
      <c r="AG283" s="209"/>
      <c r="AH283" s="200"/>
    </row>
    <row r="284" spans="1:40" x14ac:dyDescent="0.25">
      <c r="C284" s="154"/>
      <c r="F284" s="200"/>
      <c r="H284" s="200"/>
      <c r="I284" s="200"/>
      <c r="J284" s="213"/>
      <c r="K284" s="213"/>
      <c r="L284" s="200"/>
      <c r="M284" s="200"/>
      <c r="N284" s="200"/>
      <c r="O284" s="200"/>
      <c r="P284" s="200"/>
      <c r="Q284" s="200"/>
      <c r="R284" s="200"/>
      <c r="T284" s="154"/>
      <c r="V284" s="200"/>
      <c r="Y284" s="200"/>
      <c r="Z284" s="213"/>
      <c r="AA284" s="200"/>
      <c r="AB284" s="200"/>
      <c r="AC284" s="200"/>
      <c r="AD284" s="200"/>
      <c r="AE284" s="200"/>
      <c r="AF284" s="200"/>
      <c r="AG284" s="209"/>
      <c r="AH284" s="200"/>
    </row>
    <row r="285" spans="1:40" x14ac:dyDescent="0.25">
      <c r="A285" s="154"/>
    </row>
    <row r="287" spans="1:40" x14ac:dyDescent="0.25">
      <c r="J287" s="202"/>
      <c r="K287" s="202"/>
      <c r="Z287" s="202"/>
    </row>
    <row r="288" spans="1:40" x14ac:dyDescent="0.25">
      <c r="H288" s="154"/>
      <c r="I288" s="154"/>
      <c r="Y288" s="154"/>
    </row>
    <row r="289" spans="1:40" x14ac:dyDescent="0.25">
      <c r="J289" s="202"/>
      <c r="K289" s="202"/>
      <c r="Z289" s="202"/>
    </row>
    <row r="290" spans="1:40" x14ac:dyDescent="0.25">
      <c r="L290" s="154"/>
      <c r="M290" s="154"/>
      <c r="AA290" s="154"/>
      <c r="AB290" s="154"/>
    </row>
    <row r="291" spans="1:40" x14ac:dyDescent="0.25">
      <c r="A291" s="202"/>
      <c r="R291" s="154"/>
      <c r="AK291" s="297"/>
      <c r="AL291" s="154"/>
    </row>
    <row r="292" spans="1:40" x14ac:dyDescent="0.25">
      <c r="A292" s="202"/>
      <c r="R292" s="154"/>
      <c r="AK292" s="297"/>
      <c r="AL292" s="154"/>
    </row>
    <row r="293" spans="1:40" x14ac:dyDescent="0.25">
      <c r="A293" s="154"/>
      <c r="R293" s="154"/>
      <c r="AK293" s="297"/>
      <c r="AL293" s="154"/>
    </row>
    <row r="294" spans="1:40" x14ac:dyDescent="0.25">
      <c r="L294" s="154"/>
      <c r="M294" s="154"/>
      <c r="R294" s="202"/>
      <c r="AA294" s="154"/>
      <c r="AB294" s="154"/>
      <c r="AK294" s="209"/>
      <c r="AL294" s="202"/>
    </row>
    <row r="295" spans="1:40" x14ac:dyDescent="0.2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208"/>
      <c r="AH295" s="102"/>
      <c r="AI295" s="102"/>
      <c r="AJ295" s="102"/>
      <c r="AK295" s="208"/>
      <c r="AL295" s="102"/>
      <c r="AM295" s="102"/>
      <c r="AN295" s="102"/>
    </row>
    <row r="296" spans="1:40" x14ac:dyDescent="0.25">
      <c r="L296" s="103"/>
      <c r="M296" s="103"/>
      <c r="N296" s="103"/>
      <c r="O296" s="103"/>
      <c r="R296" s="103"/>
      <c r="AA296" s="103"/>
      <c r="AB296" s="103"/>
      <c r="AC296" s="103"/>
      <c r="AD296" s="103"/>
      <c r="AE296" s="103"/>
      <c r="AF296" s="103"/>
      <c r="AG296" s="185"/>
      <c r="AH296" s="103"/>
      <c r="AK296" s="185"/>
      <c r="AL296" s="103"/>
      <c r="AM296" s="103"/>
      <c r="AN296" s="103"/>
    </row>
    <row r="297" spans="1:40" x14ac:dyDescent="0.25">
      <c r="L297" s="103"/>
      <c r="M297" s="103"/>
      <c r="N297" s="103"/>
      <c r="O297" s="103"/>
      <c r="R297" s="103"/>
      <c r="Z297" s="103"/>
      <c r="AA297" s="103"/>
      <c r="AB297" s="103"/>
      <c r="AC297" s="103"/>
      <c r="AD297" s="103"/>
      <c r="AE297" s="103"/>
      <c r="AF297" s="103"/>
      <c r="AG297" s="185"/>
      <c r="AH297" s="103"/>
      <c r="AK297" s="185"/>
      <c r="AL297" s="103"/>
      <c r="AM297" s="103"/>
      <c r="AN297" s="103"/>
    </row>
    <row r="298" spans="1:40" x14ac:dyDescent="0.25">
      <c r="A298" s="103"/>
      <c r="C298" s="103"/>
      <c r="D298" s="103"/>
      <c r="E298" s="103"/>
      <c r="F298" s="103"/>
      <c r="J298" s="103"/>
      <c r="K298" s="103"/>
      <c r="L298" s="103"/>
      <c r="M298" s="103"/>
      <c r="N298" s="103"/>
      <c r="O298" s="103"/>
      <c r="P298" s="103"/>
      <c r="Q298" s="103"/>
      <c r="R298" s="103"/>
      <c r="T298" s="103"/>
      <c r="U298" s="103"/>
      <c r="V298" s="103"/>
      <c r="Z298" s="103"/>
      <c r="AA298" s="103"/>
      <c r="AB298" s="103"/>
      <c r="AC298" s="103"/>
      <c r="AD298" s="103"/>
      <c r="AE298" s="103"/>
      <c r="AF298" s="103"/>
      <c r="AG298" s="185"/>
      <c r="AH298" s="103"/>
      <c r="AI298" s="103"/>
      <c r="AJ298" s="103"/>
      <c r="AK298" s="185"/>
      <c r="AL298" s="103"/>
      <c r="AM298" s="103"/>
      <c r="AN298" s="103"/>
    </row>
    <row r="299" spans="1:40" x14ac:dyDescent="0.25">
      <c r="A299" s="103"/>
      <c r="C299" s="103"/>
      <c r="D299" s="103"/>
      <c r="E299" s="103"/>
      <c r="F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T299" s="103"/>
      <c r="U299" s="103"/>
      <c r="V299" s="103"/>
      <c r="Y299" s="103"/>
      <c r="Z299" s="103"/>
      <c r="AA299" s="103"/>
      <c r="AB299" s="103"/>
      <c r="AC299" s="103"/>
      <c r="AD299" s="103"/>
      <c r="AE299" s="103"/>
      <c r="AF299" s="103"/>
      <c r="AG299" s="185"/>
      <c r="AH299" s="103"/>
      <c r="AI299" s="103"/>
      <c r="AJ299" s="103"/>
      <c r="AK299" s="185"/>
      <c r="AL299" s="103"/>
      <c r="AM299" s="103"/>
      <c r="AN299" s="103"/>
    </row>
    <row r="300" spans="1:40" x14ac:dyDescent="0.25">
      <c r="C300" s="103"/>
      <c r="D300" s="103"/>
      <c r="E300" s="103"/>
      <c r="F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T300" s="103"/>
      <c r="U300" s="103"/>
      <c r="V300" s="103"/>
      <c r="Y300" s="103"/>
      <c r="Z300" s="103"/>
      <c r="AA300" s="103"/>
      <c r="AB300" s="103"/>
      <c r="AC300" s="103"/>
      <c r="AD300" s="103"/>
      <c r="AE300" s="103"/>
      <c r="AF300" s="103"/>
      <c r="AG300" s="185"/>
      <c r="AH300" s="103"/>
      <c r="AI300" s="103"/>
      <c r="AJ300" s="103"/>
      <c r="AK300" s="185"/>
      <c r="AL300" s="103"/>
      <c r="AM300" s="103"/>
      <c r="AN300" s="103"/>
    </row>
    <row r="301" spans="1:40" x14ac:dyDescent="0.2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208"/>
      <c r="AH301" s="102"/>
      <c r="AI301" s="102"/>
      <c r="AJ301" s="102"/>
      <c r="AK301" s="208"/>
      <c r="AL301" s="102"/>
      <c r="AM301" s="102"/>
      <c r="AN301" s="102"/>
    </row>
    <row r="302" spans="1:40" x14ac:dyDescent="0.25"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Y302" s="103"/>
      <c r="Z302" s="103"/>
      <c r="AA302" s="103"/>
      <c r="AB302" s="103"/>
      <c r="AC302" s="103"/>
      <c r="AD302" s="103"/>
      <c r="AE302" s="103"/>
      <c r="AF302" s="103"/>
      <c r="AG302" s="185"/>
      <c r="AH302" s="103"/>
      <c r="AI302" s="103"/>
      <c r="AJ302" s="103"/>
      <c r="AK302" s="185"/>
      <c r="AL302" s="103"/>
      <c r="AM302" s="103"/>
      <c r="AN302" s="103"/>
    </row>
    <row r="303" spans="1:40" x14ac:dyDescent="0.25">
      <c r="A303" s="202"/>
      <c r="C303" s="154"/>
      <c r="D303" s="154"/>
      <c r="E303" s="154"/>
      <c r="T303" s="154"/>
      <c r="U303" s="154"/>
    </row>
    <row r="304" spans="1:40" x14ac:dyDescent="0.25">
      <c r="A304" s="202"/>
      <c r="C304" s="154"/>
      <c r="T304" s="154"/>
    </row>
    <row r="306" spans="1:40" x14ac:dyDescent="0.25">
      <c r="A306" s="202"/>
      <c r="C306" s="154"/>
      <c r="F306" s="252"/>
      <c r="H306" s="252"/>
      <c r="I306" s="252"/>
      <c r="J306" s="300"/>
      <c r="K306" s="300"/>
      <c r="L306" s="200"/>
      <c r="M306" s="200"/>
      <c r="N306" s="210"/>
      <c r="O306" s="210"/>
      <c r="P306" s="202"/>
      <c r="Q306" s="202"/>
      <c r="R306" s="200"/>
      <c r="T306" s="154"/>
      <c r="V306" s="200"/>
      <c r="Y306" s="252"/>
      <c r="Z306" s="300"/>
      <c r="AA306" s="200"/>
      <c r="AB306" s="200"/>
      <c r="AC306" s="210"/>
      <c r="AD306" s="210"/>
      <c r="AE306" s="200"/>
      <c r="AF306" s="200"/>
      <c r="AG306" s="209"/>
      <c r="AH306" s="201"/>
      <c r="AI306" s="202"/>
      <c r="AJ306" s="202"/>
      <c r="AK306" s="209"/>
      <c r="AL306" s="200"/>
      <c r="AM306" s="210"/>
      <c r="AN306" s="210"/>
    </row>
    <row r="307" spans="1:40" x14ac:dyDescent="0.25">
      <c r="F307" s="211"/>
      <c r="H307" s="200"/>
      <c r="I307" s="200"/>
      <c r="J307" s="305"/>
      <c r="K307" s="305"/>
      <c r="L307" s="211"/>
      <c r="M307" s="211"/>
      <c r="N307" s="211"/>
      <c r="O307" s="211"/>
      <c r="P307" s="211"/>
      <c r="Q307" s="211"/>
      <c r="R307" s="211"/>
      <c r="V307" s="211"/>
      <c r="Y307" s="200"/>
      <c r="Z307" s="305"/>
      <c r="AA307" s="211"/>
      <c r="AB307" s="211"/>
      <c r="AC307" s="211"/>
      <c r="AD307" s="211"/>
      <c r="AE307" s="211"/>
      <c r="AF307" s="211"/>
      <c r="AI307" s="211"/>
      <c r="AJ307" s="211"/>
      <c r="AK307" s="212"/>
      <c r="AL307" s="211"/>
      <c r="AM307" s="210"/>
      <c r="AN307" s="210"/>
    </row>
    <row r="308" spans="1:40" x14ac:dyDescent="0.25">
      <c r="A308" s="202"/>
      <c r="C308" s="154"/>
      <c r="F308" s="252"/>
      <c r="H308" s="252"/>
      <c r="I308" s="252"/>
      <c r="J308" s="328"/>
      <c r="K308" s="328"/>
      <c r="L308" s="200"/>
      <c r="M308" s="200"/>
      <c r="N308" s="210"/>
      <c r="O308" s="210"/>
      <c r="P308" s="200"/>
      <c r="Q308" s="200"/>
      <c r="R308" s="200"/>
      <c r="S308" s="200"/>
      <c r="T308" s="154"/>
      <c r="V308" s="252"/>
      <c r="Y308" s="252"/>
      <c r="Z308" s="328"/>
      <c r="AA308" s="200"/>
      <c r="AB308" s="200"/>
      <c r="AC308" s="210"/>
      <c r="AD308" s="210"/>
      <c r="AE308" s="200"/>
      <c r="AF308" s="200"/>
      <c r="AG308" s="209"/>
      <c r="AH308" s="210"/>
      <c r="AI308" s="200"/>
      <c r="AJ308" s="200"/>
      <c r="AK308" s="209"/>
      <c r="AL308" s="200"/>
      <c r="AM308" s="210"/>
      <c r="AN308" s="210"/>
    </row>
    <row r="309" spans="1:40" x14ac:dyDescent="0.25">
      <c r="A309" s="202"/>
      <c r="C309" s="154"/>
      <c r="F309" s="252"/>
      <c r="H309" s="252"/>
      <c r="I309" s="252"/>
      <c r="J309" s="300"/>
      <c r="K309" s="300"/>
      <c r="L309" s="200"/>
      <c r="M309" s="200"/>
      <c r="N309" s="210"/>
      <c r="O309" s="210"/>
      <c r="P309" s="200"/>
      <c r="Q309" s="200"/>
      <c r="R309" s="200"/>
      <c r="T309" s="154"/>
      <c r="V309" s="252"/>
      <c r="Y309" s="200"/>
      <c r="Z309" s="300"/>
      <c r="AA309" s="200"/>
      <c r="AB309" s="200"/>
      <c r="AC309" s="210"/>
      <c r="AD309" s="210"/>
      <c r="AE309" s="200"/>
      <c r="AF309" s="200"/>
      <c r="AG309" s="209"/>
      <c r="AH309" s="201"/>
      <c r="AI309" s="200"/>
      <c r="AJ309" s="200"/>
      <c r="AK309" s="209"/>
      <c r="AL309" s="200"/>
      <c r="AM309" s="210"/>
      <c r="AN309" s="210"/>
    </row>
    <row r="310" spans="1:40" x14ac:dyDescent="0.25">
      <c r="A310" s="202"/>
      <c r="C310" s="154"/>
      <c r="F310" s="252"/>
      <c r="H310" s="252"/>
      <c r="I310" s="252"/>
      <c r="J310" s="300"/>
      <c r="K310" s="300"/>
      <c r="L310" s="200"/>
      <c r="M310" s="200"/>
      <c r="N310" s="210"/>
      <c r="O310" s="210"/>
      <c r="P310" s="200"/>
      <c r="Q310" s="200"/>
      <c r="R310" s="200"/>
      <c r="T310" s="154"/>
      <c r="V310" s="252"/>
      <c r="Y310" s="200"/>
      <c r="Z310" s="300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F311" s="211"/>
      <c r="H311" s="211"/>
      <c r="I311" s="211"/>
      <c r="J311" s="305"/>
      <c r="K311" s="305"/>
      <c r="L311" s="211"/>
      <c r="M311" s="211"/>
      <c r="N311" s="211"/>
      <c r="O311" s="211"/>
      <c r="P311" s="211"/>
      <c r="Q311" s="211"/>
      <c r="R311" s="211"/>
      <c r="V311" s="211"/>
      <c r="Y311" s="211"/>
      <c r="Z311" s="305"/>
      <c r="AA311" s="211"/>
      <c r="AB311" s="211"/>
      <c r="AC311" s="211"/>
      <c r="AD311" s="211"/>
      <c r="AE311" s="211"/>
      <c r="AF311" s="211"/>
      <c r="AI311" s="211"/>
      <c r="AJ311" s="211"/>
      <c r="AK311" s="212"/>
      <c r="AL311" s="211"/>
      <c r="AM311" s="210"/>
      <c r="AN311" s="210"/>
    </row>
    <row r="312" spans="1:40" x14ac:dyDescent="0.25">
      <c r="A312" s="202"/>
      <c r="C312" s="154"/>
      <c r="F312" s="200"/>
      <c r="H312" s="200"/>
      <c r="I312" s="200"/>
      <c r="J312" s="213"/>
      <c r="K312" s="213"/>
      <c r="L312" s="200"/>
      <c r="M312" s="200"/>
      <c r="N312" s="210"/>
      <c r="O312" s="210"/>
      <c r="P312" s="200"/>
      <c r="Q312" s="200"/>
      <c r="R312" s="200"/>
      <c r="T312" s="154"/>
      <c r="V312" s="200"/>
      <c r="Y312" s="200"/>
      <c r="Z312" s="213"/>
      <c r="AA312" s="200"/>
      <c r="AB312" s="200"/>
      <c r="AC312" s="210"/>
      <c r="AD312" s="210"/>
      <c r="AE312" s="200"/>
      <c r="AF312" s="200"/>
      <c r="AG312" s="209"/>
      <c r="AH312" s="201"/>
      <c r="AI312" s="200"/>
      <c r="AJ312" s="200"/>
      <c r="AK312" s="209"/>
      <c r="AL312" s="200"/>
      <c r="AM312" s="210"/>
      <c r="AN312" s="210"/>
    </row>
    <row r="313" spans="1:40" x14ac:dyDescent="0.25">
      <c r="F313" s="211"/>
      <c r="H313" s="211"/>
      <c r="I313" s="211"/>
      <c r="J313" s="305"/>
      <c r="K313" s="305"/>
      <c r="L313" s="211"/>
      <c r="M313" s="211"/>
      <c r="N313" s="211"/>
      <c r="O313" s="211"/>
      <c r="P313" s="211"/>
      <c r="Q313" s="211"/>
      <c r="R313" s="211"/>
      <c r="V313" s="211"/>
      <c r="Y313" s="211"/>
      <c r="Z313" s="305"/>
      <c r="AA313" s="211"/>
      <c r="AB313" s="211"/>
      <c r="AC313" s="211"/>
      <c r="AD313" s="211"/>
      <c r="AE313" s="211"/>
      <c r="AF313" s="211"/>
      <c r="AI313" s="211"/>
      <c r="AJ313" s="211"/>
      <c r="AK313" s="212"/>
      <c r="AL313" s="211"/>
      <c r="AM313" s="210"/>
      <c r="AN313" s="210"/>
    </row>
    <row r="314" spans="1:40" x14ac:dyDescent="0.25">
      <c r="A314" s="202"/>
      <c r="C314" s="154"/>
      <c r="F314" s="200"/>
      <c r="H314" s="200"/>
      <c r="I314" s="200"/>
      <c r="J314" s="213"/>
      <c r="K314" s="213"/>
      <c r="L314" s="200"/>
      <c r="M314" s="200"/>
      <c r="N314" s="210"/>
      <c r="O314" s="210"/>
      <c r="P314" s="200"/>
      <c r="Q314" s="200"/>
      <c r="R314" s="200"/>
      <c r="T314" s="154"/>
      <c r="V314" s="200"/>
      <c r="Y314" s="200"/>
      <c r="Z314" s="213"/>
      <c r="AA314" s="200"/>
      <c r="AB314" s="200"/>
      <c r="AC314" s="210"/>
      <c r="AD314" s="210"/>
      <c r="AE314" s="200"/>
      <c r="AF314" s="200"/>
      <c r="AG314" s="209"/>
      <c r="AH314" s="201"/>
      <c r="AI314" s="200"/>
      <c r="AJ314" s="200"/>
      <c r="AK314" s="209"/>
      <c r="AL314" s="200"/>
      <c r="AM314" s="210"/>
      <c r="AN314" s="210"/>
    </row>
    <row r="315" spans="1:40" x14ac:dyDescent="0.25">
      <c r="A315" s="202"/>
      <c r="C315" s="154"/>
      <c r="F315" s="200"/>
      <c r="H315" s="252"/>
      <c r="I315" s="252"/>
      <c r="J315" s="320"/>
      <c r="K315" s="320"/>
      <c r="L315" s="200"/>
      <c r="M315" s="200"/>
      <c r="N315" s="210"/>
      <c r="O315" s="210"/>
      <c r="P315" s="200"/>
      <c r="Q315" s="200"/>
      <c r="R315" s="200"/>
      <c r="T315" s="154"/>
      <c r="V315" s="200"/>
      <c r="Y315" s="200"/>
      <c r="Z315" s="304"/>
      <c r="AA315" s="200"/>
      <c r="AB315" s="200"/>
      <c r="AC315" s="210"/>
      <c r="AD315" s="210"/>
      <c r="AE315" s="200"/>
      <c r="AF315" s="200"/>
      <c r="AG315" s="209"/>
      <c r="AH315" s="201"/>
      <c r="AI315" s="200"/>
      <c r="AJ315" s="200"/>
      <c r="AK315" s="209"/>
      <c r="AL315" s="200"/>
      <c r="AM315" s="210"/>
      <c r="AN315" s="210"/>
    </row>
    <row r="316" spans="1:40" x14ac:dyDescent="0.25">
      <c r="F316" s="211"/>
      <c r="H316" s="211"/>
      <c r="I316" s="211"/>
      <c r="J316" s="305"/>
      <c r="K316" s="305"/>
      <c r="L316" s="211"/>
      <c r="M316" s="211"/>
      <c r="N316" s="211"/>
      <c r="O316" s="211"/>
      <c r="P316" s="211"/>
      <c r="Q316" s="211"/>
      <c r="R316" s="211"/>
      <c r="V316" s="211"/>
      <c r="Y316" s="211"/>
      <c r="Z316" s="305"/>
      <c r="AA316" s="211"/>
      <c r="AB316" s="211"/>
      <c r="AC316" s="211"/>
      <c r="AD316" s="211"/>
      <c r="AE316" s="211"/>
      <c r="AF316" s="211"/>
      <c r="AI316" s="211"/>
      <c r="AJ316" s="211"/>
      <c r="AK316" s="212"/>
      <c r="AL316" s="211"/>
      <c r="AM316" s="210"/>
      <c r="AN316" s="210"/>
    </row>
    <row r="318" spans="1:40" x14ac:dyDescent="0.25">
      <c r="A318" s="202"/>
      <c r="C318" s="154"/>
      <c r="F318" s="200"/>
      <c r="H318" s="200"/>
      <c r="I318" s="200"/>
      <c r="J318" s="305"/>
      <c r="K318" s="305"/>
      <c r="L318" s="200"/>
      <c r="M318" s="200"/>
      <c r="N318" s="210"/>
      <c r="O318" s="210"/>
      <c r="P318" s="200"/>
      <c r="Q318" s="200"/>
      <c r="R318" s="200"/>
      <c r="S318" s="200"/>
      <c r="T318" s="154"/>
      <c r="V318" s="200"/>
      <c r="Y318" s="200"/>
      <c r="Z318" s="305"/>
      <c r="AA318" s="200"/>
      <c r="AB318" s="200"/>
      <c r="AC318" s="210"/>
      <c r="AD318" s="210"/>
      <c r="AE318" s="200"/>
      <c r="AF318" s="200"/>
      <c r="AG318" s="209"/>
      <c r="AH318" s="210"/>
      <c r="AI318" s="200"/>
      <c r="AJ318" s="200"/>
      <c r="AK318" s="209"/>
      <c r="AL318" s="200"/>
      <c r="AM318" s="210"/>
      <c r="AN318" s="210"/>
    </row>
    <row r="319" spans="1:40" x14ac:dyDescent="0.25">
      <c r="F319" s="211"/>
      <c r="H319" s="211"/>
      <c r="I319" s="211"/>
      <c r="J319" s="305"/>
      <c r="K319" s="305"/>
      <c r="L319" s="211"/>
      <c r="M319" s="211"/>
      <c r="N319" s="211"/>
      <c r="O319" s="211"/>
      <c r="P319" s="211"/>
      <c r="Q319" s="211"/>
      <c r="R319" s="211"/>
      <c r="S319" s="200"/>
      <c r="V319" s="211"/>
      <c r="Y319" s="211"/>
      <c r="Z319" s="305"/>
      <c r="AA319" s="211"/>
      <c r="AB319" s="211"/>
      <c r="AC319" s="211"/>
      <c r="AD319" s="211"/>
      <c r="AE319" s="211"/>
      <c r="AF319" s="211"/>
      <c r="AI319" s="211"/>
      <c r="AJ319" s="211"/>
      <c r="AK319" s="212"/>
      <c r="AL319" s="211"/>
      <c r="AM319" s="210"/>
      <c r="AN319" s="210"/>
    </row>
    <row r="320" spans="1:40" x14ac:dyDescent="0.25">
      <c r="A320" s="202"/>
      <c r="C320" s="154"/>
      <c r="F320" s="252"/>
      <c r="H320" s="252"/>
      <c r="I320" s="252"/>
      <c r="J320" s="305"/>
      <c r="K320" s="305"/>
      <c r="L320" s="200"/>
      <c r="M320" s="200"/>
      <c r="N320" s="210"/>
      <c r="O320" s="210"/>
      <c r="P320" s="200"/>
      <c r="Q320" s="200"/>
      <c r="R320" s="200"/>
      <c r="S320" s="200"/>
      <c r="T320" s="154"/>
      <c r="V320" s="252"/>
      <c r="Y320" s="252"/>
      <c r="Z320" s="305"/>
      <c r="AA320" s="200"/>
      <c r="AB320" s="200"/>
      <c r="AC320" s="210"/>
      <c r="AD320" s="210"/>
      <c r="AE320" s="200"/>
      <c r="AF320" s="200"/>
      <c r="AI320" s="200"/>
      <c r="AJ320" s="200"/>
      <c r="AK320" s="209"/>
      <c r="AL320" s="200"/>
      <c r="AM320" s="210"/>
      <c r="AN320" s="210"/>
    </row>
    <row r="322" spans="1:40" x14ac:dyDescent="0.25">
      <c r="A322" s="202"/>
      <c r="C322" s="154"/>
      <c r="F322" s="252"/>
      <c r="H322" s="252"/>
      <c r="I322" s="252"/>
      <c r="J322" s="300"/>
      <c r="K322" s="300"/>
      <c r="L322" s="200"/>
      <c r="M322" s="200"/>
      <c r="N322" s="210"/>
      <c r="O322" s="210"/>
      <c r="P322" s="202"/>
      <c r="Q322" s="202"/>
      <c r="R322" s="200"/>
      <c r="T322" s="154"/>
      <c r="V322" s="200"/>
      <c r="Y322" s="252"/>
      <c r="Z322" s="300"/>
      <c r="AA322" s="200"/>
      <c r="AB322" s="200"/>
      <c r="AC322" s="210"/>
      <c r="AD322" s="210"/>
      <c r="AE322" s="200"/>
      <c r="AF322" s="200"/>
      <c r="AG322" s="209"/>
      <c r="AH322" s="201"/>
      <c r="AI322" s="202"/>
      <c r="AJ322" s="202"/>
      <c r="AK322" s="209"/>
      <c r="AL322" s="200"/>
      <c r="AM322" s="210"/>
      <c r="AN322" s="210"/>
    </row>
    <row r="323" spans="1:40" x14ac:dyDescent="0.25">
      <c r="F323" s="211"/>
      <c r="H323" s="200"/>
      <c r="I323" s="200"/>
      <c r="J323" s="305"/>
      <c r="K323" s="305"/>
      <c r="L323" s="211"/>
      <c r="M323" s="211"/>
      <c r="N323" s="211"/>
      <c r="O323" s="211"/>
      <c r="P323" s="211"/>
      <c r="Q323" s="211"/>
      <c r="R323" s="211"/>
      <c r="V323" s="211"/>
      <c r="Y323" s="200"/>
      <c r="Z323" s="305"/>
      <c r="AA323" s="211"/>
      <c r="AB323" s="211"/>
      <c r="AC323" s="211"/>
      <c r="AD323" s="211"/>
      <c r="AE323" s="211"/>
      <c r="AF323" s="211"/>
      <c r="AI323" s="211"/>
      <c r="AJ323" s="211"/>
      <c r="AK323" s="212"/>
      <c r="AL323" s="211"/>
      <c r="AM323" s="210"/>
      <c r="AN323" s="210"/>
    </row>
    <row r="324" spans="1:40" x14ac:dyDescent="0.25">
      <c r="A324" s="202"/>
      <c r="C324" s="154"/>
      <c r="F324" s="252"/>
      <c r="H324" s="252"/>
      <c r="I324" s="252"/>
      <c r="J324" s="328"/>
      <c r="K324" s="328"/>
      <c r="L324" s="200"/>
      <c r="M324" s="200"/>
      <c r="N324" s="210"/>
      <c r="O324" s="210"/>
      <c r="P324" s="200"/>
      <c r="Q324" s="200"/>
      <c r="R324" s="200"/>
      <c r="S324" s="200"/>
      <c r="T324" s="154"/>
      <c r="V324" s="252"/>
      <c r="Y324" s="252"/>
      <c r="Z324" s="328"/>
      <c r="AA324" s="200"/>
      <c r="AB324" s="200"/>
      <c r="AC324" s="210"/>
      <c r="AD324" s="210"/>
      <c r="AE324" s="200"/>
      <c r="AF324" s="200"/>
      <c r="AG324" s="209"/>
      <c r="AH324" s="210"/>
      <c r="AI324" s="200"/>
      <c r="AJ324" s="200"/>
      <c r="AK324" s="209"/>
      <c r="AL324" s="200"/>
      <c r="AM324" s="210"/>
      <c r="AN324" s="210"/>
    </row>
    <row r="325" spans="1:40" x14ac:dyDescent="0.25">
      <c r="A325" s="202"/>
      <c r="C325" s="154"/>
      <c r="F325" s="252"/>
      <c r="H325" s="252"/>
      <c r="I325" s="252"/>
      <c r="J325" s="300"/>
      <c r="K325" s="300"/>
      <c r="L325" s="200"/>
      <c r="M325" s="200"/>
      <c r="N325" s="210"/>
      <c r="O325" s="210"/>
      <c r="P325" s="200"/>
      <c r="Q325" s="200"/>
      <c r="R325" s="200"/>
      <c r="T325" s="154"/>
      <c r="V325" s="252"/>
      <c r="Y325" s="200"/>
      <c r="Z325" s="300"/>
      <c r="AA325" s="200"/>
      <c r="AB325" s="200"/>
      <c r="AC325" s="210"/>
      <c r="AD325" s="210"/>
      <c r="AE325" s="200"/>
      <c r="AF325" s="200"/>
      <c r="AG325" s="209"/>
      <c r="AH325" s="201"/>
      <c r="AI325" s="200"/>
      <c r="AJ325" s="200"/>
      <c r="AK325" s="209"/>
      <c r="AL325" s="200"/>
      <c r="AM325" s="210"/>
      <c r="AN325" s="210"/>
    </row>
    <row r="326" spans="1:40" x14ac:dyDescent="0.25">
      <c r="A326" s="202"/>
      <c r="C326" s="154"/>
      <c r="F326" s="252"/>
      <c r="H326" s="252"/>
      <c r="I326" s="252"/>
      <c r="J326" s="300"/>
      <c r="K326" s="300"/>
      <c r="L326" s="200"/>
      <c r="M326" s="200"/>
      <c r="N326" s="210"/>
      <c r="O326" s="210"/>
      <c r="P326" s="200"/>
      <c r="Q326" s="200"/>
      <c r="R326" s="200"/>
      <c r="T326" s="154"/>
      <c r="V326" s="252"/>
      <c r="Y326" s="200"/>
      <c r="Z326" s="300"/>
      <c r="AA326" s="200"/>
      <c r="AB326" s="200"/>
      <c r="AC326" s="210"/>
      <c r="AD326" s="210"/>
      <c r="AE326" s="200"/>
      <c r="AF326" s="200"/>
      <c r="AG326" s="209"/>
      <c r="AH326" s="201"/>
      <c r="AI326" s="200"/>
      <c r="AJ326" s="200"/>
      <c r="AK326" s="209"/>
      <c r="AL326" s="200"/>
      <c r="AM326" s="210"/>
      <c r="AN326" s="210"/>
    </row>
    <row r="327" spans="1:40" x14ac:dyDescent="0.25">
      <c r="F327" s="211"/>
      <c r="H327" s="211"/>
      <c r="I327" s="211"/>
      <c r="J327" s="305"/>
      <c r="K327" s="305"/>
      <c r="L327" s="211"/>
      <c r="M327" s="211"/>
      <c r="N327" s="211"/>
      <c r="O327" s="211"/>
      <c r="P327" s="211"/>
      <c r="Q327" s="211"/>
      <c r="R327" s="211"/>
      <c r="V327" s="211"/>
      <c r="Y327" s="211"/>
      <c r="Z327" s="305"/>
      <c r="AA327" s="211"/>
      <c r="AB327" s="211"/>
      <c r="AC327" s="211"/>
      <c r="AD327" s="211"/>
      <c r="AE327" s="211"/>
      <c r="AF327" s="211"/>
      <c r="AI327" s="211"/>
      <c r="AJ327" s="211"/>
      <c r="AK327" s="212"/>
      <c r="AL327" s="211"/>
      <c r="AM327" s="210"/>
      <c r="AN327" s="210"/>
    </row>
    <row r="328" spans="1:40" x14ac:dyDescent="0.25">
      <c r="A328" s="202"/>
      <c r="C328" s="154"/>
      <c r="F328" s="200"/>
      <c r="H328" s="200"/>
      <c r="I328" s="200"/>
      <c r="J328" s="213"/>
      <c r="K328" s="213"/>
      <c r="L328" s="200"/>
      <c r="M328" s="200"/>
      <c r="N328" s="210"/>
      <c r="O328" s="210"/>
      <c r="P328" s="200"/>
      <c r="Q328" s="200"/>
      <c r="R328" s="200"/>
      <c r="T328" s="154"/>
      <c r="V328" s="200"/>
      <c r="Y328" s="200"/>
      <c r="Z328" s="213"/>
      <c r="AA328" s="200"/>
      <c r="AB328" s="200"/>
      <c r="AC328" s="210"/>
      <c r="AD328" s="210"/>
      <c r="AE328" s="200"/>
      <c r="AF328" s="200"/>
      <c r="AG328" s="209"/>
      <c r="AH328" s="201"/>
      <c r="AI328" s="200"/>
      <c r="AJ328" s="200"/>
      <c r="AK328" s="209"/>
      <c r="AL328" s="200"/>
      <c r="AM328" s="210"/>
      <c r="AN328" s="210"/>
    </row>
    <row r="329" spans="1:40" x14ac:dyDescent="0.25">
      <c r="F329" s="211"/>
      <c r="H329" s="211"/>
      <c r="I329" s="211"/>
      <c r="J329" s="305"/>
      <c r="K329" s="305"/>
      <c r="L329" s="211"/>
      <c r="M329" s="211"/>
      <c r="N329" s="211"/>
      <c r="O329" s="211"/>
      <c r="P329" s="211"/>
      <c r="Q329" s="211"/>
      <c r="R329" s="211"/>
      <c r="V329" s="211"/>
      <c r="Y329" s="211"/>
      <c r="Z329" s="305"/>
      <c r="AA329" s="211"/>
      <c r="AB329" s="211"/>
      <c r="AC329" s="211"/>
      <c r="AD329" s="211"/>
      <c r="AE329" s="211"/>
      <c r="AF329" s="211"/>
      <c r="AI329" s="211"/>
      <c r="AJ329" s="211"/>
      <c r="AK329" s="212"/>
      <c r="AL329" s="211"/>
      <c r="AM329" s="210"/>
      <c r="AN329" s="210"/>
    </row>
    <row r="330" spans="1:40" x14ac:dyDescent="0.25">
      <c r="A330" s="202"/>
      <c r="C330" s="154"/>
      <c r="F330" s="200"/>
      <c r="H330" s="200"/>
      <c r="I330" s="200"/>
      <c r="J330" s="213"/>
      <c r="K330" s="213"/>
      <c r="L330" s="200"/>
      <c r="M330" s="200"/>
      <c r="N330" s="210"/>
      <c r="O330" s="210"/>
      <c r="P330" s="200"/>
      <c r="Q330" s="200"/>
      <c r="R330" s="200"/>
      <c r="T330" s="154"/>
      <c r="V330" s="200"/>
      <c r="Y330" s="200"/>
      <c r="Z330" s="213"/>
      <c r="AA330" s="200"/>
      <c r="AB330" s="200"/>
      <c r="AC330" s="210"/>
      <c r="AD330" s="210"/>
      <c r="AE330" s="200"/>
      <c r="AF330" s="200"/>
      <c r="AG330" s="209"/>
      <c r="AH330" s="201"/>
      <c r="AI330" s="200"/>
      <c r="AJ330" s="200"/>
      <c r="AK330" s="209"/>
      <c r="AL330" s="200"/>
      <c r="AM330" s="210"/>
      <c r="AN330" s="210"/>
    </row>
    <row r="331" spans="1:40" x14ac:dyDescent="0.25">
      <c r="A331" s="202"/>
      <c r="C331" s="154"/>
      <c r="F331" s="200"/>
      <c r="H331" s="252"/>
      <c r="I331" s="252"/>
      <c r="J331" s="320"/>
      <c r="K331" s="320"/>
      <c r="L331" s="200"/>
      <c r="M331" s="200"/>
      <c r="N331" s="210"/>
      <c r="O331" s="210"/>
      <c r="P331" s="200"/>
      <c r="Q331" s="200"/>
      <c r="R331" s="200"/>
      <c r="T331" s="154"/>
      <c r="V331" s="200"/>
      <c r="Y331" s="200"/>
      <c r="Z331" s="304"/>
      <c r="AA331" s="200"/>
      <c r="AB331" s="200"/>
      <c r="AC331" s="210"/>
      <c r="AD331" s="210"/>
      <c r="AE331" s="200"/>
      <c r="AF331" s="200"/>
      <c r="AG331" s="209"/>
      <c r="AH331" s="201"/>
      <c r="AI331" s="200"/>
      <c r="AJ331" s="200"/>
      <c r="AK331" s="209"/>
      <c r="AL331" s="200"/>
      <c r="AM331" s="210"/>
      <c r="AN331" s="210"/>
    </row>
    <row r="332" spans="1:40" x14ac:dyDescent="0.25">
      <c r="F332" s="211"/>
      <c r="H332" s="211"/>
      <c r="I332" s="211"/>
      <c r="J332" s="305"/>
      <c r="K332" s="305"/>
      <c r="L332" s="211"/>
      <c r="M332" s="211"/>
      <c r="N332" s="211"/>
      <c r="O332" s="211"/>
      <c r="P332" s="211"/>
      <c r="Q332" s="211"/>
      <c r="R332" s="211"/>
      <c r="V332" s="211"/>
      <c r="Y332" s="211"/>
      <c r="Z332" s="305"/>
      <c r="AA332" s="211"/>
      <c r="AB332" s="211"/>
      <c r="AC332" s="211"/>
      <c r="AD332" s="211"/>
      <c r="AE332" s="211"/>
      <c r="AF332" s="211"/>
      <c r="AI332" s="211"/>
      <c r="AJ332" s="211"/>
      <c r="AK332" s="212"/>
      <c r="AL332" s="211"/>
      <c r="AM332" s="210"/>
      <c r="AN332" s="210"/>
    </row>
    <row r="334" spans="1:40" x14ac:dyDescent="0.25">
      <c r="A334" s="202"/>
      <c r="C334" s="154"/>
      <c r="F334" s="200"/>
      <c r="H334" s="200"/>
      <c r="I334" s="200"/>
      <c r="J334" s="305"/>
      <c r="K334" s="305"/>
      <c r="L334" s="200"/>
      <c r="M334" s="200"/>
      <c r="N334" s="210"/>
      <c r="O334" s="210"/>
      <c r="P334" s="200"/>
      <c r="Q334" s="200"/>
      <c r="R334" s="200"/>
      <c r="S334" s="200"/>
      <c r="T334" s="154"/>
      <c r="V334" s="200"/>
      <c r="Y334" s="200"/>
      <c r="Z334" s="305"/>
      <c r="AA334" s="200"/>
      <c r="AB334" s="200"/>
      <c r="AC334" s="210"/>
      <c r="AD334" s="210"/>
      <c r="AE334" s="200"/>
      <c r="AF334" s="200"/>
      <c r="AG334" s="209"/>
      <c r="AH334" s="210"/>
      <c r="AI334" s="200"/>
      <c r="AJ334" s="200"/>
      <c r="AK334" s="209"/>
      <c r="AL334" s="200"/>
      <c r="AM334" s="210"/>
      <c r="AN334" s="210"/>
    </row>
    <row r="335" spans="1:40" x14ac:dyDescent="0.25">
      <c r="F335" s="211"/>
      <c r="H335" s="211"/>
      <c r="I335" s="211"/>
      <c r="J335" s="305"/>
      <c r="K335" s="305"/>
      <c r="L335" s="211"/>
      <c r="M335" s="211"/>
      <c r="N335" s="211"/>
      <c r="O335" s="211"/>
      <c r="P335" s="211"/>
      <c r="Q335" s="211"/>
      <c r="R335" s="211"/>
      <c r="S335" s="200"/>
      <c r="V335" s="211"/>
      <c r="Y335" s="211"/>
      <c r="Z335" s="305"/>
      <c r="AA335" s="211"/>
      <c r="AB335" s="211"/>
      <c r="AC335" s="211"/>
      <c r="AD335" s="211"/>
      <c r="AE335" s="211"/>
      <c r="AF335" s="211"/>
      <c r="AI335" s="211"/>
      <c r="AJ335" s="211"/>
      <c r="AK335" s="212"/>
      <c r="AL335" s="211"/>
      <c r="AM335" s="210"/>
      <c r="AN335" s="210"/>
    </row>
    <row r="336" spans="1:40" x14ac:dyDescent="0.25">
      <c r="A336" s="202"/>
      <c r="C336" s="154"/>
      <c r="T336" s="154"/>
    </row>
    <row r="337" spans="1:40" x14ac:dyDescent="0.25">
      <c r="A337" s="202"/>
      <c r="C337" s="154"/>
      <c r="F337" s="200"/>
      <c r="H337" s="200"/>
      <c r="I337" s="200"/>
      <c r="L337" s="200"/>
      <c r="M337" s="200"/>
      <c r="N337" s="210"/>
      <c r="O337" s="210"/>
      <c r="P337" s="252"/>
      <c r="Q337" s="252"/>
      <c r="R337" s="200"/>
      <c r="T337" s="154"/>
      <c r="V337" s="200"/>
      <c r="Y337" s="200"/>
      <c r="AA337" s="200"/>
      <c r="AB337" s="200"/>
      <c r="AC337" s="210"/>
      <c r="AD337" s="210"/>
      <c r="AE337" s="200"/>
      <c r="AF337" s="200"/>
      <c r="AG337" s="209"/>
      <c r="AH337" s="210"/>
      <c r="AI337" s="252"/>
      <c r="AJ337" s="252"/>
      <c r="AK337" s="209"/>
      <c r="AL337" s="200"/>
      <c r="AM337" s="210"/>
      <c r="AN337" s="210"/>
    </row>
    <row r="338" spans="1:40" x14ac:dyDescent="0.25">
      <c r="F338" s="211"/>
      <c r="H338" s="211"/>
      <c r="I338" s="211"/>
      <c r="J338" s="305"/>
      <c r="K338" s="305"/>
      <c r="L338" s="211"/>
      <c r="M338" s="211"/>
      <c r="N338" s="211"/>
      <c r="O338" s="211"/>
      <c r="P338" s="211"/>
      <c r="Q338" s="211"/>
      <c r="R338" s="211"/>
      <c r="V338" s="211"/>
      <c r="Y338" s="211"/>
      <c r="Z338" s="305"/>
      <c r="AA338" s="211"/>
      <c r="AB338" s="211"/>
      <c r="AC338" s="211"/>
      <c r="AD338" s="211"/>
      <c r="AE338" s="211"/>
      <c r="AF338" s="211"/>
      <c r="AI338" s="211"/>
      <c r="AJ338" s="211"/>
      <c r="AK338" s="212"/>
      <c r="AL338" s="211"/>
    </row>
    <row r="340" spans="1:40" x14ac:dyDescent="0.25">
      <c r="C340" s="154"/>
      <c r="L340" s="200"/>
      <c r="M340" s="200"/>
      <c r="N340" s="200"/>
      <c r="O340" s="200"/>
      <c r="P340" s="200"/>
      <c r="Q340" s="200"/>
      <c r="R340" s="200"/>
      <c r="S340" s="200"/>
      <c r="T340" s="154"/>
      <c r="AA340" s="200"/>
      <c r="AB340" s="200"/>
      <c r="AC340" s="200"/>
      <c r="AD340" s="200"/>
      <c r="AI340" s="200"/>
      <c r="AJ340" s="200"/>
      <c r="AK340" s="209"/>
      <c r="AL340" s="200"/>
    </row>
    <row r="341" spans="1:40" x14ac:dyDescent="0.25">
      <c r="A341" s="154"/>
    </row>
    <row r="342" spans="1:40" x14ac:dyDescent="0.25">
      <c r="J342" s="202"/>
      <c r="K342" s="202"/>
      <c r="Z342" s="202"/>
    </row>
    <row r="343" spans="1:40" x14ac:dyDescent="0.25">
      <c r="H343" s="154"/>
      <c r="I343" s="154"/>
      <c r="Y343" s="154"/>
    </row>
    <row r="344" spans="1:40" x14ac:dyDescent="0.25">
      <c r="J344" s="202"/>
      <c r="K344" s="202"/>
      <c r="Z344" s="202"/>
    </row>
    <row r="345" spans="1:40" x14ac:dyDescent="0.25">
      <c r="L345" s="154"/>
      <c r="M345" s="154"/>
      <c r="AA345" s="154"/>
      <c r="AB345" s="154"/>
    </row>
    <row r="346" spans="1:40" x14ac:dyDescent="0.25">
      <c r="A346" s="202"/>
      <c r="R346" s="154"/>
      <c r="AK346" s="297"/>
      <c r="AL346" s="154"/>
    </row>
    <row r="347" spans="1:40" x14ac:dyDescent="0.25">
      <c r="A347" s="202"/>
      <c r="R347" s="154"/>
      <c r="AK347" s="297"/>
      <c r="AL347" s="154"/>
    </row>
    <row r="348" spans="1:40" x14ac:dyDescent="0.25">
      <c r="A348" s="154"/>
      <c r="R348" s="154"/>
      <c r="AK348" s="297"/>
      <c r="AL348" s="154"/>
    </row>
    <row r="349" spans="1:40" x14ac:dyDescent="0.25">
      <c r="L349" s="154"/>
      <c r="M349" s="154"/>
      <c r="R349" s="202"/>
      <c r="AA349" s="154"/>
      <c r="AB349" s="154"/>
      <c r="AK349" s="209"/>
      <c r="AL349" s="202"/>
    </row>
    <row r="350" spans="1:40" x14ac:dyDescent="0.2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208"/>
      <c r="AH350" s="102"/>
      <c r="AI350" s="102"/>
      <c r="AJ350" s="102"/>
      <c r="AK350" s="208"/>
      <c r="AL350" s="102"/>
      <c r="AM350" s="102"/>
      <c r="AN350" s="102"/>
    </row>
    <row r="351" spans="1:40" x14ac:dyDescent="0.25">
      <c r="L351" s="103"/>
      <c r="M351" s="103"/>
      <c r="N351" s="103"/>
      <c r="O351" s="103"/>
      <c r="R351" s="103"/>
      <c r="AA351" s="103"/>
      <c r="AB351" s="103"/>
      <c r="AC351" s="103"/>
      <c r="AD351" s="103"/>
      <c r="AE351" s="103"/>
      <c r="AF351" s="103"/>
      <c r="AG351" s="185"/>
      <c r="AH351" s="103"/>
      <c r="AK351" s="185"/>
      <c r="AL351" s="103"/>
      <c r="AM351" s="103"/>
      <c r="AN351" s="103"/>
    </row>
    <row r="352" spans="1:40" x14ac:dyDescent="0.25">
      <c r="L352" s="103"/>
      <c r="M352" s="103"/>
      <c r="N352" s="103"/>
      <c r="O352" s="103"/>
      <c r="R352" s="103"/>
      <c r="Z352" s="103"/>
      <c r="AA352" s="103"/>
      <c r="AB352" s="103"/>
      <c r="AC352" s="103"/>
      <c r="AD352" s="103"/>
      <c r="AE352" s="103"/>
      <c r="AF352" s="103"/>
      <c r="AG352" s="185"/>
      <c r="AH352" s="103"/>
      <c r="AK352" s="185"/>
      <c r="AL352" s="103"/>
      <c r="AM352" s="103"/>
      <c r="AN352" s="103"/>
    </row>
    <row r="353" spans="1:40" x14ac:dyDescent="0.25">
      <c r="A353" s="103"/>
      <c r="C353" s="103"/>
      <c r="D353" s="103"/>
      <c r="E353" s="103"/>
      <c r="F353" s="103"/>
      <c r="J353" s="103"/>
      <c r="K353" s="103"/>
      <c r="L353" s="103"/>
      <c r="M353" s="103"/>
      <c r="N353" s="103"/>
      <c r="O353" s="103"/>
      <c r="P353" s="103"/>
      <c r="Q353" s="103"/>
      <c r="R353" s="103"/>
      <c r="T353" s="103"/>
      <c r="U353" s="103"/>
      <c r="V353" s="103"/>
      <c r="Z353" s="103"/>
      <c r="AA353" s="103"/>
      <c r="AB353" s="103"/>
      <c r="AC353" s="103"/>
      <c r="AD353" s="103"/>
      <c r="AE353" s="103"/>
      <c r="AF353" s="103"/>
      <c r="AG353" s="185"/>
      <c r="AH353" s="103"/>
      <c r="AI353" s="103"/>
      <c r="AJ353" s="103"/>
      <c r="AK353" s="185"/>
      <c r="AL353" s="103"/>
      <c r="AM353" s="103"/>
      <c r="AN353" s="103"/>
    </row>
    <row r="354" spans="1:40" x14ac:dyDescent="0.25">
      <c r="A354" s="103"/>
      <c r="C354" s="103"/>
      <c r="D354" s="103"/>
      <c r="E354" s="103"/>
      <c r="F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T354" s="103"/>
      <c r="U354" s="103"/>
      <c r="V354" s="103"/>
      <c r="Y354" s="103"/>
      <c r="Z354" s="103"/>
      <c r="AA354" s="103"/>
      <c r="AB354" s="103"/>
      <c r="AC354" s="103"/>
      <c r="AD354" s="103"/>
      <c r="AE354" s="103"/>
      <c r="AF354" s="103"/>
      <c r="AG354" s="185"/>
      <c r="AH354" s="103"/>
      <c r="AI354" s="103"/>
      <c r="AJ354" s="103"/>
      <c r="AK354" s="185"/>
      <c r="AL354" s="103"/>
      <c r="AM354" s="103"/>
      <c r="AN354" s="103"/>
    </row>
    <row r="355" spans="1:40" x14ac:dyDescent="0.25">
      <c r="C355" s="103"/>
      <c r="D355" s="103"/>
      <c r="E355" s="103"/>
      <c r="F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T355" s="103"/>
      <c r="U355" s="103"/>
      <c r="V355" s="103"/>
      <c r="Y355" s="103"/>
      <c r="Z355" s="103"/>
      <c r="AA355" s="103"/>
      <c r="AB355" s="103"/>
      <c r="AC355" s="103"/>
      <c r="AD355" s="103"/>
      <c r="AE355" s="103"/>
      <c r="AF355" s="103"/>
      <c r="AG355" s="185"/>
      <c r="AH355" s="103"/>
      <c r="AI355" s="103"/>
      <c r="AJ355" s="103"/>
      <c r="AK355" s="185"/>
      <c r="AL355" s="103"/>
      <c r="AM355" s="103"/>
      <c r="AN355" s="103"/>
    </row>
    <row r="356" spans="1:40" x14ac:dyDescent="0.2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208"/>
      <c r="AH356" s="102"/>
      <c r="AI356" s="102"/>
      <c r="AJ356" s="102"/>
      <c r="AK356" s="208"/>
      <c r="AL356" s="102"/>
      <c r="AM356" s="102"/>
      <c r="AN356" s="102"/>
    </row>
    <row r="357" spans="1:40" x14ac:dyDescent="0.25"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Y357" s="103"/>
      <c r="Z357" s="103"/>
      <c r="AA357" s="103"/>
      <c r="AB357" s="103"/>
      <c r="AC357" s="103"/>
      <c r="AD357" s="103"/>
      <c r="AE357" s="103"/>
      <c r="AF357" s="103"/>
      <c r="AG357" s="185"/>
      <c r="AH357" s="103"/>
      <c r="AI357" s="103"/>
      <c r="AJ357" s="103"/>
      <c r="AK357" s="185"/>
      <c r="AL357" s="103"/>
      <c r="AM357" s="103"/>
      <c r="AN357" s="103"/>
    </row>
    <row r="358" spans="1:40" x14ac:dyDescent="0.25">
      <c r="A358" s="202"/>
      <c r="C358" s="154"/>
      <c r="D358" s="154"/>
      <c r="E358" s="154"/>
      <c r="T358" s="154"/>
      <c r="U358" s="154"/>
    </row>
    <row r="359" spans="1:40" x14ac:dyDescent="0.25">
      <c r="D359" s="154"/>
      <c r="E359" s="154"/>
      <c r="U359" s="154"/>
    </row>
    <row r="361" spans="1:40" x14ac:dyDescent="0.25">
      <c r="A361" s="202"/>
      <c r="C361" s="154"/>
      <c r="T361" s="154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52"/>
      <c r="W362" s="200"/>
      <c r="X362" s="200"/>
      <c r="Y362" s="252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00"/>
      <c r="H363" s="200"/>
      <c r="I363" s="200"/>
      <c r="J363" s="305"/>
      <c r="K363" s="305"/>
      <c r="L363" s="200"/>
      <c r="M363" s="200"/>
      <c r="N363" s="210"/>
      <c r="O363" s="210"/>
      <c r="P363" s="200"/>
      <c r="Q363" s="200"/>
      <c r="R363" s="200"/>
      <c r="T363" s="154"/>
      <c r="V363" s="252"/>
      <c r="W363" s="200"/>
      <c r="X363" s="200"/>
      <c r="Y363" s="252"/>
      <c r="Z363" s="305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A364" s="202"/>
      <c r="C364" s="154"/>
      <c r="F364" s="252"/>
      <c r="H364" s="252"/>
      <c r="I364" s="252"/>
      <c r="J364" s="329"/>
      <c r="K364" s="329"/>
      <c r="L364" s="200"/>
      <c r="M364" s="200"/>
      <c r="N364" s="210"/>
      <c r="O364" s="210"/>
      <c r="P364" s="200"/>
      <c r="Q364" s="200"/>
      <c r="R364" s="200"/>
      <c r="T364" s="154"/>
      <c r="V364" s="252"/>
      <c r="W364" s="200"/>
      <c r="X364" s="200"/>
      <c r="Y364" s="252"/>
      <c r="Z364" s="329"/>
      <c r="AA364" s="200"/>
      <c r="AB364" s="200"/>
      <c r="AC364" s="210"/>
      <c r="AD364" s="210"/>
      <c r="AE364" s="200"/>
      <c r="AF364" s="200"/>
      <c r="AG364" s="209"/>
      <c r="AH364" s="201"/>
      <c r="AI364" s="200"/>
      <c r="AJ364" s="200"/>
      <c r="AK364" s="209"/>
      <c r="AL364" s="200"/>
      <c r="AM364" s="210"/>
      <c r="AN364" s="210"/>
    </row>
    <row r="365" spans="1:40" x14ac:dyDescent="0.25">
      <c r="A365" s="202"/>
      <c r="C365" s="154"/>
      <c r="F365" s="252"/>
      <c r="H365" s="252"/>
      <c r="I365" s="252"/>
      <c r="J365" s="329"/>
      <c r="K365" s="329"/>
      <c r="L365" s="200"/>
      <c r="M365" s="200"/>
      <c r="N365" s="210"/>
      <c r="O365" s="210"/>
      <c r="P365" s="200"/>
      <c r="Q365" s="200"/>
      <c r="R365" s="200"/>
      <c r="T365" s="154"/>
      <c r="V365" s="252"/>
      <c r="W365" s="200"/>
      <c r="X365" s="200"/>
      <c r="Y365" s="252"/>
      <c r="Z365" s="329"/>
      <c r="AA365" s="200"/>
      <c r="AB365" s="200"/>
      <c r="AC365" s="210"/>
      <c r="AD365" s="21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A366" s="202"/>
      <c r="C366" s="154"/>
      <c r="F366" s="252"/>
      <c r="H366" s="252"/>
      <c r="I366" s="252"/>
      <c r="J366" s="329"/>
      <c r="K366" s="329"/>
      <c r="L366" s="200"/>
      <c r="M366" s="200"/>
      <c r="N366" s="210"/>
      <c r="O366" s="210"/>
      <c r="P366" s="200"/>
      <c r="Q366" s="200"/>
      <c r="R366" s="200"/>
      <c r="T366" s="154"/>
      <c r="V366" s="252"/>
      <c r="W366" s="200"/>
      <c r="X366" s="200"/>
      <c r="Y366" s="252"/>
      <c r="Z366" s="329"/>
      <c r="AA366" s="200"/>
      <c r="AB366" s="200"/>
      <c r="AC366" s="210"/>
      <c r="AD366" s="210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A367" s="202"/>
      <c r="C367" s="154"/>
      <c r="F367" s="200"/>
      <c r="H367" s="200"/>
      <c r="I367" s="200"/>
      <c r="J367" s="329"/>
      <c r="K367" s="329"/>
      <c r="L367" s="200"/>
      <c r="M367" s="200"/>
      <c r="N367" s="210"/>
      <c r="O367" s="210"/>
      <c r="P367" s="200"/>
      <c r="Q367" s="200"/>
      <c r="R367" s="200"/>
      <c r="T367" s="154"/>
      <c r="V367" s="252"/>
      <c r="W367" s="200"/>
      <c r="X367" s="200"/>
      <c r="Y367" s="252"/>
      <c r="Z367" s="329"/>
      <c r="AA367" s="200"/>
      <c r="AB367" s="200"/>
      <c r="AC367" s="210"/>
      <c r="AD367" s="210"/>
      <c r="AE367" s="200"/>
      <c r="AF367" s="200"/>
      <c r="AG367" s="209"/>
      <c r="AH367" s="201"/>
      <c r="AI367" s="200"/>
      <c r="AJ367" s="200"/>
      <c r="AK367" s="209"/>
      <c r="AL367" s="200"/>
      <c r="AM367" s="210"/>
      <c r="AN367" s="210"/>
    </row>
    <row r="368" spans="1:40" x14ac:dyDescent="0.25">
      <c r="A368" s="202"/>
      <c r="C368" s="154"/>
      <c r="F368" s="200"/>
      <c r="H368" s="200"/>
      <c r="I368" s="200"/>
      <c r="J368" s="329"/>
      <c r="K368" s="329"/>
      <c r="L368" s="200"/>
      <c r="M368" s="200"/>
      <c r="N368" s="210"/>
      <c r="O368" s="210"/>
      <c r="P368" s="200"/>
      <c r="Q368" s="200"/>
      <c r="R368" s="200"/>
      <c r="T368" s="154"/>
      <c r="V368" s="252"/>
      <c r="W368" s="200"/>
      <c r="X368" s="200"/>
      <c r="Y368" s="252"/>
      <c r="Z368" s="329"/>
      <c r="AA368" s="200"/>
      <c r="AB368" s="200"/>
      <c r="AC368" s="210"/>
      <c r="AD368" s="21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F369" s="331"/>
      <c r="H369" s="332"/>
      <c r="I369" s="332"/>
      <c r="J369" s="329"/>
      <c r="K369" s="329"/>
      <c r="L369" s="331"/>
      <c r="M369" s="331"/>
      <c r="N369" s="211"/>
      <c r="O369" s="211"/>
      <c r="P369" s="331"/>
      <c r="Q369" s="331"/>
      <c r="R369" s="331"/>
      <c r="V369" s="331"/>
      <c r="W369" s="200"/>
      <c r="X369" s="200"/>
      <c r="Y369" s="331"/>
      <c r="Z369" s="329"/>
      <c r="AA369" s="331"/>
      <c r="AB369" s="331"/>
      <c r="AC369" s="333"/>
      <c r="AD369" s="333"/>
      <c r="AE369" s="331"/>
      <c r="AF369" s="331"/>
      <c r="AG369" s="209"/>
      <c r="AH369" s="201"/>
      <c r="AI369" s="331"/>
      <c r="AJ369" s="331"/>
      <c r="AK369" s="208"/>
      <c r="AL369" s="331"/>
      <c r="AM369" s="210"/>
      <c r="AN369" s="210"/>
    </row>
    <row r="370" spans="1:40" x14ac:dyDescent="0.25">
      <c r="A370" s="202"/>
      <c r="C370" s="154"/>
      <c r="F370" s="200"/>
      <c r="H370" s="200"/>
      <c r="I370" s="200"/>
      <c r="J370" s="329"/>
      <c r="K370" s="329"/>
      <c r="L370" s="200"/>
      <c r="M370" s="200"/>
      <c r="N370" s="201"/>
      <c r="O370" s="201"/>
      <c r="P370" s="200"/>
      <c r="Q370" s="200"/>
      <c r="R370" s="200"/>
      <c r="T370" s="103"/>
      <c r="V370" s="200"/>
      <c r="W370" s="200"/>
      <c r="X370" s="200"/>
      <c r="Y370" s="200"/>
      <c r="Z370" s="329"/>
      <c r="AA370" s="200"/>
      <c r="AB370" s="200"/>
      <c r="AC370" s="201"/>
      <c r="AD370" s="201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F371" s="102"/>
      <c r="H371" s="102"/>
      <c r="I371" s="102"/>
      <c r="L371" s="102"/>
      <c r="M371" s="102"/>
      <c r="N371" s="333"/>
      <c r="O371" s="333"/>
      <c r="P371" s="331"/>
      <c r="Q371" s="331"/>
      <c r="R371" s="331"/>
      <c r="V371" s="331"/>
      <c r="Y371" s="331"/>
      <c r="Z371" s="305"/>
      <c r="AA371" s="331"/>
      <c r="AB371" s="331"/>
      <c r="AC371" s="331"/>
      <c r="AD371" s="331"/>
      <c r="AE371" s="331"/>
      <c r="AF371" s="331"/>
      <c r="AI371" s="331"/>
      <c r="AJ371" s="331"/>
      <c r="AK371" s="208"/>
      <c r="AL371" s="331"/>
      <c r="AM371" s="333"/>
      <c r="AN371" s="333"/>
    </row>
    <row r="372" spans="1:40" x14ac:dyDescent="0.25">
      <c r="AI372" s="202"/>
      <c r="AJ372" s="202"/>
    </row>
    <row r="376" spans="1:40" x14ac:dyDescent="0.25">
      <c r="N376" s="200"/>
      <c r="O376" s="200"/>
      <c r="P376" s="200"/>
      <c r="Q376" s="200"/>
      <c r="R376" s="200"/>
      <c r="V376" s="200"/>
      <c r="Y376" s="200"/>
      <c r="Z376" s="213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A377" s="202"/>
      <c r="C377" s="154"/>
      <c r="D377" s="154"/>
      <c r="E377" s="154"/>
      <c r="J377" s="334"/>
      <c r="K377" s="334"/>
      <c r="T377" s="154"/>
      <c r="U377" s="154"/>
      <c r="Z377" s="334"/>
      <c r="AE377" s="200"/>
      <c r="AF377" s="200"/>
      <c r="AI377" s="200"/>
      <c r="AJ377" s="200"/>
      <c r="AK377" s="209"/>
      <c r="AL377" s="200"/>
      <c r="AM377" s="210"/>
      <c r="AN377" s="210"/>
    </row>
    <row r="378" spans="1:40" x14ac:dyDescent="0.25">
      <c r="D378" s="154"/>
      <c r="E378" s="154"/>
      <c r="F378" s="200"/>
      <c r="H378" s="200"/>
      <c r="I378" s="200"/>
      <c r="J378" s="329"/>
      <c r="K378" s="329"/>
      <c r="L378" s="200"/>
      <c r="M378" s="200"/>
      <c r="N378" s="210"/>
      <c r="O378" s="210"/>
      <c r="P378" s="200"/>
      <c r="Q378" s="200"/>
      <c r="R378" s="200"/>
      <c r="U378" s="154"/>
      <c r="V378" s="200"/>
      <c r="Y378" s="200"/>
      <c r="Z378" s="329"/>
      <c r="AA378" s="200"/>
      <c r="AB378" s="200"/>
      <c r="AC378" s="210"/>
      <c r="AD378" s="210"/>
      <c r="AE378" s="200"/>
      <c r="AF378" s="200"/>
      <c r="AG378" s="209"/>
      <c r="AH378" s="201"/>
      <c r="AI378" s="200"/>
      <c r="AJ378" s="200"/>
      <c r="AK378" s="209"/>
      <c r="AL378" s="200"/>
      <c r="AM378" s="210"/>
      <c r="AN378" s="210"/>
    </row>
    <row r="379" spans="1:40" x14ac:dyDescent="0.25">
      <c r="F379" s="200"/>
      <c r="H379" s="200"/>
      <c r="I379" s="200"/>
      <c r="J379" s="305"/>
      <c r="K379" s="305"/>
      <c r="L379" s="200"/>
      <c r="M379" s="200"/>
      <c r="N379" s="200"/>
      <c r="O379" s="200"/>
      <c r="P379" s="200"/>
      <c r="Q379" s="200"/>
      <c r="R379" s="200"/>
      <c r="V379" s="200"/>
      <c r="Y379" s="200"/>
      <c r="Z379" s="305"/>
      <c r="AA379" s="200"/>
      <c r="AB379" s="200"/>
      <c r="AC379" s="200"/>
      <c r="AD379" s="200"/>
      <c r="AE379" s="200"/>
      <c r="AF379" s="200"/>
      <c r="AG379" s="209"/>
      <c r="AH379" s="201"/>
      <c r="AI379" s="252"/>
      <c r="AJ379" s="252"/>
      <c r="AK379" s="209"/>
      <c r="AL379" s="200"/>
      <c r="AM379" s="210"/>
      <c r="AN379" s="210"/>
    </row>
    <row r="380" spans="1:40" x14ac:dyDescent="0.25">
      <c r="A380" s="202"/>
      <c r="C380" s="154"/>
      <c r="F380" s="252"/>
      <c r="H380" s="252"/>
      <c r="I380" s="252"/>
      <c r="J380" s="304"/>
      <c r="K380" s="304"/>
      <c r="L380" s="200"/>
      <c r="M380" s="200"/>
      <c r="N380" s="210"/>
      <c r="O380" s="210"/>
      <c r="P380" s="200"/>
      <c r="Q380" s="200"/>
      <c r="R380" s="200"/>
      <c r="T380" s="154"/>
      <c r="V380" s="252"/>
      <c r="Y380" s="252"/>
      <c r="Z380" s="304"/>
      <c r="AA380" s="200"/>
      <c r="AB380" s="200"/>
      <c r="AC380" s="210"/>
      <c r="AD380" s="210"/>
      <c r="AE380" s="200"/>
      <c r="AF380" s="200"/>
      <c r="AG380" s="209"/>
      <c r="AH380" s="201"/>
      <c r="AI380" s="200"/>
      <c r="AJ380" s="200"/>
      <c r="AK380" s="209"/>
      <c r="AL380" s="200"/>
      <c r="AM380" s="210"/>
      <c r="AN380" s="210"/>
    </row>
    <row r="381" spans="1:40" x14ac:dyDescent="0.25">
      <c r="F381" s="102"/>
      <c r="H381" s="102"/>
      <c r="I381" s="102"/>
      <c r="L381" s="102"/>
      <c r="M381" s="102"/>
      <c r="N381" s="102"/>
      <c r="O381" s="102"/>
      <c r="P381" s="102"/>
      <c r="Q381" s="102"/>
      <c r="R381" s="102"/>
      <c r="V381" s="102"/>
      <c r="Y381" s="102"/>
      <c r="AA381" s="102"/>
      <c r="AB381" s="102"/>
      <c r="AC381" s="102"/>
      <c r="AD381" s="102"/>
      <c r="AE381" s="102"/>
      <c r="AF381" s="102"/>
      <c r="AG381" s="208"/>
      <c r="AH381" s="102"/>
      <c r="AI381" s="102"/>
      <c r="AJ381" s="102"/>
      <c r="AK381" s="208"/>
      <c r="AL381" s="102"/>
      <c r="AM381" s="102"/>
      <c r="AN381" s="102"/>
    </row>
    <row r="382" spans="1:40" x14ac:dyDescent="0.25">
      <c r="A382" s="202"/>
      <c r="C382" s="103"/>
      <c r="F382" s="252"/>
      <c r="H382" s="252"/>
      <c r="I382" s="252"/>
      <c r="J382" s="300"/>
      <c r="K382" s="300"/>
      <c r="L382" s="252"/>
      <c r="M382" s="252"/>
      <c r="N382" s="210"/>
      <c r="O382" s="210"/>
      <c r="P382" s="252"/>
      <c r="Q382" s="252"/>
      <c r="R382" s="252"/>
      <c r="T382" s="103"/>
      <c r="V382" s="200"/>
      <c r="Y382" s="200"/>
      <c r="Z382" s="213"/>
      <c r="AA382" s="200"/>
      <c r="AB382" s="200"/>
      <c r="AC382" s="210"/>
      <c r="AD382" s="210"/>
      <c r="AE382" s="202"/>
      <c r="AF382" s="202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F383" s="331"/>
      <c r="H383" s="331"/>
      <c r="I383" s="331"/>
      <c r="J383" s="305"/>
      <c r="K383" s="305"/>
      <c r="L383" s="331"/>
      <c r="M383" s="331"/>
      <c r="N383" s="331"/>
      <c r="O383" s="331"/>
      <c r="P383" s="331"/>
      <c r="Q383" s="331"/>
      <c r="R383" s="331"/>
      <c r="V383" s="102"/>
      <c r="Y383" s="102"/>
      <c r="AA383" s="102"/>
      <c r="AB383" s="102"/>
      <c r="AC383" s="102"/>
      <c r="AD383" s="102"/>
      <c r="AE383" s="102"/>
      <c r="AF383" s="102"/>
      <c r="AG383" s="208"/>
      <c r="AH383" s="102"/>
      <c r="AI383" s="102"/>
      <c r="AJ383" s="102"/>
      <c r="AK383" s="208"/>
      <c r="AL383" s="102"/>
      <c r="AM383" s="102"/>
      <c r="AN383" s="102"/>
    </row>
    <row r="384" spans="1:40" x14ac:dyDescent="0.25">
      <c r="F384" s="252"/>
      <c r="H384" s="252"/>
      <c r="I384" s="252"/>
      <c r="J384" s="328"/>
      <c r="K384" s="328"/>
      <c r="L384" s="200"/>
      <c r="M384" s="200"/>
      <c r="N384" s="210"/>
      <c r="O384" s="210"/>
      <c r="P384" s="200"/>
      <c r="Q384" s="200"/>
      <c r="R384" s="200"/>
    </row>
    <row r="385" spans="1:40" x14ac:dyDescent="0.25">
      <c r="A385" s="154"/>
      <c r="F385" s="252"/>
      <c r="H385" s="252"/>
      <c r="I385" s="252"/>
      <c r="J385" s="300"/>
      <c r="K385" s="300"/>
      <c r="L385" s="200"/>
      <c r="M385" s="200"/>
      <c r="N385" s="210"/>
      <c r="O385" s="210"/>
      <c r="P385" s="200"/>
      <c r="Q385" s="200"/>
      <c r="R385" s="200"/>
    </row>
    <row r="386" spans="1:40" x14ac:dyDescent="0.25">
      <c r="F386" s="252"/>
      <c r="H386" s="252"/>
      <c r="I386" s="252"/>
      <c r="J386" s="300"/>
      <c r="K386" s="300"/>
      <c r="L386" s="200"/>
      <c r="M386" s="200"/>
      <c r="N386" s="210"/>
      <c r="O386" s="210"/>
      <c r="P386" s="200"/>
      <c r="Q386" s="200"/>
      <c r="R386" s="200"/>
    </row>
    <row r="387" spans="1:40" x14ac:dyDescent="0.25">
      <c r="A387" s="154"/>
    </row>
    <row r="389" spans="1:40" x14ac:dyDescent="0.25">
      <c r="J389" s="202"/>
      <c r="K389" s="202"/>
      <c r="Z389" s="202"/>
    </row>
    <row r="390" spans="1:40" x14ac:dyDescent="0.25">
      <c r="H390" s="154"/>
      <c r="I390" s="154"/>
      <c r="Y390" s="154"/>
    </row>
    <row r="391" spans="1:40" x14ac:dyDescent="0.25">
      <c r="J391" s="202"/>
      <c r="K391" s="202"/>
      <c r="Z391" s="202"/>
    </row>
    <row r="392" spans="1:40" x14ac:dyDescent="0.25">
      <c r="L392" s="154"/>
      <c r="M392" s="154"/>
      <c r="AA392" s="154"/>
      <c r="AB392" s="154"/>
    </row>
    <row r="393" spans="1:40" x14ac:dyDescent="0.25">
      <c r="A393" s="202"/>
      <c r="R393" s="154"/>
      <c r="AK393" s="297"/>
      <c r="AL393" s="154"/>
    </row>
    <row r="394" spans="1:40" x14ac:dyDescent="0.25">
      <c r="A394" s="202"/>
      <c r="R394" s="154"/>
      <c r="AK394" s="297"/>
      <c r="AL394" s="154"/>
    </row>
    <row r="395" spans="1:40" x14ac:dyDescent="0.25">
      <c r="A395" s="154"/>
      <c r="R395" s="154"/>
      <c r="AK395" s="297"/>
      <c r="AL395" s="154"/>
    </row>
    <row r="396" spans="1:40" x14ac:dyDescent="0.25">
      <c r="L396" s="154"/>
      <c r="M396" s="154"/>
      <c r="R396" s="202"/>
      <c r="AA396" s="154"/>
      <c r="AB396" s="154"/>
      <c r="AK396" s="209"/>
      <c r="AL396" s="202"/>
    </row>
    <row r="397" spans="1:40" x14ac:dyDescent="0.2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208"/>
      <c r="AH397" s="102"/>
      <c r="AI397" s="102"/>
      <c r="AJ397" s="102"/>
      <c r="AK397" s="208"/>
      <c r="AL397" s="102"/>
      <c r="AM397" s="102"/>
      <c r="AN397" s="102"/>
    </row>
    <row r="398" spans="1:40" x14ac:dyDescent="0.25">
      <c r="L398" s="103"/>
      <c r="M398" s="103"/>
      <c r="N398" s="103"/>
      <c r="O398" s="103"/>
      <c r="R398" s="103"/>
      <c r="AA398" s="103"/>
      <c r="AB398" s="103"/>
      <c r="AC398" s="103"/>
      <c r="AD398" s="103"/>
      <c r="AE398" s="103"/>
      <c r="AF398" s="103"/>
      <c r="AG398" s="185"/>
      <c r="AH398" s="103"/>
      <c r="AK398" s="185"/>
      <c r="AL398" s="103"/>
      <c r="AM398" s="103"/>
      <c r="AN398" s="103"/>
    </row>
    <row r="399" spans="1:40" x14ac:dyDescent="0.25">
      <c r="L399" s="103"/>
      <c r="M399" s="103"/>
      <c r="N399" s="103"/>
      <c r="O399" s="103"/>
      <c r="R399" s="103"/>
      <c r="Z399" s="103"/>
      <c r="AA399" s="103"/>
      <c r="AB399" s="103"/>
      <c r="AC399" s="103"/>
      <c r="AD399" s="103"/>
      <c r="AE399" s="103"/>
      <c r="AF399" s="103"/>
      <c r="AG399" s="185"/>
      <c r="AH399" s="103"/>
      <c r="AK399" s="185"/>
      <c r="AL399" s="103"/>
      <c r="AM399" s="103"/>
      <c r="AN399" s="103"/>
    </row>
    <row r="400" spans="1:40" x14ac:dyDescent="0.25">
      <c r="A400" s="103"/>
      <c r="C400" s="103"/>
      <c r="D400" s="103"/>
      <c r="E400" s="103"/>
      <c r="F400" s="103"/>
      <c r="J400" s="103"/>
      <c r="K400" s="103"/>
      <c r="L400" s="103"/>
      <c r="M400" s="103"/>
      <c r="N400" s="103"/>
      <c r="O400" s="103"/>
      <c r="P400" s="103"/>
      <c r="Q400" s="103"/>
      <c r="R400" s="103"/>
      <c r="T400" s="103"/>
      <c r="U400" s="103"/>
      <c r="V400" s="103"/>
      <c r="Z400" s="103"/>
      <c r="AA400" s="103"/>
      <c r="AB400" s="103"/>
      <c r="AC400" s="103"/>
      <c r="AD400" s="103"/>
      <c r="AE400" s="103"/>
      <c r="AF400" s="103"/>
      <c r="AG400" s="185"/>
      <c r="AH400" s="103"/>
      <c r="AI400" s="103"/>
      <c r="AJ400" s="103"/>
      <c r="AK400" s="185"/>
      <c r="AL400" s="103"/>
      <c r="AM400" s="103"/>
      <c r="AN400" s="103"/>
    </row>
    <row r="401" spans="1:40" x14ac:dyDescent="0.25">
      <c r="A401" s="103"/>
      <c r="C401" s="103"/>
      <c r="D401" s="103"/>
      <c r="E401" s="103"/>
      <c r="F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T401" s="103"/>
      <c r="U401" s="103"/>
      <c r="V401" s="103"/>
      <c r="Y401" s="103"/>
      <c r="Z401" s="103"/>
      <c r="AA401" s="103"/>
      <c r="AB401" s="103"/>
      <c r="AC401" s="103"/>
      <c r="AD401" s="103"/>
      <c r="AE401" s="103"/>
      <c r="AF401" s="103"/>
      <c r="AG401" s="185"/>
      <c r="AH401" s="103"/>
      <c r="AI401" s="103"/>
      <c r="AJ401" s="103"/>
      <c r="AK401" s="185"/>
      <c r="AL401" s="103"/>
      <c r="AM401" s="103"/>
      <c r="AN401" s="103"/>
    </row>
    <row r="402" spans="1:40" x14ac:dyDescent="0.25">
      <c r="C402" s="103"/>
      <c r="D402" s="103"/>
      <c r="E402" s="103"/>
      <c r="F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T402" s="103"/>
      <c r="U402" s="103"/>
      <c r="V402" s="103"/>
      <c r="Y402" s="103"/>
      <c r="Z402" s="103"/>
      <c r="AA402" s="103"/>
      <c r="AB402" s="103"/>
      <c r="AC402" s="103"/>
      <c r="AD402" s="103"/>
      <c r="AE402" s="103"/>
      <c r="AF402" s="103"/>
      <c r="AG402" s="185"/>
      <c r="AH402" s="103"/>
      <c r="AI402" s="103"/>
      <c r="AJ402" s="103"/>
      <c r="AK402" s="185"/>
      <c r="AL402" s="103"/>
      <c r="AM402" s="103"/>
      <c r="AN402" s="103"/>
    </row>
    <row r="403" spans="1:40" x14ac:dyDescent="0.2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208"/>
      <c r="AH403" s="102"/>
      <c r="AI403" s="102"/>
      <c r="AJ403" s="102"/>
      <c r="AK403" s="208"/>
      <c r="AL403" s="102"/>
      <c r="AM403" s="102"/>
      <c r="AN403" s="102"/>
    </row>
    <row r="404" spans="1:40" x14ac:dyDescent="0.25"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Y404" s="103"/>
      <c r="Z404" s="103"/>
      <c r="AA404" s="103"/>
      <c r="AB404" s="103"/>
      <c r="AC404" s="103"/>
      <c r="AD404" s="103"/>
      <c r="AE404" s="103"/>
      <c r="AF404" s="103"/>
      <c r="AG404" s="185"/>
      <c r="AH404" s="103"/>
      <c r="AI404" s="103"/>
      <c r="AJ404" s="103"/>
      <c r="AK404" s="185"/>
      <c r="AL404" s="103"/>
      <c r="AM404" s="103"/>
      <c r="AN404" s="103"/>
    </row>
    <row r="405" spans="1:40" x14ac:dyDescent="0.25">
      <c r="A405" s="202"/>
      <c r="C405" s="154"/>
      <c r="D405" s="154"/>
      <c r="E405" s="154"/>
      <c r="T405" s="154"/>
      <c r="U405" s="154"/>
    </row>
    <row r="407" spans="1:40" x14ac:dyDescent="0.25">
      <c r="A407" s="202"/>
      <c r="C407" s="154"/>
      <c r="T407" s="154"/>
    </row>
    <row r="408" spans="1:40" x14ac:dyDescent="0.25">
      <c r="A408" s="202"/>
      <c r="C408" s="154"/>
      <c r="F408" s="252"/>
      <c r="H408" s="252"/>
      <c r="I408" s="252"/>
      <c r="J408" s="305"/>
      <c r="K408" s="305"/>
      <c r="L408" s="200"/>
      <c r="M408" s="200"/>
      <c r="N408" s="210"/>
      <c r="O408" s="210"/>
      <c r="P408" s="200"/>
      <c r="Q408" s="200"/>
      <c r="R408" s="200"/>
      <c r="T408" s="154"/>
      <c r="V408" s="252"/>
      <c r="Y408" s="252"/>
      <c r="Z408" s="305"/>
      <c r="AA408" s="200"/>
      <c r="AB408" s="200"/>
      <c r="AC408" s="210"/>
      <c r="AD408" s="210"/>
      <c r="AE408" s="200"/>
      <c r="AF408" s="200"/>
      <c r="AG408" s="209"/>
      <c r="AH408" s="201"/>
      <c r="AI408" s="200"/>
      <c r="AJ408" s="200"/>
      <c r="AK408" s="209"/>
      <c r="AL408" s="200"/>
      <c r="AM408" s="210"/>
      <c r="AN408" s="210"/>
    </row>
    <row r="409" spans="1:40" x14ac:dyDescent="0.25">
      <c r="A409" s="202"/>
      <c r="C409" s="154"/>
      <c r="T409" s="154"/>
    </row>
    <row r="410" spans="1:40" x14ac:dyDescent="0.25">
      <c r="A410" s="202"/>
      <c r="C410" s="154"/>
      <c r="F410" s="252"/>
      <c r="H410" s="252"/>
      <c r="I410" s="252"/>
      <c r="J410" s="329"/>
      <c r="K410" s="329"/>
      <c r="L410" s="200"/>
      <c r="M410" s="200"/>
      <c r="N410" s="210"/>
      <c r="O410" s="210"/>
      <c r="P410" s="200"/>
      <c r="Q410" s="200"/>
      <c r="R410" s="200"/>
      <c r="T410" s="154"/>
      <c r="V410" s="200"/>
      <c r="Y410" s="200"/>
      <c r="Z410" s="329"/>
      <c r="AA410" s="200"/>
      <c r="AB410" s="200"/>
      <c r="AC410" s="210"/>
      <c r="AD410" s="210"/>
      <c r="AE410" s="200"/>
      <c r="AF410" s="200"/>
      <c r="AG410" s="209"/>
      <c r="AH410" s="201"/>
      <c r="AI410" s="200"/>
      <c r="AJ410" s="200"/>
      <c r="AK410" s="209"/>
      <c r="AL410" s="200"/>
      <c r="AM410" s="210"/>
      <c r="AN410" s="210"/>
    </row>
    <row r="411" spans="1:40" x14ac:dyDescent="0.25">
      <c r="A411" s="202"/>
      <c r="C411" s="154"/>
      <c r="F411" s="252"/>
      <c r="H411" s="252"/>
      <c r="I411" s="252"/>
      <c r="J411" s="329"/>
      <c r="K411" s="329"/>
      <c r="L411" s="200"/>
      <c r="M411" s="200"/>
      <c r="N411" s="210"/>
      <c r="O411" s="210"/>
      <c r="P411" s="200"/>
      <c r="Q411" s="200"/>
      <c r="R411" s="200"/>
      <c r="T411" s="154"/>
      <c r="V411" s="200"/>
      <c r="Y411" s="200"/>
      <c r="Z411" s="329"/>
      <c r="AA411" s="200"/>
      <c r="AB411" s="200"/>
      <c r="AC411" s="210"/>
      <c r="AD411" s="210"/>
      <c r="AE411" s="200"/>
      <c r="AF411" s="200"/>
      <c r="AG411" s="209"/>
      <c r="AH411" s="201"/>
      <c r="AI411" s="200"/>
      <c r="AJ411" s="200"/>
      <c r="AK411" s="209"/>
      <c r="AL411" s="200"/>
      <c r="AM411" s="210"/>
      <c r="AN411" s="210"/>
    </row>
    <row r="412" spans="1:40" x14ac:dyDescent="0.25">
      <c r="A412" s="202"/>
      <c r="C412" s="154"/>
      <c r="F412" s="252"/>
      <c r="H412" s="252"/>
      <c r="I412" s="252"/>
      <c r="J412" s="329"/>
      <c r="K412" s="329"/>
      <c r="L412" s="200"/>
      <c r="M412" s="200"/>
      <c r="N412" s="210"/>
      <c r="O412" s="210"/>
      <c r="P412" s="200"/>
      <c r="Q412" s="200"/>
      <c r="R412" s="200"/>
      <c r="T412" s="154"/>
      <c r="V412" s="200"/>
      <c r="Y412" s="200"/>
      <c r="Z412" s="329"/>
      <c r="AA412" s="200"/>
      <c r="AB412" s="200"/>
      <c r="AC412" s="210"/>
      <c r="AD412" s="210"/>
      <c r="AE412" s="200"/>
      <c r="AF412" s="200"/>
      <c r="AG412" s="209"/>
      <c r="AH412" s="201"/>
      <c r="AI412" s="200"/>
      <c r="AJ412" s="200"/>
      <c r="AK412" s="209"/>
      <c r="AL412" s="200"/>
      <c r="AM412" s="210"/>
      <c r="AN412" s="210"/>
    </row>
    <row r="413" spans="1:40" x14ac:dyDescent="0.25">
      <c r="A413" s="202"/>
      <c r="C413" s="154"/>
      <c r="F413" s="252"/>
      <c r="H413" s="252"/>
      <c r="I413" s="252"/>
      <c r="J413" s="329"/>
      <c r="K413" s="329"/>
      <c r="L413" s="200"/>
      <c r="M413" s="200"/>
      <c r="N413" s="210"/>
      <c r="O413" s="210"/>
      <c r="P413" s="200"/>
      <c r="Q413" s="200"/>
      <c r="R413" s="200"/>
      <c r="T413" s="154"/>
      <c r="V413" s="200"/>
      <c r="Y413" s="200"/>
      <c r="Z413" s="329"/>
      <c r="AA413" s="200"/>
      <c r="AB413" s="200"/>
      <c r="AC413" s="210"/>
      <c r="AD413" s="210"/>
      <c r="AE413" s="200"/>
      <c r="AF413" s="200"/>
      <c r="AG413" s="209"/>
      <c r="AH413" s="201"/>
      <c r="AI413" s="200"/>
      <c r="AJ413" s="200"/>
      <c r="AK413" s="209"/>
      <c r="AL413" s="200"/>
      <c r="AM413" s="210"/>
      <c r="AN413" s="210"/>
    </row>
    <row r="414" spans="1:40" x14ac:dyDescent="0.25">
      <c r="A414" s="202"/>
      <c r="C414" s="154"/>
      <c r="J414" s="334"/>
      <c r="K414" s="334"/>
      <c r="T414" s="154"/>
      <c r="Z414" s="334"/>
    </row>
    <row r="415" spans="1:40" x14ac:dyDescent="0.25">
      <c r="A415" s="202"/>
      <c r="C415" s="154"/>
      <c r="F415" s="252"/>
      <c r="H415" s="252"/>
      <c r="I415" s="252"/>
      <c r="J415" s="329"/>
      <c r="K415" s="329"/>
      <c r="L415" s="200"/>
      <c r="M415" s="200"/>
      <c r="N415" s="210"/>
      <c r="O415" s="210"/>
      <c r="P415" s="200"/>
      <c r="Q415" s="200"/>
      <c r="R415" s="200"/>
      <c r="T415" s="154"/>
      <c r="V415" s="200"/>
      <c r="Y415" s="200"/>
      <c r="Z415" s="329"/>
      <c r="AA415" s="200"/>
      <c r="AB415" s="200"/>
      <c r="AC415" s="210"/>
      <c r="AD415" s="210"/>
      <c r="AE415" s="200"/>
      <c r="AF415" s="200"/>
      <c r="AG415" s="209"/>
      <c r="AH415" s="201"/>
      <c r="AI415" s="200"/>
      <c r="AJ415" s="200"/>
      <c r="AK415" s="209"/>
      <c r="AL415" s="200"/>
      <c r="AM415" s="210"/>
      <c r="AN415" s="210"/>
    </row>
    <row r="416" spans="1:40" x14ac:dyDescent="0.25">
      <c r="A416" s="202"/>
      <c r="C416" s="154"/>
      <c r="F416" s="252"/>
      <c r="H416" s="252"/>
      <c r="I416" s="252"/>
      <c r="J416" s="329"/>
      <c r="K416" s="329"/>
      <c r="L416" s="200"/>
      <c r="M416" s="200"/>
      <c r="N416" s="210"/>
      <c r="O416" s="210"/>
      <c r="P416" s="200"/>
      <c r="Q416" s="200"/>
      <c r="R416" s="200"/>
      <c r="T416" s="154"/>
      <c r="V416" s="200"/>
      <c r="Y416" s="200"/>
      <c r="Z416" s="329"/>
      <c r="AA416" s="200"/>
      <c r="AB416" s="200"/>
      <c r="AC416" s="210"/>
      <c r="AD416" s="210"/>
      <c r="AE416" s="200"/>
      <c r="AF416" s="200"/>
      <c r="AG416" s="209"/>
      <c r="AH416" s="201"/>
      <c r="AI416" s="200"/>
      <c r="AJ416" s="200"/>
      <c r="AK416" s="209"/>
      <c r="AL416" s="200"/>
      <c r="AM416" s="210"/>
      <c r="AN416" s="210"/>
    </row>
    <row r="417" spans="1:40" x14ac:dyDescent="0.25">
      <c r="A417" s="202"/>
      <c r="C417" s="154"/>
      <c r="F417" s="252"/>
      <c r="H417" s="252"/>
      <c r="I417" s="252"/>
      <c r="J417" s="329"/>
      <c r="K417" s="329"/>
      <c r="L417" s="200"/>
      <c r="M417" s="200"/>
      <c r="N417" s="210"/>
      <c r="O417" s="210"/>
      <c r="P417" s="200"/>
      <c r="Q417" s="200"/>
      <c r="R417" s="200"/>
      <c r="T417" s="154"/>
      <c r="V417" s="200"/>
      <c r="Y417" s="200"/>
      <c r="Z417" s="329"/>
      <c r="AA417" s="200"/>
      <c r="AB417" s="200"/>
      <c r="AC417" s="210"/>
      <c r="AD417" s="210"/>
      <c r="AE417" s="200"/>
      <c r="AF417" s="200"/>
      <c r="AG417" s="209"/>
      <c r="AH417" s="201"/>
      <c r="AI417" s="200"/>
      <c r="AJ417" s="200"/>
      <c r="AK417" s="209"/>
      <c r="AL417" s="200"/>
      <c r="AM417" s="210"/>
      <c r="AN417" s="210"/>
    </row>
    <row r="418" spans="1:40" x14ac:dyDescent="0.25">
      <c r="A418" s="202"/>
      <c r="C418" s="154"/>
      <c r="J418" s="334"/>
      <c r="K418" s="334"/>
      <c r="T418" s="154"/>
      <c r="Z418" s="334"/>
    </row>
    <row r="419" spans="1:40" x14ac:dyDescent="0.25">
      <c r="A419" s="202"/>
      <c r="C419" s="154"/>
      <c r="F419" s="252"/>
      <c r="H419" s="252"/>
      <c r="I419" s="252"/>
      <c r="J419" s="329"/>
      <c r="K419" s="329"/>
      <c r="L419" s="200"/>
      <c r="M419" s="200"/>
      <c r="N419" s="210"/>
      <c r="O419" s="210"/>
      <c r="P419" s="200"/>
      <c r="Q419" s="200"/>
      <c r="R419" s="200"/>
      <c r="T419" s="154"/>
      <c r="V419" s="200"/>
      <c r="Y419" s="200"/>
      <c r="Z419" s="329"/>
      <c r="AA419" s="200"/>
      <c r="AB419" s="200"/>
      <c r="AC419" s="210"/>
      <c r="AD419" s="210"/>
      <c r="AE419" s="200"/>
      <c r="AF419" s="200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A420" s="202"/>
      <c r="C420" s="154"/>
      <c r="F420" s="252"/>
      <c r="H420" s="252"/>
      <c r="I420" s="252"/>
      <c r="J420" s="329"/>
      <c r="K420" s="329"/>
      <c r="L420" s="200"/>
      <c r="M420" s="200"/>
      <c r="N420" s="210"/>
      <c r="O420" s="210"/>
      <c r="P420" s="200"/>
      <c r="Q420" s="200"/>
      <c r="R420" s="200"/>
      <c r="T420" s="154"/>
      <c r="V420" s="200"/>
      <c r="Y420" s="200"/>
      <c r="Z420" s="329"/>
      <c r="AA420" s="200"/>
      <c r="AB420" s="200"/>
      <c r="AC420" s="210"/>
      <c r="AD420" s="210"/>
      <c r="AE420" s="200"/>
      <c r="AF420" s="200"/>
      <c r="AG420" s="209"/>
      <c r="AH420" s="201"/>
      <c r="AI420" s="200"/>
      <c r="AJ420" s="200"/>
      <c r="AK420" s="209"/>
      <c r="AL420" s="200"/>
      <c r="AM420" s="210"/>
      <c r="AN420" s="210"/>
    </row>
    <row r="421" spans="1:40" x14ac:dyDescent="0.25">
      <c r="A421" s="202"/>
      <c r="C421" s="154"/>
      <c r="J421" s="334"/>
      <c r="K421" s="334"/>
      <c r="T421" s="154"/>
      <c r="Z421" s="334"/>
    </row>
    <row r="422" spans="1:40" x14ac:dyDescent="0.25">
      <c r="A422" s="202"/>
      <c r="C422" s="154"/>
      <c r="F422" s="252"/>
      <c r="H422" s="252"/>
      <c r="I422" s="252"/>
      <c r="J422" s="329"/>
      <c r="K422" s="329"/>
      <c r="L422" s="200"/>
      <c r="M422" s="200"/>
      <c r="N422" s="210"/>
      <c r="O422" s="210"/>
      <c r="P422" s="200"/>
      <c r="Q422" s="200"/>
      <c r="R422" s="200"/>
      <c r="T422" s="154"/>
      <c r="V422" s="200"/>
      <c r="Y422" s="200"/>
      <c r="Z422" s="329"/>
      <c r="AA422" s="200"/>
      <c r="AB422" s="200"/>
      <c r="AC422" s="210"/>
      <c r="AD422" s="210"/>
      <c r="AE422" s="200"/>
      <c r="AF422" s="200"/>
      <c r="AG422" s="209"/>
      <c r="AH422" s="201"/>
      <c r="AI422" s="200"/>
      <c r="AJ422" s="200"/>
      <c r="AK422" s="209"/>
      <c r="AL422" s="200"/>
      <c r="AM422" s="210"/>
      <c r="AN422" s="210"/>
    </row>
    <row r="423" spans="1:40" x14ac:dyDescent="0.25">
      <c r="A423" s="202"/>
      <c r="C423" s="154"/>
      <c r="F423" s="252"/>
      <c r="H423" s="252"/>
      <c r="I423" s="252"/>
      <c r="J423" s="329"/>
      <c r="K423" s="329"/>
      <c r="L423" s="200"/>
      <c r="M423" s="200"/>
      <c r="N423" s="210"/>
      <c r="O423" s="210"/>
      <c r="P423" s="200"/>
      <c r="Q423" s="200"/>
      <c r="R423" s="200"/>
      <c r="T423" s="154"/>
      <c r="V423" s="200"/>
      <c r="Y423" s="200"/>
      <c r="Z423" s="329"/>
      <c r="AA423" s="200"/>
      <c r="AB423" s="200"/>
      <c r="AC423" s="210"/>
      <c r="AD423" s="210"/>
      <c r="AE423" s="200"/>
      <c r="AF423" s="200"/>
      <c r="AG423" s="209"/>
      <c r="AH423" s="201"/>
      <c r="AI423" s="200"/>
      <c r="AJ423" s="200"/>
      <c r="AK423" s="209"/>
      <c r="AL423" s="200"/>
      <c r="AM423" s="210"/>
      <c r="AN423" s="210"/>
    </row>
    <row r="424" spans="1:40" x14ac:dyDescent="0.25">
      <c r="A424" s="202"/>
      <c r="C424" s="154"/>
      <c r="F424" s="252"/>
      <c r="H424" s="252"/>
      <c r="I424" s="252"/>
      <c r="J424" s="329"/>
      <c r="K424" s="329"/>
      <c r="L424" s="200"/>
      <c r="M424" s="200"/>
      <c r="N424" s="210"/>
      <c r="O424" s="210"/>
      <c r="P424" s="200"/>
      <c r="Q424" s="200"/>
      <c r="R424" s="200"/>
      <c r="T424" s="154"/>
      <c r="V424" s="200"/>
      <c r="Y424" s="200"/>
      <c r="Z424" s="329"/>
      <c r="AA424" s="200"/>
      <c r="AB424" s="200"/>
      <c r="AC424" s="210"/>
      <c r="AD424" s="210"/>
      <c r="AE424" s="200"/>
      <c r="AF424" s="200"/>
      <c r="AG424" s="209"/>
      <c r="AH424" s="201"/>
      <c r="AI424" s="200"/>
      <c r="AJ424" s="200"/>
      <c r="AK424" s="209"/>
      <c r="AL424" s="200"/>
      <c r="AM424" s="210"/>
      <c r="AN424" s="210"/>
    </row>
    <row r="425" spans="1:40" x14ac:dyDescent="0.25">
      <c r="F425" s="211"/>
      <c r="H425" s="211"/>
      <c r="I425" s="211"/>
      <c r="J425" s="329"/>
      <c r="K425" s="329"/>
      <c r="L425" s="211"/>
      <c r="M425" s="211"/>
      <c r="N425" s="211"/>
      <c r="O425" s="211"/>
      <c r="P425" s="211"/>
      <c r="Q425" s="211"/>
      <c r="R425" s="211"/>
      <c r="V425" s="211"/>
      <c r="Y425" s="211"/>
      <c r="Z425" s="329"/>
      <c r="AA425" s="211"/>
      <c r="AB425" s="211"/>
      <c r="AC425" s="211"/>
      <c r="AD425" s="211"/>
      <c r="AE425" s="211"/>
      <c r="AF425" s="211"/>
      <c r="AI425" s="211"/>
      <c r="AJ425" s="211"/>
      <c r="AK425" s="212"/>
      <c r="AL425" s="211"/>
    </row>
    <row r="426" spans="1:40" x14ac:dyDescent="0.25">
      <c r="A426" s="202"/>
      <c r="C426" s="103"/>
      <c r="F426" s="200"/>
      <c r="H426" s="200"/>
      <c r="I426" s="200"/>
      <c r="J426" s="334"/>
      <c r="K426" s="334"/>
      <c r="L426" s="200"/>
      <c r="M426" s="200"/>
      <c r="N426" s="201"/>
      <c r="O426" s="201"/>
      <c r="P426" s="200"/>
      <c r="Q426" s="200"/>
      <c r="R426" s="200"/>
      <c r="T426" s="103"/>
      <c r="V426" s="200"/>
      <c r="Y426" s="200"/>
      <c r="Z426" s="334"/>
      <c r="AA426" s="200"/>
      <c r="AB426" s="200"/>
      <c r="AC426" s="200"/>
      <c r="AD426" s="200"/>
      <c r="AE426" s="200"/>
      <c r="AF426" s="200"/>
      <c r="AG426" s="209"/>
      <c r="AH426" s="201"/>
      <c r="AI426" s="200"/>
      <c r="AJ426" s="200"/>
      <c r="AK426" s="209"/>
      <c r="AL426" s="200"/>
      <c r="AM426" s="210"/>
      <c r="AN426" s="210"/>
    </row>
    <row r="427" spans="1:40" x14ac:dyDescent="0.25">
      <c r="F427" s="211"/>
      <c r="H427" s="211"/>
      <c r="I427" s="211"/>
      <c r="J427" s="329"/>
      <c r="K427" s="329"/>
      <c r="L427" s="211"/>
      <c r="M427" s="211"/>
      <c r="N427" s="211"/>
      <c r="O427" s="211"/>
      <c r="P427" s="211"/>
      <c r="Q427" s="211"/>
      <c r="R427" s="211"/>
      <c r="V427" s="211"/>
      <c r="Y427" s="211"/>
      <c r="Z427" s="329"/>
      <c r="AA427" s="211"/>
      <c r="AB427" s="211"/>
      <c r="AC427" s="211"/>
      <c r="AD427" s="211"/>
      <c r="AE427" s="211"/>
      <c r="AF427" s="211"/>
      <c r="AI427" s="211"/>
      <c r="AJ427" s="211"/>
      <c r="AK427" s="212"/>
      <c r="AL427" s="211"/>
    </row>
    <row r="428" spans="1:40" x14ac:dyDescent="0.25">
      <c r="A428" s="202"/>
      <c r="C428" s="154"/>
      <c r="J428" s="334"/>
      <c r="K428" s="334"/>
      <c r="T428" s="154"/>
      <c r="Z428" s="334"/>
    </row>
    <row r="429" spans="1:40" x14ac:dyDescent="0.25">
      <c r="A429" s="202"/>
      <c r="C429" s="154"/>
      <c r="J429" s="334"/>
      <c r="K429" s="334"/>
      <c r="T429" s="154"/>
      <c r="Z429" s="334"/>
    </row>
    <row r="430" spans="1:40" x14ac:dyDescent="0.25">
      <c r="A430" s="202"/>
      <c r="C430" s="154"/>
      <c r="F430" s="252"/>
      <c r="H430" s="252"/>
      <c r="I430" s="252"/>
      <c r="J430" s="329"/>
      <c r="K430" s="329"/>
      <c r="L430" s="200"/>
      <c r="M430" s="200"/>
      <c r="N430" s="210"/>
      <c r="O430" s="210"/>
      <c r="P430" s="200"/>
      <c r="Q430" s="200"/>
      <c r="R430" s="200"/>
      <c r="T430" s="154"/>
      <c r="V430" s="200"/>
      <c r="Y430" s="200"/>
      <c r="Z430" s="329"/>
      <c r="AA430" s="200"/>
      <c r="AB430" s="200"/>
      <c r="AC430" s="210"/>
      <c r="AD430" s="210"/>
      <c r="AE430" s="200"/>
      <c r="AF430" s="200"/>
      <c r="AG430" s="209"/>
      <c r="AH430" s="201"/>
      <c r="AI430" s="200"/>
      <c r="AJ430" s="200"/>
      <c r="AK430" s="209"/>
      <c r="AL430" s="200"/>
      <c r="AM430" s="210"/>
      <c r="AN430" s="210"/>
    </row>
    <row r="431" spans="1:40" x14ac:dyDescent="0.25">
      <c r="A431" s="202"/>
      <c r="C431" s="154"/>
      <c r="F431" s="252"/>
      <c r="H431" s="252"/>
      <c r="I431" s="252"/>
      <c r="J431" s="329"/>
      <c r="K431" s="329"/>
      <c r="L431" s="200"/>
      <c r="M431" s="200"/>
      <c r="N431" s="210"/>
      <c r="O431" s="210"/>
      <c r="P431" s="200"/>
      <c r="Q431" s="200"/>
      <c r="R431" s="200"/>
      <c r="T431" s="154"/>
      <c r="V431" s="200"/>
      <c r="Y431" s="200"/>
      <c r="Z431" s="329"/>
      <c r="AA431" s="200"/>
      <c r="AB431" s="200"/>
      <c r="AC431" s="210"/>
      <c r="AD431" s="210"/>
      <c r="AE431" s="200"/>
      <c r="AF431" s="200"/>
      <c r="AG431" s="209"/>
      <c r="AH431" s="201"/>
      <c r="AI431" s="200"/>
      <c r="AJ431" s="200"/>
      <c r="AK431" s="209"/>
      <c r="AL431" s="200"/>
      <c r="AM431" s="210"/>
      <c r="AN431" s="210"/>
    </row>
    <row r="432" spans="1:40" x14ac:dyDescent="0.25">
      <c r="A432" s="202"/>
      <c r="C432" s="154"/>
      <c r="F432" s="252"/>
      <c r="H432" s="252"/>
      <c r="I432" s="252"/>
      <c r="J432" s="329"/>
      <c r="K432" s="329"/>
      <c r="L432" s="200"/>
      <c r="M432" s="200"/>
      <c r="N432" s="210"/>
      <c r="O432" s="210"/>
      <c r="P432" s="200"/>
      <c r="Q432" s="200"/>
      <c r="R432" s="200"/>
      <c r="T432" s="154"/>
      <c r="V432" s="200"/>
      <c r="Y432" s="200"/>
      <c r="Z432" s="329"/>
      <c r="AA432" s="200"/>
      <c r="AB432" s="200"/>
      <c r="AC432" s="210"/>
      <c r="AD432" s="210"/>
      <c r="AE432" s="200"/>
      <c r="AF432" s="200"/>
      <c r="AG432" s="209"/>
      <c r="AH432" s="201"/>
      <c r="AI432" s="200"/>
      <c r="AJ432" s="200"/>
      <c r="AK432" s="209"/>
      <c r="AL432" s="200"/>
      <c r="AM432" s="210"/>
      <c r="AN432" s="210"/>
    </row>
    <row r="433" spans="1:40" x14ac:dyDescent="0.25">
      <c r="A433" s="202"/>
      <c r="C433" s="154"/>
      <c r="F433" s="252"/>
      <c r="H433" s="252"/>
      <c r="I433" s="252"/>
      <c r="J433" s="329"/>
      <c r="K433" s="329"/>
      <c r="L433" s="200"/>
      <c r="M433" s="200"/>
      <c r="N433" s="210"/>
      <c r="O433" s="210"/>
      <c r="P433" s="200"/>
      <c r="Q433" s="200"/>
      <c r="R433" s="200"/>
      <c r="T433" s="154"/>
      <c r="V433" s="200"/>
      <c r="Y433" s="200"/>
      <c r="Z433" s="329"/>
      <c r="AA433" s="200"/>
      <c r="AB433" s="200"/>
      <c r="AC433" s="210"/>
      <c r="AD433" s="210"/>
      <c r="AE433" s="200"/>
      <c r="AF433" s="200"/>
      <c r="AG433" s="209"/>
      <c r="AH433" s="201"/>
      <c r="AI433" s="200"/>
      <c r="AJ433" s="200"/>
      <c r="AK433" s="209"/>
      <c r="AL433" s="200"/>
      <c r="AM433" s="210"/>
      <c r="AN433" s="210"/>
    </row>
    <row r="434" spans="1:40" x14ac:dyDescent="0.25">
      <c r="A434" s="202"/>
      <c r="C434" s="154"/>
      <c r="F434" s="252"/>
      <c r="H434" s="252"/>
      <c r="I434" s="252"/>
      <c r="J434" s="329"/>
      <c r="K434" s="329"/>
      <c r="L434" s="200"/>
      <c r="M434" s="200"/>
      <c r="N434" s="210"/>
      <c r="O434" s="210"/>
      <c r="P434" s="200"/>
      <c r="Q434" s="200"/>
      <c r="R434" s="200"/>
      <c r="T434" s="154"/>
      <c r="V434" s="200"/>
      <c r="Y434" s="200"/>
      <c r="Z434" s="329"/>
      <c r="AA434" s="200"/>
      <c r="AB434" s="200"/>
      <c r="AC434" s="210"/>
      <c r="AD434" s="210"/>
      <c r="AE434" s="200"/>
      <c r="AF434" s="200"/>
      <c r="AG434" s="209"/>
      <c r="AH434" s="201"/>
      <c r="AI434" s="200"/>
      <c r="AJ434" s="200"/>
      <c r="AK434" s="209"/>
      <c r="AL434" s="200"/>
      <c r="AM434" s="210"/>
      <c r="AN434" s="210"/>
    </row>
    <row r="435" spans="1:40" x14ac:dyDescent="0.25">
      <c r="A435" s="202"/>
      <c r="C435" s="154"/>
      <c r="F435" s="252"/>
      <c r="H435" s="252"/>
      <c r="I435" s="252"/>
      <c r="J435" s="329"/>
      <c r="K435" s="329"/>
      <c r="L435" s="200"/>
      <c r="M435" s="200"/>
      <c r="N435" s="210"/>
      <c r="O435" s="210"/>
      <c r="P435" s="200"/>
      <c r="Q435" s="200"/>
      <c r="R435" s="200"/>
      <c r="T435" s="154"/>
      <c r="V435" s="200"/>
      <c r="Y435" s="200"/>
      <c r="Z435" s="329"/>
      <c r="AA435" s="200"/>
      <c r="AB435" s="200"/>
      <c r="AC435" s="210"/>
      <c r="AD435" s="210"/>
      <c r="AE435" s="200"/>
      <c r="AF435" s="200"/>
      <c r="AG435" s="209"/>
      <c r="AH435" s="201"/>
      <c r="AI435" s="200"/>
      <c r="AJ435" s="200"/>
      <c r="AK435" s="209"/>
      <c r="AL435" s="200"/>
      <c r="AM435" s="210"/>
      <c r="AN435" s="210"/>
    </row>
    <row r="436" spans="1:40" x14ac:dyDescent="0.25">
      <c r="A436" s="202"/>
      <c r="C436" s="154"/>
      <c r="F436" s="252"/>
      <c r="H436" s="252"/>
      <c r="I436" s="252"/>
      <c r="J436" s="329"/>
      <c r="K436" s="329"/>
      <c r="L436" s="200"/>
      <c r="M436" s="200"/>
      <c r="N436" s="210"/>
      <c r="O436" s="210"/>
      <c r="P436" s="200"/>
      <c r="Q436" s="200"/>
      <c r="R436" s="200"/>
      <c r="T436" s="154"/>
      <c r="V436" s="200"/>
      <c r="Y436" s="200"/>
      <c r="Z436" s="329"/>
      <c r="AA436" s="200"/>
      <c r="AB436" s="200"/>
      <c r="AC436" s="210"/>
      <c r="AD436" s="210"/>
      <c r="AE436" s="200"/>
      <c r="AF436" s="200"/>
      <c r="AG436" s="209"/>
      <c r="AH436" s="201"/>
      <c r="AI436" s="200"/>
      <c r="AJ436" s="200"/>
      <c r="AK436" s="209"/>
      <c r="AL436" s="200"/>
      <c r="AM436" s="210"/>
      <c r="AN436" s="210"/>
    </row>
    <row r="437" spans="1:40" x14ac:dyDescent="0.25">
      <c r="A437" s="202"/>
      <c r="C437" s="154"/>
      <c r="J437" s="334"/>
      <c r="K437" s="334"/>
      <c r="T437" s="154"/>
      <c r="Z437" s="334"/>
    </row>
    <row r="438" spans="1:40" x14ac:dyDescent="0.25">
      <c r="A438" s="202"/>
      <c r="C438" s="154"/>
      <c r="F438" s="252"/>
      <c r="H438" s="252"/>
      <c r="I438" s="252"/>
      <c r="J438" s="329"/>
      <c r="K438" s="329"/>
      <c r="L438" s="200"/>
      <c r="M438" s="200"/>
      <c r="N438" s="210"/>
      <c r="O438" s="210"/>
      <c r="P438" s="200"/>
      <c r="Q438" s="200"/>
      <c r="R438" s="200"/>
      <c r="T438" s="154"/>
      <c r="V438" s="200"/>
      <c r="Y438" s="200"/>
      <c r="Z438" s="329"/>
      <c r="AA438" s="200"/>
      <c r="AB438" s="200"/>
      <c r="AC438" s="210"/>
      <c r="AD438" s="210"/>
      <c r="AE438" s="200"/>
      <c r="AF438" s="200"/>
      <c r="AG438" s="209"/>
      <c r="AH438" s="201"/>
      <c r="AI438" s="200"/>
      <c r="AJ438" s="200"/>
      <c r="AK438" s="209"/>
      <c r="AL438" s="200"/>
      <c r="AM438" s="210"/>
      <c r="AN438" s="210"/>
    </row>
    <row r="439" spans="1:40" x14ac:dyDescent="0.25">
      <c r="A439" s="202"/>
      <c r="C439" s="154"/>
      <c r="F439" s="252"/>
      <c r="H439" s="252"/>
      <c r="I439" s="252"/>
      <c r="J439" s="329"/>
      <c r="K439" s="329"/>
      <c r="L439" s="200"/>
      <c r="M439" s="200"/>
      <c r="N439" s="210"/>
      <c r="O439" s="210"/>
      <c r="P439" s="200"/>
      <c r="Q439" s="200"/>
      <c r="R439" s="200"/>
      <c r="T439" s="154"/>
      <c r="V439" s="200"/>
      <c r="Y439" s="200"/>
      <c r="Z439" s="329"/>
      <c r="AA439" s="200"/>
      <c r="AB439" s="200"/>
      <c r="AC439" s="210"/>
      <c r="AD439" s="210"/>
      <c r="AE439" s="200"/>
      <c r="AF439" s="200"/>
      <c r="AG439" s="209"/>
      <c r="AH439" s="201"/>
      <c r="AI439" s="200"/>
      <c r="AJ439" s="200"/>
      <c r="AK439" s="209"/>
      <c r="AL439" s="200"/>
      <c r="AM439" s="210"/>
      <c r="AN439" s="210"/>
    </row>
    <row r="440" spans="1:40" x14ac:dyDescent="0.25">
      <c r="A440" s="202"/>
      <c r="C440" s="154"/>
      <c r="F440" s="252"/>
      <c r="H440" s="252"/>
      <c r="I440" s="252"/>
      <c r="J440" s="329"/>
      <c r="K440" s="329"/>
      <c r="L440" s="200"/>
      <c r="M440" s="200"/>
      <c r="N440" s="210"/>
      <c r="O440" s="210"/>
      <c r="P440" s="200"/>
      <c r="Q440" s="200"/>
      <c r="R440" s="200"/>
      <c r="T440" s="154"/>
      <c r="V440" s="200"/>
      <c r="Y440" s="200"/>
      <c r="Z440" s="329"/>
      <c r="AA440" s="200"/>
      <c r="AB440" s="200"/>
      <c r="AC440" s="210"/>
      <c r="AD440" s="210"/>
      <c r="AE440" s="200"/>
      <c r="AF440" s="200"/>
      <c r="AG440" s="209"/>
      <c r="AH440" s="201"/>
      <c r="AI440" s="200"/>
      <c r="AJ440" s="200"/>
      <c r="AK440" s="209"/>
      <c r="AL440" s="200"/>
      <c r="AM440" s="210"/>
      <c r="AN440" s="210"/>
    </row>
    <row r="441" spans="1:40" x14ac:dyDescent="0.25">
      <c r="A441" s="202"/>
      <c r="C441" s="154"/>
      <c r="F441" s="252"/>
      <c r="H441" s="252"/>
      <c r="I441" s="252"/>
      <c r="J441" s="329"/>
      <c r="K441" s="329"/>
      <c r="L441" s="200"/>
      <c r="M441" s="200"/>
      <c r="N441" s="210"/>
      <c r="O441" s="210"/>
      <c r="P441" s="200"/>
      <c r="Q441" s="200"/>
      <c r="R441" s="200"/>
      <c r="T441" s="154"/>
      <c r="V441" s="200"/>
      <c r="Y441" s="200"/>
      <c r="Z441" s="329"/>
      <c r="AA441" s="200"/>
      <c r="AB441" s="200"/>
      <c r="AC441" s="210"/>
      <c r="AD441" s="210"/>
      <c r="AE441" s="200"/>
      <c r="AF441" s="200"/>
      <c r="AG441" s="209"/>
      <c r="AH441" s="201"/>
      <c r="AI441" s="200"/>
      <c r="AJ441" s="200"/>
      <c r="AK441" s="209"/>
      <c r="AL441" s="200"/>
      <c r="AM441" s="210"/>
      <c r="AN441" s="210"/>
    </row>
    <row r="442" spans="1:40" x14ac:dyDescent="0.25">
      <c r="A442" s="202"/>
      <c r="C442" s="154"/>
      <c r="J442" s="334"/>
      <c r="K442" s="334"/>
      <c r="T442" s="154"/>
      <c r="Z442" s="334"/>
    </row>
    <row r="443" spans="1:40" x14ac:dyDescent="0.25">
      <c r="A443" s="202"/>
      <c r="C443" s="154"/>
      <c r="F443" s="252"/>
      <c r="H443" s="252"/>
      <c r="I443" s="252"/>
      <c r="J443" s="329"/>
      <c r="K443" s="329"/>
      <c r="L443" s="200"/>
      <c r="M443" s="200"/>
      <c r="N443" s="210"/>
      <c r="O443" s="210"/>
      <c r="P443" s="200"/>
      <c r="Q443" s="200"/>
      <c r="R443" s="200"/>
      <c r="T443" s="154"/>
      <c r="V443" s="200"/>
      <c r="Y443" s="200"/>
      <c r="Z443" s="329"/>
      <c r="AA443" s="200"/>
      <c r="AB443" s="200"/>
      <c r="AC443" s="210"/>
      <c r="AD443" s="210"/>
      <c r="AE443" s="200"/>
      <c r="AF443" s="200"/>
      <c r="AG443" s="209"/>
      <c r="AH443" s="201"/>
      <c r="AI443" s="200"/>
      <c r="AJ443" s="200"/>
      <c r="AK443" s="209"/>
      <c r="AL443" s="200"/>
      <c r="AM443" s="210"/>
      <c r="AN443" s="210"/>
    </row>
    <row r="444" spans="1:40" x14ac:dyDescent="0.25">
      <c r="A444" s="202"/>
      <c r="C444" s="154"/>
      <c r="F444" s="252"/>
      <c r="H444" s="252"/>
      <c r="I444" s="252"/>
      <c r="J444" s="329"/>
      <c r="K444" s="329"/>
      <c r="L444" s="200"/>
      <c r="M444" s="200"/>
      <c r="N444" s="210"/>
      <c r="O444" s="210"/>
      <c r="P444" s="200"/>
      <c r="Q444" s="200"/>
      <c r="R444" s="200"/>
      <c r="T444" s="154"/>
      <c r="V444" s="200"/>
      <c r="Y444" s="200"/>
      <c r="Z444" s="329"/>
      <c r="AA444" s="200"/>
      <c r="AB444" s="200"/>
      <c r="AC444" s="210"/>
      <c r="AD444" s="210"/>
      <c r="AE444" s="200"/>
      <c r="AF444" s="200"/>
      <c r="AG444" s="209"/>
      <c r="AH444" s="201"/>
      <c r="AI444" s="200"/>
      <c r="AJ444" s="200"/>
      <c r="AK444" s="209"/>
      <c r="AL444" s="200"/>
      <c r="AM444" s="210"/>
      <c r="AN444" s="210"/>
    </row>
    <row r="445" spans="1:40" x14ac:dyDescent="0.25">
      <c r="A445" s="202"/>
      <c r="C445" s="154"/>
      <c r="F445" s="252"/>
      <c r="H445" s="252"/>
      <c r="I445" s="252"/>
      <c r="J445" s="329"/>
      <c r="K445" s="329"/>
      <c r="L445" s="200"/>
      <c r="M445" s="200"/>
      <c r="N445" s="210"/>
      <c r="O445" s="210"/>
      <c r="P445" s="200"/>
      <c r="Q445" s="200"/>
      <c r="R445" s="200"/>
      <c r="T445" s="154"/>
      <c r="V445" s="200"/>
      <c r="Y445" s="200"/>
      <c r="Z445" s="329"/>
      <c r="AA445" s="200"/>
      <c r="AB445" s="200"/>
      <c r="AC445" s="210"/>
      <c r="AD445" s="210"/>
      <c r="AE445" s="200"/>
      <c r="AF445" s="200"/>
      <c r="AG445" s="209"/>
      <c r="AH445" s="201"/>
      <c r="AI445" s="200"/>
      <c r="AJ445" s="200"/>
      <c r="AK445" s="209"/>
      <c r="AL445" s="200"/>
      <c r="AM445" s="210"/>
      <c r="AN445" s="210"/>
    </row>
    <row r="446" spans="1:40" x14ac:dyDescent="0.25">
      <c r="A446" s="202"/>
      <c r="C446" s="154"/>
      <c r="F446" s="252"/>
      <c r="H446" s="252"/>
      <c r="I446" s="252"/>
      <c r="J446" s="329"/>
      <c r="K446" s="329"/>
      <c r="L446" s="200"/>
      <c r="M446" s="200"/>
      <c r="N446" s="210"/>
      <c r="O446" s="210"/>
      <c r="P446" s="200"/>
      <c r="Q446" s="200"/>
      <c r="R446" s="200"/>
      <c r="T446" s="154"/>
      <c r="V446" s="200"/>
      <c r="Y446" s="200"/>
      <c r="Z446" s="329"/>
      <c r="AA446" s="200"/>
      <c r="AB446" s="200"/>
      <c r="AC446" s="210"/>
      <c r="AD446" s="210"/>
      <c r="AE446" s="200"/>
      <c r="AF446" s="200"/>
      <c r="AG446" s="209"/>
      <c r="AH446" s="201"/>
      <c r="AI446" s="200"/>
      <c r="AJ446" s="200"/>
      <c r="AK446" s="209"/>
      <c r="AL446" s="200"/>
      <c r="AM446" s="210"/>
      <c r="AN446" s="210"/>
    </row>
    <row r="447" spans="1:40" x14ac:dyDescent="0.25">
      <c r="A447" s="202"/>
      <c r="C447" s="154"/>
      <c r="F447" s="252"/>
      <c r="H447" s="252"/>
      <c r="I447" s="252"/>
      <c r="J447" s="329"/>
      <c r="K447" s="329"/>
      <c r="L447" s="200"/>
      <c r="M447" s="200"/>
      <c r="N447" s="210"/>
      <c r="O447" s="210"/>
      <c r="P447" s="200"/>
      <c r="Q447" s="200"/>
      <c r="R447" s="200"/>
      <c r="T447" s="154"/>
      <c r="V447" s="200"/>
      <c r="Y447" s="200"/>
      <c r="Z447" s="329"/>
      <c r="AA447" s="200"/>
      <c r="AB447" s="200"/>
      <c r="AC447" s="210"/>
      <c r="AD447" s="210"/>
      <c r="AE447" s="200"/>
      <c r="AF447" s="200"/>
      <c r="AG447" s="209"/>
      <c r="AH447" s="201"/>
      <c r="AI447" s="200"/>
      <c r="AJ447" s="200"/>
      <c r="AK447" s="209"/>
      <c r="AL447" s="200"/>
      <c r="AM447" s="210"/>
      <c r="AN447" s="210"/>
    </row>
    <row r="448" spans="1:40" x14ac:dyDescent="0.25">
      <c r="F448" s="211"/>
      <c r="H448" s="211"/>
      <c r="I448" s="211"/>
      <c r="J448" s="305"/>
      <c r="K448" s="305"/>
      <c r="L448" s="211"/>
      <c r="M448" s="211"/>
      <c r="N448" s="211"/>
      <c r="O448" s="211"/>
      <c r="P448" s="211"/>
      <c r="Q448" s="211"/>
      <c r="R448" s="211"/>
      <c r="V448" s="211"/>
      <c r="Y448" s="211"/>
      <c r="Z448" s="329"/>
      <c r="AA448" s="211"/>
      <c r="AB448" s="211"/>
      <c r="AC448" s="211"/>
      <c r="AD448" s="211"/>
      <c r="AE448" s="211"/>
      <c r="AF448" s="211"/>
      <c r="AI448" s="211"/>
      <c r="AJ448" s="211"/>
      <c r="AK448" s="212"/>
      <c r="AL448" s="211"/>
    </row>
    <row r="449" spans="1:40" x14ac:dyDescent="0.25">
      <c r="A449" s="202"/>
      <c r="C449" s="154"/>
      <c r="F449" s="200"/>
      <c r="H449" s="200"/>
      <c r="I449" s="200"/>
      <c r="L449" s="200"/>
      <c r="M449" s="200"/>
      <c r="N449" s="201"/>
      <c r="O449" s="201"/>
      <c r="P449" s="200"/>
      <c r="Q449" s="200"/>
      <c r="R449" s="200"/>
      <c r="T449" s="154"/>
      <c r="V449" s="200"/>
      <c r="Y449" s="200"/>
      <c r="AA449" s="200"/>
      <c r="AB449" s="200"/>
      <c r="AC449" s="210"/>
      <c r="AD449" s="210"/>
      <c r="AE449" s="200"/>
      <c r="AF449" s="200"/>
      <c r="AG449" s="209"/>
      <c r="AH449" s="201"/>
      <c r="AI449" s="200"/>
      <c r="AJ449" s="200"/>
      <c r="AK449" s="209"/>
      <c r="AL449" s="200"/>
      <c r="AM449" s="210"/>
      <c r="AN449" s="210"/>
    </row>
    <row r="450" spans="1:40" x14ac:dyDescent="0.25">
      <c r="F450" s="211"/>
      <c r="H450" s="211"/>
      <c r="I450" s="211"/>
      <c r="J450" s="305"/>
      <c r="K450" s="305"/>
      <c r="L450" s="211"/>
      <c r="M450" s="211"/>
      <c r="N450" s="211"/>
      <c r="O450" s="211"/>
      <c r="P450" s="211"/>
      <c r="Q450" s="211"/>
      <c r="R450" s="211"/>
      <c r="V450" s="211"/>
      <c r="Y450" s="211"/>
      <c r="Z450" s="305"/>
      <c r="AA450" s="211"/>
      <c r="AB450" s="211"/>
      <c r="AC450" s="211"/>
      <c r="AD450" s="211"/>
      <c r="AE450" s="211"/>
      <c r="AF450" s="211"/>
      <c r="AI450" s="211"/>
      <c r="AJ450" s="211"/>
      <c r="AK450" s="212"/>
      <c r="AL450" s="211"/>
    </row>
    <row r="451" spans="1:40" x14ac:dyDescent="0.25">
      <c r="A451" s="202"/>
      <c r="C451" s="154"/>
      <c r="T451" s="154"/>
    </row>
    <row r="452" spans="1:40" x14ac:dyDescent="0.25">
      <c r="A452" s="202"/>
      <c r="C452" s="154"/>
      <c r="F452" s="252"/>
      <c r="H452" s="252"/>
      <c r="I452" s="252"/>
      <c r="J452" s="300"/>
      <c r="K452" s="300"/>
      <c r="L452" s="200"/>
      <c r="M452" s="200"/>
      <c r="N452" s="210"/>
      <c r="O452" s="210"/>
      <c r="P452" s="200"/>
      <c r="Q452" s="200"/>
      <c r="R452" s="200"/>
      <c r="T452" s="154"/>
      <c r="V452" s="200"/>
      <c r="Y452" s="200"/>
      <c r="Z452" s="300"/>
      <c r="AA452" s="200"/>
      <c r="AB452" s="200"/>
      <c r="AC452" s="210"/>
      <c r="AD452" s="210"/>
      <c r="AE452" s="200"/>
      <c r="AF452" s="200"/>
      <c r="AG452" s="209"/>
      <c r="AH452" s="201"/>
      <c r="AI452" s="200"/>
      <c r="AJ452" s="200"/>
      <c r="AK452" s="209"/>
      <c r="AL452" s="200"/>
      <c r="AM452" s="210"/>
      <c r="AN452" s="210"/>
    </row>
    <row r="453" spans="1:40" x14ac:dyDescent="0.25">
      <c r="A453" s="202"/>
      <c r="C453" s="154"/>
      <c r="F453" s="252"/>
      <c r="H453" s="252"/>
      <c r="I453" s="252"/>
      <c r="J453" s="300"/>
      <c r="K453" s="300"/>
      <c r="L453" s="200"/>
      <c r="M453" s="200"/>
      <c r="N453" s="210"/>
      <c r="O453" s="210"/>
      <c r="P453" s="200"/>
      <c r="Q453" s="200"/>
      <c r="R453" s="200"/>
      <c r="T453" s="154"/>
      <c r="V453" s="200"/>
      <c r="Y453" s="200"/>
      <c r="Z453" s="300"/>
      <c r="AA453" s="200"/>
      <c r="AB453" s="200"/>
      <c r="AC453" s="210"/>
      <c r="AD453" s="210"/>
      <c r="AE453" s="200"/>
      <c r="AF453" s="200"/>
      <c r="AG453" s="209"/>
      <c r="AH453" s="201"/>
      <c r="AI453" s="200"/>
      <c r="AJ453" s="200"/>
      <c r="AK453" s="209"/>
      <c r="AL453" s="200"/>
      <c r="AM453" s="210"/>
      <c r="AN453" s="210"/>
    </row>
    <row r="454" spans="1:40" x14ac:dyDescent="0.25">
      <c r="F454" s="211"/>
      <c r="H454" s="200"/>
      <c r="I454" s="200"/>
      <c r="J454" s="305"/>
      <c r="K454" s="305"/>
      <c r="L454" s="211"/>
      <c r="M454" s="211"/>
      <c r="N454" s="211"/>
      <c r="O454" s="211"/>
      <c r="P454" s="211"/>
      <c r="Q454" s="211"/>
      <c r="R454" s="211"/>
      <c r="V454" s="211"/>
      <c r="Y454" s="200"/>
      <c r="Z454" s="305"/>
      <c r="AA454" s="211"/>
      <c r="AB454" s="211"/>
      <c r="AC454" s="211"/>
      <c r="AD454" s="211"/>
      <c r="AE454" s="211"/>
      <c r="AF454" s="211"/>
      <c r="AI454" s="211"/>
      <c r="AJ454" s="211"/>
      <c r="AK454" s="212"/>
      <c r="AL454" s="211"/>
    </row>
    <row r="455" spans="1:40" x14ac:dyDescent="0.25">
      <c r="F455" s="200"/>
      <c r="H455" s="200"/>
      <c r="I455" s="200"/>
      <c r="J455" s="305"/>
      <c r="K455" s="305"/>
      <c r="L455" s="200"/>
      <c r="M455" s="200"/>
      <c r="N455" s="200"/>
      <c r="O455" s="200"/>
      <c r="P455" s="200"/>
      <c r="Q455" s="200"/>
      <c r="R455" s="200"/>
      <c r="V455" s="200"/>
      <c r="Y455" s="200"/>
      <c r="Z455" s="305"/>
      <c r="AA455" s="200"/>
      <c r="AB455" s="200"/>
      <c r="AC455" s="200"/>
      <c r="AD455" s="200"/>
      <c r="AE455" s="200"/>
      <c r="AF455" s="200"/>
      <c r="AI455" s="200"/>
      <c r="AJ455" s="200"/>
      <c r="AK455" s="209"/>
      <c r="AL455" s="200"/>
    </row>
    <row r="456" spans="1:40" x14ac:dyDescent="0.25">
      <c r="A456" s="202"/>
      <c r="C456" s="154"/>
      <c r="F456" s="200"/>
      <c r="H456" s="200"/>
      <c r="I456" s="200"/>
      <c r="L456" s="200"/>
      <c r="M456" s="200"/>
      <c r="N456" s="210"/>
      <c r="O456" s="210"/>
      <c r="P456" s="200"/>
      <c r="Q456" s="200"/>
      <c r="R456" s="200"/>
      <c r="T456" s="154"/>
      <c r="V456" s="200"/>
      <c r="Y456" s="200"/>
      <c r="AA456" s="200"/>
      <c r="AB456" s="200"/>
      <c r="AC456" s="210"/>
      <c r="AD456" s="210"/>
      <c r="AE456" s="200"/>
      <c r="AF456" s="200"/>
      <c r="AG456" s="209"/>
      <c r="AH456" s="201"/>
      <c r="AI456" s="252"/>
      <c r="AJ456" s="252"/>
      <c r="AK456" s="209"/>
      <c r="AL456" s="200"/>
      <c r="AM456" s="210"/>
      <c r="AN456" s="210"/>
    </row>
    <row r="457" spans="1:40" x14ac:dyDescent="0.25">
      <c r="F457" s="211"/>
      <c r="H457" s="211"/>
      <c r="I457" s="211"/>
      <c r="J457" s="305"/>
      <c r="K457" s="305"/>
      <c r="L457" s="211"/>
      <c r="M457" s="211"/>
      <c r="N457" s="211"/>
      <c r="O457" s="211"/>
      <c r="P457" s="211"/>
      <c r="Q457" s="211"/>
      <c r="R457" s="211"/>
      <c r="V457" s="211"/>
      <c r="Y457" s="211"/>
      <c r="Z457" s="305"/>
      <c r="AA457" s="211"/>
      <c r="AB457" s="211"/>
      <c r="AC457" s="211"/>
      <c r="AD457" s="211"/>
      <c r="AE457" s="211"/>
      <c r="AF457" s="211"/>
      <c r="AI457" s="211"/>
      <c r="AJ457" s="211"/>
      <c r="AK457" s="212"/>
      <c r="AL457" s="211"/>
    </row>
    <row r="459" spans="1:40" x14ac:dyDescent="0.25">
      <c r="A459" s="154"/>
      <c r="T459" s="154"/>
    </row>
    <row r="460" spans="1:40" x14ac:dyDescent="0.25">
      <c r="A460" s="154"/>
      <c r="T460" s="154"/>
    </row>
    <row r="461" spans="1:40" x14ac:dyDescent="0.25">
      <c r="A461" s="154"/>
      <c r="T461" s="154"/>
    </row>
    <row r="462" spans="1:40" x14ac:dyDescent="0.25">
      <c r="A462" s="154"/>
      <c r="T462" s="154"/>
    </row>
    <row r="463" spans="1:40" x14ac:dyDescent="0.25">
      <c r="A463" s="154"/>
      <c r="T463" s="154"/>
    </row>
    <row r="464" spans="1:40" x14ac:dyDescent="0.25">
      <c r="A464" s="154"/>
      <c r="T464" s="154"/>
    </row>
    <row r="465" spans="1:40" x14ac:dyDescent="0.25">
      <c r="A465" s="154"/>
      <c r="T465" s="154"/>
    </row>
    <row r="466" spans="1:40" x14ac:dyDescent="0.25">
      <c r="A466" s="154"/>
      <c r="T466" s="154"/>
    </row>
    <row r="467" spans="1:40" x14ac:dyDescent="0.25">
      <c r="A467" s="154"/>
      <c r="T467" s="154"/>
    </row>
    <row r="469" spans="1:40" x14ac:dyDescent="0.25">
      <c r="A469" s="154"/>
    </row>
    <row r="470" spans="1:40" x14ac:dyDescent="0.25">
      <c r="J470" s="202"/>
      <c r="K470" s="202"/>
      <c r="Z470" s="202"/>
    </row>
    <row r="471" spans="1:40" x14ac:dyDescent="0.25">
      <c r="H471" s="154"/>
      <c r="I471" s="154"/>
      <c r="Y471" s="154"/>
    </row>
    <row r="472" spans="1:40" x14ac:dyDescent="0.25">
      <c r="J472" s="202"/>
      <c r="K472" s="202"/>
      <c r="Z472" s="202"/>
    </row>
    <row r="473" spans="1:40" x14ac:dyDescent="0.25">
      <c r="L473" s="154"/>
      <c r="M473" s="154"/>
      <c r="AA473" s="154"/>
      <c r="AB473" s="154"/>
    </row>
    <row r="474" spans="1:40" x14ac:dyDescent="0.25">
      <c r="A474" s="202"/>
      <c r="R474" s="154"/>
      <c r="AK474" s="297"/>
      <c r="AL474" s="154"/>
    </row>
    <row r="475" spans="1:40" x14ac:dyDescent="0.25">
      <c r="A475" s="202"/>
      <c r="R475" s="154"/>
      <c r="AK475" s="297"/>
      <c r="AL475" s="154"/>
    </row>
    <row r="476" spans="1:40" x14ac:dyDescent="0.25">
      <c r="A476" s="154"/>
      <c r="R476" s="154"/>
      <c r="AK476" s="297"/>
      <c r="AL476" s="154"/>
    </row>
    <row r="477" spans="1:40" x14ac:dyDescent="0.25">
      <c r="L477" s="154"/>
      <c r="M477" s="154"/>
      <c r="R477" s="202"/>
      <c r="AA477" s="154"/>
      <c r="AB477" s="154"/>
      <c r="AK477" s="209"/>
      <c r="AL477" s="202"/>
    </row>
    <row r="478" spans="1:40" x14ac:dyDescent="0.2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208"/>
      <c r="AH478" s="102"/>
      <c r="AI478" s="102"/>
      <c r="AJ478" s="102"/>
      <c r="AK478" s="208"/>
      <c r="AL478" s="102"/>
      <c r="AM478" s="102"/>
      <c r="AN478" s="102"/>
    </row>
    <row r="479" spans="1:40" x14ac:dyDescent="0.25">
      <c r="L479" s="103"/>
      <c r="M479" s="103"/>
      <c r="N479" s="103"/>
      <c r="O479" s="103"/>
      <c r="R479" s="103"/>
      <c r="AA479" s="103"/>
      <c r="AB479" s="103"/>
      <c r="AC479" s="103"/>
      <c r="AD479" s="103"/>
      <c r="AE479" s="103"/>
      <c r="AF479" s="103"/>
      <c r="AG479" s="185"/>
      <c r="AH479" s="103"/>
      <c r="AK479" s="185"/>
      <c r="AL479" s="103"/>
      <c r="AM479" s="103"/>
      <c r="AN479" s="103"/>
    </row>
    <row r="480" spans="1:40" x14ac:dyDescent="0.25">
      <c r="L480" s="103"/>
      <c r="M480" s="103"/>
      <c r="N480" s="103"/>
      <c r="O480" s="103"/>
      <c r="R480" s="103"/>
      <c r="Z480" s="103"/>
      <c r="AA480" s="103"/>
      <c r="AB480" s="103"/>
      <c r="AC480" s="103"/>
      <c r="AD480" s="103"/>
      <c r="AE480" s="103"/>
      <c r="AF480" s="103"/>
      <c r="AG480" s="185"/>
      <c r="AH480" s="103"/>
      <c r="AK480" s="185"/>
      <c r="AL480" s="103"/>
      <c r="AM480" s="103"/>
      <c r="AN480" s="103"/>
    </row>
    <row r="481" spans="1:40" x14ac:dyDescent="0.25">
      <c r="A481" s="103"/>
      <c r="C481" s="103"/>
      <c r="D481" s="103"/>
      <c r="E481" s="103"/>
      <c r="F481" s="103"/>
      <c r="J481" s="103"/>
      <c r="K481" s="103"/>
      <c r="L481" s="103"/>
      <c r="M481" s="103"/>
      <c r="N481" s="103"/>
      <c r="O481" s="103"/>
      <c r="P481" s="103"/>
      <c r="Q481" s="103"/>
      <c r="R481" s="103"/>
      <c r="T481" s="103"/>
      <c r="U481" s="103"/>
      <c r="V481" s="103"/>
      <c r="Z481" s="103"/>
      <c r="AA481" s="103"/>
      <c r="AB481" s="103"/>
      <c r="AC481" s="103"/>
      <c r="AD481" s="103"/>
      <c r="AE481" s="103"/>
      <c r="AF481" s="103"/>
      <c r="AG481" s="185"/>
      <c r="AH481" s="103"/>
      <c r="AI481" s="103"/>
      <c r="AJ481" s="103"/>
      <c r="AK481" s="185"/>
      <c r="AL481" s="103"/>
      <c r="AM481" s="103"/>
      <c r="AN481" s="103"/>
    </row>
    <row r="482" spans="1:40" x14ac:dyDescent="0.25">
      <c r="A482" s="103"/>
      <c r="C482" s="103"/>
      <c r="D482" s="103"/>
      <c r="E482" s="103"/>
      <c r="F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T482" s="103"/>
      <c r="U482" s="103"/>
      <c r="V482" s="103"/>
      <c r="Y482" s="103"/>
      <c r="Z482" s="103"/>
      <c r="AA482" s="103"/>
      <c r="AB482" s="103"/>
      <c r="AC482" s="103"/>
      <c r="AD482" s="103"/>
      <c r="AE482" s="103"/>
      <c r="AF482" s="103"/>
      <c r="AG482" s="185"/>
      <c r="AH482" s="103"/>
      <c r="AI482" s="103"/>
      <c r="AJ482" s="103"/>
      <c r="AK482" s="185"/>
      <c r="AL482" s="103"/>
      <c r="AM482" s="103"/>
      <c r="AN482" s="103"/>
    </row>
    <row r="483" spans="1:40" x14ac:dyDescent="0.25">
      <c r="C483" s="103"/>
      <c r="D483" s="103"/>
      <c r="E483" s="103"/>
      <c r="F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T483" s="103"/>
      <c r="U483" s="103"/>
      <c r="V483" s="103"/>
      <c r="Y483" s="103"/>
      <c r="Z483" s="103"/>
      <c r="AA483" s="103"/>
      <c r="AB483" s="103"/>
      <c r="AC483" s="103"/>
      <c r="AD483" s="103"/>
      <c r="AE483" s="103"/>
      <c r="AF483" s="103"/>
      <c r="AG483" s="185"/>
      <c r="AH483" s="103"/>
      <c r="AI483" s="103"/>
      <c r="AJ483" s="103"/>
      <c r="AK483" s="185"/>
      <c r="AL483" s="103"/>
      <c r="AM483" s="103"/>
      <c r="AN483" s="103"/>
    </row>
    <row r="484" spans="1:40" x14ac:dyDescent="0.2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208"/>
      <c r="AH484" s="102"/>
      <c r="AI484" s="102"/>
      <c r="AJ484" s="102"/>
      <c r="AK484" s="208"/>
      <c r="AL484" s="102"/>
      <c r="AM484" s="102"/>
      <c r="AN484" s="102"/>
    </row>
    <row r="485" spans="1:40" x14ac:dyDescent="0.25"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Y485" s="103"/>
      <c r="Z485" s="103"/>
      <c r="AA485" s="103"/>
      <c r="AB485" s="103"/>
      <c r="AC485" s="103"/>
      <c r="AD485" s="103"/>
      <c r="AE485" s="103"/>
      <c r="AF485" s="103"/>
      <c r="AG485" s="185"/>
      <c r="AH485" s="103"/>
      <c r="AI485" s="103"/>
      <c r="AJ485" s="103"/>
      <c r="AK485" s="185"/>
      <c r="AL485" s="103"/>
      <c r="AM485" s="103"/>
      <c r="AN485" s="103"/>
    </row>
    <row r="486" spans="1:40" x14ac:dyDescent="0.25">
      <c r="A486" s="202"/>
      <c r="C486" s="154"/>
      <c r="D486" s="154"/>
      <c r="E486" s="154"/>
      <c r="T486" s="154"/>
      <c r="U486" s="154"/>
    </row>
    <row r="487" spans="1:40" x14ac:dyDescent="0.25">
      <c r="A487" s="202"/>
      <c r="D487" s="154"/>
      <c r="E487" s="154"/>
      <c r="U487" s="154"/>
    </row>
    <row r="489" spans="1:40" x14ac:dyDescent="0.25">
      <c r="A489" s="202"/>
      <c r="C489" s="154"/>
      <c r="F489" s="200"/>
      <c r="J489" s="215"/>
      <c r="K489" s="215"/>
      <c r="L489" s="200"/>
      <c r="M489" s="200"/>
      <c r="R489" s="200"/>
      <c r="T489" s="154"/>
      <c r="V489" s="200"/>
      <c r="Z489" s="215"/>
      <c r="AA489" s="200"/>
      <c r="AB489" s="200"/>
      <c r="AG489" s="209"/>
      <c r="AH489" s="200"/>
      <c r="AK489" s="209"/>
      <c r="AL489" s="200"/>
    </row>
    <row r="490" spans="1:40" x14ac:dyDescent="0.25">
      <c r="A490" s="202"/>
      <c r="C490" s="154"/>
      <c r="F490" s="200"/>
      <c r="R490" s="200"/>
      <c r="T490" s="154"/>
      <c r="V490" s="200"/>
      <c r="AG490" s="209"/>
      <c r="AH490" s="200"/>
      <c r="AK490" s="209"/>
      <c r="AL490" s="200"/>
    </row>
    <row r="491" spans="1:40" x14ac:dyDescent="0.25">
      <c r="AI491" s="200"/>
      <c r="AJ491" s="200"/>
      <c r="AK491" s="209"/>
      <c r="AL491" s="200"/>
      <c r="AM491" s="210"/>
      <c r="AN491" s="210"/>
    </row>
    <row r="492" spans="1:40" x14ac:dyDescent="0.25">
      <c r="A492" s="202"/>
      <c r="C492" s="154"/>
      <c r="F492" s="252"/>
      <c r="H492" s="252"/>
      <c r="I492" s="252"/>
      <c r="J492" s="328"/>
      <c r="K492" s="328"/>
      <c r="L492" s="200"/>
      <c r="M492" s="200"/>
      <c r="N492" s="210"/>
      <c r="O492" s="210"/>
      <c r="P492" s="200"/>
      <c r="Q492" s="200"/>
      <c r="R492" s="200"/>
      <c r="T492" s="154"/>
      <c r="V492" s="200"/>
      <c r="Y492" s="200"/>
      <c r="Z492" s="328"/>
      <c r="AA492" s="200"/>
      <c r="AB492" s="200"/>
      <c r="AC492" s="210"/>
      <c r="AD492" s="210"/>
      <c r="AE492" s="200"/>
      <c r="AF492" s="200"/>
      <c r="AG492" s="209"/>
      <c r="AH492" s="201"/>
      <c r="AI492" s="200"/>
      <c r="AJ492" s="200"/>
      <c r="AK492" s="209"/>
      <c r="AL492" s="200"/>
      <c r="AM492" s="210"/>
      <c r="AN492" s="210"/>
    </row>
    <row r="493" spans="1:40" x14ac:dyDescent="0.25">
      <c r="F493" s="200"/>
      <c r="H493" s="200"/>
      <c r="I493" s="200"/>
      <c r="J493" s="213"/>
      <c r="K493" s="213"/>
      <c r="L493" s="200"/>
      <c r="M493" s="200"/>
      <c r="P493" s="200"/>
      <c r="Q493" s="200"/>
      <c r="R493" s="200"/>
      <c r="V493" s="200"/>
      <c r="Y493" s="200"/>
      <c r="Z493" s="213"/>
      <c r="AA493" s="200"/>
      <c r="AB493" s="200"/>
      <c r="AI493" s="200"/>
      <c r="AJ493" s="200"/>
      <c r="AK493" s="209"/>
      <c r="AL493" s="200"/>
      <c r="AM493" s="210"/>
      <c r="AN493" s="210"/>
    </row>
    <row r="494" spans="1:40" x14ac:dyDescent="0.25">
      <c r="F494" s="200"/>
      <c r="R494" s="200"/>
      <c r="V494" s="200"/>
      <c r="AK494" s="209"/>
      <c r="AL494" s="200"/>
      <c r="AM494" s="210"/>
      <c r="AN494" s="210"/>
    </row>
    <row r="495" spans="1:40" x14ac:dyDescent="0.25">
      <c r="A495" s="202"/>
      <c r="C495" s="154"/>
      <c r="F495" s="200"/>
      <c r="J495" s="215"/>
      <c r="K495" s="215"/>
      <c r="L495" s="200"/>
      <c r="M495" s="200"/>
      <c r="N495" s="210"/>
      <c r="O495" s="210"/>
      <c r="R495" s="200"/>
      <c r="T495" s="154"/>
      <c r="V495" s="200"/>
      <c r="Z495" s="215"/>
      <c r="AA495" s="200"/>
      <c r="AB495" s="200"/>
      <c r="AC495" s="210"/>
      <c r="AD495" s="210"/>
      <c r="AK495" s="209"/>
      <c r="AL495" s="200"/>
      <c r="AM495" s="210"/>
      <c r="AN495" s="210"/>
    </row>
    <row r="496" spans="1:40" x14ac:dyDescent="0.25">
      <c r="A496" s="202"/>
      <c r="C496" s="154"/>
      <c r="F496" s="200"/>
      <c r="H496" s="200"/>
      <c r="I496" s="200"/>
      <c r="J496" s="215"/>
      <c r="K496" s="215"/>
      <c r="L496" s="200"/>
      <c r="M496" s="200"/>
      <c r="N496" s="210"/>
      <c r="O496" s="210"/>
      <c r="P496" s="200"/>
      <c r="Q496" s="200"/>
      <c r="R496" s="200"/>
      <c r="T496" s="154"/>
      <c r="V496" s="200"/>
      <c r="Y496" s="200"/>
      <c r="Z496" s="215"/>
      <c r="AA496" s="200"/>
      <c r="AB496" s="200"/>
      <c r="AC496" s="210"/>
      <c r="AD496" s="210"/>
      <c r="AI496" s="200"/>
      <c r="AJ496" s="200"/>
      <c r="AK496" s="209"/>
      <c r="AL496" s="200"/>
      <c r="AM496" s="210"/>
      <c r="AN496" s="210"/>
    </row>
    <row r="497" spans="1:40" x14ac:dyDescent="0.25">
      <c r="A497" s="202"/>
      <c r="C497" s="154"/>
      <c r="T497" s="154"/>
      <c r="AM497" s="210"/>
      <c r="AN497" s="210"/>
    </row>
    <row r="498" spans="1:40" x14ac:dyDescent="0.25">
      <c r="A498" s="202"/>
      <c r="C498" s="154"/>
      <c r="T498" s="154"/>
      <c r="AM498" s="210"/>
      <c r="AN498" s="210"/>
    </row>
    <row r="499" spans="1:40" x14ac:dyDescent="0.25">
      <c r="AM499" s="210"/>
      <c r="AN499" s="210"/>
    </row>
    <row r="500" spans="1:40" x14ac:dyDescent="0.25">
      <c r="A500" s="202"/>
      <c r="C500" s="154"/>
      <c r="F500" s="252"/>
      <c r="H500" s="252"/>
      <c r="I500" s="252"/>
      <c r="J500" s="328"/>
      <c r="K500" s="328"/>
      <c r="L500" s="200"/>
      <c r="M500" s="200"/>
      <c r="N500" s="210"/>
      <c r="O500" s="210"/>
      <c r="P500" s="200"/>
      <c r="Q500" s="200"/>
      <c r="R500" s="200"/>
      <c r="T500" s="154"/>
      <c r="V500" s="200"/>
      <c r="Y500" s="200"/>
      <c r="Z500" s="328"/>
      <c r="AA500" s="200"/>
      <c r="AB500" s="200"/>
      <c r="AC500" s="210"/>
      <c r="AD500" s="210"/>
      <c r="AE500" s="200"/>
      <c r="AF500" s="200"/>
      <c r="AG500" s="209"/>
      <c r="AH500" s="201"/>
      <c r="AI500" s="200"/>
      <c r="AJ500" s="200"/>
      <c r="AK500" s="209"/>
      <c r="AL500" s="200"/>
      <c r="AM500" s="210"/>
      <c r="AN500" s="210"/>
    </row>
    <row r="501" spans="1:40" x14ac:dyDescent="0.25">
      <c r="F501" s="211"/>
      <c r="H501" s="211"/>
      <c r="I501" s="211"/>
      <c r="J501" s="305"/>
      <c r="K501" s="305"/>
      <c r="L501" s="211"/>
      <c r="M501" s="211"/>
      <c r="N501" s="211"/>
      <c r="O501" s="211"/>
      <c r="P501" s="211"/>
      <c r="Q501" s="211"/>
      <c r="R501" s="211"/>
      <c r="V501" s="211"/>
      <c r="Y501" s="211"/>
      <c r="Z501" s="305"/>
      <c r="AA501" s="211"/>
      <c r="AB501" s="211"/>
      <c r="AC501" s="211"/>
      <c r="AD501" s="211"/>
      <c r="AE501" s="211"/>
      <c r="AF501" s="211"/>
      <c r="AI501" s="211"/>
      <c r="AJ501" s="211"/>
      <c r="AK501" s="212"/>
      <c r="AL501" s="211"/>
      <c r="AM501" s="210"/>
      <c r="AN501" s="210"/>
    </row>
    <row r="502" spans="1:40" x14ac:dyDescent="0.25">
      <c r="H502" s="200"/>
      <c r="I502" s="200"/>
      <c r="Y502" s="200"/>
      <c r="AM502" s="210"/>
      <c r="AN502" s="210"/>
    </row>
    <row r="503" spans="1:40" x14ac:dyDescent="0.25">
      <c r="A503" s="202"/>
      <c r="C503" s="154"/>
      <c r="F503" s="200"/>
      <c r="H503" s="200"/>
      <c r="I503" s="200"/>
      <c r="L503" s="200"/>
      <c r="M503" s="200"/>
      <c r="N503" s="210"/>
      <c r="O503" s="210"/>
      <c r="P503" s="252"/>
      <c r="Q503" s="252"/>
      <c r="R503" s="200"/>
      <c r="T503" s="154"/>
      <c r="V503" s="200"/>
      <c r="Y503" s="200"/>
      <c r="AA503" s="200"/>
      <c r="AB503" s="200"/>
      <c r="AC503" s="210"/>
      <c r="AD503" s="210"/>
      <c r="AE503" s="200"/>
      <c r="AF503" s="200"/>
      <c r="AG503" s="209"/>
      <c r="AH503" s="201"/>
      <c r="AI503" s="252"/>
      <c r="AJ503" s="252"/>
      <c r="AK503" s="209"/>
      <c r="AL503" s="200"/>
      <c r="AM503" s="210"/>
      <c r="AN503" s="210"/>
    </row>
    <row r="504" spans="1:40" x14ac:dyDescent="0.25">
      <c r="F504" s="211"/>
      <c r="H504" s="211"/>
      <c r="I504" s="211"/>
      <c r="J504" s="305"/>
      <c r="K504" s="305"/>
      <c r="L504" s="211"/>
      <c r="M504" s="211"/>
      <c r="N504" s="211"/>
      <c r="O504" s="211"/>
      <c r="P504" s="211"/>
      <c r="Q504" s="211"/>
      <c r="R504" s="211"/>
      <c r="V504" s="211"/>
      <c r="Y504" s="211"/>
      <c r="Z504" s="305"/>
      <c r="AA504" s="211"/>
      <c r="AB504" s="211"/>
      <c r="AC504" s="211"/>
      <c r="AD504" s="211"/>
      <c r="AE504" s="211"/>
      <c r="AF504" s="211"/>
      <c r="AI504" s="211"/>
      <c r="AJ504" s="211"/>
      <c r="AK504" s="212"/>
      <c r="AL504" s="211"/>
      <c r="AM504" s="210"/>
      <c r="AN504" s="210"/>
    </row>
    <row r="506" spans="1:40" x14ac:dyDescent="0.25">
      <c r="F506" s="200"/>
      <c r="H506" s="200"/>
      <c r="I506" s="200"/>
      <c r="J506" s="213"/>
      <c r="K506" s="213"/>
      <c r="L506" s="200"/>
      <c r="M506" s="200"/>
      <c r="N506" s="200"/>
      <c r="O506" s="200"/>
      <c r="P506" s="200"/>
      <c r="Q506" s="200"/>
      <c r="R506" s="200"/>
      <c r="V506" s="200"/>
      <c r="Y506" s="200"/>
      <c r="Z506" s="213"/>
      <c r="AA506" s="200"/>
      <c r="AB506" s="200"/>
      <c r="AC506" s="200"/>
      <c r="AD506" s="200"/>
      <c r="AE506" s="200"/>
      <c r="AF506" s="200"/>
      <c r="AG506" s="209"/>
      <c r="AH506" s="200"/>
      <c r="AI506" s="200"/>
      <c r="AJ506" s="200"/>
      <c r="AK506" s="209"/>
      <c r="AL506" s="200"/>
    </row>
    <row r="507" spans="1:40" x14ac:dyDescent="0.25">
      <c r="A507" s="154"/>
    </row>
    <row r="508" spans="1:40" x14ac:dyDescent="0.25">
      <c r="J508" s="202"/>
      <c r="K508" s="202"/>
      <c r="Z508" s="202"/>
    </row>
    <row r="509" spans="1:40" x14ac:dyDescent="0.25">
      <c r="H509" s="154"/>
      <c r="I509" s="154"/>
      <c r="Y509" s="154"/>
    </row>
    <row r="510" spans="1:40" x14ac:dyDescent="0.25">
      <c r="J510" s="202"/>
      <c r="K510" s="202"/>
      <c r="Z510" s="202"/>
    </row>
    <row r="511" spans="1:40" x14ac:dyDescent="0.25">
      <c r="L511" s="154"/>
      <c r="M511" s="154"/>
      <c r="AA511" s="154"/>
      <c r="AB511" s="154"/>
    </row>
    <row r="512" spans="1:40" x14ac:dyDescent="0.25">
      <c r="A512" s="202"/>
      <c r="R512" s="154"/>
      <c r="AK512" s="297"/>
      <c r="AL512" s="154"/>
    </row>
    <row r="513" spans="1:40" x14ac:dyDescent="0.25">
      <c r="A513" s="202"/>
      <c r="R513" s="154"/>
      <c r="AK513" s="297"/>
      <c r="AL513" s="154"/>
    </row>
    <row r="514" spans="1:40" x14ac:dyDescent="0.25">
      <c r="A514" s="154"/>
      <c r="R514" s="154"/>
      <c r="AK514" s="297"/>
      <c r="AL514" s="154"/>
    </row>
    <row r="515" spans="1:40" x14ac:dyDescent="0.25">
      <c r="L515" s="154"/>
      <c r="M515" s="154"/>
      <c r="R515" s="202"/>
      <c r="AA515" s="154"/>
      <c r="AB515" s="154"/>
      <c r="AK515" s="209"/>
      <c r="AL515" s="202"/>
    </row>
    <row r="516" spans="1:40" x14ac:dyDescent="0.2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208"/>
      <c r="AH516" s="102"/>
      <c r="AI516" s="102"/>
      <c r="AJ516" s="102"/>
      <c r="AK516" s="208"/>
      <c r="AL516" s="102"/>
      <c r="AM516" s="102"/>
      <c r="AN516" s="102"/>
    </row>
    <row r="517" spans="1:40" x14ac:dyDescent="0.25">
      <c r="L517" s="103"/>
      <c r="M517" s="103"/>
      <c r="N517" s="103"/>
      <c r="O517" s="103"/>
      <c r="R517" s="103"/>
      <c r="AA517" s="103"/>
      <c r="AB517" s="103"/>
      <c r="AC517" s="103"/>
      <c r="AD517" s="103"/>
      <c r="AE517" s="103"/>
      <c r="AF517" s="103"/>
      <c r="AG517" s="185"/>
      <c r="AH517" s="103"/>
      <c r="AK517" s="185"/>
      <c r="AL517" s="103"/>
      <c r="AM517" s="103"/>
      <c r="AN517" s="103"/>
    </row>
    <row r="518" spans="1:40" x14ac:dyDescent="0.25">
      <c r="L518" s="103"/>
      <c r="M518" s="103"/>
      <c r="N518" s="103"/>
      <c r="O518" s="103"/>
      <c r="R518" s="103"/>
      <c r="Z518" s="103"/>
      <c r="AA518" s="103"/>
      <c r="AB518" s="103"/>
      <c r="AC518" s="103"/>
      <c r="AD518" s="103"/>
      <c r="AE518" s="103"/>
      <c r="AF518" s="103"/>
      <c r="AG518" s="185"/>
      <c r="AH518" s="103"/>
      <c r="AK518" s="185"/>
      <c r="AL518" s="103"/>
      <c r="AM518" s="103"/>
      <c r="AN518" s="103"/>
    </row>
    <row r="519" spans="1:40" x14ac:dyDescent="0.25">
      <c r="A519" s="103"/>
      <c r="C519" s="103"/>
      <c r="D519" s="103"/>
      <c r="E519" s="103"/>
      <c r="F519" s="103"/>
      <c r="J519" s="103"/>
      <c r="K519" s="103"/>
      <c r="L519" s="103"/>
      <c r="M519" s="103"/>
      <c r="N519" s="103"/>
      <c r="O519" s="103"/>
      <c r="P519" s="103"/>
      <c r="Q519" s="103"/>
      <c r="R519" s="103"/>
      <c r="T519" s="103"/>
      <c r="U519" s="103"/>
      <c r="V519" s="103"/>
      <c r="Z519" s="103"/>
      <c r="AA519" s="103"/>
      <c r="AB519" s="103"/>
      <c r="AC519" s="103"/>
      <c r="AD519" s="103"/>
      <c r="AE519" s="103"/>
      <c r="AF519" s="103"/>
      <c r="AG519" s="185"/>
      <c r="AH519" s="103"/>
      <c r="AI519" s="103"/>
      <c r="AJ519" s="103"/>
      <c r="AK519" s="185"/>
      <c r="AL519" s="103"/>
      <c r="AM519" s="103"/>
      <c r="AN519" s="103"/>
    </row>
    <row r="520" spans="1:40" x14ac:dyDescent="0.25">
      <c r="A520" s="103"/>
      <c r="C520" s="103"/>
      <c r="D520" s="103"/>
      <c r="E520" s="103"/>
      <c r="F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T520" s="103"/>
      <c r="U520" s="103"/>
      <c r="V520" s="103"/>
      <c r="Y520" s="103"/>
      <c r="Z520" s="103"/>
      <c r="AA520" s="103"/>
      <c r="AB520" s="103"/>
      <c r="AC520" s="103"/>
      <c r="AD520" s="103"/>
      <c r="AE520" s="103"/>
      <c r="AF520" s="103"/>
      <c r="AG520" s="185"/>
      <c r="AH520" s="103"/>
      <c r="AI520" s="103"/>
      <c r="AJ520" s="103"/>
      <c r="AK520" s="185"/>
      <c r="AL520" s="103"/>
      <c r="AM520" s="103"/>
      <c r="AN520" s="103"/>
    </row>
    <row r="521" spans="1:40" x14ac:dyDescent="0.25">
      <c r="C521" s="103"/>
      <c r="D521" s="103"/>
      <c r="E521" s="103"/>
      <c r="F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T521" s="103"/>
      <c r="U521" s="103"/>
      <c r="V521" s="103"/>
      <c r="Y521" s="103"/>
      <c r="Z521" s="103"/>
      <c r="AA521" s="103"/>
      <c r="AB521" s="103"/>
      <c r="AC521" s="103"/>
      <c r="AD521" s="103"/>
      <c r="AE521" s="103"/>
      <c r="AF521" s="103"/>
      <c r="AG521" s="185"/>
      <c r="AH521" s="103"/>
      <c r="AI521" s="103"/>
      <c r="AJ521" s="103"/>
      <c r="AK521" s="185"/>
      <c r="AL521" s="103"/>
      <c r="AM521" s="103"/>
      <c r="AN521" s="103"/>
    </row>
    <row r="522" spans="1:40" x14ac:dyDescent="0.2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208"/>
      <c r="AH522" s="102"/>
      <c r="AI522" s="102"/>
      <c r="AJ522" s="102"/>
      <c r="AK522" s="208"/>
      <c r="AL522" s="102"/>
      <c r="AM522" s="102"/>
      <c r="AN522" s="102"/>
    </row>
    <row r="523" spans="1:40" x14ac:dyDescent="0.25"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Y523" s="103"/>
      <c r="Z523" s="103"/>
      <c r="AA523" s="103"/>
      <c r="AB523" s="103"/>
      <c r="AC523" s="103"/>
      <c r="AD523" s="103"/>
      <c r="AE523" s="103"/>
      <c r="AF523" s="103"/>
      <c r="AG523" s="185"/>
      <c r="AH523" s="103"/>
      <c r="AI523" s="103"/>
      <c r="AJ523" s="103"/>
      <c r="AK523" s="185"/>
      <c r="AL523" s="103"/>
      <c r="AM523" s="103"/>
      <c r="AN523" s="103"/>
    </row>
    <row r="524" spans="1:40" x14ac:dyDescent="0.25">
      <c r="A524" s="202"/>
      <c r="C524" s="154"/>
      <c r="D524" s="154"/>
      <c r="E524" s="154"/>
      <c r="T524" s="154"/>
      <c r="U524" s="154"/>
      <c r="V524" s="200"/>
      <c r="W524" s="200"/>
      <c r="X524" s="200"/>
      <c r="Y524" s="200"/>
      <c r="Z524" s="328"/>
    </row>
    <row r="526" spans="1:40" x14ac:dyDescent="0.25">
      <c r="A526" s="202"/>
      <c r="C526" s="154"/>
      <c r="T526" s="154"/>
      <c r="V526" s="200"/>
      <c r="W526" s="200"/>
      <c r="X526" s="200"/>
      <c r="Y526" s="200"/>
      <c r="Z526" s="328"/>
    </row>
    <row r="527" spans="1:40" x14ac:dyDescent="0.25">
      <c r="A527" s="202"/>
      <c r="C527" s="154"/>
      <c r="F527" s="252"/>
      <c r="H527" s="252"/>
      <c r="I527" s="252"/>
      <c r="J527" s="329"/>
      <c r="K527" s="329"/>
      <c r="L527" s="200"/>
      <c r="M527" s="200"/>
      <c r="N527" s="210"/>
      <c r="O527" s="210"/>
      <c r="P527" s="200"/>
      <c r="Q527" s="200"/>
      <c r="R527" s="200"/>
      <c r="T527" s="154"/>
      <c r="V527" s="200"/>
      <c r="W527" s="200"/>
      <c r="X527" s="200"/>
      <c r="Y527" s="200"/>
      <c r="Z527" s="329"/>
      <c r="AA527" s="200"/>
      <c r="AB527" s="200"/>
      <c r="AC527" s="210"/>
      <c r="AD527" s="210"/>
      <c r="AE527" s="200"/>
      <c r="AF527" s="200"/>
      <c r="AG527" s="209"/>
      <c r="AH527" s="201"/>
      <c r="AI527" s="200"/>
      <c r="AJ527" s="200"/>
      <c r="AK527" s="209"/>
      <c r="AL527" s="200"/>
      <c r="AM527" s="210"/>
      <c r="AN527" s="210"/>
    </row>
    <row r="528" spans="1:40" x14ac:dyDescent="0.25">
      <c r="A528" s="202"/>
      <c r="C528" s="154"/>
      <c r="F528" s="252"/>
      <c r="H528" s="252"/>
      <c r="I528" s="252"/>
      <c r="J528" s="329"/>
      <c r="K528" s="329"/>
      <c r="L528" s="200"/>
      <c r="M528" s="200"/>
      <c r="N528" s="210"/>
      <c r="O528" s="210"/>
      <c r="P528" s="200"/>
      <c r="Q528" s="200"/>
      <c r="R528" s="200"/>
      <c r="T528" s="154"/>
      <c r="V528" s="200"/>
      <c r="W528" s="200"/>
      <c r="X528" s="200"/>
      <c r="Y528" s="200"/>
      <c r="Z528" s="329"/>
      <c r="AA528" s="200"/>
      <c r="AB528" s="200"/>
      <c r="AC528" s="210"/>
      <c r="AD528" s="210"/>
      <c r="AE528" s="200"/>
      <c r="AF528" s="200"/>
      <c r="AG528" s="209"/>
      <c r="AH528" s="201"/>
      <c r="AI528" s="200"/>
      <c r="AJ528" s="200"/>
      <c r="AK528" s="209"/>
      <c r="AL528" s="200"/>
      <c r="AM528" s="210"/>
      <c r="AN528" s="210"/>
    </row>
    <row r="529" spans="1:40" x14ac:dyDescent="0.25">
      <c r="A529" s="202"/>
      <c r="C529" s="154"/>
      <c r="F529" s="252"/>
      <c r="H529" s="252"/>
      <c r="I529" s="252"/>
      <c r="J529" s="329"/>
      <c r="K529" s="329"/>
      <c r="L529" s="200"/>
      <c r="M529" s="200"/>
      <c r="N529" s="210"/>
      <c r="O529" s="210"/>
      <c r="P529" s="200"/>
      <c r="Q529" s="200"/>
      <c r="R529" s="200"/>
      <c r="T529" s="154"/>
      <c r="V529" s="200"/>
      <c r="W529" s="200"/>
      <c r="X529" s="200"/>
      <c r="Y529" s="200"/>
      <c r="Z529" s="329"/>
      <c r="AA529" s="200"/>
      <c r="AB529" s="200"/>
      <c r="AC529" s="210"/>
      <c r="AD529" s="210"/>
      <c r="AE529" s="200"/>
      <c r="AF529" s="200"/>
      <c r="AG529" s="209"/>
      <c r="AH529" s="201"/>
      <c r="AI529" s="200"/>
      <c r="AJ529" s="200"/>
      <c r="AK529" s="209"/>
      <c r="AL529" s="200"/>
      <c r="AM529" s="210"/>
      <c r="AN529" s="210"/>
    </row>
    <row r="530" spans="1:40" x14ac:dyDescent="0.25">
      <c r="A530" s="202"/>
      <c r="C530" s="154"/>
      <c r="F530" s="252"/>
      <c r="H530" s="252"/>
      <c r="I530" s="252"/>
      <c r="J530" s="329"/>
      <c r="K530" s="329"/>
      <c r="L530" s="200"/>
      <c r="M530" s="200"/>
      <c r="N530" s="210"/>
      <c r="O530" s="210"/>
      <c r="P530" s="200"/>
      <c r="Q530" s="200"/>
      <c r="R530" s="200"/>
      <c r="T530" s="154"/>
      <c r="V530" s="200"/>
      <c r="W530" s="200"/>
      <c r="X530" s="200"/>
      <c r="Y530" s="200"/>
      <c r="Z530" s="329"/>
      <c r="AA530" s="200"/>
      <c r="AB530" s="200"/>
      <c r="AC530" s="210"/>
      <c r="AD530" s="210"/>
      <c r="AE530" s="200"/>
      <c r="AF530" s="200"/>
      <c r="AG530" s="209"/>
      <c r="AH530" s="201"/>
      <c r="AI530" s="200"/>
      <c r="AJ530" s="200"/>
      <c r="AK530" s="209"/>
      <c r="AL530" s="200"/>
      <c r="AM530" s="210"/>
      <c r="AN530" s="210"/>
    </row>
    <row r="531" spans="1:40" x14ac:dyDescent="0.25">
      <c r="J531" s="334"/>
      <c r="K531" s="334"/>
      <c r="V531" s="200"/>
      <c r="W531" s="200"/>
      <c r="X531" s="200"/>
      <c r="Y531" s="200"/>
      <c r="Z531" s="329"/>
    </row>
    <row r="532" spans="1:40" x14ac:dyDescent="0.25">
      <c r="A532" s="202"/>
      <c r="C532" s="154"/>
      <c r="F532" s="252"/>
      <c r="H532" s="252"/>
      <c r="I532" s="252"/>
      <c r="J532" s="329"/>
      <c r="K532" s="329"/>
      <c r="L532" s="200"/>
      <c r="M532" s="200"/>
      <c r="N532" s="210"/>
      <c r="O532" s="210"/>
      <c r="P532" s="200"/>
      <c r="Q532" s="200"/>
      <c r="R532" s="200"/>
      <c r="T532" s="154"/>
      <c r="V532" s="200"/>
      <c r="W532" s="200"/>
      <c r="X532" s="200"/>
      <c r="Y532" s="200"/>
      <c r="Z532" s="329"/>
      <c r="AA532" s="200"/>
      <c r="AB532" s="200"/>
      <c r="AC532" s="210"/>
      <c r="AD532" s="210"/>
      <c r="AE532" s="200"/>
      <c r="AF532" s="200"/>
      <c r="AG532" s="209"/>
      <c r="AH532" s="201"/>
      <c r="AI532" s="200"/>
      <c r="AJ532" s="200"/>
      <c r="AK532" s="209"/>
      <c r="AL532" s="200"/>
      <c r="AM532" s="201"/>
      <c r="AN532" s="201"/>
    </row>
    <row r="533" spans="1:40" x14ac:dyDescent="0.25">
      <c r="A533" s="202"/>
      <c r="C533" s="154"/>
      <c r="J533" s="334"/>
      <c r="K533" s="334"/>
      <c r="T533" s="154"/>
      <c r="V533" s="200"/>
      <c r="W533" s="200"/>
      <c r="X533" s="200"/>
      <c r="Y533" s="200"/>
      <c r="Z533" s="329"/>
    </row>
    <row r="534" spans="1:40" x14ac:dyDescent="0.25">
      <c r="A534" s="202"/>
      <c r="C534" s="154"/>
      <c r="F534" s="252"/>
      <c r="H534" s="252"/>
      <c r="I534" s="252"/>
      <c r="J534" s="329"/>
      <c r="K534" s="329"/>
      <c r="L534" s="200"/>
      <c r="M534" s="200"/>
      <c r="N534" s="210"/>
      <c r="O534" s="210"/>
      <c r="P534" s="200"/>
      <c r="Q534" s="200"/>
      <c r="R534" s="200"/>
      <c r="T534" s="154"/>
      <c r="V534" s="200"/>
      <c r="W534" s="200"/>
      <c r="X534" s="200"/>
      <c r="Y534" s="200"/>
      <c r="Z534" s="329"/>
      <c r="AA534" s="200"/>
      <c r="AB534" s="200"/>
      <c r="AC534" s="210"/>
      <c r="AD534" s="210"/>
      <c r="AE534" s="200"/>
      <c r="AF534" s="200"/>
      <c r="AG534" s="209"/>
      <c r="AH534" s="201"/>
      <c r="AI534" s="200"/>
      <c r="AJ534" s="200"/>
      <c r="AK534" s="209"/>
      <c r="AL534" s="200"/>
      <c r="AM534" s="201"/>
      <c r="AN534" s="201"/>
    </row>
    <row r="535" spans="1:40" x14ac:dyDescent="0.25">
      <c r="J535" s="334"/>
      <c r="K535" s="334"/>
      <c r="Z535" s="334"/>
    </row>
    <row r="536" spans="1:40" x14ac:dyDescent="0.25">
      <c r="A536" s="202"/>
      <c r="C536" s="154"/>
      <c r="J536" s="334"/>
      <c r="K536" s="334"/>
      <c r="T536" s="154"/>
      <c r="V536" s="200"/>
      <c r="W536" s="200"/>
      <c r="X536" s="200"/>
      <c r="Y536" s="200"/>
      <c r="Z536" s="329"/>
    </row>
    <row r="537" spans="1:40" x14ac:dyDescent="0.25">
      <c r="A537" s="202"/>
      <c r="C537" s="154"/>
      <c r="F537" s="252"/>
      <c r="H537" s="252"/>
      <c r="I537" s="252"/>
      <c r="J537" s="329"/>
      <c r="K537" s="329"/>
      <c r="L537" s="200"/>
      <c r="M537" s="200"/>
      <c r="N537" s="210"/>
      <c r="O537" s="210"/>
      <c r="P537" s="200"/>
      <c r="Q537" s="200"/>
      <c r="R537" s="200"/>
      <c r="T537" s="154"/>
      <c r="V537" s="200"/>
      <c r="W537" s="200"/>
      <c r="X537" s="200"/>
      <c r="Y537" s="200"/>
      <c r="Z537" s="329"/>
      <c r="AA537" s="200"/>
      <c r="AB537" s="200"/>
      <c r="AC537" s="210"/>
      <c r="AD537" s="210"/>
      <c r="AE537" s="200"/>
      <c r="AF537" s="200"/>
      <c r="AG537" s="209"/>
      <c r="AH537" s="201"/>
      <c r="AI537" s="200"/>
      <c r="AJ537" s="200"/>
      <c r="AK537" s="209"/>
      <c r="AL537" s="200"/>
      <c r="AM537" s="201"/>
      <c r="AN537" s="201"/>
    </row>
    <row r="538" spans="1:40" x14ac:dyDescent="0.25">
      <c r="A538" s="202"/>
      <c r="C538" s="154"/>
      <c r="F538" s="252"/>
      <c r="H538" s="252"/>
      <c r="I538" s="252"/>
      <c r="J538" s="329"/>
      <c r="K538" s="329"/>
      <c r="L538" s="200"/>
      <c r="M538" s="200"/>
      <c r="N538" s="210"/>
      <c r="O538" s="210"/>
      <c r="P538" s="200"/>
      <c r="Q538" s="200"/>
      <c r="R538" s="200"/>
      <c r="T538" s="154"/>
      <c r="V538" s="200"/>
      <c r="W538" s="200"/>
      <c r="X538" s="200"/>
      <c r="Y538" s="200"/>
      <c r="Z538" s="329"/>
      <c r="AA538" s="200"/>
      <c r="AB538" s="200"/>
      <c r="AC538" s="210"/>
      <c r="AD538" s="210"/>
      <c r="AE538" s="200"/>
      <c r="AF538" s="200"/>
      <c r="AG538" s="209"/>
      <c r="AH538" s="201"/>
      <c r="AI538" s="200"/>
      <c r="AJ538" s="200"/>
      <c r="AK538" s="209"/>
      <c r="AL538" s="200"/>
      <c r="AM538" s="201"/>
      <c r="AN538" s="201"/>
    </row>
    <row r="539" spans="1:40" x14ac:dyDescent="0.25">
      <c r="F539" s="211"/>
      <c r="H539" s="211"/>
      <c r="I539" s="211"/>
      <c r="J539" s="329"/>
      <c r="K539" s="329"/>
      <c r="L539" s="211"/>
      <c r="M539" s="211"/>
      <c r="N539" s="211"/>
      <c r="O539" s="211"/>
      <c r="P539" s="211"/>
      <c r="Q539" s="211"/>
      <c r="R539" s="211"/>
      <c r="V539" s="211"/>
      <c r="Y539" s="211"/>
      <c r="Z539" s="305"/>
      <c r="AA539" s="211"/>
      <c r="AB539" s="211"/>
      <c r="AC539" s="211"/>
      <c r="AD539" s="211"/>
      <c r="AE539" s="211"/>
      <c r="AF539" s="211"/>
      <c r="AI539" s="211"/>
      <c r="AJ539" s="211"/>
      <c r="AK539" s="212"/>
      <c r="AL539" s="211"/>
    </row>
    <row r="540" spans="1:40" x14ac:dyDescent="0.25">
      <c r="A540" s="202"/>
      <c r="C540" s="154"/>
      <c r="F540" s="200"/>
      <c r="H540" s="200"/>
      <c r="I540" s="200"/>
      <c r="L540" s="200"/>
      <c r="M540" s="200"/>
      <c r="N540" s="210"/>
      <c r="O540" s="210"/>
      <c r="P540" s="252"/>
      <c r="Q540" s="252"/>
      <c r="R540" s="200"/>
      <c r="T540" s="154"/>
      <c r="V540" s="200"/>
      <c r="W540" s="200"/>
      <c r="X540" s="200"/>
      <c r="Y540" s="200"/>
      <c r="Z540" s="328"/>
      <c r="AA540" s="200"/>
      <c r="AB540" s="200"/>
      <c r="AC540" s="210"/>
      <c r="AD540" s="210"/>
      <c r="AE540" s="200"/>
      <c r="AF540" s="200"/>
      <c r="AG540" s="209"/>
      <c r="AH540" s="201"/>
      <c r="AI540" s="252"/>
      <c r="AJ540" s="252"/>
      <c r="AK540" s="209"/>
      <c r="AL540" s="200"/>
      <c r="AM540" s="201"/>
      <c r="AN540" s="201"/>
    </row>
    <row r="541" spans="1:40" x14ac:dyDescent="0.25">
      <c r="F541" s="211"/>
      <c r="H541" s="211"/>
      <c r="I541" s="211"/>
      <c r="J541" s="305"/>
      <c r="K541" s="305"/>
      <c r="L541" s="211"/>
      <c r="M541" s="211"/>
      <c r="N541" s="211"/>
      <c r="O541" s="211"/>
      <c r="P541" s="211"/>
      <c r="Q541" s="211"/>
      <c r="R541" s="211"/>
      <c r="V541" s="211"/>
      <c r="Y541" s="211"/>
      <c r="Z541" s="305"/>
      <c r="AA541" s="211"/>
      <c r="AB541" s="211"/>
      <c r="AC541" s="211"/>
      <c r="AD541" s="211"/>
      <c r="AE541" s="211"/>
      <c r="AF541" s="211"/>
      <c r="AI541" s="211"/>
      <c r="AJ541" s="211"/>
      <c r="AK541" s="212"/>
      <c r="AL541" s="211"/>
    </row>
    <row r="543" spans="1:40" x14ac:dyDescent="0.25">
      <c r="C543" s="202"/>
      <c r="T543" s="202"/>
    </row>
    <row r="544" spans="1:40" x14ac:dyDescent="0.25">
      <c r="A544" s="154"/>
    </row>
    <row r="545" spans="1:40" x14ac:dyDescent="0.25">
      <c r="J545" s="202"/>
      <c r="K545" s="202"/>
      <c r="Z545" s="202"/>
    </row>
    <row r="546" spans="1:40" x14ac:dyDescent="0.25">
      <c r="H546" s="154"/>
      <c r="I546" s="154"/>
      <c r="Y546" s="154"/>
    </row>
    <row r="547" spans="1:40" x14ac:dyDescent="0.25">
      <c r="J547" s="202"/>
      <c r="K547" s="202"/>
      <c r="Z547" s="202"/>
    </row>
    <row r="548" spans="1:40" x14ac:dyDescent="0.25">
      <c r="L548" s="154"/>
      <c r="M548" s="154"/>
      <c r="AA548" s="154"/>
      <c r="AB548" s="154"/>
    </row>
    <row r="549" spans="1:40" x14ac:dyDescent="0.25">
      <c r="A549" s="202"/>
      <c r="R549" s="154"/>
      <c r="AK549" s="297"/>
      <c r="AL549" s="154"/>
    </row>
    <row r="550" spans="1:40" x14ac:dyDescent="0.25">
      <c r="A550" s="202"/>
      <c r="R550" s="154"/>
      <c r="AK550" s="297"/>
      <c r="AL550" s="154"/>
    </row>
    <row r="551" spans="1:40" x14ac:dyDescent="0.25">
      <c r="A551" s="154"/>
      <c r="R551" s="154"/>
      <c r="AK551" s="297"/>
      <c r="AL551" s="154"/>
    </row>
    <row r="552" spans="1:40" x14ac:dyDescent="0.25">
      <c r="L552" s="154"/>
      <c r="M552" s="154"/>
      <c r="R552" s="202"/>
      <c r="AA552" s="154"/>
      <c r="AB552" s="154"/>
      <c r="AK552" s="209"/>
      <c r="AL552" s="202"/>
    </row>
    <row r="553" spans="1:40" x14ac:dyDescent="0.2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208"/>
      <c r="AH553" s="102"/>
      <c r="AI553" s="102"/>
      <c r="AJ553" s="102"/>
      <c r="AK553" s="208"/>
      <c r="AL553" s="102"/>
      <c r="AM553" s="102"/>
      <c r="AN553" s="102"/>
    </row>
    <row r="554" spans="1:40" x14ac:dyDescent="0.25">
      <c r="L554" s="103"/>
      <c r="M554" s="103"/>
      <c r="N554" s="103"/>
      <c r="O554" s="103"/>
      <c r="R554" s="103"/>
      <c r="AA554" s="103"/>
      <c r="AB554" s="103"/>
      <c r="AC554" s="103"/>
      <c r="AD554" s="103"/>
      <c r="AE554" s="103"/>
      <c r="AF554" s="103"/>
      <c r="AG554" s="185"/>
      <c r="AH554" s="103"/>
      <c r="AK554" s="185"/>
      <c r="AL554" s="103"/>
      <c r="AM554" s="103"/>
      <c r="AN554" s="103"/>
    </row>
    <row r="555" spans="1:40" x14ac:dyDescent="0.25">
      <c r="L555" s="103"/>
      <c r="M555" s="103"/>
      <c r="N555" s="103"/>
      <c r="O555" s="103"/>
      <c r="R555" s="103"/>
      <c r="Z555" s="103"/>
      <c r="AA555" s="103"/>
      <c r="AB555" s="103"/>
      <c r="AC555" s="103"/>
      <c r="AD555" s="103"/>
      <c r="AE555" s="103"/>
      <c r="AF555" s="103"/>
      <c r="AG555" s="185"/>
      <c r="AH555" s="103"/>
      <c r="AK555" s="185"/>
      <c r="AL555" s="103"/>
      <c r="AM555" s="103"/>
      <c r="AN555" s="103"/>
    </row>
    <row r="556" spans="1:40" x14ac:dyDescent="0.25">
      <c r="A556" s="103"/>
      <c r="C556" s="103"/>
      <c r="D556" s="103"/>
      <c r="E556" s="103"/>
      <c r="F556" s="103"/>
      <c r="J556" s="103"/>
      <c r="K556" s="103"/>
      <c r="L556" s="103"/>
      <c r="M556" s="103"/>
      <c r="N556" s="103"/>
      <c r="O556" s="103"/>
      <c r="P556" s="103"/>
      <c r="Q556" s="103"/>
      <c r="R556" s="103"/>
      <c r="T556" s="103"/>
      <c r="U556" s="103"/>
      <c r="V556" s="103"/>
      <c r="Z556" s="103"/>
      <c r="AA556" s="103"/>
      <c r="AB556" s="103"/>
      <c r="AC556" s="103"/>
      <c r="AD556" s="103"/>
      <c r="AE556" s="103"/>
      <c r="AF556" s="103"/>
      <c r="AG556" s="185"/>
      <c r="AH556" s="103"/>
      <c r="AI556" s="103"/>
      <c r="AJ556" s="103"/>
      <c r="AK556" s="185"/>
      <c r="AL556" s="103"/>
      <c r="AM556" s="103"/>
      <c r="AN556" s="103"/>
    </row>
    <row r="557" spans="1:40" x14ac:dyDescent="0.25">
      <c r="A557" s="103"/>
      <c r="C557" s="103"/>
      <c r="D557" s="103"/>
      <c r="E557" s="103"/>
      <c r="F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T557" s="103"/>
      <c r="U557" s="103"/>
      <c r="V557" s="103"/>
      <c r="Y557" s="103"/>
      <c r="Z557" s="103"/>
      <c r="AA557" s="103"/>
      <c r="AB557" s="103"/>
      <c r="AC557" s="103"/>
      <c r="AD557" s="103"/>
      <c r="AE557" s="103"/>
      <c r="AF557" s="103"/>
      <c r="AG557" s="185"/>
      <c r="AH557" s="103"/>
      <c r="AI557" s="103"/>
      <c r="AJ557" s="103"/>
      <c r="AK557" s="185"/>
      <c r="AL557" s="103"/>
      <c r="AM557" s="103"/>
      <c r="AN557" s="103"/>
    </row>
    <row r="558" spans="1:40" x14ac:dyDescent="0.25">
      <c r="C558" s="103"/>
      <c r="D558" s="103"/>
      <c r="E558" s="103"/>
      <c r="F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T558" s="103"/>
      <c r="U558" s="103"/>
      <c r="V558" s="103"/>
      <c r="Y558" s="103"/>
      <c r="Z558" s="103"/>
      <c r="AA558" s="103"/>
      <c r="AB558" s="103"/>
      <c r="AC558" s="103"/>
      <c r="AD558" s="103"/>
      <c r="AE558" s="103"/>
      <c r="AF558" s="103"/>
      <c r="AG558" s="185"/>
      <c r="AH558" s="103"/>
      <c r="AI558" s="103"/>
      <c r="AJ558" s="103"/>
      <c r="AK558" s="185"/>
      <c r="AL558" s="103"/>
      <c r="AM558" s="103"/>
      <c r="AN558" s="103"/>
    </row>
    <row r="559" spans="1:40" x14ac:dyDescent="0.2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208"/>
      <c r="AH559" s="102"/>
      <c r="AI559" s="102"/>
      <c r="AJ559" s="102"/>
      <c r="AK559" s="208"/>
      <c r="AL559" s="102"/>
      <c r="AM559" s="102"/>
      <c r="AN559" s="102"/>
    </row>
    <row r="560" spans="1:40" x14ac:dyDescent="0.25"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Y560" s="103"/>
      <c r="Z560" s="103"/>
      <c r="AA560" s="103"/>
      <c r="AB560" s="103"/>
      <c r="AC560" s="103"/>
      <c r="AD560" s="103"/>
      <c r="AE560" s="103"/>
      <c r="AF560" s="103"/>
      <c r="AG560" s="185"/>
      <c r="AH560" s="103"/>
      <c r="AI560" s="103"/>
      <c r="AJ560" s="103"/>
      <c r="AK560" s="185"/>
      <c r="AL560" s="103"/>
      <c r="AM560" s="103"/>
      <c r="AN560" s="103"/>
    </row>
    <row r="561" spans="1:40" x14ac:dyDescent="0.25">
      <c r="A561" s="202"/>
      <c r="C561" s="154"/>
      <c r="D561" s="154"/>
      <c r="E561" s="154"/>
      <c r="T561" s="154"/>
      <c r="U561" s="154"/>
    </row>
    <row r="563" spans="1:40" x14ac:dyDescent="0.25">
      <c r="A563" s="202"/>
      <c r="C563" s="154"/>
      <c r="T563" s="154"/>
    </row>
    <row r="564" spans="1:40" x14ac:dyDescent="0.25">
      <c r="A564" s="202"/>
      <c r="C564" s="154"/>
      <c r="T564" s="154"/>
    </row>
    <row r="565" spans="1:40" x14ac:dyDescent="0.25">
      <c r="A565" s="202"/>
      <c r="C565" s="154"/>
      <c r="F565" s="252"/>
      <c r="H565" s="252"/>
      <c r="I565" s="252"/>
      <c r="J565" s="329"/>
      <c r="K565" s="329"/>
      <c r="L565" s="200"/>
      <c r="M565" s="200"/>
      <c r="N565" s="210"/>
      <c r="O565" s="210"/>
      <c r="P565" s="200"/>
      <c r="Q565" s="200"/>
      <c r="R565" s="200"/>
      <c r="T565" s="154"/>
      <c r="V565" s="200"/>
      <c r="W565" s="200"/>
      <c r="X565" s="200"/>
      <c r="Y565" s="200"/>
      <c r="Z565" s="329"/>
      <c r="AA565" s="200"/>
      <c r="AB565" s="200"/>
      <c r="AC565" s="210"/>
      <c r="AD565" s="210"/>
      <c r="AE565" s="200"/>
      <c r="AF565" s="200"/>
      <c r="AG565" s="209"/>
      <c r="AH565" s="201"/>
      <c r="AI565" s="200"/>
      <c r="AJ565" s="200"/>
      <c r="AK565" s="209"/>
      <c r="AL565" s="200"/>
      <c r="AM565" s="201"/>
      <c r="AN565" s="201"/>
    </row>
    <row r="566" spans="1:40" x14ac:dyDescent="0.25">
      <c r="A566" s="202"/>
      <c r="C566" s="154"/>
      <c r="F566" s="200"/>
      <c r="H566" s="200"/>
      <c r="I566" s="200"/>
      <c r="J566" s="334"/>
      <c r="K566" s="334"/>
      <c r="L566" s="200"/>
      <c r="M566" s="200"/>
      <c r="N566" s="210"/>
      <c r="O566" s="210"/>
      <c r="P566" s="200"/>
      <c r="Q566" s="200"/>
      <c r="R566" s="200"/>
      <c r="T566" s="154"/>
      <c r="V566" s="200"/>
      <c r="W566" s="200"/>
      <c r="X566" s="200"/>
      <c r="Y566" s="200"/>
      <c r="Z566" s="334"/>
      <c r="AA566" s="200"/>
      <c r="AB566" s="200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01"/>
      <c r="AN566" s="201"/>
    </row>
    <row r="567" spans="1:40" x14ac:dyDescent="0.25">
      <c r="A567" s="202"/>
      <c r="C567" s="154"/>
      <c r="F567" s="200"/>
      <c r="H567" s="200"/>
      <c r="I567" s="200"/>
      <c r="J567" s="334"/>
      <c r="K567" s="334"/>
      <c r="L567" s="200"/>
      <c r="M567" s="200"/>
      <c r="N567" s="210"/>
      <c r="O567" s="210"/>
      <c r="P567" s="200"/>
      <c r="Q567" s="200"/>
      <c r="R567" s="200"/>
      <c r="T567" s="154"/>
      <c r="V567" s="200"/>
      <c r="W567" s="200"/>
      <c r="X567" s="200"/>
      <c r="Y567" s="200"/>
      <c r="Z567" s="334"/>
      <c r="AA567" s="200"/>
      <c r="AB567" s="200"/>
      <c r="AC567" s="210"/>
      <c r="AD567" s="210"/>
      <c r="AE567" s="200"/>
      <c r="AF567" s="200"/>
      <c r="AG567" s="209"/>
      <c r="AH567" s="201"/>
      <c r="AI567" s="200"/>
      <c r="AJ567" s="200"/>
      <c r="AK567" s="209"/>
      <c r="AL567" s="200"/>
      <c r="AM567" s="201"/>
      <c r="AN567" s="201"/>
    </row>
    <row r="568" spans="1:40" x14ac:dyDescent="0.25">
      <c r="A568" s="202"/>
      <c r="C568" s="154"/>
      <c r="F568" s="200"/>
      <c r="H568" s="200"/>
      <c r="I568" s="200"/>
      <c r="J568" s="334"/>
      <c r="K568" s="334"/>
      <c r="T568" s="154"/>
      <c r="V568" s="200"/>
      <c r="Z568" s="334"/>
    </row>
    <row r="569" spans="1:40" x14ac:dyDescent="0.25">
      <c r="A569" s="202"/>
      <c r="C569" s="154"/>
      <c r="F569" s="252"/>
      <c r="H569" s="252"/>
      <c r="I569" s="252"/>
      <c r="J569" s="329"/>
      <c r="K569" s="329"/>
      <c r="L569" s="200"/>
      <c r="M569" s="200"/>
      <c r="N569" s="210"/>
      <c r="O569" s="210"/>
      <c r="P569" s="200"/>
      <c r="Q569" s="200"/>
      <c r="R569" s="200"/>
      <c r="T569" s="154"/>
      <c r="V569" s="200"/>
      <c r="W569" s="200"/>
      <c r="X569" s="200"/>
      <c r="Y569" s="200"/>
      <c r="Z569" s="329"/>
      <c r="AA569" s="200"/>
      <c r="AB569" s="200"/>
      <c r="AC569" s="210"/>
      <c r="AD569" s="210"/>
      <c r="AE569" s="200"/>
      <c r="AF569" s="200"/>
      <c r="AG569" s="209"/>
      <c r="AH569" s="201"/>
      <c r="AI569" s="200"/>
      <c r="AJ569" s="200"/>
      <c r="AK569" s="209"/>
      <c r="AL569" s="200"/>
      <c r="AM569" s="201"/>
      <c r="AN569" s="201"/>
    </row>
    <row r="570" spans="1:40" x14ac:dyDescent="0.25">
      <c r="A570" s="202"/>
      <c r="C570" s="154"/>
      <c r="F570" s="200"/>
      <c r="H570" s="200"/>
      <c r="I570" s="200"/>
      <c r="J570" s="334"/>
      <c r="K570" s="334"/>
      <c r="T570" s="154"/>
      <c r="V570" s="200"/>
      <c r="W570" s="200"/>
      <c r="X570" s="200"/>
      <c r="Y570" s="200"/>
      <c r="Z570" s="334"/>
      <c r="AC570" s="210"/>
      <c r="AD570" s="210"/>
      <c r="AE570" s="200"/>
      <c r="AF570" s="200"/>
      <c r="AG570" s="209"/>
      <c r="AH570" s="201"/>
      <c r="AI570" s="200"/>
      <c r="AJ570" s="200"/>
      <c r="AK570" s="209"/>
      <c r="AL570" s="200"/>
      <c r="AM570" s="201"/>
      <c r="AN570" s="201"/>
    </row>
    <row r="571" spans="1:40" x14ac:dyDescent="0.25">
      <c r="A571" s="202"/>
      <c r="C571" s="154"/>
      <c r="F571" s="252"/>
      <c r="H571" s="252"/>
      <c r="I571" s="252"/>
      <c r="J571" s="329"/>
      <c r="K571" s="329"/>
      <c r="L571" s="200"/>
      <c r="M571" s="200"/>
      <c r="N571" s="210"/>
      <c r="O571" s="210"/>
      <c r="P571" s="200"/>
      <c r="Q571" s="200"/>
      <c r="R571" s="200"/>
      <c r="T571" s="154"/>
      <c r="V571" s="200"/>
      <c r="W571" s="200"/>
      <c r="X571" s="200"/>
      <c r="Y571" s="200"/>
      <c r="Z571" s="329"/>
      <c r="AA571" s="200"/>
      <c r="AB571" s="200"/>
      <c r="AC571" s="210"/>
      <c r="AD571" s="210"/>
      <c r="AE571" s="200"/>
      <c r="AF571" s="200"/>
      <c r="AG571" s="209"/>
      <c r="AH571" s="201"/>
      <c r="AI571" s="200"/>
      <c r="AJ571" s="200"/>
      <c r="AK571" s="209"/>
      <c r="AL571" s="200"/>
      <c r="AM571" s="201"/>
      <c r="AN571" s="201"/>
    </row>
    <row r="572" spans="1:40" x14ac:dyDescent="0.25">
      <c r="A572" s="202"/>
      <c r="C572" s="154"/>
      <c r="F572" s="200"/>
      <c r="H572" s="200"/>
      <c r="I572" s="200"/>
      <c r="J572" s="334"/>
      <c r="K572" s="334"/>
      <c r="L572" s="200"/>
      <c r="M572" s="200"/>
      <c r="N572" s="210"/>
      <c r="O572" s="210"/>
      <c r="P572" s="200"/>
      <c r="Q572" s="200"/>
      <c r="R572" s="200"/>
      <c r="T572" s="154"/>
      <c r="V572" s="200"/>
      <c r="W572" s="200"/>
      <c r="X572" s="200"/>
      <c r="Y572" s="200"/>
      <c r="Z572" s="334"/>
      <c r="AA572" s="200"/>
      <c r="AB572" s="200"/>
      <c r="AC572" s="210"/>
      <c r="AD572" s="210"/>
      <c r="AE572" s="200"/>
      <c r="AF572" s="200"/>
      <c r="AG572" s="209"/>
      <c r="AH572" s="201"/>
      <c r="AI572" s="200"/>
      <c r="AJ572" s="200"/>
      <c r="AK572" s="209"/>
      <c r="AL572" s="200"/>
      <c r="AM572" s="201"/>
      <c r="AN572" s="201"/>
    </row>
    <row r="573" spans="1:40" x14ac:dyDescent="0.25">
      <c r="F573" s="200"/>
      <c r="H573" s="200"/>
      <c r="I573" s="200"/>
      <c r="J573" s="334"/>
      <c r="K573" s="334"/>
      <c r="Z573" s="334"/>
    </row>
    <row r="574" spans="1:40" x14ac:dyDescent="0.25">
      <c r="A574" s="202"/>
      <c r="C574" s="154"/>
      <c r="F574" s="200"/>
      <c r="H574" s="252"/>
      <c r="I574" s="252"/>
      <c r="J574" s="329"/>
      <c r="K574" s="329"/>
      <c r="L574" s="200"/>
      <c r="M574" s="200"/>
      <c r="N574" s="210"/>
      <c r="O574" s="210"/>
      <c r="P574" s="200"/>
      <c r="Q574" s="200"/>
      <c r="R574" s="200"/>
      <c r="T574" s="154"/>
      <c r="V574" s="200"/>
      <c r="W574" s="200"/>
      <c r="X574" s="200"/>
      <c r="Y574" s="200"/>
      <c r="Z574" s="329"/>
      <c r="AA574" s="200"/>
      <c r="AB574" s="200"/>
      <c r="AC574" s="210"/>
      <c r="AD574" s="210"/>
      <c r="AE574" s="200"/>
      <c r="AF574" s="200"/>
      <c r="AG574" s="209"/>
      <c r="AH574" s="201"/>
      <c r="AI574" s="200"/>
      <c r="AJ574" s="200"/>
      <c r="AK574" s="209"/>
      <c r="AL574" s="200"/>
      <c r="AM574" s="201"/>
      <c r="AN574" s="201"/>
    </row>
    <row r="575" spans="1:40" x14ac:dyDescent="0.25">
      <c r="F575" s="211"/>
      <c r="H575" s="211"/>
      <c r="I575" s="211"/>
      <c r="J575" s="329"/>
      <c r="K575" s="329"/>
      <c r="L575" s="211"/>
      <c r="M575" s="211"/>
      <c r="N575" s="211"/>
      <c r="O575" s="211"/>
      <c r="P575" s="211"/>
      <c r="Q575" s="211"/>
      <c r="R575" s="211"/>
      <c r="V575" s="211"/>
      <c r="Y575" s="211"/>
      <c r="Z575" s="329"/>
      <c r="AA575" s="211"/>
      <c r="AB575" s="211"/>
      <c r="AC575" s="211"/>
      <c r="AD575" s="211"/>
      <c r="AE575" s="211"/>
      <c r="AF575" s="211"/>
      <c r="AI575" s="211"/>
      <c r="AJ575" s="211"/>
      <c r="AK575" s="212"/>
      <c r="AL575" s="211"/>
    </row>
    <row r="576" spans="1:40" x14ac:dyDescent="0.25">
      <c r="A576" s="202"/>
      <c r="C576" s="154"/>
      <c r="F576" s="200"/>
      <c r="H576" s="200"/>
      <c r="I576" s="200"/>
      <c r="J576" s="334"/>
      <c r="K576" s="334"/>
      <c r="L576" s="200"/>
      <c r="M576" s="200"/>
      <c r="N576" s="202"/>
      <c r="O576" s="202"/>
      <c r="P576" s="200"/>
      <c r="Q576" s="200"/>
      <c r="R576" s="200"/>
      <c r="T576" s="154"/>
      <c r="V576" s="200"/>
      <c r="Y576" s="200"/>
      <c r="Z576" s="334"/>
      <c r="AA576" s="200"/>
      <c r="AB576" s="200"/>
      <c r="AC576" s="201"/>
      <c r="AD576" s="201"/>
      <c r="AE576" s="200"/>
      <c r="AF576" s="200"/>
      <c r="AG576" s="209"/>
      <c r="AH576" s="201"/>
      <c r="AI576" s="200"/>
      <c r="AJ576" s="200"/>
      <c r="AK576" s="209"/>
      <c r="AL576" s="200"/>
      <c r="AM576" s="201"/>
      <c r="AN576" s="201"/>
    </row>
    <row r="577" spans="1:40" x14ac:dyDescent="0.25">
      <c r="F577" s="211"/>
      <c r="H577" s="211"/>
      <c r="I577" s="211"/>
      <c r="J577" s="329"/>
      <c r="K577" s="329"/>
      <c r="L577" s="211"/>
      <c r="M577" s="211"/>
      <c r="N577" s="211"/>
      <c r="O577" s="211"/>
      <c r="P577" s="211"/>
      <c r="Q577" s="211"/>
      <c r="R577" s="211"/>
      <c r="V577" s="211"/>
      <c r="Y577" s="211"/>
      <c r="Z577" s="329"/>
      <c r="AA577" s="211"/>
      <c r="AB577" s="211"/>
      <c r="AC577" s="211"/>
      <c r="AD577" s="211"/>
      <c r="AE577" s="211"/>
      <c r="AF577" s="211"/>
      <c r="AI577" s="211"/>
      <c r="AJ577" s="211"/>
      <c r="AK577" s="212"/>
      <c r="AL577" s="211"/>
    </row>
    <row r="578" spans="1:40" x14ac:dyDescent="0.25">
      <c r="J578" s="334"/>
      <c r="K578" s="334"/>
      <c r="Z578" s="334"/>
    </row>
    <row r="579" spans="1:40" x14ac:dyDescent="0.25">
      <c r="A579" s="202"/>
      <c r="C579" s="154"/>
      <c r="J579" s="334"/>
      <c r="K579" s="334"/>
      <c r="T579" s="154"/>
      <c r="Z579" s="334"/>
    </row>
    <row r="580" spans="1:40" x14ac:dyDescent="0.25">
      <c r="A580" s="202"/>
      <c r="C580" s="154"/>
      <c r="J580" s="334"/>
      <c r="K580" s="334"/>
      <c r="T580" s="154"/>
      <c r="Z580" s="334"/>
    </row>
    <row r="581" spans="1:40" x14ac:dyDescent="0.25">
      <c r="A581" s="202"/>
      <c r="C581" s="154"/>
      <c r="F581" s="252"/>
      <c r="H581" s="252"/>
      <c r="I581" s="252"/>
      <c r="J581" s="329"/>
      <c r="K581" s="329"/>
      <c r="L581" s="200"/>
      <c r="M581" s="200"/>
      <c r="N581" s="210"/>
      <c r="O581" s="210"/>
      <c r="P581" s="200"/>
      <c r="Q581" s="200"/>
      <c r="R581" s="200"/>
      <c r="T581" s="154"/>
      <c r="V581" s="200"/>
      <c r="W581" s="200"/>
      <c r="X581" s="200"/>
      <c r="Y581" s="200"/>
      <c r="Z581" s="329"/>
      <c r="AA581" s="200"/>
      <c r="AB581" s="200"/>
      <c r="AC581" s="210"/>
      <c r="AD581" s="210"/>
      <c r="AE581" s="200"/>
      <c r="AF581" s="200"/>
      <c r="AG581" s="209"/>
      <c r="AH581" s="201"/>
      <c r="AI581" s="200"/>
      <c r="AJ581" s="200"/>
      <c r="AK581" s="209"/>
      <c r="AL581" s="200"/>
      <c r="AM581" s="201"/>
      <c r="AN581" s="201"/>
    </row>
    <row r="582" spans="1:40" x14ac:dyDescent="0.25">
      <c r="A582" s="202"/>
      <c r="C582" s="154"/>
      <c r="J582" s="334"/>
      <c r="K582" s="334"/>
      <c r="T582" s="154"/>
      <c r="Z582" s="334"/>
    </row>
    <row r="583" spans="1:40" x14ac:dyDescent="0.25">
      <c r="A583" s="202"/>
      <c r="C583" s="154"/>
      <c r="F583" s="252"/>
      <c r="H583" s="252"/>
      <c r="I583" s="252"/>
      <c r="J583" s="329"/>
      <c r="K583" s="329"/>
      <c r="L583" s="200"/>
      <c r="M583" s="200"/>
      <c r="N583" s="210"/>
      <c r="O583" s="210"/>
      <c r="P583" s="200"/>
      <c r="Q583" s="200"/>
      <c r="R583" s="200"/>
      <c r="T583" s="154"/>
      <c r="V583" s="200"/>
      <c r="W583" s="200"/>
      <c r="X583" s="200"/>
      <c r="Y583" s="200"/>
      <c r="Z583" s="329"/>
      <c r="AA583" s="200"/>
      <c r="AB583" s="200"/>
      <c r="AC583" s="210"/>
      <c r="AD583" s="210"/>
      <c r="AE583" s="200"/>
      <c r="AF583" s="200"/>
      <c r="AG583" s="209"/>
      <c r="AH583" s="201"/>
      <c r="AI583" s="200"/>
      <c r="AJ583" s="200"/>
      <c r="AK583" s="209"/>
      <c r="AL583" s="200"/>
      <c r="AM583" s="201"/>
      <c r="AN583" s="201"/>
    </row>
    <row r="584" spans="1:40" x14ac:dyDescent="0.25">
      <c r="F584" s="211"/>
      <c r="H584" s="211"/>
      <c r="I584" s="211"/>
      <c r="J584" s="329"/>
      <c r="K584" s="329"/>
      <c r="L584" s="211"/>
      <c r="M584" s="211"/>
      <c r="N584" s="211"/>
      <c r="O584" s="211"/>
      <c r="P584" s="211"/>
      <c r="Q584" s="211"/>
      <c r="R584" s="211"/>
      <c r="V584" s="211"/>
      <c r="Y584" s="211"/>
      <c r="Z584" s="329"/>
      <c r="AA584" s="211"/>
      <c r="AB584" s="211"/>
      <c r="AC584" s="211"/>
      <c r="AD584" s="211"/>
      <c r="AE584" s="211"/>
      <c r="AF584" s="211"/>
      <c r="AI584" s="211"/>
      <c r="AJ584" s="211"/>
      <c r="AK584" s="212"/>
      <c r="AL584" s="211"/>
    </row>
    <row r="585" spans="1:40" x14ac:dyDescent="0.25">
      <c r="A585" s="202"/>
      <c r="C585" s="154"/>
      <c r="F585" s="200"/>
      <c r="H585" s="200"/>
      <c r="I585" s="200"/>
      <c r="J585" s="334"/>
      <c r="K585" s="334"/>
      <c r="L585" s="200"/>
      <c r="M585" s="200"/>
      <c r="N585" s="201"/>
      <c r="O585" s="201"/>
      <c r="P585" s="200"/>
      <c r="Q585" s="200"/>
      <c r="R585" s="200"/>
      <c r="T585" s="154"/>
      <c r="V585" s="200"/>
      <c r="Y585" s="200"/>
      <c r="Z585" s="334"/>
      <c r="AA585" s="200"/>
      <c r="AB585" s="200"/>
      <c r="AC585" s="201"/>
      <c r="AD585" s="201"/>
      <c r="AE585" s="200"/>
      <c r="AF585" s="200"/>
      <c r="AG585" s="209"/>
      <c r="AH585" s="201"/>
      <c r="AI585" s="200"/>
      <c r="AJ585" s="200"/>
      <c r="AK585" s="209"/>
      <c r="AL585" s="200"/>
      <c r="AM585" s="201"/>
      <c r="AN585" s="201"/>
    </row>
    <row r="586" spans="1:40" x14ac:dyDescent="0.25">
      <c r="F586" s="211"/>
      <c r="H586" s="211"/>
      <c r="I586" s="211"/>
      <c r="J586" s="329"/>
      <c r="K586" s="329"/>
      <c r="L586" s="211"/>
      <c r="M586" s="211"/>
      <c r="N586" s="211"/>
      <c r="O586" s="211"/>
      <c r="P586" s="211"/>
      <c r="Q586" s="211"/>
      <c r="R586" s="211"/>
      <c r="V586" s="211"/>
      <c r="Y586" s="211"/>
      <c r="Z586" s="305"/>
      <c r="AA586" s="211"/>
      <c r="AB586" s="211"/>
      <c r="AC586" s="211"/>
      <c r="AD586" s="211"/>
      <c r="AE586" s="211"/>
      <c r="AF586" s="211"/>
      <c r="AI586" s="211"/>
      <c r="AJ586" s="211"/>
      <c r="AK586" s="212"/>
      <c r="AL586" s="211"/>
    </row>
    <row r="587" spans="1:40" x14ac:dyDescent="0.25">
      <c r="J587" s="334"/>
      <c r="K587" s="334"/>
    </row>
    <row r="588" spans="1:40" x14ac:dyDescent="0.25">
      <c r="A588" s="202"/>
      <c r="C588" s="154"/>
      <c r="F588" s="200"/>
      <c r="H588" s="200"/>
      <c r="I588" s="200"/>
      <c r="J588" s="334"/>
      <c r="K588" s="334"/>
      <c r="L588" s="200"/>
      <c r="M588" s="200"/>
      <c r="N588" s="210"/>
      <c r="O588" s="210"/>
      <c r="P588" s="252"/>
      <c r="Q588" s="252"/>
      <c r="R588" s="200"/>
      <c r="T588" s="154"/>
      <c r="V588" s="200"/>
      <c r="Y588" s="200"/>
      <c r="AA588" s="200"/>
      <c r="AB588" s="200"/>
      <c r="AC588" s="201"/>
      <c r="AD588" s="201"/>
      <c r="AE588" s="200"/>
      <c r="AF588" s="200"/>
      <c r="AG588" s="209"/>
      <c r="AH588" s="201"/>
      <c r="AI588" s="252"/>
      <c r="AJ588" s="252"/>
      <c r="AK588" s="209"/>
      <c r="AL588" s="200"/>
      <c r="AM588" s="201"/>
      <c r="AN588" s="201"/>
    </row>
    <row r="589" spans="1:40" x14ac:dyDescent="0.25">
      <c r="F589" s="211"/>
      <c r="H589" s="211"/>
      <c r="I589" s="211"/>
      <c r="J589" s="329"/>
      <c r="K589" s="329"/>
      <c r="L589" s="211"/>
      <c r="M589" s="211"/>
      <c r="N589" s="211"/>
      <c r="O589" s="211"/>
      <c r="P589" s="211"/>
      <c r="Q589" s="211"/>
      <c r="R589" s="211"/>
      <c r="V589" s="211"/>
      <c r="Y589" s="211"/>
      <c r="Z589" s="305"/>
      <c r="AA589" s="211"/>
      <c r="AB589" s="211"/>
      <c r="AC589" s="211"/>
      <c r="AD589" s="211"/>
      <c r="AE589" s="211"/>
      <c r="AF589" s="211"/>
      <c r="AI589" s="211"/>
      <c r="AJ589" s="211"/>
      <c r="AK589" s="212"/>
      <c r="AL589" s="211"/>
    </row>
    <row r="591" spans="1:40" x14ac:dyDescent="0.25">
      <c r="C591" s="202"/>
      <c r="T591" s="202"/>
    </row>
    <row r="592" spans="1:40" x14ac:dyDescent="0.25">
      <c r="A592" s="154"/>
    </row>
    <row r="593" spans="1:40" x14ac:dyDescent="0.25">
      <c r="J593" s="202"/>
      <c r="K593" s="202"/>
      <c r="Z593" s="202"/>
    </row>
    <row r="594" spans="1:40" x14ac:dyDescent="0.25">
      <c r="H594" s="154"/>
      <c r="I594" s="154"/>
      <c r="Y594" s="154"/>
    </row>
    <row r="595" spans="1:40" x14ac:dyDescent="0.25">
      <c r="J595" s="202"/>
      <c r="K595" s="202"/>
      <c r="Z595" s="202"/>
    </row>
    <row r="596" spans="1:40" x14ac:dyDescent="0.25">
      <c r="L596" s="154"/>
      <c r="M596" s="154"/>
      <c r="AA596" s="154"/>
      <c r="AB596" s="154"/>
    </row>
    <row r="597" spans="1:40" x14ac:dyDescent="0.25">
      <c r="A597" s="202"/>
      <c r="R597" s="154"/>
      <c r="AK597" s="297"/>
      <c r="AL597" s="154"/>
    </row>
    <row r="598" spans="1:40" x14ac:dyDescent="0.25">
      <c r="A598" s="202"/>
      <c r="R598" s="154"/>
      <c r="AK598" s="297"/>
      <c r="AL598" s="154"/>
    </row>
    <row r="599" spans="1:40" x14ac:dyDescent="0.25">
      <c r="A599" s="154"/>
      <c r="R599" s="154"/>
      <c r="AK599" s="297"/>
      <c r="AL599" s="154"/>
    </row>
    <row r="600" spans="1:40" x14ac:dyDescent="0.25">
      <c r="L600" s="154"/>
      <c r="M600" s="154"/>
      <c r="R600" s="202"/>
      <c r="AA600" s="154"/>
      <c r="AB600" s="154"/>
      <c r="AK600" s="209"/>
      <c r="AL600" s="202"/>
    </row>
    <row r="601" spans="1:40" x14ac:dyDescent="0.2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208"/>
      <c r="AH601" s="102"/>
      <c r="AI601" s="102"/>
      <c r="AJ601" s="102"/>
      <c r="AK601" s="208"/>
      <c r="AL601" s="102"/>
      <c r="AM601" s="102"/>
      <c r="AN601" s="102"/>
    </row>
    <row r="602" spans="1:40" x14ac:dyDescent="0.25">
      <c r="L602" s="103"/>
      <c r="M602" s="103"/>
      <c r="N602" s="103"/>
      <c r="O602" s="103"/>
      <c r="R602" s="103"/>
      <c r="AA602" s="103"/>
      <c r="AB602" s="103"/>
      <c r="AC602" s="103"/>
      <c r="AD602" s="103"/>
      <c r="AE602" s="103"/>
      <c r="AF602" s="103"/>
      <c r="AG602" s="185"/>
      <c r="AH602" s="103"/>
      <c r="AK602" s="185"/>
      <c r="AL602" s="103"/>
      <c r="AM602" s="103"/>
      <c r="AN602" s="103"/>
    </row>
    <row r="603" spans="1:40" x14ac:dyDescent="0.25">
      <c r="L603" s="103"/>
      <c r="M603" s="103"/>
      <c r="N603" s="103"/>
      <c r="O603" s="103"/>
      <c r="R603" s="103"/>
      <c r="Z603" s="103"/>
      <c r="AA603" s="103"/>
      <c r="AB603" s="103"/>
      <c r="AC603" s="103"/>
      <c r="AD603" s="103"/>
      <c r="AE603" s="103"/>
      <c r="AF603" s="103"/>
      <c r="AG603" s="185"/>
      <c r="AH603" s="103"/>
      <c r="AK603" s="185"/>
      <c r="AL603" s="103"/>
      <c r="AM603" s="103"/>
      <c r="AN603" s="103"/>
    </row>
    <row r="604" spans="1:40" x14ac:dyDescent="0.25">
      <c r="A604" s="103"/>
      <c r="C604" s="103"/>
      <c r="D604" s="103"/>
      <c r="E604" s="103"/>
      <c r="F604" s="103"/>
      <c r="J604" s="103"/>
      <c r="K604" s="103"/>
      <c r="L604" s="103"/>
      <c r="M604" s="103"/>
      <c r="N604" s="103"/>
      <c r="O604" s="103"/>
      <c r="P604" s="103"/>
      <c r="Q604" s="103"/>
      <c r="R604" s="103"/>
      <c r="T604" s="103"/>
      <c r="U604" s="103"/>
      <c r="V604" s="103"/>
      <c r="Z604" s="103"/>
      <c r="AA604" s="103"/>
      <c r="AB604" s="103"/>
      <c r="AC604" s="103"/>
      <c r="AD604" s="103"/>
      <c r="AE604" s="103"/>
      <c r="AF604" s="103"/>
      <c r="AG604" s="185"/>
      <c r="AH604" s="103"/>
      <c r="AI604" s="103"/>
      <c r="AJ604" s="103"/>
      <c r="AK604" s="185"/>
      <c r="AL604" s="103"/>
      <c r="AM604" s="103"/>
      <c r="AN604" s="103"/>
    </row>
    <row r="605" spans="1:40" x14ac:dyDescent="0.25">
      <c r="A605" s="103"/>
      <c r="C605" s="103"/>
      <c r="D605" s="103"/>
      <c r="E605" s="103"/>
      <c r="F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T605" s="103"/>
      <c r="U605" s="103"/>
      <c r="V605" s="103"/>
      <c r="Y605" s="103"/>
      <c r="Z605" s="103"/>
      <c r="AA605" s="103"/>
      <c r="AB605" s="103"/>
      <c r="AC605" s="103"/>
      <c r="AD605" s="103"/>
      <c r="AE605" s="103"/>
      <c r="AF605" s="103"/>
      <c r="AG605" s="185"/>
      <c r="AH605" s="103"/>
      <c r="AI605" s="103"/>
      <c r="AJ605" s="103"/>
      <c r="AK605" s="185"/>
      <c r="AL605" s="103"/>
      <c r="AM605" s="103"/>
      <c r="AN605" s="103"/>
    </row>
    <row r="606" spans="1:40" x14ac:dyDescent="0.25">
      <c r="C606" s="103"/>
      <c r="D606" s="103"/>
      <c r="E606" s="103"/>
      <c r="F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T606" s="103"/>
      <c r="U606" s="103"/>
      <c r="V606" s="103"/>
      <c r="Y606" s="103"/>
      <c r="Z606" s="103"/>
      <c r="AA606" s="103"/>
      <c r="AB606" s="103"/>
      <c r="AC606" s="103"/>
      <c r="AD606" s="103"/>
      <c r="AE606" s="103"/>
      <c r="AF606" s="103"/>
      <c r="AG606" s="185"/>
      <c r="AH606" s="103"/>
      <c r="AI606" s="103"/>
      <c r="AJ606" s="103"/>
      <c r="AK606" s="185"/>
      <c r="AL606" s="103"/>
      <c r="AM606" s="103"/>
      <c r="AN606" s="103"/>
    </row>
    <row r="607" spans="1:40" x14ac:dyDescent="0.2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208"/>
      <c r="AH607" s="102"/>
      <c r="AI607" s="102"/>
      <c r="AJ607" s="102"/>
      <c r="AK607" s="208"/>
      <c r="AL607" s="102"/>
      <c r="AM607" s="102"/>
      <c r="AN607" s="102"/>
    </row>
    <row r="608" spans="1:40" x14ac:dyDescent="0.25"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Y608" s="103"/>
      <c r="Z608" s="103"/>
      <c r="AA608" s="103"/>
      <c r="AB608" s="103"/>
      <c r="AC608" s="103"/>
      <c r="AD608" s="103"/>
      <c r="AE608" s="103"/>
      <c r="AF608" s="103"/>
      <c r="AG608" s="185"/>
      <c r="AH608" s="103"/>
      <c r="AI608" s="103"/>
      <c r="AJ608" s="103"/>
      <c r="AK608" s="185"/>
      <c r="AL608" s="103"/>
      <c r="AM608" s="103"/>
      <c r="AN608" s="103"/>
    </row>
    <row r="609" spans="1:40" x14ac:dyDescent="0.25">
      <c r="A609" s="202"/>
      <c r="C609" s="154"/>
      <c r="D609" s="154"/>
      <c r="E609" s="154"/>
      <c r="T609" s="154"/>
      <c r="U609" s="154"/>
    </row>
    <row r="611" spans="1:40" x14ac:dyDescent="0.25">
      <c r="A611" s="202"/>
      <c r="C611" s="154"/>
      <c r="D611" s="154"/>
      <c r="E611" s="154"/>
      <c r="T611" s="154"/>
      <c r="U611" s="154"/>
    </row>
    <row r="612" spans="1:40" x14ac:dyDescent="0.25">
      <c r="A612" s="202"/>
      <c r="C612" s="154"/>
      <c r="T612" s="154"/>
    </row>
    <row r="613" spans="1:40" x14ac:dyDescent="0.25">
      <c r="A613" s="202"/>
      <c r="C613" s="154"/>
      <c r="T613" s="154"/>
    </row>
    <row r="614" spans="1:40" x14ac:dyDescent="0.25">
      <c r="A614" s="202"/>
      <c r="C614" s="154"/>
      <c r="F614" s="252"/>
      <c r="H614" s="252"/>
      <c r="I614" s="252"/>
      <c r="J614" s="329"/>
      <c r="K614" s="329"/>
      <c r="L614" s="200"/>
      <c r="M614" s="200"/>
      <c r="N614" s="210"/>
      <c r="O614" s="210"/>
      <c r="P614" s="200"/>
      <c r="Q614" s="200"/>
      <c r="R614" s="200"/>
      <c r="T614" s="154"/>
      <c r="V614" s="200"/>
      <c r="W614" s="200"/>
      <c r="X614" s="200"/>
      <c r="Y614" s="200"/>
      <c r="Z614" s="329"/>
      <c r="AA614" s="200"/>
      <c r="AB614" s="200"/>
      <c r="AC614" s="210"/>
      <c r="AD614" s="210"/>
      <c r="AE614" s="200"/>
      <c r="AF614" s="200"/>
      <c r="AG614" s="209"/>
      <c r="AH614" s="201"/>
      <c r="AI614" s="200"/>
      <c r="AJ614" s="200"/>
      <c r="AK614" s="209"/>
      <c r="AL614" s="200"/>
      <c r="AM614" s="210"/>
      <c r="AN614" s="210"/>
    </row>
    <row r="615" spans="1:40" x14ac:dyDescent="0.25">
      <c r="A615" s="202"/>
      <c r="C615" s="154"/>
      <c r="J615" s="334"/>
      <c r="K615" s="334"/>
      <c r="T615" s="154"/>
      <c r="V615" s="200"/>
      <c r="W615" s="200"/>
      <c r="X615" s="200"/>
      <c r="Y615" s="200"/>
      <c r="Z615" s="329"/>
    </row>
    <row r="616" spans="1:40" x14ac:dyDescent="0.25">
      <c r="A616" s="202"/>
      <c r="C616" s="154"/>
      <c r="F616" s="252"/>
      <c r="H616" s="252"/>
      <c r="I616" s="252"/>
      <c r="J616" s="329"/>
      <c r="K616" s="329"/>
      <c r="L616" s="200"/>
      <c r="M616" s="200"/>
      <c r="N616" s="210"/>
      <c r="O616" s="210"/>
      <c r="P616" s="200"/>
      <c r="Q616" s="200"/>
      <c r="R616" s="200"/>
      <c r="T616" s="154"/>
      <c r="V616" s="200"/>
      <c r="W616" s="200"/>
      <c r="X616" s="200"/>
      <c r="Y616" s="200"/>
      <c r="Z616" s="329"/>
      <c r="AA616" s="200"/>
      <c r="AB616" s="200"/>
      <c r="AC616" s="210"/>
      <c r="AD616" s="210"/>
      <c r="AE616" s="200"/>
      <c r="AF616" s="200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A617" s="202"/>
      <c r="C617" s="154"/>
      <c r="J617" s="334"/>
      <c r="K617" s="334"/>
      <c r="T617" s="154"/>
      <c r="V617" s="200"/>
      <c r="W617" s="200"/>
      <c r="X617" s="200"/>
      <c r="Y617" s="200"/>
      <c r="Z617" s="329"/>
    </row>
    <row r="618" spans="1:40" x14ac:dyDescent="0.25">
      <c r="A618" s="202"/>
      <c r="C618" s="154"/>
      <c r="F618" s="252"/>
      <c r="H618" s="252"/>
      <c r="I618" s="252"/>
      <c r="J618" s="329"/>
      <c r="K618" s="329"/>
      <c r="L618" s="200"/>
      <c r="M618" s="200"/>
      <c r="N618" s="210"/>
      <c r="O618" s="210"/>
      <c r="P618" s="200"/>
      <c r="Q618" s="200"/>
      <c r="R618" s="200"/>
      <c r="T618" s="154"/>
      <c r="V618" s="200"/>
      <c r="W618" s="200"/>
      <c r="X618" s="200"/>
      <c r="Y618" s="200"/>
      <c r="Z618" s="329"/>
      <c r="AA618" s="200"/>
      <c r="AB618" s="200"/>
      <c r="AC618" s="210"/>
      <c r="AD618" s="210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A619" s="202"/>
      <c r="C619" s="154"/>
      <c r="J619" s="334"/>
      <c r="K619" s="334"/>
      <c r="T619" s="154"/>
      <c r="V619" s="200"/>
      <c r="W619" s="200"/>
      <c r="X619" s="200"/>
      <c r="Y619" s="200"/>
      <c r="Z619" s="329"/>
    </row>
    <row r="620" spans="1:40" x14ac:dyDescent="0.25">
      <c r="A620" s="202"/>
      <c r="C620" s="154"/>
      <c r="F620" s="252"/>
      <c r="H620" s="252"/>
      <c r="I620" s="252"/>
      <c r="J620" s="329"/>
      <c r="K620" s="329"/>
      <c r="L620" s="200"/>
      <c r="M620" s="200"/>
      <c r="N620" s="210"/>
      <c r="O620" s="210"/>
      <c r="P620" s="200"/>
      <c r="Q620" s="200"/>
      <c r="R620" s="200"/>
      <c r="T620" s="154"/>
      <c r="V620" s="200"/>
      <c r="W620" s="200"/>
      <c r="X620" s="200"/>
      <c r="Y620" s="200"/>
      <c r="Z620" s="329"/>
      <c r="AA620" s="200"/>
      <c r="AB620" s="200"/>
      <c r="AC620" s="210"/>
      <c r="AD620" s="210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A621" s="202"/>
      <c r="C621" s="154"/>
      <c r="J621" s="334"/>
      <c r="K621" s="334"/>
      <c r="T621" s="154"/>
      <c r="V621" s="200"/>
      <c r="W621" s="200"/>
      <c r="X621" s="200"/>
      <c r="Y621" s="200"/>
      <c r="Z621" s="329"/>
    </row>
    <row r="622" spans="1:40" x14ac:dyDescent="0.25">
      <c r="A622" s="202"/>
      <c r="C622" s="154"/>
      <c r="F622" s="252"/>
      <c r="H622" s="252"/>
      <c r="I622" s="252"/>
      <c r="J622" s="329"/>
      <c r="K622" s="329"/>
      <c r="L622" s="200"/>
      <c r="M622" s="200"/>
      <c r="N622" s="210"/>
      <c r="O622" s="210"/>
      <c r="P622" s="200"/>
      <c r="Q622" s="200"/>
      <c r="R622" s="200"/>
      <c r="T622" s="154"/>
      <c r="V622" s="200"/>
      <c r="W622" s="200"/>
      <c r="X622" s="200"/>
      <c r="Y622" s="200"/>
      <c r="Z622" s="329"/>
      <c r="AA622" s="200"/>
      <c r="AB622" s="200"/>
      <c r="AC622" s="210"/>
      <c r="AD622" s="210"/>
      <c r="AE622" s="200"/>
      <c r="AF622" s="200"/>
      <c r="AG622" s="209"/>
      <c r="AH622" s="201"/>
      <c r="AI622" s="200"/>
      <c r="AJ622" s="200"/>
      <c r="AK622" s="209"/>
      <c r="AL622" s="200"/>
      <c r="AM622" s="210"/>
      <c r="AN622" s="210"/>
    </row>
    <row r="623" spans="1:40" x14ac:dyDescent="0.25">
      <c r="A623" s="202"/>
      <c r="C623" s="154"/>
      <c r="J623" s="334"/>
      <c r="K623" s="334"/>
      <c r="T623" s="154"/>
      <c r="V623" s="200"/>
      <c r="W623" s="200"/>
      <c r="X623" s="200"/>
      <c r="Y623" s="200"/>
      <c r="Z623" s="329"/>
    </row>
    <row r="624" spans="1:40" x14ac:dyDescent="0.25">
      <c r="A624" s="202"/>
      <c r="C624" s="154"/>
      <c r="F624" s="252"/>
      <c r="H624" s="252"/>
      <c r="I624" s="252"/>
      <c r="J624" s="329"/>
      <c r="K624" s="329"/>
      <c r="L624" s="200"/>
      <c r="M624" s="200"/>
      <c r="N624" s="210"/>
      <c r="O624" s="210"/>
      <c r="P624" s="200"/>
      <c r="Q624" s="200"/>
      <c r="R624" s="200"/>
      <c r="T624" s="154"/>
      <c r="V624" s="200"/>
      <c r="W624" s="200"/>
      <c r="X624" s="200"/>
      <c r="Y624" s="200"/>
      <c r="Z624" s="329"/>
      <c r="AA624" s="200"/>
      <c r="AB624" s="200"/>
      <c r="AC624" s="210"/>
      <c r="AD624" s="210"/>
      <c r="AE624" s="200"/>
      <c r="AF624" s="200"/>
      <c r="AG624" s="209"/>
      <c r="AH624" s="201"/>
      <c r="AI624" s="200"/>
      <c r="AJ624" s="200"/>
      <c r="AK624" s="209"/>
      <c r="AL624" s="200"/>
      <c r="AM624" s="210"/>
      <c r="AN624" s="210"/>
    </row>
    <row r="625" spans="1:40" x14ac:dyDescent="0.25">
      <c r="F625" s="211"/>
      <c r="H625" s="211"/>
      <c r="I625" s="211"/>
      <c r="J625" s="329"/>
      <c r="K625" s="329"/>
      <c r="L625" s="211"/>
      <c r="M625" s="211"/>
      <c r="N625" s="211"/>
      <c r="O625" s="211"/>
      <c r="P625" s="211"/>
      <c r="Q625" s="211"/>
      <c r="R625" s="211"/>
      <c r="V625" s="211"/>
      <c r="Y625" s="211"/>
      <c r="Z625" s="329"/>
      <c r="AA625" s="211"/>
      <c r="AB625" s="211"/>
      <c r="AC625" s="211"/>
      <c r="AD625" s="211"/>
      <c r="AE625" s="211"/>
      <c r="AF625" s="211"/>
      <c r="AI625" s="211"/>
      <c r="AJ625" s="211"/>
      <c r="AK625" s="212"/>
      <c r="AL625" s="211"/>
      <c r="AM625" s="210"/>
      <c r="AN625" s="210"/>
    </row>
    <row r="626" spans="1:40" x14ac:dyDescent="0.25">
      <c r="A626" s="202"/>
      <c r="C626" s="154"/>
      <c r="F626" s="200"/>
      <c r="H626" s="200"/>
      <c r="I626" s="200"/>
      <c r="J626" s="334"/>
      <c r="K626" s="334"/>
      <c r="L626" s="200"/>
      <c r="M626" s="200"/>
      <c r="N626" s="210"/>
      <c r="O626" s="210"/>
      <c r="P626" s="252"/>
      <c r="Q626" s="252"/>
      <c r="R626" s="200"/>
      <c r="T626" s="154"/>
      <c r="V626" s="200"/>
      <c r="W626" s="200"/>
      <c r="X626" s="200"/>
      <c r="Y626" s="200"/>
      <c r="Z626" s="329"/>
      <c r="AA626" s="200"/>
      <c r="AB626" s="200"/>
      <c r="AC626" s="210"/>
      <c r="AD626" s="210"/>
      <c r="AE626" s="200"/>
      <c r="AF626" s="200"/>
      <c r="AG626" s="209"/>
      <c r="AH626" s="201"/>
      <c r="AI626" s="252"/>
      <c r="AJ626" s="252"/>
      <c r="AK626" s="209"/>
      <c r="AL626" s="200"/>
      <c r="AM626" s="210"/>
      <c r="AN626" s="210"/>
    </row>
    <row r="627" spans="1:40" x14ac:dyDescent="0.25">
      <c r="F627" s="211"/>
      <c r="H627" s="211"/>
      <c r="I627" s="211"/>
      <c r="J627" s="329"/>
      <c r="K627" s="329"/>
      <c r="L627" s="211"/>
      <c r="M627" s="211"/>
      <c r="N627" s="211"/>
      <c r="O627" s="211"/>
      <c r="P627" s="211"/>
      <c r="Q627" s="211"/>
      <c r="R627" s="211"/>
      <c r="V627" s="211"/>
      <c r="Y627" s="211"/>
      <c r="Z627" s="329"/>
      <c r="AA627" s="211"/>
      <c r="AB627" s="211"/>
      <c r="AC627" s="211"/>
      <c r="AD627" s="211"/>
      <c r="AE627" s="211"/>
      <c r="AF627" s="211"/>
      <c r="AI627" s="211"/>
      <c r="AJ627" s="211"/>
      <c r="AK627" s="212"/>
      <c r="AL627" s="211"/>
    </row>
    <row r="628" spans="1:40" x14ac:dyDescent="0.25">
      <c r="A628" s="202"/>
      <c r="C628" s="154"/>
      <c r="D628" s="154"/>
      <c r="E628" s="154"/>
      <c r="J628" s="334"/>
      <c r="K628" s="334"/>
      <c r="T628" s="154"/>
      <c r="U628" s="154"/>
      <c r="V628" s="200"/>
      <c r="W628" s="200"/>
      <c r="X628" s="200"/>
      <c r="Y628" s="200"/>
      <c r="Z628" s="329"/>
    </row>
    <row r="629" spans="1:40" x14ac:dyDescent="0.25">
      <c r="A629" s="202"/>
      <c r="C629" s="154"/>
      <c r="J629" s="334"/>
      <c r="K629" s="334"/>
      <c r="T629" s="154"/>
      <c r="V629" s="200"/>
      <c r="W629" s="200"/>
      <c r="X629" s="200"/>
      <c r="Y629" s="200"/>
      <c r="Z629" s="329"/>
    </row>
    <row r="630" spans="1:40" x14ac:dyDescent="0.25">
      <c r="A630" s="202"/>
      <c r="C630" s="154"/>
      <c r="J630" s="334"/>
      <c r="K630" s="334"/>
      <c r="T630" s="154"/>
      <c r="V630" s="200"/>
      <c r="W630" s="200"/>
      <c r="X630" s="200"/>
      <c r="Y630" s="200"/>
      <c r="Z630" s="329"/>
    </row>
    <row r="631" spans="1:40" x14ac:dyDescent="0.25">
      <c r="A631" s="202"/>
      <c r="C631" s="154"/>
      <c r="F631" s="252"/>
      <c r="H631" s="252"/>
      <c r="I631" s="252"/>
      <c r="J631" s="329"/>
      <c r="K631" s="329"/>
      <c r="L631" s="200"/>
      <c r="M631" s="200"/>
      <c r="N631" s="210"/>
      <c r="O631" s="210"/>
      <c r="P631" s="200"/>
      <c r="Q631" s="200"/>
      <c r="R631" s="200"/>
      <c r="T631" s="154"/>
      <c r="V631" s="200"/>
      <c r="W631" s="200"/>
      <c r="X631" s="200"/>
      <c r="Y631" s="200"/>
      <c r="Z631" s="329"/>
      <c r="AA631" s="200"/>
      <c r="AB631" s="200"/>
      <c r="AC631" s="210"/>
      <c r="AD631" s="210"/>
      <c r="AE631" s="200"/>
      <c r="AF631" s="200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A632" s="202"/>
      <c r="C632" s="154"/>
      <c r="J632" s="334"/>
      <c r="K632" s="334"/>
      <c r="T632" s="154"/>
      <c r="V632" s="200"/>
      <c r="W632" s="200"/>
      <c r="X632" s="200"/>
      <c r="Y632" s="200"/>
      <c r="Z632" s="329"/>
    </row>
    <row r="633" spans="1:40" x14ac:dyDescent="0.25">
      <c r="A633" s="202"/>
      <c r="C633" s="154"/>
      <c r="F633" s="252"/>
      <c r="H633" s="252"/>
      <c r="I633" s="252"/>
      <c r="J633" s="329"/>
      <c r="K633" s="329"/>
      <c r="L633" s="200"/>
      <c r="M633" s="200"/>
      <c r="N633" s="210"/>
      <c r="O633" s="210"/>
      <c r="P633" s="200"/>
      <c r="Q633" s="200"/>
      <c r="R633" s="200"/>
      <c r="T633" s="154"/>
      <c r="V633" s="200"/>
      <c r="W633" s="200"/>
      <c r="X633" s="200"/>
      <c r="Y633" s="200"/>
      <c r="Z633" s="329"/>
      <c r="AA633" s="200"/>
      <c r="AB633" s="200"/>
      <c r="AC633" s="210"/>
      <c r="AD633" s="210"/>
      <c r="AE633" s="200"/>
      <c r="AF633" s="200"/>
      <c r="AG633" s="209"/>
      <c r="AH633" s="201"/>
      <c r="AI633" s="200"/>
      <c r="AJ633" s="200"/>
      <c r="AK633" s="209"/>
      <c r="AL633" s="200"/>
      <c r="AM633" s="210"/>
      <c r="AN633" s="210"/>
    </row>
    <row r="634" spans="1:40" x14ac:dyDescent="0.25">
      <c r="F634" s="211"/>
      <c r="H634" s="211"/>
      <c r="I634" s="211"/>
      <c r="J634" s="329"/>
      <c r="K634" s="329"/>
      <c r="L634" s="211"/>
      <c r="M634" s="211"/>
      <c r="N634" s="211"/>
      <c r="O634" s="211"/>
      <c r="P634" s="211"/>
      <c r="Q634" s="211"/>
      <c r="R634" s="211"/>
      <c r="V634" s="211"/>
      <c r="Y634" s="211"/>
      <c r="Z634" s="305"/>
      <c r="AA634" s="211"/>
      <c r="AB634" s="211"/>
      <c r="AC634" s="211"/>
      <c r="AD634" s="211"/>
      <c r="AE634" s="211"/>
      <c r="AF634" s="211"/>
      <c r="AI634" s="211"/>
      <c r="AJ634" s="211"/>
      <c r="AK634" s="212"/>
      <c r="AL634" s="211"/>
    </row>
    <row r="635" spans="1:40" x14ac:dyDescent="0.25">
      <c r="A635" s="202"/>
      <c r="C635" s="154"/>
      <c r="F635" s="200"/>
      <c r="H635" s="200"/>
      <c r="I635" s="200"/>
      <c r="L635" s="200"/>
      <c r="M635" s="200"/>
      <c r="N635" s="210"/>
      <c r="O635" s="210"/>
      <c r="P635" s="252"/>
      <c r="Q635" s="252"/>
      <c r="R635" s="200"/>
      <c r="T635" s="154"/>
      <c r="V635" s="200"/>
      <c r="W635" s="200"/>
      <c r="X635" s="200"/>
      <c r="Y635" s="200"/>
      <c r="Z635" s="328"/>
      <c r="AA635" s="200"/>
      <c r="AB635" s="200"/>
      <c r="AC635" s="210"/>
      <c r="AD635" s="210"/>
      <c r="AE635" s="200"/>
      <c r="AF635" s="200"/>
      <c r="AG635" s="209"/>
      <c r="AH635" s="201"/>
      <c r="AI635" s="252"/>
      <c r="AJ635" s="252"/>
      <c r="AK635" s="209"/>
      <c r="AL635" s="200"/>
      <c r="AM635" s="210"/>
      <c r="AN635" s="210"/>
    </row>
    <row r="636" spans="1:40" x14ac:dyDescent="0.25">
      <c r="F636" s="211"/>
      <c r="H636" s="211"/>
      <c r="I636" s="211"/>
      <c r="J636" s="305"/>
      <c r="K636" s="305"/>
      <c r="L636" s="211"/>
      <c r="M636" s="211"/>
      <c r="N636" s="211"/>
      <c r="O636" s="211"/>
      <c r="P636" s="211"/>
      <c r="Q636" s="211"/>
      <c r="R636" s="211"/>
      <c r="V636" s="211"/>
      <c r="Y636" s="211"/>
      <c r="Z636" s="305"/>
      <c r="AA636" s="211"/>
      <c r="AB636" s="211"/>
      <c r="AC636" s="211"/>
      <c r="AD636" s="211"/>
      <c r="AE636" s="211"/>
      <c r="AF636" s="211"/>
      <c r="AI636" s="211"/>
      <c r="AJ636" s="211"/>
      <c r="AK636" s="212"/>
      <c r="AL636" s="211"/>
    </row>
    <row r="637" spans="1:40" x14ac:dyDescent="0.25">
      <c r="A637" s="202"/>
      <c r="C637" s="154"/>
      <c r="D637" s="154"/>
      <c r="E637" s="154"/>
      <c r="T637" s="154"/>
      <c r="U637" s="154"/>
      <c r="V637" s="200"/>
      <c r="W637" s="200"/>
      <c r="X637" s="200"/>
      <c r="Y637" s="200"/>
      <c r="Z637" s="328"/>
    </row>
    <row r="638" spans="1:40" x14ac:dyDescent="0.25">
      <c r="A638" s="202"/>
      <c r="C638" s="154"/>
      <c r="T638" s="154"/>
      <c r="V638" s="200"/>
      <c r="W638" s="200"/>
      <c r="X638" s="200"/>
      <c r="Y638" s="200"/>
      <c r="Z638" s="328"/>
    </row>
    <row r="639" spans="1:40" x14ac:dyDescent="0.25">
      <c r="A639" s="202"/>
      <c r="C639" s="154"/>
      <c r="F639" s="252"/>
      <c r="H639" s="252"/>
      <c r="I639" s="252"/>
      <c r="J639" s="328"/>
      <c r="K639" s="328"/>
      <c r="L639" s="200"/>
      <c r="M639" s="200"/>
      <c r="N639" s="210"/>
      <c r="O639" s="210"/>
      <c r="P639" s="200"/>
      <c r="Q639" s="200"/>
      <c r="R639" s="200"/>
      <c r="T639" s="154"/>
      <c r="V639" s="200"/>
      <c r="W639" s="200"/>
      <c r="X639" s="200"/>
      <c r="Y639" s="200"/>
      <c r="Z639" s="328"/>
      <c r="AA639" s="200"/>
      <c r="AB639" s="200"/>
      <c r="AC639" s="210"/>
      <c r="AD639" s="210"/>
      <c r="AE639" s="200"/>
      <c r="AF639" s="200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A640" s="202"/>
      <c r="C640" s="154"/>
      <c r="T640" s="154"/>
      <c r="V640" s="200"/>
      <c r="W640" s="200"/>
      <c r="X640" s="200"/>
      <c r="Y640" s="200"/>
      <c r="Z640" s="328"/>
    </row>
    <row r="641" spans="1:40" x14ac:dyDescent="0.25">
      <c r="A641" s="202"/>
      <c r="C641" s="154"/>
      <c r="F641" s="252"/>
      <c r="H641" s="252"/>
      <c r="I641" s="252"/>
      <c r="J641" s="328"/>
      <c r="K641" s="328"/>
      <c r="L641" s="200"/>
      <c r="M641" s="200"/>
      <c r="N641" s="210"/>
      <c r="O641" s="210"/>
      <c r="P641" s="200"/>
      <c r="Q641" s="200"/>
      <c r="R641" s="200"/>
      <c r="T641" s="154"/>
      <c r="V641" s="200"/>
      <c r="W641" s="200"/>
      <c r="X641" s="200"/>
      <c r="Y641" s="200"/>
      <c r="Z641" s="328"/>
      <c r="AA641" s="200"/>
      <c r="AB641" s="200"/>
      <c r="AC641" s="210"/>
      <c r="AD641" s="210"/>
      <c r="AE641" s="200"/>
      <c r="AF641" s="200"/>
      <c r="AG641" s="209"/>
      <c r="AH641" s="201"/>
      <c r="AI641" s="200"/>
      <c r="AJ641" s="200"/>
      <c r="AK641" s="209"/>
      <c r="AL641" s="200"/>
      <c r="AM641" s="210"/>
      <c r="AN641" s="210"/>
    </row>
    <row r="642" spans="1:40" x14ac:dyDescent="0.25">
      <c r="A642" s="202"/>
      <c r="C642" s="154"/>
      <c r="T642" s="154"/>
      <c r="V642" s="200"/>
      <c r="W642" s="200"/>
      <c r="X642" s="200"/>
      <c r="Y642" s="200"/>
      <c r="Z642" s="328"/>
    </row>
    <row r="643" spans="1:40" x14ac:dyDescent="0.25">
      <c r="A643" s="202"/>
      <c r="C643" s="154"/>
      <c r="F643" s="252"/>
      <c r="H643" s="252"/>
      <c r="I643" s="252"/>
      <c r="J643" s="328"/>
      <c r="K643" s="328"/>
      <c r="L643" s="200"/>
      <c r="M643" s="200"/>
      <c r="N643" s="210"/>
      <c r="O643" s="210"/>
      <c r="P643" s="200"/>
      <c r="Q643" s="200"/>
      <c r="R643" s="200"/>
      <c r="T643" s="154"/>
      <c r="V643" s="200"/>
      <c r="W643" s="200"/>
      <c r="X643" s="200"/>
      <c r="Y643" s="200"/>
      <c r="Z643" s="328"/>
      <c r="AA643" s="200"/>
      <c r="AB643" s="200"/>
      <c r="AC643" s="210"/>
      <c r="AD643" s="210"/>
      <c r="AE643" s="200"/>
      <c r="AF643" s="200"/>
      <c r="AG643" s="209"/>
      <c r="AH643" s="201"/>
      <c r="AI643" s="200"/>
      <c r="AJ643" s="200"/>
      <c r="AK643" s="209"/>
      <c r="AL643" s="200"/>
      <c r="AM643" s="210"/>
      <c r="AN643" s="210"/>
    </row>
    <row r="644" spans="1:40" x14ac:dyDescent="0.25">
      <c r="A644" s="202"/>
      <c r="C644" s="154"/>
      <c r="T644" s="154"/>
      <c r="V644" s="200"/>
      <c r="W644" s="200"/>
      <c r="X644" s="200"/>
      <c r="Y644" s="200"/>
      <c r="Z644" s="328"/>
    </row>
    <row r="645" spans="1:40" x14ac:dyDescent="0.25">
      <c r="A645" s="202"/>
      <c r="C645" s="154"/>
      <c r="F645" s="252"/>
      <c r="H645" s="252"/>
      <c r="I645" s="252"/>
      <c r="J645" s="328"/>
      <c r="K645" s="328"/>
      <c r="L645" s="200"/>
      <c r="M645" s="200"/>
      <c r="N645" s="210"/>
      <c r="O645" s="210"/>
      <c r="P645" s="200"/>
      <c r="Q645" s="200"/>
      <c r="R645" s="200"/>
      <c r="T645" s="154"/>
      <c r="V645" s="200"/>
      <c r="W645" s="200"/>
      <c r="X645" s="200"/>
      <c r="Y645" s="200"/>
      <c r="Z645" s="328"/>
      <c r="AA645" s="200"/>
      <c r="AB645" s="200"/>
      <c r="AC645" s="210"/>
      <c r="AD645" s="210"/>
      <c r="AE645" s="200"/>
      <c r="AF645" s="200"/>
      <c r="AG645" s="209"/>
      <c r="AH645" s="201"/>
      <c r="AI645" s="200"/>
      <c r="AJ645" s="200"/>
      <c r="AK645" s="209"/>
      <c r="AL645" s="200"/>
      <c r="AM645" s="210"/>
      <c r="AN645" s="210"/>
    </row>
    <row r="646" spans="1:40" x14ac:dyDescent="0.25">
      <c r="F646" s="211"/>
      <c r="H646" s="211"/>
      <c r="I646" s="211"/>
      <c r="J646" s="305"/>
      <c r="K646" s="305"/>
      <c r="L646" s="211"/>
      <c r="M646" s="211"/>
      <c r="N646" s="211"/>
      <c r="O646" s="211"/>
      <c r="P646" s="211"/>
      <c r="Q646" s="211"/>
      <c r="R646" s="211"/>
      <c r="V646" s="211"/>
      <c r="Y646" s="211"/>
      <c r="Z646" s="305"/>
      <c r="AA646" s="211"/>
      <c r="AB646" s="211"/>
      <c r="AC646" s="211"/>
      <c r="AD646" s="211"/>
      <c r="AE646" s="211"/>
      <c r="AF646" s="211"/>
      <c r="AI646" s="211"/>
      <c r="AJ646" s="211"/>
      <c r="AK646" s="212"/>
      <c r="AL646" s="211"/>
    </row>
    <row r="647" spans="1:40" x14ac:dyDescent="0.25">
      <c r="A647" s="202"/>
      <c r="C647" s="154"/>
      <c r="F647" s="200"/>
      <c r="H647" s="200"/>
      <c r="I647" s="200"/>
      <c r="L647" s="200"/>
      <c r="M647" s="200"/>
      <c r="N647" s="210"/>
      <c r="O647" s="210"/>
      <c r="P647" s="252"/>
      <c r="Q647" s="252"/>
      <c r="R647" s="200"/>
      <c r="T647" s="154"/>
      <c r="V647" s="200"/>
      <c r="W647" s="200"/>
      <c r="X647" s="200"/>
      <c r="Y647" s="200"/>
      <c r="Z647" s="328"/>
      <c r="AA647" s="200"/>
      <c r="AB647" s="200"/>
      <c r="AC647" s="210"/>
      <c r="AD647" s="210"/>
      <c r="AE647" s="200"/>
      <c r="AF647" s="200"/>
      <c r="AG647" s="209"/>
      <c r="AH647" s="201"/>
      <c r="AI647" s="252"/>
      <c r="AJ647" s="252"/>
      <c r="AK647" s="209"/>
      <c r="AL647" s="200"/>
      <c r="AM647" s="210"/>
      <c r="AN647" s="210"/>
    </row>
    <row r="648" spans="1:40" x14ac:dyDescent="0.25">
      <c r="F648" s="211"/>
      <c r="H648" s="211"/>
      <c r="I648" s="211"/>
      <c r="J648" s="305"/>
      <c r="K648" s="305"/>
      <c r="L648" s="211"/>
      <c r="M648" s="211"/>
      <c r="N648" s="211"/>
      <c r="O648" s="211"/>
      <c r="P648" s="211"/>
      <c r="Q648" s="211"/>
      <c r="R648" s="211"/>
      <c r="V648" s="211"/>
      <c r="Y648" s="211"/>
      <c r="Z648" s="305"/>
      <c r="AA648" s="211"/>
      <c r="AB648" s="211"/>
      <c r="AC648" s="211"/>
      <c r="AD648" s="211"/>
      <c r="AE648" s="211"/>
      <c r="AF648" s="211"/>
      <c r="AI648" s="211"/>
      <c r="AJ648" s="211"/>
      <c r="AK648" s="212"/>
      <c r="AL648" s="211"/>
    </row>
    <row r="649" spans="1:40" x14ac:dyDescent="0.25">
      <c r="A649" s="202"/>
      <c r="C649" s="154"/>
      <c r="F649" s="200"/>
      <c r="H649" s="200"/>
      <c r="I649" s="200"/>
      <c r="L649" s="200"/>
      <c r="M649" s="200"/>
      <c r="N649" s="210"/>
      <c r="O649" s="210"/>
      <c r="P649" s="200"/>
      <c r="Q649" s="200"/>
      <c r="R649" s="200"/>
      <c r="T649" s="154"/>
      <c r="V649" s="200"/>
      <c r="W649" s="200"/>
      <c r="X649" s="200"/>
      <c r="Y649" s="200"/>
      <c r="AA649" s="200"/>
      <c r="AB649" s="200"/>
      <c r="AC649" s="210"/>
      <c r="AD649" s="210"/>
      <c r="AE649" s="200"/>
      <c r="AF649" s="200"/>
      <c r="AG649" s="209"/>
      <c r="AH649" s="201"/>
      <c r="AI649" s="200"/>
      <c r="AJ649" s="200"/>
      <c r="AK649" s="209"/>
      <c r="AL649" s="200"/>
      <c r="AM649" s="201"/>
      <c r="AN649" s="201"/>
    </row>
    <row r="650" spans="1:40" x14ac:dyDescent="0.25">
      <c r="F650" s="211"/>
      <c r="H650" s="211"/>
      <c r="I650" s="211"/>
      <c r="J650" s="305"/>
      <c r="K650" s="305"/>
      <c r="L650" s="211"/>
      <c r="M650" s="211"/>
      <c r="N650" s="211"/>
      <c r="O650" s="211"/>
      <c r="P650" s="211"/>
      <c r="Q650" s="211"/>
      <c r="R650" s="211"/>
      <c r="V650" s="211"/>
      <c r="Y650" s="211"/>
      <c r="Z650" s="305"/>
      <c r="AA650" s="211"/>
      <c r="AB650" s="211"/>
      <c r="AC650" s="211"/>
      <c r="AD650" s="211"/>
      <c r="AE650" s="211"/>
      <c r="AF650" s="211"/>
      <c r="AI650" s="211"/>
      <c r="AJ650" s="211"/>
      <c r="AK650" s="212"/>
      <c r="AL650" s="211"/>
    </row>
    <row r="652" spans="1:40" x14ac:dyDescent="0.25">
      <c r="C652" s="202"/>
      <c r="T652" s="202"/>
    </row>
    <row r="653" spans="1:40" x14ac:dyDescent="0.25">
      <c r="A653" s="154"/>
    </row>
    <row r="654" spans="1:40" x14ac:dyDescent="0.25">
      <c r="J654" s="202"/>
      <c r="K654" s="202"/>
      <c r="Z654" s="202"/>
    </row>
    <row r="655" spans="1:40" x14ac:dyDescent="0.25">
      <c r="H655" s="154"/>
      <c r="I655" s="154"/>
      <c r="Y655" s="154"/>
    </row>
    <row r="656" spans="1:40" x14ac:dyDescent="0.25">
      <c r="J656" s="202"/>
      <c r="K656" s="202"/>
      <c r="Z656" s="202"/>
    </row>
    <row r="657" spans="1:40" x14ac:dyDescent="0.25">
      <c r="L657" s="154"/>
      <c r="M657" s="154"/>
      <c r="AA657" s="154"/>
      <c r="AB657" s="154"/>
    </row>
    <row r="658" spans="1:40" x14ac:dyDescent="0.25">
      <c r="A658" s="202"/>
      <c r="R658" s="154"/>
      <c r="AK658" s="297"/>
      <c r="AL658" s="154"/>
    </row>
    <row r="659" spans="1:40" x14ac:dyDescent="0.25">
      <c r="A659" s="202"/>
      <c r="R659" s="154"/>
      <c r="AK659" s="297"/>
      <c r="AL659" s="154"/>
    </row>
    <row r="660" spans="1:40" x14ac:dyDescent="0.25">
      <c r="A660" s="154"/>
      <c r="R660" s="154"/>
      <c r="AK660" s="297"/>
      <c r="AL660" s="154"/>
    </row>
    <row r="661" spans="1:40" x14ac:dyDescent="0.25">
      <c r="L661" s="154"/>
      <c r="M661" s="154"/>
      <c r="R661" s="202"/>
      <c r="AA661" s="154"/>
      <c r="AB661" s="154"/>
      <c r="AK661" s="209"/>
      <c r="AL661" s="202"/>
    </row>
    <row r="662" spans="1:40" x14ac:dyDescent="0.2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208"/>
      <c r="AH662" s="102"/>
      <c r="AI662" s="102"/>
      <c r="AJ662" s="102"/>
      <c r="AK662" s="208"/>
      <c r="AL662" s="102"/>
      <c r="AM662" s="102"/>
      <c r="AN662" s="102"/>
    </row>
    <row r="663" spans="1:40" x14ac:dyDescent="0.25">
      <c r="L663" s="103"/>
      <c r="M663" s="103"/>
      <c r="N663" s="103"/>
      <c r="O663" s="103"/>
      <c r="R663" s="103"/>
      <c r="AA663" s="103"/>
      <c r="AB663" s="103"/>
      <c r="AC663" s="103"/>
      <c r="AD663" s="103"/>
      <c r="AE663" s="103"/>
      <c r="AF663" s="103"/>
      <c r="AG663" s="185"/>
      <c r="AH663" s="103"/>
      <c r="AK663" s="185"/>
      <c r="AL663" s="103"/>
      <c r="AM663" s="103"/>
      <c r="AN663" s="103"/>
    </row>
    <row r="664" spans="1:40" x14ac:dyDescent="0.25">
      <c r="L664" s="103"/>
      <c r="M664" s="103"/>
      <c r="N664" s="103"/>
      <c r="O664" s="103"/>
      <c r="R664" s="103"/>
      <c r="Z664" s="103"/>
      <c r="AA664" s="103"/>
      <c r="AB664" s="103"/>
      <c r="AC664" s="103"/>
      <c r="AD664" s="103"/>
      <c r="AE664" s="103"/>
      <c r="AF664" s="103"/>
      <c r="AG664" s="185"/>
      <c r="AH664" s="103"/>
      <c r="AK664" s="185"/>
      <c r="AL664" s="103"/>
      <c r="AM664" s="103"/>
      <c r="AN664" s="103"/>
    </row>
    <row r="665" spans="1:40" x14ac:dyDescent="0.25">
      <c r="A665" s="103"/>
      <c r="C665" s="103"/>
      <c r="D665" s="103"/>
      <c r="E665" s="103"/>
      <c r="F665" s="103"/>
      <c r="J665" s="103"/>
      <c r="K665" s="103"/>
      <c r="L665" s="103"/>
      <c r="M665" s="103"/>
      <c r="N665" s="103"/>
      <c r="O665" s="103"/>
      <c r="P665" s="103"/>
      <c r="Q665" s="103"/>
      <c r="R665" s="103"/>
      <c r="T665" s="103"/>
      <c r="U665" s="103"/>
      <c r="V665" s="103"/>
      <c r="Z665" s="103"/>
      <c r="AA665" s="103"/>
      <c r="AB665" s="103"/>
      <c r="AC665" s="103"/>
      <c r="AD665" s="103"/>
      <c r="AE665" s="103"/>
      <c r="AF665" s="103"/>
      <c r="AG665" s="185"/>
      <c r="AH665" s="103"/>
      <c r="AI665" s="103"/>
      <c r="AJ665" s="103"/>
      <c r="AK665" s="185"/>
      <c r="AL665" s="103"/>
      <c r="AM665" s="103"/>
      <c r="AN665" s="103"/>
    </row>
    <row r="666" spans="1:40" x14ac:dyDescent="0.25">
      <c r="A666" s="103"/>
      <c r="C666" s="103"/>
      <c r="D666" s="103"/>
      <c r="E666" s="103"/>
      <c r="F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T666" s="103"/>
      <c r="U666" s="103"/>
      <c r="V666" s="103"/>
      <c r="Y666" s="103"/>
      <c r="Z666" s="103"/>
      <c r="AA666" s="103"/>
      <c r="AB666" s="103"/>
      <c r="AC666" s="103"/>
      <c r="AD666" s="103"/>
      <c r="AE666" s="103"/>
      <c r="AF666" s="103"/>
      <c r="AG666" s="185"/>
      <c r="AH666" s="103"/>
      <c r="AI666" s="103"/>
      <c r="AJ666" s="103"/>
      <c r="AK666" s="185"/>
      <c r="AL666" s="103"/>
      <c r="AM666" s="103"/>
      <c r="AN666" s="103"/>
    </row>
    <row r="667" spans="1:40" x14ac:dyDescent="0.25">
      <c r="C667" s="103"/>
      <c r="D667" s="103"/>
      <c r="E667" s="103"/>
      <c r="F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T667" s="103"/>
      <c r="U667" s="103"/>
      <c r="V667" s="103"/>
      <c r="Y667" s="103"/>
      <c r="Z667" s="103"/>
      <c r="AA667" s="103"/>
      <c r="AB667" s="103"/>
      <c r="AC667" s="103"/>
      <c r="AD667" s="103"/>
      <c r="AE667" s="103"/>
      <c r="AF667" s="103"/>
      <c r="AG667" s="185"/>
      <c r="AH667" s="103"/>
      <c r="AI667" s="103"/>
      <c r="AJ667" s="103"/>
      <c r="AK667" s="185"/>
      <c r="AL667" s="103"/>
      <c r="AM667" s="103"/>
      <c r="AN667" s="103"/>
    </row>
    <row r="668" spans="1:40" x14ac:dyDescent="0.2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208"/>
      <c r="AH668" s="102"/>
      <c r="AI668" s="102"/>
      <c r="AJ668" s="102"/>
      <c r="AK668" s="208"/>
      <c r="AL668" s="102"/>
      <c r="AM668" s="102"/>
      <c r="AN668" s="102"/>
    </row>
    <row r="669" spans="1:40" x14ac:dyDescent="0.25"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Y669" s="103"/>
      <c r="Z669" s="103"/>
      <c r="AA669" s="103"/>
      <c r="AB669" s="103"/>
      <c r="AC669" s="103"/>
      <c r="AD669" s="103"/>
      <c r="AE669" s="103"/>
      <c r="AF669" s="103"/>
      <c r="AG669" s="185"/>
      <c r="AH669" s="103"/>
      <c r="AI669" s="103"/>
      <c r="AJ669" s="103"/>
      <c r="AK669" s="185"/>
      <c r="AL669" s="103"/>
      <c r="AM669" s="103"/>
      <c r="AN669" s="103"/>
    </row>
    <row r="670" spans="1:40" x14ac:dyDescent="0.25">
      <c r="A670" s="202"/>
      <c r="C670" s="154"/>
      <c r="D670" s="154"/>
      <c r="E670" s="154"/>
      <c r="F670" s="200"/>
      <c r="H670" s="200"/>
      <c r="I670" s="200"/>
      <c r="J670" s="213"/>
      <c r="K670" s="213"/>
      <c r="L670" s="200"/>
      <c r="M670" s="200"/>
      <c r="N670" s="213"/>
      <c r="O670" s="213"/>
      <c r="P670" s="200"/>
      <c r="Q670" s="200"/>
      <c r="R670" s="200"/>
      <c r="T670" s="154"/>
      <c r="U670" s="154"/>
      <c r="V670" s="200"/>
      <c r="Y670" s="200"/>
      <c r="Z670" s="213"/>
      <c r="AA670" s="200"/>
      <c r="AB670" s="200"/>
      <c r="AC670" s="213"/>
      <c r="AD670" s="213"/>
      <c r="AE670" s="200"/>
      <c r="AF670" s="200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F671" s="211"/>
      <c r="H671" s="211"/>
      <c r="I671" s="211"/>
      <c r="J671" s="305"/>
      <c r="K671" s="305"/>
      <c r="L671" s="211"/>
      <c r="M671" s="211"/>
      <c r="N671" s="211"/>
      <c r="O671" s="211"/>
      <c r="P671" s="211"/>
      <c r="Q671" s="211"/>
      <c r="R671" s="211"/>
      <c r="V671" s="211"/>
      <c r="Y671" s="211"/>
      <c r="Z671" s="305"/>
      <c r="AA671" s="211"/>
      <c r="AB671" s="211"/>
      <c r="AC671" s="211"/>
      <c r="AD671" s="211"/>
      <c r="AE671" s="211"/>
      <c r="AF671" s="211"/>
      <c r="AI671" s="211"/>
      <c r="AJ671" s="211"/>
      <c r="AK671" s="212"/>
      <c r="AL671" s="211"/>
      <c r="AM671" s="210"/>
      <c r="AN671" s="210"/>
    </row>
    <row r="672" spans="1:40" x14ac:dyDescent="0.25">
      <c r="A672" s="202"/>
      <c r="C672" s="154"/>
      <c r="F672" s="200"/>
      <c r="H672" s="200"/>
      <c r="I672" s="200"/>
      <c r="J672" s="213"/>
      <c r="K672" s="213"/>
      <c r="L672" s="200"/>
      <c r="M672" s="200"/>
      <c r="N672" s="213"/>
      <c r="O672" s="213"/>
      <c r="P672" s="200"/>
      <c r="Q672" s="200"/>
      <c r="R672" s="200"/>
      <c r="T672" s="154"/>
      <c r="V672" s="200"/>
      <c r="Y672" s="200"/>
      <c r="Z672" s="213"/>
      <c r="AA672" s="200"/>
      <c r="AB672" s="200"/>
      <c r="AC672" s="213"/>
      <c r="AD672" s="213"/>
      <c r="AE672" s="200"/>
      <c r="AF672" s="200"/>
      <c r="AG672" s="209"/>
      <c r="AH672" s="201"/>
      <c r="AI672" s="200"/>
      <c r="AJ672" s="200"/>
      <c r="AK672" s="209"/>
      <c r="AL672" s="200"/>
      <c r="AM672" s="210"/>
      <c r="AN672" s="210"/>
    </row>
    <row r="673" spans="1:40" x14ac:dyDescent="0.25">
      <c r="F673" s="200"/>
      <c r="H673" s="200"/>
      <c r="I673" s="200"/>
      <c r="J673" s="213"/>
      <c r="K673" s="213"/>
      <c r="L673" s="200"/>
      <c r="M673" s="200"/>
      <c r="N673" s="213"/>
      <c r="O673" s="213"/>
      <c r="P673" s="200"/>
      <c r="Q673" s="200"/>
      <c r="R673" s="200"/>
      <c r="V673" s="200"/>
      <c r="Y673" s="200"/>
      <c r="Z673" s="213"/>
      <c r="AA673" s="200"/>
      <c r="AB673" s="200"/>
      <c r="AC673" s="213"/>
      <c r="AD673" s="213"/>
      <c r="AG673" s="209"/>
      <c r="AH673" s="201"/>
      <c r="AI673" s="200"/>
      <c r="AJ673" s="200"/>
      <c r="AK673" s="209"/>
      <c r="AL673" s="200"/>
      <c r="AM673" s="210"/>
      <c r="AN673" s="210"/>
    </row>
    <row r="674" spans="1:40" x14ac:dyDescent="0.25">
      <c r="A674" s="202"/>
      <c r="C674" s="154"/>
      <c r="D674" s="154"/>
      <c r="E674" s="154"/>
      <c r="F674" s="200"/>
      <c r="H674" s="200"/>
      <c r="I674" s="200"/>
      <c r="J674" s="213"/>
      <c r="K674" s="213"/>
      <c r="L674" s="200"/>
      <c r="M674" s="200"/>
      <c r="N674" s="213"/>
      <c r="O674" s="213"/>
      <c r="P674" s="200"/>
      <c r="Q674" s="200"/>
      <c r="R674" s="200"/>
      <c r="T674" s="154"/>
      <c r="U674" s="154"/>
      <c r="V674" s="200"/>
      <c r="Y674" s="200"/>
      <c r="Z674" s="213"/>
      <c r="AA674" s="200"/>
      <c r="AB674" s="200"/>
      <c r="AC674" s="213"/>
      <c r="AD674" s="213"/>
      <c r="AE674" s="200"/>
      <c r="AF674" s="200"/>
      <c r="AG674" s="209"/>
      <c r="AH674" s="201"/>
      <c r="AI674" s="200"/>
      <c r="AJ674" s="200"/>
      <c r="AK674" s="209"/>
      <c r="AL674" s="200"/>
      <c r="AM674" s="210"/>
      <c r="AN674" s="210"/>
    </row>
    <row r="675" spans="1:40" x14ac:dyDescent="0.25">
      <c r="A675" s="202"/>
      <c r="C675" s="154"/>
      <c r="D675" s="154"/>
      <c r="E675" s="154"/>
      <c r="F675" s="200"/>
      <c r="H675" s="200"/>
      <c r="I675" s="200"/>
      <c r="J675" s="213"/>
      <c r="K675" s="213"/>
      <c r="L675" s="200"/>
      <c r="M675" s="200"/>
      <c r="N675" s="213"/>
      <c r="O675" s="213"/>
      <c r="P675" s="200"/>
      <c r="Q675" s="200"/>
      <c r="R675" s="200"/>
      <c r="T675" s="154"/>
      <c r="U675" s="154"/>
      <c r="V675" s="200"/>
      <c r="Y675" s="200"/>
      <c r="Z675" s="213"/>
      <c r="AA675" s="200"/>
      <c r="AB675" s="200"/>
      <c r="AC675" s="213"/>
      <c r="AD675" s="213"/>
      <c r="AE675" s="200"/>
      <c r="AF675" s="200"/>
      <c r="AG675" s="209"/>
      <c r="AH675" s="201"/>
      <c r="AI675" s="200"/>
      <c r="AJ675" s="200"/>
      <c r="AK675" s="209"/>
      <c r="AL675" s="200"/>
      <c r="AM675" s="210"/>
      <c r="AN675" s="210"/>
    </row>
    <row r="676" spans="1:40" x14ac:dyDescent="0.25">
      <c r="A676" s="202"/>
      <c r="C676" s="154"/>
      <c r="D676" s="154"/>
      <c r="E676" s="154"/>
      <c r="F676" s="200"/>
      <c r="H676" s="200"/>
      <c r="I676" s="200"/>
      <c r="J676" s="213"/>
      <c r="K676" s="213"/>
      <c r="L676" s="200"/>
      <c r="M676" s="200"/>
      <c r="N676" s="213"/>
      <c r="O676" s="213"/>
      <c r="P676" s="200"/>
      <c r="Q676" s="200"/>
      <c r="R676" s="200"/>
      <c r="T676" s="154"/>
      <c r="U676" s="154"/>
      <c r="V676" s="200"/>
      <c r="Y676" s="200"/>
      <c r="Z676" s="213"/>
      <c r="AA676" s="200"/>
      <c r="AB676" s="200"/>
      <c r="AC676" s="213"/>
      <c r="AD676" s="213"/>
      <c r="AE676" s="200"/>
      <c r="AF676" s="200"/>
      <c r="AG676" s="209"/>
      <c r="AH676" s="201"/>
      <c r="AI676" s="200"/>
      <c r="AJ676" s="200"/>
      <c r="AK676" s="209"/>
      <c r="AL676" s="200"/>
      <c r="AM676" s="210"/>
      <c r="AN676" s="210"/>
    </row>
    <row r="677" spans="1:40" x14ac:dyDescent="0.25">
      <c r="A677" s="202"/>
      <c r="C677" s="154"/>
      <c r="D677" s="154"/>
      <c r="E677" s="154"/>
      <c r="F677" s="200"/>
      <c r="H677" s="200"/>
      <c r="I677" s="200"/>
      <c r="J677" s="213"/>
      <c r="K677" s="213"/>
      <c r="L677" s="200"/>
      <c r="M677" s="200"/>
      <c r="N677" s="213"/>
      <c r="O677" s="213"/>
      <c r="P677" s="200"/>
      <c r="Q677" s="200"/>
      <c r="R677" s="200"/>
      <c r="T677" s="154"/>
      <c r="U677" s="154"/>
      <c r="V677" s="200"/>
      <c r="Y677" s="200"/>
      <c r="Z677" s="213"/>
      <c r="AA677" s="200"/>
      <c r="AB677" s="200"/>
      <c r="AC677" s="213"/>
      <c r="AD677" s="213"/>
      <c r="AE677" s="200"/>
      <c r="AF677" s="200"/>
      <c r="AG677" s="209"/>
      <c r="AH677" s="201"/>
      <c r="AI677" s="200"/>
      <c r="AJ677" s="200"/>
      <c r="AK677" s="209"/>
      <c r="AL677" s="200"/>
      <c r="AM677" s="210"/>
      <c r="AN677" s="210"/>
    </row>
    <row r="678" spans="1:40" x14ac:dyDescent="0.25">
      <c r="A678" s="202"/>
      <c r="C678" s="154"/>
      <c r="D678" s="154"/>
      <c r="E678" s="154"/>
      <c r="F678" s="200"/>
      <c r="H678" s="200"/>
      <c r="I678" s="200"/>
      <c r="J678" s="213"/>
      <c r="K678" s="213"/>
      <c r="L678" s="200"/>
      <c r="M678" s="200"/>
      <c r="N678" s="213"/>
      <c r="O678" s="213"/>
      <c r="P678" s="200"/>
      <c r="Q678" s="200"/>
      <c r="R678" s="200"/>
      <c r="T678" s="154"/>
      <c r="U678" s="154"/>
      <c r="V678" s="200"/>
      <c r="Y678" s="200"/>
      <c r="Z678" s="213"/>
      <c r="AA678" s="200"/>
      <c r="AB678" s="200"/>
      <c r="AC678" s="213"/>
      <c r="AD678" s="213"/>
      <c r="AE678" s="200"/>
      <c r="AF678" s="200"/>
      <c r="AG678" s="209"/>
      <c r="AH678" s="201"/>
      <c r="AI678" s="200"/>
      <c r="AJ678" s="200"/>
      <c r="AK678" s="209"/>
      <c r="AL678" s="200"/>
      <c r="AM678" s="210"/>
      <c r="AN678" s="210"/>
    </row>
    <row r="679" spans="1:40" x14ac:dyDescent="0.25">
      <c r="A679" s="202"/>
      <c r="C679" s="154"/>
      <c r="D679" s="154"/>
      <c r="E679" s="154"/>
      <c r="F679" s="200"/>
      <c r="H679" s="200"/>
      <c r="I679" s="200"/>
      <c r="J679" s="213"/>
      <c r="K679" s="213"/>
      <c r="L679" s="200"/>
      <c r="M679" s="200"/>
      <c r="N679" s="213"/>
      <c r="O679" s="213"/>
      <c r="P679" s="200"/>
      <c r="Q679" s="200"/>
      <c r="R679" s="200"/>
      <c r="T679" s="154"/>
      <c r="U679" s="154"/>
      <c r="V679" s="200"/>
      <c r="Y679" s="200"/>
      <c r="Z679" s="213"/>
      <c r="AA679" s="200"/>
      <c r="AB679" s="200"/>
      <c r="AC679" s="213"/>
      <c r="AD679" s="213"/>
      <c r="AE679" s="200"/>
      <c r="AF679" s="200"/>
      <c r="AG679" s="209"/>
      <c r="AH679" s="201"/>
      <c r="AI679" s="200"/>
      <c r="AJ679" s="200"/>
      <c r="AK679" s="209"/>
      <c r="AL679" s="200"/>
      <c r="AM679" s="210"/>
      <c r="AN679" s="210"/>
    </row>
    <row r="680" spans="1:40" x14ac:dyDescent="0.25">
      <c r="F680" s="211"/>
      <c r="H680" s="211"/>
      <c r="I680" s="211"/>
      <c r="J680" s="305"/>
      <c r="K680" s="305"/>
      <c r="L680" s="211"/>
      <c r="M680" s="211"/>
      <c r="N680" s="211"/>
      <c r="O680" s="211"/>
      <c r="P680" s="211"/>
      <c r="Q680" s="211"/>
      <c r="R680" s="211"/>
      <c r="V680" s="211"/>
      <c r="Y680" s="211"/>
      <c r="Z680" s="305"/>
      <c r="AA680" s="211"/>
      <c r="AB680" s="211"/>
      <c r="AC680" s="211"/>
      <c r="AD680" s="211"/>
      <c r="AE680" s="211"/>
      <c r="AF680" s="211"/>
      <c r="AI680" s="211"/>
      <c r="AJ680" s="211"/>
      <c r="AK680" s="212"/>
      <c r="AL680" s="211"/>
      <c r="AM680" s="210"/>
      <c r="AN680" s="210"/>
    </row>
    <row r="681" spans="1:40" x14ac:dyDescent="0.25">
      <c r="A681" s="202"/>
      <c r="C681" s="154"/>
      <c r="F681" s="200"/>
      <c r="H681" s="200"/>
      <c r="I681" s="200"/>
      <c r="J681" s="213"/>
      <c r="K681" s="213"/>
      <c r="L681" s="200"/>
      <c r="M681" s="200"/>
      <c r="N681" s="213"/>
      <c r="O681" s="213"/>
      <c r="P681" s="200"/>
      <c r="Q681" s="200"/>
      <c r="R681" s="200"/>
      <c r="T681" s="154"/>
      <c r="V681" s="200"/>
      <c r="Y681" s="200"/>
      <c r="Z681" s="213"/>
      <c r="AA681" s="200"/>
      <c r="AB681" s="200"/>
      <c r="AC681" s="213"/>
      <c r="AD681" s="213"/>
      <c r="AE681" s="200"/>
      <c r="AF681" s="200"/>
      <c r="AG681" s="209"/>
      <c r="AH681" s="201"/>
      <c r="AI681" s="200"/>
      <c r="AJ681" s="200"/>
      <c r="AK681" s="209"/>
      <c r="AL681" s="200"/>
      <c r="AM681" s="210"/>
      <c r="AN681" s="210"/>
    </row>
    <row r="682" spans="1:40" x14ac:dyDescent="0.25">
      <c r="F682" s="200"/>
      <c r="H682" s="200"/>
      <c r="I682" s="200"/>
      <c r="J682" s="213"/>
      <c r="K682" s="213"/>
      <c r="L682" s="200"/>
      <c r="M682" s="200"/>
      <c r="N682" s="213"/>
      <c r="O682" s="213"/>
      <c r="P682" s="200"/>
      <c r="Q682" s="200"/>
      <c r="R682" s="200"/>
      <c r="V682" s="200"/>
      <c r="Y682" s="200"/>
      <c r="Z682" s="213"/>
      <c r="AA682" s="200"/>
      <c r="AB682" s="200"/>
      <c r="AC682" s="213"/>
      <c r="AD682" s="213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A683" s="202"/>
      <c r="C683" s="154"/>
      <c r="D683" s="154"/>
      <c r="E683" s="154"/>
      <c r="F683" s="200"/>
      <c r="H683" s="200"/>
      <c r="I683" s="200"/>
      <c r="J683" s="213"/>
      <c r="K683" s="213"/>
      <c r="L683" s="200"/>
      <c r="M683" s="200"/>
      <c r="N683" s="213"/>
      <c r="O683" s="213"/>
      <c r="P683" s="200"/>
      <c r="Q683" s="200"/>
      <c r="R683" s="200"/>
      <c r="T683" s="154"/>
      <c r="U683" s="154"/>
      <c r="V683" s="200"/>
      <c r="Y683" s="200"/>
      <c r="Z683" s="213"/>
      <c r="AA683" s="200"/>
      <c r="AB683" s="200"/>
      <c r="AC683" s="213"/>
      <c r="AD683" s="213"/>
      <c r="AE683" s="200"/>
      <c r="AF683" s="200"/>
      <c r="AG683" s="209"/>
      <c r="AH683" s="201"/>
      <c r="AI683" s="200"/>
      <c r="AJ683" s="200"/>
      <c r="AK683" s="209"/>
      <c r="AL683" s="200"/>
      <c r="AM683" s="210"/>
      <c r="AN683" s="210"/>
    </row>
    <row r="684" spans="1:40" x14ac:dyDescent="0.25">
      <c r="F684" s="211"/>
      <c r="H684" s="211"/>
      <c r="I684" s="211"/>
      <c r="J684" s="305"/>
      <c r="K684" s="305"/>
      <c r="L684" s="211"/>
      <c r="M684" s="211"/>
      <c r="N684" s="211"/>
      <c r="O684" s="211"/>
      <c r="P684" s="211"/>
      <c r="Q684" s="211"/>
      <c r="R684" s="211"/>
      <c r="V684" s="211"/>
      <c r="Y684" s="211"/>
      <c r="Z684" s="305"/>
      <c r="AA684" s="211"/>
      <c r="AB684" s="211"/>
      <c r="AC684" s="211"/>
      <c r="AD684" s="211"/>
      <c r="AE684" s="211"/>
      <c r="AF684" s="211"/>
      <c r="AI684" s="211"/>
      <c r="AJ684" s="211"/>
      <c r="AK684" s="212"/>
      <c r="AL684" s="211"/>
      <c r="AM684" s="210"/>
      <c r="AN684" s="210"/>
    </row>
    <row r="685" spans="1:40" x14ac:dyDescent="0.25">
      <c r="A685" s="202"/>
      <c r="C685" s="154"/>
      <c r="F685" s="200"/>
      <c r="H685" s="200"/>
      <c r="I685" s="200"/>
      <c r="J685" s="213"/>
      <c r="K685" s="213"/>
      <c r="L685" s="200"/>
      <c r="M685" s="200"/>
      <c r="N685" s="213"/>
      <c r="O685" s="213"/>
      <c r="P685" s="200"/>
      <c r="Q685" s="200"/>
      <c r="R685" s="200"/>
      <c r="T685" s="154"/>
      <c r="V685" s="200"/>
      <c r="Y685" s="200"/>
      <c r="Z685" s="213"/>
      <c r="AA685" s="200"/>
      <c r="AB685" s="200"/>
      <c r="AC685" s="213"/>
      <c r="AD685" s="213"/>
      <c r="AE685" s="200"/>
      <c r="AF685" s="200"/>
      <c r="AG685" s="209"/>
      <c r="AH685" s="201"/>
      <c r="AI685" s="200"/>
      <c r="AJ685" s="200"/>
      <c r="AK685" s="209"/>
      <c r="AL685" s="200"/>
      <c r="AM685" s="210"/>
      <c r="AN685" s="210"/>
    </row>
    <row r="686" spans="1:40" x14ac:dyDescent="0.25">
      <c r="F686" s="200"/>
      <c r="H686" s="200"/>
      <c r="I686" s="200"/>
      <c r="J686" s="213"/>
      <c r="K686" s="213"/>
      <c r="L686" s="200"/>
      <c r="M686" s="200"/>
      <c r="N686" s="213"/>
      <c r="O686" s="213"/>
      <c r="P686" s="200"/>
      <c r="Q686" s="200"/>
      <c r="R686" s="200"/>
      <c r="V686" s="200"/>
      <c r="Y686" s="200"/>
      <c r="Z686" s="213"/>
      <c r="AA686" s="200"/>
      <c r="AB686" s="200"/>
      <c r="AC686" s="213"/>
      <c r="AD686" s="213"/>
      <c r="AG686" s="209"/>
      <c r="AH686" s="201"/>
      <c r="AI686" s="200"/>
      <c r="AJ686" s="200"/>
      <c r="AK686" s="209"/>
      <c r="AL686" s="200"/>
      <c r="AM686" s="210"/>
      <c r="AN686" s="210"/>
    </row>
    <row r="687" spans="1:40" x14ac:dyDescent="0.25">
      <c r="A687" s="202"/>
      <c r="C687" s="154"/>
      <c r="D687" s="154"/>
      <c r="E687" s="154"/>
      <c r="F687" s="200"/>
      <c r="H687" s="200"/>
      <c r="I687" s="200"/>
      <c r="J687" s="213"/>
      <c r="K687" s="213"/>
      <c r="L687" s="200"/>
      <c r="M687" s="200"/>
      <c r="N687" s="213"/>
      <c r="O687" s="213"/>
      <c r="P687" s="200"/>
      <c r="Q687" s="200"/>
      <c r="R687" s="200"/>
      <c r="T687" s="154"/>
      <c r="U687" s="154"/>
      <c r="V687" s="200"/>
      <c r="Y687" s="200"/>
      <c r="Z687" s="213"/>
      <c r="AA687" s="200"/>
      <c r="AB687" s="200"/>
      <c r="AC687" s="213"/>
      <c r="AD687" s="213"/>
      <c r="AE687" s="200"/>
      <c r="AF687" s="200"/>
      <c r="AG687" s="209"/>
      <c r="AH687" s="201"/>
      <c r="AI687" s="200"/>
      <c r="AJ687" s="200"/>
      <c r="AK687" s="209"/>
      <c r="AL687" s="200"/>
      <c r="AM687" s="210"/>
      <c r="AN687" s="210"/>
    </row>
    <row r="688" spans="1:40" x14ac:dyDescent="0.25">
      <c r="A688" s="202"/>
      <c r="C688" s="154"/>
      <c r="D688" s="154"/>
      <c r="E688" s="154"/>
      <c r="F688" s="200"/>
      <c r="G688" s="200"/>
      <c r="H688" s="200"/>
      <c r="I688" s="200"/>
      <c r="J688" s="213"/>
      <c r="K688" s="213"/>
      <c r="L688" s="200"/>
      <c r="M688" s="200"/>
      <c r="N688" s="213"/>
      <c r="O688" s="213"/>
      <c r="P688" s="200"/>
      <c r="Q688" s="200"/>
      <c r="R688" s="200"/>
      <c r="T688" s="154"/>
      <c r="U688" s="154"/>
      <c r="V688" s="200"/>
      <c r="W688" s="200"/>
      <c r="X688" s="200"/>
      <c r="Y688" s="200"/>
      <c r="Z688" s="213"/>
      <c r="AA688" s="200"/>
      <c r="AB688" s="200"/>
      <c r="AC688" s="213"/>
      <c r="AD688" s="213"/>
      <c r="AE688" s="200"/>
      <c r="AF688" s="200"/>
      <c r="AG688" s="209"/>
      <c r="AH688" s="201"/>
      <c r="AI688" s="200"/>
      <c r="AJ688" s="200"/>
      <c r="AK688" s="209"/>
      <c r="AL688" s="200"/>
      <c r="AM688" s="210"/>
      <c r="AN688" s="210"/>
    </row>
    <row r="689" spans="1:40" x14ac:dyDescent="0.25">
      <c r="A689" s="202"/>
      <c r="C689" s="154"/>
      <c r="D689" s="154"/>
      <c r="E689" s="154"/>
      <c r="F689" s="200"/>
      <c r="G689" s="200"/>
      <c r="H689" s="200"/>
      <c r="I689" s="200"/>
      <c r="J689" s="213"/>
      <c r="K689" s="213"/>
      <c r="L689" s="200"/>
      <c r="M689" s="200"/>
      <c r="N689" s="213"/>
      <c r="O689" s="213"/>
      <c r="P689" s="200"/>
      <c r="Q689" s="200"/>
      <c r="R689" s="200"/>
      <c r="T689" s="154"/>
      <c r="U689" s="154"/>
      <c r="V689" s="200"/>
      <c r="W689" s="200"/>
      <c r="X689" s="200"/>
      <c r="Y689" s="200"/>
      <c r="Z689" s="213"/>
      <c r="AA689" s="200"/>
      <c r="AB689" s="200"/>
      <c r="AC689" s="213"/>
      <c r="AD689" s="213"/>
      <c r="AE689" s="200"/>
      <c r="AF689" s="200"/>
      <c r="AG689" s="209"/>
      <c r="AH689" s="201"/>
      <c r="AI689" s="200"/>
      <c r="AJ689" s="200"/>
      <c r="AK689" s="209"/>
      <c r="AL689" s="200"/>
      <c r="AM689" s="210"/>
      <c r="AN689" s="210"/>
    </row>
    <row r="690" spans="1:40" x14ac:dyDescent="0.25">
      <c r="A690" s="202"/>
      <c r="C690" s="154"/>
      <c r="D690" s="154"/>
      <c r="E690" s="154"/>
      <c r="F690" s="200"/>
      <c r="H690" s="200"/>
      <c r="I690" s="200"/>
      <c r="J690" s="213"/>
      <c r="K690" s="213"/>
      <c r="L690" s="200"/>
      <c r="M690" s="200"/>
      <c r="N690" s="213"/>
      <c r="O690" s="213"/>
      <c r="P690" s="200"/>
      <c r="Q690" s="200"/>
      <c r="R690" s="200"/>
      <c r="T690" s="154"/>
      <c r="U690" s="154"/>
      <c r="V690" s="200"/>
      <c r="Y690" s="200"/>
      <c r="Z690" s="213"/>
      <c r="AA690" s="200"/>
      <c r="AB690" s="200"/>
      <c r="AC690" s="213"/>
      <c r="AD690" s="213"/>
      <c r="AE690" s="200"/>
      <c r="AF690" s="200"/>
      <c r="AG690" s="209"/>
      <c r="AH690" s="201"/>
      <c r="AI690" s="200"/>
      <c r="AJ690" s="200"/>
      <c r="AK690" s="209"/>
      <c r="AL690" s="200"/>
      <c r="AM690" s="210"/>
      <c r="AN690" s="210"/>
    </row>
    <row r="691" spans="1:40" x14ac:dyDescent="0.25">
      <c r="A691" s="202"/>
      <c r="C691" s="154"/>
      <c r="D691" s="154"/>
      <c r="E691" s="154"/>
      <c r="F691" s="200"/>
      <c r="H691" s="200"/>
      <c r="I691" s="200"/>
      <c r="J691" s="213"/>
      <c r="K691" s="213"/>
      <c r="L691" s="200"/>
      <c r="M691" s="200"/>
      <c r="N691" s="213"/>
      <c r="O691" s="213"/>
      <c r="P691" s="200"/>
      <c r="Q691" s="200"/>
      <c r="R691" s="200"/>
      <c r="T691" s="154"/>
      <c r="U691" s="154"/>
      <c r="V691" s="200"/>
      <c r="Y691" s="200"/>
      <c r="Z691" s="213"/>
      <c r="AA691" s="200"/>
      <c r="AB691" s="200"/>
      <c r="AC691" s="213"/>
      <c r="AD691" s="213"/>
      <c r="AE691" s="200"/>
      <c r="AF691" s="200"/>
      <c r="AG691" s="209"/>
      <c r="AH691" s="201"/>
      <c r="AI691" s="200"/>
      <c r="AJ691" s="200"/>
      <c r="AK691" s="209"/>
      <c r="AL691" s="200"/>
      <c r="AM691" s="210"/>
      <c r="AN691" s="210"/>
    </row>
    <row r="692" spans="1:40" x14ac:dyDescent="0.25">
      <c r="A692" s="202"/>
      <c r="C692" s="154"/>
      <c r="D692" s="154"/>
      <c r="E692" s="154"/>
      <c r="F692" s="200"/>
      <c r="H692" s="200"/>
      <c r="I692" s="200"/>
      <c r="J692" s="213"/>
      <c r="K692" s="213"/>
      <c r="L692" s="200"/>
      <c r="M692" s="200"/>
      <c r="N692" s="213"/>
      <c r="O692" s="213"/>
      <c r="P692" s="200"/>
      <c r="Q692" s="200"/>
      <c r="R692" s="200"/>
      <c r="T692" s="154"/>
      <c r="U692" s="154"/>
      <c r="V692" s="200"/>
      <c r="Y692" s="200"/>
      <c r="Z692" s="213"/>
      <c r="AA692" s="200"/>
      <c r="AB692" s="200"/>
      <c r="AC692" s="213"/>
      <c r="AD692" s="213"/>
      <c r="AE692" s="200"/>
      <c r="AF692" s="200"/>
      <c r="AG692" s="209"/>
      <c r="AH692" s="201"/>
      <c r="AI692" s="200"/>
      <c r="AJ692" s="200"/>
      <c r="AK692" s="209"/>
      <c r="AL692" s="200"/>
      <c r="AM692" s="210"/>
      <c r="AN692" s="210"/>
    </row>
    <row r="693" spans="1:40" x14ac:dyDescent="0.25">
      <c r="A693" s="202"/>
      <c r="C693" s="154"/>
      <c r="D693" s="154"/>
      <c r="E693" s="154"/>
      <c r="F693" s="200"/>
      <c r="H693" s="200"/>
      <c r="I693" s="200"/>
      <c r="J693" s="213"/>
      <c r="K693" s="213"/>
      <c r="L693" s="200"/>
      <c r="M693" s="200"/>
      <c r="N693" s="213"/>
      <c r="O693" s="213"/>
      <c r="P693" s="200"/>
      <c r="Q693" s="200"/>
      <c r="R693" s="200"/>
      <c r="T693" s="154"/>
      <c r="U693" s="154"/>
      <c r="V693" s="200"/>
      <c r="Y693" s="200"/>
      <c r="Z693" s="213"/>
      <c r="AA693" s="200"/>
      <c r="AB693" s="200"/>
      <c r="AC693" s="213"/>
      <c r="AD693" s="213"/>
      <c r="AE693" s="200"/>
      <c r="AF693" s="200"/>
      <c r="AG693" s="209"/>
      <c r="AH693" s="201"/>
      <c r="AI693" s="200"/>
      <c r="AJ693" s="200"/>
      <c r="AK693" s="209"/>
      <c r="AL693" s="200"/>
      <c r="AM693" s="210"/>
      <c r="AN693" s="210"/>
    </row>
    <row r="694" spans="1:40" x14ac:dyDescent="0.25">
      <c r="F694" s="211"/>
      <c r="H694" s="211"/>
      <c r="I694" s="211"/>
      <c r="J694" s="305"/>
      <c r="K694" s="305"/>
      <c r="L694" s="211"/>
      <c r="M694" s="211"/>
      <c r="N694" s="211"/>
      <c r="O694" s="211"/>
      <c r="P694" s="211"/>
      <c r="Q694" s="211"/>
      <c r="R694" s="211"/>
      <c r="V694" s="211"/>
      <c r="Y694" s="211"/>
      <c r="Z694" s="305"/>
      <c r="AA694" s="211"/>
      <c r="AB694" s="211"/>
      <c r="AC694" s="211"/>
      <c r="AD694" s="211"/>
      <c r="AE694" s="211"/>
      <c r="AF694" s="211"/>
      <c r="AI694" s="211"/>
      <c r="AJ694" s="211"/>
      <c r="AK694" s="212"/>
      <c r="AL694" s="211"/>
      <c r="AM694" s="210"/>
      <c r="AN694" s="210"/>
    </row>
    <row r="695" spans="1:40" x14ac:dyDescent="0.25">
      <c r="A695" s="202"/>
      <c r="C695" s="154"/>
      <c r="F695" s="200"/>
      <c r="H695" s="200"/>
      <c r="I695" s="200"/>
      <c r="J695" s="213"/>
      <c r="K695" s="213"/>
      <c r="L695" s="200"/>
      <c r="M695" s="200"/>
      <c r="N695" s="213"/>
      <c r="O695" s="213"/>
      <c r="P695" s="200"/>
      <c r="Q695" s="200"/>
      <c r="R695" s="200"/>
      <c r="T695" s="154"/>
      <c r="V695" s="200"/>
      <c r="Y695" s="200"/>
      <c r="Z695" s="213"/>
      <c r="AA695" s="200"/>
      <c r="AB695" s="200"/>
      <c r="AC695" s="213"/>
      <c r="AD695" s="213"/>
      <c r="AE695" s="200"/>
      <c r="AF695" s="200"/>
      <c r="AG695" s="209"/>
      <c r="AH695" s="201"/>
      <c r="AI695" s="200"/>
      <c r="AJ695" s="200"/>
      <c r="AK695" s="209"/>
      <c r="AL695" s="200"/>
      <c r="AM695" s="210"/>
      <c r="AN695" s="210"/>
    </row>
    <row r="696" spans="1:40" x14ac:dyDescent="0.25">
      <c r="V696" s="200"/>
      <c r="Y696" s="200"/>
      <c r="Z696" s="305"/>
      <c r="AA696" s="200"/>
      <c r="AB696" s="200"/>
      <c r="AC696" s="200"/>
      <c r="AD696" s="200"/>
      <c r="AE696" s="200"/>
      <c r="AF696" s="200"/>
      <c r="AI696" s="200"/>
      <c r="AJ696" s="200"/>
      <c r="AK696" s="209"/>
      <c r="AL696" s="200"/>
      <c r="AM696" s="210"/>
      <c r="AN696" s="210"/>
    </row>
    <row r="697" spans="1:40" x14ac:dyDescent="0.25">
      <c r="A697" s="202"/>
      <c r="C697" s="154"/>
      <c r="D697" s="154"/>
      <c r="E697" s="154"/>
      <c r="L697" s="200"/>
      <c r="M697" s="200"/>
      <c r="N697" s="213"/>
      <c r="O697" s="213"/>
      <c r="P697" s="202"/>
      <c r="Q697" s="202"/>
      <c r="R697" s="200"/>
      <c r="T697" s="154"/>
      <c r="U697" s="154"/>
      <c r="AA697" s="200"/>
      <c r="AB697" s="200"/>
      <c r="AC697" s="213"/>
      <c r="AD697" s="213"/>
      <c r="AE697" s="200"/>
      <c r="AF697" s="200"/>
      <c r="AG697" s="209"/>
      <c r="AH697" s="201"/>
      <c r="AI697" s="202"/>
      <c r="AJ697" s="202"/>
      <c r="AK697" s="209"/>
      <c r="AL697" s="200"/>
      <c r="AM697" s="210"/>
      <c r="AN697" s="210"/>
    </row>
    <row r="698" spans="1:40" x14ac:dyDescent="0.25">
      <c r="A698" s="202"/>
      <c r="D698" s="154"/>
      <c r="E698" s="154"/>
      <c r="F698" s="252"/>
      <c r="H698" s="252"/>
      <c r="I698" s="252"/>
      <c r="J698" s="213"/>
      <c r="K698" s="213"/>
      <c r="L698" s="200"/>
      <c r="M698" s="200"/>
      <c r="N698" s="213"/>
      <c r="O698" s="213"/>
      <c r="P698" s="252"/>
      <c r="Q698" s="252"/>
      <c r="R698" s="200"/>
      <c r="U698" s="154"/>
      <c r="V698" s="200"/>
      <c r="Y698" s="200"/>
      <c r="Z698" s="213"/>
      <c r="AA698" s="200"/>
      <c r="AB698" s="200"/>
      <c r="AC698" s="213"/>
      <c r="AD698" s="213"/>
      <c r="AE698" s="200"/>
      <c r="AF698" s="200"/>
      <c r="AG698" s="209"/>
      <c r="AH698" s="201"/>
      <c r="AI698" s="200"/>
      <c r="AJ698" s="200"/>
      <c r="AK698" s="209"/>
      <c r="AL698" s="200"/>
      <c r="AM698" s="210"/>
      <c r="AN698" s="210"/>
    </row>
    <row r="699" spans="1:40" x14ac:dyDescent="0.25">
      <c r="F699" s="211"/>
      <c r="H699" s="211"/>
      <c r="I699" s="211"/>
      <c r="J699" s="305"/>
      <c r="K699" s="305"/>
      <c r="L699" s="211"/>
      <c r="M699" s="211"/>
      <c r="N699" s="211"/>
      <c r="O699" s="211"/>
      <c r="P699" s="211"/>
      <c r="Q699" s="211"/>
      <c r="R699" s="211"/>
      <c r="V699" s="211"/>
      <c r="Y699" s="211"/>
      <c r="Z699" s="305"/>
      <c r="AA699" s="211"/>
      <c r="AB699" s="211"/>
      <c r="AC699" s="211"/>
      <c r="AD699" s="211"/>
      <c r="AE699" s="211"/>
      <c r="AF699" s="211"/>
      <c r="AI699" s="211"/>
      <c r="AJ699" s="211"/>
      <c r="AK699" s="212"/>
      <c r="AL699" s="211"/>
      <c r="AM699" s="210"/>
      <c r="AN699" s="210"/>
    </row>
    <row r="700" spans="1:40" x14ac:dyDescent="0.25">
      <c r="A700" s="202"/>
      <c r="C700" s="154"/>
      <c r="F700" s="200"/>
      <c r="H700" s="200"/>
      <c r="I700" s="200"/>
      <c r="J700" s="213"/>
      <c r="K700" s="213"/>
      <c r="L700" s="200"/>
      <c r="M700" s="200"/>
      <c r="N700" s="213"/>
      <c r="O700" s="213"/>
      <c r="P700" s="200"/>
      <c r="Q700" s="200"/>
      <c r="R700" s="200"/>
      <c r="T700" s="154"/>
      <c r="V700" s="200"/>
      <c r="Y700" s="200"/>
      <c r="Z700" s="213"/>
      <c r="AA700" s="200"/>
      <c r="AB700" s="200"/>
      <c r="AC700" s="213"/>
      <c r="AD700" s="213"/>
      <c r="AE700" s="200"/>
      <c r="AF700" s="200"/>
      <c r="AG700" s="209"/>
      <c r="AH700" s="201"/>
      <c r="AI700" s="200"/>
      <c r="AJ700" s="200"/>
      <c r="AK700" s="209"/>
      <c r="AL700" s="200"/>
      <c r="AM700" s="210"/>
      <c r="AN700" s="210"/>
    </row>
    <row r="701" spans="1:40" x14ac:dyDescent="0.25">
      <c r="F701" s="200"/>
      <c r="H701" s="200"/>
      <c r="I701" s="200"/>
      <c r="J701" s="213"/>
      <c r="K701" s="213"/>
      <c r="L701" s="200"/>
      <c r="M701" s="200"/>
      <c r="N701" s="213"/>
      <c r="O701" s="213"/>
      <c r="P701" s="200"/>
      <c r="Q701" s="200"/>
      <c r="R701" s="200"/>
      <c r="V701" s="200"/>
      <c r="Y701" s="200"/>
      <c r="Z701" s="213"/>
      <c r="AA701" s="200"/>
      <c r="AB701" s="200"/>
      <c r="AC701" s="213"/>
      <c r="AD701" s="213"/>
      <c r="AG701" s="209"/>
      <c r="AH701" s="201"/>
      <c r="AI701" s="200"/>
      <c r="AJ701" s="200"/>
      <c r="AK701" s="209"/>
      <c r="AL701" s="200"/>
      <c r="AM701" s="210"/>
      <c r="AN701" s="210"/>
    </row>
    <row r="702" spans="1:40" x14ac:dyDescent="0.25">
      <c r="A702" s="202"/>
      <c r="D702" s="154"/>
      <c r="E702" s="154"/>
      <c r="F702" s="200"/>
      <c r="H702" s="200"/>
      <c r="I702" s="200"/>
      <c r="J702" s="213"/>
      <c r="K702" s="213"/>
      <c r="L702" s="252"/>
      <c r="M702" s="252"/>
      <c r="N702" s="213"/>
      <c r="O702" s="213"/>
      <c r="P702" s="200"/>
      <c r="Q702" s="200"/>
      <c r="R702" s="200"/>
      <c r="U702" s="154"/>
      <c r="V702" s="200"/>
      <c r="Y702" s="200"/>
      <c r="Z702" s="213"/>
      <c r="AA702" s="252"/>
      <c r="AB702" s="252"/>
      <c r="AC702" s="213"/>
      <c r="AD702" s="213"/>
      <c r="AE702" s="200"/>
      <c r="AF702" s="200"/>
      <c r="AG702" s="209"/>
      <c r="AH702" s="201"/>
      <c r="AI702" s="200"/>
      <c r="AJ702" s="200"/>
      <c r="AK702" s="209"/>
      <c r="AL702" s="200"/>
      <c r="AM702" s="210"/>
      <c r="AN702" s="210"/>
    </row>
    <row r="703" spans="1:40" x14ac:dyDescent="0.25">
      <c r="A703" s="202"/>
      <c r="D703" s="154"/>
      <c r="E703" s="154"/>
      <c r="F703" s="200"/>
      <c r="H703" s="200"/>
      <c r="I703" s="200"/>
      <c r="J703" s="213"/>
      <c r="K703" s="213"/>
      <c r="L703" s="252"/>
      <c r="M703" s="252"/>
      <c r="N703" s="213"/>
      <c r="O703" s="213"/>
      <c r="P703" s="200"/>
      <c r="Q703" s="200"/>
      <c r="R703" s="200"/>
      <c r="U703" s="154"/>
      <c r="V703" s="200"/>
      <c r="Y703" s="200"/>
      <c r="Z703" s="213"/>
      <c r="AA703" s="252"/>
      <c r="AB703" s="252"/>
      <c r="AC703" s="213"/>
      <c r="AD703" s="213"/>
      <c r="AE703" s="200"/>
      <c r="AF703" s="200"/>
      <c r="AG703" s="209"/>
      <c r="AH703" s="201"/>
      <c r="AI703" s="200"/>
      <c r="AJ703" s="200"/>
      <c r="AK703" s="209"/>
      <c r="AL703" s="200"/>
      <c r="AM703" s="210"/>
      <c r="AN703" s="210"/>
    </row>
    <row r="704" spans="1:40" x14ac:dyDescent="0.25">
      <c r="A704" s="202"/>
      <c r="D704" s="154"/>
      <c r="E704" s="154"/>
      <c r="F704" s="200"/>
      <c r="H704" s="200"/>
      <c r="I704" s="200"/>
      <c r="J704" s="213"/>
      <c r="K704" s="213"/>
      <c r="L704" s="252"/>
      <c r="M704" s="252"/>
      <c r="N704" s="213"/>
      <c r="O704" s="213"/>
      <c r="P704" s="200"/>
      <c r="Q704" s="200"/>
      <c r="R704" s="200"/>
      <c r="U704" s="154"/>
      <c r="V704" s="200"/>
      <c r="Y704" s="200"/>
      <c r="Z704" s="213"/>
      <c r="AA704" s="252"/>
      <c r="AB704" s="252"/>
      <c r="AC704" s="213"/>
      <c r="AD704" s="213"/>
      <c r="AE704" s="200"/>
      <c r="AF704" s="200"/>
      <c r="AG704" s="209"/>
      <c r="AH704" s="201"/>
      <c r="AI704" s="200"/>
      <c r="AJ704" s="200"/>
      <c r="AK704" s="209"/>
      <c r="AL704" s="200"/>
      <c r="AM704" s="210"/>
      <c r="AN704" s="210"/>
    </row>
    <row r="705" spans="1:40" x14ac:dyDescent="0.25">
      <c r="F705" s="211"/>
      <c r="H705" s="211"/>
      <c r="I705" s="211"/>
      <c r="J705" s="305"/>
      <c r="K705" s="305"/>
      <c r="L705" s="211"/>
      <c r="M705" s="211"/>
      <c r="N705" s="211"/>
      <c r="O705" s="211"/>
      <c r="P705" s="211"/>
      <c r="Q705" s="211"/>
      <c r="R705" s="211"/>
      <c r="V705" s="211"/>
      <c r="Y705" s="211"/>
      <c r="Z705" s="305"/>
      <c r="AA705" s="211"/>
      <c r="AB705" s="211"/>
      <c r="AC705" s="211"/>
      <c r="AD705" s="211"/>
      <c r="AE705" s="211"/>
      <c r="AF705" s="211"/>
      <c r="AI705" s="211"/>
      <c r="AJ705" s="211"/>
      <c r="AK705" s="212"/>
      <c r="AL705" s="211"/>
      <c r="AM705" s="210"/>
      <c r="AN705" s="210"/>
    </row>
    <row r="706" spans="1:40" x14ac:dyDescent="0.25">
      <c r="A706" s="202"/>
      <c r="C706" s="154"/>
      <c r="F706" s="200"/>
      <c r="H706" s="200"/>
      <c r="I706" s="200"/>
      <c r="J706" s="213"/>
      <c r="K706" s="213"/>
      <c r="L706" s="200"/>
      <c r="M706" s="200"/>
      <c r="N706" s="213"/>
      <c r="O706" s="213"/>
      <c r="P706" s="200"/>
      <c r="Q706" s="200"/>
      <c r="R706" s="200"/>
      <c r="T706" s="154"/>
      <c r="V706" s="200"/>
      <c r="Y706" s="200"/>
      <c r="Z706" s="213"/>
      <c r="AA706" s="200"/>
      <c r="AB706" s="200"/>
      <c r="AC706" s="213"/>
      <c r="AD706" s="213"/>
      <c r="AE706" s="200"/>
      <c r="AF706" s="200"/>
      <c r="AG706" s="209"/>
      <c r="AH706" s="201"/>
      <c r="AI706" s="200"/>
      <c r="AJ706" s="200"/>
      <c r="AK706" s="209"/>
      <c r="AL706" s="200"/>
      <c r="AM706" s="210"/>
      <c r="AN706" s="210"/>
    </row>
    <row r="707" spans="1:40" x14ac:dyDescent="0.25">
      <c r="F707" s="200"/>
      <c r="H707" s="200"/>
      <c r="I707" s="200"/>
      <c r="J707" s="213"/>
      <c r="K707" s="213"/>
      <c r="L707" s="200"/>
      <c r="M707" s="200"/>
      <c r="N707" s="213"/>
      <c r="O707" s="213"/>
      <c r="P707" s="200"/>
      <c r="Q707" s="200"/>
      <c r="R707" s="200"/>
      <c r="V707" s="200"/>
      <c r="Y707" s="200"/>
      <c r="Z707" s="213"/>
      <c r="AA707" s="200"/>
      <c r="AB707" s="200"/>
      <c r="AC707" s="213"/>
      <c r="AD707" s="213"/>
      <c r="AG707" s="209"/>
      <c r="AH707" s="201"/>
      <c r="AI707" s="200"/>
      <c r="AJ707" s="200"/>
      <c r="AK707" s="209"/>
      <c r="AL707" s="200"/>
      <c r="AM707" s="210"/>
      <c r="AN707" s="210"/>
    </row>
    <row r="708" spans="1:40" x14ac:dyDescent="0.25">
      <c r="A708" s="202"/>
      <c r="C708" s="154"/>
      <c r="F708" s="200"/>
      <c r="H708" s="200"/>
      <c r="I708" s="200"/>
      <c r="J708" s="213"/>
      <c r="K708" s="213"/>
      <c r="L708" s="200"/>
      <c r="M708" s="200"/>
      <c r="N708" s="213"/>
      <c r="O708" s="213"/>
      <c r="P708" s="200"/>
      <c r="Q708" s="200"/>
      <c r="R708" s="200"/>
      <c r="T708" s="154"/>
      <c r="V708" s="200"/>
      <c r="Y708" s="200"/>
      <c r="Z708" s="213"/>
      <c r="AA708" s="200"/>
      <c r="AB708" s="200"/>
      <c r="AC708" s="213"/>
      <c r="AD708" s="213"/>
      <c r="AE708" s="200"/>
      <c r="AF708" s="200"/>
      <c r="AG708" s="209"/>
      <c r="AH708" s="201"/>
      <c r="AI708" s="200"/>
      <c r="AJ708" s="200"/>
      <c r="AK708" s="209"/>
      <c r="AL708" s="200"/>
      <c r="AM708" s="210"/>
      <c r="AN708" s="210"/>
    </row>
    <row r="709" spans="1:40" x14ac:dyDescent="0.25">
      <c r="F709" s="211"/>
      <c r="H709" s="211"/>
      <c r="I709" s="211"/>
      <c r="J709" s="305"/>
      <c r="K709" s="305"/>
      <c r="L709" s="211"/>
      <c r="M709" s="211"/>
      <c r="N709" s="211"/>
      <c r="O709" s="211"/>
      <c r="P709" s="211"/>
      <c r="Q709" s="211"/>
      <c r="R709" s="211"/>
      <c r="V709" s="211"/>
      <c r="Y709" s="211"/>
      <c r="Z709" s="305"/>
      <c r="AA709" s="211"/>
      <c r="AB709" s="211"/>
      <c r="AC709" s="211"/>
      <c r="AD709" s="211"/>
      <c r="AE709" s="211"/>
      <c r="AF709" s="211"/>
      <c r="AI709" s="211"/>
      <c r="AJ709" s="211"/>
      <c r="AK709" s="212"/>
      <c r="AL709" s="211"/>
    </row>
    <row r="711" spans="1:40" x14ac:dyDescent="0.25">
      <c r="C711" s="154"/>
      <c r="L711" s="200"/>
      <c r="M711" s="200"/>
      <c r="P711" s="200"/>
      <c r="Q711" s="200"/>
      <c r="R711" s="200"/>
      <c r="T711" s="154"/>
    </row>
    <row r="712" spans="1:40" x14ac:dyDescent="0.25">
      <c r="A712" s="154"/>
      <c r="L712" s="200"/>
      <c r="M712" s="200"/>
      <c r="P712" s="200"/>
      <c r="Q712" s="200"/>
      <c r="R712" s="200"/>
    </row>
    <row r="713" spans="1:40" x14ac:dyDescent="0.25">
      <c r="L713" s="200"/>
      <c r="M713" s="200"/>
      <c r="P713" s="200"/>
      <c r="Q713" s="200"/>
      <c r="R713" s="200"/>
    </row>
    <row r="714" spans="1:40" x14ac:dyDescent="0.25">
      <c r="L714" s="200"/>
      <c r="M714" s="200"/>
      <c r="P714" s="200"/>
      <c r="Q714" s="200"/>
      <c r="R714" s="200"/>
    </row>
    <row r="715" spans="1:40" x14ac:dyDescent="0.25">
      <c r="L715" s="200"/>
      <c r="M715" s="200"/>
      <c r="P715" s="200"/>
      <c r="Q715" s="200"/>
      <c r="R715" s="200"/>
    </row>
    <row r="716" spans="1:40" x14ac:dyDescent="0.25">
      <c r="L716" s="200"/>
      <c r="M716" s="200"/>
      <c r="P716" s="200"/>
      <c r="Q716" s="200"/>
      <c r="R716" s="200"/>
    </row>
    <row r="717" spans="1:40" x14ac:dyDescent="0.25">
      <c r="L717" s="200"/>
      <c r="M717" s="200"/>
      <c r="P717" s="200"/>
      <c r="Q717" s="200"/>
      <c r="R717" s="200"/>
    </row>
    <row r="750" spans="49:49" x14ac:dyDescent="0.25">
      <c r="AW750" s="200"/>
    </row>
    <row r="751" spans="49:49" x14ac:dyDescent="0.25">
      <c r="AW751" s="200"/>
    </row>
    <row r="752" spans="49:49" x14ac:dyDescent="0.25">
      <c r="AW752" s="200"/>
    </row>
    <row r="753" spans="49:49" x14ac:dyDescent="0.25">
      <c r="AW753" s="200"/>
    </row>
    <row r="754" spans="49:49" x14ac:dyDescent="0.25">
      <c r="AW754" s="200"/>
    </row>
    <row r="755" spans="49:49" x14ac:dyDescent="0.25">
      <c r="AW755" s="200"/>
    </row>
    <row r="758" spans="49:49" x14ac:dyDescent="0.25">
      <c r="AW758" s="200"/>
    </row>
    <row r="759" spans="49:49" x14ac:dyDescent="0.25">
      <c r="AW759" s="200"/>
    </row>
    <row r="760" spans="49:49" x14ac:dyDescent="0.25">
      <c r="AW760" s="200"/>
    </row>
    <row r="761" spans="49:49" x14ac:dyDescent="0.25">
      <c r="AW761" s="200"/>
    </row>
    <row r="762" spans="49:49" x14ac:dyDescent="0.25">
      <c r="AW762" s="200"/>
    </row>
    <row r="763" spans="49:49" x14ac:dyDescent="0.25">
      <c r="AW763" s="200"/>
    </row>
    <row r="764" spans="49:49" x14ac:dyDescent="0.25">
      <c r="AW764" s="200"/>
    </row>
    <row r="765" spans="49:49" x14ac:dyDescent="0.25">
      <c r="AW765" s="200"/>
    </row>
    <row r="768" spans="49:49" x14ac:dyDescent="0.25">
      <c r="AW768" s="200"/>
    </row>
    <row r="769" spans="49:51" x14ac:dyDescent="0.25">
      <c r="AW769" s="200"/>
    </row>
    <row r="772" spans="49:51" x14ac:dyDescent="0.25">
      <c r="AW772" s="200"/>
    </row>
    <row r="773" spans="49:51" x14ac:dyDescent="0.25">
      <c r="AW773" s="200"/>
    </row>
    <row r="774" spans="49:51" x14ac:dyDescent="0.25">
      <c r="AW774" s="200"/>
    </row>
    <row r="775" spans="49:51" x14ac:dyDescent="0.25">
      <c r="AW775" s="200"/>
    </row>
    <row r="781" spans="49:51" x14ac:dyDescent="0.25">
      <c r="AY781" s="202"/>
    </row>
    <row r="782" spans="49:51" x14ac:dyDescent="0.25">
      <c r="AY782" s="202"/>
    </row>
    <row r="783" spans="49:51" x14ac:dyDescent="0.25">
      <c r="AY783" s="154"/>
    </row>
    <row r="784" spans="49:51" x14ac:dyDescent="0.25">
      <c r="AY784" s="154"/>
    </row>
    <row r="785" spans="45:69" x14ac:dyDescent="0.25">
      <c r="AS785" s="202"/>
      <c r="BD785" s="154"/>
    </row>
    <row r="786" spans="45:69" x14ac:dyDescent="0.25">
      <c r="AS786" s="202"/>
      <c r="BD786" s="154"/>
    </row>
    <row r="787" spans="45:69" x14ac:dyDescent="0.25">
      <c r="AS787" s="154"/>
      <c r="BD787" s="154"/>
    </row>
    <row r="788" spans="45:69" x14ac:dyDescent="0.25">
      <c r="BD788" s="202"/>
    </row>
    <row r="789" spans="45:69" x14ac:dyDescent="0.25"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</row>
    <row r="790" spans="45:69" x14ac:dyDescent="0.25">
      <c r="AX790" s="154"/>
    </row>
    <row r="791" spans="45:69" x14ac:dyDescent="0.25">
      <c r="AX791" s="102"/>
      <c r="AY791" s="102"/>
      <c r="AZ791" s="102"/>
      <c r="BA791" s="102"/>
      <c r="BC791" s="103"/>
      <c r="BD791" s="103"/>
    </row>
    <row r="792" spans="45:69" x14ac:dyDescent="0.25">
      <c r="AV792" s="103"/>
      <c r="AW792" s="103"/>
      <c r="AZ792" s="103"/>
      <c r="BA792" s="103"/>
      <c r="BC792" s="103"/>
      <c r="BD792" s="103"/>
      <c r="BE792" s="103"/>
      <c r="BG792" s="102"/>
      <c r="BH792" s="154"/>
      <c r="BK792" s="102"/>
      <c r="BM792" s="102"/>
      <c r="BN792" s="154"/>
      <c r="BQ792" s="102"/>
    </row>
    <row r="793" spans="45:69" x14ac:dyDescent="0.25"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H793" s="103"/>
      <c r="BI793" s="103"/>
      <c r="BJ793" s="103"/>
      <c r="BN793" s="103"/>
      <c r="BO793" s="103"/>
      <c r="BP793" s="103"/>
    </row>
    <row r="794" spans="45:69" x14ac:dyDescent="0.25">
      <c r="AS794" s="103"/>
      <c r="AU794" s="154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G794" s="103"/>
      <c r="BH794" s="103"/>
      <c r="BI794" s="103"/>
      <c r="BJ794" s="103"/>
      <c r="BK794" s="103"/>
      <c r="BM794" s="103"/>
      <c r="BN794" s="103"/>
      <c r="BO794" s="103"/>
      <c r="BP794" s="103"/>
      <c r="BQ794" s="103"/>
    </row>
    <row r="795" spans="45:69" x14ac:dyDescent="0.25">
      <c r="AS795" s="103"/>
      <c r="AU795" s="154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G795" s="103"/>
      <c r="BH795" s="103"/>
      <c r="BI795" s="103"/>
      <c r="BJ795" s="103"/>
      <c r="BK795" s="103"/>
      <c r="BM795" s="103"/>
      <c r="BN795" s="103"/>
      <c r="BO795" s="103"/>
      <c r="BP795" s="103"/>
      <c r="BQ795" s="103"/>
    </row>
    <row r="796" spans="45:69" x14ac:dyDescent="0.25"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G796" s="102"/>
      <c r="BH796" s="102"/>
      <c r="BI796" s="102"/>
      <c r="BJ796" s="102"/>
      <c r="BK796" s="102"/>
      <c r="BM796" s="102"/>
      <c r="BN796" s="102"/>
      <c r="BO796" s="102"/>
      <c r="BP796" s="102"/>
      <c r="BQ796" s="102"/>
    </row>
    <row r="797" spans="45:69" x14ac:dyDescent="0.25"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</row>
    <row r="798" spans="45:69" x14ac:dyDescent="0.25">
      <c r="AS798" s="202"/>
      <c r="AU798" s="154"/>
      <c r="AV798" s="103"/>
      <c r="AY798" s="213"/>
    </row>
    <row r="799" spans="45:69" x14ac:dyDescent="0.25">
      <c r="AS799" s="202"/>
      <c r="AV799" s="103"/>
      <c r="AW799" s="200"/>
      <c r="AX799" s="334"/>
      <c r="AY799" s="334"/>
      <c r="AZ799" s="334"/>
      <c r="BA799" s="210"/>
      <c r="BB799" s="334"/>
      <c r="BC799" s="213"/>
      <c r="BD799" s="213"/>
      <c r="BE799" s="210"/>
      <c r="BG799" s="334"/>
      <c r="BH799" s="334"/>
      <c r="BI799" s="334"/>
      <c r="BJ799" s="334"/>
      <c r="BK799" s="334"/>
      <c r="BM799" s="334"/>
      <c r="BN799" s="334"/>
      <c r="BO799" s="334"/>
      <c r="BP799" s="334"/>
      <c r="BQ799" s="334"/>
    </row>
    <row r="800" spans="45:69" x14ac:dyDescent="0.25">
      <c r="AS800" s="202"/>
      <c r="AV800" s="103"/>
      <c r="AW800" s="200"/>
      <c r="AX800" s="334"/>
      <c r="AY800" s="334"/>
      <c r="AZ800" s="334"/>
      <c r="BA800" s="210"/>
      <c r="BB800" s="334"/>
      <c r="BC800" s="213"/>
      <c r="BD800" s="213"/>
      <c r="BE800" s="210"/>
      <c r="BG800" s="334"/>
      <c r="BH800" s="334"/>
      <c r="BI800" s="334"/>
      <c r="BJ800" s="334"/>
      <c r="BK800" s="334"/>
      <c r="BM800" s="334"/>
      <c r="BN800" s="334"/>
      <c r="BO800" s="334"/>
      <c r="BP800" s="334"/>
      <c r="BQ800" s="334"/>
    </row>
    <row r="801" spans="45:69" x14ac:dyDescent="0.25">
      <c r="AS801" s="202"/>
      <c r="AV801" s="103"/>
      <c r="AW801" s="200"/>
      <c r="AX801" s="334"/>
      <c r="AY801" s="334"/>
      <c r="AZ801" s="334"/>
      <c r="BA801" s="210"/>
      <c r="BB801" s="334"/>
      <c r="BC801" s="213"/>
      <c r="BD801" s="213"/>
      <c r="BE801" s="210"/>
      <c r="BG801" s="334"/>
      <c r="BH801" s="334"/>
      <c r="BI801" s="334"/>
      <c r="BJ801" s="334"/>
      <c r="BK801" s="334"/>
      <c r="BM801" s="334"/>
      <c r="BN801" s="334"/>
      <c r="BO801" s="334"/>
      <c r="BP801" s="334"/>
      <c r="BQ801" s="334"/>
    </row>
    <row r="802" spans="45:69" x14ac:dyDescent="0.25">
      <c r="AS802" s="202"/>
      <c r="AV802" s="103"/>
      <c r="AW802" s="200"/>
      <c r="AX802" s="334"/>
      <c r="AY802" s="334"/>
      <c r="AZ802" s="334"/>
      <c r="BA802" s="210"/>
      <c r="BB802" s="334"/>
      <c r="BC802" s="213"/>
      <c r="BD802" s="213"/>
      <c r="BE802" s="210"/>
      <c r="BG802" s="334"/>
      <c r="BH802" s="334"/>
      <c r="BI802" s="334"/>
      <c r="BJ802" s="334"/>
      <c r="BK802" s="334"/>
      <c r="BM802" s="334"/>
      <c r="BN802" s="334"/>
      <c r="BO802" s="334"/>
      <c r="BP802" s="334"/>
      <c r="BQ802" s="334"/>
    </row>
    <row r="803" spans="45:69" x14ac:dyDescent="0.25">
      <c r="AS803" s="202"/>
      <c r="AV803" s="103"/>
      <c r="AW803" s="200"/>
      <c r="AX803" s="334"/>
      <c r="AY803" s="334"/>
      <c r="AZ803" s="334"/>
      <c r="BA803" s="210"/>
      <c r="BB803" s="334"/>
      <c r="BC803" s="213"/>
      <c r="BD803" s="213"/>
      <c r="BE803" s="210"/>
      <c r="BG803" s="334"/>
      <c r="BH803" s="334"/>
      <c r="BI803" s="334"/>
      <c r="BJ803" s="334"/>
      <c r="BK803" s="334"/>
      <c r="BM803" s="334"/>
      <c r="BN803" s="334"/>
      <c r="BO803" s="334"/>
      <c r="BP803" s="334"/>
      <c r="BQ803" s="334"/>
    </row>
    <row r="804" spans="45:69" x14ac:dyDescent="0.25">
      <c r="AS804" s="202"/>
      <c r="AV804" s="103"/>
      <c r="AW804" s="200"/>
      <c r="AX804" s="334"/>
      <c r="AY804" s="334"/>
      <c r="AZ804" s="334"/>
      <c r="BA804" s="210"/>
      <c r="BB804" s="334"/>
      <c r="BC804" s="213"/>
      <c r="BD804" s="213"/>
      <c r="BE804" s="210"/>
      <c r="BG804" s="334"/>
      <c r="BH804" s="334"/>
      <c r="BI804" s="334"/>
      <c r="BJ804" s="334"/>
      <c r="BK804" s="334"/>
      <c r="BM804" s="334"/>
      <c r="BN804" s="334"/>
      <c r="BO804" s="334"/>
      <c r="BP804" s="334"/>
      <c r="BQ804" s="334"/>
    </row>
    <row r="805" spans="45:69" x14ac:dyDescent="0.25">
      <c r="AS805" s="202"/>
      <c r="AV805" s="103"/>
      <c r="AW805" s="200"/>
      <c r="AX805" s="334"/>
      <c r="AY805" s="334"/>
      <c r="AZ805" s="334"/>
      <c r="BA805" s="210"/>
      <c r="BB805" s="334"/>
      <c r="BC805" s="213"/>
      <c r="BD805" s="213"/>
      <c r="BE805" s="210"/>
      <c r="BG805" s="334"/>
      <c r="BH805" s="334"/>
      <c r="BI805" s="334"/>
      <c r="BJ805" s="334"/>
      <c r="BK805" s="334"/>
      <c r="BM805" s="334"/>
      <c r="BN805" s="334"/>
      <c r="BO805" s="334"/>
      <c r="BP805" s="334"/>
      <c r="BQ805" s="334"/>
    </row>
    <row r="806" spans="45:69" x14ac:dyDescent="0.25">
      <c r="AY806" s="213"/>
      <c r="AZ806" s="334"/>
      <c r="BA806" s="210"/>
      <c r="BB806" s="334"/>
      <c r="BC806" s="213"/>
      <c r="BD806" s="213"/>
      <c r="BE806" s="210"/>
      <c r="BK806" s="334"/>
      <c r="BQ806" s="334"/>
    </row>
    <row r="807" spans="45:69" x14ac:dyDescent="0.25">
      <c r="AS807" s="202"/>
      <c r="AV807" s="103"/>
      <c r="AY807" s="213"/>
      <c r="AZ807" s="334"/>
      <c r="BA807" s="210"/>
      <c r="BB807" s="334"/>
      <c r="BC807" s="213"/>
      <c r="BD807" s="213"/>
      <c r="BE807" s="210"/>
      <c r="BK807" s="334"/>
      <c r="BQ807" s="334"/>
    </row>
    <row r="808" spans="45:69" x14ac:dyDescent="0.25">
      <c r="AS808" s="202"/>
      <c r="AV808" s="103"/>
      <c r="AW808" s="200"/>
      <c r="AX808" s="334"/>
      <c r="AY808" s="334"/>
      <c r="AZ808" s="334"/>
      <c r="BA808" s="210"/>
      <c r="BB808" s="334"/>
      <c r="BC808" s="213"/>
      <c r="BD808" s="213"/>
      <c r="BE808" s="210"/>
      <c r="BG808" s="334"/>
      <c r="BH808" s="334"/>
      <c r="BI808" s="334"/>
      <c r="BJ808" s="334"/>
      <c r="BK808" s="334"/>
      <c r="BM808" s="334"/>
      <c r="BN808" s="334"/>
      <c r="BO808" s="334"/>
      <c r="BP808" s="334"/>
      <c r="BQ808" s="334"/>
    </row>
    <row r="809" spans="45:69" x14ac:dyDescent="0.25">
      <c r="AS809" s="202"/>
      <c r="AV809" s="103"/>
      <c r="AW809" s="200"/>
      <c r="AX809" s="334"/>
      <c r="AY809" s="334"/>
      <c r="AZ809" s="334"/>
      <c r="BA809" s="210"/>
      <c r="BB809" s="334"/>
      <c r="BC809" s="213"/>
      <c r="BD809" s="213"/>
      <c r="BE809" s="210"/>
      <c r="BG809" s="334"/>
      <c r="BH809" s="334"/>
      <c r="BI809" s="334"/>
      <c r="BJ809" s="334"/>
      <c r="BK809" s="334"/>
      <c r="BM809" s="334"/>
      <c r="BN809" s="334"/>
      <c r="BO809" s="334"/>
      <c r="BP809" s="334"/>
      <c r="BQ809" s="334"/>
    </row>
    <row r="810" spans="45:69" x14ac:dyDescent="0.25">
      <c r="AS810" s="202"/>
      <c r="AV810" s="103"/>
      <c r="AW810" s="200"/>
      <c r="AX810" s="334"/>
      <c r="AY810" s="334"/>
      <c r="AZ810" s="334"/>
      <c r="BA810" s="210"/>
      <c r="BB810" s="334"/>
      <c r="BC810" s="213"/>
      <c r="BD810" s="213"/>
      <c r="BE810" s="210"/>
      <c r="BG810" s="334"/>
      <c r="BH810" s="334"/>
      <c r="BI810" s="334"/>
      <c r="BJ810" s="334"/>
      <c r="BK810" s="334"/>
      <c r="BM810" s="334"/>
      <c r="BN810" s="334"/>
      <c r="BO810" s="334"/>
      <c r="BP810" s="334"/>
      <c r="BQ810" s="334"/>
    </row>
    <row r="811" spans="45:69" x14ac:dyDescent="0.25">
      <c r="AS811" s="202"/>
      <c r="AV811" s="103"/>
      <c r="AW811" s="200"/>
      <c r="AX811" s="334"/>
      <c r="AY811" s="334"/>
      <c r="AZ811" s="334"/>
      <c r="BA811" s="210"/>
      <c r="BB811" s="334"/>
      <c r="BC811" s="213"/>
      <c r="BD811" s="213"/>
      <c r="BE811" s="210"/>
      <c r="BG811" s="334"/>
      <c r="BH811" s="334"/>
      <c r="BI811" s="334"/>
      <c r="BJ811" s="334"/>
      <c r="BK811" s="334"/>
      <c r="BM811" s="334"/>
      <c r="BN811" s="334"/>
      <c r="BO811" s="334"/>
      <c r="BP811" s="334"/>
      <c r="BQ811" s="334"/>
    </row>
    <row r="812" spans="45:69" x14ac:dyDescent="0.25">
      <c r="AS812" s="202"/>
      <c r="AV812" s="103"/>
      <c r="AW812" s="200"/>
      <c r="AX812" s="334"/>
      <c r="AY812" s="334"/>
      <c r="AZ812" s="334"/>
      <c r="BA812" s="210"/>
      <c r="BB812" s="334"/>
      <c r="BC812" s="213"/>
      <c r="BD812" s="213"/>
      <c r="BE812" s="210"/>
      <c r="BG812" s="334"/>
      <c r="BH812" s="334"/>
      <c r="BI812" s="334"/>
      <c r="BJ812" s="334"/>
      <c r="BK812" s="334"/>
      <c r="BM812" s="334"/>
      <c r="BN812" s="334"/>
      <c r="BO812" s="334"/>
      <c r="BP812" s="334"/>
      <c r="BQ812" s="334"/>
    </row>
    <row r="813" spans="45:69" x14ac:dyDescent="0.25">
      <c r="AS813" s="202"/>
      <c r="AV813" s="103"/>
      <c r="AW813" s="200"/>
      <c r="AX813" s="334"/>
      <c r="AY813" s="334"/>
      <c r="AZ813" s="334"/>
      <c r="BA813" s="210"/>
      <c r="BB813" s="334"/>
      <c r="BC813" s="213"/>
      <c r="BD813" s="213"/>
      <c r="BE813" s="210"/>
      <c r="BG813" s="334"/>
      <c r="BH813" s="334"/>
      <c r="BI813" s="334"/>
      <c r="BJ813" s="334"/>
      <c r="BK813" s="334"/>
      <c r="BM813" s="334"/>
      <c r="BN813" s="334"/>
      <c r="BO813" s="334"/>
      <c r="BP813" s="334"/>
      <c r="BQ813" s="334"/>
    </row>
    <row r="814" spans="45:69" x14ac:dyDescent="0.25">
      <c r="AS814" s="202"/>
      <c r="AV814" s="103"/>
      <c r="AW814" s="200"/>
      <c r="AX814" s="334"/>
      <c r="AY814" s="334"/>
      <c r="AZ814" s="334"/>
      <c r="BA814" s="210"/>
      <c r="BB814" s="334"/>
      <c r="BC814" s="213"/>
      <c r="BD814" s="213"/>
      <c r="BE814" s="210"/>
      <c r="BG814" s="334"/>
      <c r="BH814" s="334"/>
      <c r="BI814" s="334"/>
      <c r="BJ814" s="334"/>
      <c r="BK814" s="334"/>
      <c r="BM814" s="334"/>
      <c r="BN814" s="334"/>
      <c r="BO814" s="334"/>
      <c r="BP814" s="334"/>
      <c r="BQ814" s="334"/>
    </row>
    <row r="815" spans="45:69" x14ac:dyDescent="0.25">
      <c r="AS815" s="202"/>
      <c r="AV815" s="103"/>
      <c r="AW815" s="200"/>
      <c r="AX815" s="334"/>
      <c r="AY815" s="334"/>
      <c r="AZ815" s="334"/>
      <c r="BA815" s="210"/>
      <c r="BB815" s="334"/>
      <c r="BC815" s="213"/>
      <c r="BD815" s="213"/>
      <c r="BE815" s="210"/>
      <c r="BG815" s="334"/>
      <c r="BH815" s="334"/>
      <c r="BI815" s="334"/>
      <c r="BJ815" s="334"/>
      <c r="BK815" s="334"/>
      <c r="BM815" s="334"/>
      <c r="BN815" s="334"/>
      <c r="BO815" s="334"/>
      <c r="BP815" s="334"/>
      <c r="BQ815" s="334"/>
    </row>
    <row r="816" spans="45:69" x14ac:dyDescent="0.25">
      <c r="AY816" s="213"/>
      <c r="AZ816" s="334"/>
      <c r="BA816" s="210"/>
      <c r="BB816" s="334"/>
      <c r="BC816" s="213"/>
      <c r="BD816" s="213"/>
      <c r="BE816" s="210"/>
      <c r="BK816" s="334"/>
      <c r="BQ816" s="334"/>
    </row>
    <row r="817" spans="45:75" x14ac:dyDescent="0.25">
      <c r="AU817" s="154"/>
      <c r="AZ817" s="334"/>
      <c r="BB817" s="334"/>
      <c r="BG817" s="334"/>
      <c r="BH817" s="334"/>
      <c r="BJ817" s="334"/>
      <c r="BK817" s="334"/>
    </row>
    <row r="818" spans="45:75" x14ac:dyDescent="0.25">
      <c r="AZ818" s="334"/>
      <c r="BB818" s="334"/>
    </row>
    <row r="819" spans="45:75" x14ac:dyDescent="0.25">
      <c r="AS819" s="154"/>
      <c r="AZ819" s="334"/>
      <c r="BB819" s="334"/>
      <c r="BI819" s="334"/>
    </row>
    <row r="820" spans="45:75" x14ac:dyDescent="0.25">
      <c r="AY820" s="202"/>
      <c r="AZ820" s="334"/>
      <c r="BB820" s="334"/>
    </row>
    <row r="821" spans="45:75" x14ac:dyDescent="0.25">
      <c r="AY821" s="334"/>
      <c r="BB821" s="334"/>
    </row>
    <row r="822" spans="45:75" x14ac:dyDescent="0.25">
      <c r="AY822" s="154"/>
      <c r="AZ822" s="334"/>
      <c r="BB822" s="334"/>
    </row>
    <row r="823" spans="45:75" x14ac:dyDescent="0.25">
      <c r="AY823" s="154"/>
      <c r="AZ823" s="334"/>
      <c r="BB823" s="334"/>
    </row>
    <row r="824" spans="45:75" x14ac:dyDescent="0.25">
      <c r="AS824" s="202"/>
      <c r="AZ824" s="334"/>
      <c r="BB824" s="334"/>
      <c r="BD824" s="154"/>
    </row>
    <row r="825" spans="45:75" x14ac:dyDescent="0.25">
      <c r="AS825" s="202"/>
      <c r="AZ825" s="334"/>
      <c r="BB825" s="334"/>
      <c r="BD825" s="154"/>
    </row>
    <row r="826" spans="45:75" x14ac:dyDescent="0.25">
      <c r="AS826" s="154"/>
      <c r="AZ826" s="334"/>
      <c r="BB826" s="334"/>
      <c r="BD826" s="154"/>
    </row>
    <row r="827" spans="45:75" x14ac:dyDescent="0.25">
      <c r="AZ827" s="334"/>
      <c r="BB827" s="334"/>
      <c r="BD827" s="202"/>
    </row>
    <row r="828" spans="45:75" x14ac:dyDescent="0.25">
      <c r="AS828" s="102"/>
      <c r="AT828" s="102"/>
      <c r="AU828" s="102"/>
      <c r="AV828" s="102"/>
      <c r="AW828" s="102"/>
      <c r="AX828" s="102"/>
      <c r="AY828" s="102"/>
      <c r="AZ828" s="335"/>
      <c r="BA828" s="102"/>
      <c r="BB828" s="335"/>
      <c r="BC828" s="102"/>
      <c r="BD828" s="102"/>
      <c r="BE828" s="102"/>
    </row>
    <row r="829" spans="45:75" x14ac:dyDescent="0.25">
      <c r="AX829" s="154"/>
      <c r="AZ829" s="334"/>
      <c r="BB829" s="334"/>
    </row>
    <row r="830" spans="45:75" x14ac:dyDescent="0.25">
      <c r="AX830" s="102"/>
      <c r="AY830" s="102"/>
      <c r="AZ830" s="335"/>
      <c r="BA830" s="102"/>
      <c r="BB830" s="334"/>
      <c r="BC830" s="103"/>
      <c r="BD830" s="103"/>
    </row>
    <row r="831" spans="45:75" x14ac:dyDescent="0.25">
      <c r="AV831" s="103"/>
      <c r="AW831" s="103"/>
      <c r="AZ831" s="336"/>
      <c r="BA831" s="103"/>
      <c r="BB831" s="334"/>
      <c r="BC831" s="103"/>
      <c r="BD831" s="103"/>
      <c r="BE831" s="103"/>
      <c r="BG831" s="102"/>
      <c r="BH831" s="102"/>
      <c r="BI831" s="154"/>
      <c r="BM831" s="102"/>
      <c r="BN831" s="102"/>
      <c r="BP831" s="102"/>
      <c r="BQ831" s="102"/>
      <c r="BR831" s="154"/>
      <c r="BV831" s="102"/>
      <c r="BW831" s="102"/>
    </row>
    <row r="832" spans="45:75" x14ac:dyDescent="0.25">
      <c r="AV832" s="103"/>
      <c r="AW832" s="103"/>
      <c r="AX832" s="103"/>
      <c r="AY832" s="103"/>
      <c r="AZ832" s="336"/>
      <c r="BA832" s="103"/>
      <c r="BB832" s="336"/>
      <c r="BC832" s="103"/>
      <c r="BD832" s="103"/>
      <c r="BE832" s="103"/>
      <c r="BH832" s="103"/>
      <c r="BI832" s="103"/>
      <c r="BJ832" s="103"/>
      <c r="BK832" s="103"/>
      <c r="BL832" s="103"/>
      <c r="BM832" s="103"/>
      <c r="BQ832" s="103"/>
      <c r="BR832" s="103"/>
      <c r="BS832" s="103"/>
      <c r="BT832" s="103"/>
      <c r="BU832" s="103"/>
      <c r="BV832" s="103"/>
    </row>
    <row r="833" spans="45:75" x14ac:dyDescent="0.25">
      <c r="AS833" s="103"/>
      <c r="AU833" s="154"/>
      <c r="AV833" s="103"/>
      <c r="AW833" s="103"/>
      <c r="AX833" s="103"/>
      <c r="AY833" s="103"/>
      <c r="AZ833" s="336"/>
      <c r="BA833" s="103"/>
      <c r="BB833" s="336"/>
      <c r="BC833" s="103"/>
      <c r="BD833" s="103"/>
      <c r="BE833" s="103"/>
      <c r="BG833" s="103"/>
      <c r="BH833" s="103"/>
      <c r="BI833" s="103"/>
      <c r="BJ833" s="103"/>
      <c r="BK833" s="103"/>
      <c r="BL833" s="103"/>
      <c r="BM833" s="103"/>
      <c r="BN833" s="103"/>
      <c r="BP833" s="103"/>
      <c r="BQ833" s="103"/>
      <c r="BR833" s="103"/>
      <c r="BS833" s="103"/>
      <c r="BT833" s="103"/>
      <c r="BU833" s="103"/>
      <c r="BV833" s="103"/>
      <c r="BW833" s="103"/>
    </row>
    <row r="834" spans="45:75" x14ac:dyDescent="0.25">
      <c r="AS834" s="103"/>
      <c r="AU834" s="154"/>
      <c r="AV834" s="103"/>
      <c r="AW834" s="103"/>
      <c r="AX834" s="103"/>
      <c r="AY834" s="103"/>
      <c r="AZ834" s="336"/>
      <c r="BA834" s="103"/>
      <c r="BB834" s="336"/>
      <c r="BC834" s="103"/>
      <c r="BD834" s="103"/>
      <c r="BE834" s="103"/>
      <c r="BG834" s="103"/>
      <c r="BH834" s="103"/>
      <c r="BI834" s="103"/>
      <c r="BJ834" s="103"/>
      <c r="BK834" s="103"/>
      <c r="BL834" s="103"/>
      <c r="BM834" s="103"/>
      <c r="BN834" s="103"/>
      <c r="BP834" s="103"/>
      <c r="BQ834" s="103"/>
      <c r="BR834" s="103"/>
      <c r="BS834" s="103"/>
      <c r="BT834" s="103"/>
      <c r="BU834" s="103"/>
      <c r="BV834" s="103"/>
      <c r="BW834" s="103"/>
    </row>
    <row r="835" spans="45:75" x14ac:dyDescent="0.25">
      <c r="AS835" s="102"/>
      <c r="AT835" s="102"/>
      <c r="AU835" s="102"/>
      <c r="AV835" s="102"/>
      <c r="AW835" s="102"/>
      <c r="AX835" s="102"/>
      <c r="AY835" s="102"/>
      <c r="AZ835" s="335"/>
      <c r="BA835" s="102"/>
      <c r="BB835" s="335"/>
      <c r="BC835" s="102"/>
      <c r="BD835" s="102"/>
      <c r="BE835" s="102"/>
      <c r="BG835" s="102"/>
      <c r="BH835" s="102"/>
      <c r="BI835" s="102"/>
      <c r="BJ835" s="102"/>
      <c r="BK835" s="102"/>
      <c r="BL835" s="102"/>
      <c r="BM835" s="102"/>
      <c r="BN835" s="102"/>
      <c r="BP835" s="102"/>
      <c r="BQ835" s="102"/>
      <c r="BR835" s="102"/>
      <c r="BS835" s="102"/>
      <c r="BT835" s="102"/>
      <c r="BU835" s="102"/>
      <c r="BV835" s="102"/>
      <c r="BW835" s="102"/>
    </row>
    <row r="836" spans="45:75" x14ac:dyDescent="0.25">
      <c r="AV836" s="103"/>
      <c r="AW836" s="103"/>
      <c r="AX836" s="103"/>
      <c r="AY836" s="103"/>
      <c r="AZ836" s="336"/>
      <c r="BA836" s="103"/>
      <c r="BB836" s="336"/>
      <c r="BC836" s="103"/>
      <c r="BD836" s="103"/>
      <c r="BE836" s="103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  <c r="BT836" s="334"/>
      <c r="BU836" s="334"/>
      <c r="BV836" s="334"/>
      <c r="BW836" s="334"/>
    </row>
    <row r="837" spans="45:75" x14ac:dyDescent="0.25">
      <c r="AS837" s="202"/>
      <c r="AU837" s="154"/>
      <c r="AV837" s="202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  <c r="BT837" s="334"/>
      <c r="BU837" s="334"/>
      <c r="BV837" s="334"/>
      <c r="BW837" s="334"/>
    </row>
    <row r="838" spans="45:75" x14ac:dyDescent="0.25">
      <c r="AS838" s="202"/>
      <c r="AV838" s="202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  <c r="BT838" s="334"/>
      <c r="BU838" s="334"/>
      <c r="BV838" s="334"/>
      <c r="BW838" s="334"/>
    </row>
    <row r="839" spans="45:75" x14ac:dyDescent="0.25">
      <c r="AS839" s="202"/>
      <c r="AV839" s="202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  <c r="BT839" s="334"/>
      <c r="BU839" s="334"/>
      <c r="BV839" s="334"/>
      <c r="BW839" s="334"/>
    </row>
    <row r="840" spans="45:75" x14ac:dyDescent="0.25">
      <c r="AS840" s="202"/>
      <c r="AV840" s="202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  <c r="BT840" s="334"/>
      <c r="BU840" s="334"/>
      <c r="BV840" s="334"/>
      <c r="BW840" s="334"/>
    </row>
    <row r="841" spans="45:75" x14ac:dyDescent="0.25">
      <c r="AS841" s="202"/>
      <c r="AV841" s="202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  <c r="BT841" s="334"/>
      <c r="BU841" s="334"/>
      <c r="BV841" s="334"/>
      <c r="BW841" s="334"/>
    </row>
    <row r="842" spans="45:75" x14ac:dyDescent="0.25">
      <c r="AS842" s="202"/>
      <c r="AV842" s="202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  <c r="BT842" s="334"/>
      <c r="BU842" s="334"/>
      <c r="BV842" s="334"/>
      <c r="BW842" s="334"/>
    </row>
    <row r="843" spans="45:75" x14ac:dyDescent="0.25">
      <c r="AS843" s="202"/>
      <c r="AV843" s="202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  <c r="BT843" s="334"/>
      <c r="BU843" s="334"/>
      <c r="BV843" s="334"/>
      <c r="BW843" s="334"/>
    </row>
    <row r="844" spans="45:75" x14ac:dyDescent="0.25">
      <c r="AS844" s="202"/>
      <c r="AV844" s="202"/>
      <c r="AW844" s="200"/>
      <c r="AX844" s="334"/>
      <c r="AY844" s="334"/>
      <c r="AZ844" s="334"/>
      <c r="BA844" s="201"/>
      <c r="BB844" s="334"/>
      <c r="BC844" s="334"/>
      <c r="BD844" s="334"/>
      <c r="BE844" s="201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  <c r="BT844" s="334"/>
      <c r="BU844" s="334"/>
      <c r="BV844" s="334"/>
      <c r="BW844" s="334"/>
    </row>
    <row r="845" spans="45:75" x14ac:dyDescent="0.25">
      <c r="AS845" s="202"/>
      <c r="AV845" s="202"/>
      <c r="AW845" s="200"/>
      <c r="AX845" s="334"/>
      <c r="AY845" s="33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  <c r="BT845" s="334"/>
      <c r="BU845" s="334"/>
      <c r="BV845" s="334"/>
      <c r="BW845" s="334"/>
    </row>
    <row r="846" spans="45:75" x14ac:dyDescent="0.25">
      <c r="AS846" s="202"/>
      <c r="AV846" s="202"/>
      <c r="AW846" s="200"/>
      <c r="AX846" s="334"/>
      <c r="AY846" s="334"/>
      <c r="AZ846" s="334"/>
      <c r="BA846" s="201"/>
      <c r="BB846" s="334"/>
      <c r="BC846" s="334"/>
      <c r="BD846" s="334"/>
      <c r="BE846" s="201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  <c r="BT846" s="334"/>
      <c r="BU846" s="334"/>
      <c r="BV846" s="334"/>
      <c r="BW846" s="334"/>
    </row>
    <row r="847" spans="45:75" x14ac:dyDescent="0.25">
      <c r="AS847" s="202"/>
      <c r="AV847" s="202"/>
      <c r="AW847" s="200"/>
      <c r="AX847" s="334"/>
      <c r="AY847" s="334"/>
      <c r="AZ847" s="334"/>
      <c r="BA847" s="201"/>
      <c r="BB847" s="334"/>
      <c r="BC847" s="334"/>
      <c r="BD847" s="334"/>
      <c r="BE847" s="201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  <c r="BT847" s="334"/>
      <c r="BU847" s="334"/>
      <c r="BV847" s="334"/>
      <c r="BW847" s="334"/>
    </row>
    <row r="848" spans="45:75" x14ac:dyDescent="0.25">
      <c r="AS848" s="202"/>
      <c r="AV848" s="202"/>
      <c r="AW848" s="200"/>
      <c r="AX848" s="334"/>
      <c r="AY848" s="334"/>
      <c r="AZ848" s="334"/>
      <c r="BA848" s="201"/>
      <c r="BB848" s="334"/>
      <c r="BC848" s="334"/>
      <c r="BD848" s="334"/>
      <c r="BE848" s="201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  <c r="BT848" s="334"/>
      <c r="BU848" s="334"/>
      <c r="BV848" s="334"/>
      <c r="BW848" s="334"/>
    </row>
    <row r="849" spans="45:75" x14ac:dyDescent="0.25">
      <c r="AS849" s="202"/>
      <c r="AV849" s="202"/>
      <c r="AW849" s="200"/>
      <c r="AX849" s="334"/>
      <c r="AY849" s="334"/>
      <c r="AZ849" s="334"/>
      <c r="BA849" s="201"/>
      <c r="BB849" s="334"/>
      <c r="BC849" s="334"/>
      <c r="BD849" s="334"/>
      <c r="BE849" s="201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  <c r="BR849" s="334"/>
      <c r="BS849" s="334"/>
      <c r="BT849" s="334"/>
      <c r="BU849" s="334"/>
      <c r="BV849" s="334"/>
      <c r="BW849" s="334"/>
    </row>
    <row r="850" spans="45:75" x14ac:dyDescent="0.25">
      <c r="AS850" s="202"/>
      <c r="AV850" s="202"/>
      <c r="AW850" s="200"/>
      <c r="AX850" s="334"/>
      <c r="AY850" s="334"/>
      <c r="AZ850" s="334"/>
      <c r="BA850" s="201"/>
      <c r="BB850" s="334"/>
      <c r="BC850" s="334"/>
      <c r="BD850" s="334"/>
      <c r="BE850" s="201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  <c r="BT850" s="334"/>
      <c r="BU850" s="334"/>
      <c r="BV850" s="334"/>
      <c r="BW850" s="334"/>
    </row>
    <row r="851" spans="45:75" x14ac:dyDescent="0.25">
      <c r="AS851" s="202"/>
      <c r="AV851" s="202"/>
      <c r="AW851" s="200"/>
      <c r="AX851" s="334"/>
      <c r="AY851" s="334"/>
      <c r="AZ851" s="334"/>
      <c r="BA851" s="201"/>
      <c r="BB851" s="334"/>
      <c r="BC851" s="334"/>
      <c r="BD851" s="334"/>
      <c r="BE851" s="201"/>
      <c r="BG851" s="334"/>
      <c r="BH851" s="334"/>
      <c r="BI851" s="334"/>
      <c r="BJ851" s="334"/>
      <c r="BK851" s="334"/>
      <c r="BL851" s="334"/>
      <c r="BM851" s="334"/>
      <c r="BN851" s="334"/>
      <c r="BO851" s="334"/>
      <c r="BP851" s="334"/>
      <c r="BQ851" s="334"/>
      <c r="BR851" s="334"/>
      <c r="BS851" s="334"/>
      <c r="BT851" s="334"/>
      <c r="BU851" s="334"/>
      <c r="BV851" s="334"/>
      <c r="BW851" s="334"/>
    </row>
    <row r="852" spans="45:75" x14ac:dyDescent="0.25">
      <c r="AS852" s="202"/>
      <c r="AV852" s="202"/>
      <c r="AW852" s="200"/>
      <c r="AX852" s="334"/>
      <c r="AY852" s="334"/>
      <c r="AZ852" s="334"/>
      <c r="BA852" s="201"/>
      <c r="BB852" s="334"/>
      <c r="BC852" s="334"/>
      <c r="BD852" s="334"/>
      <c r="BE852" s="201"/>
      <c r="BG852" s="334"/>
      <c r="BH852" s="334"/>
      <c r="BI852" s="334"/>
      <c r="BJ852" s="334"/>
      <c r="BK852" s="334"/>
      <c r="BL852" s="334"/>
      <c r="BM852" s="334"/>
      <c r="BN852" s="334"/>
      <c r="BO852" s="334"/>
      <c r="BP852" s="334"/>
      <c r="BQ852" s="334"/>
      <c r="BR852" s="334"/>
      <c r="BS852" s="334"/>
      <c r="BT852" s="334"/>
      <c r="BU852" s="334"/>
      <c r="BV852" s="334"/>
      <c r="BW852" s="334"/>
    </row>
    <row r="853" spans="45:75" x14ac:dyDescent="0.25">
      <c r="AS853" s="202"/>
      <c r="AV853" s="202"/>
      <c r="AW853" s="200"/>
      <c r="AX853" s="334"/>
      <c r="AY853" s="334"/>
      <c r="AZ853" s="334"/>
      <c r="BA853" s="201"/>
      <c r="BB853" s="334"/>
      <c r="BC853" s="334"/>
      <c r="BD853" s="334"/>
      <c r="BE853" s="201"/>
      <c r="BG853" s="334"/>
      <c r="BH853" s="334"/>
      <c r="BI853" s="334"/>
      <c r="BJ853" s="334"/>
      <c r="BK853" s="334"/>
      <c r="BL853" s="334"/>
      <c r="BM853" s="334"/>
      <c r="BN853" s="334"/>
      <c r="BO853" s="334"/>
      <c r="BP853" s="334"/>
      <c r="BQ853" s="334"/>
      <c r="BR853" s="334"/>
      <c r="BS853" s="334"/>
      <c r="BT853" s="334"/>
      <c r="BU853" s="334"/>
      <c r="BV853" s="334"/>
      <c r="BW853" s="334"/>
    </row>
    <row r="854" spans="45:75" x14ac:dyDescent="0.25">
      <c r="AS854" s="202"/>
      <c r="AV854" s="202"/>
      <c r="AW854" s="200"/>
      <c r="AX854" s="334"/>
      <c r="AY854" s="334"/>
      <c r="AZ854" s="334"/>
      <c r="BA854" s="201"/>
      <c r="BB854" s="334"/>
      <c r="BC854" s="334"/>
      <c r="BD854" s="334"/>
      <c r="BE854" s="201"/>
      <c r="BG854" s="334"/>
      <c r="BH854" s="334"/>
      <c r="BI854" s="334"/>
      <c r="BJ854" s="334"/>
      <c r="BK854" s="334"/>
      <c r="BL854" s="334"/>
      <c r="BM854" s="334"/>
      <c r="BN854" s="334"/>
      <c r="BO854" s="334"/>
      <c r="BP854" s="334"/>
      <c r="BQ854" s="334"/>
      <c r="BR854" s="334"/>
      <c r="BS854" s="334"/>
      <c r="BT854" s="334"/>
      <c r="BU854" s="334"/>
      <c r="BV854" s="334"/>
      <c r="BW854" s="334"/>
    </row>
    <row r="855" spans="45:75" x14ac:dyDescent="0.25">
      <c r="AS855" s="202"/>
      <c r="AV855" s="202"/>
      <c r="AW855" s="200"/>
      <c r="AX855" s="334"/>
      <c r="AY855" s="334"/>
      <c r="AZ855" s="334"/>
      <c r="BA855" s="201"/>
      <c r="BB855" s="334"/>
      <c r="BC855" s="334"/>
      <c r="BD855" s="334"/>
      <c r="BE855" s="201"/>
      <c r="BG855" s="334"/>
      <c r="BH855" s="334"/>
      <c r="BI855" s="334"/>
      <c r="BJ855" s="334"/>
      <c r="BK855" s="334"/>
      <c r="BL855" s="334"/>
      <c r="BM855" s="334"/>
      <c r="BN855" s="334"/>
      <c r="BO855" s="334"/>
      <c r="BP855" s="334"/>
      <c r="BQ855" s="334"/>
      <c r="BR855" s="334"/>
      <c r="BS855" s="334"/>
      <c r="BT855" s="334"/>
      <c r="BU855" s="334"/>
      <c r="BV855" s="334"/>
      <c r="BW855" s="334"/>
    </row>
    <row r="856" spans="45:75" x14ac:dyDescent="0.25">
      <c r="AS856" s="202"/>
      <c r="AV856" s="202"/>
      <c r="AW856" s="200"/>
      <c r="AX856" s="334"/>
      <c r="AY856" s="334"/>
      <c r="AZ856" s="334"/>
      <c r="BA856" s="201"/>
      <c r="BB856" s="334"/>
      <c r="BC856" s="334"/>
      <c r="BD856" s="334"/>
      <c r="BE856" s="201"/>
      <c r="BG856" s="334"/>
      <c r="BH856" s="334"/>
      <c r="BI856" s="334"/>
      <c r="BJ856" s="334"/>
      <c r="BK856" s="334"/>
      <c r="BL856" s="334"/>
      <c r="BM856" s="334"/>
      <c r="BN856" s="334"/>
      <c r="BO856" s="334"/>
      <c r="BP856" s="334"/>
      <c r="BQ856" s="334"/>
      <c r="BR856" s="334"/>
      <c r="BS856" s="334"/>
      <c r="BT856" s="334"/>
      <c r="BU856" s="334"/>
      <c r="BV856" s="334"/>
      <c r="BW856" s="334"/>
    </row>
    <row r="857" spans="45:75" x14ac:dyDescent="0.25">
      <c r="AS857" s="202"/>
      <c r="AV857" s="202"/>
      <c r="AW857" s="200"/>
      <c r="AX857" s="334"/>
      <c r="AY857" s="334"/>
      <c r="AZ857" s="334"/>
      <c r="BA857" s="201"/>
      <c r="BB857" s="334"/>
      <c r="BC857" s="334"/>
      <c r="BD857" s="334"/>
      <c r="BE857" s="201"/>
      <c r="BG857" s="334"/>
      <c r="BH857" s="334"/>
      <c r="BI857" s="334"/>
      <c r="BJ857" s="334"/>
      <c r="BK857" s="334"/>
      <c r="BL857" s="334"/>
      <c r="BM857" s="334"/>
      <c r="BN857" s="334"/>
      <c r="BO857" s="334"/>
      <c r="BP857" s="334"/>
      <c r="BQ857" s="334"/>
      <c r="BR857" s="334"/>
      <c r="BS857" s="334"/>
      <c r="BT857" s="334"/>
      <c r="BU857" s="334"/>
      <c r="BV857" s="334"/>
      <c r="BW857" s="334"/>
    </row>
    <row r="858" spans="45:75" x14ac:dyDescent="0.25">
      <c r="AW858" s="200"/>
      <c r="AX858" s="334"/>
      <c r="AY858" s="334"/>
      <c r="AZ858" s="334"/>
      <c r="BA858" s="201"/>
      <c r="BB858" s="334"/>
      <c r="BC858" s="334"/>
      <c r="BD858" s="334"/>
      <c r="BE858" s="201"/>
      <c r="BG858" s="102"/>
      <c r="BH858" s="102"/>
      <c r="BI858" s="154"/>
      <c r="BM858" s="102"/>
      <c r="BN858" s="102"/>
      <c r="BO858" s="334"/>
      <c r="BP858" s="102"/>
      <c r="BQ858" s="102"/>
      <c r="BR858" s="154"/>
      <c r="BV858" s="102"/>
      <c r="BW858" s="102"/>
    </row>
    <row r="859" spans="45:75" x14ac:dyDescent="0.25">
      <c r="AS859" s="202"/>
      <c r="AU859" s="154"/>
      <c r="AV859" s="103"/>
      <c r="AW859" s="200"/>
      <c r="AX859" s="334"/>
      <c r="AY859" s="334"/>
      <c r="AZ859" s="334"/>
      <c r="BA859" s="201"/>
      <c r="BB859" s="334"/>
      <c r="BC859" s="334"/>
      <c r="BD859" s="334"/>
      <c r="BE859" s="201"/>
      <c r="BG859" s="336"/>
      <c r="BH859" s="334"/>
      <c r="BI859" s="334"/>
      <c r="BJ859" s="334"/>
      <c r="BK859" s="336"/>
      <c r="BL859" s="337"/>
      <c r="BM859" s="334"/>
      <c r="BN859" s="336"/>
      <c r="BO859" s="334"/>
      <c r="BP859" s="336"/>
      <c r="BQ859" s="334"/>
      <c r="BR859" s="334"/>
      <c r="BS859" s="334"/>
      <c r="BT859" s="336"/>
      <c r="BU859" s="337"/>
      <c r="BV859" s="334"/>
      <c r="BW859" s="336"/>
    </row>
    <row r="860" spans="45:75" x14ac:dyDescent="0.25">
      <c r="AS860" s="202"/>
      <c r="AV860" s="103"/>
      <c r="AW860" s="200"/>
      <c r="AX860" s="334"/>
      <c r="AY860" s="334"/>
      <c r="AZ860" s="334"/>
      <c r="BA860" s="201"/>
      <c r="BB860" s="334"/>
      <c r="BC860" s="334"/>
      <c r="BD860" s="334"/>
      <c r="BE860" s="201"/>
      <c r="BG860" s="334"/>
      <c r="BH860" s="334"/>
      <c r="BI860" s="334"/>
      <c r="BJ860" s="334"/>
      <c r="BK860" s="334"/>
      <c r="BL860" s="337"/>
      <c r="BM860" s="334"/>
      <c r="BN860" s="334"/>
      <c r="BO860" s="334"/>
      <c r="BP860" s="334"/>
      <c r="BQ860" s="334"/>
      <c r="BR860" s="334"/>
      <c r="BS860" s="334"/>
      <c r="BT860" s="334"/>
      <c r="BU860" s="337"/>
      <c r="BV860" s="334"/>
      <c r="BW860" s="334"/>
    </row>
    <row r="861" spans="45:75" x14ac:dyDescent="0.25">
      <c r="AS861" s="202"/>
      <c r="AV861" s="103"/>
      <c r="AW861" s="200"/>
      <c r="AX861" s="334"/>
      <c r="AY861" s="334"/>
      <c r="AZ861" s="334"/>
      <c r="BA861" s="201"/>
      <c r="BB861" s="334"/>
      <c r="BC861" s="334"/>
      <c r="BD861" s="334"/>
      <c r="BE861" s="201"/>
      <c r="BG861" s="334"/>
      <c r="BH861" s="334"/>
      <c r="BI861" s="334"/>
      <c r="BJ861" s="334"/>
      <c r="BK861" s="334"/>
      <c r="BL861" s="337"/>
      <c r="BM861" s="334"/>
      <c r="BN861" s="334"/>
      <c r="BO861" s="334"/>
      <c r="BP861" s="334"/>
      <c r="BQ861" s="334"/>
      <c r="BR861" s="334"/>
      <c r="BS861" s="334"/>
      <c r="BT861" s="334"/>
      <c r="BU861" s="337"/>
      <c r="BV861" s="334"/>
      <c r="BW861" s="334"/>
    </row>
    <row r="862" spans="45:75" x14ac:dyDescent="0.25">
      <c r="AS862" s="202"/>
      <c r="AV862" s="103"/>
      <c r="AW862" s="200"/>
      <c r="AX862" s="334"/>
      <c r="AY862" s="334"/>
      <c r="AZ862" s="334"/>
      <c r="BA862" s="201"/>
      <c r="BB862" s="334"/>
      <c r="BC862" s="334"/>
      <c r="BD862" s="334"/>
      <c r="BE862" s="201"/>
      <c r="BG862" s="334"/>
      <c r="BH862" s="334"/>
      <c r="BI862" s="334"/>
      <c r="BJ862" s="334"/>
      <c r="BK862" s="334"/>
      <c r="BL862" s="337"/>
      <c r="BM862" s="334"/>
      <c r="BN862" s="334"/>
      <c r="BO862" s="334"/>
      <c r="BP862" s="334"/>
      <c r="BQ862" s="334"/>
      <c r="BR862" s="334"/>
      <c r="BS862" s="334"/>
      <c r="BT862" s="334"/>
      <c r="BU862" s="337"/>
      <c r="BV862" s="334"/>
      <c r="BW862" s="334"/>
    </row>
    <row r="863" spans="45:75" x14ac:dyDescent="0.25">
      <c r="AX863" s="334"/>
      <c r="AY863" s="334"/>
      <c r="AZ863" s="334"/>
      <c r="BA863" s="201"/>
      <c r="BB863" s="334"/>
      <c r="BC863" s="334"/>
      <c r="BD863" s="334"/>
      <c r="BE863" s="201"/>
      <c r="BG863" s="334"/>
      <c r="BH863" s="334"/>
      <c r="BI863" s="334"/>
      <c r="BJ863" s="334"/>
      <c r="BK863" s="334"/>
      <c r="BL863" s="334"/>
      <c r="BM863" s="334"/>
      <c r="BN863" s="334"/>
      <c r="BO863" s="334"/>
      <c r="BP863" s="334"/>
      <c r="BQ863" s="334"/>
      <c r="BR863" s="334"/>
      <c r="BS863" s="334"/>
      <c r="BT863" s="334"/>
      <c r="BU863" s="334"/>
      <c r="BV863" s="334"/>
    </row>
    <row r="864" spans="45:75" x14ac:dyDescent="0.25">
      <c r="AU864" s="154"/>
    </row>
    <row r="865" spans="45:74" x14ac:dyDescent="0.25">
      <c r="AU865" s="154"/>
      <c r="AZ865" s="334"/>
      <c r="BA865" s="201"/>
      <c r="BB865" s="334"/>
      <c r="BC865" s="334"/>
      <c r="BD865" s="334"/>
      <c r="BE865" s="201"/>
      <c r="BG865" s="334"/>
      <c r="BH865" s="334"/>
      <c r="BI865" s="334"/>
      <c r="BJ865" s="334"/>
      <c r="BK865" s="334"/>
      <c r="BL865" s="334"/>
      <c r="BM865" s="334"/>
      <c r="BN865" s="334"/>
      <c r="BO865" s="334"/>
      <c r="BP865" s="334"/>
      <c r="BQ865" s="334"/>
      <c r="BR865" s="334"/>
      <c r="BS865" s="334"/>
      <c r="BT865" s="334"/>
      <c r="BU865" s="334"/>
      <c r="BV865" s="334"/>
    </row>
    <row r="866" spans="45:74" x14ac:dyDescent="0.25">
      <c r="AS866" s="154"/>
      <c r="AZ866" s="334"/>
      <c r="BB866" s="334"/>
    </row>
    <row r="867" spans="45:74" x14ac:dyDescent="0.25">
      <c r="AY867" s="202"/>
      <c r="AZ867" s="334"/>
      <c r="BB867" s="334"/>
      <c r="BO867" s="334"/>
      <c r="BP867" s="334"/>
      <c r="BQ867" s="334"/>
      <c r="BR867" s="334"/>
      <c r="BS867" s="334"/>
      <c r="BT867" s="334"/>
      <c r="BU867" s="334"/>
      <c r="BV867" s="334"/>
    </row>
    <row r="868" spans="45:74" x14ac:dyDescent="0.25">
      <c r="AY868" s="334"/>
      <c r="AZ868" s="334"/>
      <c r="BB868" s="334"/>
      <c r="BO868" s="334"/>
      <c r="BP868" s="334"/>
      <c r="BQ868" s="334"/>
      <c r="BR868" s="334"/>
      <c r="BS868" s="334"/>
      <c r="BT868" s="334"/>
      <c r="BU868" s="334"/>
      <c r="BV868" s="334"/>
    </row>
    <row r="869" spans="45:74" x14ac:dyDescent="0.25">
      <c r="AY869" s="154"/>
      <c r="AZ869" s="334"/>
      <c r="BB869" s="334"/>
      <c r="BO869" s="334"/>
      <c r="BP869" s="334"/>
      <c r="BQ869" s="334"/>
      <c r="BR869" s="334"/>
      <c r="BS869" s="334"/>
      <c r="BT869" s="334"/>
      <c r="BU869" s="334"/>
      <c r="BV869" s="334"/>
    </row>
    <row r="870" spans="45:74" x14ac:dyDescent="0.25">
      <c r="AY870" s="154"/>
      <c r="AZ870" s="334"/>
      <c r="BB870" s="334"/>
      <c r="BO870" s="334"/>
      <c r="BP870" s="334"/>
      <c r="BQ870" s="334"/>
      <c r="BR870" s="334"/>
      <c r="BS870" s="334"/>
      <c r="BT870" s="334"/>
      <c r="BU870" s="334"/>
      <c r="BV870" s="334"/>
    </row>
    <row r="871" spans="45:74" x14ac:dyDescent="0.25">
      <c r="AS871" s="202"/>
      <c r="AZ871" s="334"/>
      <c r="BB871" s="334"/>
      <c r="BD871" s="154"/>
      <c r="BO871" s="334"/>
      <c r="BP871" s="334"/>
      <c r="BQ871" s="334"/>
      <c r="BR871" s="334"/>
      <c r="BS871" s="334"/>
      <c r="BT871" s="334"/>
      <c r="BU871" s="334"/>
      <c r="BV871" s="334"/>
    </row>
    <row r="872" spans="45:74" x14ac:dyDescent="0.25">
      <c r="AS872" s="202"/>
      <c r="AZ872" s="334"/>
      <c r="BB872" s="334"/>
      <c r="BD872" s="154"/>
      <c r="BO872" s="334"/>
      <c r="BP872" s="334"/>
      <c r="BQ872" s="334"/>
      <c r="BR872" s="334"/>
      <c r="BS872" s="334"/>
      <c r="BT872" s="334"/>
      <c r="BU872" s="334"/>
      <c r="BV872" s="334"/>
    </row>
    <row r="873" spans="45:74" x14ac:dyDescent="0.25">
      <c r="AS873" s="154"/>
      <c r="AZ873" s="334"/>
      <c r="BB873" s="334"/>
      <c r="BD873" s="154"/>
      <c r="BO873" s="334"/>
      <c r="BP873" s="334"/>
      <c r="BQ873" s="334"/>
      <c r="BR873" s="334"/>
      <c r="BS873" s="334"/>
      <c r="BT873" s="334"/>
      <c r="BU873" s="334"/>
      <c r="BV873" s="334"/>
    </row>
    <row r="874" spans="45:74" x14ac:dyDescent="0.25">
      <c r="AZ874" s="334"/>
      <c r="BB874" s="334"/>
      <c r="BD874" s="202"/>
      <c r="BO874" s="334"/>
      <c r="BP874" s="334"/>
      <c r="BQ874" s="334"/>
      <c r="BR874" s="334"/>
      <c r="BS874" s="334"/>
      <c r="BT874" s="334"/>
      <c r="BU874" s="334"/>
      <c r="BV874" s="334"/>
    </row>
    <row r="875" spans="45:74" x14ac:dyDescent="0.25">
      <c r="AS875" s="102"/>
      <c r="AT875" s="102"/>
      <c r="AU875" s="102"/>
      <c r="AV875" s="102"/>
      <c r="AW875" s="102"/>
      <c r="AX875" s="102"/>
      <c r="AY875" s="102"/>
      <c r="AZ875" s="335"/>
      <c r="BA875" s="102"/>
      <c r="BB875" s="335"/>
      <c r="BC875" s="102"/>
      <c r="BD875" s="102"/>
      <c r="BE875" s="102"/>
      <c r="BO875" s="334"/>
      <c r="BP875" s="334"/>
      <c r="BQ875" s="334"/>
      <c r="BR875" s="334"/>
      <c r="BS875" s="334"/>
      <c r="BT875" s="334"/>
      <c r="BU875" s="334"/>
      <c r="BV875" s="334"/>
    </row>
    <row r="876" spans="45:74" x14ac:dyDescent="0.25">
      <c r="AX876" s="154"/>
      <c r="AZ876" s="334"/>
      <c r="BB876" s="334"/>
      <c r="BO876" s="334"/>
      <c r="BP876" s="334"/>
      <c r="BQ876" s="334"/>
      <c r="BR876" s="334"/>
      <c r="BS876" s="334"/>
      <c r="BT876" s="334"/>
      <c r="BU876" s="334"/>
      <c r="BV876" s="334"/>
    </row>
    <row r="877" spans="45:74" x14ac:dyDescent="0.25">
      <c r="AX877" s="102"/>
      <c r="AY877" s="102"/>
      <c r="AZ877" s="335"/>
      <c r="BA877" s="102"/>
      <c r="BB877" s="334"/>
      <c r="BC877" s="103"/>
      <c r="BD877" s="103"/>
      <c r="BO877" s="334"/>
      <c r="BP877" s="334"/>
      <c r="BQ877" s="334"/>
      <c r="BR877" s="334"/>
      <c r="BS877" s="334"/>
      <c r="BT877" s="334"/>
      <c r="BU877" s="334"/>
      <c r="BV877" s="334"/>
    </row>
    <row r="878" spans="45:74" x14ac:dyDescent="0.25">
      <c r="AV878" s="103"/>
      <c r="AW878" s="103"/>
      <c r="AZ878" s="336"/>
      <c r="BA878" s="103"/>
      <c r="BB878" s="334"/>
      <c r="BC878" s="103"/>
      <c r="BD878" s="103"/>
      <c r="BE878" s="103"/>
      <c r="BG878" s="102"/>
      <c r="BH878" s="154"/>
      <c r="BK878" s="102"/>
      <c r="BM878" s="102"/>
      <c r="BN878" s="154"/>
      <c r="BQ878" s="102"/>
    </row>
    <row r="879" spans="45:74" x14ac:dyDescent="0.25">
      <c r="AV879" s="103"/>
      <c r="AW879" s="103"/>
      <c r="AX879" s="103"/>
      <c r="AY879" s="103"/>
      <c r="AZ879" s="336"/>
      <c r="BA879" s="103"/>
      <c r="BB879" s="336"/>
      <c r="BC879" s="103"/>
      <c r="BD879" s="103"/>
      <c r="BE879" s="103"/>
      <c r="BH879" s="103"/>
      <c r="BI879" s="103"/>
      <c r="BN879" s="103"/>
      <c r="BO879" s="103"/>
    </row>
    <row r="880" spans="45:74" x14ac:dyDescent="0.25">
      <c r="AS880" s="103"/>
      <c r="AU880" s="154"/>
      <c r="AV880" s="103"/>
      <c r="AW880" s="103"/>
      <c r="AX880" s="103"/>
      <c r="AY880" s="103"/>
      <c r="AZ880" s="336"/>
      <c r="BA880" s="103"/>
      <c r="BB880" s="336"/>
      <c r="BC880" s="103"/>
      <c r="BD880" s="103"/>
      <c r="BE880" s="103"/>
      <c r="BG880" s="103"/>
      <c r="BH880" s="103"/>
      <c r="BI880" s="103"/>
      <c r="BJ880" s="103"/>
      <c r="BK880" s="103"/>
      <c r="BM880" s="103"/>
      <c r="BN880" s="103"/>
      <c r="BO880" s="103"/>
      <c r="BP880" s="103"/>
      <c r="BQ880" s="103"/>
    </row>
    <row r="881" spans="45:71" x14ac:dyDescent="0.25">
      <c r="AS881" s="103"/>
      <c r="AU881" s="154"/>
      <c r="AV881" s="103"/>
      <c r="AW881" s="103"/>
      <c r="AX881" s="103"/>
      <c r="AY881" s="103"/>
      <c r="AZ881" s="336"/>
      <c r="BA881" s="103"/>
      <c r="BB881" s="336"/>
      <c r="BC881" s="103"/>
      <c r="BD881" s="103"/>
      <c r="BE881" s="103"/>
      <c r="BG881" s="103"/>
      <c r="BH881" s="103"/>
      <c r="BI881" s="103"/>
      <c r="BJ881" s="103"/>
      <c r="BK881" s="103"/>
      <c r="BM881" s="103"/>
      <c r="BN881" s="103"/>
      <c r="BO881" s="103"/>
      <c r="BP881" s="103"/>
      <c r="BQ881" s="103"/>
    </row>
    <row r="882" spans="45:71" x14ac:dyDescent="0.25">
      <c r="AS882" s="102"/>
      <c r="AT882" s="102"/>
      <c r="AU882" s="102"/>
      <c r="AV882" s="102"/>
      <c r="AW882" s="102"/>
      <c r="AX882" s="102"/>
      <c r="AY882" s="102"/>
      <c r="AZ882" s="335"/>
      <c r="BA882" s="102"/>
      <c r="BB882" s="335"/>
      <c r="BC882" s="102"/>
      <c r="BD882" s="102"/>
      <c r="BE882" s="102"/>
      <c r="BG882" s="102"/>
      <c r="BH882" s="102"/>
      <c r="BI882" s="102"/>
      <c r="BJ882" s="102"/>
      <c r="BK882" s="102"/>
      <c r="BM882" s="102"/>
      <c r="BN882" s="102"/>
      <c r="BO882" s="102"/>
      <c r="BP882" s="102"/>
      <c r="BQ882" s="102"/>
    </row>
    <row r="883" spans="45:71" x14ac:dyDescent="0.25">
      <c r="AV883" s="103"/>
      <c r="AW883" s="103"/>
      <c r="AX883" s="103"/>
      <c r="AY883" s="103"/>
      <c r="AZ883" s="336"/>
      <c r="BA883" s="103"/>
      <c r="BB883" s="336"/>
      <c r="BC883" s="103"/>
      <c r="BD883" s="103"/>
      <c r="BE883" s="103"/>
      <c r="BG883" s="334"/>
      <c r="BH883" s="334"/>
      <c r="BI883" s="334"/>
      <c r="BJ883" s="334"/>
      <c r="BK883" s="334"/>
      <c r="BL883" s="334"/>
      <c r="BM883" s="334"/>
      <c r="BN883" s="334"/>
      <c r="BO883" s="334"/>
      <c r="BP883" s="334"/>
      <c r="BQ883" s="334"/>
    </row>
    <row r="884" spans="45:71" x14ac:dyDescent="0.25">
      <c r="AS884" s="202"/>
      <c r="AT884" s="154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  <c r="BG884" s="334"/>
      <c r="BH884" s="334"/>
      <c r="BI884" s="334"/>
      <c r="BJ884" s="334"/>
      <c r="BK884" s="334"/>
      <c r="BL884" s="334"/>
      <c r="BM884" s="334"/>
      <c r="BN884" s="334"/>
      <c r="BO884" s="334"/>
      <c r="BP884" s="334"/>
      <c r="BQ884" s="334"/>
      <c r="BR884" s="334"/>
      <c r="BS884" s="334"/>
    </row>
    <row r="885" spans="45:71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  <c r="BG885" s="334"/>
      <c r="BH885" s="334"/>
      <c r="BI885" s="334"/>
      <c r="BJ885" s="334"/>
      <c r="BK885" s="334"/>
      <c r="BL885" s="334"/>
      <c r="BM885" s="334"/>
      <c r="BN885" s="334"/>
      <c r="BO885" s="334"/>
      <c r="BP885" s="334"/>
      <c r="BQ885" s="334"/>
      <c r="BR885" s="334"/>
      <c r="BS885" s="334"/>
    </row>
    <row r="886" spans="45:71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  <c r="BG886" s="334"/>
      <c r="BH886" s="334"/>
      <c r="BI886" s="334"/>
      <c r="BJ886" s="334"/>
      <c r="BK886" s="334"/>
      <c r="BL886" s="334"/>
      <c r="BM886" s="334"/>
      <c r="BN886" s="334"/>
      <c r="BO886" s="334"/>
      <c r="BP886" s="334"/>
      <c r="BQ886" s="334"/>
      <c r="BR886" s="334"/>
      <c r="BS886" s="334"/>
    </row>
    <row r="887" spans="45:71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  <c r="BG887" s="334"/>
      <c r="BH887" s="334"/>
      <c r="BI887" s="334"/>
      <c r="BJ887" s="334"/>
      <c r="BK887" s="334"/>
      <c r="BL887" s="334"/>
      <c r="BM887" s="334"/>
      <c r="BN887" s="334"/>
      <c r="BO887" s="334"/>
      <c r="BP887" s="334"/>
      <c r="BQ887" s="334"/>
      <c r="BR887" s="334"/>
      <c r="BS887" s="334"/>
    </row>
    <row r="888" spans="45:71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  <c r="BG888" s="334"/>
      <c r="BH888" s="334"/>
      <c r="BI888" s="334"/>
      <c r="BJ888" s="334"/>
      <c r="BK888" s="334"/>
      <c r="BL888" s="334"/>
      <c r="BM888" s="334"/>
      <c r="BN888" s="334"/>
      <c r="BO888" s="334"/>
      <c r="BP888" s="334"/>
      <c r="BQ888" s="334"/>
      <c r="BR888" s="334"/>
      <c r="BS888" s="334"/>
    </row>
    <row r="889" spans="45:71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  <c r="BG889" s="334"/>
      <c r="BH889" s="334"/>
      <c r="BI889" s="334"/>
      <c r="BJ889" s="334"/>
      <c r="BK889" s="334"/>
      <c r="BL889" s="334"/>
      <c r="BM889" s="334"/>
      <c r="BN889" s="334"/>
      <c r="BO889" s="334"/>
      <c r="BP889" s="334"/>
      <c r="BQ889" s="334"/>
      <c r="BR889" s="334"/>
      <c r="BS889" s="334"/>
    </row>
    <row r="890" spans="45:71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  <c r="BG890" s="334"/>
      <c r="BH890" s="334"/>
      <c r="BI890" s="334"/>
      <c r="BJ890" s="334"/>
      <c r="BK890" s="334"/>
      <c r="BL890" s="334"/>
      <c r="BM890" s="334"/>
      <c r="BN890" s="334"/>
      <c r="BO890" s="334"/>
      <c r="BP890" s="334"/>
      <c r="BQ890" s="334"/>
      <c r="BR890" s="334"/>
      <c r="BS890" s="334"/>
    </row>
    <row r="891" spans="45:71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  <c r="BG891" s="334"/>
      <c r="BH891" s="334"/>
      <c r="BI891" s="334"/>
      <c r="BJ891" s="334"/>
      <c r="BK891" s="334"/>
      <c r="BL891" s="334"/>
      <c r="BM891" s="334"/>
      <c r="BN891" s="334"/>
      <c r="BO891" s="334"/>
      <c r="BP891" s="334"/>
      <c r="BQ891" s="334"/>
      <c r="BR891" s="334"/>
      <c r="BS891" s="334"/>
    </row>
    <row r="892" spans="45:71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  <c r="BG892" s="334"/>
      <c r="BH892" s="334"/>
      <c r="BI892" s="334"/>
      <c r="BJ892" s="334"/>
      <c r="BK892" s="334"/>
      <c r="BL892" s="334"/>
      <c r="BM892" s="334"/>
      <c r="BN892" s="334"/>
      <c r="BO892" s="334"/>
      <c r="BP892" s="334"/>
      <c r="BQ892" s="334"/>
      <c r="BR892" s="334"/>
      <c r="BS892" s="334"/>
    </row>
    <row r="893" spans="45:71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  <c r="BG893" s="334"/>
      <c r="BH893" s="334"/>
      <c r="BI893" s="334"/>
      <c r="BJ893" s="334"/>
      <c r="BK893" s="334"/>
      <c r="BL893" s="334"/>
      <c r="BM893" s="334"/>
      <c r="BN893" s="334"/>
      <c r="BO893" s="334"/>
      <c r="BP893" s="334"/>
      <c r="BQ893" s="334"/>
      <c r="BR893" s="334"/>
      <c r="BS893" s="334"/>
    </row>
    <row r="894" spans="45:71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  <c r="BG894" s="334"/>
      <c r="BH894" s="334"/>
      <c r="BI894" s="334"/>
      <c r="BJ894" s="334"/>
      <c r="BK894" s="334"/>
      <c r="BL894" s="334"/>
      <c r="BM894" s="334"/>
      <c r="BN894" s="334"/>
      <c r="BO894" s="334"/>
      <c r="BP894" s="334"/>
      <c r="BQ894" s="334"/>
      <c r="BR894" s="334"/>
      <c r="BS894" s="334"/>
    </row>
    <row r="895" spans="45:71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  <c r="BG895" s="334"/>
      <c r="BH895" s="334"/>
      <c r="BI895" s="334"/>
      <c r="BJ895" s="334"/>
      <c r="BK895" s="334"/>
      <c r="BL895" s="334"/>
      <c r="BM895" s="334"/>
      <c r="BN895" s="334"/>
      <c r="BO895" s="334"/>
      <c r="BP895" s="334"/>
      <c r="BQ895" s="334"/>
      <c r="BR895" s="334"/>
      <c r="BS895" s="334"/>
    </row>
    <row r="896" spans="45:71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  <c r="BG896" s="334"/>
      <c r="BH896" s="334"/>
      <c r="BI896" s="334"/>
      <c r="BJ896" s="334"/>
      <c r="BK896" s="334"/>
      <c r="BL896" s="334"/>
      <c r="BM896" s="334"/>
      <c r="BN896" s="334"/>
      <c r="BO896" s="334"/>
      <c r="BP896" s="334"/>
      <c r="BQ896" s="334"/>
      <c r="BR896" s="334"/>
      <c r="BS896" s="334"/>
    </row>
    <row r="897" spans="45:71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  <c r="BG897" s="334"/>
      <c r="BH897" s="334"/>
      <c r="BI897" s="334"/>
      <c r="BJ897" s="334"/>
      <c r="BK897" s="334"/>
      <c r="BL897" s="334"/>
      <c r="BM897" s="334"/>
      <c r="BN897" s="334"/>
      <c r="BO897" s="334"/>
      <c r="BP897" s="334"/>
      <c r="BQ897" s="334"/>
      <c r="BR897" s="334"/>
      <c r="BS897" s="334"/>
    </row>
    <row r="898" spans="45:71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  <c r="BG898" s="334"/>
      <c r="BH898" s="334"/>
      <c r="BI898" s="334"/>
      <c r="BJ898" s="334"/>
      <c r="BK898" s="334"/>
      <c r="BL898" s="334"/>
      <c r="BM898" s="334"/>
      <c r="BN898" s="334"/>
      <c r="BO898" s="334"/>
      <c r="BP898" s="334"/>
      <c r="BQ898" s="334"/>
      <c r="BR898" s="334"/>
      <c r="BS898" s="334"/>
    </row>
    <row r="899" spans="45:71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  <c r="BG899" s="334"/>
      <c r="BH899" s="334"/>
      <c r="BI899" s="334"/>
      <c r="BJ899" s="334"/>
      <c r="BK899" s="334"/>
      <c r="BL899" s="334"/>
      <c r="BM899" s="334"/>
      <c r="BN899" s="334"/>
      <c r="BO899" s="334"/>
      <c r="BP899" s="334"/>
      <c r="BQ899" s="334"/>
      <c r="BR899" s="334"/>
      <c r="BS899" s="334"/>
    </row>
    <row r="900" spans="45:71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  <c r="BG900" s="334"/>
      <c r="BH900" s="334"/>
      <c r="BI900" s="334"/>
      <c r="BJ900" s="334"/>
      <c r="BK900" s="334"/>
      <c r="BL900" s="334"/>
      <c r="BM900" s="334"/>
      <c r="BN900" s="334"/>
      <c r="BO900" s="334"/>
      <c r="BP900" s="334"/>
      <c r="BQ900" s="334"/>
      <c r="BR900" s="334"/>
      <c r="BS900" s="334"/>
    </row>
    <row r="901" spans="45:71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  <c r="BG901" s="334"/>
      <c r="BH901" s="334"/>
      <c r="BI901" s="334"/>
      <c r="BJ901" s="334"/>
      <c r="BK901" s="334"/>
      <c r="BL901" s="334"/>
      <c r="BM901" s="334"/>
      <c r="BN901" s="334"/>
      <c r="BO901" s="334"/>
      <c r="BP901" s="334"/>
      <c r="BQ901" s="334"/>
      <c r="BR901" s="334"/>
      <c r="BS901" s="334"/>
    </row>
    <row r="902" spans="45:71" x14ac:dyDescent="0.25">
      <c r="AZ902" s="334"/>
      <c r="BB902" s="334"/>
      <c r="BC902" s="334"/>
      <c r="BD902" s="334"/>
      <c r="BG902" s="334"/>
      <c r="BH902" s="334"/>
      <c r="BI902" s="334"/>
      <c r="BJ902" s="334"/>
      <c r="BK902" s="334"/>
      <c r="BL902" s="334"/>
      <c r="BM902" s="334"/>
      <c r="BN902" s="334"/>
      <c r="BO902" s="334"/>
      <c r="BP902" s="334"/>
      <c r="BQ902" s="334"/>
      <c r="BR902" s="334"/>
      <c r="BS902" s="334"/>
    </row>
    <row r="903" spans="45:71" x14ac:dyDescent="0.25">
      <c r="AS903" s="202"/>
      <c r="AT903" s="154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</row>
    <row r="904" spans="45:71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</row>
    <row r="905" spans="45:71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</row>
    <row r="906" spans="45:71" x14ac:dyDescent="0.25">
      <c r="AS906" s="202"/>
      <c r="AV906" s="200"/>
      <c r="AW906" s="200"/>
      <c r="AX906" s="334"/>
      <c r="AY906" s="334"/>
      <c r="AZ906" s="334"/>
      <c r="BA906" s="201"/>
      <c r="BB906" s="334"/>
      <c r="BC906" s="334"/>
      <c r="BD906" s="334"/>
      <c r="BE906" s="201"/>
    </row>
    <row r="907" spans="45:71" x14ac:dyDescent="0.25">
      <c r="AS907" s="202"/>
      <c r="AV907" s="200"/>
      <c r="AW907" s="200"/>
      <c r="AX907" s="334"/>
      <c r="AY907" s="334"/>
      <c r="AZ907" s="334"/>
      <c r="BA907" s="201"/>
      <c r="BB907" s="334"/>
      <c r="BC907" s="334"/>
      <c r="BD907" s="334"/>
      <c r="BE907" s="201"/>
    </row>
    <row r="908" spans="45:71" x14ac:dyDescent="0.25">
      <c r="AS908" s="202"/>
      <c r="AV908" s="200"/>
      <c r="AW908" s="200"/>
      <c r="AX908" s="334"/>
      <c r="AY908" s="334"/>
      <c r="AZ908" s="334"/>
      <c r="BA908" s="201"/>
      <c r="BB908" s="334"/>
      <c r="BC908" s="334"/>
      <c r="BD908" s="334"/>
      <c r="BE908" s="201"/>
    </row>
    <row r="909" spans="45:71" x14ac:dyDescent="0.25">
      <c r="AS909" s="202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</row>
    <row r="910" spans="45:71" x14ac:dyDescent="0.25">
      <c r="AS910" s="202"/>
      <c r="AV910" s="200"/>
      <c r="AW910" s="200"/>
      <c r="AX910" s="334"/>
      <c r="AY910" s="334"/>
      <c r="AZ910" s="334"/>
      <c r="BA910" s="201"/>
      <c r="BB910" s="334"/>
      <c r="BC910" s="334"/>
      <c r="BD910" s="334"/>
      <c r="BE910" s="201"/>
    </row>
    <row r="911" spans="45:71" x14ac:dyDescent="0.25">
      <c r="AS911" s="202"/>
      <c r="AV911" s="200"/>
      <c r="AW911" s="200"/>
      <c r="AX911" s="334"/>
      <c r="AY911" s="334"/>
      <c r="AZ911" s="334"/>
      <c r="BA911" s="201"/>
      <c r="BB911" s="334"/>
      <c r="BC911" s="334"/>
      <c r="BD911" s="334"/>
      <c r="BE911" s="201"/>
    </row>
    <row r="912" spans="45:71" x14ac:dyDescent="0.25">
      <c r="AS912" s="202"/>
      <c r="AV912" s="200"/>
      <c r="AW912" s="200"/>
      <c r="AX912" s="334"/>
      <c r="AY912" s="334"/>
      <c r="AZ912" s="334"/>
      <c r="BA912" s="201"/>
      <c r="BB912" s="334"/>
      <c r="BC912" s="334"/>
      <c r="BD912" s="334"/>
      <c r="BE912" s="201"/>
    </row>
    <row r="913" spans="45:57" x14ac:dyDescent="0.25">
      <c r="AS913" s="202"/>
      <c r="AV913" s="200"/>
      <c r="AW913" s="200"/>
      <c r="AX913" s="334"/>
      <c r="AY913" s="334"/>
      <c r="AZ913" s="334"/>
      <c r="BA913" s="201"/>
      <c r="BB913" s="334"/>
      <c r="BC913" s="334"/>
      <c r="BD913" s="334"/>
      <c r="BE913" s="201"/>
    </row>
    <row r="914" spans="45:57" x14ac:dyDescent="0.25">
      <c r="AS914" s="202"/>
      <c r="AV914" s="200"/>
      <c r="AW914" s="200"/>
      <c r="AX914" s="334"/>
      <c r="AY914" s="334"/>
      <c r="AZ914" s="334"/>
      <c r="BA914" s="201"/>
      <c r="BB914" s="334"/>
      <c r="BC914" s="334"/>
      <c r="BD914" s="334"/>
      <c r="BE914" s="201"/>
    </row>
    <row r="915" spans="45:57" x14ac:dyDescent="0.25">
      <c r="AS915" s="202"/>
      <c r="AV915" s="200"/>
      <c r="AW915" s="200"/>
      <c r="AX915" s="334"/>
      <c r="AY915" s="334"/>
      <c r="AZ915" s="334"/>
      <c r="BA915" s="201"/>
      <c r="BB915" s="334"/>
      <c r="BC915" s="334"/>
      <c r="BD915" s="334"/>
      <c r="BE915" s="201"/>
    </row>
    <row r="916" spans="45:57" x14ac:dyDescent="0.25">
      <c r="AS916" s="202"/>
      <c r="AV916" s="200"/>
      <c r="AW916" s="200"/>
      <c r="AX916" s="334"/>
      <c r="AY916" s="334"/>
      <c r="AZ916" s="334"/>
      <c r="BA916" s="201"/>
      <c r="BB916" s="334"/>
      <c r="BC916" s="334"/>
      <c r="BD916" s="334"/>
      <c r="BE916" s="201"/>
    </row>
    <row r="917" spans="45:57" x14ac:dyDescent="0.25">
      <c r="AS917" s="202"/>
      <c r="AV917" s="200"/>
      <c r="AW917" s="200"/>
      <c r="AX917" s="334"/>
      <c r="AY917" s="334"/>
      <c r="AZ917" s="334"/>
      <c r="BA917" s="201"/>
      <c r="BB917" s="334"/>
      <c r="BC917" s="334"/>
      <c r="BD917" s="334"/>
      <c r="BE917" s="201"/>
    </row>
    <row r="918" spans="45:57" x14ac:dyDescent="0.25">
      <c r="AS918" s="202"/>
      <c r="AV918" s="200"/>
      <c r="AW918" s="200"/>
      <c r="AX918" s="334"/>
      <c r="AY918" s="334"/>
      <c r="AZ918" s="334"/>
      <c r="BA918" s="201"/>
      <c r="BB918" s="334"/>
      <c r="BC918" s="334"/>
      <c r="BD918" s="334"/>
      <c r="BE918" s="201"/>
    </row>
    <row r="919" spans="45:57" x14ac:dyDescent="0.25">
      <c r="AS919" s="202"/>
      <c r="AV919" s="200"/>
      <c r="AW919" s="200"/>
      <c r="AX919" s="334"/>
      <c r="AY919" s="334"/>
      <c r="AZ919" s="334"/>
      <c r="BA919" s="201"/>
      <c r="BB919" s="334"/>
      <c r="BC919" s="334"/>
      <c r="BD919" s="334"/>
      <c r="BE919" s="201"/>
    </row>
    <row r="920" spans="45:57" x14ac:dyDescent="0.25">
      <c r="AS920" s="202"/>
      <c r="AV920" s="200"/>
      <c r="AW920" s="200"/>
      <c r="AX920" s="334"/>
      <c r="AY920" s="334"/>
      <c r="AZ920" s="334"/>
      <c r="BA920" s="201"/>
      <c r="BB920" s="334"/>
      <c r="BC920" s="334"/>
      <c r="BD920" s="334"/>
      <c r="BE920" s="201"/>
    </row>
    <row r="921" spans="45:57" x14ac:dyDescent="0.25">
      <c r="BB921" s="334"/>
    </row>
    <row r="922" spans="45:57" x14ac:dyDescent="0.25">
      <c r="AU922" s="154"/>
      <c r="BB922" s="334"/>
    </row>
    <row r="923" spans="45:57" x14ac:dyDescent="0.25">
      <c r="AU923" s="154"/>
    </row>
    <row r="924" spans="45:57" x14ac:dyDescent="0.25">
      <c r="AU924" s="154"/>
      <c r="BB924" s="334"/>
    </row>
    <row r="925" spans="45:57" x14ac:dyDescent="0.25">
      <c r="AS925" s="154"/>
      <c r="AZ925" s="334"/>
      <c r="BB925" s="334"/>
    </row>
    <row r="926" spans="45:57" x14ac:dyDescent="0.25">
      <c r="AY926" s="202"/>
      <c r="AZ926" s="334"/>
      <c r="BB926" s="334"/>
    </row>
    <row r="927" spans="45:57" x14ac:dyDescent="0.25">
      <c r="AY927" s="334"/>
      <c r="AZ927" s="334"/>
      <c r="BB927" s="334"/>
    </row>
    <row r="928" spans="45:57" x14ac:dyDescent="0.25">
      <c r="AY928" s="154"/>
      <c r="AZ928" s="334"/>
      <c r="BB928" s="334"/>
    </row>
    <row r="929" spans="45:57" x14ac:dyDescent="0.25">
      <c r="AY929" s="154"/>
      <c r="AZ929" s="334"/>
      <c r="BB929" s="334"/>
    </row>
    <row r="930" spans="45:57" x14ac:dyDescent="0.25">
      <c r="AS930" s="202"/>
      <c r="AZ930" s="334"/>
      <c r="BB930" s="334"/>
      <c r="BD930" s="154"/>
    </row>
    <row r="931" spans="45:57" x14ac:dyDescent="0.25">
      <c r="AS931" s="202"/>
      <c r="AZ931" s="334"/>
      <c r="BB931" s="334"/>
      <c r="BD931" s="154"/>
    </row>
    <row r="932" spans="45:57" x14ac:dyDescent="0.25">
      <c r="AS932" s="154"/>
      <c r="AZ932" s="334"/>
      <c r="BB932" s="334"/>
      <c r="BD932" s="154"/>
    </row>
    <row r="933" spans="45:57" x14ac:dyDescent="0.25">
      <c r="AZ933" s="334"/>
      <c r="BB933" s="334"/>
      <c r="BD933" s="202"/>
    </row>
    <row r="934" spans="45:57" x14ac:dyDescent="0.25">
      <c r="AS934" s="102"/>
      <c r="AT934" s="102"/>
      <c r="AU934" s="102"/>
      <c r="AV934" s="102"/>
      <c r="AW934" s="102"/>
      <c r="AX934" s="102"/>
      <c r="AY934" s="102"/>
      <c r="AZ934" s="335"/>
      <c r="BA934" s="102"/>
      <c r="BB934" s="335"/>
      <c r="BC934" s="102"/>
      <c r="BD934" s="102"/>
      <c r="BE934" s="102"/>
    </row>
    <row r="935" spans="45:57" x14ac:dyDescent="0.25">
      <c r="AX935" s="154"/>
      <c r="AZ935" s="334"/>
      <c r="BB935" s="334"/>
    </row>
    <row r="936" spans="45:57" x14ac:dyDescent="0.25">
      <c r="AX936" s="102"/>
      <c r="AY936" s="102"/>
      <c r="AZ936" s="335"/>
      <c r="BA936" s="102"/>
      <c r="BB936" s="334"/>
      <c r="BC936" s="103"/>
      <c r="BD936" s="103"/>
    </row>
    <row r="937" spans="45:57" x14ac:dyDescent="0.25">
      <c r="AV937" s="103"/>
      <c r="AW937" s="103"/>
      <c r="AZ937" s="336"/>
      <c r="BA937" s="103"/>
      <c r="BB937" s="334"/>
      <c r="BC937" s="103"/>
      <c r="BD937" s="103"/>
      <c r="BE937" s="103"/>
    </row>
    <row r="938" spans="45:57" x14ac:dyDescent="0.25">
      <c r="AV938" s="103"/>
      <c r="AW938" s="103"/>
      <c r="AX938" s="103"/>
      <c r="AY938" s="103"/>
      <c r="AZ938" s="336"/>
      <c r="BA938" s="103"/>
      <c r="BB938" s="336"/>
      <c r="BC938" s="103"/>
      <c r="BD938" s="103"/>
      <c r="BE938" s="103"/>
    </row>
    <row r="939" spans="45:57" x14ac:dyDescent="0.25">
      <c r="AS939" s="103"/>
      <c r="AU939" s="154"/>
      <c r="AV939" s="103"/>
      <c r="AW939" s="103"/>
      <c r="AX939" s="103"/>
      <c r="AY939" s="103"/>
      <c r="AZ939" s="336"/>
      <c r="BA939" s="103"/>
      <c r="BB939" s="336"/>
      <c r="BC939" s="103"/>
      <c r="BD939" s="103"/>
      <c r="BE939" s="103"/>
    </row>
    <row r="940" spans="45:57" x14ac:dyDescent="0.25">
      <c r="AS940" s="103"/>
      <c r="AU940" s="154"/>
      <c r="AV940" s="103"/>
      <c r="AW940" s="103"/>
      <c r="AX940" s="103"/>
      <c r="AY940" s="103"/>
      <c r="AZ940" s="336"/>
      <c r="BA940" s="103"/>
      <c r="BB940" s="336"/>
      <c r="BC940" s="103"/>
      <c r="BD940" s="103"/>
      <c r="BE940" s="103"/>
    </row>
    <row r="941" spans="45:57" x14ac:dyDescent="0.25">
      <c r="AS941" s="102"/>
      <c r="AT941" s="102"/>
      <c r="AU941" s="102"/>
      <c r="AV941" s="102"/>
      <c r="AW941" s="102"/>
      <c r="AX941" s="102"/>
      <c r="AY941" s="102"/>
      <c r="AZ941" s="335"/>
      <c r="BA941" s="102"/>
      <c r="BB941" s="335"/>
      <c r="BC941" s="102"/>
      <c r="BD941" s="102"/>
      <c r="BE941" s="102"/>
    </row>
    <row r="942" spans="45:57" x14ac:dyDescent="0.25">
      <c r="AV942" s="103"/>
      <c r="AW942" s="103"/>
      <c r="AX942" s="103"/>
      <c r="AY942" s="103"/>
      <c r="AZ942" s="336"/>
      <c r="BA942" s="103"/>
      <c r="BB942" s="336"/>
      <c r="BC942" s="103"/>
      <c r="BD942" s="103"/>
      <c r="BE942" s="103"/>
    </row>
    <row r="943" spans="45:57" x14ac:dyDescent="0.25">
      <c r="AS943" s="202"/>
      <c r="AT943" s="154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4" spans="45:57" x14ac:dyDescent="0.25">
      <c r="AS944" s="202"/>
      <c r="AV944" s="200"/>
      <c r="AW944" s="200"/>
      <c r="AX944" s="334"/>
      <c r="AY944" s="334"/>
      <c r="AZ944" s="334"/>
      <c r="BA944" s="201"/>
      <c r="BB944" s="334"/>
      <c r="BC944" s="334"/>
      <c r="BD944" s="334"/>
      <c r="BE944" s="201"/>
    </row>
    <row r="945" spans="45:57" x14ac:dyDescent="0.25">
      <c r="AS945" s="202"/>
      <c r="AV945" s="200"/>
      <c r="AW945" s="200"/>
      <c r="AX945" s="334"/>
      <c r="AY945" s="334"/>
      <c r="AZ945" s="334"/>
      <c r="BA945" s="201"/>
      <c r="BB945" s="334"/>
      <c r="BC945" s="334"/>
      <c r="BD945" s="334"/>
      <c r="BE945" s="201"/>
    </row>
    <row r="946" spans="45:57" x14ac:dyDescent="0.25">
      <c r="AS946" s="202"/>
      <c r="AV946" s="200"/>
      <c r="AW946" s="200"/>
      <c r="AX946" s="334"/>
      <c r="AY946" s="334"/>
      <c r="AZ946" s="334"/>
      <c r="BA946" s="201"/>
      <c r="BB946" s="334"/>
      <c r="BC946" s="334"/>
      <c r="BD946" s="334"/>
      <c r="BE946" s="201"/>
    </row>
    <row r="947" spans="45:57" x14ac:dyDescent="0.25">
      <c r="AS947" s="202"/>
      <c r="AV947" s="200"/>
      <c r="AW947" s="200"/>
      <c r="AX947" s="334"/>
      <c r="AY947" s="334"/>
      <c r="AZ947" s="334"/>
      <c r="BA947" s="201"/>
      <c r="BB947" s="334"/>
      <c r="BC947" s="334"/>
      <c r="BD947" s="334"/>
      <c r="BE947" s="201"/>
    </row>
    <row r="948" spans="45:57" x14ac:dyDescent="0.25">
      <c r="AS948" s="202"/>
      <c r="AV948" s="200"/>
      <c r="AW948" s="200"/>
      <c r="AX948" s="334"/>
      <c r="AY948" s="334"/>
      <c r="AZ948" s="334"/>
      <c r="BA948" s="201"/>
      <c r="BB948" s="334"/>
      <c r="BC948" s="334"/>
      <c r="BD948" s="334"/>
      <c r="BE948" s="201"/>
    </row>
    <row r="949" spans="45:57" x14ac:dyDescent="0.25">
      <c r="AS949" s="202"/>
      <c r="AV949" s="200"/>
      <c r="AW949" s="200"/>
      <c r="AX949" s="334"/>
      <c r="AY949" s="334"/>
      <c r="AZ949" s="334"/>
      <c r="BA949" s="201"/>
      <c r="BB949" s="334"/>
      <c r="BC949" s="334"/>
      <c r="BD949" s="334"/>
      <c r="BE949" s="201"/>
    </row>
    <row r="950" spans="45:57" x14ac:dyDescent="0.25">
      <c r="AS950" s="202"/>
      <c r="AV950" s="200"/>
      <c r="AW950" s="200"/>
      <c r="AX950" s="334"/>
      <c r="AY950" s="334"/>
      <c r="AZ950" s="334"/>
      <c r="BA950" s="201"/>
      <c r="BB950" s="334"/>
      <c r="BC950" s="334"/>
      <c r="BD950" s="334"/>
      <c r="BE950" s="201"/>
    </row>
    <row r="951" spans="45:57" x14ac:dyDescent="0.25">
      <c r="AS951" s="202"/>
      <c r="AV951" s="200"/>
      <c r="AW951" s="200"/>
      <c r="AX951" s="334"/>
      <c r="AY951" s="334"/>
      <c r="AZ951" s="334"/>
      <c r="BA951" s="201"/>
      <c r="BB951" s="334"/>
      <c r="BC951" s="334"/>
      <c r="BD951" s="334"/>
      <c r="BE951" s="201"/>
    </row>
    <row r="952" spans="45:57" x14ac:dyDescent="0.25">
      <c r="AS952" s="202"/>
      <c r="AV952" s="200"/>
      <c r="AW952" s="200"/>
      <c r="AX952" s="334"/>
      <c r="AY952" s="334"/>
      <c r="AZ952" s="334"/>
      <c r="BA952" s="201"/>
      <c r="BB952" s="334"/>
      <c r="BC952" s="334"/>
      <c r="BD952" s="334"/>
      <c r="BE952" s="201"/>
    </row>
    <row r="953" spans="45:57" x14ac:dyDescent="0.25">
      <c r="AV953" s="200"/>
      <c r="AW953" s="200"/>
      <c r="BB953" s="334"/>
    </row>
    <row r="954" spans="45:57" x14ac:dyDescent="0.25">
      <c r="AS954" s="202"/>
      <c r="AT954" s="154"/>
      <c r="AV954" s="200"/>
      <c r="AW954" s="200"/>
      <c r="AX954" s="334"/>
      <c r="AY954" s="334"/>
      <c r="AZ954" s="334"/>
      <c r="BA954" s="201"/>
      <c r="BB954" s="334"/>
      <c r="BC954" s="334"/>
      <c r="BD954" s="334"/>
      <c r="BE954" s="201"/>
    </row>
    <row r="955" spans="45:57" x14ac:dyDescent="0.25">
      <c r="AS955" s="202"/>
      <c r="AV955" s="200"/>
      <c r="AW955" s="200"/>
      <c r="AX955" s="334"/>
      <c r="AY955" s="334"/>
      <c r="AZ955" s="334"/>
      <c r="BA955" s="201"/>
      <c r="BB955" s="334"/>
      <c r="BC955" s="334"/>
      <c r="BD955" s="334"/>
      <c r="BE955" s="201"/>
    </row>
    <row r="956" spans="45:57" x14ac:dyDescent="0.25">
      <c r="AS956" s="202"/>
      <c r="AV956" s="200"/>
      <c r="AW956" s="200"/>
      <c r="AX956" s="334"/>
      <c r="AY956" s="334"/>
      <c r="AZ956" s="334"/>
      <c r="BA956" s="201"/>
      <c r="BB956" s="334"/>
      <c r="BC956" s="334"/>
      <c r="BD956" s="334"/>
      <c r="BE956" s="201"/>
    </row>
    <row r="957" spans="45:57" x14ac:dyDescent="0.25">
      <c r="AS957" s="202"/>
      <c r="AV957" s="200"/>
      <c r="AW957" s="200"/>
      <c r="AX957" s="334"/>
      <c r="AY957" s="334"/>
      <c r="AZ957" s="334"/>
      <c r="BA957" s="201"/>
      <c r="BB957" s="334"/>
      <c r="BC957" s="334"/>
      <c r="BD957" s="334"/>
      <c r="BE957" s="201"/>
    </row>
    <row r="958" spans="45:57" x14ac:dyDescent="0.25">
      <c r="AS958" s="202"/>
      <c r="AV958" s="200"/>
      <c r="AW958" s="200"/>
      <c r="AX958" s="334"/>
      <c r="AY958" s="334"/>
      <c r="AZ958" s="334"/>
      <c r="BA958" s="201"/>
      <c r="BB958" s="334"/>
      <c r="BC958" s="334"/>
      <c r="BD958" s="334"/>
      <c r="BE958" s="201"/>
    </row>
    <row r="959" spans="45:57" x14ac:dyDescent="0.25">
      <c r="AS959" s="202"/>
      <c r="AV959" s="200"/>
      <c r="AW959" s="200"/>
      <c r="AX959" s="334"/>
      <c r="AY959" s="334"/>
      <c r="AZ959" s="334"/>
      <c r="BA959" s="201"/>
      <c r="BB959" s="334"/>
      <c r="BC959" s="334"/>
      <c r="BD959" s="334"/>
      <c r="BE959" s="201"/>
    </row>
    <row r="960" spans="45:57" x14ac:dyDescent="0.25">
      <c r="AS960" s="202"/>
      <c r="AV960" s="200"/>
      <c r="AW960" s="200"/>
      <c r="AX960" s="334"/>
      <c r="AY960" s="334"/>
      <c r="AZ960" s="334"/>
      <c r="BA960" s="201"/>
      <c r="BB960" s="334"/>
      <c r="BC960" s="334"/>
      <c r="BD960" s="334"/>
      <c r="BE960" s="201"/>
    </row>
    <row r="961" spans="45:57" x14ac:dyDescent="0.25">
      <c r="AS961" s="202"/>
      <c r="AV961" s="200"/>
      <c r="AW961" s="200"/>
      <c r="AX961" s="334"/>
      <c r="AY961" s="334"/>
      <c r="AZ961" s="334"/>
      <c r="BA961" s="201"/>
      <c r="BB961" s="334"/>
      <c r="BC961" s="334"/>
      <c r="BD961" s="334"/>
      <c r="BE961" s="201"/>
    </row>
    <row r="962" spans="45:57" x14ac:dyDescent="0.25">
      <c r="AS962" s="202"/>
      <c r="AV962" s="200"/>
      <c r="AW962" s="200"/>
      <c r="AX962" s="334"/>
      <c r="AY962" s="334"/>
      <c r="AZ962" s="334"/>
      <c r="BA962" s="201"/>
      <c r="BB962" s="334"/>
      <c r="BC962" s="334"/>
      <c r="BD962" s="334"/>
      <c r="BE962" s="201"/>
    </row>
    <row r="963" spans="45:57" x14ac:dyDescent="0.25">
      <c r="AS963" s="202"/>
      <c r="AV963" s="200"/>
      <c r="AW963" s="200"/>
      <c r="AX963" s="334"/>
      <c r="AY963" s="334"/>
      <c r="AZ963" s="334"/>
      <c r="BA963" s="201"/>
      <c r="BB963" s="334"/>
      <c r="BC963" s="334"/>
      <c r="BD963" s="334"/>
      <c r="BE963" s="201"/>
    </row>
    <row r="965" spans="45:57" x14ac:dyDescent="0.25">
      <c r="AU965" s="154"/>
    </row>
    <row r="966" spans="45:57" x14ac:dyDescent="0.25">
      <c r="AU966" s="154"/>
    </row>
    <row r="967" spans="45:57" x14ac:dyDescent="0.25">
      <c r="AU967" s="154"/>
    </row>
    <row r="968" spans="45:57" x14ac:dyDescent="0.25">
      <c r="AS968" s="154"/>
    </row>
    <row r="989" spans="52:71" x14ac:dyDescent="0.25">
      <c r="AZ989" s="334"/>
      <c r="BB989" s="334"/>
      <c r="BC989" s="334"/>
      <c r="BD989" s="334"/>
      <c r="BG989" s="334"/>
      <c r="BH989" s="334"/>
      <c r="BI989" s="334"/>
      <c r="BJ989" s="334"/>
      <c r="BK989" s="334"/>
      <c r="BL989" s="334"/>
      <c r="BM989" s="334"/>
      <c r="BN989" s="334"/>
      <c r="BO989" s="334"/>
      <c r="BP989" s="334"/>
      <c r="BQ989" s="334"/>
      <c r="BR989" s="334"/>
      <c r="BS989" s="334"/>
    </row>
    <row r="990" spans="52:71" x14ac:dyDescent="0.25">
      <c r="AZ990" s="334"/>
      <c r="BB990" s="334"/>
      <c r="BC990" s="334"/>
      <c r="BD990" s="334"/>
      <c r="BG990" s="334"/>
      <c r="BH990" s="334"/>
      <c r="BI990" s="334"/>
      <c r="BJ990" s="334"/>
      <c r="BK990" s="334"/>
      <c r="BL990" s="334"/>
      <c r="BM990" s="334"/>
      <c r="BN990" s="334"/>
      <c r="BO990" s="334"/>
      <c r="BP990" s="334"/>
      <c r="BQ990" s="334"/>
      <c r="BR990" s="334"/>
      <c r="BS990" s="334"/>
    </row>
    <row r="991" spans="52:71" x14ac:dyDescent="0.25">
      <c r="AZ991" s="334"/>
      <c r="BB991" s="334"/>
      <c r="BC991" s="334"/>
      <c r="BD991" s="334"/>
      <c r="BG991" s="334"/>
      <c r="BH991" s="334"/>
      <c r="BI991" s="334"/>
      <c r="BJ991" s="334"/>
      <c r="BK991" s="334"/>
      <c r="BL991" s="334"/>
      <c r="BM991" s="334"/>
      <c r="BN991" s="334"/>
      <c r="BO991" s="334"/>
      <c r="BP991" s="334"/>
      <c r="BQ991" s="334"/>
      <c r="BR991" s="334"/>
      <c r="BS991" s="334"/>
    </row>
    <row r="992" spans="52:71" x14ac:dyDescent="0.25">
      <c r="AZ992" s="334"/>
      <c r="BB992" s="334"/>
      <c r="BC992" s="334"/>
      <c r="BD992" s="334"/>
      <c r="BG992" s="334"/>
      <c r="BH992" s="334"/>
      <c r="BI992" s="334"/>
      <c r="BJ992" s="334"/>
      <c r="BK992" s="334"/>
      <c r="BL992" s="334"/>
      <c r="BM992" s="334"/>
      <c r="BN992" s="334"/>
      <c r="BO992" s="334"/>
      <c r="BP992" s="334"/>
      <c r="BQ992" s="334"/>
      <c r="BR992" s="334"/>
      <c r="BS992" s="334"/>
    </row>
    <row r="993" spans="52:71" x14ac:dyDescent="0.25">
      <c r="AZ993" s="334"/>
      <c r="BB993" s="334"/>
      <c r="BC993" s="334"/>
      <c r="BD993" s="334"/>
      <c r="BG993" s="334"/>
      <c r="BH993" s="334"/>
      <c r="BI993" s="334"/>
      <c r="BJ993" s="334"/>
      <c r="BK993" s="334"/>
      <c r="BL993" s="334"/>
      <c r="BM993" s="334"/>
      <c r="BN993" s="334"/>
      <c r="BO993" s="334"/>
      <c r="BP993" s="334"/>
      <c r="BQ993" s="334"/>
      <c r="BR993" s="334"/>
      <c r="BS993" s="334"/>
    </row>
    <row r="994" spans="52:71" x14ac:dyDescent="0.25">
      <c r="AZ994" s="334"/>
      <c r="BB994" s="334"/>
      <c r="BC994" s="334"/>
      <c r="BD994" s="334"/>
      <c r="BG994" s="334"/>
      <c r="BH994" s="334"/>
      <c r="BI994" s="334"/>
      <c r="BJ994" s="334"/>
      <c r="BK994" s="334"/>
      <c r="BL994" s="334"/>
      <c r="BM994" s="334"/>
      <c r="BN994" s="334"/>
      <c r="BO994" s="334"/>
      <c r="BP994" s="334"/>
      <c r="BQ994" s="334"/>
      <c r="BR994" s="334"/>
      <c r="BS994" s="334"/>
    </row>
    <row r="995" spans="52:71" x14ac:dyDescent="0.25">
      <c r="AZ995" s="334"/>
      <c r="BB995" s="334"/>
      <c r="BC995" s="334"/>
      <c r="BD995" s="334"/>
      <c r="BG995" s="334"/>
      <c r="BH995" s="334"/>
      <c r="BI995" s="334"/>
      <c r="BJ995" s="334"/>
      <c r="BK995" s="334"/>
      <c r="BL995" s="334"/>
      <c r="BM995" s="334"/>
      <c r="BN995" s="334"/>
      <c r="BO995" s="334"/>
      <c r="BP995" s="334"/>
      <c r="BQ995" s="334"/>
      <c r="BR995" s="334"/>
      <c r="BS995" s="334"/>
    </row>
    <row r="996" spans="52:71" x14ac:dyDescent="0.25">
      <c r="AZ996" s="334"/>
      <c r="BB996" s="334"/>
      <c r="BC996" s="334"/>
      <c r="BD996" s="334"/>
      <c r="BG996" s="334"/>
      <c r="BH996" s="334"/>
      <c r="BI996" s="334"/>
      <c r="BJ996" s="334"/>
      <c r="BK996" s="334"/>
      <c r="BL996" s="334"/>
      <c r="BM996" s="334"/>
      <c r="BN996" s="334"/>
      <c r="BO996" s="334"/>
      <c r="BP996" s="334"/>
      <c r="BQ996" s="334"/>
      <c r="BR996" s="334"/>
      <c r="BS996" s="334"/>
    </row>
    <row r="997" spans="52:71" x14ac:dyDescent="0.25">
      <c r="AZ997" s="334"/>
      <c r="BB997" s="334"/>
      <c r="BC997" s="334"/>
      <c r="BD997" s="334"/>
      <c r="BG997" s="334"/>
      <c r="BH997" s="334"/>
      <c r="BI997" s="334"/>
      <c r="BJ997" s="334"/>
      <c r="BK997" s="334"/>
      <c r="BL997" s="334"/>
      <c r="BM997" s="334"/>
      <c r="BN997" s="334"/>
      <c r="BO997" s="334"/>
      <c r="BP997" s="334"/>
      <c r="BQ997" s="334"/>
      <c r="BR997" s="334"/>
      <c r="BS997" s="334"/>
    </row>
    <row r="998" spans="52:71" x14ac:dyDescent="0.25">
      <c r="AZ998" s="334"/>
      <c r="BB998" s="334"/>
      <c r="BC998" s="334"/>
      <c r="BD998" s="334"/>
      <c r="BG998" s="334"/>
      <c r="BH998" s="334"/>
      <c r="BI998" s="334"/>
      <c r="BJ998" s="334"/>
      <c r="BK998" s="334"/>
      <c r="BL998" s="334"/>
      <c r="BM998" s="334"/>
      <c r="BN998" s="334"/>
      <c r="BO998" s="334"/>
      <c r="BP998" s="334"/>
      <c r="BQ998" s="334"/>
      <c r="BR998" s="334"/>
      <c r="BS998" s="334"/>
    </row>
    <row r="999" spans="52:71" x14ac:dyDescent="0.25">
      <c r="AZ999" s="334"/>
      <c r="BB999" s="334"/>
      <c r="BC999" s="334"/>
      <c r="BD999" s="334"/>
      <c r="BG999" s="334"/>
      <c r="BH999" s="334"/>
      <c r="BI999" s="334"/>
      <c r="BJ999" s="334"/>
      <c r="BK999" s="334"/>
      <c r="BL999" s="334"/>
      <c r="BM999" s="334"/>
      <c r="BN999" s="334"/>
      <c r="BO999" s="334"/>
      <c r="BP999" s="334"/>
      <c r="BQ999" s="334"/>
      <c r="BR999" s="334"/>
      <c r="BS999" s="334"/>
    </row>
    <row r="1000" spans="52:71" x14ac:dyDescent="0.25">
      <c r="AZ1000" s="334"/>
      <c r="BB1000" s="334"/>
      <c r="BC1000" s="334"/>
      <c r="BD1000" s="334"/>
      <c r="BG1000" s="334"/>
      <c r="BH1000" s="334"/>
      <c r="BI1000" s="334"/>
      <c r="BJ1000" s="334"/>
      <c r="BK1000" s="334"/>
      <c r="BL1000" s="334"/>
      <c r="BM1000" s="334"/>
      <c r="BN1000" s="334"/>
      <c r="BO1000" s="334"/>
      <c r="BP1000" s="334"/>
      <c r="BQ1000" s="334"/>
      <c r="BR1000" s="334"/>
      <c r="BS1000" s="334"/>
    </row>
    <row r="1001" spans="52:71" x14ac:dyDescent="0.25">
      <c r="AZ1001" s="334"/>
      <c r="BG1001" s="334"/>
      <c r="BH1001" s="334"/>
      <c r="BI1001" s="334"/>
      <c r="BJ1001" s="334"/>
      <c r="BK1001" s="334"/>
      <c r="BL1001" s="334"/>
      <c r="BM1001" s="334"/>
      <c r="BN1001" s="334"/>
      <c r="BO1001" s="334"/>
      <c r="BP1001" s="334"/>
      <c r="BQ1001" s="334"/>
      <c r="BR1001" s="334"/>
      <c r="BS1001" s="334"/>
    </row>
    <row r="1002" spans="52:71" x14ac:dyDescent="0.25">
      <c r="AZ1002" s="334"/>
      <c r="BG1002" s="334"/>
      <c r="BH1002" s="334"/>
      <c r="BI1002" s="334"/>
      <c r="BJ1002" s="334"/>
      <c r="BK1002" s="334"/>
      <c r="BL1002" s="334"/>
      <c r="BM1002" s="334"/>
      <c r="BN1002" s="334"/>
      <c r="BO1002" s="334"/>
      <c r="BP1002" s="334"/>
      <c r="BQ1002" s="334"/>
      <c r="BR1002" s="334"/>
      <c r="BS1002" s="334"/>
    </row>
    <row r="1003" spans="52:71" x14ac:dyDescent="0.25">
      <c r="AZ1003" s="334"/>
      <c r="BG1003" s="334"/>
      <c r="BH1003" s="334"/>
      <c r="BI1003" s="334"/>
      <c r="BJ1003" s="334"/>
      <c r="BK1003" s="334"/>
      <c r="BL1003" s="334"/>
      <c r="BM1003" s="334"/>
      <c r="BN1003" s="334"/>
      <c r="BO1003" s="334"/>
      <c r="BP1003" s="334"/>
      <c r="BQ1003" s="334"/>
      <c r="BR1003" s="334"/>
      <c r="BS1003" s="334"/>
    </row>
    <row r="1004" spans="52:71" x14ac:dyDescent="0.25">
      <c r="AZ1004" s="334"/>
      <c r="BG1004" s="334"/>
      <c r="BH1004" s="334"/>
      <c r="BI1004" s="334"/>
      <c r="BJ1004" s="334"/>
      <c r="BK1004" s="334"/>
      <c r="BL1004" s="334"/>
      <c r="BM1004" s="334"/>
      <c r="BN1004" s="334"/>
      <c r="BO1004" s="334"/>
      <c r="BP1004" s="334"/>
      <c r="BQ1004" s="334"/>
      <c r="BR1004" s="334"/>
      <c r="BS1004" s="334"/>
    </row>
    <row r="1005" spans="52:71" x14ac:dyDescent="0.25">
      <c r="AZ1005" s="334"/>
      <c r="BG1005" s="334"/>
      <c r="BH1005" s="334"/>
      <c r="BI1005" s="334"/>
      <c r="BJ1005" s="334"/>
      <c r="BK1005" s="334"/>
      <c r="BL1005" s="334"/>
      <c r="BM1005" s="334"/>
      <c r="BN1005" s="334"/>
      <c r="BO1005" s="334"/>
      <c r="BP1005" s="334"/>
      <c r="BQ1005" s="334"/>
      <c r="BR1005" s="334"/>
      <c r="BS1005" s="334"/>
    </row>
    <row r="1006" spans="52:71" x14ac:dyDescent="0.25">
      <c r="AZ1006" s="334"/>
      <c r="BG1006" s="334"/>
      <c r="BH1006" s="334"/>
      <c r="BI1006" s="334"/>
      <c r="BJ1006" s="334"/>
      <c r="BK1006" s="334"/>
      <c r="BL1006" s="334"/>
      <c r="BM1006" s="334"/>
      <c r="BN1006" s="334"/>
      <c r="BO1006" s="334"/>
      <c r="BP1006" s="334"/>
      <c r="BQ1006" s="334"/>
      <c r="BR1006" s="334"/>
      <c r="BS1006" s="334"/>
    </row>
    <row r="1007" spans="52:71" x14ac:dyDescent="0.25">
      <c r="AZ1007" s="334"/>
      <c r="BG1007" s="334"/>
      <c r="BH1007" s="334"/>
      <c r="BI1007" s="334"/>
      <c r="BJ1007" s="334"/>
      <c r="BK1007" s="334"/>
      <c r="BL1007" s="334"/>
      <c r="BM1007" s="334"/>
      <c r="BN1007" s="334"/>
      <c r="BO1007" s="334"/>
      <c r="BP1007" s="334"/>
      <c r="BQ1007" s="334"/>
      <c r="BR1007" s="334"/>
      <c r="BS1007" s="334"/>
    </row>
    <row r="1008" spans="52:71" x14ac:dyDescent="0.25">
      <c r="AZ1008" s="334"/>
    </row>
    <row r="1009" spans="1:52" x14ac:dyDescent="0.25">
      <c r="AZ1009" s="334"/>
    </row>
    <row r="1023" spans="1:52" x14ac:dyDescent="0.25">
      <c r="A1023" s="154"/>
    </row>
    <row r="1026" spans="1:28" x14ac:dyDescent="0.25">
      <c r="Y1026" s="154"/>
    </row>
    <row r="1027" spans="1:28" x14ac:dyDescent="0.25">
      <c r="A1027" s="154"/>
      <c r="H1027" s="154"/>
      <c r="I1027" s="154"/>
    </row>
    <row r="1028" spans="1:28" x14ac:dyDescent="0.25">
      <c r="A1028" s="154"/>
      <c r="V1028" s="103"/>
      <c r="AA1028" s="103"/>
      <c r="AB1028" s="103"/>
    </row>
    <row r="1029" spans="1:28" x14ac:dyDescent="0.25">
      <c r="A1029" s="154"/>
      <c r="V1029" s="102"/>
      <c r="AA1029" s="102"/>
      <c r="AB1029" s="102"/>
    </row>
    <row r="1030" spans="1:28" x14ac:dyDescent="0.25">
      <c r="A1030" s="154"/>
      <c r="U1030" s="154"/>
      <c r="AA1030" s="103"/>
      <c r="AB1030" s="103"/>
    </row>
    <row r="1031" spans="1:28" x14ac:dyDescent="0.25">
      <c r="A1031" s="154"/>
    </row>
    <row r="1032" spans="1:28" x14ac:dyDescent="0.25">
      <c r="A1032" s="154"/>
      <c r="U1032" s="154"/>
      <c r="AA1032" s="103"/>
      <c r="AB1032" s="103"/>
    </row>
    <row r="1033" spans="1:28" x14ac:dyDescent="0.25">
      <c r="A1033" s="154"/>
    </row>
    <row r="1034" spans="1:28" x14ac:dyDescent="0.25">
      <c r="A1034" s="154"/>
      <c r="U1034" s="154"/>
      <c r="V1034" s="338"/>
      <c r="AA1034" s="103"/>
      <c r="AB1034" s="103"/>
    </row>
    <row r="1035" spans="1:28" x14ac:dyDescent="0.25">
      <c r="A1035" s="154"/>
    </row>
    <row r="1036" spans="1:28" x14ac:dyDescent="0.25">
      <c r="A1036" s="154"/>
      <c r="U1036" s="154"/>
      <c r="AA1036" s="103"/>
      <c r="AB1036" s="103"/>
    </row>
    <row r="1037" spans="1:28" x14ac:dyDescent="0.25">
      <c r="A1037" s="154"/>
    </row>
    <row r="1038" spans="1:28" x14ac:dyDescent="0.25">
      <c r="A1038" s="154"/>
      <c r="U1038" s="154"/>
      <c r="AA1038" s="103"/>
      <c r="AB1038" s="103"/>
    </row>
    <row r="1039" spans="1:28" x14ac:dyDescent="0.25">
      <c r="A1039" s="154"/>
    </row>
    <row r="1040" spans="1:28" x14ac:dyDescent="0.25">
      <c r="A1040" s="154"/>
    </row>
    <row r="1041" spans="1:9" x14ac:dyDescent="0.25">
      <c r="A1041" s="154"/>
    </row>
    <row r="1042" spans="1:9" x14ac:dyDescent="0.25">
      <c r="A1042" s="154"/>
    </row>
    <row r="1043" spans="1:9" x14ac:dyDescent="0.25">
      <c r="A1043" s="154"/>
    </row>
    <row r="1044" spans="1:9" x14ac:dyDescent="0.25">
      <c r="A1044" s="154"/>
    </row>
    <row r="1045" spans="1:9" x14ac:dyDescent="0.25">
      <c r="A1045" s="154"/>
    </row>
    <row r="1046" spans="1:9" x14ac:dyDescent="0.25">
      <c r="A1046" s="154"/>
    </row>
    <row r="1047" spans="1:9" x14ac:dyDescent="0.25">
      <c r="A1047" s="154"/>
    </row>
    <row r="1048" spans="1:9" x14ac:dyDescent="0.25">
      <c r="A1048" s="154"/>
    </row>
    <row r="1049" spans="1:9" x14ac:dyDescent="0.25">
      <c r="A1049" s="154"/>
      <c r="H1049" s="154"/>
      <c r="I1049" s="154"/>
    </row>
    <row r="1052" spans="1:9" x14ac:dyDescent="0.25">
      <c r="A1052" s="154"/>
    </row>
    <row r="1055" spans="1:9" x14ac:dyDescent="0.25">
      <c r="A1055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  <row r="1068" spans="1:1" x14ac:dyDescent="0.25">
      <c r="A1068" s="154"/>
    </row>
    <row r="1069" spans="1:1" x14ac:dyDescent="0.25">
      <c r="A1069" s="154"/>
    </row>
    <row r="1070" spans="1:1" x14ac:dyDescent="0.25">
      <c r="A1070" s="154"/>
    </row>
    <row r="1071" spans="1:1" x14ac:dyDescent="0.25">
      <c r="A1071" s="154"/>
    </row>
    <row r="1072" spans="1:1" x14ac:dyDescent="0.25">
      <c r="A1072" s="154"/>
    </row>
    <row r="1073" spans="1:1" x14ac:dyDescent="0.25">
      <c r="A1073" s="154"/>
    </row>
    <row r="1074" spans="1:1" x14ac:dyDescent="0.25">
      <c r="A1074" s="154"/>
    </row>
    <row r="1075" spans="1:1" x14ac:dyDescent="0.25">
      <c r="A1075" s="154"/>
    </row>
    <row r="1076" spans="1:1" x14ac:dyDescent="0.25">
      <c r="A1076" s="154"/>
    </row>
    <row r="1077" spans="1:1" x14ac:dyDescent="0.25">
      <c r="A1077" s="154"/>
    </row>
    <row r="1078" spans="1:1" x14ac:dyDescent="0.25">
      <c r="A1078" s="154"/>
    </row>
    <row r="1079" spans="1:1" x14ac:dyDescent="0.25">
      <c r="A1079" s="154"/>
    </row>
    <row r="1080" spans="1:1" x14ac:dyDescent="0.25">
      <c r="A1080" s="154"/>
    </row>
    <row r="1081" spans="1:1" x14ac:dyDescent="0.25">
      <c r="A1081" s="154"/>
    </row>
    <row r="1082" spans="1:1" x14ac:dyDescent="0.25">
      <c r="A1082" s="154"/>
    </row>
    <row r="1083" spans="1:1" x14ac:dyDescent="0.25">
      <c r="A1083" s="154"/>
    </row>
    <row r="1084" spans="1:1" x14ac:dyDescent="0.25">
      <c r="A1084" s="154"/>
    </row>
    <row r="1085" spans="1:1" x14ac:dyDescent="0.25">
      <c r="A1085" s="154"/>
    </row>
    <row r="1086" spans="1:1" x14ac:dyDescent="0.25">
      <c r="A1086" s="154"/>
    </row>
    <row r="1087" spans="1:1" x14ac:dyDescent="0.25">
      <c r="A1087" s="154"/>
    </row>
    <row r="1088" spans="1:1" x14ac:dyDescent="0.25">
      <c r="A1088" s="154"/>
    </row>
    <row r="1089" spans="1:1" x14ac:dyDescent="0.25">
      <c r="A1089" s="154"/>
    </row>
    <row r="1090" spans="1:1" x14ac:dyDescent="0.25">
      <c r="A1090" s="154"/>
    </row>
    <row r="1091" spans="1:1" x14ac:dyDescent="0.25">
      <c r="A1091" s="154"/>
    </row>
    <row r="1092" spans="1:1" x14ac:dyDescent="0.25">
      <c r="A1092" s="154"/>
    </row>
    <row r="1097" spans="1:1" x14ac:dyDescent="0.25">
      <c r="A1097" s="154"/>
    </row>
    <row r="1098" spans="1:1" x14ac:dyDescent="0.25">
      <c r="A1098" s="154"/>
    </row>
    <row r="1101" spans="1:1" x14ac:dyDescent="0.25">
      <c r="A1101" s="154"/>
    </row>
    <row r="1103" spans="1:1" x14ac:dyDescent="0.25">
      <c r="A1103" s="154"/>
    </row>
    <row r="1105" spans="1:1" x14ac:dyDescent="0.25">
      <c r="A1105" s="154"/>
    </row>
    <row r="1107" spans="1:1" x14ac:dyDescent="0.25">
      <c r="A1107" s="154"/>
    </row>
    <row r="1110" spans="1:1" x14ac:dyDescent="0.25">
      <c r="A1110" s="154"/>
    </row>
    <row r="1111" spans="1:1" x14ac:dyDescent="0.25">
      <c r="A1111" s="154"/>
    </row>
    <row r="1112" spans="1:1" x14ac:dyDescent="0.25">
      <c r="A1112" s="154"/>
    </row>
    <row r="1113" spans="1:1" x14ac:dyDescent="0.25">
      <c r="A1113" s="154"/>
    </row>
    <row r="1114" spans="1:1" x14ac:dyDescent="0.25">
      <c r="A1114" s="154"/>
    </row>
    <row r="1115" spans="1:1" x14ac:dyDescent="0.25">
      <c r="A1115" s="154"/>
    </row>
    <row r="1116" spans="1:1" x14ac:dyDescent="0.25">
      <c r="A1116" s="154"/>
    </row>
    <row r="1117" spans="1:1" x14ac:dyDescent="0.25">
      <c r="A1117" s="154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71"/>
  <dimension ref="A1:BW1117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4" style="101" customWidth="1"/>
    <col min="2" max="2" width="0.6640625" style="101" customWidth="1"/>
    <col min="3" max="3" width="8.5546875" style="101" customWidth="1"/>
    <col min="4" max="4" width="39.21875" style="101" customWidth="1"/>
    <col min="5" max="5" width="0.441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4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18.44140625" style="101" customWidth="1"/>
    <col min="19" max="19" width="8.77734375" style="101" customWidth="1"/>
    <col min="20" max="20" width="5.44140625" style="101" customWidth="1"/>
    <col min="21" max="21" width="0.5546875" style="101" customWidth="1"/>
    <col min="22" max="22" width="8" style="101" customWidth="1"/>
    <col min="23" max="23" width="38.109375" style="101" customWidth="1"/>
    <col min="24" max="24" width="0.44140625" style="101" customWidth="1"/>
    <col min="25" max="25" width="11.7773437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2.88671875" style="101" customWidth="1"/>
    <col min="30" max="30" width="0.5546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88671875" style="101" customWidth="1"/>
    <col min="37" max="37" width="14.5546875" style="183" customWidth="1"/>
    <col min="38" max="38" width="0.664062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758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9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51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413</v>
      </c>
      <c r="D20" s="253" t="s">
        <v>153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154"/>
      <c r="U20" s="154"/>
    </row>
    <row r="21" spans="1:40" x14ac:dyDescent="0.25">
      <c r="A21" s="159">
        <v>2</v>
      </c>
      <c r="B21" s="80"/>
      <c r="C21" s="258"/>
      <c r="D21" s="253" t="s">
        <v>154</v>
      </c>
      <c r="E21" s="82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154"/>
    </row>
    <row r="22" spans="1:40" ht="21" customHeight="1" x14ac:dyDescent="0.25">
      <c r="A22" s="80"/>
      <c r="B22" s="80"/>
      <c r="C22" s="80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200"/>
      <c r="T23" s="154"/>
      <c r="V23" s="200"/>
      <c r="Y23" s="200"/>
      <c r="Z23" s="300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159">
        <v>4</v>
      </c>
      <c r="B24" s="80"/>
      <c r="C24" s="82" t="s">
        <v>417</v>
      </c>
      <c r="D24" s="80"/>
      <c r="E24" s="80"/>
      <c r="F24" s="252">
        <v>0</v>
      </c>
      <c r="G24" s="70"/>
      <c r="H24" s="78"/>
      <c r="I24" s="78"/>
      <c r="J24" s="283">
        <f>INPUT!D135</f>
        <v>0</v>
      </c>
      <c r="K24" s="284"/>
      <c r="L24" s="79">
        <f>ROUND(F24*J24,0)</f>
        <v>0</v>
      </c>
      <c r="M24" s="79"/>
      <c r="N24" s="156">
        <v>0</v>
      </c>
      <c r="O24" s="156"/>
      <c r="P24" s="79"/>
      <c r="Q24" s="302"/>
      <c r="R24" s="79">
        <f>L24+P24</f>
        <v>0</v>
      </c>
      <c r="S24" s="200"/>
      <c r="V24" s="200"/>
      <c r="Y24" s="200"/>
      <c r="Z24" s="252"/>
      <c r="AA24" s="200"/>
      <c r="AB24" s="200"/>
      <c r="AC24" s="210"/>
      <c r="AD24" s="210"/>
      <c r="AE24" s="200"/>
      <c r="AF24" s="200"/>
      <c r="AI24" s="200"/>
      <c r="AJ24" s="200"/>
      <c r="AK24" s="209"/>
      <c r="AL24" s="200"/>
    </row>
    <row r="25" spans="1:40" ht="20.100000000000001" customHeight="1" x14ac:dyDescent="0.25">
      <c r="A25" s="159">
        <v>5</v>
      </c>
      <c r="B25" s="80"/>
      <c r="C25" s="253" t="s">
        <v>158</v>
      </c>
      <c r="D25" s="80"/>
      <c r="E25" s="80"/>
      <c r="F25" s="163"/>
      <c r="G25" s="70"/>
      <c r="H25" s="79"/>
      <c r="I25" s="79"/>
      <c r="J25" s="388"/>
      <c r="K25" s="268"/>
      <c r="L25" s="169">
        <f>SUM(L24:L24)</f>
        <v>0</v>
      </c>
      <c r="M25" s="79"/>
      <c r="N25" s="303">
        <v>0</v>
      </c>
      <c r="O25" s="156"/>
      <c r="P25" s="169"/>
      <c r="Q25" s="79"/>
      <c r="R25" s="169">
        <f>SUM(R24:R24)</f>
        <v>0</v>
      </c>
      <c r="S25" s="200"/>
      <c r="T25" s="154"/>
      <c r="V25" s="200"/>
      <c r="Y25" s="200"/>
      <c r="Z25" s="304"/>
      <c r="AA25" s="200"/>
      <c r="AB25" s="200"/>
      <c r="AC25" s="210"/>
      <c r="AD25" s="210"/>
      <c r="AE25" s="200"/>
      <c r="AF25" s="200"/>
      <c r="AG25" s="209"/>
      <c r="AH25" s="210"/>
      <c r="AI25" s="200"/>
      <c r="AJ25" s="200"/>
      <c r="AK25" s="209"/>
      <c r="AL25" s="200"/>
      <c r="AM25" s="210"/>
      <c r="AN25" s="210"/>
    </row>
    <row r="26" spans="1:40" ht="24" customHeight="1" x14ac:dyDescent="0.25">
      <c r="A26" s="159"/>
      <c r="B26" s="80"/>
      <c r="C26" s="82"/>
      <c r="D26" s="80"/>
      <c r="E26" s="80"/>
      <c r="F26" s="79"/>
      <c r="G26" s="70"/>
      <c r="H26" s="163"/>
      <c r="I26" s="79"/>
      <c r="J26" s="388"/>
      <c r="K26" s="268"/>
      <c r="L26" s="163"/>
      <c r="M26" s="79"/>
      <c r="N26" s="198"/>
      <c r="O26" s="156"/>
      <c r="P26" s="163"/>
      <c r="Q26" s="79"/>
      <c r="R26" s="163"/>
      <c r="S26" s="200"/>
      <c r="V26" s="211"/>
      <c r="Y26" s="252"/>
      <c r="Z26" s="305"/>
      <c r="AA26" s="200"/>
      <c r="AB26" s="200"/>
      <c r="AC26" s="210"/>
      <c r="AD26" s="210"/>
      <c r="AE26" s="200"/>
      <c r="AF26" s="200"/>
      <c r="AG26" s="209"/>
      <c r="AH26" s="210"/>
      <c r="AI26" s="200"/>
      <c r="AJ26" s="200"/>
      <c r="AK26" s="209"/>
      <c r="AL26" s="200"/>
      <c r="AM26" s="210"/>
      <c r="AN26" s="210"/>
    </row>
    <row r="27" spans="1:40" x14ac:dyDescent="0.25">
      <c r="A27" s="159">
        <v>6</v>
      </c>
      <c r="B27" s="80"/>
      <c r="C27" s="253" t="s">
        <v>69</v>
      </c>
      <c r="D27" s="80"/>
      <c r="E27" s="80"/>
      <c r="F27" s="79"/>
      <c r="G27" s="70"/>
      <c r="H27" s="79"/>
      <c r="I27" s="79"/>
      <c r="J27" s="310"/>
      <c r="K27" s="263"/>
      <c r="L27" s="79"/>
      <c r="M27" s="79"/>
      <c r="N27" s="156"/>
      <c r="O27" s="156"/>
      <c r="P27" s="79"/>
      <c r="Q27" s="79"/>
      <c r="R27" s="79"/>
      <c r="S27" s="200"/>
      <c r="T27" s="154"/>
      <c r="V27" s="252"/>
      <c r="Y27" s="200"/>
      <c r="Z27" s="304"/>
      <c r="AA27" s="200"/>
      <c r="AB27" s="200"/>
      <c r="AC27" s="210"/>
      <c r="AD27" s="210"/>
      <c r="AE27" s="200"/>
      <c r="AF27" s="200"/>
      <c r="AG27" s="209"/>
      <c r="AH27" s="210"/>
      <c r="AI27" s="200"/>
      <c r="AJ27" s="200"/>
      <c r="AK27" s="209"/>
      <c r="AL27" s="200"/>
      <c r="AM27" s="210"/>
      <c r="AN27" s="210"/>
    </row>
    <row r="28" spans="1:40" x14ac:dyDescent="0.25">
      <c r="A28" s="159">
        <v>7</v>
      </c>
      <c r="B28" s="80"/>
      <c r="C28" s="82" t="s">
        <v>494</v>
      </c>
      <c r="D28" s="80"/>
      <c r="E28" s="80"/>
      <c r="F28" s="78"/>
      <c r="G28" s="70"/>
      <c r="H28" s="225">
        <v>0</v>
      </c>
      <c r="I28" s="78"/>
      <c r="J28" s="295">
        <f>INPUT!D139</f>
        <v>0</v>
      </c>
      <c r="K28" s="289"/>
      <c r="L28" s="79">
        <f>ROUND((H28*J28),0)</f>
        <v>0</v>
      </c>
      <c r="M28" s="79"/>
      <c r="N28" s="156">
        <v>0</v>
      </c>
      <c r="O28" s="156"/>
      <c r="P28" s="78"/>
      <c r="Q28" s="78"/>
      <c r="R28" s="79">
        <f>L28+P28</f>
        <v>0</v>
      </c>
      <c r="S28" s="200"/>
      <c r="T28" s="154"/>
      <c r="V28" s="252"/>
      <c r="Y28" s="200"/>
      <c r="Z28" s="304"/>
      <c r="AA28" s="200"/>
      <c r="AB28" s="200"/>
      <c r="AC28" s="210"/>
      <c r="AD28" s="210"/>
      <c r="AE28" s="200"/>
      <c r="AF28" s="200"/>
      <c r="AG28" s="209"/>
      <c r="AH28" s="210"/>
      <c r="AI28" s="200"/>
      <c r="AJ28" s="200"/>
      <c r="AK28" s="209"/>
      <c r="AL28" s="200"/>
      <c r="AM28" s="210"/>
      <c r="AN28" s="210"/>
    </row>
    <row r="29" spans="1:40" x14ac:dyDescent="0.25">
      <c r="A29" s="159">
        <v>8</v>
      </c>
      <c r="B29" s="80"/>
      <c r="C29" s="82" t="s">
        <v>419</v>
      </c>
      <c r="D29" s="80"/>
      <c r="E29" s="80"/>
      <c r="F29" s="78"/>
      <c r="G29" s="70"/>
      <c r="H29" s="78">
        <f>H28</f>
        <v>0</v>
      </c>
      <c r="I29" s="78"/>
      <c r="J29" s="295">
        <f>INPUT!D143</f>
        <v>0</v>
      </c>
      <c r="K29" s="289"/>
      <c r="L29" s="79">
        <f>ROUND((H29*J29),0)</f>
        <v>0</v>
      </c>
      <c r="M29" s="79"/>
      <c r="N29" s="156">
        <v>0</v>
      </c>
      <c r="O29" s="156"/>
      <c r="P29" s="78"/>
      <c r="Q29" s="78"/>
      <c r="R29" s="79">
        <f>L29+P29</f>
        <v>0</v>
      </c>
      <c r="S29" s="200"/>
      <c r="V29" s="211"/>
      <c r="Y29" s="211"/>
      <c r="Z29" s="305"/>
      <c r="AA29" s="211"/>
      <c r="AB29" s="211"/>
      <c r="AC29" s="211"/>
      <c r="AD29" s="211"/>
      <c r="AE29" s="211"/>
      <c r="AF29" s="211"/>
      <c r="AI29" s="211"/>
      <c r="AJ29" s="211"/>
      <c r="AK29" s="212"/>
      <c r="AL29" s="211"/>
      <c r="AM29" s="210"/>
      <c r="AN29" s="210"/>
    </row>
    <row r="30" spans="1:40" x14ac:dyDescent="0.25">
      <c r="A30" s="159">
        <v>9</v>
      </c>
      <c r="B30" s="80"/>
      <c r="C30" s="82" t="s">
        <v>480</v>
      </c>
      <c r="D30" s="80"/>
      <c r="E30" s="80"/>
      <c r="F30" s="78"/>
      <c r="G30" s="70"/>
      <c r="H30" s="78">
        <f>H29</f>
        <v>0</v>
      </c>
      <c r="I30" s="78"/>
      <c r="J30" s="295">
        <f>INPUT!D147</f>
        <v>0</v>
      </c>
      <c r="K30" s="289"/>
      <c r="L30" s="79">
        <f>ROUND((H30*J30),0)</f>
        <v>0</v>
      </c>
      <c r="M30" s="79"/>
      <c r="N30" s="156">
        <v>0</v>
      </c>
      <c r="O30" s="156"/>
      <c r="P30" s="200">
        <f>ROUND(-H30*(CUR_FAC+CUR_BASE_FUEL),0)</f>
        <v>0</v>
      </c>
      <c r="Q30" s="78"/>
      <c r="R30" s="79">
        <f>L30+P30</f>
        <v>0</v>
      </c>
      <c r="S30" s="200"/>
      <c r="V30" s="211"/>
      <c r="Y30" s="211"/>
      <c r="Z30" s="305"/>
      <c r="AA30" s="211"/>
      <c r="AB30" s="211"/>
      <c r="AC30" s="211"/>
      <c r="AD30" s="211"/>
      <c r="AE30" s="211"/>
      <c r="AF30" s="211"/>
      <c r="AI30" s="211"/>
      <c r="AJ30" s="211"/>
      <c r="AK30" s="212"/>
      <c r="AL30" s="211"/>
      <c r="AM30" s="210"/>
      <c r="AN30" s="210"/>
    </row>
    <row r="31" spans="1:40" ht="20.100000000000001" customHeight="1" x14ac:dyDescent="0.25">
      <c r="A31" s="159">
        <v>10</v>
      </c>
      <c r="B31" s="80"/>
      <c r="C31" s="253" t="s">
        <v>164</v>
      </c>
      <c r="D31" s="80"/>
      <c r="E31" s="80"/>
      <c r="F31" s="167"/>
      <c r="G31" s="70"/>
      <c r="H31" s="169">
        <f>H28</f>
        <v>0</v>
      </c>
      <c r="I31" s="79"/>
      <c r="J31" s="307"/>
      <c r="K31" s="263"/>
      <c r="L31" s="169">
        <f>SUM(L28:L30)</f>
        <v>0</v>
      </c>
      <c r="M31" s="79"/>
      <c r="N31" s="303">
        <v>0</v>
      </c>
      <c r="O31" s="156"/>
      <c r="P31" s="126">
        <f>P30</f>
        <v>0</v>
      </c>
      <c r="Q31" s="79"/>
      <c r="R31" s="169">
        <f>SUM(R28:R30)</f>
        <v>0</v>
      </c>
      <c r="S31" s="200"/>
      <c r="V31" s="211"/>
      <c r="Y31" s="211"/>
      <c r="Z31" s="305"/>
      <c r="AA31" s="211"/>
      <c r="AB31" s="211"/>
      <c r="AC31" s="211"/>
      <c r="AD31" s="211"/>
      <c r="AE31" s="211"/>
      <c r="AF31" s="211"/>
      <c r="AI31" s="211"/>
      <c r="AJ31" s="211"/>
      <c r="AK31" s="212"/>
      <c r="AL31" s="211"/>
    </row>
    <row r="32" spans="1:40" ht="20.100000000000001" customHeight="1" x14ac:dyDescent="0.25">
      <c r="A32" s="159">
        <v>11</v>
      </c>
      <c r="B32" s="80"/>
      <c r="C32" s="265" t="s">
        <v>582</v>
      </c>
      <c r="D32" s="80"/>
      <c r="E32" s="80"/>
      <c r="F32" s="169">
        <f>F24</f>
        <v>0</v>
      </c>
      <c r="G32" s="70"/>
      <c r="H32" s="169">
        <f>H31</f>
        <v>0</v>
      </c>
      <c r="I32" s="79"/>
      <c r="J32" s="307"/>
      <c r="K32" s="263"/>
      <c r="L32" s="169">
        <f>L31+L25</f>
        <v>0</v>
      </c>
      <c r="M32" s="79"/>
      <c r="N32" s="303">
        <v>0</v>
      </c>
      <c r="O32" s="156"/>
      <c r="P32" s="126">
        <f>P31+P25</f>
        <v>0</v>
      </c>
      <c r="Q32" s="79"/>
      <c r="R32" s="169">
        <f>R31+R25</f>
        <v>0</v>
      </c>
      <c r="S32" s="200"/>
      <c r="V32" s="211"/>
      <c r="Y32" s="211"/>
      <c r="Z32" s="305"/>
      <c r="AA32" s="211"/>
      <c r="AB32" s="211"/>
      <c r="AC32" s="211"/>
      <c r="AD32" s="211"/>
      <c r="AE32" s="211"/>
      <c r="AF32" s="211"/>
      <c r="AI32" s="211"/>
      <c r="AJ32" s="211"/>
      <c r="AK32" s="212"/>
      <c r="AL32" s="211"/>
    </row>
    <row r="33" spans="1:43" ht="15.75" customHeight="1" x14ac:dyDescent="0.25">
      <c r="A33" s="159"/>
      <c r="B33" s="80"/>
      <c r="C33" s="82"/>
      <c r="D33" s="80"/>
      <c r="E33" s="80"/>
      <c r="F33" s="163"/>
      <c r="G33" s="70"/>
      <c r="H33" s="163"/>
      <c r="I33" s="79"/>
      <c r="J33" s="307"/>
      <c r="K33" s="263"/>
      <c r="L33" s="163"/>
      <c r="M33" s="79"/>
      <c r="N33" s="198"/>
      <c r="O33" s="156"/>
      <c r="P33" s="230"/>
      <c r="Q33" s="79"/>
      <c r="R33" s="163"/>
      <c r="S33" s="200"/>
      <c r="V33" s="211"/>
      <c r="Y33" s="211"/>
      <c r="Z33" s="305"/>
      <c r="AA33" s="211"/>
      <c r="AB33" s="211"/>
      <c r="AC33" s="211"/>
      <c r="AD33" s="211"/>
      <c r="AE33" s="211"/>
      <c r="AF33" s="211"/>
      <c r="AI33" s="211"/>
      <c r="AJ33" s="211"/>
      <c r="AK33" s="212"/>
      <c r="AL33" s="211"/>
    </row>
    <row r="34" spans="1:43" ht="15.75" customHeight="1" x14ac:dyDescent="0.25">
      <c r="A34" s="159">
        <v>12</v>
      </c>
      <c r="B34" s="80"/>
      <c r="C34" s="253" t="s">
        <v>553</v>
      </c>
      <c r="D34" s="80"/>
      <c r="E34" s="80"/>
      <c r="F34" s="163"/>
      <c r="G34" s="70"/>
      <c r="H34" s="163"/>
      <c r="I34" s="79"/>
      <c r="J34" s="307"/>
      <c r="K34" s="263"/>
      <c r="L34" s="163"/>
      <c r="M34" s="79"/>
      <c r="N34" s="198"/>
      <c r="O34" s="156"/>
      <c r="P34" s="230"/>
      <c r="Q34" s="79"/>
      <c r="R34" s="163"/>
      <c r="S34" s="200"/>
      <c r="V34" s="211"/>
      <c r="Y34" s="211"/>
      <c r="Z34" s="305"/>
      <c r="AA34" s="211"/>
      <c r="AB34" s="211"/>
      <c r="AC34" s="211"/>
      <c r="AD34" s="211"/>
      <c r="AE34" s="211"/>
      <c r="AF34" s="211"/>
      <c r="AI34" s="211"/>
      <c r="AJ34" s="211"/>
      <c r="AK34" s="212"/>
      <c r="AL34" s="211"/>
    </row>
    <row r="35" spans="1:43" ht="15.75" customHeight="1" x14ac:dyDescent="0.25">
      <c r="A35" s="159">
        <v>13</v>
      </c>
      <c r="B35" s="80"/>
      <c r="C35" s="153" t="s">
        <v>556</v>
      </c>
      <c r="D35" s="80"/>
      <c r="E35" s="80"/>
      <c r="F35" s="163"/>
      <c r="G35" s="70"/>
      <c r="H35" s="163"/>
      <c r="I35" s="79"/>
      <c r="J35" s="295">
        <f>PRO_DSM_DIST</f>
        <v>2.5760000000000002E-3</v>
      </c>
      <c r="K35" s="263"/>
      <c r="L35" s="163">
        <f>ROUND(H32*PRO_DSM_DIST,0)</f>
        <v>0</v>
      </c>
      <c r="M35" s="79"/>
      <c r="N35" s="155">
        <v>0</v>
      </c>
      <c r="O35" s="156"/>
      <c r="P35" s="230"/>
      <c r="Q35" s="79"/>
      <c r="R35" s="79">
        <f t="shared" ref="R35:R36" si="0">L35+P35</f>
        <v>0</v>
      </c>
      <c r="S35" s="200"/>
      <c r="V35" s="211"/>
      <c r="Y35" s="211"/>
      <c r="Z35" s="305"/>
      <c r="AA35" s="211"/>
      <c r="AB35" s="211"/>
      <c r="AC35" s="211"/>
      <c r="AD35" s="211"/>
      <c r="AE35" s="211"/>
      <c r="AF35" s="211"/>
      <c r="AI35" s="211"/>
      <c r="AJ35" s="211"/>
      <c r="AK35" s="212"/>
      <c r="AL35" s="211"/>
    </row>
    <row r="36" spans="1:43" ht="15.75" customHeight="1" x14ac:dyDescent="0.25">
      <c r="A36" s="159">
        <v>14</v>
      </c>
      <c r="B36" s="80"/>
      <c r="C36" s="153" t="s">
        <v>555</v>
      </c>
      <c r="D36" s="80"/>
      <c r="E36" s="80"/>
      <c r="F36" s="163"/>
      <c r="G36" s="70"/>
      <c r="H36" s="163"/>
      <c r="I36" s="79"/>
      <c r="J36" s="295">
        <f>PRO_PSM</f>
        <v>-4.5600000000000003E-4</v>
      </c>
      <c r="K36" s="263"/>
      <c r="L36" s="163">
        <f>ROUND(H32*PRO_PSM,0)</f>
        <v>0</v>
      </c>
      <c r="M36" s="79"/>
      <c r="N36" s="166">
        <v>0</v>
      </c>
      <c r="O36" s="156"/>
      <c r="P36" s="230"/>
      <c r="Q36" s="79"/>
      <c r="R36" s="167">
        <f t="shared" si="0"/>
        <v>0</v>
      </c>
      <c r="S36" s="200"/>
      <c r="V36" s="211"/>
      <c r="Y36" s="211"/>
      <c r="Z36" s="305"/>
      <c r="AA36" s="211"/>
      <c r="AB36" s="211"/>
      <c r="AC36" s="211"/>
      <c r="AD36" s="211"/>
      <c r="AE36" s="211"/>
      <c r="AF36" s="211"/>
      <c r="AI36" s="211"/>
      <c r="AJ36" s="211"/>
      <c r="AK36" s="212"/>
      <c r="AL36" s="211"/>
    </row>
    <row r="37" spans="1:43" ht="20.100000000000001" customHeight="1" x14ac:dyDescent="0.25">
      <c r="A37" s="159">
        <v>15</v>
      </c>
      <c r="B37" s="80"/>
      <c r="C37" s="253" t="s">
        <v>557</v>
      </c>
      <c r="D37" s="80"/>
      <c r="E37" s="80"/>
      <c r="F37" s="167"/>
      <c r="G37" s="70"/>
      <c r="H37" s="167"/>
      <c r="I37" s="79"/>
      <c r="J37" s="263"/>
      <c r="K37" s="263"/>
      <c r="L37" s="169">
        <f>SUM(L35:L36)</f>
        <v>0</v>
      </c>
      <c r="M37" s="79"/>
      <c r="N37" s="170">
        <v>0</v>
      </c>
      <c r="O37" s="156"/>
      <c r="P37" s="169">
        <f>SUM(P35:P36)</f>
        <v>0</v>
      </c>
      <c r="Q37" s="79"/>
      <c r="R37" s="169">
        <f>SUM(R35:R36)</f>
        <v>0</v>
      </c>
      <c r="S37" s="200"/>
      <c r="V37" s="211"/>
      <c r="Y37" s="211"/>
      <c r="Z37" s="305"/>
      <c r="AA37" s="211"/>
      <c r="AB37" s="211"/>
      <c r="AC37" s="211"/>
      <c r="AD37" s="211"/>
      <c r="AE37" s="211"/>
      <c r="AF37" s="211"/>
      <c r="AI37" s="211"/>
      <c r="AJ37" s="211"/>
      <c r="AK37" s="212"/>
      <c r="AL37" s="211"/>
    </row>
    <row r="38" spans="1:43" ht="15.75" customHeight="1" x14ac:dyDescent="0.25">
      <c r="A38" s="159"/>
      <c r="B38" s="80"/>
      <c r="C38" s="253"/>
      <c r="D38" s="80"/>
      <c r="E38" s="80"/>
      <c r="F38" s="163"/>
      <c r="G38" s="70"/>
      <c r="H38" s="163"/>
      <c r="I38" s="79"/>
      <c r="J38" s="263"/>
      <c r="K38" s="263"/>
      <c r="L38" s="163"/>
      <c r="M38" s="79"/>
      <c r="N38" s="198"/>
      <c r="O38" s="156"/>
      <c r="P38" s="230"/>
      <c r="Q38" s="79"/>
      <c r="R38" s="163"/>
      <c r="S38" s="200"/>
      <c r="V38" s="211"/>
      <c r="Y38" s="211"/>
      <c r="Z38" s="305"/>
      <c r="AA38" s="211"/>
      <c r="AB38" s="211"/>
      <c r="AC38" s="211"/>
      <c r="AD38" s="211"/>
      <c r="AE38" s="211"/>
      <c r="AF38" s="211"/>
      <c r="AI38" s="211"/>
      <c r="AJ38" s="211"/>
      <c r="AK38" s="212"/>
      <c r="AL38" s="211"/>
    </row>
    <row r="39" spans="1:43" ht="20.100000000000001" customHeight="1" thickBot="1" x14ac:dyDescent="0.3">
      <c r="A39" s="159">
        <v>16</v>
      </c>
      <c r="B39" s="80"/>
      <c r="C39" s="265" t="s">
        <v>581</v>
      </c>
      <c r="D39" s="80"/>
      <c r="E39" s="80"/>
      <c r="F39" s="275">
        <f>F32</f>
        <v>0</v>
      </c>
      <c r="G39" s="70"/>
      <c r="H39" s="275">
        <f>H32</f>
        <v>0</v>
      </c>
      <c r="I39" s="79"/>
      <c r="J39" s="263"/>
      <c r="K39" s="263"/>
      <c r="L39" s="275">
        <f>L37+L32</f>
        <v>0</v>
      </c>
      <c r="M39" s="79"/>
      <c r="N39" s="309">
        <v>100</v>
      </c>
      <c r="O39" s="156"/>
      <c r="P39" s="275">
        <f>P37+P32</f>
        <v>0</v>
      </c>
      <c r="Q39" s="79"/>
      <c r="R39" s="275">
        <f>R37+R32</f>
        <v>0</v>
      </c>
      <c r="S39" s="200"/>
      <c r="AA39" s="200"/>
      <c r="AB39" s="200"/>
      <c r="AC39" s="200"/>
      <c r="AD39" s="200"/>
      <c r="AI39" s="200"/>
      <c r="AJ39" s="200"/>
      <c r="AK39" s="209"/>
      <c r="AL39" s="200"/>
    </row>
    <row r="40" spans="1:43" ht="18.75" customHeight="1" thickTop="1" x14ac:dyDescent="0.25">
      <c r="A40" s="80"/>
      <c r="B40" s="80"/>
      <c r="C40" s="80"/>
      <c r="D40" s="80"/>
      <c r="E40" s="80"/>
      <c r="F40" s="79"/>
      <c r="G40" s="70"/>
      <c r="H40" s="79"/>
      <c r="I40" s="79"/>
      <c r="J40" s="263"/>
      <c r="K40" s="263"/>
      <c r="L40" s="79"/>
      <c r="M40" s="79"/>
      <c r="N40" s="79"/>
      <c r="O40" s="79"/>
      <c r="P40" s="79"/>
      <c r="Q40" s="79"/>
      <c r="R40" s="79"/>
      <c r="Z40" s="202"/>
    </row>
    <row r="41" spans="1:43" x14ac:dyDescent="0.25">
      <c r="A41" s="80"/>
      <c r="B41" s="80"/>
      <c r="C41" s="173" t="s">
        <v>61</v>
      </c>
      <c r="D41" s="80"/>
      <c r="E41" s="80"/>
      <c r="F41" s="189"/>
      <c r="G41" s="80"/>
      <c r="H41" s="189"/>
      <c r="I41" s="189"/>
      <c r="J41" s="310"/>
      <c r="K41" s="310"/>
      <c r="L41" s="189"/>
      <c r="M41" s="189"/>
      <c r="N41" s="189"/>
      <c r="O41" s="189"/>
      <c r="P41" s="189"/>
      <c r="Q41" s="189"/>
      <c r="R41" s="189"/>
      <c r="Y41" s="154"/>
    </row>
    <row r="42" spans="1:43" x14ac:dyDescent="0.25">
      <c r="A42" s="82"/>
      <c r="B42" s="80"/>
      <c r="C42" s="82"/>
      <c r="D42" s="80"/>
      <c r="E42" s="80"/>
      <c r="F42" s="189"/>
      <c r="G42" s="80"/>
      <c r="H42" s="189"/>
      <c r="I42" s="189"/>
      <c r="J42" s="310"/>
      <c r="K42" s="310"/>
      <c r="L42" s="189"/>
      <c r="M42" s="189"/>
      <c r="N42" s="189"/>
      <c r="O42" s="189"/>
      <c r="P42" s="189"/>
      <c r="Q42" s="189"/>
      <c r="R42" s="189"/>
      <c r="Z42" s="202"/>
    </row>
    <row r="43" spans="1:43" x14ac:dyDescent="0.25">
      <c r="H43" s="109"/>
      <c r="L43" s="154"/>
      <c r="M43" s="154"/>
      <c r="AA43" s="154"/>
      <c r="AB43" s="154"/>
    </row>
    <row r="44" spans="1:43" x14ac:dyDescent="0.25">
      <c r="A44" s="202"/>
      <c r="R44" s="154"/>
      <c r="AK44" s="297"/>
      <c r="AL44" s="154"/>
    </row>
    <row r="45" spans="1:43" x14ac:dyDescent="0.25">
      <c r="A45" s="202"/>
      <c r="R45" s="154"/>
      <c r="T45" s="150" t="str">
        <f>NAME</f>
        <v>DUKE ENERGY KENTUCKY, INC.</v>
      </c>
      <c r="U45" s="150"/>
      <c r="V45" s="150"/>
      <c r="W45" s="150"/>
      <c r="X45" s="150"/>
      <c r="Y45" s="150"/>
      <c r="Z45" s="150"/>
      <c r="AA45" s="150"/>
      <c r="AB45" s="150"/>
      <c r="AC45" s="187"/>
      <c r="AD45" s="187"/>
      <c r="AE45" s="150"/>
      <c r="AF45" s="100"/>
      <c r="AG45" s="190"/>
      <c r="AH45" s="100"/>
      <c r="AI45" s="150"/>
      <c r="AJ45" s="150"/>
      <c r="AK45" s="190"/>
      <c r="AL45" s="150"/>
      <c r="AM45" s="150"/>
      <c r="AN45" s="100"/>
      <c r="AO45" s="150"/>
      <c r="AP45" s="150"/>
      <c r="AQ45" s="190"/>
    </row>
    <row r="46" spans="1:43" x14ac:dyDescent="0.25">
      <c r="A46" s="202"/>
      <c r="R46" s="154"/>
      <c r="T46" s="150" t="str">
        <f>CASE_NO</f>
        <v>CASE NO.   2017-00321</v>
      </c>
      <c r="U46" s="150"/>
      <c r="V46" s="150"/>
      <c r="W46" s="150"/>
      <c r="X46" s="150"/>
      <c r="Y46" s="150"/>
      <c r="Z46" s="150"/>
      <c r="AA46" s="150"/>
      <c r="AB46" s="150"/>
      <c r="AC46" s="187"/>
      <c r="AD46" s="187"/>
      <c r="AE46" s="150"/>
      <c r="AF46" s="100"/>
      <c r="AG46" s="190"/>
      <c r="AH46" s="100"/>
      <c r="AI46" s="150"/>
      <c r="AJ46" s="150"/>
      <c r="AK46" s="190"/>
      <c r="AL46" s="150"/>
      <c r="AM46" s="150"/>
      <c r="AN46" s="100"/>
      <c r="AO46" s="150"/>
      <c r="AP46" s="150"/>
      <c r="AQ46" s="190"/>
    </row>
    <row r="47" spans="1:43" x14ac:dyDescent="0.25">
      <c r="A47" s="154"/>
      <c r="R47" s="154"/>
      <c r="T47" s="187" t="str">
        <f>TITLE</f>
        <v>ANNUALIZED BASE YEAR REVENUES AT PROPOSED VS. MOST CURRENT RATES</v>
      </c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00"/>
      <c r="AG47" s="190"/>
      <c r="AH47" s="100"/>
      <c r="AI47" s="150"/>
      <c r="AJ47" s="150"/>
      <c r="AK47" s="190"/>
      <c r="AL47" s="150"/>
      <c r="AM47" s="150"/>
      <c r="AN47" s="100"/>
      <c r="AO47" s="150"/>
      <c r="AP47" s="150"/>
      <c r="AQ47" s="190"/>
    </row>
    <row r="48" spans="1:43" x14ac:dyDescent="0.25">
      <c r="L48" s="154"/>
      <c r="M48" s="154"/>
      <c r="R48" s="202"/>
      <c r="T48" s="150" t="str">
        <f>DATE</f>
        <v>FOR THE TWELVE MONTHS ENDED November 30, 2017</v>
      </c>
      <c r="U48" s="150"/>
      <c r="V48" s="150"/>
      <c r="W48" s="150"/>
      <c r="X48" s="150"/>
      <c r="Y48" s="150"/>
      <c r="Z48" s="150"/>
      <c r="AA48" s="150"/>
      <c r="AB48" s="150"/>
      <c r="AC48" s="187"/>
      <c r="AD48" s="187"/>
      <c r="AE48" s="150"/>
      <c r="AF48" s="100"/>
      <c r="AG48" s="190"/>
      <c r="AH48" s="100"/>
      <c r="AI48" s="150"/>
      <c r="AJ48" s="150"/>
      <c r="AK48" s="190"/>
      <c r="AL48" s="150"/>
      <c r="AM48" s="150"/>
      <c r="AN48" s="100"/>
      <c r="AO48" s="150"/>
      <c r="AP48" s="150"/>
      <c r="AQ48" s="190"/>
    </row>
    <row r="49" spans="1:43" x14ac:dyDescent="0.25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T49" s="150" t="str">
        <f>SERVICE</f>
        <v>(ELECTRIC SERVICE)</v>
      </c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87"/>
      <c r="AF49" s="312"/>
      <c r="AG49" s="190"/>
      <c r="AH49" s="100"/>
      <c r="AI49" s="150"/>
      <c r="AJ49" s="150"/>
      <c r="AK49" s="190"/>
      <c r="AL49" s="150"/>
      <c r="AM49" s="150"/>
      <c r="AN49" s="100"/>
      <c r="AO49" s="150"/>
      <c r="AP49" s="150"/>
      <c r="AQ49" s="190"/>
    </row>
    <row r="50" spans="1:43" x14ac:dyDescent="0.25">
      <c r="L50" s="103"/>
      <c r="M50" s="103"/>
      <c r="N50" s="103"/>
      <c r="O50" s="103"/>
      <c r="R50" s="103"/>
      <c r="T50" s="159" t="str">
        <f>DATA_PERIOD</f>
        <v>DATA: __X__ BASE PERIOD   ____FORECASTED PERIOD</v>
      </c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G50" s="188"/>
      <c r="AI50" s="80"/>
      <c r="AJ50" s="80"/>
      <c r="AK50" s="188"/>
      <c r="AL50" s="80"/>
      <c r="AM50" s="80"/>
      <c r="AO50" s="82" t="s">
        <v>179</v>
      </c>
      <c r="AP50" s="82"/>
      <c r="AQ50" s="188"/>
    </row>
    <row r="51" spans="1:43" x14ac:dyDescent="0.25">
      <c r="L51" s="103"/>
      <c r="M51" s="103"/>
      <c r="N51" s="103"/>
      <c r="O51" s="103"/>
      <c r="R51" s="103"/>
      <c r="T51" s="159" t="str">
        <f>TYPE</f>
        <v>TYPE OF FILING: _X_ ORIGINAL   ___UPDATED  ___ REVISED</v>
      </c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G51" s="188"/>
      <c r="AI51" s="80"/>
      <c r="AJ51" s="80"/>
      <c r="AK51" s="188"/>
      <c r="AL51" s="80"/>
      <c r="AM51" s="80"/>
      <c r="AO51" s="81" t="str">
        <f>R7</f>
        <v>PAGE  xx  OF  22</v>
      </c>
      <c r="AP51" s="82"/>
      <c r="AQ51" s="188"/>
    </row>
    <row r="52" spans="1:43" x14ac:dyDescent="0.25">
      <c r="A52" s="103"/>
      <c r="C52" s="103"/>
      <c r="D52" s="103"/>
      <c r="E52" s="103"/>
      <c r="F52" s="103"/>
      <c r="J52" s="103"/>
      <c r="K52" s="103"/>
      <c r="L52" s="103"/>
      <c r="M52" s="103"/>
      <c r="N52" s="103"/>
      <c r="O52" s="103"/>
      <c r="P52" s="103"/>
      <c r="Q52" s="103"/>
      <c r="R52" s="103"/>
      <c r="T52" s="82" t="s">
        <v>192</v>
      </c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G52" s="188"/>
      <c r="AI52" s="80"/>
      <c r="AJ52" s="80"/>
      <c r="AK52" s="188"/>
      <c r="AL52" s="80"/>
      <c r="AM52" s="80"/>
      <c r="AO52" s="82" t="s">
        <v>3</v>
      </c>
      <c r="AP52" s="82"/>
      <c r="AQ52" s="188"/>
    </row>
    <row r="53" spans="1:43" x14ac:dyDescent="0.25">
      <c r="A53" s="103"/>
      <c r="C53" s="103"/>
      <c r="D53" s="103"/>
      <c r="E53" s="103"/>
      <c r="F53" s="103"/>
      <c r="J53" s="103"/>
      <c r="K53" s="103"/>
      <c r="L53" s="103"/>
      <c r="M53" s="103"/>
      <c r="N53" s="103"/>
      <c r="O53" s="103"/>
      <c r="P53" s="103"/>
      <c r="Q53" s="103"/>
      <c r="R53" s="103"/>
      <c r="T53" s="253" t="str">
        <f>TIME</f>
        <v>6 Months Actual and 6 Months Projected</v>
      </c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G53" s="188"/>
      <c r="AI53" s="80"/>
      <c r="AJ53" s="80"/>
      <c r="AK53" s="188"/>
      <c r="AL53" s="80"/>
      <c r="AM53" s="80"/>
      <c r="AO53" s="159" t="str">
        <f>WIT</f>
        <v>B. L. SAILERS</v>
      </c>
      <c r="AP53" s="159"/>
      <c r="AQ53" s="188"/>
    </row>
    <row r="54" spans="1:43" x14ac:dyDescent="0.25">
      <c r="A54" s="103"/>
      <c r="C54" s="103"/>
      <c r="D54" s="103"/>
      <c r="E54" s="103"/>
      <c r="F54" s="103"/>
      <c r="J54" s="103"/>
      <c r="K54" s="103"/>
      <c r="L54" s="103"/>
      <c r="M54" s="103"/>
      <c r="N54" s="103"/>
      <c r="O54" s="103"/>
      <c r="P54" s="103"/>
      <c r="Q54" s="103"/>
      <c r="R54" s="103"/>
      <c r="T54" s="253" t="str">
        <f>INPUT!B5</f>
        <v>6 Months Actual Ending May 31, 2017</v>
      </c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G54" s="188"/>
      <c r="AI54" s="80"/>
      <c r="AJ54" s="80"/>
      <c r="AK54" s="188"/>
      <c r="AL54" s="80"/>
      <c r="AM54" s="80"/>
      <c r="AO54" s="159"/>
      <c r="AP54" s="159"/>
      <c r="AQ54" s="188"/>
    </row>
    <row r="55" spans="1:43" x14ac:dyDescent="0.25">
      <c r="A55" s="103"/>
      <c r="C55" s="103"/>
      <c r="D55" s="103"/>
      <c r="E55" s="103"/>
      <c r="F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T55" s="187" t="s">
        <v>152</v>
      </c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00"/>
      <c r="AG55" s="190"/>
      <c r="AH55" s="100"/>
      <c r="AI55" s="150"/>
      <c r="AJ55" s="150"/>
      <c r="AK55" s="190"/>
      <c r="AL55" s="150"/>
      <c r="AM55" s="150"/>
      <c r="AN55" s="100"/>
      <c r="AO55" s="150"/>
      <c r="AP55" s="150"/>
      <c r="AQ55" s="190"/>
    </row>
    <row r="56" spans="1:43" x14ac:dyDescent="0.25">
      <c r="C56" s="103"/>
      <c r="D56" s="103"/>
      <c r="E56" s="103"/>
      <c r="F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5"/>
      <c r="AH56" s="254"/>
      <c r="AI56" s="254"/>
      <c r="AJ56" s="254"/>
      <c r="AK56" s="255"/>
      <c r="AL56" s="254"/>
      <c r="AM56" s="254"/>
      <c r="AN56" s="254"/>
      <c r="AO56" s="254"/>
      <c r="AP56" s="254"/>
      <c r="AQ56" s="255"/>
    </row>
    <row r="57" spans="1:43" ht="18" customHeight="1" x14ac:dyDescent="0.2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3" t="s">
        <v>8</v>
      </c>
      <c r="AF57" s="103"/>
      <c r="AG57" s="195" t="s">
        <v>7</v>
      </c>
      <c r="AH57" s="103"/>
      <c r="AI57" s="83" t="s">
        <v>9</v>
      </c>
      <c r="AJ57" s="83"/>
      <c r="AK57" s="195" t="s">
        <v>10</v>
      </c>
      <c r="AL57" s="83"/>
      <c r="AM57" s="80"/>
      <c r="AO57" s="83" t="s">
        <v>8</v>
      </c>
      <c r="AP57" s="83"/>
      <c r="AQ57" s="195" t="s">
        <v>11</v>
      </c>
    </row>
    <row r="58" spans="1:43" x14ac:dyDescent="0.25"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T58" s="80"/>
      <c r="U58" s="80"/>
      <c r="V58" s="80"/>
      <c r="W58" s="80"/>
      <c r="X58" s="80"/>
      <c r="Y58" s="80"/>
      <c r="Z58" s="80"/>
      <c r="AA58" s="80"/>
      <c r="AB58" s="80"/>
      <c r="AC58" s="83" t="s">
        <v>14</v>
      </c>
      <c r="AD58" s="83"/>
      <c r="AE58" s="83" t="s">
        <v>12</v>
      </c>
      <c r="AF58" s="103"/>
      <c r="AG58" s="195" t="s">
        <v>13</v>
      </c>
      <c r="AH58" s="103"/>
      <c r="AI58" s="83" t="s">
        <v>15</v>
      </c>
      <c r="AJ58" s="83"/>
      <c r="AK58" s="195" t="s">
        <v>16</v>
      </c>
      <c r="AL58" s="83"/>
      <c r="AM58" s="80"/>
      <c r="AO58" s="83" t="s">
        <v>11</v>
      </c>
      <c r="AP58" s="83"/>
      <c r="AQ58" s="195" t="s">
        <v>9</v>
      </c>
    </row>
    <row r="59" spans="1:43" x14ac:dyDescent="0.25">
      <c r="A59" s="202"/>
      <c r="C59" s="154"/>
      <c r="D59" s="154"/>
      <c r="E59" s="154"/>
      <c r="T59" s="83" t="s">
        <v>17</v>
      </c>
      <c r="U59" s="80"/>
      <c r="V59" s="83" t="s">
        <v>18</v>
      </c>
      <c r="W59" s="83" t="s">
        <v>19</v>
      </c>
      <c r="X59" s="83"/>
      <c r="Y59" s="83" t="s">
        <v>20</v>
      </c>
      <c r="Z59" s="80"/>
      <c r="AA59" s="80"/>
      <c r="AB59" s="80"/>
      <c r="AC59" s="83" t="s">
        <v>8</v>
      </c>
      <c r="AD59" s="83"/>
      <c r="AE59" s="83" t="s">
        <v>21</v>
      </c>
      <c r="AF59" s="103"/>
      <c r="AG59" s="195" t="s">
        <v>21</v>
      </c>
      <c r="AH59" s="103"/>
      <c r="AI59" s="83" t="s">
        <v>22</v>
      </c>
      <c r="AJ59" s="83"/>
      <c r="AK59" s="195" t="s">
        <v>22</v>
      </c>
      <c r="AL59" s="83"/>
      <c r="AM59" s="83" t="s">
        <v>21</v>
      </c>
      <c r="AN59" s="103"/>
      <c r="AO59" s="83" t="s">
        <v>9</v>
      </c>
      <c r="AP59" s="83"/>
      <c r="AQ59" s="195" t="s">
        <v>23</v>
      </c>
    </row>
    <row r="60" spans="1:43" x14ac:dyDescent="0.25">
      <c r="A60" s="202"/>
      <c r="D60" s="154"/>
      <c r="E60" s="154"/>
      <c r="T60" s="83" t="s">
        <v>24</v>
      </c>
      <c r="U60" s="80"/>
      <c r="V60" s="83" t="s">
        <v>25</v>
      </c>
      <c r="W60" s="83" t="s">
        <v>26</v>
      </c>
      <c r="X60" s="83"/>
      <c r="Y60" s="83" t="s">
        <v>27</v>
      </c>
      <c r="Z60" s="80"/>
      <c r="AA60" s="83" t="s">
        <v>28</v>
      </c>
      <c r="AB60" s="83"/>
      <c r="AC60" s="83" t="s">
        <v>29</v>
      </c>
      <c r="AD60" s="83"/>
      <c r="AE60" s="83" t="s">
        <v>9</v>
      </c>
      <c r="AF60" s="103"/>
      <c r="AG60" s="195" t="s">
        <v>9</v>
      </c>
      <c r="AH60" s="103"/>
      <c r="AI60" s="256" t="s">
        <v>31</v>
      </c>
      <c r="AJ60" s="256"/>
      <c r="AK60" s="257" t="s">
        <v>32</v>
      </c>
      <c r="AL60" s="83"/>
      <c r="AM60" s="83" t="s">
        <v>475</v>
      </c>
      <c r="AN60" s="103"/>
      <c r="AO60" s="256" t="s">
        <v>33</v>
      </c>
      <c r="AP60" s="83"/>
      <c r="AQ60" s="257" t="s">
        <v>34</v>
      </c>
    </row>
    <row r="61" spans="1:43" x14ac:dyDescent="0.25">
      <c r="T61" s="80"/>
      <c r="U61" s="80"/>
      <c r="V61" s="256" t="s">
        <v>35</v>
      </c>
      <c r="W61" s="256" t="s">
        <v>36</v>
      </c>
      <c r="X61" s="256"/>
      <c r="Y61" s="256" t="s">
        <v>37</v>
      </c>
      <c r="Z61" s="258"/>
      <c r="AA61" s="256" t="s">
        <v>38</v>
      </c>
      <c r="AB61" s="256"/>
      <c r="AC61" s="256" t="s">
        <v>44</v>
      </c>
      <c r="AD61" s="256"/>
      <c r="AE61" s="256" t="s">
        <v>45</v>
      </c>
      <c r="AF61" s="313"/>
      <c r="AG61" s="257" t="s">
        <v>46</v>
      </c>
      <c r="AH61" s="313"/>
      <c r="AI61" s="256" t="s">
        <v>47</v>
      </c>
      <c r="AJ61" s="256"/>
      <c r="AK61" s="257" t="s">
        <v>48</v>
      </c>
      <c r="AL61" s="256"/>
      <c r="AM61" s="256" t="s">
        <v>42</v>
      </c>
      <c r="AN61" s="103"/>
      <c r="AO61" s="256" t="s">
        <v>49</v>
      </c>
      <c r="AP61" s="83"/>
      <c r="AQ61" s="257" t="s">
        <v>50</v>
      </c>
    </row>
    <row r="62" spans="1:43" x14ac:dyDescent="0.25">
      <c r="A62" s="202"/>
      <c r="C62" s="1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5"/>
      <c r="AH62" s="254"/>
      <c r="AI62" s="254"/>
      <c r="AJ62" s="254"/>
      <c r="AK62" s="255"/>
      <c r="AL62" s="254"/>
      <c r="AM62" s="254"/>
      <c r="AN62" s="254"/>
      <c r="AO62" s="254"/>
      <c r="AP62" s="254"/>
      <c r="AQ62" s="255"/>
    </row>
    <row r="63" spans="1:43" ht="17.100000000000001" customHeight="1" x14ac:dyDescent="0.25">
      <c r="A63" s="202"/>
      <c r="C63" s="154"/>
      <c r="F63" s="252"/>
      <c r="H63" s="252"/>
      <c r="I63" s="252"/>
      <c r="J63" s="300"/>
      <c r="K63" s="300"/>
      <c r="L63" s="200"/>
      <c r="M63" s="200"/>
      <c r="N63" s="210"/>
      <c r="O63" s="210"/>
      <c r="P63" s="202"/>
      <c r="Q63" s="202"/>
      <c r="R63" s="200"/>
      <c r="T63" s="80"/>
      <c r="U63" s="80"/>
      <c r="V63" s="80"/>
      <c r="W63" s="80"/>
      <c r="X63" s="80"/>
      <c r="Y63" s="80"/>
      <c r="Z63" s="80"/>
      <c r="AA63" s="260" t="s">
        <v>51</v>
      </c>
      <c r="AB63" s="259"/>
      <c r="AC63" s="260" t="s">
        <v>418</v>
      </c>
      <c r="AD63" s="259"/>
      <c r="AE63" s="259" t="s">
        <v>52</v>
      </c>
      <c r="AF63" s="314"/>
      <c r="AG63" s="261" t="s">
        <v>53</v>
      </c>
      <c r="AH63" s="314"/>
      <c r="AI63" s="259" t="s">
        <v>52</v>
      </c>
      <c r="AJ63" s="259"/>
      <c r="AK63" s="261" t="s">
        <v>53</v>
      </c>
      <c r="AL63" s="259"/>
      <c r="AM63" s="259" t="s">
        <v>52</v>
      </c>
      <c r="AN63" s="314"/>
      <c r="AO63" s="259" t="s">
        <v>52</v>
      </c>
      <c r="AP63" s="259"/>
      <c r="AQ63" s="261" t="s">
        <v>53</v>
      </c>
    </row>
    <row r="64" spans="1:43" x14ac:dyDescent="0.25">
      <c r="A64" s="202"/>
      <c r="C64" s="154"/>
      <c r="F64" s="252"/>
      <c r="H64" s="252"/>
      <c r="I64" s="252"/>
      <c r="J64" s="300"/>
      <c r="K64" s="300"/>
      <c r="L64" s="200"/>
      <c r="M64" s="200"/>
      <c r="N64" s="210"/>
      <c r="O64" s="210"/>
      <c r="P64" s="202"/>
      <c r="Q64" s="202"/>
      <c r="R64" s="200"/>
      <c r="T64" s="159">
        <v>1</v>
      </c>
      <c r="U64" s="80"/>
      <c r="V64" s="253" t="s">
        <v>414</v>
      </c>
      <c r="W64" s="253" t="s">
        <v>153</v>
      </c>
      <c r="X64" s="82"/>
      <c r="Y64" s="70"/>
      <c r="Z64" s="70"/>
      <c r="AA64" s="70"/>
      <c r="AB64" s="70"/>
      <c r="AC64" s="70"/>
      <c r="AD64" s="70"/>
      <c r="AE64" s="70"/>
      <c r="AF64" s="85"/>
      <c r="AG64" s="164"/>
      <c r="AH64" s="85"/>
      <c r="AI64" s="70"/>
      <c r="AJ64" s="70"/>
      <c r="AK64" s="164"/>
      <c r="AL64" s="70"/>
      <c r="AM64" s="70"/>
      <c r="AN64" s="85"/>
      <c r="AO64" s="70"/>
      <c r="AP64" s="70"/>
      <c r="AQ64" s="164"/>
    </row>
    <row r="65" spans="1:43" x14ac:dyDescent="0.25">
      <c r="F65" s="211"/>
      <c r="H65" s="200"/>
      <c r="I65" s="200"/>
      <c r="J65" s="305"/>
      <c r="K65" s="305"/>
      <c r="L65" s="211"/>
      <c r="M65" s="211"/>
      <c r="N65" s="211"/>
      <c r="O65" s="211"/>
      <c r="P65" s="211"/>
      <c r="Q65" s="211"/>
      <c r="R65" s="211"/>
      <c r="T65" s="159">
        <v>2</v>
      </c>
      <c r="U65" s="80"/>
      <c r="V65" s="258"/>
      <c r="W65" s="253" t="s">
        <v>154</v>
      </c>
      <c r="X65" s="82"/>
      <c r="Y65" s="70"/>
      <c r="Z65" s="70"/>
      <c r="AA65" s="70"/>
      <c r="AB65" s="70"/>
      <c r="AC65" s="70"/>
      <c r="AD65" s="70"/>
      <c r="AE65" s="70"/>
      <c r="AF65" s="85"/>
      <c r="AG65" s="164"/>
      <c r="AH65" s="85"/>
      <c r="AI65" s="70"/>
      <c r="AJ65" s="70"/>
      <c r="AK65" s="164"/>
      <c r="AL65" s="70"/>
      <c r="AM65" s="70"/>
      <c r="AN65" s="85"/>
      <c r="AO65" s="70"/>
      <c r="AP65" s="70"/>
      <c r="AQ65" s="164"/>
    </row>
    <row r="66" spans="1:43" ht="24.75" customHeight="1" x14ac:dyDescent="0.25">
      <c r="A66" s="202"/>
      <c r="C66" s="154"/>
      <c r="F66" s="200"/>
      <c r="H66" s="200"/>
      <c r="I66" s="200"/>
      <c r="J66" s="305"/>
      <c r="K66" s="305"/>
      <c r="L66" s="200"/>
      <c r="M66" s="200"/>
      <c r="N66" s="210"/>
      <c r="O66" s="210"/>
      <c r="P66" s="200"/>
      <c r="Q66" s="200"/>
      <c r="R66" s="200"/>
      <c r="T66" s="80"/>
      <c r="U66" s="80"/>
      <c r="V66" s="80"/>
      <c r="W66" s="80"/>
      <c r="X66" s="80"/>
      <c r="Y66" s="70"/>
      <c r="Z66" s="70"/>
      <c r="AA66" s="70"/>
      <c r="AB66" s="70"/>
      <c r="AC66" s="70"/>
      <c r="AD66" s="70"/>
      <c r="AE66" s="70"/>
      <c r="AF66" s="85"/>
      <c r="AG66" s="164"/>
      <c r="AH66" s="85"/>
      <c r="AI66" s="70"/>
      <c r="AJ66" s="70"/>
      <c r="AK66" s="164"/>
      <c r="AL66" s="70"/>
      <c r="AM66" s="70"/>
      <c r="AN66" s="85"/>
      <c r="AO66" s="70"/>
      <c r="AP66" s="70"/>
      <c r="AQ66" s="164"/>
    </row>
    <row r="67" spans="1:43" x14ac:dyDescent="0.25">
      <c r="F67" s="211"/>
      <c r="H67" s="200"/>
      <c r="I67" s="200"/>
      <c r="J67" s="305"/>
      <c r="K67" s="305"/>
      <c r="L67" s="211"/>
      <c r="M67" s="211"/>
      <c r="N67" s="211"/>
      <c r="O67" s="211"/>
      <c r="P67" s="211"/>
      <c r="Q67" s="211"/>
      <c r="R67" s="211"/>
      <c r="T67" s="159">
        <v>3</v>
      </c>
      <c r="U67" s="80"/>
      <c r="V67" s="253" t="s">
        <v>155</v>
      </c>
      <c r="W67" s="80"/>
      <c r="X67" s="80"/>
      <c r="Y67" s="70"/>
      <c r="Z67" s="70"/>
      <c r="AA67" s="70"/>
      <c r="AB67" s="70"/>
      <c r="AC67" s="70"/>
      <c r="AD67" s="70"/>
      <c r="AE67" s="70"/>
      <c r="AF67" s="85"/>
      <c r="AG67" s="164"/>
      <c r="AH67" s="85"/>
      <c r="AI67" s="70"/>
      <c r="AJ67" s="70"/>
      <c r="AK67" s="164"/>
      <c r="AL67" s="70"/>
      <c r="AM67" s="70"/>
      <c r="AN67" s="85"/>
      <c r="AO67" s="70"/>
      <c r="AP67" s="70"/>
      <c r="AQ67" s="164"/>
    </row>
    <row r="68" spans="1:43" x14ac:dyDescent="0.25">
      <c r="A68" s="202"/>
      <c r="C68" s="154"/>
      <c r="F68" s="200"/>
      <c r="H68" s="200"/>
      <c r="I68" s="200"/>
      <c r="J68" s="305"/>
      <c r="K68" s="305"/>
      <c r="L68" s="200"/>
      <c r="M68" s="200"/>
      <c r="N68" s="210"/>
      <c r="O68" s="210"/>
      <c r="P68" s="200"/>
      <c r="Q68" s="200"/>
      <c r="R68" s="200"/>
      <c r="T68" s="159">
        <v>4</v>
      </c>
      <c r="U68" s="80"/>
      <c r="V68" s="82" t="s">
        <v>417</v>
      </c>
      <c r="W68" s="80"/>
      <c r="X68" s="80"/>
      <c r="Y68" s="163">
        <f>F24</f>
        <v>0</v>
      </c>
      <c r="Z68" s="70"/>
      <c r="AA68" s="78"/>
      <c r="AB68" s="78"/>
      <c r="AC68" s="283">
        <f>INPUT!C135</f>
        <v>198</v>
      </c>
      <c r="AD68" s="284"/>
      <c r="AE68" s="79">
        <f>ROUND(Y68*AC68,0)</f>
        <v>0</v>
      </c>
      <c r="AF68" s="163"/>
      <c r="AG68" s="155" t="e">
        <f>ROUND((AE68/AE$83)*100,1)</f>
        <v>#DIV/0!</v>
      </c>
      <c r="AH68" s="198"/>
      <c r="AI68" s="79">
        <f>L24-AE68</f>
        <v>0</v>
      </c>
      <c r="AJ68" s="79"/>
      <c r="AK68" s="166" t="e">
        <f>ROUND((AI68/AE68)*100,1)</f>
        <v>#DIV/0!</v>
      </c>
      <c r="AL68" s="158"/>
      <c r="AM68" s="79"/>
      <c r="AN68" s="271"/>
      <c r="AO68" s="79">
        <f>AE68+AM68</f>
        <v>0</v>
      </c>
      <c r="AP68" s="79"/>
      <c r="AQ68" s="157" t="str">
        <f>IF(AO68=0,"0.0 ",ROUND((AI68/AO68)*100,1))</f>
        <v xml:space="preserve">0.0 </v>
      </c>
    </row>
    <row r="69" spans="1:43" ht="20.100000000000001" customHeight="1" x14ac:dyDescent="0.25">
      <c r="A69" s="202"/>
      <c r="C69" s="154"/>
      <c r="F69" s="252"/>
      <c r="H69" s="252"/>
      <c r="I69" s="252"/>
      <c r="J69" s="300"/>
      <c r="K69" s="300"/>
      <c r="L69" s="200"/>
      <c r="M69" s="200"/>
      <c r="N69" s="210"/>
      <c r="O69" s="210"/>
      <c r="P69" s="200"/>
      <c r="Q69" s="200"/>
      <c r="R69" s="200"/>
      <c r="T69" s="159">
        <v>5</v>
      </c>
      <c r="U69" s="80"/>
      <c r="V69" s="253" t="s">
        <v>158</v>
      </c>
      <c r="W69" s="80"/>
      <c r="X69" s="80"/>
      <c r="Y69" s="163"/>
      <c r="Z69" s="70"/>
      <c r="AA69" s="79"/>
      <c r="AB69" s="79"/>
      <c r="AC69" s="263"/>
      <c r="AD69" s="263"/>
      <c r="AE69" s="169">
        <f>SUM(AE68:AE68)</f>
        <v>0</v>
      </c>
      <c r="AF69" s="163"/>
      <c r="AG69" s="170" t="e">
        <f>ROUND((AE69/AE$83)*100,1)</f>
        <v>#DIV/0!</v>
      </c>
      <c r="AH69" s="198"/>
      <c r="AI69" s="169">
        <f>SUM(AI68:AI68)</f>
        <v>0</v>
      </c>
      <c r="AJ69" s="163"/>
      <c r="AK69" s="170" t="e">
        <f>ROUND((AI69/AE69)*100,1)</f>
        <v>#DIV/0!</v>
      </c>
      <c r="AL69" s="158"/>
      <c r="AM69" s="169"/>
      <c r="AN69" s="163"/>
      <c r="AO69" s="169">
        <f>SUM(AO68:AO68)</f>
        <v>0</v>
      </c>
      <c r="AP69" s="163"/>
      <c r="AQ69" s="157" t="str">
        <f>IF(AO69=0,"0.0 ",ROUND((AI69/AO69)*100,1))</f>
        <v xml:space="preserve">0.0 </v>
      </c>
    </row>
    <row r="70" spans="1:43" ht="24.75" customHeight="1" x14ac:dyDescent="0.25">
      <c r="A70" s="202"/>
      <c r="C70" s="154"/>
      <c r="F70" s="252"/>
      <c r="H70" s="252"/>
      <c r="I70" s="252"/>
      <c r="J70" s="320"/>
      <c r="K70" s="320"/>
      <c r="L70" s="200"/>
      <c r="M70" s="200"/>
      <c r="N70" s="210"/>
      <c r="O70" s="210"/>
      <c r="P70" s="252"/>
      <c r="Q70" s="252"/>
      <c r="R70" s="200"/>
      <c r="T70" s="159"/>
      <c r="U70" s="80"/>
      <c r="V70" s="82"/>
      <c r="W70" s="80"/>
      <c r="X70" s="80"/>
      <c r="Y70" s="79"/>
      <c r="Z70" s="70"/>
      <c r="AA70" s="163"/>
      <c r="AB70" s="163"/>
      <c r="AC70" s="268"/>
      <c r="AD70" s="268"/>
      <c r="AE70" s="163"/>
      <c r="AF70" s="163"/>
      <c r="AG70" s="197"/>
      <c r="AH70" s="198"/>
      <c r="AI70" s="163"/>
      <c r="AJ70" s="163"/>
      <c r="AK70" s="155"/>
      <c r="AL70" s="158"/>
      <c r="AM70" s="163"/>
      <c r="AN70" s="163"/>
      <c r="AO70" s="163"/>
      <c r="AP70" s="163"/>
      <c r="AQ70" s="155"/>
    </row>
    <row r="71" spans="1:43" x14ac:dyDescent="0.25">
      <c r="A71" s="202"/>
      <c r="C71" s="154"/>
      <c r="H71" s="252"/>
      <c r="I71" s="252"/>
      <c r="J71" s="320"/>
      <c r="K71" s="320"/>
      <c r="L71" s="200"/>
      <c r="M71" s="200"/>
      <c r="N71" s="210"/>
      <c r="O71" s="210"/>
      <c r="P71" s="252"/>
      <c r="Q71" s="252"/>
      <c r="R71" s="200"/>
      <c r="T71" s="159">
        <v>6</v>
      </c>
      <c r="U71" s="80"/>
      <c r="V71" s="253" t="s">
        <v>69</v>
      </c>
      <c r="W71" s="80"/>
      <c r="X71" s="80"/>
      <c r="Y71" s="79"/>
      <c r="Z71" s="70"/>
      <c r="AA71" s="79"/>
      <c r="AB71" s="79"/>
      <c r="AC71" s="263"/>
      <c r="AD71" s="263"/>
      <c r="AE71" s="79"/>
      <c r="AF71" s="163"/>
      <c r="AG71" s="155"/>
      <c r="AH71" s="198"/>
      <c r="AI71" s="79"/>
      <c r="AJ71" s="79"/>
      <c r="AK71" s="155"/>
      <c r="AL71" s="158"/>
      <c r="AM71" s="79"/>
      <c r="AN71" s="163"/>
      <c r="AO71" s="79"/>
      <c r="AP71" s="79"/>
      <c r="AQ71" s="155"/>
    </row>
    <row r="72" spans="1:43" x14ac:dyDescent="0.25">
      <c r="F72" s="211"/>
      <c r="H72" s="211"/>
      <c r="I72" s="211"/>
      <c r="J72" s="305"/>
      <c r="K72" s="305"/>
      <c r="L72" s="211"/>
      <c r="M72" s="211"/>
      <c r="N72" s="211"/>
      <c r="O72" s="211"/>
      <c r="P72" s="211"/>
      <c r="Q72" s="211"/>
      <c r="R72" s="211"/>
      <c r="T72" s="159">
        <v>7</v>
      </c>
      <c r="U72" s="80"/>
      <c r="V72" s="82" t="s">
        <v>494</v>
      </c>
      <c r="W72" s="80"/>
      <c r="X72" s="80"/>
      <c r="Y72" s="78"/>
      <c r="Z72" s="70"/>
      <c r="AA72" s="79">
        <f>H28</f>
        <v>0</v>
      </c>
      <c r="AB72" s="79"/>
      <c r="AC72" s="295">
        <f>INPUT!C139</f>
        <v>6.0530000000000002E-3</v>
      </c>
      <c r="AD72" s="293"/>
      <c r="AE72" s="79">
        <f>ROUND((AA72*AC72),0)</f>
        <v>0</v>
      </c>
      <c r="AF72" s="163"/>
      <c r="AG72" s="155" t="e">
        <f>ROUND((AE72/AE$83)*100,1)</f>
        <v>#DIV/0!</v>
      </c>
      <c r="AH72" s="198"/>
      <c r="AI72" s="79">
        <f>L28-AE72</f>
        <v>0</v>
      </c>
      <c r="AJ72" s="79"/>
      <c r="AK72" s="155" t="e">
        <f>ROUND((AI72/AE72)*100,1)</f>
        <v>#DIV/0!</v>
      </c>
      <c r="AL72" s="158"/>
      <c r="AM72" s="78"/>
      <c r="AN72" s="230"/>
      <c r="AO72" s="79">
        <f>AE72+AM72</f>
        <v>0</v>
      </c>
      <c r="AP72" s="79"/>
      <c r="AQ72" s="157" t="str">
        <f>IF(AO72=0,"0.0 ",ROUND((AI72/AO72)*100,1))</f>
        <v xml:space="preserve">0.0 </v>
      </c>
    </row>
    <row r="73" spans="1:43" x14ac:dyDescent="0.25">
      <c r="A73" s="202"/>
      <c r="C73" s="154"/>
      <c r="F73" s="200"/>
      <c r="H73" s="200"/>
      <c r="I73" s="200"/>
      <c r="J73" s="213"/>
      <c r="K73" s="213"/>
      <c r="L73" s="200"/>
      <c r="M73" s="200"/>
      <c r="N73" s="210"/>
      <c r="O73" s="210"/>
      <c r="P73" s="200"/>
      <c r="Q73" s="200"/>
      <c r="R73" s="200"/>
      <c r="T73" s="159">
        <v>8</v>
      </c>
      <c r="U73" s="80"/>
      <c r="V73" s="82" t="s">
        <v>419</v>
      </c>
      <c r="W73" s="80"/>
      <c r="X73" s="80"/>
      <c r="Y73" s="78"/>
      <c r="Z73" s="70"/>
      <c r="AA73" s="79">
        <f>H29</f>
        <v>0</v>
      </c>
      <c r="AB73" s="79"/>
      <c r="AC73" s="295">
        <f>INPUT!C143</f>
        <v>7.6000000000000004E-4</v>
      </c>
      <c r="AD73" s="293"/>
      <c r="AE73" s="79">
        <f>ROUND((AA73*AC73),0)</f>
        <v>0</v>
      </c>
      <c r="AF73" s="163"/>
      <c r="AG73" s="155" t="e">
        <f>ROUND((AE73/AE$83)*100,1)</f>
        <v>#DIV/0!</v>
      </c>
      <c r="AH73" s="198"/>
      <c r="AI73" s="79">
        <f>L29-AE73</f>
        <v>0</v>
      </c>
      <c r="AJ73" s="79"/>
      <c r="AK73" s="155" t="e">
        <f>ROUND((AI73/AE73)*100,1)</f>
        <v>#DIV/0!</v>
      </c>
      <c r="AL73" s="158"/>
      <c r="AM73" s="78"/>
      <c r="AN73" s="230"/>
      <c r="AO73" s="79">
        <f>AE73+AM73</f>
        <v>0</v>
      </c>
      <c r="AP73" s="79"/>
      <c r="AQ73" s="157" t="str">
        <f>IF(AO73=0,"0.0 ",ROUND((AI73/AO73)*100,1))</f>
        <v xml:space="preserve">0.0 </v>
      </c>
    </row>
    <row r="74" spans="1:43" x14ac:dyDescent="0.25">
      <c r="A74" s="202"/>
      <c r="C74" s="154"/>
      <c r="F74" s="200"/>
      <c r="H74" s="200"/>
      <c r="I74" s="200"/>
      <c r="J74" s="213"/>
      <c r="K74" s="213"/>
      <c r="L74" s="200"/>
      <c r="M74" s="200"/>
      <c r="N74" s="210"/>
      <c r="O74" s="210"/>
      <c r="P74" s="200"/>
      <c r="Q74" s="200"/>
      <c r="R74" s="200"/>
      <c r="T74" s="159">
        <v>9</v>
      </c>
      <c r="U74" s="80"/>
      <c r="V74" s="82" t="s">
        <v>480</v>
      </c>
      <c r="W74" s="80"/>
      <c r="X74" s="80"/>
      <c r="Y74" s="78"/>
      <c r="Z74" s="70"/>
      <c r="AA74" s="79">
        <f>H30</f>
        <v>0</v>
      </c>
      <c r="AB74" s="79"/>
      <c r="AC74" s="295">
        <f>INPUT!C147</f>
        <v>5.1858583333333333E-2</v>
      </c>
      <c r="AD74" s="293"/>
      <c r="AE74" s="79">
        <f>ROUND((AA74*AC74),0)</f>
        <v>0</v>
      </c>
      <c r="AF74" s="163"/>
      <c r="AG74" s="155" t="e">
        <f>ROUND((AE74/AE$83)*100,1)</f>
        <v>#DIV/0!</v>
      </c>
      <c r="AH74" s="198"/>
      <c r="AI74" s="79">
        <f>L30-AE74</f>
        <v>0</v>
      </c>
      <c r="AJ74" s="79"/>
      <c r="AK74" s="155" t="e">
        <f>ROUND((AI74/AE74)*100,1)</f>
        <v>#DIV/0!</v>
      </c>
      <c r="AL74" s="158"/>
      <c r="AM74" s="200">
        <f>ROUND(-AA74*(CUR_FAC+CUR_BASE_FUEL),0)</f>
        <v>0</v>
      </c>
      <c r="AN74" s="230"/>
      <c r="AO74" s="79">
        <f>AE74+AM74</f>
        <v>0</v>
      </c>
      <c r="AP74" s="79"/>
      <c r="AQ74" s="157" t="str">
        <f>IF(AO74=0,"0.0 ",ROUND((AI74/AO74)*100,1))</f>
        <v xml:space="preserve">0.0 </v>
      </c>
    </row>
    <row r="75" spans="1:43" ht="20.100000000000001" customHeight="1" x14ac:dyDescent="0.25">
      <c r="F75" s="200"/>
      <c r="H75" s="200"/>
      <c r="I75" s="200"/>
      <c r="J75" s="213"/>
      <c r="K75" s="213"/>
      <c r="L75" s="200"/>
      <c r="M75" s="200"/>
      <c r="N75" s="200"/>
      <c r="O75" s="200"/>
      <c r="P75" s="200"/>
      <c r="Q75" s="200"/>
      <c r="R75" s="200"/>
      <c r="T75" s="159">
        <v>10</v>
      </c>
      <c r="U75" s="80"/>
      <c r="V75" s="253" t="s">
        <v>164</v>
      </c>
      <c r="W75" s="80"/>
      <c r="X75" s="80"/>
      <c r="Y75" s="167"/>
      <c r="Z75" s="70"/>
      <c r="AA75" s="169">
        <f>H31</f>
        <v>0</v>
      </c>
      <c r="AB75" s="163"/>
      <c r="AC75" s="307"/>
      <c r="AD75" s="263"/>
      <c r="AE75" s="169">
        <f>SUM(AE72:AE74)</f>
        <v>0</v>
      </c>
      <c r="AF75" s="163"/>
      <c r="AG75" s="170" t="e">
        <f>ROUND((AE75/AE$83)*100,1)</f>
        <v>#DIV/0!</v>
      </c>
      <c r="AH75" s="198"/>
      <c r="AI75" s="169">
        <f>SUM(AI72:AI74)</f>
        <v>0</v>
      </c>
      <c r="AJ75" s="163"/>
      <c r="AK75" s="170" t="e">
        <f>ROUND((AI75/AE75)*100,1)</f>
        <v>#DIV/0!</v>
      </c>
      <c r="AL75" s="158"/>
      <c r="AM75" s="169">
        <f>AM74</f>
        <v>0</v>
      </c>
      <c r="AN75" s="163"/>
      <c r="AO75" s="169">
        <f>SUM(AO72:AO74)</f>
        <v>0</v>
      </c>
      <c r="AP75" s="163"/>
      <c r="AQ75" s="157" t="str">
        <f>IF(AO75=0,"0.0 ",ROUND((AI75/AO75)*100,1))</f>
        <v xml:space="preserve">0.0 </v>
      </c>
    </row>
    <row r="76" spans="1:43" ht="20.100000000000001" customHeight="1" x14ac:dyDescent="0.25">
      <c r="F76" s="200"/>
      <c r="H76" s="200"/>
      <c r="I76" s="200"/>
      <c r="J76" s="213"/>
      <c r="K76" s="213"/>
      <c r="L76" s="200"/>
      <c r="M76" s="200"/>
      <c r="N76" s="200"/>
      <c r="O76" s="200"/>
      <c r="P76" s="200"/>
      <c r="Q76" s="200"/>
      <c r="R76" s="200"/>
      <c r="T76" s="159">
        <v>11</v>
      </c>
      <c r="U76" s="80"/>
      <c r="V76" s="265" t="s">
        <v>582</v>
      </c>
      <c r="W76" s="80"/>
      <c r="X76" s="80"/>
      <c r="Y76" s="169">
        <f>Y68</f>
        <v>0</v>
      </c>
      <c r="Z76" s="70"/>
      <c r="AA76" s="169">
        <f>AA75</f>
        <v>0</v>
      </c>
      <c r="AB76" s="163"/>
      <c r="AC76" s="307"/>
      <c r="AD76" s="263"/>
      <c r="AE76" s="169">
        <f>AE75+AE69</f>
        <v>0</v>
      </c>
      <c r="AF76" s="163"/>
      <c r="AG76" s="170" t="e">
        <f>ROUND((AE76/AE$83)*100,1)</f>
        <v>#DIV/0!</v>
      </c>
      <c r="AH76" s="198"/>
      <c r="AI76" s="169">
        <f>AI75+AI69</f>
        <v>0</v>
      </c>
      <c r="AJ76" s="163"/>
      <c r="AK76" s="170" t="e">
        <f>ROUND((AI76/AE76)*100,1)</f>
        <v>#DIV/0!</v>
      </c>
      <c r="AL76" s="158"/>
      <c r="AM76" s="169">
        <f>AM75+AM69</f>
        <v>0</v>
      </c>
      <c r="AN76" s="163"/>
      <c r="AO76" s="169">
        <f>AO75+AO69</f>
        <v>0</v>
      </c>
      <c r="AP76" s="163"/>
      <c r="AQ76" s="157" t="str">
        <f>IF(AO76=0,"0.0 ",ROUND((AI76/AO76)*100,1))</f>
        <v xml:space="preserve">0.0 </v>
      </c>
    </row>
    <row r="77" spans="1:43" ht="15.75" customHeight="1" x14ac:dyDescent="0.25">
      <c r="F77" s="200"/>
      <c r="H77" s="200"/>
      <c r="I77" s="200"/>
      <c r="J77" s="213"/>
      <c r="K77" s="213"/>
      <c r="L77" s="200"/>
      <c r="M77" s="200"/>
      <c r="N77" s="200"/>
      <c r="O77" s="200"/>
      <c r="P77" s="200"/>
      <c r="Q77" s="200"/>
      <c r="R77" s="200"/>
      <c r="T77" s="159"/>
      <c r="U77" s="80"/>
      <c r="V77" s="82"/>
      <c r="W77" s="80"/>
      <c r="X77" s="80"/>
      <c r="Y77" s="163"/>
      <c r="Z77" s="70"/>
      <c r="AA77" s="163"/>
      <c r="AB77" s="163"/>
      <c r="AC77" s="307"/>
      <c r="AD77" s="263"/>
      <c r="AE77" s="163"/>
      <c r="AF77" s="163"/>
      <c r="AG77" s="197"/>
      <c r="AH77" s="198"/>
      <c r="AI77" s="163"/>
      <c r="AJ77" s="163"/>
      <c r="AK77" s="197"/>
      <c r="AL77" s="158"/>
      <c r="AM77" s="163"/>
      <c r="AN77" s="163"/>
      <c r="AO77" s="163"/>
      <c r="AP77" s="163"/>
      <c r="AQ77" s="157"/>
    </row>
    <row r="78" spans="1:43" ht="15.75" customHeight="1" x14ac:dyDescent="0.25">
      <c r="F78" s="200"/>
      <c r="H78" s="200"/>
      <c r="I78" s="200"/>
      <c r="J78" s="213"/>
      <c r="K78" s="213"/>
      <c r="L78" s="200"/>
      <c r="M78" s="200"/>
      <c r="N78" s="200"/>
      <c r="O78" s="200"/>
      <c r="P78" s="200"/>
      <c r="Q78" s="200"/>
      <c r="R78" s="200"/>
      <c r="T78" s="159">
        <v>12</v>
      </c>
      <c r="U78" s="80"/>
      <c r="V78" s="253" t="s">
        <v>553</v>
      </c>
      <c r="W78" s="80"/>
      <c r="X78" s="80"/>
      <c r="Y78" s="163"/>
      <c r="Z78" s="70"/>
      <c r="AA78" s="163"/>
      <c r="AB78" s="163"/>
      <c r="AC78" s="307"/>
      <c r="AD78" s="263"/>
      <c r="AE78" s="163"/>
      <c r="AF78" s="163"/>
      <c r="AG78" s="197"/>
      <c r="AH78" s="198"/>
      <c r="AI78" s="163"/>
      <c r="AJ78" s="163"/>
      <c r="AK78" s="197"/>
      <c r="AL78" s="158"/>
      <c r="AM78" s="163"/>
      <c r="AN78" s="163"/>
      <c r="AO78" s="163"/>
      <c r="AP78" s="163"/>
      <c r="AQ78" s="157"/>
    </row>
    <row r="79" spans="1:43" ht="15.75" customHeight="1" x14ac:dyDescent="0.25">
      <c r="F79" s="200"/>
      <c r="H79" s="200"/>
      <c r="I79" s="200"/>
      <c r="J79" s="213"/>
      <c r="K79" s="213"/>
      <c r="L79" s="200"/>
      <c r="M79" s="200"/>
      <c r="N79" s="200"/>
      <c r="O79" s="200"/>
      <c r="P79" s="200"/>
      <c r="Q79" s="200"/>
      <c r="R79" s="200"/>
      <c r="T79" s="159">
        <v>13</v>
      </c>
      <c r="U79" s="80"/>
      <c r="V79" s="153" t="s">
        <v>556</v>
      </c>
      <c r="W79" s="80"/>
      <c r="X79" s="80"/>
      <c r="Y79" s="163"/>
      <c r="Z79" s="70"/>
      <c r="AA79" s="163"/>
      <c r="AB79" s="163"/>
      <c r="AC79" s="295">
        <f>DSM_DIST</f>
        <v>2.5760000000000002E-3</v>
      </c>
      <c r="AD79" s="268"/>
      <c r="AE79" s="163">
        <f>ROUND(AA76*DSM_DIST,0)</f>
        <v>0</v>
      </c>
      <c r="AF79" s="163"/>
      <c r="AG79" s="155" t="e">
        <f>ROUND((AE79/AE$83)*100,1)</f>
        <v>#DIV/0!</v>
      </c>
      <c r="AH79" s="198"/>
      <c r="AI79" s="79">
        <f>L35-AE79</f>
        <v>0</v>
      </c>
      <c r="AJ79" s="163"/>
      <c r="AK79" s="155" t="e">
        <f t="shared" ref="AK79:AK81" si="1">ROUND((AI79/AE79)*100,1)</f>
        <v>#DIV/0!</v>
      </c>
      <c r="AL79" s="158"/>
      <c r="AM79" s="163"/>
      <c r="AN79" s="163"/>
      <c r="AO79" s="79">
        <f t="shared" ref="AO79:AO80" si="2">AE79+AM79</f>
        <v>0</v>
      </c>
      <c r="AP79" s="163"/>
      <c r="AQ79" s="157" t="str">
        <f t="shared" ref="AQ79:AQ81" si="3">IF(AO79=0,"0.0 ",ROUND((AI79/AO79)*100,1))</f>
        <v xml:space="preserve">0.0 </v>
      </c>
    </row>
    <row r="80" spans="1:43" ht="15.75" customHeight="1" x14ac:dyDescent="0.25">
      <c r="F80" s="200"/>
      <c r="H80" s="200"/>
      <c r="I80" s="200"/>
      <c r="J80" s="213"/>
      <c r="K80" s="213"/>
      <c r="L80" s="200"/>
      <c r="M80" s="200"/>
      <c r="N80" s="200"/>
      <c r="O80" s="200"/>
      <c r="P80" s="200"/>
      <c r="Q80" s="200"/>
      <c r="R80" s="200"/>
      <c r="T80" s="159">
        <v>14</v>
      </c>
      <c r="U80" s="80"/>
      <c r="V80" s="153" t="s">
        <v>555</v>
      </c>
      <c r="W80" s="80"/>
      <c r="X80" s="80"/>
      <c r="Y80" s="163"/>
      <c r="Z80" s="70"/>
      <c r="AA80" s="163"/>
      <c r="AB80" s="163"/>
      <c r="AC80" s="295">
        <f>RS_PSM</f>
        <v>-4.5600000000000003E-4</v>
      </c>
      <c r="AD80" s="268"/>
      <c r="AE80" s="167">
        <f>ROUND(AA76*RS_PSM,0)</f>
        <v>0</v>
      </c>
      <c r="AF80" s="163"/>
      <c r="AG80" s="166" t="e">
        <f>ROUND((AE80/AE$83)*100,1)</f>
        <v>#DIV/0!</v>
      </c>
      <c r="AH80" s="198"/>
      <c r="AI80" s="79">
        <f>L36-AE80</f>
        <v>0</v>
      </c>
      <c r="AJ80" s="163"/>
      <c r="AK80" s="166" t="e">
        <f t="shared" si="1"/>
        <v>#DIV/0!</v>
      </c>
      <c r="AL80" s="158"/>
      <c r="AM80" s="163"/>
      <c r="AN80" s="163"/>
      <c r="AO80" s="167">
        <f t="shared" si="2"/>
        <v>0</v>
      </c>
      <c r="AP80" s="163"/>
      <c r="AQ80" s="157" t="str">
        <f t="shared" si="3"/>
        <v xml:space="preserve">0.0 </v>
      </c>
    </row>
    <row r="81" spans="1:43" ht="20.100000000000001" customHeight="1" x14ac:dyDescent="0.25">
      <c r="F81" s="200"/>
      <c r="H81" s="200"/>
      <c r="I81" s="200"/>
      <c r="J81" s="213"/>
      <c r="K81" s="213"/>
      <c r="L81" s="200"/>
      <c r="M81" s="200"/>
      <c r="N81" s="200"/>
      <c r="O81" s="200"/>
      <c r="P81" s="200"/>
      <c r="Q81" s="200"/>
      <c r="R81" s="200"/>
      <c r="T81" s="159">
        <v>15</v>
      </c>
      <c r="U81" s="80"/>
      <c r="V81" s="253" t="s">
        <v>557</v>
      </c>
      <c r="W81" s="80"/>
      <c r="X81" s="80"/>
      <c r="Y81" s="167"/>
      <c r="Z81" s="70"/>
      <c r="AA81" s="167"/>
      <c r="AB81" s="163"/>
      <c r="AC81" s="263"/>
      <c r="AD81" s="263"/>
      <c r="AE81" s="169">
        <f>SUM(AE79:AE80)</f>
        <v>0</v>
      </c>
      <c r="AF81" s="163"/>
      <c r="AG81" s="170" t="e">
        <f>ROUND((AE81/AE$83)*100,1)</f>
        <v>#DIV/0!</v>
      </c>
      <c r="AH81" s="198"/>
      <c r="AI81" s="169">
        <f>SUM(AI79:AI80)</f>
        <v>0</v>
      </c>
      <c r="AJ81" s="163"/>
      <c r="AK81" s="170" t="e">
        <f t="shared" si="1"/>
        <v>#DIV/0!</v>
      </c>
      <c r="AL81" s="158"/>
      <c r="AM81" s="169">
        <f>SUM(AM79:AM80)</f>
        <v>0</v>
      </c>
      <c r="AN81" s="163"/>
      <c r="AO81" s="169">
        <f>SUM(AO79:AO80)</f>
        <v>0</v>
      </c>
      <c r="AP81" s="163"/>
      <c r="AQ81" s="157" t="str">
        <f t="shared" si="3"/>
        <v xml:space="preserve">0.0 </v>
      </c>
    </row>
    <row r="82" spans="1:43" ht="15.75" customHeight="1" x14ac:dyDescent="0.25">
      <c r="F82" s="200"/>
      <c r="H82" s="200"/>
      <c r="I82" s="200"/>
      <c r="J82" s="213"/>
      <c r="K82" s="213"/>
      <c r="L82" s="200"/>
      <c r="M82" s="200"/>
      <c r="N82" s="200"/>
      <c r="O82" s="200"/>
      <c r="P82" s="200"/>
      <c r="Q82" s="200"/>
      <c r="R82" s="200"/>
      <c r="T82" s="159"/>
      <c r="U82" s="80"/>
      <c r="V82" s="253"/>
      <c r="W82" s="80"/>
      <c r="X82" s="80"/>
      <c r="Y82" s="163"/>
      <c r="Z82" s="70"/>
      <c r="AA82" s="163"/>
      <c r="AB82" s="163"/>
      <c r="AC82" s="263"/>
      <c r="AD82" s="263"/>
      <c r="AE82" s="163"/>
      <c r="AF82" s="163"/>
      <c r="AG82" s="197"/>
      <c r="AH82" s="198"/>
      <c r="AI82" s="163"/>
      <c r="AJ82" s="163"/>
      <c r="AK82" s="197"/>
      <c r="AL82" s="158"/>
      <c r="AM82" s="163"/>
      <c r="AN82" s="163"/>
      <c r="AO82" s="163"/>
      <c r="AP82" s="163"/>
      <c r="AQ82" s="157"/>
    </row>
    <row r="83" spans="1:43" ht="20.100000000000001" customHeight="1" thickBot="1" x14ac:dyDescent="0.3">
      <c r="T83" s="159">
        <v>16</v>
      </c>
      <c r="U83" s="80"/>
      <c r="V83" s="265" t="s">
        <v>581</v>
      </c>
      <c r="W83" s="80"/>
      <c r="X83" s="80"/>
      <c r="Y83" s="275">
        <f>Y76</f>
        <v>0</v>
      </c>
      <c r="Z83" s="70"/>
      <c r="AA83" s="275">
        <f>AA76</f>
        <v>0</v>
      </c>
      <c r="AB83" s="163"/>
      <c r="AC83" s="263"/>
      <c r="AD83" s="263"/>
      <c r="AE83" s="275">
        <f>AE81+AE76</f>
        <v>0</v>
      </c>
      <c r="AF83" s="163"/>
      <c r="AG83" s="291">
        <v>100</v>
      </c>
      <c r="AH83" s="198"/>
      <c r="AI83" s="275">
        <f>AI81+AI76</f>
        <v>0</v>
      </c>
      <c r="AJ83" s="163"/>
      <c r="AK83" s="291" t="e">
        <f>ROUND((AI83/AE83)*100,1)</f>
        <v>#DIV/0!</v>
      </c>
      <c r="AL83" s="158"/>
      <c r="AM83" s="275">
        <f>AM81+AM76</f>
        <v>0</v>
      </c>
      <c r="AN83" s="163"/>
      <c r="AO83" s="275">
        <f>AO81+AO76</f>
        <v>0</v>
      </c>
      <c r="AP83" s="79"/>
      <c r="AQ83" s="157" t="str">
        <f>IF(AO83=0,"0.0 ",ROUND((AI83/AO83)*100,1))</f>
        <v xml:space="preserve">0.0 </v>
      </c>
    </row>
    <row r="84" spans="1:43" ht="16.5" thickTop="1" x14ac:dyDescent="0.25">
      <c r="T84" s="80"/>
      <c r="U84" s="80"/>
      <c r="V84" s="80"/>
      <c r="W84" s="80"/>
      <c r="X84" s="80"/>
      <c r="Y84" s="79"/>
      <c r="Z84" s="70"/>
      <c r="AA84" s="79"/>
      <c r="AB84" s="79"/>
      <c r="AC84" s="263"/>
      <c r="AD84" s="263"/>
      <c r="AE84" s="79"/>
      <c r="AF84" s="163"/>
      <c r="AG84" s="155"/>
      <c r="AH84" s="163"/>
      <c r="AI84" s="70"/>
      <c r="AJ84" s="70"/>
      <c r="AK84" s="164"/>
      <c r="AL84" s="70"/>
      <c r="AM84" s="70"/>
      <c r="AN84" s="85"/>
      <c r="AO84" s="70"/>
      <c r="AP84" s="70"/>
      <c r="AQ84" s="164"/>
    </row>
    <row r="85" spans="1:43" x14ac:dyDescent="0.25">
      <c r="L85" s="200"/>
      <c r="M85" s="200"/>
      <c r="N85" s="200"/>
      <c r="O85" s="200"/>
      <c r="P85" s="200"/>
      <c r="Q85" s="200"/>
      <c r="R85" s="200"/>
      <c r="T85" s="80"/>
      <c r="U85" s="80"/>
      <c r="V85" s="173" t="s">
        <v>61</v>
      </c>
      <c r="W85" s="80"/>
      <c r="X85" s="80"/>
      <c r="Y85" s="189"/>
      <c r="Z85" s="80"/>
      <c r="AA85" s="189"/>
      <c r="AB85" s="189"/>
      <c r="AC85" s="310"/>
      <c r="AD85" s="310"/>
      <c r="AE85" s="189"/>
      <c r="AF85" s="200"/>
      <c r="AG85" s="296"/>
      <c r="AH85" s="200"/>
      <c r="AI85" s="80"/>
      <c r="AJ85" s="80"/>
      <c r="AK85" s="188"/>
      <c r="AL85" s="80"/>
      <c r="AM85" s="80"/>
      <c r="AO85" s="80"/>
      <c r="AP85" s="80"/>
      <c r="AQ85" s="188"/>
    </row>
    <row r="86" spans="1:43" x14ac:dyDescent="0.25">
      <c r="T86" s="82"/>
      <c r="U86" s="80"/>
      <c r="V86" s="82"/>
      <c r="W86" s="80"/>
      <c r="X86" s="80"/>
      <c r="Y86" s="189"/>
      <c r="Z86" s="80"/>
      <c r="AA86" s="189"/>
      <c r="AB86" s="189"/>
      <c r="AC86" s="310"/>
      <c r="AD86" s="310"/>
      <c r="AE86" s="189"/>
      <c r="AF86" s="200"/>
      <c r="AG86" s="296"/>
      <c r="AH86" s="200"/>
      <c r="AI86" s="80"/>
      <c r="AJ86" s="80"/>
      <c r="AK86" s="188"/>
      <c r="AL86" s="80"/>
      <c r="AM86" s="80"/>
      <c r="AO86" s="80"/>
      <c r="AP86" s="80"/>
      <c r="AQ86" s="188"/>
    </row>
    <row r="87" spans="1:43" x14ac:dyDescent="0.25">
      <c r="J87" s="202"/>
      <c r="K87" s="202"/>
      <c r="Z87" s="202"/>
    </row>
    <row r="88" spans="1:43" x14ac:dyDescent="0.25">
      <c r="H88" s="154"/>
      <c r="I88" s="154"/>
      <c r="Y88" s="154"/>
    </row>
    <row r="89" spans="1:43" x14ac:dyDescent="0.25">
      <c r="J89" s="202"/>
      <c r="K89" s="202"/>
      <c r="Z89" s="202"/>
    </row>
    <row r="90" spans="1:43" x14ac:dyDescent="0.25">
      <c r="L90" s="154"/>
      <c r="M90" s="154"/>
      <c r="AA90" s="154"/>
      <c r="AB90" s="154"/>
    </row>
    <row r="91" spans="1:43" x14ac:dyDescent="0.25">
      <c r="A91" s="202"/>
      <c r="R91" s="154"/>
      <c r="AK91" s="297"/>
      <c r="AL91" s="154"/>
    </row>
    <row r="92" spans="1:43" x14ac:dyDescent="0.25">
      <c r="A92" s="202"/>
      <c r="R92" s="154"/>
      <c r="AK92" s="297"/>
      <c r="AL92" s="154"/>
    </row>
    <row r="93" spans="1:43" x14ac:dyDescent="0.25">
      <c r="A93" s="154"/>
      <c r="R93" s="154"/>
      <c r="AK93" s="297"/>
      <c r="AL93" s="154"/>
    </row>
    <row r="94" spans="1:43" x14ac:dyDescent="0.25">
      <c r="L94" s="154"/>
      <c r="M94" s="154"/>
      <c r="R94" s="202"/>
      <c r="AA94" s="154"/>
      <c r="AB94" s="154"/>
      <c r="AK94" s="209"/>
      <c r="AL94" s="202"/>
    </row>
    <row r="95" spans="1:43" x14ac:dyDescent="0.2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208"/>
      <c r="AH95" s="102"/>
      <c r="AI95" s="102"/>
      <c r="AJ95" s="102"/>
      <c r="AK95" s="208"/>
      <c r="AL95" s="102"/>
      <c r="AM95" s="102"/>
      <c r="AN95" s="102"/>
    </row>
    <row r="96" spans="1:43" x14ac:dyDescent="0.25">
      <c r="L96" s="103"/>
      <c r="M96" s="103"/>
      <c r="N96" s="103"/>
      <c r="O96" s="103"/>
      <c r="R96" s="103"/>
      <c r="AA96" s="103"/>
      <c r="AB96" s="103"/>
      <c r="AC96" s="103"/>
      <c r="AD96" s="103"/>
      <c r="AE96" s="103"/>
      <c r="AF96" s="103"/>
      <c r="AG96" s="185"/>
      <c r="AH96" s="103"/>
      <c r="AK96" s="185"/>
      <c r="AL96" s="103"/>
      <c r="AM96" s="103"/>
      <c r="AN96" s="103"/>
    </row>
    <row r="97" spans="1:40" x14ac:dyDescent="0.25">
      <c r="L97" s="103"/>
      <c r="M97" s="103"/>
      <c r="N97" s="103"/>
      <c r="O97" s="103"/>
      <c r="R97" s="103"/>
      <c r="Z97" s="103"/>
      <c r="AA97" s="103"/>
      <c r="AB97" s="103"/>
      <c r="AC97" s="103"/>
      <c r="AD97" s="103"/>
      <c r="AE97" s="103"/>
      <c r="AF97" s="103"/>
      <c r="AG97" s="185"/>
      <c r="AH97" s="103"/>
      <c r="AK97" s="185"/>
      <c r="AL97" s="103"/>
      <c r="AM97" s="103"/>
      <c r="AN97" s="103"/>
    </row>
    <row r="98" spans="1:40" x14ac:dyDescent="0.25">
      <c r="A98" s="103"/>
      <c r="C98" s="103"/>
      <c r="D98" s="103"/>
      <c r="E98" s="103"/>
      <c r="F98" s="103"/>
      <c r="J98" s="103"/>
      <c r="K98" s="103"/>
      <c r="L98" s="103"/>
      <c r="M98" s="103"/>
      <c r="N98" s="103"/>
      <c r="O98" s="103"/>
      <c r="P98" s="103"/>
      <c r="Q98" s="103"/>
      <c r="R98" s="103"/>
      <c r="T98" s="103"/>
      <c r="U98" s="103"/>
      <c r="V98" s="103"/>
      <c r="Z98" s="103"/>
      <c r="AA98" s="103"/>
      <c r="AB98" s="103"/>
      <c r="AC98" s="103"/>
      <c r="AD98" s="103"/>
      <c r="AE98" s="103"/>
      <c r="AF98" s="103"/>
      <c r="AG98" s="185"/>
      <c r="AH98" s="103"/>
      <c r="AI98" s="103"/>
      <c r="AJ98" s="103"/>
      <c r="AK98" s="185"/>
      <c r="AL98" s="103"/>
      <c r="AM98" s="103"/>
      <c r="AN98" s="103"/>
    </row>
    <row r="99" spans="1:40" x14ac:dyDescent="0.25">
      <c r="A99" s="103"/>
      <c r="C99" s="103"/>
      <c r="D99" s="103"/>
      <c r="E99" s="103"/>
      <c r="F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T99" s="103"/>
      <c r="U99" s="103"/>
      <c r="V99" s="103"/>
      <c r="Y99" s="103"/>
      <c r="Z99" s="103"/>
      <c r="AA99" s="103"/>
      <c r="AB99" s="103"/>
      <c r="AC99" s="103"/>
      <c r="AD99" s="103"/>
      <c r="AE99" s="103"/>
      <c r="AF99" s="103"/>
      <c r="AG99" s="185"/>
      <c r="AH99" s="103"/>
      <c r="AI99" s="103"/>
      <c r="AJ99" s="103"/>
      <c r="AK99" s="185"/>
      <c r="AL99" s="103"/>
      <c r="AM99" s="103"/>
      <c r="AN99" s="103"/>
    </row>
    <row r="100" spans="1:40" x14ac:dyDescent="0.25">
      <c r="C100" s="103"/>
      <c r="D100" s="103"/>
      <c r="E100" s="103"/>
      <c r="F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T100" s="103"/>
      <c r="U100" s="103"/>
      <c r="V100" s="103"/>
      <c r="Y100" s="103"/>
      <c r="Z100" s="103"/>
      <c r="AA100" s="103"/>
      <c r="AB100" s="103"/>
      <c r="AC100" s="103"/>
      <c r="AD100" s="103"/>
      <c r="AE100" s="103"/>
      <c r="AF100" s="103"/>
      <c r="AG100" s="185"/>
      <c r="AH100" s="103"/>
      <c r="AI100" s="103"/>
      <c r="AJ100" s="103"/>
      <c r="AK100" s="185"/>
      <c r="AL100" s="103"/>
      <c r="AM100" s="103"/>
      <c r="AN100" s="103"/>
    </row>
    <row r="101" spans="1:40" x14ac:dyDescent="0.2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208"/>
      <c r="AH101" s="102"/>
      <c r="AI101" s="102"/>
      <c r="AJ101" s="102"/>
      <c r="AK101" s="208"/>
      <c r="AL101" s="102"/>
      <c r="AM101" s="102"/>
      <c r="AN101" s="102"/>
    </row>
    <row r="102" spans="1:40" x14ac:dyDescent="0.25"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Y102" s="103"/>
      <c r="Z102" s="103"/>
      <c r="AA102" s="103"/>
      <c r="AB102" s="103"/>
      <c r="AC102" s="103"/>
      <c r="AD102" s="103"/>
      <c r="AE102" s="103"/>
      <c r="AF102" s="103"/>
      <c r="AG102" s="185"/>
      <c r="AH102" s="103"/>
      <c r="AI102" s="103"/>
      <c r="AJ102" s="103"/>
      <c r="AK102" s="185"/>
      <c r="AL102" s="103"/>
      <c r="AM102" s="103"/>
      <c r="AN102" s="103"/>
    </row>
    <row r="103" spans="1:40" x14ac:dyDescent="0.25">
      <c r="A103" s="202"/>
      <c r="C103" s="154"/>
      <c r="D103" s="154"/>
      <c r="E103" s="154"/>
      <c r="T103" s="154"/>
      <c r="U103" s="154"/>
    </row>
    <row r="104" spans="1:40" x14ac:dyDescent="0.25">
      <c r="A104" s="202"/>
      <c r="C104" s="154"/>
      <c r="T104" s="154"/>
    </row>
    <row r="106" spans="1:40" x14ac:dyDescent="0.25">
      <c r="A106" s="202"/>
      <c r="C106" s="154"/>
      <c r="T106" s="154"/>
    </row>
    <row r="107" spans="1:40" x14ac:dyDescent="0.25">
      <c r="A107" s="202"/>
      <c r="C107" s="154"/>
      <c r="F107" s="252"/>
      <c r="H107" s="252"/>
      <c r="I107" s="252"/>
      <c r="J107" s="300"/>
      <c r="K107" s="300"/>
      <c r="L107" s="200"/>
      <c r="M107" s="200"/>
      <c r="N107" s="210"/>
      <c r="O107" s="210"/>
      <c r="P107" s="202"/>
      <c r="Q107" s="202"/>
      <c r="R107" s="200"/>
      <c r="T107" s="154"/>
      <c r="V107" s="200"/>
      <c r="Y107" s="252"/>
      <c r="Z107" s="300"/>
      <c r="AA107" s="200"/>
      <c r="AB107" s="200"/>
      <c r="AC107" s="210"/>
      <c r="AD107" s="210"/>
      <c r="AE107" s="200"/>
      <c r="AF107" s="200"/>
      <c r="AG107" s="325"/>
      <c r="AH107" s="326"/>
      <c r="AI107" s="202"/>
      <c r="AJ107" s="202"/>
      <c r="AK107" s="209"/>
      <c r="AL107" s="200"/>
      <c r="AM107" s="327"/>
      <c r="AN107" s="327"/>
    </row>
    <row r="108" spans="1:40" x14ac:dyDescent="0.25">
      <c r="A108" s="202"/>
      <c r="C108" s="154"/>
      <c r="F108" s="252"/>
      <c r="H108" s="252"/>
      <c r="I108" s="252"/>
      <c r="J108" s="300"/>
      <c r="K108" s="300"/>
      <c r="L108" s="200"/>
      <c r="M108" s="200"/>
      <c r="N108" s="210"/>
      <c r="O108" s="210"/>
      <c r="P108" s="202"/>
      <c r="Q108" s="202"/>
      <c r="R108" s="200"/>
      <c r="T108" s="154"/>
      <c r="V108" s="200"/>
      <c r="Y108" s="252"/>
      <c r="Z108" s="300"/>
      <c r="AA108" s="200"/>
      <c r="AB108" s="200"/>
      <c r="AC108" s="210"/>
      <c r="AD108" s="210"/>
      <c r="AE108" s="200"/>
      <c r="AF108" s="200"/>
      <c r="AG108" s="209"/>
      <c r="AH108" s="201"/>
      <c r="AI108" s="202"/>
      <c r="AJ108" s="202"/>
      <c r="AK108" s="209"/>
      <c r="AL108" s="200"/>
      <c r="AM108" s="210"/>
      <c r="AN108" s="210"/>
    </row>
    <row r="109" spans="1:40" x14ac:dyDescent="0.25">
      <c r="A109" s="202"/>
      <c r="C109" s="154"/>
      <c r="F109" s="252"/>
      <c r="H109" s="252"/>
      <c r="I109" s="252"/>
      <c r="J109" s="300"/>
      <c r="K109" s="300"/>
      <c r="L109" s="200"/>
      <c r="M109" s="200"/>
      <c r="N109" s="210"/>
      <c r="O109" s="210"/>
      <c r="P109" s="202"/>
      <c r="Q109" s="202"/>
      <c r="R109" s="200"/>
      <c r="T109" s="154"/>
      <c r="V109" s="200"/>
      <c r="Y109" s="252"/>
      <c r="Z109" s="300"/>
      <c r="AA109" s="200"/>
      <c r="AB109" s="200"/>
      <c r="AC109" s="210"/>
      <c r="AD109" s="210"/>
      <c r="AE109" s="200"/>
      <c r="AF109" s="200"/>
      <c r="AG109" s="209"/>
      <c r="AH109" s="201"/>
      <c r="AI109" s="202"/>
      <c r="AJ109" s="202"/>
      <c r="AK109" s="209"/>
      <c r="AL109" s="200"/>
      <c r="AM109" s="210"/>
      <c r="AN109" s="210"/>
    </row>
    <row r="110" spans="1:40" x14ac:dyDescent="0.25">
      <c r="F110" s="211"/>
      <c r="H110" s="200"/>
      <c r="I110" s="200"/>
      <c r="J110" s="305"/>
      <c r="K110" s="305"/>
      <c r="L110" s="211"/>
      <c r="M110" s="211"/>
      <c r="N110" s="211"/>
      <c r="O110" s="211"/>
      <c r="P110" s="211"/>
      <c r="Q110" s="211"/>
      <c r="R110" s="211"/>
      <c r="V110" s="211"/>
      <c r="Y110" s="200"/>
      <c r="Z110" s="305"/>
      <c r="AA110" s="211"/>
      <c r="AB110" s="211"/>
      <c r="AC110" s="211"/>
      <c r="AD110" s="211"/>
      <c r="AE110" s="211"/>
      <c r="AF110" s="211"/>
      <c r="AI110" s="211"/>
      <c r="AJ110" s="211"/>
      <c r="AK110" s="212"/>
      <c r="AL110" s="211"/>
      <c r="AM110" s="210"/>
      <c r="AN110" s="210"/>
    </row>
    <row r="111" spans="1:40" x14ac:dyDescent="0.25">
      <c r="A111" s="202"/>
      <c r="C111" s="154"/>
      <c r="F111" s="200"/>
      <c r="H111" s="200"/>
      <c r="I111" s="200"/>
      <c r="J111" s="305"/>
      <c r="K111" s="305"/>
      <c r="L111" s="200"/>
      <c r="M111" s="200"/>
      <c r="N111" s="210"/>
      <c r="O111" s="210"/>
      <c r="P111" s="200"/>
      <c r="Q111" s="200"/>
      <c r="R111" s="200"/>
      <c r="T111" s="154"/>
      <c r="V111" s="200"/>
      <c r="Y111" s="200"/>
      <c r="Z111" s="213"/>
      <c r="AA111" s="200"/>
      <c r="AB111" s="200"/>
      <c r="AC111" s="210"/>
      <c r="AD111" s="210"/>
      <c r="AE111" s="200"/>
      <c r="AF111" s="200"/>
      <c r="AG111" s="209"/>
      <c r="AH111" s="201"/>
      <c r="AI111" s="200"/>
      <c r="AJ111" s="200"/>
      <c r="AK111" s="209"/>
      <c r="AL111" s="200"/>
      <c r="AM111" s="210"/>
      <c r="AN111" s="210"/>
    </row>
    <row r="112" spans="1:40" x14ac:dyDescent="0.25">
      <c r="F112" s="211"/>
      <c r="H112" s="200"/>
      <c r="I112" s="200"/>
      <c r="J112" s="305"/>
      <c r="K112" s="305"/>
      <c r="L112" s="211"/>
      <c r="M112" s="211"/>
      <c r="N112" s="211"/>
      <c r="O112" s="211"/>
      <c r="P112" s="211"/>
      <c r="Q112" s="211"/>
      <c r="R112" s="211"/>
      <c r="V112" s="211"/>
      <c r="Y112" s="200"/>
      <c r="Z112" s="305"/>
      <c r="AA112" s="211"/>
      <c r="AB112" s="211"/>
      <c r="AC112" s="211"/>
      <c r="AD112" s="211"/>
      <c r="AE112" s="211"/>
      <c r="AF112" s="211"/>
      <c r="AI112" s="211"/>
      <c r="AJ112" s="211"/>
      <c r="AK112" s="212"/>
      <c r="AL112" s="211"/>
      <c r="AM112" s="210"/>
      <c r="AN112" s="210"/>
    </row>
    <row r="113" spans="1:40" x14ac:dyDescent="0.25">
      <c r="A113" s="202"/>
      <c r="C113" s="154"/>
      <c r="F113" s="252"/>
      <c r="H113" s="252"/>
      <c r="I113" s="252"/>
      <c r="J113" s="328"/>
      <c r="K113" s="328"/>
      <c r="L113" s="200"/>
      <c r="M113" s="200"/>
      <c r="N113" s="210"/>
      <c r="O113" s="210"/>
      <c r="P113" s="200"/>
      <c r="Q113" s="200"/>
      <c r="R113" s="200"/>
      <c r="S113" s="200"/>
      <c r="T113" s="154"/>
      <c r="V113" s="252"/>
      <c r="Y113" s="252"/>
      <c r="Z113" s="328"/>
      <c r="AA113" s="200"/>
      <c r="AB113" s="200"/>
      <c r="AC113" s="210"/>
      <c r="AD113" s="210"/>
      <c r="AE113" s="200"/>
      <c r="AF113" s="200"/>
      <c r="AG113" s="209"/>
      <c r="AH113" s="210"/>
      <c r="AI113" s="200"/>
      <c r="AJ113" s="200"/>
      <c r="AK113" s="209"/>
      <c r="AL113" s="200"/>
      <c r="AM113" s="210"/>
      <c r="AN113" s="210"/>
    </row>
    <row r="114" spans="1:40" x14ac:dyDescent="0.25">
      <c r="A114" s="202"/>
      <c r="C114" s="154"/>
      <c r="F114" s="252"/>
      <c r="H114" s="252"/>
      <c r="I114" s="252"/>
      <c r="J114" s="300"/>
      <c r="K114" s="300"/>
      <c r="L114" s="200"/>
      <c r="M114" s="200"/>
      <c r="N114" s="210"/>
      <c r="O114" s="210"/>
      <c r="P114" s="200"/>
      <c r="Q114" s="200"/>
      <c r="R114" s="200"/>
      <c r="T114" s="154"/>
      <c r="V114" s="252"/>
      <c r="Y114" s="200"/>
      <c r="Z114" s="300"/>
      <c r="AA114" s="200"/>
      <c r="AB114" s="200"/>
      <c r="AC114" s="210"/>
      <c r="AD114" s="210"/>
      <c r="AE114" s="200"/>
      <c r="AF114" s="200"/>
      <c r="AG114" s="209"/>
      <c r="AH114" s="201"/>
      <c r="AI114" s="200"/>
      <c r="AJ114" s="200"/>
      <c r="AK114" s="209"/>
      <c r="AL114" s="200"/>
      <c r="AM114" s="210"/>
      <c r="AN114" s="210"/>
    </row>
    <row r="115" spans="1:40" x14ac:dyDescent="0.25">
      <c r="A115" s="202"/>
      <c r="C115" s="154"/>
      <c r="F115" s="252"/>
      <c r="H115" s="252"/>
      <c r="I115" s="252"/>
      <c r="J115" s="300"/>
      <c r="K115" s="300"/>
      <c r="L115" s="200"/>
      <c r="M115" s="200"/>
      <c r="N115" s="210"/>
      <c r="O115" s="210"/>
      <c r="P115" s="200"/>
      <c r="Q115" s="200"/>
      <c r="R115" s="200"/>
      <c r="T115" s="154"/>
      <c r="V115" s="252"/>
      <c r="Y115" s="200"/>
      <c r="Z115" s="300"/>
      <c r="AA115" s="200"/>
      <c r="AB115" s="200"/>
      <c r="AC115" s="210"/>
      <c r="AD115" s="210"/>
      <c r="AE115" s="200"/>
      <c r="AF115" s="200"/>
      <c r="AG115" s="209"/>
      <c r="AH115" s="201"/>
      <c r="AI115" s="200"/>
      <c r="AJ115" s="200"/>
      <c r="AK115" s="209"/>
      <c r="AL115" s="200"/>
      <c r="AM115" s="210"/>
      <c r="AN115" s="210"/>
    </row>
    <row r="116" spans="1:40" x14ac:dyDescent="0.25">
      <c r="F116" s="200"/>
      <c r="H116" s="211"/>
      <c r="I116" s="211"/>
      <c r="J116" s="305"/>
      <c r="K116" s="305"/>
      <c r="L116" s="211"/>
      <c r="M116" s="211"/>
      <c r="N116" s="211"/>
      <c r="O116" s="211"/>
      <c r="P116" s="211"/>
      <c r="Q116" s="211"/>
      <c r="R116" s="211"/>
      <c r="V116" s="200"/>
      <c r="Y116" s="211"/>
      <c r="Z116" s="305"/>
      <c r="AA116" s="211"/>
      <c r="AB116" s="211"/>
      <c r="AC116" s="211"/>
      <c r="AD116" s="211"/>
      <c r="AE116" s="211"/>
      <c r="AF116" s="211"/>
      <c r="AI116" s="211"/>
      <c r="AJ116" s="211"/>
      <c r="AK116" s="212"/>
      <c r="AL116" s="211"/>
      <c r="AM116" s="210"/>
      <c r="AN116" s="210"/>
    </row>
    <row r="117" spans="1:40" x14ac:dyDescent="0.25">
      <c r="A117" s="202"/>
      <c r="C117" s="154"/>
      <c r="F117" s="200"/>
      <c r="H117" s="200"/>
      <c r="I117" s="200"/>
      <c r="J117" s="305"/>
      <c r="K117" s="305"/>
      <c r="L117" s="200"/>
      <c r="M117" s="200"/>
      <c r="N117" s="210"/>
      <c r="O117" s="210"/>
      <c r="P117" s="200"/>
      <c r="Q117" s="200"/>
      <c r="R117" s="200"/>
      <c r="T117" s="154"/>
      <c r="V117" s="200"/>
      <c r="Y117" s="200"/>
      <c r="Z117" s="305"/>
      <c r="AA117" s="200"/>
      <c r="AB117" s="200"/>
      <c r="AC117" s="210"/>
      <c r="AD117" s="210"/>
      <c r="AE117" s="200"/>
      <c r="AF117" s="200"/>
      <c r="AG117" s="209"/>
      <c r="AH117" s="201"/>
      <c r="AI117" s="200"/>
      <c r="AJ117" s="200"/>
      <c r="AK117" s="209"/>
      <c r="AL117" s="200"/>
      <c r="AM117" s="210"/>
      <c r="AN117" s="210"/>
    </row>
    <row r="118" spans="1:40" x14ac:dyDescent="0.25">
      <c r="F118" s="200"/>
      <c r="H118" s="211"/>
      <c r="I118" s="211"/>
      <c r="J118" s="305"/>
      <c r="K118" s="305"/>
      <c r="L118" s="211"/>
      <c r="M118" s="211"/>
      <c r="N118" s="211"/>
      <c r="O118" s="211"/>
      <c r="P118" s="211"/>
      <c r="Q118" s="211"/>
      <c r="R118" s="211"/>
      <c r="V118" s="200"/>
      <c r="Y118" s="211"/>
      <c r="Z118" s="305"/>
      <c r="AA118" s="211"/>
      <c r="AB118" s="211"/>
      <c r="AC118" s="211"/>
      <c r="AD118" s="211"/>
      <c r="AE118" s="211"/>
      <c r="AF118" s="211"/>
      <c r="AI118" s="211"/>
      <c r="AJ118" s="211"/>
      <c r="AK118" s="212"/>
      <c r="AL118" s="211"/>
      <c r="AM118" s="210"/>
      <c r="AN118" s="210"/>
    </row>
    <row r="119" spans="1:40" x14ac:dyDescent="0.25">
      <c r="A119" s="202"/>
      <c r="C119" s="154"/>
      <c r="F119" s="200"/>
      <c r="H119" s="200"/>
      <c r="I119" s="200"/>
      <c r="J119" s="305"/>
      <c r="K119" s="305"/>
      <c r="L119" s="200"/>
      <c r="M119" s="200"/>
      <c r="N119" s="200"/>
      <c r="O119" s="200"/>
      <c r="P119" s="200"/>
      <c r="Q119" s="200"/>
      <c r="R119" s="200"/>
      <c r="T119" s="154"/>
      <c r="V119" s="200"/>
      <c r="Y119" s="200"/>
      <c r="Z119" s="305"/>
      <c r="AA119" s="200"/>
      <c r="AB119" s="200"/>
      <c r="AC119" s="200"/>
      <c r="AD119" s="200"/>
      <c r="AE119" s="200"/>
      <c r="AF119" s="200"/>
      <c r="AG119" s="209"/>
      <c r="AH119" s="201"/>
      <c r="AI119" s="200"/>
      <c r="AJ119" s="200"/>
      <c r="AK119" s="209"/>
      <c r="AL119" s="200"/>
      <c r="AM119" s="210"/>
      <c r="AN119" s="210"/>
    </row>
    <row r="120" spans="1:40" x14ac:dyDescent="0.25">
      <c r="A120" s="202"/>
      <c r="C120" s="154"/>
      <c r="F120" s="200"/>
      <c r="H120" s="252"/>
      <c r="I120" s="252"/>
      <c r="J120" s="329"/>
      <c r="K120" s="329"/>
      <c r="L120" s="200"/>
      <c r="M120" s="200"/>
      <c r="N120" s="210"/>
      <c r="O120" s="210"/>
      <c r="P120" s="200"/>
      <c r="Q120" s="200"/>
      <c r="R120" s="200"/>
      <c r="T120" s="154"/>
      <c r="V120" s="200"/>
      <c r="Y120" s="200"/>
      <c r="Z120" s="329"/>
      <c r="AA120" s="200"/>
      <c r="AB120" s="200"/>
      <c r="AC120" s="210"/>
      <c r="AD120" s="210"/>
      <c r="AE120" s="200"/>
      <c r="AF120" s="200"/>
      <c r="AG120" s="209"/>
      <c r="AH120" s="201"/>
      <c r="AI120" s="200"/>
      <c r="AJ120" s="200"/>
      <c r="AK120" s="209"/>
      <c r="AL120" s="200"/>
      <c r="AM120" s="210"/>
      <c r="AN120" s="210"/>
    </row>
    <row r="121" spans="1:40" x14ac:dyDescent="0.25">
      <c r="A121" s="202"/>
      <c r="C121" s="154"/>
      <c r="H121" s="252"/>
      <c r="I121" s="252"/>
      <c r="J121" s="329"/>
      <c r="K121" s="329"/>
      <c r="L121" s="200"/>
      <c r="M121" s="200"/>
      <c r="N121" s="210"/>
      <c r="O121" s="210"/>
      <c r="P121" s="200"/>
      <c r="Q121" s="200"/>
      <c r="R121" s="200"/>
      <c r="T121" s="154"/>
      <c r="Y121" s="200"/>
      <c r="Z121" s="329"/>
      <c r="AA121" s="200"/>
      <c r="AB121" s="200"/>
      <c r="AC121" s="210"/>
      <c r="AD121" s="210"/>
      <c r="AE121" s="200"/>
      <c r="AF121" s="200"/>
      <c r="AG121" s="209"/>
      <c r="AH121" s="201"/>
      <c r="AI121" s="200"/>
      <c r="AJ121" s="200"/>
      <c r="AK121" s="209"/>
      <c r="AL121" s="200"/>
      <c r="AM121" s="210"/>
      <c r="AN121" s="210"/>
    </row>
    <row r="122" spans="1:40" x14ac:dyDescent="0.25">
      <c r="F122" s="200"/>
      <c r="H122" s="200"/>
      <c r="I122" s="200"/>
      <c r="J122" s="305"/>
      <c r="K122" s="305"/>
      <c r="L122" s="211"/>
      <c r="M122" s="211"/>
      <c r="N122" s="211"/>
      <c r="O122" s="211"/>
      <c r="P122" s="211"/>
      <c r="Q122" s="211"/>
      <c r="R122" s="211"/>
      <c r="V122" s="200"/>
      <c r="Y122" s="200"/>
      <c r="Z122" s="305"/>
      <c r="AA122" s="211"/>
      <c r="AB122" s="211"/>
      <c r="AC122" s="211"/>
      <c r="AD122" s="211"/>
      <c r="AE122" s="211"/>
      <c r="AF122" s="211"/>
      <c r="AI122" s="211"/>
      <c r="AJ122" s="211"/>
      <c r="AK122" s="212"/>
      <c r="AL122" s="211"/>
      <c r="AM122" s="210"/>
      <c r="AN122" s="210"/>
    </row>
    <row r="123" spans="1:40" x14ac:dyDescent="0.25">
      <c r="A123" s="202"/>
      <c r="C123" s="154"/>
      <c r="F123" s="200"/>
      <c r="H123" s="200"/>
      <c r="I123" s="200"/>
      <c r="J123" s="213"/>
      <c r="K123" s="213"/>
      <c r="L123" s="200"/>
      <c r="M123" s="200"/>
      <c r="N123" s="210"/>
      <c r="O123" s="210"/>
      <c r="P123" s="200"/>
      <c r="Q123" s="200"/>
      <c r="R123" s="200"/>
      <c r="T123" s="154"/>
      <c r="V123" s="200"/>
      <c r="Y123" s="200"/>
      <c r="Z123" s="213"/>
      <c r="AA123" s="200"/>
      <c r="AB123" s="200"/>
      <c r="AC123" s="210"/>
      <c r="AD123" s="210"/>
      <c r="AE123" s="200"/>
      <c r="AF123" s="200"/>
      <c r="AG123" s="209"/>
      <c r="AH123" s="201"/>
      <c r="AI123" s="200"/>
      <c r="AJ123" s="200"/>
      <c r="AK123" s="209"/>
      <c r="AL123" s="200"/>
      <c r="AM123" s="210"/>
      <c r="AN123" s="210"/>
    </row>
    <row r="124" spans="1:40" x14ac:dyDescent="0.25">
      <c r="F124" s="200"/>
      <c r="H124" s="200"/>
      <c r="I124" s="200"/>
      <c r="J124" s="305"/>
      <c r="K124" s="305"/>
      <c r="L124" s="211"/>
      <c r="M124" s="211"/>
      <c r="N124" s="211"/>
      <c r="O124" s="211"/>
      <c r="P124" s="211"/>
      <c r="Q124" s="211"/>
      <c r="R124" s="211"/>
      <c r="V124" s="200"/>
      <c r="Y124" s="200"/>
      <c r="Z124" s="305"/>
      <c r="AA124" s="211"/>
      <c r="AB124" s="211"/>
      <c r="AC124" s="211"/>
      <c r="AD124" s="211"/>
      <c r="AE124" s="211"/>
      <c r="AF124" s="211"/>
      <c r="AI124" s="211"/>
      <c r="AJ124" s="211"/>
      <c r="AK124" s="212"/>
      <c r="AL124" s="211"/>
      <c r="AM124" s="210"/>
      <c r="AN124" s="210"/>
    </row>
    <row r="125" spans="1:40" x14ac:dyDescent="0.25">
      <c r="A125" s="202"/>
      <c r="C125" s="154"/>
      <c r="F125" s="200"/>
      <c r="H125" s="200"/>
      <c r="I125" s="200"/>
      <c r="J125" s="213"/>
      <c r="K125" s="213"/>
      <c r="L125" s="200"/>
      <c r="M125" s="200"/>
      <c r="N125" s="210"/>
      <c r="O125" s="210"/>
      <c r="P125" s="200"/>
      <c r="Q125" s="200"/>
      <c r="R125" s="200"/>
      <c r="T125" s="154"/>
      <c r="V125" s="200"/>
      <c r="Y125" s="200"/>
      <c r="Z125" s="213"/>
      <c r="AA125" s="200"/>
      <c r="AB125" s="200"/>
      <c r="AC125" s="210"/>
      <c r="AD125" s="210"/>
      <c r="AE125" s="200"/>
      <c r="AF125" s="200"/>
      <c r="AG125" s="209"/>
      <c r="AH125" s="201"/>
      <c r="AI125" s="200"/>
      <c r="AJ125" s="200"/>
      <c r="AK125" s="209"/>
      <c r="AL125" s="200"/>
      <c r="AM125" s="210"/>
      <c r="AN125" s="210"/>
    </row>
    <row r="126" spans="1:40" x14ac:dyDescent="0.25">
      <c r="A126" s="202"/>
      <c r="C126" s="154"/>
      <c r="F126" s="200"/>
      <c r="H126" s="252"/>
      <c r="I126" s="252"/>
      <c r="J126" s="320"/>
      <c r="K126" s="320"/>
      <c r="L126" s="200"/>
      <c r="M126" s="200"/>
      <c r="N126" s="210"/>
      <c r="O126" s="210"/>
      <c r="P126" s="200"/>
      <c r="Q126" s="200"/>
      <c r="R126" s="200"/>
      <c r="T126" s="154"/>
      <c r="V126" s="252"/>
      <c r="Y126" s="200"/>
      <c r="Z126" s="320"/>
      <c r="AA126" s="200"/>
      <c r="AB126" s="200"/>
      <c r="AC126" s="210"/>
      <c r="AD126" s="210"/>
      <c r="AE126" s="200"/>
      <c r="AF126" s="200"/>
      <c r="AG126" s="209"/>
      <c r="AH126" s="201"/>
      <c r="AI126" s="200"/>
      <c r="AJ126" s="200"/>
      <c r="AK126" s="209"/>
      <c r="AL126" s="200"/>
      <c r="AM126" s="210"/>
      <c r="AN126" s="210"/>
    </row>
    <row r="127" spans="1:40" x14ac:dyDescent="0.25">
      <c r="F127" s="211"/>
      <c r="H127" s="211"/>
      <c r="I127" s="211"/>
      <c r="J127" s="305"/>
      <c r="K127" s="305"/>
      <c r="L127" s="211"/>
      <c r="M127" s="211"/>
      <c r="N127" s="211"/>
      <c r="O127" s="211"/>
      <c r="P127" s="211"/>
      <c r="Q127" s="211"/>
      <c r="R127" s="211"/>
      <c r="V127" s="211"/>
      <c r="Y127" s="211"/>
      <c r="Z127" s="305"/>
      <c r="AA127" s="211"/>
      <c r="AB127" s="211"/>
      <c r="AC127" s="211"/>
      <c r="AD127" s="211"/>
      <c r="AE127" s="211"/>
      <c r="AF127" s="211"/>
      <c r="AI127" s="211"/>
      <c r="AJ127" s="211"/>
      <c r="AK127" s="212"/>
      <c r="AL127" s="211"/>
      <c r="AM127" s="210"/>
      <c r="AN127" s="210"/>
    </row>
    <row r="128" spans="1:40" x14ac:dyDescent="0.25">
      <c r="A128" s="202"/>
      <c r="C128" s="154"/>
      <c r="F128" s="200"/>
      <c r="H128" s="200"/>
      <c r="I128" s="200"/>
      <c r="J128" s="305"/>
      <c r="K128" s="305"/>
      <c r="L128" s="200"/>
      <c r="M128" s="200"/>
      <c r="N128" s="210"/>
      <c r="O128" s="210"/>
      <c r="P128" s="200"/>
      <c r="Q128" s="200"/>
      <c r="R128" s="200"/>
      <c r="S128" s="200"/>
      <c r="T128" s="154"/>
      <c r="V128" s="200"/>
      <c r="Y128" s="200"/>
      <c r="Z128" s="305"/>
      <c r="AA128" s="200"/>
      <c r="AB128" s="200"/>
      <c r="AC128" s="210"/>
      <c r="AD128" s="210"/>
      <c r="AE128" s="200"/>
      <c r="AF128" s="200"/>
      <c r="AG128" s="209"/>
      <c r="AH128" s="210"/>
      <c r="AI128" s="200"/>
      <c r="AJ128" s="200"/>
      <c r="AK128" s="209"/>
      <c r="AL128" s="200"/>
      <c r="AM128" s="210"/>
      <c r="AN128" s="210"/>
    </row>
    <row r="129" spans="1:40" x14ac:dyDescent="0.25">
      <c r="F129" s="211"/>
      <c r="H129" s="211"/>
      <c r="I129" s="211"/>
      <c r="J129" s="305"/>
      <c r="K129" s="305"/>
      <c r="L129" s="211"/>
      <c r="M129" s="211"/>
      <c r="N129" s="211"/>
      <c r="O129" s="211"/>
      <c r="P129" s="211"/>
      <c r="Q129" s="211"/>
      <c r="R129" s="211"/>
      <c r="S129" s="200"/>
      <c r="V129" s="211"/>
      <c r="Y129" s="211"/>
      <c r="Z129" s="305"/>
      <c r="AA129" s="211"/>
      <c r="AB129" s="211"/>
      <c r="AC129" s="211"/>
      <c r="AD129" s="211"/>
      <c r="AE129" s="211"/>
      <c r="AF129" s="211"/>
      <c r="AI129" s="211"/>
      <c r="AJ129" s="211"/>
      <c r="AK129" s="212"/>
      <c r="AL129" s="211"/>
      <c r="AM129" s="210"/>
      <c r="AN129" s="210"/>
    </row>
    <row r="130" spans="1:40" x14ac:dyDescent="0.25">
      <c r="A130" s="202"/>
      <c r="C130" s="154"/>
      <c r="F130" s="252"/>
      <c r="H130" s="330"/>
      <c r="I130" s="330"/>
      <c r="J130" s="305"/>
      <c r="K130" s="305"/>
      <c r="L130" s="200"/>
      <c r="M130" s="200"/>
      <c r="N130" s="210"/>
      <c r="O130" s="210"/>
      <c r="P130" s="200"/>
      <c r="Q130" s="200"/>
      <c r="R130" s="200"/>
      <c r="S130" s="200"/>
      <c r="T130" s="154"/>
      <c r="V130" s="252"/>
      <c r="Y130" s="252"/>
      <c r="Z130" s="305"/>
      <c r="AA130" s="200"/>
      <c r="AB130" s="200"/>
      <c r="AC130" s="210"/>
      <c r="AD130" s="210"/>
      <c r="AE130" s="200"/>
      <c r="AF130" s="200"/>
      <c r="AI130" s="200"/>
      <c r="AJ130" s="200"/>
      <c r="AK130" s="209"/>
      <c r="AL130" s="200"/>
      <c r="AM130" s="210"/>
      <c r="AN130" s="210"/>
    </row>
    <row r="132" spans="1:40" x14ac:dyDescent="0.25">
      <c r="A132" s="202"/>
      <c r="C132" s="154"/>
      <c r="T132" s="154"/>
    </row>
    <row r="133" spans="1:40" x14ac:dyDescent="0.25">
      <c r="A133" s="202"/>
      <c r="C133" s="154"/>
      <c r="F133" s="252"/>
      <c r="H133" s="252"/>
      <c r="I133" s="252"/>
      <c r="J133" s="300"/>
      <c r="K133" s="300"/>
      <c r="L133" s="200"/>
      <c r="M133" s="200"/>
      <c r="N133" s="210"/>
      <c r="O133" s="210"/>
      <c r="P133" s="202"/>
      <c r="Q133" s="202"/>
      <c r="R133" s="200"/>
      <c r="T133" s="154"/>
      <c r="V133" s="200"/>
      <c r="Y133" s="252"/>
      <c r="Z133" s="300"/>
      <c r="AA133" s="200"/>
      <c r="AB133" s="200"/>
      <c r="AC133" s="210"/>
      <c r="AD133" s="210"/>
      <c r="AE133" s="200"/>
      <c r="AF133" s="200"/>
      <c r="AG133" s="325"/>
      <c r="AH133" s="326"/>
      <c r="AI133" s="202"/>
      <c r="AJ133" s="202"/>
      <c r="AK133" s="209"/>
      <c r="AL133" s="200"/>
      <c r="AM133" s="327"/>
      <c r="AN133" s="327"/>
    </row>
    <row r="134" spans="1:40" x14ac:dyDescent="0.25">
      <c r="A134" s="202"/>
      <c r="C134" s="154"/>
      <c r="F134" s="252"/>
      <c r="H134" s="252"/>
      <c r="I134" s="252"/>
      <c r="J134" s="300"/>
      <c r="K134" s="300"/>
      <c r="L134" s="200"/>
      <c r="M134" s="200"/>
      <c r="N134" s="210"/>
      <c r="O134" s="210"/>
      <c r="P134" s="202"/>
      <c r="Q134" s="202"/>
      <c r="R134" s="200"/>
      <c r="T134" s="154"/>
      <c r="V134" s="200"/>
      <c r="Y134" s="252"/>
      <c r="Z134" s="300"/>
      <c r="AA134" s="200"/>
      <c r="AB134" s="200"/>
      <c r="AC134" s="210"/>
      <c r="AD134" s="210"/>
      <c r="AE134" s="200"/>
      <c r="AF134" s="200"/>
      <c r="AG134" s="209"/>
      <c r="AH134" s="201"/>
      <c r="AI134" s="202"/>
      <c r="AJ134" s="202"/>
      <c r="AK134" s="209"/>
      <c r="AL134" s="200"/>
      <c r="AM134" s="210"/>
      <c r="AN134" s="210"/>
    </row>
    <row r="135" spans="1:40" x14ac:dyDescent="0.25">
      <c r="A135" s="202"/>
      <c r="C135" s="154"/>
      <c r="F135" s="252"/>
      <c r="H135" s="252"/>
      <c r="I135" s="252"/>
      <c r="J135" s="300"/>
      <c r="K135" s="300"/>
      <c r="L135" s="200"/>
      <c r="M135" s="200"/>
      <c r="N135" s="210"/>
      <c r="O135" s="210"/>
      <c r="P135" s="202"/>
      <c r="Q135" s="202"/>
      <c r="R135" s="200"/>
      <c r="T135" s="154"/>
      <c r="V135" s="200"/>
      <c r="Y135" s="252"/>
      <c r="Z135" s="300"/>
      <c r="AA135" s="200"/>
      <c r="AB135" s="200"/>
      <c r="AC135" s="210"/>
      <c r="AD135" s="210"/>
      <c r="AE135" s="200"/>
      <c r="AF135" s="200"/>
      <c r="AG135" s="209"/>
      <c r="AH135" s="201"/>
      <c r="AI135" s="202"/>
      <c r="AJ135" s="202"/>
      <c r="AK135" s="209"/>
      <c r="AL135" s="200"/>
      <c r="AM135" s="210"/>
      <c r="AN135" s="210"/>
    </row>
    <row r="136" spans="1:40" x14ac:dyDescent="0.25">
      <c r="F136" s="211"/>
      <c r="H136" s="200"/>
      <c r="I136" s="200"/>
      <c r="J136" s="305"/>
      <c r="K136" s="305"/>
      <c r="L136" s="211"/>
      <c r="M136" s="211"/>
      <c r="N136" s="211"/>
      <c r="O136" s="211"/>
      <c r="P136" s="211"/>
      <c r="Q136" s="211"/>
      <c r="R136" s="211"/>
      <c r="V136" s="211"/>
      <c r="Y136" s="200"/>
      <c r="Z136" s="305"/>
      <c r="AA136" s="211"/>
      <c r="AB136" s="211"/>
      <c r="AC136" s="211"/>
      <c r="AD136" s="211"/>
      <c r="AE136" s="211"/>
      <c r="AF136" s="211"/>
      <c r="AI136" s="211"/>
      <c r="AJ136" s="211"/>
      <c r="AK136" s="212"/>
      <c r="AL136" s="211"/>
      <c r="AM136" s="210"/>
      <c r="AN136" s="210"/>
    </row>
    <row r="137" spans="1:40" x14ac:dyDescent="0.25">
      <c r="A137" s="202"/>
      <c r="C137" s="154"/>
      <c r="F137" s="200"/>
      <c r="H137" s="200"/>
      <c r="I137" s="200"/>
      <c r="J137" s="305"/>
      <c r="K137" s="305"/>
      <c r="L137" s="200"/>
      <c r="M137" s="200"/>
      <c r="N137" s="210"/>
      <c r="O137" s="210"/>
      <c r="P137" s="200"/>
      <c r="Q137" s="200"/>
      <c r="R137" s="200"/>
      <c r="T137" s="154"/>
      <c r="V137" s="200"/>
      <c r="Y137" s="200"/>
      <c r="Z137" s="305"/>
      <c r="AA137" s="200"/>
      <c r="AB137" s="200"/>
      <c r="AC137" s="210"/>
      <c r="AD137" s="210"/>
      <c r="AE137" s="200"/>
      <c r="AF137" s="200"/>
      <c r="AG137" s="209"/>
      <c r="AH137" s="201"/>
      <c r="AI137" s="200"/>
      <c r="AJ137" s="200"/>
      <c r="AK137" s="209"/>
      <c r="AL137" s="200"/>
      <c r="AM137" s="210"/>
      <c r="AN137" s="210"/>
    </row>
    <row r="138" spans="1:40" x14ac:dyDescent="0.25">
      <c r="F138" s="211"/>
      <c r="H138" s="200"/>
      <c r="I138" s="200"/>
      <c r="J138" s="305"/>
      <c r="K138" s="305"/>
      <c r="L138" s="211"/>
      <c r="M138" s="211"/>
      <c r="N138" s="211"/>
      <c r="O138" s="211"/>
      <c r="P138" s="211"/>
      <c r="Q138" s="211"/>
      <c r="R138" s="211"/>
      <c r="V138" s="211"/>
      <c r="Y138" s="200"/>
      <c r="Z138" s="305"/>
      <c r="AA138" s="211"/>
      <c r="AB138" s="211"/>
      <c r="AC138" s="211"/>
      <c r="AD138" s="211"/>
      <c r="AE138" s="211"/>
      <c r="AF138" s="211"/>
      <c r="AI138" s="211"/>
      <c r="AJ138" s="211"/>
      <c r="AK138" s="212"/>
      <c r="AL138" s="211"/>
      <c r="AM138" s="210"/>
      <c r="AN138" s="210"/>
    </row>
    <row r="139" spans="1:40" x14ac:dyDescent="0.25">
      <c r="A139" s="202"/>
      <c r="C139" s="154"/>
      <c r="F139" s="252"/>
      <c r="H139" s="252"/>
      <c r="I139" s="252"/>
      <c r="J139" s="328"/>
      <c r="K139" s="328"/>
      <c r="L139" s="200"/>
      <c r="M139" s="200"/>
      <c r="N139" s="210"/>
      <c r="O139" s="210"/>
      <c r="P139" s="200"/>
      <c r="Q139" s="200"/>
      <c r="R139" s="200"/>
      <c r="S139" s="200"/>
      <c r="T139" s="154"/>
      <c r="V139" s="252"/>
      <c r="Y139" s="252"/>
      <c r="Z139" s="328"/>
      <c r="AA139" s="200"/>
      <c r="AB139" s="200"/>
      <c r="AC139" s="210"/>
      <c r="AD139" s="210"/>
      <c r="AE139" s="200"/>
      <c r="AF139" s="200"/>
      <c r="AG139" s="209"/>
      <c r="AH139" s="210"/>
      <c r="AI139" s="200"/>
      <c r="AJ139" s="200"/>
      <c r="AK139" s="209"/>
      <c r="AL139" s="200"/>
      <c r="AM139" s="210"/>
      <c r="AN139" s="210"/>
    </row>
    <row r="140" spans="1:40" x14ac:dyDescent="0.25">
      <c r="A140" s="202"/>
      <c r="C140" s="154"/>
      <c r="F140" s="252"/>
      <c r="H140" s="252"/>
      <c r="I140" s="252"/>
      <c r="J140" s="300"/>
      <c r="K140" s="300"/>
      <c r="L140" s="200"/>
      <c r="M140" s="200"/>
      <c r="N140" s="210"/>
      <c r="O140" s="210"/>
      <c r="P140" s="200"/>
      <c r="Q140" s="200"/>
      <c r="R140" s="200"/>
      <c r="T140" s="154"/>
      <c r="V140" s="252"/>
      <c r="Y140" s="200"/>
      <c r="Z140" s="300"/>
      <c r="AA140" s="200"/>
      <c r="AB140" s="200"/>
      <c r="AC140" s="210"/>
      <c r="AD140" s="210"/>
      <c r="AE140" s="200"/>
      <c r="AF140" s="200"/>
      <c r="AG140" s="209"/>
      <c r="AH140" s="201"/>
      <c r="AI140" s="200"/>
      <c r="AJ140" s="200"/>
      <c r="AK140" s="209"/>
      <c r="AL140" s="200"/>
      <c r="AM140" s="210"/>
      <c r="AN140" s="210"/>
    </row>
    <row r="141" spans="1:40" x14ac:dyDescent="0.25">
      <c r="A141" s="202"/>
      <c r="C141" s="154"/>
      <c r="F141" s="252"/>
      <c r="H141" s="252"/>
      <c r="I141" s="252"/>
      <c r="J141" s="300"/>
      <c r="K141" s="300"/>
      <c r="L141" s="200"/>
      <c r="M141" s="200"/>
      <c r="N141" s="210"/>
      <c r="O141" s="210"/>
      <c r="P141" s="200"/>
      <c r="Q141" s="200"/>
      <c r="R141" s="200"/>
      <c r="T141" s="154"/>
      <c r="V141" s="252"/>
      <c r="Y141" s="200"/>
      <c r="Z141" s="300"/>
      <c r="AA141" s="200"/>
      <c r="AB141" s="200"/>
      <c r="AC141" s="210"/>
      <c r="AD141" s="210"/>
      <c r="AE141" s="200"/>
      <c r="AF141" s="200"/>
      <c r="AG141" s="209"/>
      <c r="AH141" s="201"/>
      <c r="AI141" s="200"/>
      <c r="AJ141" s="200"/>
      <c r="AK141" s="209"/>
      <c r="AL141" s="200"/>
      <c r="AM141" s="210"/>
      <c r="AN141" s="210"/>
    </row>
    <row r="142" spans="1:40" x14ac:dyDescent="0.25">
      <c r="F142" s="200"/>
      <c r="H142" s="211"/>
      <c r="I142" s="211"/>
      <c r="J142" s="305"/>
      <c r="K142" s="305"/>
      <c r="L142" s="211"/>
      <c r="M142" s="211"/>
      <c r="N142" s="211"/>
      <c r="O142" s="211"/>
      <c r="P142" s="211"/>
      <c r="Q142" s="211"/>
      <c r="R142" s="211"/>
      <c r="V142" s="200"/>
      <c r="Y142" s="211"/>
      <c r="Z142" s="305"/>
      <c r="AA142" s="211"/>
      <c r="AB142" s="211"/>
      <c r="AC142" s="211"/>
      <c r="AD142" s="211"/>
      <c r="AE142" s="211"/>
      <c r="AF142" s="211"/>
      <c r="AI142" s="211"/>
      <c r="AJ142" s="211"/>
      <c r="AK142" s="212"/>
      <c r="AL142" s="211"/>
      <c r="AM142" s="210"/>
      <c r="AN142" s="210"/>
    </row>
    <row r="143" spans="1:40" x14ac:dyDescent="0.25">
      <c r="A143" s="202"/>
      <c r="C143" s="154"/>
      <c r="F143" s="200"/>
      <c r="H143" s="200"/>
      <c r="I143" s="200"/>
      <c r="J143" s="305"/>
      <c r="K143" s="305"/>
      <c r="L143" s="200"/>
      <c r="M143" s="200"/>
      <c r="N143" s="210"/>
      <c r="O143" s="210"/>
      <c r="P143" s="200"/>
      <c r="Q143" s="200"/>
      <c r="R143" s="200"/>
      <c r="T143" s="154"/>
      <c r="V143" s="200"/>
      <c r="Y143" s="200"/>
      <c r="Z143" s="305"/>
      <c r="AA143" s="200"/>
      <c r="AB143" s="200"/>
      <c r="AC143" s="210"/>
      <c r="AD143" s="210"/>
      <c r="AE143" s="200"/>
      <c r="AF143" s="200"/>
      <c r="AG143" s="209"/>
      <c r="AH143" s="201"/>
      <c r="AI143" s="200"/>
      <c r="AJ143" s="200"/>
      <c r="AK143" s="209"/>
      <c r="AL143" s="200"/>
      <c r="AM143" s="210"/>
      <c r="AN143" s="210"/>
    </row>
    <row r="144" spans="1:40" x14ac:dyDescent="0.25">
      <c r="F144" s="200"/>
      <c r="H144" s="211"/>
      <c r="I144" s="211"/>
      <c r="J144" s="305"/>
      <c r="K144" s="305"/>
      <c r="L144" s="211"/>
      <c r="M144" s="211"/>
      <c r="N144" s="211"/>
      <c r="O144" s="211"/>
      <c r="P144" s="211"/>
      <c r="Q144" s="211"/>
      <c r="R144" s="211"/>
      <c r="V144" s="200"/>
      <c r="Y144" s="211"/>
      <c r="Z144" s="305"/>
      <c r="AA144" s="211"/>
      <c r="AB144" s="211"/>
      <c r="AC144" s="211"/>
      <c r="AD144" s="211"/>
      <c r="AE144" s="211"/>
      <c r="AF144" s="211"/>
      <c r="AI144" s="211"/>
      <c r="AJ144" s="211"/>
      <c r="AK144" s="212"/>
      <c r="AL144" s="211"/>
      <c r="AM144" s="210"/>
      <c r="AN144" s="210"/>
    </row>
    <row r="145" spans="1:40" x14ac:dyDescent="0.25">
      <c r="A145" s="202"/>
      <c r="C145" s="154"/>
      <c r="F145" s="200"/>
      <c r="H145" s="200"/>
      <c r="I145" s="200"/>
      <c r="J145" s="305"/>
      <c r="K145" s="305"/>
      <c r="L145" s="200"/>
      <c r="M145" s="200"/>
      <c r="N145" s="200"/>
      <c r="O145" s="200"/>
      <c r="P145" s="200"/>
      <c r="Q145" s="200"/>
      <c r="R145" s="200"/>
      <c r="T145" s="154"/>
      <c r="V145" s="200"/>
      <c r="Y145" s="200"/>
      <c r="Z145" s="305"/>
      <c r="AA145" s="200"/>
      <c r="AB145" s="200"/>
      <c r="AC145" s="200"/>
      <c r="AD145" s="200"/>
      <c r="AE145" s="200"/>
      <c r="AF145" s="200"/>
      <c r="AG145" s="209"/>
      <c r="AH145" s="201"/>
      <c r="AI145" s="200"/>
      <c r="AJ145" s="200"/>
      <c r="AK145" s="209"/>
      <c r="AL145" s="200"/>
      <c r="AM145" s="210"/>
      <c r="AN145" s="210"/>
    </row>
    <row r="146" spans="1:40" x14ac:dyDescent="0.25">
      <c r="A146" s="202"/>
      <c r="C146" s="154"/>
      <c r="F146" s="200"/>
      <c r="H146" s="252"/>
      <c r="I146" s="252"/>
      <c r="J146" s="329"/>
      <c r="K146" s="329"/>
      <c r="L146" s="200"/>
      <c r="M146" s="200"/>
      <c r="N146" s="210"/>
      <c r="O146" s="210"/>
      <c r="P146" s="200"/>
      <c r="Q146" s="200"/>
      <c r="R146" s="200"/>
      <c r="T146" s="154"/>
      <c r="V146" s="200"/>
      <c r="Y146" s="200"/>
      <c r="Z146" s="329"/>
      <c r="AA146" s="200"/>
      <c r="AB146" s="200"/>
      <c r="AC146" s="210"/>
      <c r="AD146" s="210"/>
      <c r="AE146" s="200"/>
      <c r="AF146" s="200"/>
      <c r="AG146" s="209"/>
      <c r="AH146" s="201"/>
      <c r="AI146" s="200"/>
      <c r="AJ146" s="200"/>
      <c r="AK146" s="209"/>
      <c r="AL146" s="200"/>
      <c r="AM146" s="210"/>
      <c r="AN146" s="210"/>
    </row>
    <row r="147" spans="1:40" x14ac:dyDescent="0.25">
      <c r="A147" s="202"/>
      <c r="C147" s="154"/>
      <c r="H147" s="252"/>
      <c r="I147" s="252"/>
      <c r="J147" s="329"/>
      <c r="K147" s="329"/>
      <c r="L147" s="200"/>
      <c r="M147" s="200"/>
      <c r="N147" s="210"/>
      <c r="O147" s="210"/>
      <c r="P147" s="200"/>
      <c r="Q147" s="200"/>
      <c r="R147" s="200"/>
      <c r="T147" s="154"/>
      <c r="Y147" s="200"/>
      <c r="Z147" s="329"/>
      <c r="AA147" s="200"/>
      <c r="AB147" s="200"/>
      <c r="AC147" s="210"/>
      <c r="AD147" s="210"/>
      <c r="AE147" s="200"/>
      <c r="AF147" s="200"/>
      <c r="AG147" s="209"/>
      <c r="AH147" s="201"/>
      <c r="AI147" s="200"/>
      <c r="AJ147" s="200"/>
      <c r="AK147" s="209"/>
      <c r="AL147" s="200"/>
      <c r="AM147" s="210"/>
      <c r="AN147" s="210"/>
    </row>
    <row r="148" spans="1:40" x14ac:dyDescent="0.25">
      <c r="F148" s="200"/>
      <c r="H148" s="200"/>
      <c r="I148" s="200"/>
      <c r="J148" s="305"/>
      <c r="K148" s="305"/>
      <c r="L148" s="211"/>
      <c r="M148" s="211"/>
      <c r="N148" s="211"/>
      <c r="O148" s="211"/>
      <c r="P148" s="211"/>
      <c r="Q148" s="211"/>
      <c r="R148" s="211"/>
      <c r="V148" s="200"/>
      <c r="Y148" s="200"/>
      <c r="Z148" s="305"/>
      <c r="AA148" s="211"/>
      <c r="AB148" s="211"/>
      <c r="AC148" s="211"/>
      <c r="AD148" s="211"/>
      <c r="AE148" s="211"/>
      <c r="AF148" s="211"/>
      <c r="AI148" s="211"/>
      <c r="AJ148" s="211"/>
      <c r="AK148" s="212"/>
      <c r="AL148" s="211"/>
      <c r="AM148" s="210"/>
      <c r="AN148" s="210"/>
    </row>
    <row r="149" spans="1:40" x14ac:dyDescent="0.25">
      <c r="A149" s="202"/>
      <c r="C149" s="154"/>
      <c r="F149" s="200"/>
      <c r="H149" s="200"/>
      <c r="I149" s="200"/>
      <c r="J149" s="213"/>
      <c r="K149" s="213"/>
      <c r="L149" s="200"/>
      <c r="M149" s="200"/>
      <c r="N149" s="210"/>
      <c r="O149" s="210"/>
      <c r="P149" s="200"/>
      <c r="Q149" s="200"/>
      <c r="R149" s="200"/>
      <c r="T149" s="154"/>
      <c r="V149" s="200"/>
      <c r="Y149" s="200"/>
      <c r="Z149" s="213"/>
      <c r="AA149" s="200"/>
      <c r="AB149" s="200"/>
      <c r="AC149" s="210"/>
      <c r="AD149" s="210"/>
      <c r="AE149" s="200"/>
      <c r="AF149" s="200"/>
      <c r="AG149" s="209"/>
      <c r="AH149" s="201"/>
      <c r="AI149" s="200"/>
      <c r="AJ149" s="200"/>
      <c r="AK149" s="209"/>
      <c r="AL149" s="200"/>
      <c r="AM149" s="210"/>
      <c r="AN149" s="210"/>
    </row>
    <row r="150" spans="1:40" x14ac:dyDescent="0.25">
      <c r="F150" s="200"/>
      <c r="H150" s="200"/>
      <c r="I150" s="200"/>
      <c r="J150" s="305"/>
      <c r="K150" s="305"/>
      <c r="L150" s="211"/>
      <c r="M150" s="211"/>
      <c r="N150" s="211"/>
      <c r="O150" s="211"/>
      <c r="P150" s="211"/>
      <c r="Q150" s="211"/>
      <c r="R150" s="211"/>
      <c r="V150" s="200"/>
      <c r="Y150" s="200"/>
      <c r="Z150" s="305"/>
      <c r="AA150" s="211"/>
      <c r="AB150" s="211"/>
      <c r="AC150" s="211"/>
      <c r="AD150" s="211"/>
      <c r="AE150" s="211"/>
      <c r="AF150" s="211"/>
      <c r="AI150" s="211"/>
      <c r="AJ150" s="211"/>
      <c r="AK150" s="212"/>
      <c r="AL150" s="211"/>
      <c r="AM150" s="210"/>
      <c r="AN150" s="210"/>
    </row>
    <row r="151" spans="1:40" x14ac:dyDescent="0.25">
      <c r="A151" s="202"/>
      <c r="C151" s="154"/>
      <c r="F151" s="200"/>
      <c r="H151" s="200"/>
      <c r="I151" s="200"/>
      <c r="J151" s="213"/>
      <c r="K151" s="213"/>
      <c r="L151" s="200"/>
      <c r="M151" s="200"/>
      <c r="N151" s="210"/>
      <c r="O151" s="210"/>
      <c r="P151" s="200"/>
      <c r="Q151" s="200"/>
      <c r="R151" s="200"/>
      <c r="T151" s="154"/>
      <c r="V151" s="200"/>
      <c r="Y151" s="200"/>
      <c r="Z151" s="213"/>
      <c r="AA151" s="200"/>
      <c r="AB151" s="200"/>
      <c r="AC151" s="210"/>
      <c r="AD151" s="210"/>
      <c r="AE151" s="200"/>
      <c r="AF151" s="200"/>
      <c r="AG151" s="209"/>
      <c r="AH151" s="201"/>
      <c r="AI151" s="200"/>
      <c r="AJ151" s="200"/>
      <c r="AK151" s="209"/>
      <c r="AL151" s="200"/>
      <c r="AM151" s="210"/>
      <c r="AN151" s="210"/>
    </row>
    <row r="152" spans="1:40" x14ac:dyDescent="0.25">
      <c r="A152" s="202"/>
      <c r="C152" s="154"/>
      <c r="F152" s="252"/>
      <c r="H152" s="252"/>
      <c r="I152" s="252"/>
      <c r="J152" s="320"/>
      <c r="K152" s="320"/>
      <c r="L152" s="200"/>
      <c r="M152" s="200"/>
      <c r="N152" s="210"/>
      <c r="O152" s="210"/>
      <c r="P152" s="200"/>
      <c r="Q152" s="200"/>
      <c r="R152" s="200"/>
      <c r="T152" s="154"/>
      <c r="V152" s="252"/>
      <c r="Y152" s="200"/>
      <c r="Z152" s="320"/>
      <c r="AA152" s="200"/>
      <c r="AB152" s="200"/>
      <c r="AC152" s="210"/>
      <c r="AD152" s="210"/>
      <c r="AE152" s="200"/>
      <c r="AF152" s="200"/>
      <c r="AG152" s="209"/>
      <c r="AH152" s="201"/>
      <c r="AI152" s="200"/>
      <c r="AJ152" s="200"/>
      <c r="AK152" s="209"/>
      <c r="AL152" s="200"/>
      <c r="AM152" s="210"/>
      <c r="AN152" s="210"/>
    </row>
    <row r="153" spans="1:40" x14ac:dyDescent="0.25">
      <c r="F153" s="211"/>
      <c r="H153" s="211"/>
      <c r="I153" s="211"/>
      <c r="J153" s="305"/>
      <c r="K153" s="305"/>
      <c r="L153" s="211"/>
      <c r="M153" s="211"/>
      <c r="N153" s="211"/>
      <c r="O153" s="211"/>
      <c r="P153" s="211"/>
      <c r="Q153" s="211"/>
      <c r="R153" s="211"/>
      <c r="V153" s="211"/>
      <c r="Y153" s="211"/>
      <c r="Z153" s="305"/>
      <c r="AA153" s="211"/>
      <c r="AB153" s="211"/>
      <c r="AC153" s="211"/>
      <c r="AD153" s="211"/>
      <c r="AE153" s="211"/>
      <c r="AF153" s="211"/>
      <c r="AI153" s="211"/>
      <c r="AJ153" s="211"/>
      <c r="AK153" s="212"/>
      <c r="AL153" s="211"/>
      <c r="AM153" s="210"/>
      <c r="AN153" s="210"/>
    </row>
    <row r="154" spans="1:40" x14ac:dyDescent="0.25">
      <c r="A154" s="202"/>
      <c r="C154" s="154"/>
      <c r="F154" s="200"/>
      <c r="H154" s="200"/>
      <c r="I154" s="200"/>
      <c r="J154" s="305"/>
      <c r="K154" s="305"/>
      <c r="L154" s="200"/>
      <c r="M154" s="200"/>
      <c r="N154" s="210"/>
      <c r="O154" s="210"/>
      <c r="P154" s="200"/>
      <c r="Q154" s="200"/>
      <c r="R154" s="200"/>
      <c r="S154" s="200"/>
      <c r="T154" s="154"/>
      <c r="V154" s="200"/>
      <c r="Y154" s="200"/>
      <c r="Z154" s="305"/>
      <c r="AA154" s="200"/>
      <c r="AB154" s="200"/>
      <c r="AC154" s="210"/>
      <c r="AD154" s="210"/>
      <c r="AE154" s="200"/>
      <c r="AF154" s="200"/>
      <c r="AG154" s="209"/>
      <c r="AH154" s="210"/>
      <c r="AI154" s="200"/>
      <c r="AJ154" s="200"/>
      <c r="AK154" s="209"/>
      <c r="AL154" s="200"/>
      <c r="AM154" s="210"/>
      <c r="AN154" s="210"/>
    </row>
    <row r="155" spans="1:40" x14ac:dyDescent="0.25">
      <c r="F155" s="211"/>
      <c r="H155" s="211"/>
      <c r="I155" s="211"/>
      <c r="J155" s="305"/>
      <c r="K155" s="305"/>
      <c r="L155" s="211"/>
      <c r="M155" s="211"/>
      <c r="N155" s="211"/>
      <c r="O155" s="211"/>
      <c r="P155" s="211"/>
      <c r="Q155" s="211"/>
      <c r="R155" s="211"/>
      <c r="S155" s="200"/>
      <c r="V155" s="211"/>
      <c r="Y155" s="211"/>
      <c r="Z155" s="305"/>
      <c r="AA155" s="211"/>
      <c r="AB155" s="211"/>
      <c r="AC155" s="211"/>
      <c r="AD155" s="211"/>
      <c r="AE155" s="211"/>
      <c r="AF155" s="211"/>
      <c r="AI155" s="211"/>
      <c r="AJ155" s="211"/>
      <c r="AK155" s="212"/>
      <c r="AL155" s="211"/>
      <c r="AM155" s="210"/>
      <c r="AN155" s="210"/>
    </row>
    <row r="156" spans="1:40" x14ac:dyDescent="0.25">
      <c r="A156" s="202"/>
      <c r="C156" s="154"/>
      <c r="T156" s="154"/>
    </row>
    <row r="157" spans="1:40" x14ac:dyDescent="0.25">
      <c r="A157" s="202"/>
      <c r="C157" s="154"/>
      <c r="F157" s="200"/>
      <c r="H157" s="200"/>
      <c r="I157" s="200"/>
      <c r="L157" s="200"/>
      <c r="M157" s="200"/>
      <c r="N157" s="210"/>
      <c r="O157" s="210"/>
      <c r="P157" s="252"/>
      <c r="Q157" s="252"/>
      <c r="R157" s="200"/>
      <c r="T157" s="154"/>
      <c r="V157" s="200"/>
      <c r="Y157" s="200"/>
      <c r="AA157" s="200"/>
      <c r="AB157" s="200"/>
      <c r="AC157" s="210"/>
      <c r="AD157" s="210"/>
      <c r="AE157" s="200"/>
      <c r="AF157" s="200"/>
      <c r="AG157" s="209"/>
      <c r="AH157" s="210"/>
      <c r="AI157" s="252"/>
      <c r="AJ157" s="252"/>
      <c r="AK157" s="209"/>
      <c r="AL157" s="200"/>
      <c r="AM157" s="210"/>
      <c r="AN157" s="210"/>
    </row>
    <row r="158" spans="1:40" x14ac:dyDescent="0.25">
      <c r="F158" s="211"/>
      <c r="H158" s="211"/>
      <c r="I158" s="211"/>
      <c r="J158" s="305"/>
      <c r="K158" s="305"/>
      <c r="L158" s="211"/>
      <c r="M158" s="211"/>
      <c r="N158" s="211"/>
      <c r="O158" s="211"/>
      <c r="P158" s="211"/>
      <c r="Q158" s="211"/>
      <c r="R158" s="211"/>
      <c r="V158" s="211"/>
      <c r="Y158" s="211"/>
      <c r="Z158" s="305"/>
      <c r="AA158" s="211"/>
      <c r="AB158" s="211"/>
      <c r="AC158" s="211"/>
      <c r="AD158" s="211"/>
      <c r="AE158" s="211"/>
      <c r="AF158" s="211"/>
      <c r="AI158" s="211"/>
      <c r="AJ158" s="211"/>
      <c r="AK158" s="212"/>
      <c r="AL158" s="211"/>
    </row>
    <row r="160" spans="1:40" x14ac:dyDescent="0.25">
      <c r="C160" s="154"/>
      <c r="L160" s="200"/>
      <c r="M160" s="200"/>
      <c r="N160" s="200"/>
      <c r="O160" s="200"/>
      <c r="P160" s="200"/>
      <c r="Q160" s="200"/>
      <c r="R160" s="200"/>
      <c r="S160" s="200"/>
      <c r="T160" s="154"/>
      <c r="AA160" s="200"/>
      <c r="AB160" s="200"/>
      <c r="AC160" s="200"/>
      <c r="AD160" s="200"/>
      <c r="AI160" s="200"/>
      <c r="AJ160" s="200"/>
      <c r="AK160" s="209"/>
      <c r="AL160" s="200"/>
    </row>
    <row r="161" spans="1:40" x14ac:dyDescent="0.25">
      <c r="A161" s="154"/>
    </row>
    <row r="162" spans="1:40" x14ac:dyDescent="0.25">
      <c r="J162" s="202"/>
      <c r="K162" s="202"/>
      <c r="Z162" s="202"/>
    </row>
    <row r="163" spans="1:40" x14ac:dyDescent="0.25">
      <c r="H163" s="154"/>
      <c r="I163" s="154"/>
      <c r="Y163" s="154"/>
    </row>
    <row r="164" spans="1:40" x14ac:dyDescent="0.25">
      <c r="J164" s="202"/>
      <c r="K164" s="202"/>
      <c r="Z164" s="202"/>
    </row>
    <row r="165" spans="1:40" x14ac:dyDescent="0.25">
      <c r="L165" s="154"/>
      <c r="M165" s="154"/>
      <c r="AA165" s="154"/>
      <c r="AB165" s="154"/>
    </row>
    <row r="166" spans="1:40" x14ac:dyDescent="0.25">
      <c r="A166" s="202"/>
      <c r="R166" s="154"/>
      <c r="AK166" s="297"/>
      <c r="AL166" s="154"/>
    </row>
    <row r="167" spans="1:40" x14ac:dyDescent="0.25">
      <c r="A167" s="202"/>
      <c r="R167" s="154"/>
      <c r="AK167" s="297"/>
      <c r="AL167" s="154"/>
    </row>
    <row r="168" spans="1:40" x14ac:dyDescent="0.25">
      <c r="A168" s="154"/>
      <c r="R168" s="154"/>
      <c r="AK168" s="297"/>
      <c r="AL168" s="154"/>
    </row>
    <row r="169" spans="1:40" x14ac:dyDescent="0.25">
      <c r="L169" s="154"/>
      <c r="M169" s="154"/>
      <c r="R169" s="202"/>
      <c r="AA169" s="154"/>
      <c r="AB169" s="154"/>
      <c r="AK169" s="209"/>
      <c r="AL169" s="202"/>
    </row>
    <row r="170" spans="1:40" x14ac:dyDescent="0.2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208"/>
      <c r="AH170" s="102"/>
      <c r="AI170" s="102"/>
      <c r="AJ170" s="102"/>
      <c r="AK170" s="208"/>
      <c r="AL170" s="102"/>
      <c r="AM170" s="102"/>
      <c r="AN170" s="102"/>
    </row>
    <row r="171" spans="1:40" x14ac:dyDescent="0.25">
      <c r="L171" s="103"/>
      <c r="M171" s="103"/>
      <c r="N171" s="103"/>
      <c r="O171" s="103"/>
      <c r="R171" s="103"/>
      <c r="AA171" s="103"/>
      <c r="AB171" s="103"/>
      <c r="AC171" s="103"/>
      <c r="AD171" s="103"/>
      <c r="AE171" s="103"/>
      <c r="AF171" s="103"/>
      <c r="AG171" s="185"/>
      <c r="AH171" s="103"/>
      <c r="AK171" s="185"/>
      <c r="AL171" s="103"/>
      <c r="AM171" s="103"/>
      <c r="AN171" s="103"/>
    </row>
    <row r="172" spans="1:40" x14ac:dyDescent="0.25">
      <c r="L172" s="103"/>
      <c r="M172" s="103"/>
      <c r="N172" s="103"/>
      <c r="O172" s="103"/>
      <c r="R172" s="103"/>
      <c r="Z172" s="103"/>
      <c r="AA172" s="103"/>
      <c r="AB172" s="103"/>
      <c r="AC172" s="103"/>
      <c r="AD172" s="103"/>
      <c r="AE172" s="103"/>
      <c r="AF172" s="103"/>
      <c r="AG172" s="185"/>
      <c r="AH172" s="103"/>
      <c r="AK172" s="185"/>
      <c r="AL172" s="103"/>
      <c r="AM172" s="103"/>
      <c r="AN172" s="103"/>
    </row>
    <row r="173" spans="1:40" x14ac:dyDescent="0.25">
      <c r="A173" s="103"/>
      <c r="C173" s="103"/>
      <c r="D173" s="103"/>
      <c r="E173" s="103"/>
      <c r="F173" s="103"/>
      <c r="J173" s="103"/>
      <c r="K173" s="103"/>
      <c r="L173" s="103"/>
      <c r="M173" s="103"/>
      <c r="N173" s="103"/>
      <c r="O173" s="103"/>
      <c r="P173" s="103"/>
      <c r="Q173" s="103"/>
      <c r="R173" s="103"/>
      <c r="T173" s="103"/>
      <c r="U173" s="103"/>
      <c r="V173" s="103"/>
      <c r="Z173" s="103"/>
      <c r="AA173" s="103"/>
      <c r="AB173" s="103"/>
      <c r="AC173" s="103"/>
      <c r="AD173" s="103"/>
      <c r="AE173" s="103"/>
      <c r="AF173" s="103"/>
      <c r="AG173" s="185"/>
      <c r="AH173" s="103"/>
      <c r="AI173" s="103"/>
      <c r="AJ173" s="103"/>
      <c r="AK173" s="185"/>
      <c r="AL173" s="103"/>
      <c r="AM173" s="103"/>
      <c r="AN173" s="103"/>
    </row>
    <row r="174" spans="1:40" x14ac:dyDescent="0.25">
      <c r="A174" s="103"/>
      <c r="C174" s="103"/>
      <c r="D174" s="103"/>
      <c r="E174" s="103"/>
      <c r="F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T174" s="103"/>
      <c r="U174" s="103"/>
      <c r="V174" s="103"/>
      <c r="Y174" s="103"/>
      <c r="Z174" s="103"/>
      <c r="AA174" s="103"/>
      <c r="AB174" s="103"/>
      <c r="AC174" s="103"/>
      <c r="AD174" s="103"/>
      <c r="AE174" s="103"/>
      <c r="AF174" s="103"/>
      <c r="AG174" s="185"/>
      <c r="AH174" s="103"/>
      <c r="AI174" s="103"/>
      <c r="AJ174" s="103"/>
      <c r="AK174" s="185"/>
      <c r="AL174" s="103"/>
      <c r="AM174" s="103"/>
      <c r="AN174" s="103"/>
    </row>
    <row r="175" spans="1:40" x14ac:dyDescent="0.25">
      <c r="C175" s="103"/>
      <c r="D175" s="103"/>
      <c r="E175" s="103"/>
      <c r="F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T175" s="103"/>
      <c r="U175" s="103"/>
      <c r="V175" s="103"/>
      <c r="Y175" s="103"/>
      <c r="Z175" s="103"/>
      <c r="AA175" s="103"/>
      <c r="AB175" s="103"/>
      <c r="AC175" s="103"/>
      <c r="AD175" s="103"/>
      <c r="AE175" s="103"/>
      <c r="AF175" s="103"/>
      <c r="AG175" s="185"/>
      <c r="AH175" s="103"/>
      <c r="AI175" s="103"/>
      <c r="AJ175" s="103"/>
      <c r="AK175" s="185"/>
      <c r="AL175" s="103"/>
      <c r="AM175" s="103"/>
      <c r="AN175" s="103"/>
    </row>
    <row r="176" spans="1:40" x14ac:dyDescent="0.2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208"/>
      <c r="AH176" s="102"/>
      <c r="AI176" s="102"/>
      <c r="AJ176" s="102"/>
      <c r="AK176" s="208"/>
      <c r="AL176" s="102"/>
      <c r="AM176" s="102"/>
      <c r="AN176" s="102"/>
    </row>
    <row r="177" spans="1:40" x14ac:dyDescent="0.25"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Y177" s="103"/>
      <c r="Z177" s="103"/>
      <c r="AA177" s="103"/>
      <c r="AB177" s="103"/>
      <c r="AC177" s="103"/>
      <c r="AD177" s="103"/>
      <c r="AE177" s="103"/>
      <c r="AF177" s="103"/>
      <c r="AG177" s="185"/>
      <c r="AH177" s="103"/>
      <c r="AI177" s="103"/>
      <c r="AJ177" s="103"/>
      <c r="AK177" s="185"/>
      <c r="AL177" s="103"/>
      <c r="AM177" s="103"/>
      <c r="AN177" s="103"/>
    </row>
    <row r="178" spans="1:40" x14ac:dyDescent="0.25">
      <c r="A178" s="202"/>
      <c r="C178" s="154"/>
      <c r="D178" s="154"/>
      <c r="E178" s="154"/>
      <c r="T178" s="154"/>
      <c r="U178" s="154"/>
    </row>
    <row r="179" spans="1:40" x14ac:dyDescent="0.25">
      <c r="A179" s="202"/>
      <c r="D179" s="154"/>
      <c r="E179" s="154"/>
      <c r="U179" s="154"/>
    </row>
    <row r="181" spans="1:40" x14ac:dyDescent="0.25">
      <c r="A181" s="202"/>
      <c r="C181" s="154"/>
      <c r="F181" s="252"/>
      <c r="H181" s="252"/>
      <c r="I181" s="252"/>
      <c r="J181" s="300"/>
      <c r="K181" s="300"/>
      <c r="L181" s="200"/>
      <c r="M181" s="200"/>
      <c r="N181" s="210"/>
      <c r="O181" s="210"/>
      <c r="R181" s="200"/>
      <c r="T181" s="154"/>
      <c r="V181" s="200"/>
      <c r="Y181" s="252"/>
      <c r="Z181" s="300"/>
      <c r="AA181" s="200"/>
      <c r="AB181" s="200"/>
      <c r="AC181" s="210"/>
      <c r="AD181" s="210"/>
      <c r="AE181" s="200"/>
      <c r="AF181" s="200"/>
      <c r="AG181" s="325"/>
      <c r="AH181" s="326"/>
      <c r="AK181" s="209"/>
      <c r="AL181" s="200"/>
      <c r="AM181" s="327"/>
      <c r="AN181" s="327"/>
    </row>
    <row r="182" spans="1:40" x14ac:dyDescent="0.25">
      <c r="A182" s="202"/>
      <c r="C182" s="154"/>
      <c r="F182" s="252"/>
      <c r="H182" s="252"/>
      <c r="I182" s="252"/>
      <c r="J182" s="300"/>
      <c r="K182" s="300"/>
      <c r="L182" s="200"/>
      <c r="M182" s="200"/>
      <c r="N182" s="210"/>
      <c r="O182" s="210"/>
      <c r="P182" s="202"/>
      <c r="Q182" s="202"/>
      <c r="R182" s="200"/>
      <c r="T182" s="154"/>
      <c r="V182" s="200"/>
      <c r="Y182" s="252"/>
      <c r="Z182" s="300"/>
      <c r="AA182" s="200"/>
      <c r="AB182" s="200"/>
      <c r="AC182" s="210"/>
      <c r="AD182" s="210"/>
      <c r="AE182" s="200"/>
      <c r="AF182" s="200"/>
      <c r="AG182" s="209"/>
      <c r="AH182" s="201"/>
      <c r="AI182" s="202"/>
      <c r="AJ182" s="202"/>
      <c r="AK182" s="209"/>
      <c r="AL182" s="200"/>
      <c r="AM182" s="210"/>
      <c r="AN182" s="210"/>
    </row>
    <row r="183" spans="1:40" x14ac:dyDescent="0.25">
      <c r="F183" s="211"/>
      <c r="H183" s="200"/>
      <c r="I183" s="200"/>
      <c r="J183" s="305"/>
      <c r="K183" s="305"/>
      <c r="L183" s="211"/>
      <c r="M183" s="211"/>
      <c r="N183" s="211"/>
      <c r="O183" s="211"/>
      <c r="P183" s="211"/>
      <c r="Q183" s="211"/>
      <c r="R183" s="211"/>
      <c r="V183" s="211"/>
      <c r="Y183" s="200"/>
      <c r="Z183" s="305"/>
      <c r="AA183" s="211"/>
      <c r="AB183" s="211"/>
      <c r="AC183" s="211"/>
      <c r="AD183" s="211"/>
      <c r="AE183" s="211"/>
      <c r="AF183" s="211"/>
      <c r="AI183" s="211"/>
      <c r="AJ183" s="211"/>
      <c r="AK183" s="212"/>
      <c r="AL183" s="211"/>
      <c r="AM183" s="210"/>
      <c r="AN183" s="210"/>
    </row>
    <row r="184" spans="1:40" x14ac:dyDescent="0.25">
      <c r="A184" s="202"/>
      <c r="C184" s="154"/>
      <c r="F184" s="200"/>
      <c r="H184" s="200"/>
      <c r="I184" s="200"/>
      <c r="J184" s="305"/>
      <c r="K184" s="305"/>
      <c r="L184" s="200"/>
      <c r="M184" s="200"/>
      <c r="N184" s="210"/>
      <c r="O184" s="210"/>
      <c r="P184" s="200"/>
      <c r="Q184" s="200"/>
      <c r="R184" s="200"/>
      <c r="T184" s="154"/>
      <c r="V184" s="200"/>
      <c r="Y184" s="200"/>
      <c r="Z184" s="213"/>
      <c r="AA184" s="200"/>
      <c r="AB184" s="200"/>
      <c r="AC184" s="210"/>
      <c r="AD184" s="210"/>
      <c r="AE184" s="200"/>
      <c r="AF184" s="200"/>
      <c r="AG184" s="209"/>
      <c r="AH184" s="201"/>
      <c r="AI184" s="200"/>
      <c r="AJ184" s="200"/>
      <c r="AK184" s="209"/>
      <c r="AL184" s="200"/>
      <c r="AM184" s="210"/>
      <c r="AN184" s="210"/>
    </row>
    <row r="185" spans="1:40" x14ac:dyDescent="0.25">
      <c r="F185" s="211"/>
      <c r="H185" s="200"/>
      <c r="I185" s="200"/>
      <c r="J185" s="305"/>
      <c r="K185" s="305"/>
      <c r="L185" s="211"/>
      <c r="M185" s="211"/>
      <c r="N185" s="211"/>
      <c r="O185" s="211"/>
      <c r="P185" s="211"/>
      <c r="Q185" s="211"/>
      <c r="R185" s="211"/>
      <c r="V185" s="211"/>
      <c r="Y185" s="200"/>
      <c r="Z185" s="305"/>
      <c r="AA185" s="211"/>
      <c r="AB185" s="211"/>
      <c r="AC185" s="211"/>
      <c r="AD185" s="211"/>
      <c r="AE185" s="211"/>
      <c r="AF185" s="211"/>
      <c r="AI185" s="211"/>
      <c r="AJ185" s="211"/>
      <c r="AK185" s="212"/>
      <c r="AL185" s="211"/>
      <c r="AM185" s="210"/>
      <c r="AN185" s="210"/>
    </row>
    <row r="186" spans="1:40" x14ac:dyDescent="0.25">
      <c r="F186" s="200"/>
      <c r="H186" s="200"/>
      <c r="I186" s="200"/>
      <c r="J186" s="305"/>
      <c r="K186" s="305"/>
      <c r="L186" s="200"/>
      <c r="M186" s="200"/>
      <c r="N186" s="210"/>
      <c r="O186" s="210"/>
      <c r="P186" s="200"/>
      <c r="Q186" s="200"/>
      <c r="R186" s="200"/>
      <c r="V186" s="200"/>
      <c r="Y186" s="200"/>
      <c r="Z186" s="213"/>
      <c r="AA186" s="200"/>
      <c r="AB186" s="200"/>
      <c r="AC186" s="210"/>
      <c r="AD186" s="210"/>
      <c r="AE186" s="200"/>
      <c r="AF186" s="200"/>
      <c r="AG186" s="209"/>
      <c r="AH186" s="201"/>
      <c r="AI186" s="200"/>
      <c r="AJ186" s="200"/>
      <c r="AK186" s="209"/>
      <c r="AL186" s="200"/>
      <c r="AM186" s="210"/>
      <c r="AN186" s="210"/>
    </row>
    <row r="187" spans="1:40" x14ac:dyDescent="0.25">
      <c r="A187" s="202"/>
      <c r="C187" s="154"/>
      <c r="F187" s="252"/>
      <c r="H187" s="252"/>
      <c r="I187" s="252"/>
      <c r="J187" s="300"/>
      <c r="K187" s="300"/>
      <c r="L187" s="200"/>
      <c r="M187" s="200"/>
      <c r="N187" s="210"/>
      <c r="O187" s="210"/>
      <c r="P187" s="200"/>
      <c r="Q187" s="200"/>
      <c r="R187" s="200"/>
      <c r="T187" s="154"/>
      <c r="V187" s="252"/>
      <c r="Y187" s="200"/>
      <c r="Z187" s="300"/>
      <c r="AA187" s="200"/>
      <c r="AB187" s="200"/>
      <c r="AC187" s="210"/>
      <c r="AD187" s="210"/>
      <c r="AE187" s="200"/>
      <c r="AF187" s="200"/>
      <c r="AG187" s="325"/>
      <c r="AH187" s="326"/>
      <c r="AI187" s="200"/>
      <c r="AJ187" s="200"/>
      <c r="AK187" s="209"/>
      <c r="AL187" s="200"/>
      <c r="AM187" s="327"/>
      <c r="AN187" s="327"/>
    </row>
    <row r="188" spans="1:40" x14ac:dyDescent="0.25">
      <c r="A188" s="202"/>
      <c r="C188" s="154"/>
      <c r="F188" s="252"/>
      <c r="H188" s="252"/>
      <c r="I188" s="252"/>
      <c r="J188" s="300"/>
      <c r="K188" s="300"/>
      <c r="L188" s="200"/>
      <c r="M188" s="200"/>
      <c r="N188" s="210"/>
      <c r="O188" s="210"/>
      <c r="P188" s="200"/>
      <c r="Q188" s="200"/>
      <c r="R188" s="200"/>
      <c r="T188" s="154"/>
      <c r="V188" s="252"/>
      <c r="Y188" s="200"/>
      <c r="Z188" s="300"/>
      <c r="AA188" s="200"/>
      <c r="AB188" s="200"/>
      <c r="AC188" s="210"/>
      <c r="AD188" s="210"/>
      <c r="AE188" s="200"/>
      <c r="AF188" s="200"/>
      <c r="AG188" s="209"/>
      <c r="AH188" s="201"/>
      <c r="AI188" s="200"/>
      <c r="AJ188" s="200"/>
      <c r="AK188" s="209"/>
      <c r="AL188" s="200"/>
      <c r="AM188" s="210"/>
      <c r="AN188" s="210"/>
    </row>
    <row r="189" spans="1:40" x14ac:dyDescent="0.25">
      <c r="F189" s="200"/>
      <c r="H189" s="211"/>
      <c r="I189" s="211"/>
      <c r="J189" s="305"/>
      <c r="K189" s="305"/>
      <c r="L189" s="211"/>
      <c r="M189" s="211"/>
      <c r="N189" s="211"/>
      <c r="O189" s="211"/>
      <c r="P189" s="211"/>
      <c r="Q189" s="211"/>
      <c r="R189" s="211"/>
      <c r="V189" s="200"/>
      <c r="Y189" s="211"/>
      <c r="Z189" s="305"/>
      <c r="AA189" s="211"/>
      <c r="AB189" s="211"/>
      <c r="AC189" s="211"/>
      <c r="AD189" s="211"/>
      <c r="AE189" s="211"/>
      <c r="AF189" s="211"/>
      <c r="AI189" s="211"/>
      <c r="AJ189" s="211"/>
      <c r="AK189" s="212"/>
      <c r="AL189" s="211"/>
      <c r="AM189" s="210"/>
      <c r="AN189" s="210"/>
    </row>
    <row r="190" spans="1:40" x14ac:dyDescent="0.25">
      <c r="A190" s="202"/>
      <c r="C190" s="154"/>
      <c r="F190" s="200"/>
      <c r="H190" s="200"/>
      <c r="I190" s="200"/>
      <c r="J190" s="305"/>
      <c r="K190" s="305"/>
      <c r="L190" s="200"/>
      <c r="M190" s="200"/>
      <c r="N190" s="210"/>
      <c r="O190" s="210"/>
      <c r="P190" s="200"/>
      <c r="Q190" s="200"/>
      <c r="R190" s="200"/>
      <c r="T190" s="154"/>
      <c r="V190" s="200"/>
      <c r="Y190" s="200"/>
      <c r="Z190" s="305"/>
      <c r="AA190" s="200"/>
      <c r="AB190" s="200"/>
      <c r="AC190" s="210"/>
      <c r="AD190" s="210"/>
      <c r="AE190" s="200"/>
      <c r="AF190" s="200"/>
      <c r="AG190" s="209"/>
      <c r="AH190" s="201"/>
      <c r="AI190" s="200"/>
      <c r="AJ190" s="200"/>
      <c r="AK190" s="209"/>
      <c r="AL190" s="200"/>
      <c r="AM190" s="210"/>
      <c r="AN190" s="210"/>
    </row>
    <row r="191" spans="1:40" x14ac:dyDescent="0.25">
      <c r="F191" s="200"/>
      <c r="H191" s="211"/>
      <c r="I191" s="211"/>
      <c r="J191" s="305"/>
      <c r="K191" s="305"/>
      <c r="L191" s="211"/>
      <c r="M191" s="211"/>
      <c r="N191" s="211"/>
      <c r="O191" s="211"/>
      <c r="P191" s="211"/>
      <c r="Q191" s="211"/>
      <c r="R191" s="211"/>
      <c r="V191" s="200"/>
      <c r="Y191" s="211"/>
      <c r="Z191" s="305"/>
      <c r="AA191" s="211"/>
      <c r="AB191" s="211"/>
      <c r="AC191" s="211"/>
      <c r="AD191" s="211"/>
      <c r="AE191" s="211"/>
      <c r="AF191" s="211"/>
      <c r="AI191" s="211"/>
      <c r="AJ191" s="211"/>
      <c r="AK191" s="212"/>
      <c r="AL191" s="211"/>
      <c r="AM191" s="210"/>
      <c r="AN191" s="210"/>
    </row>
    <row r="192" spans="1:40" x14ac:dyDescent="0.25">
      <c r="F192" s="200"/>
      <c r="H192" s="200"/>
      <c r="I192" s="200"/>
      <c r="J192" s="305"/>
      <c r="K192" s="305"/>
      <c r="L192" s="200"/>
      <c r="M192" s="200"/>
      <c r="N192" s="200"/>
      <c r="O192" s="200"/>
      <c r="P192" s="200"/>
      <c r="Q192" s="200"/>
      <c r="R192" s="200"/>
      <c r="V192" s="200"/>
      <c r="Y192" s="200"/>
      <c r="Z192" s="305"/>
      <c r="AA192" s="200"/>
      <c r="AB192" s="200"/>
      <c r="AC192" s="200"/>
      <c r="AD192" s="200"/>
      <c r="AE192" s="200"/>
      <c r="AF192" s="200"/>
      <c r="AG192" s="209"/>
      <c r="AH192" s="201"/>
      <c r="AI192" s="200"/>
      <c r="AJ192" s="200"/>
      <c r="AK192" s="209"/>
      <c r="AL192" s="200"/>
      <c r="AM192" s="210"/>
      <c r="AN192" s="210"/>
    </row>
    <row r="193" spans="1:40" x14ac:dyDescent="0.25">
      <c r="A193" s="202"/>
      <c r="C193" s="154"/>
      <c r="F193" s="252"/>
      <c r="H193" s="252"/>
      <c r="I193" s="252"/>
      <c r="J193" s="320"/>
      <c r="K193" s="320"/>
      <c r="L193" s="200"/>
      <c r="M193" s="200"/>
      <c r="N193" s="210"/>
      <c r="O193" s="210"/>
      <c r="P193" s="252"/>
      <c r="Q193" s="252"/>
      <c r="R193" s="200"/>
      <c r="T193" s="154"/>
      <c r="V193" s="252"/>
      <c r="Y193" s="252"/>
      <c r="Z193" s="328"/>
      <c r="AA193" s="200"/>
      <c r="AB193" s="200"/>
      <c r="AC193" s="210"/>
      <c r="AD193" s="210"/>
      <c r="AE193" s="200"/>
      <c r="AF193" s="200"/>
      <c r="AG193" s="209"/>
      <c r="AH193" s="201"/>
      <c r="AI193" s="252"/>
      <c r="AJ193" s="252"/>
      <c r="AK193" s="209"/>
      <c r="AL193" s="200"/>
      <c r="AM193" s="210"/>
      <c r="AN193" s="210"/>
    </row>
    <row r="194" spans="1:40" x14ac:dyDescent="0.25">
      <c r="A194" s="202"/>
      <c r="C194" s="154"/>
      <c r="F194" s="252"/>
      <c r="H194" s="252"/>
      <c r="I194" s="252"/>
      <c r="J194" s="320"/>
      <c r="K194" s="320"/>
      <c r="L194" s="200"/>
      <c r="M194" s="200"/>
      <c r="N194" s="210"/>
      <c r="O194" s="210"/>
      <c r="P194" s="252"/>
      <c r="Q194" s="252"/>
      <c r="R194" s="200"/>
      <c r="T194" s="154"/>
      <c r="V194" s="252"/>
      <c r="Y194" s="200"/>
      <c r="Z194" s="304"/>
      <c r="AA194" s="200"/>
      <c r="AB194" s="200"/>
      <c r="AC194" s="210"/>
      <c r="AD194" s="210"/>
      <c r="AE194" s="200"/>
      <c r="AF194" s="200"/>
      <c r="AG194" s="209"/>
      <c r="AH194" s="201"/>
      <c r="AI194" s="252"/>
      <c r="AJ194" s="252"/>
      <c r="AK194" s="209"/>
      <c r="AL194" s="200"/>
      <c r="AM194" s="210"/>
      <c r="AN194" s="210"/>
    </row>
    <row r="195" spans="1:40" x14ac:dyDescent="0.25">
      <c r="A195" s="202"/>
      <c r="C195" s="154"/>
      <c r="F195" s="252"/>
      <c r="H195" s="252"/>
      <c r="I195" s="252"/>
      <c r="J195" s="320"/>
      <c r="K195" s="320"/>
      <c r="L195" s="200"/>
      <c r="M195" s="200"/>
      <c r="N195" s="210"/>
      <c r="O195" s="210"/>
      <c r="P195" s="252"/>
      <c r="Q195" s="252"/>
      <c r="R195" s="200"/>
      <c r="T195" s="154"/>
      <c r="V195" s="252"/>
      <c r="Y195" s="200"/>
      <c r="Z195" s="304"/>
      <c r="AA195" s="200"/>
      <c r="AB195" s="200"/>
      <c r="AC195" s="210"/>
      <c r="AD195" s="210"/>
      <c r="AE195" s="200"/>
      <c r="AF195" s="200"/>
      <c r="AG195" s="209"/>
      <c r="AH195" s="201"/>
      <c r="AI195" s="252"/>
      <c r="AJ195" s="252"/>
      <c r="AK195" s="209"/>
      <c r="AL195" s="200"/>
      <c r="AM195" s="210"/>
      <c r="AN195" s="210"/>
    </row>
    <row r="196" spans="1:40" x14ac:dyDescent="0.25">
      <c r="F196" s="211"/>
      <c r="H196" s="211"/>
      <c r="I196" s="211"/>
      <c r="J196" s="305"/>
      <c r="K196" s="305"/>
      <c r="L196" s="211"/>
      <c r="M196" s="211"/>
      <c r="N196" s="211"/>
      <c r="O196" s="211"/>
      <c r="P196" s="211"/>
      <c r="Q196" s="211"/>
      <c r="R196" s="211"/>
      <c r="V196" s="211"/>
      <c r="Y196" s="211"/>
      <c r="Z196" s="305"/>
      <c r="AA196" s="211"/>
      <c r="AB196" s="211"/>
      <c r="AC196" s="211"/>
      <c r="AD196" s="211"/>
      <c r="AE196" s="211"/>
      <c r="AF196" s="211"/>
      <c r="AI196" s="211"/>
      <c r="AJ196" s="211"/>
      <c r="AK196" s="212"/>
      <c r="AL196" s="211"/>
      <c r="AM196" s="210"/>
      <c r="AN196" s="210"/>
    </row>
    <row r="197" spans="1:40" x14ac:dyDescent="0.25">
      <c r="A197" s="202"/>
      <c r="C197" s="154"/>
      <c r="F197" s="200"/>
      <c r="H197" s="200"/>
      <c r="I197" s="200"/>
      <c r="J197" s="213"/>
      <c r="K197" s="213"/>
      <c r="L197" s="200"/>
      <c r="M197" s="200"/>
      <c r="N197" s="210"/>
      <c r="O197" s="210"/>
      <c r="P197" s="200"/>
      <c r="Q197" s="200"/>
      <c r="R197" s="200"/>
      <c r="T197" s="154"/>
      <c r="V197" s="200"/>
      <c r="Y197" s="200"/>
      <c r="Z197" s="213"/>
      <c r="AA197" s="200"/>
      <c r="AB197" s="200"/>
      <c r="AC197" s="210"/>
      <c r="AD197" s="210"/>
      <c r="AE197" s="200"/>
      <c r="AF197" s="200"/>
      <c r="AG197" s="209"/>
      <c r="AH197" s="201"/>
      <c r="AI197" s="200"/>
      <c r="AJ197" s="200"/>
      <c r="AK197" s="209"/>
      <c r="AL197" s="200"/>
      <c r="AM197" s="210"/>
      <c r="AN197" s="210"/>
    </row>
    <row r="198" spans="1:40" x14ac:dyDescent="0.25">
      <c r="F198" s="211"/>
      <c r="H198" s="211"/>
      <c r="I198" s="211"/>
      <c r="J198" s="305"/>
      <c r="K198" s="305"/>
      <c r="L198" s="211"/>
      <c r="M198" s="211"/>
      <c r="N198" s="211"/>
      <c r="O198" s="211"/>
      <c r="P198" s="211"/>
      <c r="Q198" s="211"/>
      <c r="R198" s="211"/>
      <c r="V198" s="211"/>
      <c r="Y198" s="211"/>
      <c r="Z198" s="305"/>
      <c r="AA198" s="211"/>
      <c r="AB198" s="211"/>
      <c r="AC198" s="211"/>
      <c r="AD198" s="211"/>
      <c r="AE198" s="211"/>
      <c r="AF198" s="211"/>
      <c r="AI198" s="211"/>
      <c r="AJ198" s="211"/>
      <c r="AK198" s="212"/>
      <c r="AL198" s="211"/>
      <c r="AM198" s="210"/>
      <c r="AN198" s="210"/>
    </row>
    <row r="199" spans="1:40" x14ac:dyDescent="0.25">
      <c r="A199" s="202"/>
      <c r="C199" s="154"/>
      <c r="F199" s="200"/>
      <c r="H199" s="200"/>
      <c r="I199" s="200"/>
      <c r="J199" s="213"/>
      <c r="K199" s="213"/>
      <c r="L199" s="200"/>
      <c r="M199" s="200"/>
      <c r="N199" s="210"/>
      <c r="O199" s="210"/>
      <c r="P199" s="200"/>
      <c r="Q199" s="200"/>
      <c r="R199" s="200"/>
      <c r="T199" s="154"/>
      <c r="V199" s="200"/>
      <c r="Y199" s="200"/>
      <c r="Z199" s="213"/>
      <c r="AA199" s="200"/>
      <c r="AB199" s="200"/>
      <c r="AC199" s="210"/>
      <c r="AD199" s="210"/>
      <c r="AE199" s="200"/>
      <c r="AF199" s="200"/>
      <c r="AG199" s="209"/>
      <c r="AH199" s="201"/>
      <c r="AI199" s="200"/>
      <c r="AJ199" s="200"/>
      <c r="AK199" s="209"/>
      <c r="AL199" s="200"/>
      <c r="AM199" s="210"/>
      <c r="AN199" s="210"/>
    </row>
    <row r="200" spans="1:40" x14ac:dyDescent="0.25">
      <c r="A200" s="202"/>
      <c r="C200" s="154"/>
      <c r="F200" s="200"/>
      <c r="H200" s="200"/>
      <c r="I200" s="200"/>
      <c r="J200" s="213"/>
      <c r="K200" s="213"/>
      <c r="L200" s="200"/>
      <c r="M200" s="200"/>
      <c r="N200" s="210"/>
      <c r="O200" s="210"/>
      <c r="P200" s="200"/>
      <c r="Q200" s="200"/>
      <c r="R200" s="200"/>
      <c r="T200" s="154"/>
      <c r="V200" s="200"/>
      <c r="Y200" s="200"/>
      <c r="Z200" s="213"/>
      <c r="AA200" s="200"/>
      <c r="AB200" s="200"/>
      <c r="AC200" s="210"/>
      <c r="AD200" s="210"/>
      <c r="AE200" s="200"/>
      <c r="AF200" s="200"/>
      <c r="AG200" s="209"/>
      <c r="AH200" s="201"/>
      <c r="AI200" s="200"/>
      <c r="AJ200" s="200"/>
      <c r="AK200" s="209"/>
      <c r="AL200" s="200"/>
      <c r="AM200" s="210"/>
      <c r="AN200" s="210"/>
    </row>
    <row r="201" spans="1:40" x14ac:dyDescent="0.25">
      <c r="F201" s="211"/>
      <c r="H201" s="211"/>
      <c r="I201" s="211"/>
      <c r="J201" s="305"/>
      <c r="K201" s="305"/>
      <c r="L201" s="211"/>
      <c r="M201" s="211"/>
      <c r="N201" s="211"/>
      <c r="O201" s="211"/>
      <c r="P201" s="211"/>
      <c r="Q201" s="211"/>
      <c r="R201" s="211"/>
      <c r="V201" s="211"/>
      <c r="Y201" s="211"/>
      <c r="Z201" s="305"/>
      <c r="AA201" s="211"/>
      <c r="AB201" s="211"/>
      <c r="AC201" s="211"/>
      <c r="AD201" s="211"/>
      <c r="AE201" s="211"/>
      <c r="AF201" s="211"/>
      <c r="AI201" s="211"/>
      <c r="AJ201" s="211"/>
      <c r="AK201" s="212"/>
      <c r="AL201" s="211"/>
      <c r="AM201" s="200"/>
      <c r="AN201" s="200"/>
    </row>
    <row r="202" spans="1:40" x14ac:dyDescent="0.25">
      <c r="F202" s="200"/>
      <c r="H202" s="200"/>
      <c r="I202" s="200"/>
      <c r="J202" s="213"/>
      <c r="K202" s="213"/>
      <c r="L202" s="200"/>
      <c r="M202" s="200"/>
      <c r="N202" s="200"/>
      <c r="O202" s="200"/>
      <c r="P202" s="200"/>
      <c r="Q202" s="200"/>
      <c r="R202" s="200"/>
      <c r="V202" s="200"/>
      <c r="Y202" s="200"/>
      <c r="Z202" s="213"/>
      <c r="AA202" s="200"/>
      <c r="AB202" s="200"/>
      <c r="AC202" s="200"/>
      <c r="AD202" s="200"/>
    </row>
    <row r="203" spans="1:40" x14ac:dyDescent="0.25">
      <c r="C203" s="154"/>
      <c r="F203" s="200"/>
      <c r="H203" s="200"/>
      <c r="I203" s="200"/>
      <c r="J203" s="213"/>
      <c r="K203" s="213"/>
      <c r="L203" s="200"/>
      <c r="M203" s="200"/>
      <c r="N203" s="200"/>
      <c r="O203" s="200"/>
      <c r="P203" s="200"/>
      <c r="Q203" s="200"/>
      <c r="R203" s="200"/>
      <c r="T203" s="154"/>
      <c r="V203" s="200"/>
      <c r="Y203" s="200"/>
      <c r="Z203" s="213"/>
      <c r="AA203" s="200"/>
      <c r="AB203" s="200"/>
      <c r="AC203" s="200"/>
      <c r="AD203" s="200"/>
    </row>
    <row r="204" spans="1:40" x14ac:dyDescent="0.25">
      <c r="A204" s="154"/>
    </row>
    <row r="205" spans="1:40" x14ac:dyDescent="0.25">
      <c r="J205" s="202"/>
      <c r="K205" s="202"/>
      <c r="Z205" s="202"/>
    </row>
    <row r="206" spans="1:40" x14ac:dyDescent="0.25">
      <c r="H206" s="154"/>
      <c r="I206" s="154"/>
      <c r="Y206" s="154"/>
    </row>
    <row r="207" spans="1:40" x14ac:dyDescent="0.25">
      <c r="J207" s="202"/>
      <c r="K207" s="202"/>
      <c r="Z207" s="202"/>
    </row>
    <row r="208" spans="1:40" x14ac:dyDescent="0.25">
      <c r="L208" s="154"/>
      <c r="M208" s="154"/>
      <c r="AA208" s="154"/>
      <c r="AB208" s="154"/>
    </row>
    <row r="209" spans="1:40" x14ac:dyDescent="0.25">
      <c r="A209" s="202"/>
      <c r="R209" s="154"/>
      <c r="AK209" s="297"/>
      <c r="AL209" s="154"/>
    </row>
    <row r="210" spans="1:40" x14ac:dyDescent="0.25">
      <c r="A210" s="202"/>
      <c r="R210" s="154"/>
      <c r="AK210" s="297"/>
      <c r="AL210" s="154"/>
    </row>
    <row r="211" spans="1:40" x14ac:dyDescent="0.25">
      <c r="A211" s="154"/>
      <c r="R211" s="154"/>
      <c r="AK211" s="297"/>
      <c r="AL211" s="154"/>
    </row>
    <row r="212" spans="1:40" x14ac:dyDescent="0.25">
      <c r="L212" s="154"/>
      <c r="M212" s="154"/>
      <c r="R212" s="202"/>
      <c r="AA212" s="154"/>
      <c r="AB212" s="154"/>
      <c r="AK212" s="209"/>
      <c r="AL212" s="202"/>
    </row>
    <row r="213" spans="1:40" x14ac:dyDescent="0.2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208"/>
      <c r="AH213" s="102"/>
      <c r="AI213" s="102"/>
      <c r="AJ213" s="102"/>
      <c r="AK213" s="208"/>
      <c r="AL213" s="102"/>
      <c r="AM213" s="102"/>
      <c r="AN213" s="102"/>
    </row>
    <row r="214" spans="1:40" x14ac:dyDescent="0.25">
      <c r="L214" s="103"/>
      <c r="M214" s="103"/>
      <c r="N214" s="103"/>
      <c r="O214" s="103"/>
      <c r="R214" s="103"/>
      <c r="AA214" s="103"/>
      <c r="AB214" s="103"/>
      <c r="AC214" s="103"/>
      <c r="AD214" s="103"/>
      <c r="AE214" s="103"/>
      <c r="AF214" s="103"/>
      <c r="AG214" s="185"/>
      <c r="AH214" s="103"/>
      <c r="AK214" s="185"/>
      <c r="AL214" s="103"/>
      <c r="AM214" s="103"/>
      <c r="AN214" s="103"/>
    </row>
    <row r="215" spans="1:40" x14ac:dyDescent="0.25">
      <c r="L215" s="103"/>
      <c r="M215" s="103"/>
      <c r="N215" s="103"/>
      <c r="O215" s="103"/>
      <c r="R215" s="103"/>
      <c r="Z215" s="103"/>
      <c r="AA215" s="103"/>
      <c r="AB215" s="103"/>
      <c r="AC215" s="103"/>
      <c r="AD215" s="103"/>
      <c r="AE215" s="103"/>
      <c r="AF215" s="103"/>
      <c r="AG215" s="185"/>
      <c r="AH215" s="103"/>
      <c r="AK215" s="185"/>
      <c r="AL215" s="103"/>
      <c r="AM215" s="103"/>
      <c r="AN215" s="103"/>
    </row>
    <row r="216" spans="1:40" x14ac:dyDescent="0.25">
      <c r="A216" s="103"/>
      <c r="C216" s="103"/>
      <c r="D216" s="103"/>
      <c r="E216" s="103"/>
      <c r="F216" s="103"/>
      <c r="J216" s="103"/>
      <c r="K216" s="103"/>
      <c r="L216" s="103"/>
      <c r="M216" s="103"/>
      <c r="N216" s="103"/>
      <c r="O216" s="103"/>
      <c r="P216" s="103"/>
      <c r="Q216" s="103"/>
      <c r="R216" s="103"/>
      <c r="T216" s="103"/>
      <c r="U216" s="103"/>
      <c r="V216" s="103"/>
      <c r="Z216" s="103"/>
      <c r="AA216" s="103"/>
      <c r="AB216" s="103"/>
      <c r="AC216" s="103"/>
      <c r="AD216" s="103"/>
      <c r="AE216" s="103"/>
      <c r="AF216" s="103"/>
      <c r="AG216" s="185"/>
      <c r="AH216" s="103"/>
      <c r="AI216" s="103"/>
      <c r="AJ216" s="103"/>
      <c r="AK216" s="185"/>
      <c r="AL216" s="103"/>
      <c r="AM216" s="103"/>
      <c r="AN216" s="103"/>
    </row>
    <row r="217" spans="1:40" x14ac:dyDescent="0.25">
      <c r="A217" s="103"/>
      <c r="C217" s="103"/>
      <c r="D217" s="103"/>
      <c r="E217" s="103"/>
      <c r="F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T217" s="103"/>
      <c r="U217" s="103"/>
      <c r="V217" s="103"/>
      <c r="Y217" s="103"/>
      <c r="Z217" s="103"/>
      <c r="AA217" s="103"/>
      <c r="AB217" s="103"/>
      <c r="AC217" s="103"/>
      <c r="AD217" s="103"/>
      <c r="AE217" s="103"/>
      <c r="AF217" s="103"/>
      <c r="AG217" s="185"/>
      <c r="AH217" s="103"/>
      <c r="AI217" s="103"/>
      <c r="AJ217" s="103"/>
      <c r="AK217" s="185"/>
      <c r="AL217" s="103"/>
      <c r="AM217" s="103"/>
      <c r="AN217" s="103"/>
    </row>
    <row r="218" spans="1:40" x14ac:dyDescent="0.25">
      <c r="C218" s="103"/>
      <c r="D218" s="103"/>
      <c r="E218" s="103"/>
      <c r="F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T218" s="103"/>
      <c r="U218" s="103"/>
      <c r="V218" s="103"/>
      <c r="Y218" s="103"/>
      <c r="Z218" s="103"/>
      <c r="AA218" s="103"/>
      <c r="AB218" s="103"/>
      <c r="AC218" s="103"/>
      <c r="AD218" s="103"/>
      <c r="AE218" s="103"/>
      <c r="AF218" s="103"/>
      <c r="AG218" s="185"/>
      <c r="AH218" s="103"/>
      <c r="AI218" s="103"/>
      <c r="AJ218" s="103"/>
      <c r="AK218" s="185"/>
      <c r="AL218" s="103"/>
      <c r="AM218" s="103"/>
      <c r="AN218" s="103"/>
    </row>
    <row r="219" spans="1:40" x14ac:dyDescent="0.2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208"/>
      <c r="AH219" s="102"/>
      <c r="AI219" s="102"/>
      <c r="AJ219" s="102"/>
      <c r="AK219" s="208"/>
      <c r="AL219" s="102"/>
      <c r="AM219" s="102"/>
      <c r="AN219" s="102"/>
    </row>
    <row r="220" spans="1:40" x14ac:dyDescent="0.25"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Y220" s="103"/>
      <c r="Z220" s="103"/>
      <c r="AA220" s="103"/>
      <c r="AB220" s="103"/>
      <c r="AC220" s="103"/>
      <c r="AD220" s="103"/>
      <c r="AE220" s="103"/>
      <c r="AF220" s="103"/>
      <c r="AG220" s="185"/>
      <c r="AH220" s="103"/>
      <c r="AI220" s="103"/>
      <c r="AJ220" s="103"/>
      <c r="AK220" s="185"/>
      <c r="AL220" s="103"/>
      <c r="AM220" s="103"/>
      <c r="AN220" s="103"/>
    </row>
    <row r="221" spans="1:40" x14ac:dyDescent="0.25">
      <c r="A221" s="202"/>
      <c r="C221" s="154"/>
      <c r="D221" s="154"/>
      <c r="E221" s="154"/>
      <c r="T221" s="154"/>
      <c r="U221" s="154"/>
    </row>
    <row r="223" spans="1:40" x14ac:dyDescent="0.25">
      <c r="A223" s="202"/>
      <c r="C223" s="154"/>
      <c r="F223" s="252"/>
      <c r="H223" s="317"/>
      <c r="I223" s="317"/>
      <c r="J223" s="300"/>
      <c r="K223" s="300"/>
      <c r="L223" s="200"/>
      <c r="M223" s="200"/>
      <c r="N223" s="202"/>
      <c r="O223" s="202"/>
      <c r="P223" s="202"/>
      <c r="Q223" s="202"/>
      <c r="R223" s="200"/>
      <c r="T223" s="154"/>
      <c r="V223" s="200"/>
      <c r="Y223" s="202"/>
      <c r="Z223" s="300"/>
      <c r="AA223" s="200"/>
      <c r="AB223" s="200"/>
      <c r="AC223" s="202"/>
      <c r="AD223" s="202"/>
      <c r="AE223" s="200"/>
      <c r="AF223" s="200"/>
      <c r="AG223" s="325"/>
      <c r="AH223" s="326"/>
      <c r="AI223" s="200"/>
      <c r="AJ223" s="200"/>
      <c r="AK223" s="209"/>
      <c r="AL223" s="200"/>
      <c r="AM223" s="327"/>
      <c r="AN223" s="327"/>
    </row>
    <row r="224" spans="1:40" x14ac:dyDescent="0.25">
      <c r="F224" s="252"/>
      <c r="H224" s="317"/>
      <c r="I224" s="317"/>
      <c r="J224" s="317"/>
      <c r="K224" s="317"/>
      <c r="R224" s="200"/>
      <c r="V224" s="200"/>
      <c r="Z224" s="317"/>
    </row>
    <row r="225" spans="1:40" x14ac:dyDescent="0.25">
      <c r="A225" s="202"/>
      <c r="C225" s="154"/>
      <c r="F225" s="252"/>
      <c r="H225" s="252"/>
      <c r="I225" s="252"/>
      <c r="J225" s="320"/>
      <c r="K225" s="320"/>
      <c r="L225" s="200"/>
      <c r="M225" s="200"/>
      <c r="N225" s="210"/>
      <c r="O225" s="210"/>
      <c r="P225" s="252"/>
      <c r="Q225" s="252"/>
      <c r="R225" s="200"/>
      <c r="T225" s="154"/>
      <c r="V225" s="200"/>
      <c r="Y225" s="200"/>
      <c r="Z225" s="304"/>
      <c r="AA225" s="200"/>
      <c r="AB225" s="200"/>
      <c r="AC225" s="210"/>
      <c r="AD225" s="210"/>
      <c r="AE225" s="200"/>
      <c r="AF225" s="200"/>
      <c r="AG225" s="209"/>
      <c r="AH225" s="201"/>
      <c r="AI225" s="252"/>
      <c r="AJ225" s="252"/>
      <c r="AK225" s="209"/>
      <c r="AL225" s="200"/>
      <c r="AM225" s="210"/>
      <c r="AN225" s="210"/>
    </row>
    <row r="226" spans="1:40" x14ac:dyDescent="0.25">
      <c r="F226" s="211"/>
      <c r="H226" s="211"/>
      <c r="I226" s="211"/>
      <c r="J226" s="305"/>
      <c r="K226" s="305"/>
      <c r="L226" s="211"/>
      <c r="M226" s="211"/>
      <c r="N226" s="211"/>
      <c r="O226" s="211"/>
      <c r="P226" s="211"/>
      <c r="Q226" s="211"/>
      <c r="R226" s="211"/>
      <c r="V226" s="211"/>
      <c r="Y226" s="211"/>
      <c r="Z226" s="305"/>
      <c r="AA226" s="211"/>
      <c r="AB226" s="211"/>
      <c r="AC226" s="211"/>
      <c r="AD226" s="211"/>
      <c r="AE226" s="211"/>
      <c r="AF226" s="211"/>
      <c r="AI226" s="211"/>
      <c r="AJ226" s="211"/>
      <c r="AK226" s="212"/>
      <c r="AL226" s="211"/>
    </row>
    <row r="227" spans="1:40" x14ac:dyDescent="0.25">
      <c r="A227" s="202"/>
      <c r="D227" s="154"/>
      <c r="E227" s="154"/>
      <c r="F227" s="200"/>
      <c r="H227" s="200"/>
      <c r="I227" s="200"/>
      <c r="J227" s="213"/>
      <c r="K227" s="213"/>
      <c r="L227" s="200"/>
      <c r="M227" s="200"/>
      <c r="N227" s="210"/>
      <c r="O227" s="210"/>
      <c r="P227" s="200"/>
      <c r="Q227" s="200"/>
      <c r="R227" s="200"/>
      <c r="U227" s="154"/>
      <c r="V227" s="200"/>
      <c r="Y227" s="200"/>
      <c r="Z227" s="213"/>
      <c r="AA227" s="200"/>
      <c r="AB227" s="200"/>
      <c r="AC227" s="210"/>
      <c r="AD227" s="210"/>
      <c r="AE227" s="200"/>
      <c r="AF227" s="200"/>
      <c r="AG227" s="209"/>
      <c r="AH227" s="201"/>
      <c r="AI227" s="200"/>
      <c r="AJ227" s="200"/>
      <c r="AK227" s="209"/>
      <c r="AL227" s="200"/>
      <c r="AM227" s="210"/>
      <c r="AN227" s="210"/>
    </row>
    <row r="228" spans="1:40" x14ac:dyDescent="0.25">
      <c r="F228" s="211"/>
      <c r="H228" s="211"/>
      <c r="I228" s="211"/>
      <c r="J228" s="305"/>
      <c r="K228" s="305"/>
      <c r="L228" s="211"/>
      <c r="M228" s="211"/>
      <c r="N228" s="211"/>
      <c r="O228" s="211"/>
      <c r="P228" s="211"/>
      <c r="Q228" s="211"/>
      <c r="R228" s="211"/>
      <c r="V228" s="211"/>
      <c r="Y228" s="211"/>
      <c r="Z228" s="305"/>
      <c r="AA228" s="211"/>
      <c r="AB228" s="211"/>
      <c r="AC228" s="211"/>
      <c r="AD228" s="211"/>
      <c r="AE228" s="211"/>
      <c r="AF228" s="211"/>
      <c r="AI228" s="211"/>
      <c r="AJ228" s="211"/>
      <c r="AK228" s="212"/>
      <c r="AL228" s="211"/>
    </row>
    <row r="229" spans="1:40" x14ac:dyDescent="0.25">
      <c r="R229" s="200"/>
    </row>
    <row r="230" spans="1:40" x14ac:dyDescent="0.25">
      <c r="R230" s="200"/>
    </row>
    <row r="231" spans="1:40" x14ac:dyDescent="0.25">
      <c r="R231" s="200"/>
    </row>
    <row r="232" spans="1:40" x14ac:dyDescent="0.25">
      <c r="A232" s="202"/>
      <c r="C232" s="154"/>
      <c r="D232" s="154"/>
      <c r="E232" s="154"/>
      <c r="H232" s="200"/>
      <c r="I232" s="200"/>
      <c r="J232" s="213"/>
      <c r="K232" s="213"/>
      <c r="L232" s="200"/>
      <c r="M232" s="200"/>
      <c r="N232" s="210"/>
      <c r="O232" s="210"/>
      <c r="P232" s="200"/>
      <c r="Q232" s="200"/>
      <c r="R232" s="200"/>
      <c r="T232" s="154"/>
      <c r="U232" s="154"/>
      <c r="Y232" s="200"/>
      <c r="Z232" s="213"/>
      <c r="AA232" s="200"/>
      <c r="AB232" s="200"/>
      <c r="AC232" s="210"/>
      <c r="AD232" s="210"/>
    </row>
    <row r="233" spans="1:40" x14ac:dyDescent="0.25">
      <c r="H233" s="200"/>
      <c r="I233" s="200"/>
      <c r="J233" s="213"/>
      <c r="K233" s="213"/>
      <c r="L233" s="200"/>
      <c r="M233" s="200"/>
      <c r="N233" s="210"/>
      <c r="O233" s="210"/>
      <c r="P233" s="200"/>
      <c r="Q233" s="200"/>
      <c r="R233" s="200"/>
      <c r="Y233" s="200"/>
      <c r="Z233" s="213"/>
      <c r="AA233" s="200"/>
      <c r="AB233" s="200"/>
      <c r="AC233" s="210"/>
      <c r="AD233" s="210"/>
    </row>
    <row r="234" spans="1:40" x14ac:dyDescent="0.25">
      <c r="A234" s="202"/>
      <c r="C234" s="154"/>
      <c r="F234" s="252"/>
      <c r="H234" s="252"/>
      <c r="I234" s="252"/>
      <c r="J234" s="214"/>
      <c r="K234" s="214"/>
      <c r="L234" s="252"/>
      <c r="M234" s="252"/>
      <c r="N234" s="210"/>
      <c r="O234" s="210"/>
      <c r="P234" s="200"/>
      <c r="Q234" s="200"/>
      <c r="R234" s="200"/>
      <c r="T234" s="154"/>
      <c r="V234" s="200"/>
      <c r="Y234" s="200"/>
      <c r="Z234" s="214"/>
      <c r="AA234" s="200"/>
      <c r="AB234" s="200"/>
      <c r="AC234" s="210"/>
      <c r="AD234" s="210"/>
      <c r="AE234" s="200"/>
      <c r="AF234" s="200"/>
      <c r="AG234" s="209"/>
      <c r="AH234" s="201"/>
      <c r="AI234" s="200"/>
      <c r="AJ234" s="200"/>
      <c r="AK234" s="209"/>
      <c r="AL234" s="200"/>
      <c r="AM234" s="210"/>
      <c r="AN234" s="210"/>
    </row>
    <row r="235" spans="1:40" x14ac:dyDescent="0.25">
      <c r="F235" s="252"/>
      <c r="H235" s="317"/>
      <c r="I235" s="317"/>
      <c r="J235" s="317"/>
      <c r="K235" s="317"/>
      <c r="R235" s="200"/>
      <c r="V235" s="200"/>
      <c r="Z235" s="317"/>
    </row>
    <row r="236" spans="1:40" x14ac:dyDescent="0.25">
      <c r="A236" s="202"/>
      <c r="C236" s="154"/>
      <c r="F236" s="252"/>
      <c r="H236" s="252"/>
      <c r="I236" s="252"/>
      <c r="J236" s="300"/>
      <c r="K236" s="300"/>
      <c r="L236" s="200"/>
      <c r="M236" s="200"/>
      <c r="N236" s="210"/>
      <c r="O236" s="210"/>
      <c r="P236" s="200"/>
      <c r="Q236" s="200"/>
      <c r="R236" s="200"/>
      <c r="T236" s="154"/>
      <c r="V236" s="200"/>
      <c r="Y236" s="200"/>
      <c r="Z236" s="300"/>
      <c r="AA236" s="200"/>
      <c r="AB236" s="200"/>
      <c r="AC236" s="210"/>
      <c r="AD236" s="210"/>
      <c r="AE236" s="200"/>
      <c r="AF236" s="200"/>
      <c r="AG236" s="209"/>
      <c r="AH236" s="201"/>
      <c r="AI236" s="200"/>
      <c r="AJ236" s="200"/>
      <c r="AK236" s="209"/>
      <c r="AL236" s="200"/>
      <c r="AM236" s="210"/>
      <c r="AN236" s="210"/>
    </row>
    <row r="237" spans="1:40" x14ac:dyDescent="0.25">
      <c r="F237" s="252"/>
      <c r="H237" s="317"/>
      <c r="I237" s="317"/>
      <c r="J237" s="317"/>
      <c r="K237" s="317"/>
      <c r="R237" s="200"/>
      <c r="V237" s="200"/>
      <c r="Z237" s="317"/>
    </row>
    <row r="238" spans="1:40" x14ac:dyDescent="0.25">
      <c r="A238" s="202"/>
      <c r="C238" s="154"/>
      <c r="F238" s="252"/>
      <c r="H238" s="252"/>
      <c r="I238" s="252"/>
      <c r="J238" s="320"/>
      <c r="K238" s="320"/>
      <c r="L238" s="200"/>
      <c r="M238" s="200"/>
      <c r="N238" s="210"/>
      <c r="O238" s="210"/>
      <c r="P238" s="200"/>
      <c r="Q238" s="200"/>
      <c r="R238" s="200"/>
      <c r="T238" s="154"/>
      <c r="V238" s="200"/>
      <c r="Y238" s="200"/>
      <c r="Z238" s="304"/>
      <c r="AA238" s="200"/>
      <c r="AB238" s="200"/>
      <c r="AC238" s="210"/>
      <c r="AD238" s="210"/>
      <c r="AE238" s="200"/>
      <c r="AF238" s="200"/>
      <c r="AG238" s="209"/>
      <c r="AH238" s="201"/>
      <c r="AI238" s="200"/>
      <c r="AJ238" s="200"/>
      <c r="AK238" s="209"/>
      <c r="AL238" s="200"/>
      <c r="AM238" s="210"/>
      <c r="AN238" s="210"/>
    </row>
    <row r="239" spans="1:40" x14ac:dyDescent="0.25">
      <c r="F239" s="211"/>
      <c r="H239" s="211"/>
      <c r="I239" s="211"/>
      <c r="J239" s="305"/>
      <c r="K239" s="305"/>
      <c r="L239" s="211"/>
      <c r="M239" s="211"/>
      <c r="N239" s="211"/>
      <c r="O239" s="211"/>
      <c r="P239" s="211"/>
      <c r="Q239" s="211"/>
      <c r="R239" s="211"/>
      <c r="S239" s="200"/>
      <c r="V239" s="211"/>
      <c r="Y239" s="211"/>
      <c r="Z239" s="305"/>
      <c r="AA239" s="211"/>
      <c r="AB239" s="211"/>
      <c r="AC239" s="211"/>
      <c r="AD239" s="211"/>
      <c r="AE239" s="211"/>
      <c r="AF239" s="211"/>
      <c r="AI239" s="211"/>
      <c r="AJ239" s="211"/>
      <c r="AK239" s="212"/>
      <c r="AL239" s="211"/>
    </row>
    <row r="240" spans="1:40" x14ac:dyDescent="0.25">
      <c r="A240" s="202"/>
      <c r="D240" s="154"/>
      <c r="E240" s="154"/>
      <c r="F240" s="200"/>
      <c r="H240" s="200"/>
      <c r="I240" s="200"/>
      <c r="J240" s="213"/>
      <c r="K240" s="213"/>
      <c r="L240" s="200"/>
      <c r="M240" s="200"/>
      <c r="N240" s="210"/>
      <c r="O240" s="210"/>
      <c r="P240" s="252"/>
      <c r="Q240" s="252"/>
      <c r="R240" s="200"/>
      <c r="S240" s="200"/>
      <c r="U240" s="154"/>
      <c r="V240" s="200"/>
      <c r="Y240" s="200"/>
      <c r="Z240" s="213"/>
      <c r="AA240" s="200"/>
      <c r="AB240" s="200"/>
      <c r="AC240" s="210"/>
      <c r="AD240" s="210"/>
      <c r="AE240" s="200"/>
      <c r="AF240" s="200"/>
      <c r="AG240" s="209"/>
      <c r="AH240" s="201"/>
      <c r="AI240" s="252"/>
      <c r="AJ240" s="252"/>
      <c r="AK240" s="209"/>
      <c r="AL240" s="200"/>
      <c r="AM240" s="210"/>
      <c r="AN240" s="210"/>
    </row>
    <row r="241" spans="1:40" x14ac:dyDescent="0.25">
      <c r="F241" s="211"/>
      <c r="H241" s="211"/>
      <c r="I241" s="211"/>
      <c r="J241" s="305"/>
      <c r="K241" s="305"/>
      <c r="L241" s="211"/>
      <c r="M241" s="211"/>
      <c r="N241" s="211"/>
      <c r="O241" s="211"/>
      <c r="P241" s="211"/>
      <c r="Q241" s="211"/>
      <c r="R241" s="211"/>
      <c r="S241" s="200"/>
      <c r="V241" s="211"/>
      <c r="Y241" s="211"/>
      <c r="Z241" s="305"/>
      <c r="AA241" s="211"/>
      <c r="AB241" s="211"/>
      <c r="AC241" s="211"/>
      <c r="AD241" s="211"/>
      <c r="AE241" s="211"/>
      <c r="AF241" s="211"/>
      <c r="AI241" s="211"/>
      <c r="AJ241" s="211"/>
      <c r="AK241" s="212"/>
      <c r="AL241" s="211"/>
    </row>
    <row r="242" spans="1:40" x14ac:dyDescent="0.25">
      <c r="R242" s="200"/>
    </row>
    <row r="243" spans="1:40" x14ac:dyDescent="0.25">
      <c r="F243" s="200"/>
      <c r="H243" s="200"/>
      <c r="I243" s="200"/>
      <c r="J243" s="213"/>
      <c r="K243" s="213"/>
      <c r="L243" s="200"/>
      <c r="M243" s="200"/>
      <c r="N243" s="200"/>
      <c r="O243" s="200"/>
      <c r="P243" s="200"/>
      <c r="Q243" s="200"/>
      <c r="R243" s="200"/>
      <c r="V243" s="200"/>
      <c r="Y243" s="200"/>
      <c r="Z243" s="213"/>
      <c r="AA243" s="200"/>
      <c r="AB243" s="200"/>
      <c r="AC243" s="200"/>
      <c r="AD243" s="200"/>
    </row>
    <row r="244" spans="1:40" x14ac:dyDescent="0.25">
      <c r="C244" s="154"/>
      <c r="F244" s="200"/>
      <c r="H244" s="200"/>
      <c r="I244" s="200"/>
      <c r="J244" s="213"/>
      <c r="K244" s="213"/>
      <c r="L244" s="200"/>
      <c r="M244" s="200"/>
      <c r="N244" s="200"/>
      <c r="O244" s="200"/>
      <c r="P244" s="200"/>
      <c r="Q244" s="200"/>
      <c r="R244" s="200"/>
      <c r="T244" s="154"/>
      <c r="V244" s="200"/>
      <c r="Y244" s="200"/>
      <c r="Z244" s="213"/>
      <c r="AA244" s="200"/>
      <c r="AB244" s="200"/>
      <c r="AC244" s="200"/>
      <c r="AD244" s="200"/>
    </row>
    <row r="245" spans="1:40" x14ac:dyDescent="0.25">
      <c r="C245" s="154"/>
      <c r="T245" s="154"/>
    </row>
    <row r="246" spans="1:40" x14ac:dyDescent="0.25">
      <c r="A246" s="154"/>
    </row>
    <row r="248" spans="1:40" x14ac:dyDescent="0.25">
      <c r="J248" s="202"/>
      <c r="K248" s="202"/>
      <c r="Z248" s="202"/>
    </row>
    <row r="249" spans="1:40" x14ac:dyDescent="0.25">
      <c r="H249" s="154"/>
      <c r="I249" s="154"/>
      <c r="Y249" s="154"/>
    </row>
    <row r="250" spans="1:40" x14ac:dyDescent="0.25">
      <c r="J250" s="202"/>
      <c r="K250" s="202"/>
      <c r="Z250" s="202"/>
    </row>
    <row r="251" spans="1:40" x14ac:dyDescent="0.25">
      <c r="L251" s="154"/>
      <c r="M251" s="154"/>
      <c r="AA251" s="154"/>
      <c r="AB251" s="154"/>
    </row>
    <row r="252" spans="1:40" x14ac:dyDescent="0.25">
      <c r="A252" s="202"/>
      <c r="R252" s="154"/>
      <c r="AK252" s="297"/>
      <c r="AL252" s="154"/>
    </row>
    <row r="253" spans="1:40" x14ac:dyDescent="0.25">
      <c r="A253" s="202"/>
      <c r="R253" s="154"/>
      <c r="AK253" s="297"/>
      <c r="AL253" s="154"/>
    </row>
    <row r="254" spans="1:40" x14ac:dyDescent="0.25">
      <c r="A254" s="154"/>
      <c r="R254" s="154"/>
      <c r="AK254" s="297"/>
      <c r="AL254" s="154"/>
    </row>
    <row r="255" spans="1:40" x14ac:dyDescent="0.25">
      <c r="L255" s="154"/>
      <c r="M255" s="154"/>
      <c r="R255" s="202"/>
      <c r="AA255" s="154"/>
      <c r="AB255" s="154"/>
      <c r="AK255" s="209"/>
      <c r="AL255" s="202"/>
    </row>
    <row r="256" spans="1:40" x14ac:dyDescent="0.2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208"/>
      <c r="AH256" s="102"/>
      <c r="AI256" s="102"/>
      <c r="AJ256" s="102"/>
      <c r="AK256" s="208"/>
      <c r="AL256" s="102"/>
      <c r="AM256" s="102"/>
      <c r="AN256" s="102"/>
    </row>
    <row r="257" spans="1:40" x14ac:dyDescent="0.25">
      <c r="L257" s="103"/>
      <c r="M257" s="103"/>
      <c r="N257" s="103"/>
      <c r="O257" s="103"/>
      <c r="R257" s="103"/>
      <c r="AA257" s="103"/>
      <c r="AB257" s="103"/>
      <c r="AC257" s="103"/>
      <c r="AD257" s="103"/>
      <c r="AE257" s="103"/>
      <c r="AF257" s="103"/>
      <c r="AG257" s="185"/>
      <c r="AH257" s="103"/>
      <c r="AK257" s="185"/>
      <c r="AL257" s="103"/>
      <c r="AM257" s="103"/>
      <c r="AN257" s="103"/>
    </row>
    <row r="258" spans="1:40" x14ac:dyDescent="0.25">
      <c r="L258" s="103"/>
      <c r="M258" s="103"/>
      <c r="N258" s="103"/>
      <c r="O258" s="103"/>
      <c r="R258" s="103"/>
      <c r="Z258" s="103"/>
      <c r="AA258" s="103"/>
      <c r="AB258" s="103"/>
      <c r="AC258" s="103"/>
      <c r="AD258" s="103"/>
      <c r="AE258" s="103"/>
      <c r="AF258" s="103"/>
      <c r="AG258" s="185"/>
      <c r="AH258" s="103"/>
      <c r="AK258" s="185"/>
      <c r="AL258" s="103"/>
      <c r="AM258" s="103"/>
      <c r="AN258" s="103"/>
    </row>
    <row r="259" spans="1:40" x14ac:dyDescent="0.25">
      <c r="A259" s="103"/>
      <c r="C259" s="103"/>
      <c r="D259" s="103"/>
      <c r="E259" s="103"/>
      <c r="F259" s="103"/>
      <c r="J259" s="103"/>
      <c r="K259" s="103"/>
      <c r="L259" s="103"/>
      <c r="M259" s="103"/>
      <c r="N259" s="103"/>
      <c r="O259" s="103"/>
      <c r="P259" s="103"/>
      <c r="Q259" s="103"/>
      <c r="R259" s="103"/>
      <c r="T259" s="103"/>
      <c r="U259" s="103"/>
      <c r="V259" s="103"/>
      <c r="Z259" s="103"/>
      <c r="AA259" s="103"/>
      <c r="AB259" s="103"/>
      <c r="AC259" s="103"/>
      <c r="AD259" s="103"/>
      <c r="AE259" s="103"/>
      <c r="AF259" s="103"/>
      <c r="AG259" s="185"/>
      <c r="AH259" s="103"/>
      <c r="AI259" s="103"/>
      <c r="AJ259" s="103"/>
      <c r="AK259" s="185"/>
      <c r="AL259" s="103"/>
      <c r="AM259" s="103"/>
      <c r="AN259" s="103"/>
    </row>
    <row r="260" spans="1:40" x14ac:dyDescent="0.25">
      <c r="A260" s="103"/>
      <c r="C260" s="103"/>
      <c r="D260" s="103"/>
      <c r="E260" s="103"/>
      <c r="F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T260" s="103"/>
      <c r="U260" s="103"/>
      <c r="V260" s="103"/>
      <c r="Y260" s="103"/>
      <c r="Z260" s="103"/>
      <c r="AA260" s="103"/>
      <c r="AB260" s="103"/>
      <c r="AC260" s="103"/>
      <c r="AD260" s="103"/>
      <c r="AE260" s="103"/>
      <c r="AF260" s="103"/>
      <c r="AG260" s="185"/>
      <c r="AH260" s="103"/>
      <c r="AI260" s="103"/>
      <c r="AJ260" s="103"/>
      <c r="AK260" s="185"/>
      <c r="AL260" s="103"/>
      <c r="AM260" s="103"/>
      <c r="AN260" s="103"/>
    </row>
    <row r="261" spans="1:40" x14ac:dyDescent="0.25">
      <c r="C261" s="103"/>
      <c r="D261" s="103"/>
      <c r="E261" s="103"/>
      <c r="F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T261" s="103"/>
      <c r="U261" s="103"/>
      <c r="V261" s="103"/>
      <c r="Y261" s="103"/>
      <c r="Z261" s="103"/>
      <c r="AA261" s="103"/>
      <c r="AB261" s="103"/>
      <c r="AC261" s="103"/>
      <c r="AD261" s="103"/>
      <c r="AE261" s="103"/>
      <c r="AF261" s="103"/>
      <c r="AG261" s="185"/>
      <c r="AH261" s="103"/>
      <c r="AI261" s="103"/>
      <c r="AJ261" s="103"/>
      <c r="AK261" s="185"/>
      <c r="AL261" s="103"/>
      <c r="AM261" s="103"/>
      <c r="AN261" s="103"/>
    </row>
    <row r="262" spans="1:40" x14ac:dyDescent="0.2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208"/>
      <c r="AH262" s="102"/>
      <c r="AI262" s="102"/>
      <c r="AJ262" s="102"/>
      <c r="AK262" s="208"/>
      <c r="AL262" s="102"/>
      <c r="AM262" s="102"/>
      <c r="AN262" s="102"/>
    </row>
    <row r="263" spans="1:40" x14ac:dyDescent="0.25"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Y263" s="103"/>
      <c r="Z263" s="103"/>
      <c r="AA263" s="103"/>
      <c r="AB263" s="103"/>
      <c r="AC263" s="103"/>
      <c r="AD263" s="103"/>
      <c r="AE263" s="103"/>
      <c r="AF263" s="103"/>
      <c r="AG263" s="185"/>
      <c r="AH263" s="103"/>
      <c r="AI263" s="103"/>
      <c r="AJ263" s="103"/>
      <c r="AK263" s="185"/>
      <c r="AL263" s="103"/>
      <c r="AM263" s="103"/>
      <c r="AN263" s="103"/>
    </row>
    <row r="264" spans="1:40" x14ac:dyDescent="0.25">
      <c r="A264" s="202"/>
      <c r="C264" s="154"/>
      <c r="D264" s="154"/>
      <c r="E264" s="154"/>
      <c r="T264" s="154"/>
      <c r="U264" s="154"/>
    </row>
    <row r="265" spans="1:40" x14ac:dyDescent="0.25">
      <c r="A265" s="202"/>
      <c r="D265" s="154"/>
      <c r="E265" s="154"/>
      <c r="U265" s="154"/>
    </row>
    <row r="267" spans="1:40" x14ac:dyDescent="0.25">
      <c r="A267" s="202"/>
      <c r="C267" s="154"/>
      <c r="F267" s="200"/>
      <c r="J267" s="215"/>
      <c r="K267" s="215"/>
      <c r="L267" s="200"/>
      <c r="M267" s="200"/>
      <c r="R267" s="200"/>
      <c r="T267" s="154"/>
      <c r="V267" s="200"/>
      <c r="Z267" s="215"/>
      <c r="AA267" s="200"/>
      <c r="AB267" s="200"/>
      <c r="AK267" s="209"/>
      <c r="AL267" s="200"/>
    </row>
    <row r="268" spans="1:40" x14ac:dyDescent="0.25">
      <c r="F268" s="200"/>
      <c r="R268" s="200"/>
      <c r="V268" s="200"/>
      <c r="AK268" s="209"/>
      <c r="AL268" s="200"/>
    </row>
    <row r="269" spans="1:40" x14ac:dyDescent="0.25">
      <c r="A269" s="202"/>
      <c r="C269" s="154"/>
      <c r="F269" s="252"/>
      <c r="H269" s="252"/>
      <c r="I269" s="252"/>
      <c r="J269" s="300"/>
      <c r="K269" s="300"/>
      <c r="L269" s="200"/>
      <c r="M269" s="200"/>
      <c r="N269" s="210"/>
      <c r="O269" s="210"/>
      <c r="P269" s="200"/>
      <c r="Q269" s="200"/>
      <c r="R269" s="200"/>
      <c r="T269" s="154"/>
      <c r="V269" s="200"/>
      <c r="Y269" s="200"/>
      <c r="Z269" s="300"/>
      <c r="AA269" s="200"/>
      <c r="AB269" s="200"/>
      <c r="AC269" s="210"/>
      <c r="AD269" s="210"/>
      <c r="AE269" s="200"/>
      <c r="AF269" s="200"/>
      <c r="AG269" s="209"/>
      <c r="AH269" s="201"/>
      <c r="AI269" s="200"/>
      <c r="AJ269" s="200"/>
      <c r="AK269" s="209"/>
      <c r="AL269" s="200"/>
      <c r="AM269" s="210"/>
      <c r="AN269" s="210"/>
    </row>
    <row r="270" spans="1:40" x14ac:dyDescent="0.25">
      <c r="A270" s="202"/>
      <c r="C270" s="154"/>
      <c r="F270" s="252"/>
      <c r="H270" s="317"/>
      <c r="I270" s="317"/>
      <c r="J270" s="300"/>
      <c r="K270" s="300"/>
      <c r="L270" s="200"/>
      <c r="M270" s="200"/>
      <c r="N270" s="210"/>
      <c r="O270" s="210"/>
      <c r="P270" s="200"/>
      <c r="Q270" s="200"/>
      <c r="R270" s="200"/>
      <c r="T270" s="154"/>
      <c r="V270" s="200"/>
      <c r="Y270" s="200"/>
      <c r="Z270" s="300"/>
      <c r="AA270" s="200"/>
      <c r="AB270" s="200"/>
      <c r="AC270" s="210"/>
      <c r="AD270" s="210"/>
      <c r="AE270" s="200"/>
      <c r="AF270" s="200"/>
      <c r="AG270" s="209"/>
      <c r="AH270" s="201"/>
      <c r="AI270" s="200"/>
      <c r="AJ270" s="200"/>
      <c r="AK270" s="209"/>
      <c r="AL270" s="200"/>
      <c r="AM270" s="210"/>
      <c r="AN270" s="210"/>
    </row>
    <row r="271" spans="1:40" x14ac:dyDescent="0.25">
      <c r="F271" s="211"/>
      <c r="H271" s="200"/>
      <c r="I271" s="200"/>
      <c r="J271" s="305"/>
      <c r="K271" s="305"/>
      <c r="L271" s="211"/>
      <c r="M271" s="211"/>
      <c r="N271" s="211"/>
      <c r="O271" s="211"/>
      <c r="P271" s="211"/>
      <c r="Q271" s="211"/>
      <c r="R271" s="211"/>
      <c r="V271" s="211"/>
      <c r="Y271" s="200"/>
      <c r="Z271" s="305"/>
      <c r="AA271" s="211"/>
      <c r="AB271" s="211"/>
      <c r="AC271" s="211"/>
      <c r="AD271" s="211"/>
      <c r="AE271" s="211"/>
      <c r="AF271" s="211"/>
      <c r="AI271" s="211"/>
      <c r="AJ271" s="211"/>
      <c r="AK271" s="212"/>
      <c r="AL271" s="211"/>
    </row>
    <row r="272" spans="1:40" x14ac:dyDescent="0.25">
      <c r="A272" s="202"/>
      <c r="C272" s="154"/>
      <c r="F272" s="200"/>
      <c r="H272" s="200"/>
      <c r="I272" s="200"/>
      <c r="J272" s="213"/>
      <c r="K272" s="213"/>
      <c r="L272" s="200"/>
      <c r="M272" s="200"/>
      <c r="N272" s="210"/>
      <c r="O272" s="210"/>
      <c r="P272" s="200"/>
      <c r="Q272" s="200"/>
      <c r="R272" s="200"/>
      <c r="T272" s="154"/>
      <c r="V272" s="200"/>
      <c r="Y272" s="200"/>
      <c r="Z272" s="213"/>
      <c r="AA272" s="200"/>
      <c r="AB272" s="200"/>
      <c r="AC272" s="210"/>
      <c r="AD272" s="210"/>
      <c r="AE272" s="200"/>
      <c r="AF272" s="200"/>
      <c r="AG272" s="209"/>
      <c r="AH272" s="201"/>
      <c r="AI272" s="200"/>
      <c r="AJ272" s="200"/>
      <c r="AK272" s="209"/>
      <c r="AL272" s="200"/>
      <c r="AM272" s="210"/>
      <c r="AN272" s="210"/>
    </row>
    <row r="273" spans="1:40" x14ac:dyDescent="0.25">
      <c r="F273" s="211"/>
      <c r="H273" s="200"/>
      <c r="I273" s="200"/>
      <c r="J273" s="305"/>
      <c r="K273" s="305"/>
      <c r="L273" s="211"/>
      <c r="M273" s="211"/>
      <c r="N273" s="211"/>
      <c r="O273" s="211"/>
      <c r="P273" s="211"/>
      <c r="Q273" s="211"/>
      <c r="R273" s="211"/>
      <c r="V273" s="211"/>
      <c r="Y273" s="200"/>
      <c r="Z273" s="305"/>
      <c r="AA273" s="211"/>
      <c r="AB273" s="211"/>
      <c r="AC273" s="211"/>
      <c r="AD273" s="211"/>
      <c r="AE273" s="211"/>
      <c r="AF273" s="211"/>
      <c r="AI273" s="211"/>
      <c r="AJ273" s="211"/>
      <c r="AK273" s="212"/>
      <c r="AL273" s="211"/>
    </row>
    <row r="274" spans="1:40" x14ac:dyDescent="0.25">
      <c r="F274" s="200"/>
      <c r="R274" s="200"/>
      <c r="V274" s="200"/>
      <c r="AK274" s="209"/>
      <c r="AL274" s="200"/>
    </row>
    <row r="275" spans="1:40" x14ac:dyDescent="0.25">
      <c r="A275" s="202"/>
      <c r="C275" s="154"/>
      <c r="F275" s="200"/>
      <c r="R275" s="200"/>
      <c r="T275" s="154"/>
      <c r="V275" s="200"/>
      <c r="AK275" s="209"/>
      <c r="AL275" s="200"/>
    </row>
    <row r="276" spans="1:40" x14ac:dyDescent="0.25">
      <c r="F276" s="200"/>
      <c r="R276" s="200"/>
      <c r="V276" s="200"/>
      <c r="AK276" s="209"/>
      <c r="AL276" s="200"/>
    </row>
    <row r="277" spans="1:40" x14ac:dyDescent="0.25">
      <c r="A277" s="202"/>
      <c r="C277" s="154"/>
      <c r="F277" s="200"/>
      <c r="H277" s="252"/>
      <c r="I277" s="252"/>
      <c r="J277" s="320"/>
      <c r="K277" s="320"/>
      <c r="L277" s="200"/>
      <c r="M277" s="200"/>
      <c r="N277" s="210"/>
      <c r="O277" s="210"/>
      <c r="P277" s="252"/>
      <c r="Q277" s="252"/>
      <c r="R277" s="200"/>
      <c r="T277" s="154"/>
      <c r="V277" s="200"/>
      <c r="Y277" s="200"/>
      <c r="Z277" s="304"/>
      <c r="AA277" s="200"/>
      <c r="AB277" s="200"/>
      <c r="AC277" s="210"/>
      <c r="AD277" s="210"/>
      <c r="AE277" s="200"/>
      <c r="AF277" s="200"/>
      <c r="AG277" s="209"/>
      <c r="AH277" s="201"/>
      <c r="AI277" s="252"/>
      <c r="AJ277" s="252"/>
      <c r="AK277" s="209"/>
      <c r="AL277" s="200"/>
      <c r="AM277" s="210"/>
      <c r="AN277" s="210"/>
    </row>
    <row r="278" spans="1:40" x14ac:dyDescent="0.25">
      <c r="F278" s="211"/>
      <c r="H278" s="211"/>
      <c r="I278" s="211"/>
      <c r="J278" s="305"/>
      <c r="K278" s="305"/>
      <c r="L278" s="211"/>
      <c r="M278" s="211"/>
      <c r="N278" s="211"/>
      <c r="O278" s="211"/>
      <c r="P278" s="211"/>
      <c r="Q278" s="211"/>
      <c r="R278" s="211"/>
      <c r="V278" s="211"/>
      <c r="Y278" s="211"/>
      <c r="Z278" s="305"/>
      <c r="AA278" s="211"/>
      <c r="AB278" s="211"/>
      <c r="AC278" s="211"/>
      <c r="AD278" s="211"/>
      <c r="AE278" s="211"/>
      <c r="AF278" s="211"/>
      <c r="AI278" s="211"/>
      <c r="AJ278" s="211"/>
      <c r="AK278" s="212"/>
      <c r="AL278" s="211"/>
    </row>
    <row r="280" spans="1:40" x14ac:dyDescent="0.25">
      <c r="A280" s="202"/>
      <c r="C280" s="154"/>
      <c r="F280" s="200"/>
      <c r="H280" s="200"/>
      <c r="I280" s="200"/>
      <c r="J280" s="215"/>
      <c r="K280" s="215"/>
      <c r="L280" s="200"/>
      <c r="M280" s="200"/>
      <c r="N280" s="210"/>
      <c r="O280" s="210"/>
      <c r="P280" s="200"/>
      <c r="Q280" s="200"/>
      <c r="R280" s="200"/>
      <c r="T280" s="154"/>
      <c r="V280" s="200"/>
      <c r="Y280" s="200"/>
      <c r="Z280" s="215"/>
      <c r="AA280" s="200"/>
      <c r="AB280" s="200"/>
      <c r="AC280" s="210"/>
      <c r="AD280" s="210"/>
      <c r="AE280" s="200"/>
      <c r="AF280" s="200"/>
      <c r="AG280" s="209"/>
      <c r="AH280" s="201"/>
      <c r="AI280" s="200"/>
      <c r="AJ280" s="200"/>
      <c r="AK280" s="209"/>
      <c r="AL280" s="200"/>
      <c r="AM280" s="210"/>
      <c r="AN280" s="210"/>
    </row>
    <row r="281" spans="1:40" x14ac:dyDescent="0.25">
      <c r="F281" s="211"/>
      <c r="H281" s="211"/>
      <c r="I281" s="211"/>
      <c r="J281" s="305"/>
      <c r="K281" s="305"/>
      <c r="L281" s="211"/>
      <c r="M281" s="211"/>
      <c r="N281" s="211"/>
      <c r="O281" s="211"/>
      <c r="P281" s="211"/>
      <c r="Q281" s="211"/>
      <c r="R281" s="211"/>
      <c r="V281" s="211"/>
      <c r="Y281" s="211"/>
      <c r="Z281" s="305"/>
      <c r="AA281" s="211"/>
      <c r="AB281" s="211"/>
      <c r="AC281" s="211"/>
      <c r="AD281" s="211"/>
      <c r="AE281" s="211"/>
      <c r="AF281" s="211"/>
      <c r="AI281" s="211"/>
      <c r="AJ281" s="211"/>
      <c r="AK281" s="212"/>
      <c r="AL281" s="211"/>
    </row>
    <row r="282" spans="1:40" x14ac:dyDescent="0.25">
      <c r="R282" s="200"/>
      <c r="AG282" s="209"/>
      <c r="AH282" s="200"/>
    </row>
    <row r="283" spans="1:40" x14ac:dyDescent="0.25">
      <c r="F283" s="200"/>
      <c r="H283" s="200"/>
      <c r="I283" s="200"/>
      <c r="J283" s="213"/>
      <c r="K283" s="213"/>
      <c r="L283" s="200"/>
      <c r="M283" s="200"/>
      <c r="N283" s="200"/>
      <c r="O283" s="200"/>
      <c r="P283" s="200"/>
      <c r="Q283" s="200"/>
      <c r="R283" s="200"/>
      <c r="V283" s="200"/>
      <c r="Y283" s="200"/>
      <c r="Z283" s="213"/>
      <c r="AA283" s="200"/>
      <c r="AB283" s="200"/>
      <c r="AC283" s="200"/>
      <c r="AD283" s="200"/>
      <c r="AE283" s="200"/>
      <c r="AF283" s="200"/>
      <c r="AG283" s="209"/>
      <c r="AH283" s="200"/>
    </row>
    <row r="284" spans="1:40" x14ac:dyDescent="0.25">
      <c r="C284" s="154"/>
      <c r="F284" s="200"/>
      <c r="H284" s="200"/>
      <c r="I284" s="200"/>
      <c r="J284" s="213"/>
      <c r="K284" s="213"/>
      <c r="L284" s="200"/>
      <c r="M284" s="200"/>
      <c r="N284" s="200"/>
      <c r="O284" s="200"/>
      <c r="P284" s="200"/>
      <c r="Q284" s="200"/>
      <c r="R284" s="200"/>
      <c r="T284" s="154"/>
      <c r="V284" s="200"/>
      <c r="Y284" s="200"/>
      <c r="Z284" s="213"/>
      <c r="AA284" s="200"/>
      <c r="AB284" s="200"/>
      <c r="AC284" s="200"/>
      <c r="AD284" s="200"/>
      <c r="AE284" s="200"/>
      <c r="AF284" s="200"/>
      <c r="AG284" s="209"/>
      <c r="AH284" s="200"/>
    </row>
    <row r="285" spans="1:40" x14ac:dyDescent="0.25">
      <c r="A285" s="154"/>
    </row>
    <row r="287" spans="1:40" x14ac:dyDescent="0.25">
      <c r="J287" s="202"/>
      <c r="K287" s="202"/>
      <c r="Z287" s="202"/>
    </row>
    <row r="288" spans="1:40" x14ac:dyDescent="0.25">
      <c r="H288" s="154"/>
      <c r="I288" s="154"/>
      <c r="Y288" s="154"/>
    </row>
    <row r="289" spans="1:40" x14ac:dyDescent="0.25">
      <c r="J289" s="202"/>
      <c r="K289" s="202"/>
      <c r="Z289" s="202"/>
    </row>
    <row r="290" spans="1:40" x14ac:dyDescent="0.25">
      <c r="L290" s="154"/>
      <c r="M290" s="154"/>
      <c r="AA290" s="154"/>
      <c r="AB290" s="154"/>
    </row>
    <row r="291" spans="1:40" x14ac:dyDescent="0.25">
      <c r="A291" s="202"/>
      <c r="R291" s="154"/>
      <c r="AK291" s="297"/>
      <c r="AL291" s="154"/>
    </row>
    <row r="292" spans="1:40" x14ac:dyDescent="0.25">
      <c r="A292" s="202"/>
      <c r="R292" s="154"/>
      <c r="AK292" s="297"/>
      <c r="AL292" s="154"/>
    </row>
    <row r="293" spans="1:40" x14ac:dyDescent="0.25">
      <c r="A293" s="154"/>
      <c r="R293" s="154"/>
      <c r="AK293" s="297"/>
      <c r="AL293" s="154"/>
    </row>
    <row r="294" spans="1:40" x14ac:dyDescent="0.25">
      <c r="L294" s="154"/>
      <c r="M294" s="154"/>
      <c r="R294" s="202"/>
      <c r="AA294" s="154"/>
      <c r="AB294" s="154"/>
      <c r="AK294" s="209"/>
      <c r="AL294" s="202"/>
    </row>
    <row r="295" spans="1:40" x14ac:dyDescent="0.2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208"/>
      <c r="AH295" s="102"/>
      <c r="AI295" s="102"/>
      <c r="AJ295" s="102"/>
      <c r="AK295" s="208"/>
      <c r="AL295" s="102"/>
      <c r="AM295" s="102"/>
      <c r="AN295" s="102"/>
    </row>
    <row r="296" spans="1:40" x14ac:dyDescent="0.25">
      <c r="L296" s="103"/>
      <c r="M296" s="103"/>
      <c r="N296" s="103"/>
      <c r="O296" s="103"/>
      <c r="R296" s="103"/>
      <c r="AA296" s="103"/>
      <c r="AB296" s="103"/>
      <c r="AC296" s="103"/>
      <c r="AD296" s="103"/>
      <c r="AE296" s="103"/>
      <c r="AF296" s="103"/>
      <c r="AG296" s="185"/>
      <c r="AH296" s="103"/>
      <c r="AK296" s="185"/>
      <c r="AL296" s="103"/>
      <c r="AM296" s="103"/>
      <c r="AN296" s="103"/>
    </row>
    <row r="297" spans="1:40" x14ac:dyDescent="0.25">
      <c r="L297" s="103"/>
      <c r="M297" s="103"/>
      <c r="N297" s="103"/>
      <c r="O297" s="103"/>
      <c r="R297" s="103"/>
      <c r="Z297" s="103"/>
      <c r="AA297" s="103"/>
      <c r="AB297" s="103"/>
      <c r="AC297" s="103"/>
      <c r="AD297" s="103"/>
      <c r="AE297" s="103"/>
      <c r="AF297" s="103"/>
      <c r="AG297" s="185"/>
      <c r="AH297" s="103"/>
      <c r="AK297" s="185"/>
      <c r="AL297" s="103"/>
      <c r="AM297" s="103"/>
      <c r="AN297" s="103"/>
    </row>
    <row r="298" spans="1:40" x14ac:dyDescent="0.25">
      <c r="A298" s="103"/>
      <c r="C298" s="103"/>
      <c r="D298" s="103"/>
      <c r="E298" s="103"/>
      <c r="F298" s="103"/>
      <c r="J298" s="103"/>
      <c r="K298" s="103"/>
      <c r="L298" s="103"/>
      <c r="M298" s="103"/>
      <c r="N298" s="103"/>
      <c r="O298" s="103"/>
      <c r="P298" s="103"/>
      <c r="Q298" s="103"/>
      <c r="R298" s="103"/>
      <c r="T298" s="103"/>
      <c r="U298" s="103"/>
      <c r="V298" s="103"/>
      <c r="Z298" s="103"/>
      <c r="AA298" s="103"/>
      <c r="AB298" s="103"/>
      <c r="AC298" s="103"/>
      <c r="AD298" s="103"/>
      <c r="AE298" s="103"/>
      <c r="AF298" s="103"/>
      <c r="AG298" s="185"/>
      <c r="AH298" s="103"/>
      <c r="AI298" s="103"/>
      <c r="AJ298" s="103"/>
      <c r="AK298" s="185"/>
      <c r="AL298" s="103"/>
      <c r="AM298" s="103"/>
      <c r="AN298" s="103"/>
    </row>
    <row r="299" spans="1:40" x14ac:dyDescent="0.25">
      <c r="A299" s="103"/>
      <c r="C299" s="103"/>
      <c r="D299" s="103"/>
      <c r="E299" s="103"/>
      <c r="F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T299" s="103"/>
      <c r="U299" s="103"/>
      <c r="V299" s="103"/>
      <c r="Y299" s="103"/>
      <c r="Z299" s="103"/>
      <c r="AA299" s="103"/>
      <c r="AB299" s="103"/>
      <c r="AC299" s="103"/>
      <c r="AD299" s="103"/>
      <c r="AE299" s="103"/>
      <c r="AF299" s="103"/>
      <c r="AG299" s="185"/>
      <c r="AH299" s="103"/>
      <c r="AI299" s="103"/>
      <c r="AJ299" s="103"/>
      <c r="AK299" s="185"/>
      <c r="AL299" s="103"/>
      <c r="AM299" s="103"/>
      <c r="AN299" s="103"/>
    </row>
    <row r="300" spans="1:40" x14ac:dyDescent="0.25">
      <c r="C300" s="103"/>
      <c r="D300" s="103"/>
      <c r="E300" s="103"/>
      <c r="F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T300" s="103"/>
      <c r="U300" s="103"/>
      <c r="V300" s="103"/>
      <c r="Y300" s="103"/>
      <c r="Z300" s="103"/>
      <c r="AA300" s="103"/>
      <c r="AB300" s="103"/>
      <c r="AC300" s="103"/>
      <c r="AD300" s="103"/>
      <c r="AE300" s="103"/>
      <c r="AF300" s="103"/>
      <c r="AG300" s="185"/>
      <c r="AH300" s="103"/>
      <c r="AI300" s="103"/>
      <c r="AJ300" s="103"/>
      <c r="AK300" s="185"/>
      <c r="AL300" s="103"/>
      <c r="AM300" s="103"/>
      <c r="AN300" s="103"/>
    </row>
    <row r="301" spans="1:40" x14ac:dyDescent="0.2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208"/>
      <c r="AH301" s="102"/>
      <c r="AI301" s="102"/>
      <c r="AJ301" s="102"/>
      <c r="AK301" s="208"/>
      <c r="AL301" s="102"/>
      <c r="AM301" s="102"/>
      <c r="AN301" s="102"/>
    </row>
    <row r="302" spans="1:40" x14ac:dyDescent="0.25"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Y302" s="103"/>
      <c r="Z302" s="103"/>
      <c r="AA302" s="103"/>
      <c r="AB302" s="103"/>
      <c r="AC302" s="103"/>
      <c r="AD302" s="103"/>
      <c r="AE302" s="103"/>
      <c r="AF302" s="103"/>
      <c r="AG302" s="185"/>
      <c r="AH302" s="103"/>
      <c r="AI302" s="103"/>
      <c r="AJ302" s="103"/>
      <c r="AK302" s="185"/>
      <c r="AL302" s="103"/>
      <c r="AM302" s="103"/>
      <c r="AN302" s="103"/>
    </row>
    <row r="303" spans="1:40" x14ac:dyDescent="0.25">
      <c r="A303" s="202"/>
      <c r="C303" s="154"/>
      <c r="D303" s="154"/>
      <c r="E303" s="154"/>
      <c r="T303" s="154"/>
      <c r="U303" s="154"/>
    </row>
    <row r="304" spans="1:40" x14ac:dyDescent="0.25">
      <c r="A304" s="202"/>
      <c r="C304" s="154"/>
      <c r="T304" s="154"/>
    </row>
    <row r="306" spans="1:40" x14ac:dyDescent="0.25">
      <c r="A306" s="202"/>
      <c r="C306" s="154"/>
      <c r="F306" s="252"/>
      <c r="H306" s="252"/>
      <c r="I306" s="252"/>
      <c r="J306" s="300"/>
      <c r="K306" s="300"/>
      <c r="L306" s="200"/>
      <c r="M306" s="200"/>
      <c r="N306" s="210"/>
      <c r="O306" s="210"/>
      <c r="P306" s="202"/>
      <c r="Q306" s="202"/>
      <c r="R306" s="200"/>
      <c r="T306" s="154"/>
      <c r="V306" s="200"/>
      <c r="Y306" s="252"/>
      <c r="Z306" s="300"/>
      <c r="AA306" s="200"/>
      <c r="AB306" s="200"/>
      <c r="AC306" s="210"/>
      <c r="AD306" s="210"/>
      <c r="AE306" s="200"/>
      <c r="AF306" s="200"/>
      <c r="AG306" s="209"/>
      <c r="AH306" s="201"/>
      <c r="AI306" s="202"/>
      <c r="AJ306" s="202"/>
      <c r="AK306" s="209"/>
      <c r="AL306" s="200"/>
      <c r="AM306" s="210"/>
      <c r="AN306" s="210"/>
    </row>
    <row r="307" spans="1:40" x14ac:dyDescent="0.25">
      <c r="F307" s="211"/>
      <c r="H307" s="200"/>
      <c r="I307" s="200"/>
      <c r="J307" s="305"/>
      <c r="K307" s="305"/>
      <c r="L307" s="211"/>
      <c r="M307" s="211"/>
      <c r="N307" s="211"/>
      <c r="O307" s="211"/>
      <c r="P307" s="211"/>
      <c r="Q307" s="211"/>
      <c r="R307" s="211"/>
      <c r="V307" s="211"/>
      <c r="Y307" s="200"/>
      <c r="Z307" s="305"/>
      <c r="AA307" s="211"/>
      <c r="AB307" s="211"/>
      <c r="AC307" s="211"/>
      <c r="AD307" s="211"/>
      <c r="AE307" s="211"/>
      <c r="AF307" s="211"/>
      <c r="AI307" s="211"/>
      <c r="AJ307" s="211"/>
      <c r="AK307" s="212"/>
      <c r="AL307" s="211"/>
      <c r="AM307" s="210"/>
      <c r="AN307" s="210"/>
    </row>
    <row r="308" spans="1:40" x14ac:dyDescent="0.25">
      <c r="A308" s="202"/>
      <c r="C308" s="154"/>
      <c r="F308" s="252"/>
      <c r="H308" s="252"/>
      <c r="I308" s="252"/>
      <c r="J308" s="328"/>
      <c r="K308" s="328"/>
      <c r="L308" s="200"/>
      <c r="M308" s="200"/>
      <c r="N308" s="210"/>
      <c r="O308" s="210"/>
      <c r="P308" s="200"/>
      <c r="Q308" s="200"/>
      <c r="R308" s="200"/>
      <c r="S308" s="200"/>
      <c r="T308" s="154"/>
      <c r="V308" s="252"/>
      <c r="Y308" s="252"/>
      <c r="Z308" s="328"/>
      <c r="AA308" s="200"/>
      <c r="AB308" s="200"/>
      <c r="AC308" s="210"/>
      <c r="AD308" s="210"/>
      <c r="AE308" s="200"/>
      <c r="AF308" s="200"/>
      <c r="AG308" s="209"/>
      <c r="AH308" s="210"/>
      <c r="AI308" s="200"/>
      <c r="AJ308" s="200"/>
      <c r="AK308" s="209"/>
      <c r="AL308" s="200"/>
      <c r="AM308" s="210"/>
      <c r="AN308" s="210"/>
    </row>
    <row r="309" spans="1:40" x14ac:dyDescent="0.25">
      <c r="A309" s="202"/>
      <c r="C309" s="154"/>
      <c r="F309" s="252"/>
      <c r="H309" s="252"/>
      <c r="I309" s="252"/>
      <c r="J309" s="300"/>
      <c r="K309" s="300"/>
      <c r="L309" s="200"/>
      <c r="M309" s="200"/>
      <c r="N309" s="210"/>
      <c r="O309" s="210"/>
      <c r="P309" s="200"/>
      <c r="Q309" s="200"/>
      <c r="R309" s="200"/>
      <c r="T309" s="154"/>
      <c r="V309" s="252"/>
      <c r="Y309" s="200"/>
      <c r="Z309" s="300"/>
      <c r="AA309" s="200"/>
      <c r="AB309" s="200"/>
      <c r="AC309" s="210"/>
      <c r="AD309" s="210"/>
      <c r="AE309" s="200"/>
      <c r="AF309" s="200"/>
      <c r="AG309" s="209"/>
      <c r="AH309" s="201"/>
      <c r="AI309" s="200"/>
      <c r="AJ309" s="200"/>
      <c r="AK309" s="209"/>
      <c r="AL309" s="200"/>
      <c r="AM309" s="210"/>
      <c r="AN309" s="210"/>
    </row>
    <row r="310" spans="1:40" x14ac:dyDescent="0.25">
      <c r="A310" s="202"/>
      <c r="C310" s="154"/>
      <c r="F310" s="252"/>
      <c r="H310" s="252"/>
      <c r="I310" s="252"/>
      <c r="J310" s="300"/>
      <c r="K310" s="300"/>
      <c r="L310" s="200"/>
      <c r="M310" s="200"/>
      <c r="N310" s="210"/>
      <c r="O310" s="210"/>
      <c r="P310" s="200"/>
      <c r="Q310" s="200"/>
      <c r="R310" s="200"/>
      <c r="T310" s="154"/>
      <c r="V310" s="252"/>
      <c r="Y310" s="200"/>
      <c r="Z310" s="300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F311" s="211"/>
      <c r="H311" s="211"/>
      <c r="I311" s="211"/>
      <c r="J311" s="305"/>
      <c r="K311" s="305"/>
      <c r="L311" s="211"/>
      <c r="M311" s="211"/>
      <c r="N311" s="211"/>
      <c r="O311" s="211"/>
      <c r="P311" s="211"/>
      <c r="Q311" s="211"/>
      <c r="R311" s="211"/>
      <c r="V311" s="211"/>
      <c r="Y311" s="211"/>
      <c r="Z311" s="305"/>
      <c r="AA311" s="211"/>
      <c r="AB311" s="211"/>
      <c r="AC311" s="211"/>
      <c r="AD311" s="211"/>
      <c r="AE311" s="211"/>
      <c r="AF311" s="211"/>
      <c r="AI311" s="211"/>
      <c r="AJ311" s="211"/>
      <c r="AK311" s="212"/>
      <c r="AL311" s="211"/>
      <c r="AM311" s="210"/>
      <c r="AN311" s="210"/>
    </row>
    <row r="312" spans="1:40" x14ac:dyDescent="0.25">
      <c r="A312" s="202"/>
      <c r="C312" s="154"/>
      <c r="F312" s="200"/>
      <c r="H312" s="200"/>
      <c r="I312" s="200"/>
      <c r="J312" s="213"/>
      <c r="K312" s="213"/>
      <c r="L312" s="200"/>
      <c r="M312" s="200"/>
      <c r="N312" s="210"/>
      <c r="O312" s="210"/>
      <c r="P312" s="200"/>
      <c r="Q312" s="200"/>
      <c r="R312" s="200"/>
      <c r="T312" s="154"/>
      <c r="V312" s="200"/>
      <c r="Y312" s="200"/>
      <c r="Z312" s="213"/>
      <c r="AA312" s="200"/>
      <c r="AB312" s="200"/>
      <c r="AC312" s="210"/>
      <c r="AD312" s="210"/>
      <c r="AE312" s="200"/>
      <c r="AF312" s="200"/>
      <c r="AG312" s="209"/>
      <c r="AH312" s="201"/>
      <c r="AI312" s="200"/>
      <c r="AJ312" s="200"/>
      <c r="AK312" s="209"/>
      <c r="AL312" s="200"/>
      <c r="AM312" s="210"/>
      <c r="AN312" s="210"/>
    </row>
    <row r="313" spans="1:40" x14ac:dyDescent="0.25">
      <c r="F313" s="211"/>
      <c r="H313" s="211"/>
      <c r="I313" s="211"/>
      <c r="J313" s="305"/>
      <c r="K313" s="305"/>
      <c r="L313" s="211"/>
      <c r="M313" s="211"/>
      <c r="N313" s="211"/>
      <c r="O313" s="211"/>
      <c r="P313" s="211"/>
      <c r="Q313" s="211"/>
      <c r="R313" s="211"/>
      <c r="V313" s="211"/>
      <c r="Y313" s="211"/>
      <c r="Z313" s="305"/>
      <c r="AA313" s="211"/>
      <c r="AB313" s="211"/>
      <c r="AC313" s="211"/>
      <c r="AD313" s="211"/>
      <c r="AE313" s="211"/>
      <c r="AF313" s="211"/>
      <c r="AI313" s="211"/>
      <c r="AJ313" s="211"/>
      <c r="AK313" s="212"/>
      <c r="AL313" s="211"/>
      <c r="AM313" s="210"/>
      <c r="AN313" s="210"/>
    </row>
    <row r="314" spans="1:40" x14ac:dyDescent="0.25">
      <c r="A314" s="202"/>
      <c r="C314" s="154"/>
      <c r="F314" s="200"/>
      <c r="H314" s="200"/>
      <c r="I314" s="200"/>
      <c r="J314" s="213"/>
      <c r="K314" s="213"/>
      <c r="L314" s="200"/>
      <c r="M314" s="200"/>
      <c r="N314" s="210"/>
      <c r="O314" s="210"/>
      <c r="P314" s="200"/>
      <c r="Q314" s="200"/>
      <c r="R314" s="200"/>
      <c r="T314" s="154"/>
      <c r="V314" s="200"/>
      <c r="Y314" s="200"/>
      <c r="Z314" s="213"/>
      <c r="AA314" s="200"/>
      <c r="AB314" s="200"/>
      <c r="AC314" s="210"/>
      <c r="AD314" s="210"/>
      <c r="AE314" s="200"/>
      <c r="AF314" s="200"/>
      <c r="AG314" s="209"/>
      <c r="AH314" s="201"/>
      <c r="AI314" s="200"/>
      <c r="AJ314" s="200"/>
      <c r="AK314" s="209"/>
      <c r="AL314" s="200"/>
      <c r="AM314" s="210"/>
      <c r="AN314" s="210"/>
    </row>
    <row r="315" spans="1:40" x14ac:dyDescent="0.25">
      <c r="A315" s="202"/>
      <c r="C315" s="154"/>
      <c r="F315" s="200"/>
      <c r="H315" s="252"/>
      <c r="I315" s="252"/>
      <c r="J315" s="320"/>
      <c r="K315" s="320"/>
      <c r="L315" s="200"/>
      <c r="M315" s="200"/>
      <c r="N315" s="210"/>
      <c r="O315" s="210"/>
      <c r="P315" s="200"/>
      <c r="Q315" s="200"/>
      <c r="R315" s="200"/>
      <c r="T315" s="154"/>
      <c r="V315" s="200"/>
      <c r="Y315" s="200"/>
      <c r="Z315" s="304"/>
      <c r="AA315" s="200"/>
      <c r="AB315" s="200"/>
      <c r="AC315" s="210"/>
      <c r="AD315" s="210"/>
      <c r="AE315" s="200"/>
      <c r="AF315" s="200"/>
      <c r="AG315" s="209"/>
      <c r="AH315" s="201"/>
      <c r="AI315" s="200"/>
      <c r="AJ315" s="200"/>
      <c r="AK315" s="209"/>
      <c r="AL315" s="200"/>
      <c r="AM315" s="210"/>
      <c r="AN315" s="210"/>
    </row>
    <row r="316" spans="1:40" x14ac:dyDescent="0.25">
      <c r="F316" s="211"/>
      <c r="H316" s="211"/>
      <c r="I316" s="211"/>
      <c r="J316" s="305"/>
      <c r="K316" s="305"/>
      <c r="L316" s="211"/>
      <c r="M316" s="211"/>
      <c r="N316" s="211"/>
      <c r="O316" s="211"/>
      <c r="P316" s="211"/>
      <c r="Q316" s="211"/>
      <c r="R316" s="211"/>
      <c r="V316" s="211"/>
      <c r="Y316" s="211"/>
      <c r="Z316" s="305"/>
      <c r="AA316" s="211"/>
      <c r="AB316" s="211"/>
      <c r="AC316" s="211"/>
      <c r="AD316" s="211"/>
      <c r="AE316" s="211"/>
      <c r="AF316" s="211"/>
      <c r="AI316" s="211"/>
      <c r="AJ316" s="211"/>
      <c r="AK316" s="212"/>
      <c r="AL316" s="211"/>
      <c r="AM316" s="210"/>
      <c r="AN316" s="210"/>
    </row>
    <row r="318" spans="1:40" x14ac:dyDescent="0.25">
      <c r="A318" s="202"/>
      <c r="C318" s="154"/>
      <c r="F318" s="200"/>
      <c r="H318" s="200"/>
      <c r="I318" s="200"/>
      <c r="J318" s="305"/>
      <c r="K318" s="305"/>
      <c r="L318" s="200"/>
      <c r="M318" s="200"/>
      <c r="N318" s="210"/>
      <c r="O318" s="210"/>
      <c r="P318" s="200"/>
      <c r="Q318" s="200"/>
      <c r="R318" s="200"/>
      <c r="S318" s="200"/>
      <c r="T318" s="154"/>
      <c r="V318" s="200"/>
      <c r="Y318" s="200"/>
      <c r="Z318" s="305"/>
      <c r="AA318" s="200"/>
      <c r="AB318" s="200"/>
      <c r="AC318" s="210"/>
      <c r="AD318" s="210"/>
      <c r="AE318" s="200"/>
      <c r="AF318" s="200"/>
      <c r="AG318" s="209"/>
      <c r="AH318" s="210"/>
      <c r="AI318" s="200"/>
      <c r="AJ318" s="200"/>
      <c r="AK318" s="209"/>
      <c r="AL318" s="200"/>
      <c r="AM318" s="210"/>
      <c r="AN318" s="210"/>
    </row>
    <row r="319" spans="1:40" x14ac:dyDescent="0.25">
      <c r="F319" s="211"/>
      <c r="H319" s="211"/>
      <c r="I319" s="211"/>
      <c r="J319" s="305"/>
      <c r="K319" s="305"/>
      <c r="L319" s="211"/>
      <c r="M319" s="211"/>
      <c r="N319" s="211"/>
      <c r="O319" s="211"/>
      <c r="P319" s="211"/>
      <c r="Q319" s="211"/>
      <c r="R319" s="211"/>
      <c r="S319" s="200"/>
      <c r="V319" s="211"/>
      <c r="Y319" s="211"/>
      <c r="Z319" s="305"/>
      <c r="AA319" s="211"/>
      <c r="AB319" s="211"/>
      <c r="AC319" s="211"/>
      <c r="AD319" s="211"/>
      <c r="AE319" s="211"/>
      <c r="AF319" s="211"/>
      <c r="AI319" s="211"/>
      <c r="AJ319" s="211"/>
      <c r="AK319" s="212"/>
      <c r="AL319" s="211"/>
      <c r="AM319" s="210"/>
      <c r="AN319" s="210"/>
    </row>
    <row r="320" spans="1:40" x14ac:dyDescent="0.25">
      <c r="A320" s="202"/>
      <c r="C320" s="154"/>
      <c r="F320" s="252"/>
      <c r="H320" s="252"/>
      <c r="I320" s="252"/>
      <c r="J320" s="305"/>
      <c r="K320" s="305"/>
      <c r="L320" s="200"/>
      <c r="M320" s="200"/>
      <c r="N320" s="210"/>
      <c r="O320" s="210"/>
      <c r="P320" s="200"/>
      <c r="Q320" s="200"/>
      <c r="R320" s="200"/>
      <c r="S320" s="200"/>
      <c r="T320" s="154"/>
      <c r="V320" s="252"/>
      <c r="Y320" s="252"/>
      <c r="Z320" s="305"/>
      <c r="AA320" s="200"/>
      <c r="AB320" s="200"/>
      <c r="AC320" s="210"/>
      <c r="AD320" s="210"/>
      <c r="AE320" s="200"/>
      <c r="AF320" s="200"/>
      <c r="AI320" s="200"/>
      <c r="AJ320" s="200"/>
      <c r="AK320" s="209"/>
      <c r="AL320" s="200"/>
      <c r="AM320" s="210"/>
      <c r="AN320" s="210"/>
    </row>
    <row r="322" spans="1:40" x14ac:dyDescent="0.25">
      <c r="A322" s="202"/>
      <c r="C322" s="154"/>
      <c r="F322" s="252"/>
      <c r="H322" s="252"/>
      <c r="I322" s="252"/>
      <c r="J322" s="300"/>
      <c r="K322" s="300"/>
      <c r="L322" s="200"/>
      <c r="M322" s="200"/>
      <c r="N322" s="210"/>
      <c r="O322" s="210"/>
      <c r="P322" s="202"/>
      <c r="Q322" s="202"/>
      <c r="R322" s="200"/>
      <c r="T322" s="154"/>
      <c r="V322" s="200"/>
      <c r="Y322" s="252"/>
      <c r="Z322" s="300"/>
      <c r="AA322" s="200"/>
      <c r="AB322" s="200"/>
      <c r="AC322" s="210"/>
      <c r="AD322" s="210"/>
      <c r="AE322" s="200"/>
      <c r="AF322" s="200"/>
      <c r="AG322" s="209"/>
      <c r="AH322" s="201"/>
      <c r="AI322" s="202"/>
      <c r="AJ322" s="202"/>
      <c r="AK322" s="209"/>
      <c r="AL322" s="200"/>
      <c r="AM322" s="210"/>
      <c r="AN322" s="210"/>
    </row>
    <row r="323" spans="1:40" x14ac:dyDescent="0.25">
      <c r="F323" s="211"/>
      <c r="H323" s="200"/>
      <c r="I323" s="200"/>
      <c r="J323" s="305"/>
      <c r="K323" s="305"/>
      <c r="L323" s="211"/>
      <c r="M323" s="211"/>
      <c r="N323" s="211"/>
      <c r="O323" s="211"/>
      <c r="P323" s="211"/>
      <c r="Q323" s="211"/>
      <c r="R323" s="211"/>
      <c r="V323" s="211"/>
      <c r="Y323" s="200"/>
      <c r="Z323" s="305"/>
      <c r="AA323" s="211"/>
      <c r="AB323" s="211"/>
      <c r="AC323" s="211"/>
      <c r="AD323" s="211"/>
      <c r="AE323" s="211"/>
      <c r="AF323" s="211"/>
      <c r="AI323" s="211"/>
      <c r="AJ323" s="211"/>
      <c r="AK323" s="212"/>
      <c r="AL323" s="211"/>
      <c r="AM323" s="210"/>
      <c r="AN323" s="210"/>
    </row>
    <row r="324" spans="1:40" x14ac:dyDescent="0.25">
      <c r="A324" s="202"/>
      <c r="C324" s="154"/>
      <c r="F324" s="252"/>
      <c r="H324" s="252"/>
      <c r="I324" s="252"/>
      <c r="J324" s="328"/>
      <c r="K324" s="328"/>
      <c r="L324" s="200"/>
      <c r="M324" s="200"/>
      <c r="N324" s="210"/>
      <c r="O324" s="210"/>
      <c r="P324" s="200"/>
      <c r="Q324" s="200"/>
      <c r="R324" s="200"/>
      <c r="S324" s="200"/>
      <c r="T324" s="154"/>
      <c r="V324" s="252"/>
      <c r="Y324" s="252"/>
      <c r="Z324" s="328"/>
      <c r="AA324" s="200"/>
      <c r="AB324" s="200"/>
      <c r="AC324" s="210"/>
      <c r="AD324" s="210"/>
      <c r="AE324" s="200"/>
      <c r="AF324" s="200"/>
      <c r="AG324" s="209"/>
      <c r="AH324" s="210"/>
      <c r="AI324" s="200"/>
      <c r="AJ324" s="200"/>
      <c r="AK324" s="209"/>
      <c r="AL324" s="200"/>
      <c r="AM324" s="210"/>
      <c r="AN324" s="210"/>
    </row>
    <row r="325" spans="1:40" x14ac:dyDescent="0.25">
      <c r="A325" s="202"/>
      <c r="C325" s="154"/>
      <c r="F325" s="252"/>
      <c r="H325" s="252"/>
      <c r="I325" s="252"/>
      <c r="J325" s="300"/>
      <c r="K325" s="300"/>
      <c r="L325" s="200"/>
      <c r="M325" s="200"/>
      <c r="N325" s="210"/>
      <c r="O325" s="210"/>
      <c r="P325" s="200"/>
      <c r="Q325" s="200"/>
      <c r="R325" s="200"/>
      <c r="T325" s="154"/>
      <c r="V325" s="252"/>
      <c r="Y325" s="200"/>
      <c r="Z325" s="300"/>
      <c r="AA325" s="200"/>
      <c r="AB325" s="200"/>
      <c r="AC325" s="210"/>
      <c r="AD325" s="210"/>
      <c r="AE325" s="200"/>
      <c r="AF325" s="200"/>
      <c r="AG325" s="209"/>
      <c r="AH325" s="201"/>
      <c r="AI325" s="200"/>
      <c r="AJ325" s="200"/>
      <c r="AK325" s="209"/>
      <c r="AL325" s="200"/>
      <c r="AM325" s="210"/>
      <c r="AN325" s="210"/>
    </row>
    <row r="326" spans="1:40" x14ac:dyDescent="0.25">
      <c r="A326" s="202"/>
      <c r="C326" s="154"/>
      <c r="F326" s="252"/>
      <c r="H326" s="252"/>
      <c r="I326" s="252"/>
      <c r="J326" s="300"/>
      <c r="K326" s="300"/>
      <c r="L326" s="200"/>
      <c r="M326" s="200"/>
      <c r="N326" s="210"/>
      <c r="O326" s="210"/>
      <c r="P326" s="200"/>
      <c r="Q326" s="200"/>
      <c r="R326" s="200"/>
      <c r="T326" s="154"/>
      <c r="V326" s="252"/>
      <c r="Y326" s="200"/>
      <c r="Z326" s="300"/>
      <c r="AA326" s="200"/>
      <c r="AB326" s="200"/>
      <c r="AC326" s="210"/>
      <c r="AD326" s="210"/>
      <c r="AE326" s="200"/>
      <c r="AF326" s="200"/>
      <c r="AG326" s="209"/>
      <c r="AH326" s="201"/>
      <c r="AI326" s="200"/>
      <c r="AJ326" s="200"/>
      <c r="AK326" s="209"/>
      <c r="AL326" s="200"/>
      <c r="AM326" s="210"/>
      <c r="AN326" s="210"/>
    </row>
    <row r="327" spans="1:40" x14ac:dyDescent="0.25">
      <c r="F327" s="211"/>
      <c r="H327" s="211"/>
      <c r="I327" s="211"/>
      <c r="J327" s="305"/>
      <c r="K327" s="305"/>
      <c r="L327" s="211"/>
      <c r="M327" s="211"/>
      <c r="N327" s="211"/>
      <c r="O327" s="211"/>
      <c r="P327" s="211"/>
      <c r="Q327" s="211"/>
      <c r="R327" s="211"/>
      <c r="V327" s="211"/>
      <c r="Y327" s="211"/>
      <c r="Z327" s="305"/>
      <c r="AA327" s="211"/>
      <c r="AB327" s="211"/>
      <c r="AC327" s="211"/>
      <c r="AD327" s="211"/>
      <c r="AE327" s="211"/>
      <c r="AF327" s="211"/>
      <c r="AI327" s="211"/>
      <c r="AJ327" s="211"/>
      <c r="AK327" s="212"/>
      <c r="AL327" s="211"/>
      <c r="AM327" s="210"/>
      <c r="AN327" s="210"/>
    </row>
    <row r="328" spans="1:40" x14ac:dyDescent="0.25">
      <c r="A328" s="202"/>
      <c r="C328" s="154"/>
      <c r="F328" s="200"/>
      <c r="H328" s="200"/>
      <c r="I328" s="200"/>
      <c r="J328" s="213"/>
      <c r="K328" s="213"/>
      <c r="L328" s="200"/>
      <c r="M328" s="200"/>
      <c r="N328" s="210"/>
      <c r="O328" s="210"/>
      <c r="P328" s="200"/>
      <c r="Q328" s="200"/>
      <c r="R328" s="200"/>
      <c r="T328" s="154"/>
      <c r="V328" s="200"/>
      <c r="Y328" s="200"/>
      <c r="Z328" s="213"/>
      <c r="AA328" s="200"/>
      <c r="AB328" s="200"/>
      <c r="AC328" s="210"/>
      <c r="AD328" s="210"/>
      <c r="AE328" s="200"/>
      <c r="AF328" s="200"/>
      <c r="AG328" s="209"/>
      <c r="AH328" s="201"/>
      <c r="AI328" s="200"/>
      <c r="AJ328" s="200"/>
      <c r="AK328" s="209"/>
      <c r="AL328" s="200"/>
      <c r="AM328" s="210"/>
      <c r="AN328" s="210"/>
    </row>
    <row r="329" spans="1:40" x14ac:dyDescent="0.25">
      <c r="F329" s="211"/>
      <c r="H329" s="211"/>
      <c r="I329" s="211"/>
      <c r="J329" s="305"/>
      <c r="K329" s="305"/>
      <c r="L329" s="211"/>
      <c r="M329" s="211"/>
      <c r="N329" s="211"/>
      <c r="O329" s="211"/>
      <c r="P329" s="211"/>
      <c r="Q329" s="211"/>
      <c r="R329" s="211"/>
      <c r="V329" s="211"/>
      <c r="Y329" s="211"/>
      <c r="Z329" s="305"/>
      <c r="AA329" s="211"/>
      <c r="AB329" s="211"/>
      <c r="AC329" s="211"/>
      <c r="AD329" s="211"/>
      <c r="AE329" s="211"/>
      <c r="AF329" s="211"/>
      <c r="AI329" s="211"/>
      <c r="AJ329" s="211"/>
      <c r="AK329" s="212"/>
      <c r="AL329" s="211"/>
      <c r="AM329" s="210"/>
      <c r="AN329" s="210"/>
    </row>
    <row r="330" spans="1:40" x14ac:dyDescent="0.25">
      <c r="A330" s="202"/>
      <c r="C330" s="154"/>
      <c r="F330" s="200"/>
      <c r="H330" s="200"/>
      <c r="I330" s="200"/>
      <c r="J330" s="213"/>
      <c r="K330" s="213"/>
      <c r="L330" s="200"/>
      <c r="M330" s="200"/>
      <c r="N330" s="210"/>
      <c r="O330" s="210"/>
      <c r="P330" s="200"/>
      <c r="Q330" s="200"/>
      <c r="R330" s="200"/>
      <c r="T330" s="154"/>
      <c r="V330" s="200"/>
      <c r="Y330" s="200"/>
      <c r="Z330" s="213"/>
      <c r="AA330" s="200"/>
      <c r="AB330" s="200"/>
      <c r="AC330" s="210"/>
      <c r="AD330" s="210"/>
      <c r="AE330" s="200"/>
      <c r="AF330" s="200"/>
      <c r="AG330" s="209"/>
      <c r="AH330" s="201"/>
      <c r="AI330" s="200"/>
      <c r="AJ330" s="200"/>
      <c r="AK330" s="209"/>
      <c r="AL330" s="200"/>
      <c r="AM330" s="210"/>
      <c r="AN330" s="210"/>
    </row>
    <row r="331" spans="1:40" x14ac:dyDescent="0.25">
      <c r="A331" s="202"/>
      <c r="C331" s="154"/>
      <c r="F331" s="200"/>
      <c r="H331" s="252"/>
      <c r="I331" s="252"/>
      <c r="J331" s="320"/>
      <c r="K331" s="320"/>
      <c r="L331" s="200"/>
      <c r="M331" s="200"/>
      <c r="N331" s="210"/>
      <c r="O331" s="210"/>
      <c r="P331" s="200"/>
      <c r="Q331" s="200"/>
      <c r="R331" s="200"/>
      <c r="T331" s="154"/>
      <c r="V331" s="200"/>
      <c r="Y331" s="200"/>
      <c r="Z331" s="304"/>
      <c r="AA331" s="200"/>
      <c r="AB331" s="200"/>
      <c r="AC331" s="210"/>
      <c r="AD331" s="210"/>
      <c r="AE331" s="200"/>
      <c r="AF331" s="200"/>
      <c r="AG331" s="209"/>
      <c r="AH331" s="201"/>
      <c r="AI331" s="200"/>
      <c r="AJ331" s="200"/>
      <c r="AK331" s="209"/>
      <c r="AL331" s="200"/>
      <c r="AM331" s="210"/>
      <c r="AN331" s="210"/>
    </row>
    <row r="332" spans="1:40" x14ac:dyDescent="0.25">
      <c r="F332" s="211"/>
      <c r="H332" s="211"/>
      <c r="I332" s="211"/>
      <c r="J332" s="305"/>
      <c r="K332" s="305"/>
      <c r="L332" s="211"/>
      <c r="M332" s="211"/>
      <c r="N332" s="211"/>
      <c r="O332" s="211"/>
      <c r="P332" s="211"/>
      <c r="Q332" s="211"/>
      <c r="R332" s="211"/>
      <c r="V332" s="211"/>
      <c r="Y332" s="211"/>
      <c r="Z332" s="305"/>
      <c r="AA332" s="211"/>
      <c r="AB332" s="211"/>
      <c r="AC332" s="211"/>
      <c r="AD332" s="211"/>
      <c r="AE332" s="211"/>
      <c r="AF332" s="211"/>
      <c r="AI332" s="211"/>
      <c r="AJ332" s="211"/>
      <c r="AK332" s="212"/>
      <c r="AL332" s="211"/>
      <c r="AM332" s="210"/>
      <c r="AN332" s="210"/>
    </row>
    <row r="334" spans="1:40" x14ac:dyDescent="0.25">
      <c r="A334" s="202"/>
      <c r="C334" s="154"/>
      <c r="F334" s="200"/>
      <c r="H334" s="200"/>
      <c r="I334" s="200"/>
      <c r="J334" s="305"/>
      <c r="K334" s="305"/>
      <c r="L334" s="200"/>
      <c r="M334" s="200"/>
      <c r="N334" s="210"/>
      <c r="O334" s="210"/>
      <c r="P334" s="200"/>
      <c r="Q334" s="200"/>
      <c r="R334" s="200"/>
      <c r="S334" s="200"/>
      <c r="T334" s="154"/>
      <c r="V334" s="200"/>
      <c r="Y334" s="200"/>
      <c r="Z334" s="305"/>
      <c r="AA334" s="200"/>
      <c r="AB334" s="200"/>
      <c r="AC334" s="210"/>
      <c r="AD334" s="210"/>
      <c r="AE334" s="200"/>
      <c r="AF334" s="200"/>
      <c r="AG334" s="209"/>
      <c r="AH334" s="210"/>
      <c r="AI334" s="200"/>
      <c r="AJ334" s="200"/>
      <c r="AK334" s="209"/>
      <c r="AL334" s="200"/>
      <c r="AM334" s="210"/>
      <c r="AN334" s="210"/>
    </row>
    <row r="335" spans="1:40" x14ac:dyDescent="0.25">
      <c r="F335" s="211"/>
      <c r="H335" s="211"/>
      <c r="I335" s="211"/>
      <c r="J335" s="305"/>
      <c r="K335" s="305"/>
      <c r="L335" s="211"/>
      <c r="M335" s="211"/>
      <c r="N335" s="211"/>
      <c r="O335" s="211"/>
      <c r="P335" s="211"/>
      <c r="Q335" s="211"/>
      <c r="R335" s="211"/>
      <c r="S335" s="200"/>
      <c r="V335" s="211"/>
      <c r="Y335" s="211"/>
      <c r="Z335" s="305"/>
      <c r="AA335" s="211"/>
      <c r="AB335" s="211"/>
      <c r="AC335" s="211"/>
      <c r="AD335" s="211"/>
      <c r="AE335" s="211"/>
      <c r="AF335" s="211"/>
      <c r="AI335" s="211"/>
      <c r="AJ335" s="211"/>
      <c r="AK335" s="212"/>
      <c r="AL335" s="211"/>
      <c r="AM335" s="210"/>
      <c r="AN335" s="210"/>
    </row>
    <row r="336" spans="1:40" x14ac:dyDescent="0.25">
      <c r="A336" s="202"/>
      <c r="C336" s="154"/>
      <c r="T336" s="154"/>
    </row>
    <row r="337" spans="1:40" x14ac:dyDescent="0.25">
      <c r="A337" s="202"/>
      <c r="C337" s="154"/>
      <c r="F337" s="200"/>
      <c r="H337" s="200"/>
      <c r="I337" s="200"/>
      <c r="L337" s="200"/>
      <c r="M337" s="200"/>
      <c r="N337" s="210"/>
      <c r="O337" s="210"/>
      <c r="P337" s="252"/>
      <c r="Q337" s="252"/>
      <c r="R337" s="200"/>
      <c r="T337" s="154"/>
      <c r="V337" s="200"/>
      <c r="Y337" s="200"/>
      <c r="AA337" s="200"/>
      <c r="AB337" s="200"/>
      <c r="AC337" s="210"/>
      <c r="AD337" s="210"/>
      <c r="AE337" s="200"/>
      <c r="AF337" s="200"/>
      <c r="AG337" s="209"/>
      <c r="AH337" s="210"/>
      <c r="AI337" s="252"/>
      <c r="AJ337" s="252"/>
      <c r="AK337" s="209"/>
      <c r="AL337" s="200"/>
      <c r="AM337" s="210"/>
      <c r="AN337" s="210"/>
    </row>
    <row r="338" spans="1:40" x14ac:dyDescent="0.25">
      <c r="F338" s="211"/>
      <c r="H338" s="211"/>
      <c r="I338" s="211"/>
      <c r="J338" s="305"/>
      <c r="K338" s="305"/>
      <c r="L338" s="211"/>
      <c r="M338" s="211"/>
      <c r="N338" s="211"/>
      <c r="O338" s="211"/>
      <c r="P338" s="211"/>
      <c r="Q338" s="211"/>
      <c r="R338" s="211"/>
      <c r="V338" s="211"/>
      <c r="Y338" s="211"/>
      <c r="Z338" s="305"/>
      <c r="AA338" s="211"/>
      <c r="AB338" s="211"/>
      <c r="AC338" s="211"/>
      <c r="AD338" s="211"/>
      <c r="AE338" s="211"/>
      <c r="AF338" s="211"/>
      <c r="AI338" s="211"/>
      <c r="AJ338" s="211"/>
      <c r="AK338" s="212"/>
      <c r="AL338" s="211"/>
    </row>
    <row r="340" spans="1:40" x14ac:dyDescent="0.25">
      <c r="C340" s="154"/>
      <c r="L340" s="200"/>
      <c r="M340" s="200"/>
      <c r="N340" s="200"/>
      <c r="O340" s="200"/>
      <c r="P340" s="200"/>
      <c r="Q340" s="200"/>
      <c r="R340" s="200"/>
      <c r="S340" s="200"/>
      <c r="T340" s="154"/>
      <c r="AA340" s="200"/>
      <c r="AB340" s="200"/>
      <c r="AC340" s="200"/>
      <c r="AD340" s="200"/>
      <c r="AI340" s="200"/>
      <c r="AJ340" s="200"/>
      <c r="AK340" s="209"/>
      <c r="AL340" s="200"/>
    </row>
    <row r="341" spans="1:40" x14ac:dyDescent="0.25">
      <c r="A341" s="154"/>
    </row>
    <row r="342" spans="1:40" x14ac:dyDescent="0.25">
      <c r="J342" s="202"/>
      <c r="K342" s="202"/>
      <c r="Z342" s="202"/>
    </row>
    <row r="343" spans="1:40" x14ac:dyDescent="0.25">
      <c r="H343" s="154"/>
      <c r="I343" s="154"/>
      <c r="Y343" s="154"/>
    </row>
    <row r="344" spans="1:40" x14ac:dyDescent="0.25">
      <c r="J344" s="202"/>
      <c r="K344" s="202"/>
      <c r="Z344" s="202"/>
    </row>
    <row r="345" spans="1:40" x14ac:dyDescent="0.25">
      <c r="L345" s="154"/>
      <c r="M345" s="154"/>
      <c r="AA345" s="154"/>
      <c r="AB345" s="154"/>
    </row>
    <row r="346" spans="1:40" x14ac:dyDescent="0.25">
      <c r="A346" s="202"/>
      <c r="R346" s="154"/>
      <c r="AK346" s="297"/>
      <c r="AL346" s="154"/>
    </row>
    <row r="347" spans="1:40" x14ac:dyDescent="0.25">
      <c r="A347" s="202"/>
      <c r="R347" s="154"/>
      <c r="AK347" s="297"/>
      <c r="AL347" s="154"/>
    </row>
    <row r="348" spans="1:40" x14ac:dyDescent="0.25">
      <c r="A348" s="154"/>
      <c r="R348" s="154"/>
      <c r="AK348" s="297"/>
      <c r="AL348" s="154"/>
    </row>
    <row r="349" spans="1:40" x14ac:dyDescent="0.25">
      <c r="L349" s="154"/>
      <c r="M349" s="154"/>
      <c r="R349" s="202"/>
      <c r="AA349" s="154"/>
      <c r="AB349" s="154"/>
      <c r="AK349" s="209"/>
      <c r="AL349" s="202"/>
    </row>
    <row r="350" spans="1:40" x14ac:dyDescent="0.2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208"/>
      <c r="AH350" s="102"/>
      <c r="AI350" s="102"/>
      <c r="AJ350" s="102"/>
      <c r="AK350" s="208"/>
      <c r="AL350" s="102"/>
      <c r="AM350" s="102"/>
      <c r="AN350" s="102"/>
    </row>
    <row r="351" spans="1:40" x14ac:dyDescent="0.25">
      <c r="L351" s="103"/>
      <c r="M351" s="103"/>
      <c r="N351" s="103"/>
      <c r="O351" s="103"/>
      <c r="R351" s="103"/>
      <c r="AA351" s="103"/>
      <c r="AB351" s="103"/>
      <c r="AC351" s="103"/>
      <c r="AD351" s="103"/>
      <c r="AE351" s="103"/>
      <c r="AF351" s="103"/>
      <c r="AG351" s="185"/>
      <c r="AH351" s="103"/>
      <c r="AK351" s="185"/>
      <c r="AL351" s="103"/>
      <c r="AM351" s="103"/>
      <c r="AN351" s="103"/>
    </row>
    <row r="352" spans="1:40" x14ac:dyDescent="0.25">
      <c r="L352" s="103"/>
      <c r="M352" s="103"/>
      <c r="N352" s="103"/>
      <c r="O352" s="103"/>
      <c r="R352" s="103"/>
      <c r="Z352" s="103"/>
      <c r="AA352" s="103"/>
      <c r="AB352" s="103"/>
      <c r="AC352" s="103"/>
      <c r="AD352" s="103"/>
      <c r="AE352" s="103"/>
      <c r="AF352" s="103"/>
      <c r="AG352" s="185"/>
      <c r="AH352" s="103"/>
      <c r="AK352" s="185"/>
      <c r="AL352" s="103"/>
      <c r="AM352" s="103"/>
      <c r="AN352" s="103"/>
    </row>
    <row r="353" spans="1:40" x14ac:dyDescent="0.25">
      <c r="A353" s="103"/>
      <c r="C353" s="103"/>
      <c r="D353" s="103"/>
      <c r="E353" s="103"/>
      <c r="F353" s="103"/>
      <c r="J353" s="103"/>
      <c r="K353" s="103"/>
      <c r="L353" s="103"/>
      <c r="M353" s="103"/>
      <c r="N353" s="103"/>
      <c r="O353" s="103"/>
      <c r="P353" s="103"/>
      <c r="Q353" s="103"/>
      <c r="R353" s="103"/>
      <c r="T353" s="103"/>
      <c r="U353" s="103"/>
      <c r="V353" s="103"/>
      <c r="Z353" s="103"/>
      <c r="AA353" s="103"/>
      <c r="AB353" s="103"/>
      <c r="AC353" s="103"/>
      <c r="AD353" s="103"/>
      <c r="AE353" s="103"/>
      <c r="AF353" s="103"/>
      <c r="AG353" s="185"/>
      <c r="AH353" s="103"/>
      <c r="AI353" s="103"/>
      <c r="AJ353" s="103"/>
      <c r="AK353" s="185"/>
      <c r="AL353" s="103"/>
      <c r="AM353" s="103"/>
      <c r="AN353" s="103"/>
    </row>
    <row r="354" spans="1:40" x14ac:dyDescent="0.25">
      <c r="A354" s="103"/>
      <c r="C354" s="103"/>
      <c r="D354" s="103"/>
      <c r="E354" s="103"/>
      <c r="F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T354" s="103"/>
      <c r="U354" s="103"/>
      <c r="V354" s="103"/>
      <c r="Y354" s="103"/>
      <c r="Z354" s="103"/>
      <c r="AA354" s="103"/>
      <c r="AB354" s="103"/>
      <c r="AC354" s="103"/>
      <c r="AD354" s="103"/>
      <c r="AE354" s="103"/>
      <c r="AF354" s="103"/>
      <c r="AG354" s="185"/>
      <c r="AH354" s="103"/>
      <c r="AI354" s="103"/>
      <c r="AJ354" s="103"/>
      <c r="AK354" s="185"/>
      <c r="AL354" s="103"/>
      <c r="AM354" s="103"/>
      <c r="AN354" s="103"/>
    </row>
    <row r="355" spans="1:40" x14ac:dyDescent="0.25">
      <c r="C355" s="103"/>
      <c r="D355" s="103"/>
      <c r="E355" s="103"/>
      <c r="F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T355" s="103"/>
      <c r="U355" s="103"/>
      <c r="V355" s="103"/>
      <c r="Y355" s="103"/>
      <c r="Z355" s="103"/>
      <c r="AA355" s="103"/>
      <c r="AB355" s="103"/>
      <c r="AC355" s="103"/>
      <c r="AD355" s="103"/>
      <c r="AE355" s="103"/>
      <c r="AF355" s="103"/>
      <c r="AG355" s="185"/>
      <c r="AH355" s="103"/>
      <c r="AI355" s="103"/>
      <c r="AJ355" s="103"/>
      <c r="AK355" s="185"/>
      <c r="AL355" s="103"/>
      <c r="AM355" s="103"/>
      <c r="AN355" s="103"/>
    </row>
    <row r="356" spans="1:40" x14ac:dyDescent="0.2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208"/>
      <c r="AH356" s="102"/>
      <c r="AI356" s="102"/>
      <c r="AJ356" s="102"/>
      <c r="AK356" s="208"/>
      <c r="AL356" s="102"/>
      <c r="AM356" s="102"/>
      <c r="AN356" s="102"/>
    </row>
    <row r="357" spans="1:40" x14ac:dyDescent="0.25"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Y357" s="103"/>
      <c r="Z357" s="103"/>
      <c r="AA357" s="103"/>
      <c r="AB357" s="103"/>
      <c r="AC357" s="103"/>
      <c r="AD357" s="103"/>
      <c r="AE357" s="103"/>
      <c r="AF357" s="103"/>
      <c r="AG357" s="185"/>
      <c r="AH357" s="103"/>
      <c r="AI357" s="103"/>
      <c r="AJ357" s="103"/>
      <c r="AK357" s="185"/>
      <c r="AL357" s="103"/>
      <c r="AM357" s="103"/>
      <c r="AN357" s="103"/>
    </row>
    <row r="358" spans="1:40" x14ac:dyDescent="0.25">
      <c r="A358" s="202"/>
      <c r="C358" s="154"/>
      <c r="D358" s="154"/>
      <c r="E358" s="154"/>
      <c r="T358" s="154"/>
      <c r="U358" s="154"/>
    </row>
    <row r="359" spans="1:40" x14ac:dyDescent="0.25">
      <c r="D359" s="154"/>
      <c r="E359" s="154"/>
      <c r="U359" s="154"/>
    </row>
    <row r="361" spans="1:40" x14ac:dyDescent="0.25">
      <c r="A361" s="202"/>
      <c r="C361" s="154"/>
      <c r="T361" s="154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52"/>
      <c r="W362" s="200"/>
      <c r="X362" s="200"/>
      <c r="Y362" s="252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00"/>
      <c r="H363" s="200"/>
      <c r="I363" s="200"/>
      <c r="J363" s="305"/>
      <c r="K363" s="305"/>
      <c r="L363" s="200"/>
      <c r="M363" s="200"/>
      <c r="N363" s="210"/>
      <c r="O363" s="210"/>
      <c r="P363" s="200"/>
      <c r="Q363" s="200"/>
      <c r="R363" s="200"/>
      <c r="T363" s="154"/>
      <c r="V363" s="252"/>
      <c r="W363" s="200"/>
      <c r="X363" s="200"/>
      <c r="Y363" s="252"/>
      <c r="Z363" s="305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A364" s="202"/>
      <c r="C364" s="154"/>
      <c r="F364" s="252"/>
      <c r="H364" s="252"/>
      <c r="I364" s="252"/>
      <c r="J364" s="329"/>
      <c r="K364" s="329"/>
      <c r="L364" s="200"/>
      <c r="M364" s="200"/>
      <c r="N364" s="210"/>
      <c r="O364" s="210"/>
      <c r="P364" s="200"/>
      <c r="Q364" s="200"/>
      <c r="R364" s="200"/>
      <c r="T364" s="154"/>
      <c r="V364" s="252"/>
      <c r="W364" s="200"/>
      <c r="X364" s="200"/>
      <c r="Y364" s="252"/>
      <c r="Z364" s="329"/>
      <c r="AA364" s="200"/>
      <c r="AB364" s="200"/>
      <c r="AC364" s="210"/>
      <c r="AD364" s="210"/>
      <c r="AE364" s="200"/>
      <c r="AF364" s="200"/>
      <c r="AG364" s="209"/>
      <c r="AH364" s="201"/>
      <c r="AI364" s="200"/>
      <c r="AJ364" s="200"/>
      <c r="AK364" s="209"/>
      <c r="AL364" s="200"/>
      <c r="AM364" s="210"/>
      <c r="AN364" s="210"/>
    </row>
    <row r="365" spans="1:40" x14ac:dyDescent="0.25">
      <c r="A365" s="202"/>
      <c r="C365" s="154"/>
      <c r="F365" s="252"/>
      <c r="H365" s="252"/>
      <c r="I365" s="252"/>
      <c r="J365" s="329"/>
      <c r="K365" s="329"/>
      <c r="L365" s="200"/>
      <c r="M365" s="200"/>
      <c r="N365" s="210"/>
      <c r="O365" s="210"/>
      <c r="P365" s="200"/>
      <c r="Q365" s="200"/>
      <c r="R365" s="200"/>
      <c r="T365" s="154"/>
      <c r="V365" s="252"/>
      <c r="W365" s="200"/>
      <c r="X365" s="200"/>
      <c r="Y365" s="252"/>
      <c r="Z365" s="329"/>
      <c r="AA365" s="200"/>
      <c r="AB365" s="200"/>
      <c r="AC365" s="210"/>
      <c r="AD365" s="21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A366" s="202"/>
      <c r="C366" s="154"/>
      <c r="F366" s="252"/>
      <c r="H366" s="252"/>
      <c r="I366" s="252"/>
      <c r="J366" s="329"/>
      <c r="K366" s="329"/>
      <c r="L366" s="200"/>
      <c r="M366" s="200"/>
      <c r="N366" s="210"/>
      <c r="O366" s="210"/>
      <c r="P366" s="200"/>
      <c r="Q366" s="200"/>
      <c r="R366" s="200"/>
      <c r="T366" s="154"/>
      <c r="V366" s="252"/>
      <c r="W366" s="200"/>
      <c r="X366" s="200"/>
      <c r="Y366" s="252"/>
      <c r="Z366" s="329"/>
      <c r="AA366" s="200"/>
      <c r="AB366" s="200"/>
      <c r="AC366" s="210"/>
      <c r="AD366" s="210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A367" s="202"/>
      <c r="C367" s="154"/>
      <c r="F367" s="200"/>
      <c r="H367" s="200"/>
      <c r="I367" s="200"/>
      <c r="J367" s="329"/>
      <c r="K367" s="329"/>
      <c r="L367" s="200"/>
      <c r="M367" s="200"/>
      <c r="N367" s="210"/>
      <c r="O367" s="210"/>
      <c r="P367" s="200"/>
      <c r="Q367" s="200"/>
      <c r="R367" s="200"/>
      <c r="T367" s="154"/>
      <c r="V367" s="252"/>
      <c r="W367" s="200"/>
      <c r="X367" s="200"/>
      <c r="Y367" s="252"/>
      <c r="Z367" s="329"/>
      <c r="AA367" s="200"/>
      <c r="AB367" s="200"/>
      <c r="AC367" s="210"/>
      <c r="AD367" s="210"/>
      <c r="AE367" s="200"/>
      <c r="AF367" s="200"/>
      <c r="AG367" s="209"/>
      <c r="AH367" s="201"/>
      <c r="AI367" s="200"/>
      <c r="AJ367" s="200"/>
      <c r="AK367" s="209"/>
      <c r="AL367" s="200"/>
      <c r="AM367" s="210"/>
      <c r="AN367" s="210"/>
    </row>
    <row r="368" spans="1:40" x14ac:dyDescent="0.25">
      <c r="A368" s="202"/>
      <c r="C368" s="154"/>
      <c r="F368" s="200"/>
      <c r="H368" s="200"/>
      <c r="I368" s="200"/>
      <c r="J368" s="329"/>
      <c r="K368" s="329"/>
      <c r="L368" s="200"/>
      <c r="M368" s="200"/>
      <c r="N368" s="210"/>
      <c r="O368" s="210"/>
      <c r="P368" s="200"/>
      <c r="Q368" s="200"/>
      <c r="R368" s="200"/>
      <c r="T368" s="154"/>
      <c r="V368" s="252"/>
      <c r="W368" s="200"/>
      <c r="X368" s="200"/>
      <c r="Y368" s="252"/>
      <c r="Z368" s="329"/>
      <c r="AA368" s="200"/>
      <c r="AB368" s="200"/>
      <c r="AC368" s="210"/>
      <c r="AD368" s="21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F369" s="331"/>
      <c r="H369" s="332"/>
      <c r="I369" s="332"/>
      <c r="J369" s="329"/>
      <c r="K369" s="329"/>
      <c r="L369" s="331"/>
      <c r="M369" s="331"/>
      <c r="N369" s="211"/>
      <c r="O369" s="211"/>
      <c r="P369" s="331"/>
      <c r="Q369" s="331"/>
      <c r="R369" s="331"/>
      <c r="V369" s="331"/>
      <c r="W369" s="200"/>
      <c r="X369" s="200"/>
      <c r="Y369" s="331"/>
      <c r="Z369" s="329"/>
      <c r="AA369" s="331"/>
      <c r="AB369" s="331"/>
      <c r="AC369" s="333"/>
      <c r="AD369" s="333"/>
      <c r="AE369" s="331"/>
      <c r="AF369" s="331"/>
      <c r="AG369" s="209"/>
      <c r="AH369" s="201"/>
      <c r="AI369" s="331"/>
      <c r="AJ369" s="331"/>
      <c r="AK369" s="208"/>
      <c r="AL369" s="331"/>
      <c r="AM369" s="210"/>
      <c r="AN369" s="210"/>
    </row>
    <row r="370" spans="1:40" x14ac:dyDescent="0.25">
      <c r="A370" s="202"/>
      <c r="C370" s="154"/>
      <c r="F370" s="200"/>
      <c r="H370" s="200"/>
      <c r="I370" s="200"/>
      <c r="J370" s="329"/>
      <c r="K370" s="329"/>
      <c r="L370" s="200"/>
      <c r="M370" s="200"/>
      <c r="N370" s="201"/>
      <c r="O370" s="201"/>
      <c r="P370" s="200"/>
      <c r="Q370" s="200"/>
      <c r="R370" s="200"/>
      <c r="T370" s="103"/>
      <c r="V370" s="200"/>
      <c r="W370" s="200"/>
      <c r="X370" s="200"/>
      <c r="Y370" s="200"/>
      <c r="Z370" s="329"/>
      <c r="AA370" s="200"/>
      <c r="AB370" s="200"/>
      <c r="AC370" s="201"/>
      <c r="AD370" s="201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F371" s="102"/>
      <c r="H371" s="102"/>
      <c r="I371" s="102"/>
      <c r="L371" s="102"/>
      <c r="M371" s="102"/>
      <c r="N371" s="333"/>
      <c r="O371" s="333"/>
      <c r="P371" s="331"/>
      <c r="Q371" s="331"/>
      <c r="R371" s="331"/>
      <c r="V371" s="331"/>
      <c r="Y371" s="331"/>
      <c r="Z371" s="305"/>
      <c r="AA371" s="331"/>
      <c r="AB371" s="331"/>
      <c r="AC371" s="331"/>
      <c r="AD371" s="331"/>
      <c r="AE371" s="331"/>
      <c r="AF371" s="331"/>
      <c r="AI371" s="331"/>
      <c r="AJ371" s="331"/>
      <c r="AK371" s="208"/>
      <c r="AL371" s="331"/>
      <c r="AM371" s="333"/>
      <c r="AN371" s="333"/>
    </row>
    <row r="372" spans="1:40" x14ac:dyDescent="0.25">
      <c r="AI372" s="202"/>
      <c r="AJ372" s="202"/>
    </row>
    <row r="376" spans="1:40" x14ac:dyDescent="0.25">
      <c r="N376" s="200"/>
      <c r="O376" s="200"/>
      <c r="P376" s="200"/>
      <c r="Q376" s="200"/>
      <c r="R376" s="200"/>
      <c r="V376" s="200"/>
      <c r="Y376" s="200"/>
      <c r="Z376" s="213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A377" s="202"/>
      <c r="C377" s="154"/>
      <c r="D377" s="154"/>
      <c r="E377" s="154"/>
      <c r="J377" s="334"/>
      <c r="K377" s="334"/>
      <c r="T377" s="154"/>
      <c r="U377" s="154"/>
      <c r="Z377" s="334"/>
      <c r="AE377" s="200"/>
      <c r="AF377" s="200"/>
      <c r="AI377" s="200"/>
      <c r="AJ377" s="200"/>
      <c r="AK377" s="209"/>
      <c r="AL377" s="200"/>
      <c r="AM377" s="210"/>
      <c r="AN377" s="210"/>
    </row>
    <row r="378" spans="1:40" x14ac:dyDescent="0.25">
      <c r="D378" s="154"/>
      <c r="E378" s="154"/>
      <c r="F378" s="200"/>
      <c r="H378" s="200"/>
      <c r="I378" s="200"/>
      <c r="J378" s="329"/>
      <c r="K378" s="329"/>
      <c r="L378" s="200"/>
      <c r="M378" s="200"/>
      <c r="N378" s="210"/>
      <c r="O378" s="210"/>
      <c r="P378" s="200"/>
      <c r="Q378" s="200"/>
      <c r="R378" s="200"/>
      <c r="U378" s="154"/>
      <c r="V378" s="200"/>
      <c r="Y378" s="200"/>
      <c r="Z378" s="329"/>
      <c r="AA378" s="200"/>
      <c r="AB378" s="200"/>
      <c r="AC378" s="210"/>
      <c r="AD378" s="210"/>
      <c r="AE378" s="200"/>
      <c r="AF378" s="200"/>
      <c r="AG378" s="209"/>
      <c r="AH378" s="201"/>
      <c r="AI378" s="200"/>
      <c r="AJ378" s="200"/>
      <c r="AK378" s="209"/>
      <c r="AL378" s="200"/>
      <c r="AM378" s="210"/>
      <c r="AN378" s="210"/>
    </row>
    <row r="379" spans="1:40" x14ac:dyDescent="0.25">
      <c r="F379" s="200"/>
      <c r="H379" s="200"/>
      <c r="I379" s="200"/>
      <c r="J379" s="305"/>
      <c r="K379" s="305"/>
      <c r="L379" s="200"/>
      <c r="M379" s="200"/>
      <c r="N379" s="200"/>
      <c r="O379" s="200"/>
      <c r="P379" s="200"/>
      <c r="Q379" s="200"/>
      <c r="R379" s="200"/>
      <c r="V379" s="200"/>
      <c r="Y379" s="200"/>
      <c r="Z379" s="305"/>
      <c r="AA379" s="200"/>
      <c r="AB379" s="200"/>
      <c r="AC379" s="200"/>
      <c r="AD379" s="200"/>
      <c r="AE379" s="200"/>
      <c r="AF379" s="200"/>
      <c r="AG379" s="209"/>
      <c r="AH379" s="201"/>
      <c r="AI379" s="252"/>
      <c r="AJ379" s="252"/>
      <c r="AK379" s="209"/>
      <c r="AL379" s="200"/>
      <c r="AM379" s="210"/>
      <c r="AN379" s="210"/>
    </row>
    <row r="380" spans="1:40" x14ac:dyDescent="0.25">
      <c r="A380" s="202"/>
      <c r="C380" s="154"/>
      <c r="F380" s="252"/>
      <c r="H380" s="252"/>
      <c r="I380" s="252"/>
      <c r="J380" s="304"/>
      <c r="K380" s="304"/>
      <c r="L380" s="200"/>
      <c r="M380" s="200"/>
      <c r="N380" s="210"/>
      <c r="O380" s="210"/>
      <c r="P380" s="200"/>
      <c r="Q380" s="200"/>
      <c r="R380" s="200"/>
      <c r="T380" s="154"/>
      <c r="V380" s="252"/>
      <c r="Y380" s="252"/>
      <c r="Z380" s="304"/>
      <c r="AA380" s="200"/>
      <c r="AB380" s="200"/>
      <c r="AC380" s="210"/>
      <c r="AD380" s="210"/>
      <c r="AE380" s="200"/>
      <c r="AF380" s="200"/>
      <c r="AG380" s="209"/>
      <c r="AH380" s="201"/>
      <c r="AI380" s="200"/>
      <c r="AJ380" s="200"/>
      <c r="AK380" s="209"/>
      <c r="AL380" s="200"/>
      <c r="AM380" s="210"/>
      <c r="AN380" s="210"/>
    </row>
    <row r="381" spans="1:40" x14ac:dyDescent="0.25">
      <c r="F381" s="102"/>
      <c r="H381" s="102"/>
      <c r="I381" s="102"/>
      <c r="L381" s="102"/>
      <c r="M381" s="102"/>
      <c r="N381" s="102"/>
      <c r="O381" s="102"/>
      <c r="P381" s="102"/>
      <c r="Q381" s="102"/>
      <c r="R381" s="102"/>
      <c r="V381" s="102"/>
      <c r="Y381" s="102"/>
      <c r="AA381" s="102"/>
      <c r="AB381" s="102"/>
      <c r="AC381" s="102"/>
      <c r="AD381" s="102"/>
      <c r="AE381" s="102"/>
      <c r="AF381" s="102"/>
      <c r="AG381" s="208"/>
      <c r="AH381" s="102"/>
      <c r="AI381" s="102"/>
      <c r="AJ381" s="102"/>
      <c r="AK381" s="208"/>
      <c r="AL381" s="102"/>
      <c r="AM381" s="102"/>
      <c r="AN381" s="102"/>
    </row>
    <row r="382" spans="1:40" x14ac:dyDescent="0.25">
      <c r="A382" s="202"/>
      <c r="C382" s="103"/>
      <c r="F382" s="252"/>
      <c r="H382" s="252"/>
      <c r="I382" s="252"/>
      <c r="J382" s="300"/>
      <c r="K382" s="300"/>
      <c r="L382" s="252"/>
      <c r="M382" s="252"/>
      <c r="N382" s="210"/>
      <c r="O382" s="210"/>
      <c r="P382" s="252"/>
      <c r="Q382" s="252"/>
      <c r="R382" s="252"/>
      <c r="T382" s="103"/>
      <c r="V382" s="200"/>
      <c r="Y382" s="200"/>
      <c r="Z382" s="213"/>
      <c r="AA382" s="200"/>
      <c r="AB382" s="200"/>
      <c r="AC382" s="210"/>
      <c r="AD382" s="210"/>
      <c r="AE382" s="202"/>
      <c r="AF382" s="202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F383" s="331"/>
      <c r="H383" s="331"/>
      <c r="I383" s="331"/>
      <c r="J383" s="305"/>
      <c r="K383" s="305"/>
      <c r="L383" s="331"/>
      <c r="M383" s="331"/>
      <c r="N383" s="331"/>
      <c r="O383" s="331"/>
      <c r="P383" s="331"/>
      <c r="Q383" s="331"/>
      <c r="R383" s="331"/>
      <c r="V383" s="102"/>
      <c r="Y383" s="102"/>
      <c r="AA383" s="102"/>
      <c r="AB383" s="102"/>
      <c r="AC383" s="102"/>
      <c r="AD383" s="102"/>
      <c r="AE383" s="102"/>
      <c r="AF383" s="102"/>
      <c r="AG383" s="208"/>
      <c r="AH383" s="102"/>
      <c r="AI383" s="102"/>
      <c r="AJ383" s="102"/>
      <c r="AK383" s="208"/>
      <c r="AL383" s="102"/>
      <c r="AM383" s="102"/>
      <c r="AN383" s="102"/>
    </row>
    <row r="384" spans="1:40" x14ac:dyDescent="0.25">
      <c r="F384" s="252"/>
      <c r="H384" s="252"/>
      <c r="I384" s="252"/>
      <c r="J384" s="328"/>
      <c r="K384" s="328"/>
      <c r="L384" s="200"/>
      <c r="M384" s="200"/>
      <c r="N384" s="210"/>
      <c r="O384" s="210"/>
      <c r="P384" s="200"/>
      <c r="Q384" s="200"/>
      <c r="R384" s="200"/>
    </row>
    <row r="385" spans="1:40" x14ac:dyDescent="0.25">
      <c r="A385" s="154"/>
      <c r="F385" s="252"/>
      <c r="H385" s="252"/>
      <c r="I385" s="252"/>
      <c r="J385" s="300"/>
      <c r="K385" s="300"/>
      <c r="L385" s="200"/>
      <c r="M385" s="200"/>
      <c r="N385" s="210"/>
      <c r="O385" s="210"/>
      <c r="P385" s="200"/>
      <c r="Q385" s="200"/>
      <c r="R385" s="200"/>
    </row>
    <row r="386" spans="1:40" x14ac:dyDescent="0.25">
      <c r="F386" s="252"/>
      <c r="H386" s="252"/>
      <c r="I386" s="252"/>
      <c r="J386" s="300"/>
      <c r="K386" s="300"/>
      <c r="L386" s="200"/>
      <c r="M386" s="200"/>
      <c r="N386" s="210"/>
      <c r="O386" s="210"/>
      <c r="P386" s="200"/>
      <c r="Q386" s="200"/>
      <c r="R386" s="200"/>
    </row>
    <row r="387" spans="1:40" x14ac:dyDescent="0.25">
      <c r="A387" s="154"/>
    </row>
    <row r="389" spans="1:40" x14ac:dyDescent="0.25">
      <c r="J389" s="202"/>
      <c r="K389" s="202"/>
      <c r="Z389" s="202"/>
    </row>
    <row r="390" spans="1:40" x14ac:dyDescent="0.25">
      <c r="H390" s="154"/>
      <c r="I390" s="154"/>
      <c r="Y390" s="154"/>
    </row>
    <row r="391" spans="1:40" x14ac:dyDescent="0.25">
      <c r="J391" s="202"/>
      <c r="K391" s="202"/>
      <c r="Z391" s="202"/>
    </row>
    <row r="392" spans="1:40" x14ac:dyDescent="0.25">
      <c r="L392" s="154"/>
      <c r="M392" s="154"/>
      <c r="AA392" s="154"/>
      <c r="AB392" s="154"/>
    </row>
    <row r="393" spans="1:40" x14ac:dyDescent="0.25">
      <c r="A393" s="202"/>
      <c r="R393" s="154"/>
      <c r="AK393" s="297"/>
      <c r="AL393" s="154"/>
    </row>
    <row r="394" spans="1:40" x14ac:dyDescent="0.25">
      <c r="A394" s="202"/>
      <c r="R394" s="154"/>
      <c r="AK394" s="297"/>
      <c r="AL394" s="154"/>
    </row>
    <row r="395" spans="1:40" x14ac:dyDescent="0.25">
      <c r="A395" s="154"/>
      <c r="R395" s="154"/>
      <c r="AK395" s="297"/>
      <c r="AL395" s="154"/>
    </row>
    <row r="396" spans="1:40" x14ac:dyDescent="0.25">
      <c r="L396" s="154"/>
      <c r="M396" s="154"/>
      <c r="R396" s="202"/>
      <c r="AA396" s="154"/>
      <c r="AB396" s="154"/>
      <c r="AK396" s="209"/>
      <c r="AL396" s="202"/>
    </row>
    <row r="397" spans="1:40" x14ac:dyDescent="0.2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208"/>
      <c r="AH397" s="102"/>
      <c r="AI397" s="102"/>
      <c r="AJ397" s="102"/>
      <c r="AK397" s="208"/>
      <c r="AL397" s="102"/>
      <c r="AM397" s="102"/>
      <c r="AN397" s="102"/>
    </row>
    <row r="398" spans="1:40" x14ac:dyDescent="0.25">
      <c r="L398" s="103"/>
      <c r="M398" s="103"/>
      <c r="N398" s="103"/>
      <c r="O398" s="103"/>
      <c r="R398" s="103"/>
      <c r="AA398" s="103"/>
      <c r="AB398" s="103"/>
      <c r="AC398" s="103"/>
      <c r="AD398" s="103"/>
      <c r="AE398" s="103"/>
      <c r="AF398" s="103"/>
      <c r="AG398" s="185"/>
      <c r="AH398" s="103"/>
      <c r="AK398" s="185"/>
      <c r="AL398" s="103"/>
      <c r="AM398" s="103"/>
      <c r="AN398" s="103"/>
    </row>
    <row r="399" spans="1:40" x14ac:dyDescent="0.25">
      <c r="L399" s="103"/>
      <c r="M399" s="103"/>
      <c r="N399" s="103"/>
      <c r="O399" s="103"/>
      <c r="R399" s="103"/>
      <c r="Z399" s="103"/>
      <c r="AA399" s="103"/>
      <c r="AB399" s="103"/>
      <c r="AC399" s="103"/>
      <c r="AD399" s="103"/>
      <c r="AE399" s="103"/>
      <c r="AF399" s="103"/>
      <c r="AG399" s="185"/>
      <c r="AH399" s="103"/>
      <c r="AK399" s="185"/>
      <c r="AL399" s="103"/>
      <c r="AM399" s="103"/>
      <c r="AN399" s="103"/>
    </row>
    <row r="400" spans="1:40" x14ac:dyDescent="0.25">
      <c r="A400" s="103"/>
      <c r="C400" s="103"/>
      <c r="D400" s="103"/>
      <c r="E400" s="103"/>
      <c r="F400" s="103"/>
      <c r="J400" s="103"/>
      <c r="K400" s="103"/>
      <c r="L400" s="103"/>
      <c r="M400" s="103"/>
      <c r="N400" s="103"/>
      <c r="O400" s="103"/>
      <c r="P400" s="103"/>
      <c r="Q400" s="103"/>
      <c r="R400" s="103"/>
      <c r="T400" s="103"/>
      <c r="U400" s="103"/>
      <c r="V400" s="103"/>
      <c r="Z400" s="103"/>
      <c r="AA400" s="103"/>
      <c r="AB400" s="103"/>
      <c r="AC400" s="103"/>
      <c r="AD400" s="103"/>
      <c r="AE400" s="103"/>
      <c r="AF400" s="103"/>
      <c r="AG400" s="185"/>
      <c r="AH400" s="103"/>
      <c r="AI400" s="103"/>
      <c r="AJ400" s="103"/>
      <c r="AK400" s="185"/>
      <c r="AL400" s="103"/>
      <c r="AM400" s="103"/>
      <c r="AN400" s="103"/>
    </row>
    <row r="401" spans="1:40" x14ac:dyDescent="0.25">
      <c r="A401" s="103"/>
      <c r="C401" s="103"/>
      <c r="D401" s="103"/>
      <c r="E401" s="103"/>
      <c r="F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T401" s="103"/>
      <c r="U401" s="103"/>
      <c r="V401" s="103"/>
      <c r="Y401" s="103"/>
      <c r="Z401" s="103"/>
      <c r="AA401" s="103"/>
      <c r="AB401" s="103"/>
      <c r="AC401" s="103"/>
      <c r="AD401" s="103"/>
      <c r="AE401" s="103"/>
      <c r="AF401" s="103"/>
      <c r="AG401" s="185"/>
      <c r="AH401" s="103"/>
      <c r="AI401" s="103"/>
      <c r="AJ401" s="103"/>
      <c r="AK401" s="185"/>
      <c r="AL401" s="103"/>
      <c r="AM401" s="103"/>
      <c r="AN401" s="103"/>
    </row>
    <row r="402" spans="1:40" x14ac:dyDescent="0.25">
      <c r="C402" s="103"/>
      <c r="D402" s="103"/>
      <c r="E402" s="103"/>
      <c r="F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T402" s="103"/>
      <c r="U402" s="103"/>
      <c r="V402" s="103"/>
      <c r="Y402" s="103"/>
      <c r="Z402" s="103"/>
      <c r="AA402" s="103"/>
      <c r="AB402" s="103"/>
      <c r="AC402" s="103"/>
      <c r="AD402" s="103"/>
      <c r="AE402" s="103"/>
      <c r="AF402" s="103"/>
      <c r="AG402" s="185"/>
      <c r="AH402" s="103"/>
      <c r="AI402" s="103"/>
      <c r="AJ402" s="103"/>
      <c r="AK402" s="185"/>
      <c r="AL402" s="103"/>
      <c r="AM402" s="103"/>
      <c r="AN402" s="103"/>
    </row>
    <row r="403" spans="1:40" x14ac:dyDescent="0.2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208"/>
      <c r="AH403" s="102"/>
      <c r="AI403" s="102"/>
      <c r="AJ403" s="102"/>
      <c r="AK403" s="208"/>
      <c r="AL403" s="102"/>
      <c r="AM403" s="102"/>
      <c r="AN403" s="102"/>
    </row>
    <row r="404" spans="1:40" x14ac:dyDescent="0.25"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Y404" s="103"/>
      <c r="Z404" s="103"/>
      <c r="AA404" s="103"/>
      <c r="AB404" s="103"/>
      <c r="AC404" s="103"/>
      <c r="AD404" s="103"/>
      <c r="AE404" s="103"/>
      <c r="AF404" s="103"/>
      <c r="AG404" s="185"/>
      <c r="AH404" s="103"/>
      <c r="AI404" s="103"/>
      <c r="AJ404" s="103"/>
      <c r="AK404" s="185"/>
      <c r="AL404" s="103"/>
      <c r="AM404" s="103"/>
      <c r="AN404" s="103"/>
    </row>
    <row r="405" spans="1:40" x14ac:dyDescent="0.25">
      <c r="A405" s="202"/>
      <c r="C405" s="154"/>
      <c r="D405" s="154"/>
      <c r="E405" s="154"/>
      <c r="T405" s="154"/>
      <c r="U405" s="154"/>
    </row>
    <row r="407" spans="1:40" x14ac:dyDescent="0.25">
      <c r="A407" s="202"/>
      <c r="C407" s="154"/>
      <c r="T407" s="154"/>
    </row>
    <row r="408" spans="1:40" x14ac:dyDescent="0.25">
      <c r="A408" s="202"/>
      <c r="C408" s="154"/>
      <c r="F408" s="252"/>
      <c r="H408" s="252"/>
      <c r="I408" s="252"/>
      <c r="J408" s="305"/>
      <c r="K408" s="305"/>
      <c r="L408" s="200"/>
      <c r="M408" s="200"/>
      <c r="N408" s="210"/>
      <c r="O408" s="210"/>
      <c r="P408" s="200"/>
      <c r="Q408" s="200"/>
      <c r="R408" s="200"/>
      <c r="T408" s="154"/>
      <c r="V408" s="252"/>
      <c r="Y408" s="252"/>
      <c r="Z408" s="305"/>
      <c r="AA408" s="200"/>
      <c r="AB408" s="200"/>
      <c r="AC408" s="210"/>
      <c r="AD408" s="210"/>
      <c r="AE408" s="200"/>
      <c r="AF408" s="200"/>
      <c r="AG408" s="209"/>
      <c r="AH408" s="201"/>
      <c r="AI408" s="200"/>
      <c r="AJ408" s="200"/>
      <c r="AK408" s="209"/>
      <c r="AL408" s="200"/>
      <c r="AM408" s="210"/>
      <c r="AN408" s="210"/>
    </row>
    <row r="409" spans="1:40" x14ac:dyDescent="0.25">
      <c r="A409" s="202"/>
      <c r="C409" s="154"/>
      <c r="T409" s="154"/>
    </row>
    <row r="410" spans="1:40" x14ac:dyDescent="0.25">
      <c r="A410" s="202"/>
      <c r="C410" s="154"/>
      <c r="F410" s="252"/>
      <c r="H410" s="252"/>
      <c r="I410" s="252"/>
      <c r="J410" s="329"/>
      <c r="K410" s="329"/>
      <c r="L410" s="200"/>
      <c r="M410" s="200"/>
      <c r="N410" s="210"/>
      <c r="O410" s="210"/>
      <c r="P410" s="200"/>
      <c r="Q410" s="200"/>
      <c r="R410" s="200"/>
      <c r="T410" s="154"/>
      <c r="V410" s="200"/>
      <c r="Y410" s="200"/>
      <c r="Z410" s="329"/>
      <c r="AA410" s="200"/>
      <c r="AB410" s="200"/>
      <c r="AC410" s="210"/>
      <c r="AD410" s="210"/>
      <c r="AE410" s="200"/>
      <c r="AF410" s="200"/>
      <c r="AG410" s="209"/>
      <c r="AH410" s="201"/>
      <c r="AI410" s="200"/>
      <c r="AJ410" s="200"/>
      <c r="AK410" s="209"/>
      <c r="AL410" s="200"/>
      <c r="AM410" s="210"/>
      <c r="AN410" s="210"/>
    </row>
    <row r="411" spans="1:40" x14ac:dyDescent="0.25">
      <c r="A411" s="202"/>
      <c r="C411" s="154"/>
      <c r="F411" s="252"/>
      <c r="H411" s="252"/>
      <c r="I411" s="252"/>
      <c r="J411" s="329"/>
      <c r="K411" s="329"/>
      <c r="L411" s="200"/>
      <c r="M411" s="200"/>
      <c r="N411" s="210"/>
      <c r="O411" s="210"/>
      <c r="P411" s="200"/>
      <c r="Q411" s="200"/>
      <c r="R411" s="200"/>
      <c r="T411" s="154"/>
      <c r="V411" s="200"/>
      <c r="Y411" s="200"/>
      <c r="Z411" s="329"/>
      <c r="AA411" s="200"/>
      <c r="AB411" s="200"/>
      <c r="AC411" s="210"/>
      <c r="AD411" s="210"/>
      <c r="AE411" s="200"/>
      <c r="AF411" s="200"/>
      <c r="AG411" s="209"/>
      <c r="AH411" s="201"/>
      <c r="AI411" s="200"/>
      <c r="AJ411" s="200"/>
      <c r="AK411" s="209"/>
      <c r="AL411" s="200"/>
      <c r="AM411" s="210"/>
      <c r="AN411" s="210"/>
    </row>
    <row r="412" spans="1:40" x14ac:dyDescent="0.25">
      <c r="A412" s="202"/>
      <c r="C412" s="154"/>
      <c r="F412" s="252"/>
      <c r="H412" s="252"/>
      <c r="I412" s="252"/>
      <c r="J412" s="329"/>
      <c r="K412" s="329"/>
      <c r="L412" s="200"/>
      <c r="M412" s="200"/>
      <c r="N412" s="210"/>
      <c r="O412" s="210"/>
      <c r="P412" s="200"/>
      <c r="Q412" s="200"/>
      <c r="R412" s="200"/>
      <c r="T412" s="154"/>
      <c r="V412" s="200"/>
      <c r="Y412" s="200"/>
      <c r="Z412" s="329"/>
      <c r="AA412" s="200"/>
      <c r="AB412" s="200"/>
      <c r="AC412" s="210"/>
      <c r="AD412" s="210"/>
      <c r="AE412" s="200"/>
      <c r="AF412" s="200"/>
      <c r="AG412" s="209"/>
      <c r="AH412" s="201"/>
      <c r="AI412" s="200"/>
      <c r="AJ412" s="200"/>
      <c r="AK412" s="209"/>
      <c r="AL412" s="200"/>
      <c r="AM412" s="210"/>
      <c r="AN412" s="210"/>
    </row>
    <row r="413" spans="1:40" x14ac:dyDescent="0.25">
      <c r="A413" s="202"/>
      <c r="C413" s="154"/>
      <c r="F413" s="252"/>
      <c r="H413" s="252"/>
      <c r="I413" s="252"/>
      <c r="J413" s="329"/>
      <c r="K413" s="329"/>
      <c r="L413" s="200"/>
      <c r="M413" s="200"/>
      <c r="N413" s="210"/>
      <c r="O413" s="210"/>
      <c r="P413" s="200"/>
      <c r="Q413" s="200"/>
      <c r="R413" s="200"/>
      <c r="T413" s="154"/>
      <c r="V413" s="200"/>
      <c r="Y413" s="200"/>
      <c r="Z413" s="329"/>
      <c r="AA413" s="200"/>
      <c r="AB413" s="200"/>
      <c r="AC413" s="210"/>
      <c r="AD413" s="210"/>
      <c r="AE413" s="200"/>
      <c r="AF413" s="200"/>
      <c r="AG413" s="209"/>
      <c r="AH413" s="201"/>
      <c r="AI413" s="200"/>
      <c r="AJ413" s="200"/>
      <c r="AK413" s="209"/>
      <c r="AL413" s="200"/>
      <c r="AM413" s="210"/>
      <c r="AN413" s="210"/>
    </row>
    <row r="414" spans="1:40" x14ac:dyDescent="0.25">
      <c r="A414" s="202"/>
      <c r="C414" s="154"/>
      <c r="J414" s="334"/>
      <c r="K414" s="334"/>
      <c r="T414" s="154"/>
      <c r="Z414" s="334"/>
    </row>
    <row r="415" spans="1:40" x14ac:dyDescent="0.25">
      <c r="A415" s="202"/>
      <c r="C415" s="154"/>
      <c r="F415" s="252"/>
      <c r="H415" s="252"/>
      <c r="I415" s="252"/>
      <c r="J415" s="329"/>
      <c r="K415" s="329"/>
      <c r="L415" s="200"/>
      <c r="M415" s="200"/>
      <c r="N415" s="210"/>
      <c r="O415" s="210"/>
      <c r="P415" s="200"/>
      <c r="Q415" s="200"/>
      <c r="R415" s="200"/>
      <c r="T415" s="154"/>
      <c r="V415" s="200"/>
      <c r="Y415" s="200"/>
      <c r="Z415" s="329"/>
      <c r="AA415" s="200"/>
      <c r="AB415" s="200"/>
      <c r="AC415" s="210"/>
      <c r="AD415" s="210"/>
      <c r="AE415" s="200"/>
      <c r="AF415" s="200"/>
      <c r="AG415" s="209"/>
      <c r="AH415" s="201"/>
      <c r="AI415" s="200"/>
      <c r="AJ415" s="200"/>
      <c r="AK415" s="209"/>
      <c r="AL415" s="200"/>
      <c r="AM415" s="210"/>
      <c r="AN415" s="210"/>
    </row>
    <row r="416" spans="1:40" x14ac:dyDescent="0.25">
      <c r="A416" s="202"/>
      <c r="C416" s="154"/>
      <c r="F416" s="252"/>
      <c r="H416" s="252"/>
      <c r="I416" s="252"/>
      <c r="J416" s="329"/>
      <c r="K416" s="329"/>
      <c r="L416" s="200"/>
      <c r="M416" s="200"/>
      <c r="N416" s="210"/>
      <c r="O416" s="210"/>
      <c r="P416" s="200"/>
      <c r="Q416" s="200"/>
      <c r="R416" s="200"/>
      <c r="T416" s="154"/>
      <c r="V416" s="200"/>
      <c r="Y416" s="200"/>
      <c r="Z416" s="329"/>
      <c r="AA416" s="200"/>
      <c r="AB416" s="200"/>
      <c r="AC416" s="210"/>
      <c r="AD416" s="210"/>
      <c r="AE416" s="200"/>
      <c r="AF416" s="200"/>
      <c r="AG416" s="209"/>
      <c r="AH416" s="201"/>
      <c r="AI416" s="200"/>
      <c r="AJ416" s="200"/>
      <c r="AK416" s="209"/>
      <c r="AL416" s="200"/>
      <c r="AM416" s="210"/>
      <c r="AN416" s="210"/>
    </row>
    <row r="417" spans="1:40" x14ac:dyDescent="0.25">
      <c r="A417" s="202"/>
      <c r="C417" s="154"/>
      <c r="F417" s="252"/>
      <c r="H417" s="252"/>
      <c r="I417" s="252"/>
      <c r="J417" s="329"/>
      <c r="K417" s="329"/>
      <c r="L417" s="200"/>
      <c r="M417" s="200"/>
      <c r="N417" s="210"/>
      <c r="O417" s="210"/>
      <c r="P417" s="200"/>
      <c r="Q417" s="200"/>
      <c r="R417" s="200"/>
      <c r="T417" s="154"/>
      <c r="V417" s="200"/>
      <c r="Y417" s="200"/>
      <c r="Z417" s="329"/>
      <c r="AA417" s="200"/>
      <c r="AB417" s="200"/>
      <c r="AC417" s="210"/>
      <c r="AD417" s="210"/>
      <c r="AE417" s="200"/>
      <c r="AF417" s="200"/>
      <c r="AG417" s="209"/>
      <c r="AH417" s="201"/>
      <c r="AI417" s="200"/>
      <c r="AJ417" s="200"/>
      <c r="AK417" s="209"/>
      <c r="AL417" s="200"/>
      <c r="AM417" s="210"/>
      <c r="AN417" s="210"/>
    </row>
    <row r="418" spans="1:40" x14ac:dyDescent="0.25">
      <c r="A418" s="202"/>
      <c r="C418" s="154"/>
      <c r="J418" s="334"/>
      <c r="K418" s="334"/>
      <c r="T418" s="154"/>
      <c r="Z418" s="334"/>
    </row>
    <row r="419" spans="1:40" x14ac:dyDescent="0.25">
      <c r="A419" s="202"/>
      <c r="C419" s="154"/>
      <c r="F419" s="252"/>
      <c r="H419" s="252"/>
      <c r="I419" s="252"/>
      <c r="J419" s="329"/>
      <c r="K419" s="329"/>
      <c r="L419" s="200"/>
      <c r="M419" s="200"/>
      <c r="N419" s="210"/>
      <c r="O419" s="210"/>
      <c r="P419" s="200"/>
      <c r="Q419" s="200"/>
      <c r="R419" s="200"/>
      <c r="T419" s="154"/>
      <c r="V419" s="200"/>
      <c r="Y419" s="200"/>
      <c r="Z419" s="329"/>
      <c r="AA419" s="200"/>
      <c r="AB419" s="200"/>
      <c r="AC419" s="210"/>
      <c r="AD419" s="210"/>
      <c r="AE419" s="200"/>
      <c r="AF419" s="200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A420" s="202"/>
      <c r="C420" s="154"/>
      <c r="F420" s="252"/>
      <c r="H420" s="252"/>
      <c r="I420" s="252"/>
      <c r="J420" s="329"/>
      <c r="K420" s="329"/>
      <c r="L420" s="200"/>
      <c r="M420" s="200"/>
      <c r="N420" s="210"/>
      <c r="O420" s="210"/>
      <c r="P420" s="200"/>
      <c r="Q420" s="200"/>
      <c r="R420" s="200"/>
      <c r="T420" s="154"/>
      <c r="V420" s="200"/>
      <c r="Y420" s="200"/>
      <c r="Z420" s="329"/>
      <c r="AA420" s="200"/>
      <c r="AB420" s="200"/>
      <c r="AC420" s="210"/>
      <c r="AD420" s="210"/>
      <c r="AE420" s="200"/>
      <c r="AF420" s="200"/>
      <c r="AG420" s="209"/>
      <c r="AH420" s="201"/>
      <c r="AI420" s="200"/>
      <c r="AJ420" s="200"/>
      <c r="AK420" s="209"/>
      <c r="AL420" s="200"/>
      <c r="AM420" s="210"/>
      <c r="AN420" s="210"/>
    </row>
    <row r="421" spans="1:40" x14ac:dyDescent="0.25">
      <c r="A421" s="202"/>
      <c r="C421" s="154"/>
      <c r="J421" s="334"/>
      <c r="K421" s="334"/>
      <c r="T421" s="154"/>
      <c r="Z421" s="334"/>
    </row>
    <row r="422" spans="1:40" x14ac:dyDescent="0.25">
      <c r="A422" s="202"/>
      <c r="C422" s="154"/>
      <c r="F422" s="252"/>
      <c r="H422" s="252"/>
      <c r="I422" s="252"/>
      <c r="J422" s="329"/>
      <c r="K422" s="329"/>
      <c r="L422" s="200"/>
      <c r="M422" s="200"/>
      <c r="N422" s="210"/>
      <c r="O422" s="210"/>
      <c r="P422" s="200"/>
      <c r="Q422" s="200"/>
      <c r="R422" s="200"/>
      <c r="T422" s="154"/>
      <c r="V422" s="200"/>
      <c r="Y422" s="200"/>
      <c r="Z422" s="329"/>
      <c r="AA422" s="200"/>
      <c r="AB422" s="200"/>
      <c r="AC422" s="210"/>
      <c r="AD422" s="210"/>
      <c r="AE422" s="200"/>
      <c r="AF422" s="200"/>
      <c r="AG422" s="209"/>
      <c r="AH422" s="201"/>
      <c r="AI422" s="200"/>
      <c r="AJ422" s="200"/>
      <c r="AK422" s="209"/>
      <c r="AL422" s="200"/>
      <c r="AM422" s="210"/>
      <c r="AN422" s="210"/>
    </row>
    <row r="423" spans="1:40" x14ac:dyDescent="0.25">
      <c r="A423" s="202"/>
      <c r="C423" s="154"/>
      <c r="F423" s="252"/>
      <c r="H423" s="252"/>
      <c r="I423" s="252"/>
      <c r="J423" s="329"/>
      <c r="K423" s="329"/>
      <c r="L423" s="200"/>
      <c r="M423" s="200"/>
      <c r="N423" s="210"/>
      <c r="O423" s="210"/>
      <c r="P423" s="200"/>
      <c r="Q423" s="200"/>
      <c r="R423" s="200"/>
      <c r="T423" s="154"/>
      <c r="V423" s="200"/>
      <c r="Y423" s="200"/>
      <c r="Z423" s="329"/>
      <c r="AA423" s="200"/>
      <c r="AB423" s="200"/>
      <c r="AC423" s="210"/>
      <c r="AD423" s="210"/>
      <c r="AE423" s="200"/>
      <c r="AF423" s="200"/>
      <c r="AG423" s="209"/>
      <c r="AH423" s="201"/>
      <c r="AI423" s="200"/>
      <c r="AJ423" s="200"/>
      <c r="AK423" s="209"/>
      <c r="AL423" s="200"/>
      <c r="AM423" s="210"/>
      <c r="AN423" s="210"/>
    </row>
    <row r="424" spans="1:40" x14ac:dyDescent="0.25">
      <c r="A424" s="202"/>
      <c r="C424" s="154"/>
      <c r="F424" s="252"/>
      <c r="H424" s="252"/>
      <c r="I424" s="252"/>
      <c r="J424" s="329"/>
      <c r="K424" s="329"/>
      <c r="L424" s="200"/>
      <c r="M424" s="200"/>
      <c r="N424" s="210"/>
      <c r="O424" s="210"/>
      <c r="P424" s="200"/>
      <c r="Q424" s="200"/>
      <c r="R424" s="200"/>
      <c r="T424" s="154"/>
      <c r="V424" s="200"/>
      <c r="Y424" s="200"/>
      <c r="Z424" s="329"/>
      <c r="AA424" s="200"/>
      <c r="AB424" s="200"/>
      <c r="AC424" s="210"/>
      <c r="AD424" s="210"/>
      <c r="AE424" s="200"/>
      <c r="AF424" s="200"/>
      <c r="AG424" s="209"/>
      <c r="AH424" s="201"/>
      <c r="AI424" s="200"/>
      <c r="AJ424" s="200"/>
      <c r="AK424" s="209"/>
      <c r="AL424" s="200"/>
      <c r="AM424" s="210"/>
      <c r="AN424" s="210"/>
    </row>
    <row r="425" spans="1:40" x14ac:dyDescent="0.25">
      <c r="F425" s="211"/>
      <c r="H425" s="211"/>
      <c r="I425" s="211"/>
      <c r="J425" s="329"/>
      <c r="K425" s="329"/>
      <c r="L425" s="211"/>
      <c r="M425" s="211"/>
      <c r="N425" s="211"/>
      <c r="O425" s="211"/>
      <c r="P425" s="211"/>
      <c r="Q425" s="211"/>
      <c r="R425" s="211"/>
      <c r="V425" s="211"/>
      <c r="Y425" s="211"/>
      <c r="Z425" s="329"/>
      <c r="AA425" s="211"/>
      <c r="AB425" s="211"/>
      <c r="AC425" s="211"/>
      <c r="AD425" s="211"/>
      <c r="AE425" s="211"/>
      <c r="AF425" s="211"/>
      <c r="AI425" s="211"/>
      <c r="AJ425" s="211"/>
      <c r="AK425" s="212"/>
      <c r="AL425" s="211"/>
    </row>
    <row r="426" spans="1:40" x14ac:dyDescent="0.25">
      <c r="A426" s="202"/>
      <c r="C426" s="103"/>
      <c r="F426" s="200"/>
      <c r="H426" s="200"/>
      <c r="I426" s="200"/>
      <c r="J426" s="334"/>
      <c r="K426" s="334"/>
      <c r="L426" s="200"/>
      <c r="M426" s="200"/>
      <c r="N426" s="201"/>
      <c r="O426" s="201"/>
      <c r="P426" s="200"/>
      <c r="Q426" s="200"/>
      <c r="R426" s="200"/>
      <c r="T426" s="103"/>
      <c r="V426" s="200"/>
      <c r="Y426" s="200"/>
      <c r="Z426" s="334"/>
      <c r="AA426" s="200"/>
      <c r="AB426" s="200"/>
      <c r="AC426" s="200"/>
      <c r="AD426" s="200"/>
      <c r="AE426" s="200"/>
      <c r="AF426" s="200"/>
      <c r="AG426" s="209"/>
      <c r="AH426" s="201"/>
      <c r="AI426" s="200"/>
      <c r="AJ426" s="200"/>
      <c r="AK426" s="209"/>
      <c r="AL426" s="200"/>
      <c r="AM426" s="210"/>
      <c r="AN426" s="210"/>
    </row>
    <row r="427" spans="1:40" x14ac:dyDescent="0.25">
      <c r="F427" s="211"/>
      <c r="H427" s="211"/>
      <c r="I427" s="211"/>
      <c r="J427" s="329"/>
      <c r="K427" s="329"/>
      <c r="L427" s="211"/>
      <c r="M427" s="211"/>
      <c r="N427" s="211"/>
      <c r="O427" s="211"/>
      <c r="P427" s="211"/>
      <c r="Q427" s="211"/>
      <c r="R427" s="211"/>
      <c r="V427" s="211"/>
      <c r="Y427" s="211"/>
      <c r="Z427" s="329"/>
      <c r="AA427" s="211"/>
      <c r="AB427" s="211"/>
      <c r="AC427" s="211"/>
      <c r="AD427" s="211"/>
      <c r="AE427" s="211"/>
      <c r="AF427" s="211"/>
      <c r="AI427" s="211"/>
      <c r="AJ427" s="211"/>
      <c r="AK427" s="212"/>
      <c r="AL427" s="211"/>
    </row>
    <row r="428" spans="1:40" x14ac:dyDescent="0.25">
      <c r="A428" s="202"/>
      <c r="C428" s="154"/>
      <c r="J428" s="334"/>
      <c r="K428" s="334"/>
      <c r="T428" s="154"/>
      <c r="Z428" s="334"/>
    </row>
    <row r="429" spans="1:40" x14ac:dyDescent="0.25">
      <c r="A429" s="202"/>
      <c r="C429" s="154"/>
      <c r="J429" s="334"/>
      <c r="K429" s="334"/>
      <c r="T429" s="154"/>
      <c r="Z429" s="334"/>
    </row>
    <row r="430" spans="1:40" x14ac:dyDescent="0.25">
      <c r="A430" s="202"/>
      <c r="C430" s="154"/>
      <c r="F430" s="252"/>
      <c r="H430" s="252"/>
      <c r="I430" s="252"/>
      <c r="J430" s="329"/>
      <c r="K430" s="329"/>
      <c r="L430" s="200"/>
      <c r="M430" s="200"/>
      <c r="N430" s="210"/>
      <c r="O430" s="210"/>
      <c r="P430" s="200"/>
      <c r="Q430" s="200"/>
      <c r="R430" s="200"/>
      <c r="T430" s="154"/>
      <c r="V430" s="200"/>
      <c r="Y430" s="200"/>
      <c r="Z430" s="329"/>
      <c r="AA430" s="200"/>
      <c r="AB430" s="200"/>
      <c r="AC430" s="210"/>
      <c r="AD430" s="210"/>
      <c r="AE430" s="200"/>
      <c r="AF430" s="200"/>
      <c r="AG430" s="209"/>
      <c r="AH430" s="201"/>
      <c r="AI430" s="200"/>
      <c r="AJ430" s="200"/>
      <c r="AK430" s="209"/>
      <c r="AL430" s="200"/>
      <c r="AM430" s="210"/>
      <c r="AN430" s="210"/>
    </row>
    <row r="431" spans="1:40" x14ac:dyDescent="0.25">
      <c r="A431" s="202"/>
      <c r="C431" s="154"/>
      <c r="F431" s="252"/>
      <c r="H431" s="252"/>
      <c r="I431" s="252"/>
      <c r="J431" s="329"/>
      <c r="K431" s="329"/>
      <c r="L431" s="200"/>
      <c r="M431" s="200"/>
      <c r="N431" s="210"/>
      <c r="O431" s="210"/>
      <c r="P431" s="200"/>
      <c r="Q431" s="200"/>
      <c r="R431" s="200"/>
      <c r="T431" s="154"/>
      <c r="V431" s="200"/>
      <c r="Y431" s="200"/>
      <c r="Z431" s="329"/>
      <c r="AA431" s="200"/>
      <c r="AB431" s="200"/>
      <c r="AC431" s="210"/>
      <c r="AD431" s="210"/>
      <c r="AE431" s="200"/>
      <c r="AF431" s="200"/>
      <c r="AG431" s="209"/>
      <c r="AH431" s="201"/>
      <c r="AI431" s="200"/>
      <c r="AJ431" s="200"/>
      <c r="AK431" s="209"/>
      <c r="AL431" s="200"/>
      <c r="AM431" s="210"/>
      <c r="AN431" s="210"/>
    </row>
    <row r="432" spans="1:40" x14ac:dyDescent="0.25">
      <c r="A432" s="202"/>
      <c r="C432" s="154"/>
      <c r="F432" s="252"/>
      <c r="H432" s="252"/>
      <c r="I432" s="252"/>
      <c r="J432" s="329"/>
      <c r="K432" s="329"/>
      <c r="L432" s="200"/>
      <c r="M432" s="200"/>
      <c r="N432" s="210"/>
      <c r="O432" s="210"/>
      <c r="P432" s="200"/>
      <c r="Q432" s="200"/>
      <c r="R432" s="200"/>
      <c r="T432" s="154"/>
      <c r="V432" s="200"/>
      <c r="Y432" s="200"/>
      <c r="Z432" s="329"/>
      <c r="AA432" s="200"/>
      <c r="AB432" s="200"/>
      <c r="AC432" s="210"/>
      <c r="AD432" s="210"/>
      <c r="AE432" s="200"/>
      <c r="AF432" s="200"/>
      <c r="AG432" s="209"/>
      <c r="AH432" s="201"/>
      <c r="AI432" s="200"/>
      <c r="AJ432" s="200"/>
      <c r="AK432" s="209"/>
      <c r="AL432" s="200"/>
      <c r="AM432" s="210"/>
      <c r="AN432" s="210"/>
    </row>
    <row r="433" spans="1:40" x14ac:dyDescent="0.25">
      <c r="A433" s="202"/>
      <c r="C433" s="154"/>
      <c r="F433" s="252"/>
      <c r="H433" s="252"/>
      <c r="I433" s="252"/>
      <c r="J433" s="329"/>
      <c r="K433" s="329"/>
      <c r="L433" s="200"/>
      <c r="M433" s="200"/>
      <c r="N433" s="210"/>
      <c r="O433" s="210"/>
      <c r="P433" s="200"/>
      <c r="Q433" s="200"/>
      <c r="R433" s="200"/>
      <c r="T433" s="154"/>
      <c r="V433" s="200"/>
      <c r="Y433" s="200"/>
      <c r="Z433" s="329"/>
      <c r="AA433" s="200"/>
      <c r="AB433" s="200"/>
      <c r="AC433" s="210"/>
      <c r="AD433" s="210"/>
      <c r="AE433" s="200"/>
      <c r="AF433" s="200"/>
      <c r="AG433" s="209"/>
      <c r="AH433" s="201"/>
      <c r="AI433" s="200"/>
      <c r="AJ433" s="200"/>
      <c r="AK433" s="209"/>
      <c r="AL433" s="200"/>
      <c r="AM433" s="210"/>
      <c r="AN433" s="210"/>
    </row>
    <row r="434" spans="1:40" x14ac:dyDescent="0.25">
      <c r="A434" s="202"/>
      <c r="C434" s="154"/>
      <c r="F434" s="252"/>
      <c r="H434" s="252"/>
      <c r="I434" s="252"/>
      <c r="J434" s="329"/>
      <c r="K434" s="329"/>
      <c r="L434" s="200"/>
      <c r="M434" s="200"/>
      <c r="N434" s="210"/>
      <c r="O434" s="210"/>
      <c r="P434" s="200"/>
      <c r="Q434" s="200"/>
      <c r="R434" s="200"/>
      <c r="T434" s="154"/>
      <c r="V434" s="200"/>
      <c r="Y434" s="200"/>
      <c r="Z434" s="329"/>
      <c r="AA434" s="200"/>
      <c r="AB434" s="200"/>
      <c r="AC434" s="210"/>
      <c r="AD434" s="210"/>
      <c r="AE434" s="200"/>
      <c r="AF434" s="200"/>
      <c r="AG434" s="209"/>
      <c r="AH434" s="201"/>
      <c r="AI434" s="200"/>
      <c r="AJ434" s="200"/>
      <c r="AK434" s="209"/>
      <c r="AL434" s="200"/>
      <c r="AM434" s="210"/>
      <c r="AN434" s="210"/>
    </row>
    <row r="435" spans="1:40" x14ac:dyDescent="0.25">
      <c r="A435" s="202"/>
      <c r="C435" s="154"/>
      <c r="F435" s="252"/>
      <c r="H435" s="252"/>
      <c r="I435" s="252"/>
      <c r="J435" s="329"/>
      <c r="K435" s="329"/>
      <c r="L435" s="200"/>
      <c r="M435" s="200"/>
      <c r="N435" s="210"/>
      <c r="O435" s="210"/>
      <c r="P435" s="200"/>
      <c r="Q435" s="200"/>
      <c r="R435" s="200"/>
      <c r="T435" s="154"/>
      <c r="V435" s="200"/>
      <c r="Y435" s="200"/>
      <c r="Z435" s="329"/>
      <c r="AA435" s="200"/>
      <c r="AB435" s="200"/>
      <c r="AC435" s="210"/>
      <c r="AD435" s="210"/>
      <c r="AE435" s="200"/>
      <c r="AF435" s="200"/>
      <c r="AG435" s="209"/>
      <c r="AH435" s="201"/>
      <c r="AI435" s="200"/>
      <c r="AJ435" s="200"/>
      <c r="AK435" s="209"/>
      <c r="AL435" s="200"/>
      <c r="AM435" s="210"/>
      <c r="AN435" s="210"/>
    </row>
    <row r="436" spans="1:40" x14ac:dyDescent="0.25">
      <c r="A436" s="202"/>
      <c r="C436" s="154"/>
      <c r="F436" s="252"/>
      <c r="H436" s="252"/>
      <c r="I436" s="252"/>
      <c r="J436" s="329"/>
      <c r="K436" s="329"/>
      <c r="L436" s="200"/>
      <c r="M436" s="200"/>
      <c r="N436" s="210"/>
      <c r="O436" s="210"/>
      <c r="P436" s="200"/>
      <c r="Q436" s="200"/>
      <c r="R436" s="200"/>
      <c r="T436" s="154"/>
      <c r="V436" s="200"/>
      <c r="Y436" s="200"/>
      <c r="Z436" s="329"/>
      <c r="AA436" s="200"/>
      <c r="AB436" s="200"/>
      <c r="AC436" s="210"/>
      <c r="AD436" s="210"/>
      <c r="AE436" s="200"/>
      <c r="AF436" s="200"/>
      <c r="AG436" s="209"/>
      <c r="AH436" s="201"/>
      <c r="AI436" s="200"/>
      <c r="AJ436" s="200"/>
      <c r="AK436" s="209"/>
      <c r="AL436" s="200"/>
      <c r="AM436" s="210"/>
      <c r="AN436" s="210"/>
    </row>
    <row r="437" spans="1:40" x14ac:dyDescent="0.25">
      <c r="A437" s="202"/>
      <c r="C437" s="154"/>
      <c r="J437" s="334"/>
      <c r="K437" s="334"/>
      <c r="T437" s="154"/>
      <c r="Z437" s="334"/>
    </row>
    <row r="438" spans="1:40" x14ac:dyDescent="0.25">
      <c r="A438" s="202"/>
      <c r="C438" s="154"/>
      <c r="F438" s="252"/>
      <c r="H438" s="252"/>
      <c r="I438" s="252"/>
      <c r="J438" s="329"/>
      <c r="K438" s="329"/>
      <c r="L438" s="200"/>
      <c r="M438" s="200"/>
      <c r="N438" s="210"/>
      <c r="O438" s="210"/>
      <c r="P438" s="200"/>
      <c r="Q438" s="200"/>
      <c r="R438" s="200"/>
      <c r="T438" s="154"/>
      <c r="V438" s="200"/>
      <c r="Y438" s="200"/>
      <c r="Z438" s="329"/>
      <c r="AA438" s="200"/>
      <c r="AB438" s="200"/>
      <c r="AC438" s="210"/>
      <c r="AD438" s="210"/>
      <c r="AE438" s="200"/>
      <c r="AF438" s="200"/>
      <c r="AG438" s="209"/>
      <c r="AH438" s="201"/>
      <c r="AI438" s="200"/>
      <c r="AJ438" s="200"/>
      <c r="AK438" s="209"/>
      <c r="AL438" s="200"/>
      <c r="AM438" s="210"/>
      <c r="AN438" s="210"/>
    </row>
    <row r="439" spans="1:40" x14ac:dyDescent="0.25">
      <c r="A439" s="202"/>
      <c r="C439" s="154"/>
      <c r="F439" s="252"/>
      <c r="H439" s="252"/>
      <c r="I439" s="252"/>
      <c r="J439" s="329"/>
      <c r="K439" s="329"/>
      <c r="L439" s="200"/>
      <c r="M439" s="200"/>
      <c r="N439" s="210"/>
      <c r="O439" s="210"/>
      <c r="P439" s="200"/>
      <c r="Q439" s="200"/>
      <c r="R439" s="200"/>
      <c r="T439" s="154"/>
      <c r="V439" s="200"/>
      <c r="Y439" s="200"/>
      <c r="Z439" s="329"/>
      <c r="AA439" s="200"/>
      <c r="AB439" s="200"/>
      <c r="AC439" s="210"/>
      <c r="AD439" s="210"/>
      <c r="AE439" s="200"/>
      <c r="AF439" s="200"/>
      <c r="AG439" s="209"/>
      <c r="AH439" s="201"/>
      <c r="AI439" s="200"/>
      <c r="AJ439" s="200"/>
      <c r="AK439" s="209"/>
      <c r="AL439" s="200"/>
      <c r="AM439" s="210"/>
      <c r="AN439" s="210"/>
    </row>
    <row r="440" spans="1:40" x14ac:dyDescent="0.25">
      <c r="A440" s="202"/>
      <c r="C440" s="154"/>
      <c r="F440" s="252"/>
      <c r="H440" s="252"/>
      <c r="I440" s="252"/>
      <c r="J440" s="329"/>
      <c r="K440" s="329"/>
      <c r="L440" s="200"/>
      <c r="M440" s="200"/>
      <c r="N440" s="210"/>
      <c r="O440" s="210"/>
      <c r="P440" s="200"/>
      <c r="Q440" s="200"/>
      <c r="R440" s="200"/>
      <c r="T440" s="154"/>
      <c r="V440" s="200"/>
      <c r="Y440" s="200"/>
      <c r="Z440" s="329"/>
      <c r="AA440" s="200"/>
      <c r="AB440" s="200"/>
      <c r="AC440" s="210"/>
      <c r="AD440" s="210"/>
      <c r="AE440" s="200"/>
      <c r="AF440" s="200"/>
      <c r="AG440" s="209"/>
      <c r="AH440" s="201"/>
      <c r="AI440" s="200"/>
      <c r="AJ440" s="200"/>
      <c r="AK440" s="209"/>
      <c r="AL440" s="200"/>
      <c r="AM440" s="210"/>
      <c r="AN440" s="210"/>
    </row>
    <row r="441" spans="1:40" x14ac:dyDescent="0.25">
      <c r="A441" s="202"/>
      <c r="C441" s="154"/>
      <c r="F441" s="252"/>
      <c r="H441" s="252"/>
      <c r="I441" s="252"/>
      <c r="J441" s="329"/>
      <c r="K441" s="329"/>
      <c r="L441" s="200"/>
      <c r="M441" s="200"/>
      <c r="N441" s="210"/>
      <c r="O441" s="210"/>
      <c r="P441" s="200"/>
      <c r="Q441" s="200"/>
      <c r="R441" s="200"/>
      <c r="T441" s="154"/>
      <c r="V441" s="200"/>
      <c r="Y441" s="200"/>
      <c r="Z441" s="329"/>
      <c r="AA441" s="200"/>
      <c r="AB441" s="200"/>
      <c r="AC441" s="210"/>
      <c r="AD441" s="210"/>
      <c r="AE441" s="200"/>
      <c r="AF441" s="200"/>
      <c r="AG441" s="209"/>
      <c r="AH441" s="201"/>
      <c r="AI441" s="200"/>
      <c r="AJ441" s="200"/>
      <c r="AK441" s="209"/>
      <c r="AL441" s="200"/>
      <c r="AM441" s="210"/>
      <c r="AN441" s="210"/>
    </row>
    <row r="442" spans="1:40" x14ac:dyDescent="0.25">
      <c r="A442" s="202"/>
      <c r="C442" s="154"/>
      <c r="J442" s="334"/>
      <c r="K442" s="334"/>
      <c r="T442" s="154"/>
      <c r="Z442" s="334"/>
    </row>
    <row r="443" spans="1:40" x14ac:dyDescent="0.25">
      <c r="A443" s="202"/>
      <c r="C443" s="154"/>
      <c r="F443" s="252"/>
      <c r="H443" s="252"/>
      <c r="I443" s="252"/>
      <c r="J443" s="329"/>
      <c r="K443" s="329"/>
      <c r="L443" s="200"/>
      <c r="M443" s="200"/>
      <c r="N443" s="210"/>
      <c r="O443" s="210"/>
      <c r="P443" s="200"/>
      <c r="Q443" s="200"/>
      <c r="R443" s="200"/>
      <c r="T443" s="154"/>
      <c r="V443" s="200"/>
      <c r="Y443" s="200"/>
      <c r="Z443" s="329"/>
      <c r="AA443" s="200"/>
      <c r="AB443" s="200"/>
      <c r="AC443" s="210"/>
      <c r="AD443" s="210"/>
      <c r="AE443" s="200"/>
      <c r="AF443" s="200"/>
      <c r="AG443" s="209"/>
      <c r="AH443" s="201"/>
      <c r="AI443" s="200"/>
      <c r="AJ443" s="200"/>
      <c r="AK443" s="209"/>
      <c r="AL443" s="200"/>
      <c r="AM443" s="210"/>
      <c r="AN443" s="210"/>
    </row>
    <row r="444" spans="1:40" x14ac:dyDescent="0.25">
      <c r="A444" s="202"/>
      <c r="C444" s="154"/>
      <c r="F444" s="252"/>
      <c r="H444" s="252"/>
      <c r="I444" s="252"/>
      <c r="J444" s="329"/>
      <c r="K444" s="329"/>
      <c r="L444" s="200"/>
      <c r="M444" s="200"/>
      <c r="N444" s="210"/>
      <c r="O444" s="210"/>
      <c r="P444" s="200"/>
      <c r="Q444" s="200"/>
      <c r="R444" s="200"/>
      <c r="T444" s="154"/>
      <c r="V444" s="200"/>
      <c r="Y444" s="200"/>
      <c r="Z444" s="329"/>
      <c r="AA444" s="200"/>
      <c r="AB444" s="200"/>
      <c r="AC444" s="210"/>
      <c r="AD444" s="210"/>
      <c r="AE444" s="200"/>
      <c r="AF444" s="200"/>
      <c r="AG444" s="209"/>
      <c r="AH444" s="201"/>
      <c r="AI444" s="200"/>
      <c r="AJ444" s="200"/>
      <c r="AK444" s="209"/>
      <c r="AL444" s="200"/>
      <c r="AM444" s="210"/>
      <c r="AN444" s="210"/>
    </row>
    <row r="445" spans="1:40" x14ac:dyDescent="0.25">
      <c r="A445" s="202"/>
      <c r="C445" s="154"/>
      <c r="F445" s="252"/>
      <c r="H445" s="252"/>
      <c r="I445" s="252"/>
      <c r="J445" s="329"/>
      <c r="K445" s="329"/>
      <c r="L445" s="200"/>
      <c r="M445" s="200"/>
      <c r="N445" s="210"/>
      <c r="O445" s="210"/>
      <c r="P445" s="200"/>
      <c r="Q445" s="200"/>
      <c r="R445" s="200"/>
      <c r="T445" s="154"/>
      <c r="V445" s="200"/>
      <c r="Y445" s="200"/>
      <c r="Z445" s="329"/>
      <c r="AA445" s="200"/>
      <c r="AB445" s="200"/>
      <c r="AC445" s="210"/>
      <c r="AD445" s="210"/>
      <c r="AE445" s="200"/>
      <c r="AF445" s="200"/>
      <c r="AG445" s="209"/>
      <c r="AH445" s="201"/>
      <c r="AI445" s="200"/>
      <c r="AJ445" s="200"/>
      <c r="AK445" s="209"/>
      <c r="AL445" s="200"/>
      <c r="AM445" s="210"/>
      <c r="AN445" s="210"/>
    </row>
    <row r="446" spans="1:40" x14ac:dyDescent="0.25">
      <c r="A446" s="202"/>
      <c r="C446" s="154"/>
      <c r="F446" s="252"/>
      <c r="H446" s="252"/>
      <c r="I446" s="252"/>
      <c r="J446" s="329"/>
      <c r="K446" s="329"/>
      <c r="L446" s="200"/>
      <c r="M446" s="200"/>
      <c r="N446" s="210"/>
      <c r="O446" s="210"/>
      <c r="P446" s="200"/>
      <c r="Q446" s="200"/>
      <c r="R446" s="200"/>
      <c r="T446" s="154"/>
      <c r="V446" s="200"/>
      <c r="Y446" s="200"/>
      <c r="Z446" s="329"/>
      <c r="AA446" s="200"/>
      <c r="AB446" s="200"/>
      <c r="AC446" s="210"/>
      <c r="AD446" s="210"/>
      <c r="AE446" s="200"/>
      <c r="AF446" s="200"/>
      <c r="AG446" s="209"/>
      <c r="AH446" s="201"/>
      <c r="AI446" s="200"/>
      <c r="AJ446" s="200"/>
      <c r="AK446" s="209"/>
      <c r="AL446" s="200"/>
      <c r="AM446" s="210"/>
      <c r="AN446" s="210"/>
    </row>
    <row r="447" spans="1:40" x14ac:dyDescent="0.25">
      <c r="A447" s="202"/>
      <c r="C447" s="154"/>
      <c r="F447" s="252"/>
      <c r="H447" s="252"/>
      <c r="I447" s="252"/>
      <c r="J447" s="329"/>
      <c r="K447" s="329"/>
      <c r="L447" s="200"/>
      <c r="M447" s="200"/>
      <c r="N447" s="210"/>
      <c r="O447" s="210"/>
      <c r="P447" s="200"/>
      <c r="Q447" s="200"/>
      <c r="R447" s="200"/>
      <c r="T447" s="154"/>
      <c r="V447" s="200"/>
      <c r="Y447" s="200"/>
      <c r="Z447" s="329"/>
      <c r="AA447" s="200"/>
      <c r="AB447" s="200"/>
      <c r="AC447" s="210"/>
      <c r="AD447" s="210"/>
      <c r="AE447" s="200"/>
      <c r="AF447" s="200"/>
      <c r="AG447" s="209"/>
      <c r="AH447" s="201"/>
      <c r="AI447" s="200"/>
      <c r="AJ447" s="200"/>
      <c r="AK447" s="209"/>
      <c r="AL447" s="200"/>
      <c r="AM447" s="210"/>
      <c r="AN447" s="210"/>
    </row>
    <row r="448" spans="1:40" x14ac:dyDescent="0.25">
      <c r="F448" s="211"/>
      <c r="H448" s="211"/>
      <c r="I448" s="211"/>
      <c r="J448" s="305"/>
      <c r="K448" s="305"/>
      <c r="L448" s="211"/>
      <c r="M448" s="211"/>
      <c r="N448" s="211"/>
      <c r="O448" s="211"/>
      <c r="P448" s="211"/>
      <c r="Q448" s="211"/>
      <c r="R448" s="211"/>
      <c r="V448" s="211"/>
      <c r="Y448" s="211"/>
      <c r="Z448" s="329"/>
      <c r="AA448" s="211"/>
      <c r="AB448" s="211"/>
      <c r="AC448" s="211"/>
      <c r="AD448" s="211"/>
      <c r="AE448" s="211"/>
      <c r="AF448" s="211"/>
      <c r="AI448" s="211"/>
      <c r="AJ448" s="211"/>
      <c r="AK448" s="212"/>
      <c r="AL448" s="211"/>
    </row>
    <row r="449" spans="1:40" x14ac:dyDescent="0.25">
      <c r="A449" s="202"/>
      <c r="C449" s="154"/>
      <c r="F449" s="200"/>
      <c r="H449" s="200"/>
      <c r="I449" s="200"/>
      <c r="L449" s="200"/>
      <c r="M449" s="200"/>
      <c r="N449" s="201"/>
      <c r="O449" s="201"/>
      <c r="P449" s="200"/>
      <c r="Q449" s="200"/>
      <c r="R449" s="200"/>
      <c r="T449" s="154"/>
      <c r="V449" s="200"/>
      <c r="Y449" s="200"/>
      <c r="AA449" s="200"/>
      <c r="AB449" s="200"/>
      <c r="AC449" s="210"/>
      <c r="AD449" s="210"/>
      <c r="AE449" s="200"/>
      <c r="AF449" s="200"/>
      <c r="AG449" s="209"/>
      <c r="AH449" s="201"/>
      <c r="AI449" s="200"/>
      <c r="AJ449" s="200"/>
      <c r="AK449" s="209"/>
      <c r="AL449" s="200"/>
      <c r="AM449" s="210"/>
      <c r="AN449" s="210"/>
    </row>
    <row r="450" spans="1:40" x14ac:dyDescent="0.25">
      <c r="F450" s="211"/>
      <c r="H450" s="211"/>
      <c r="I450" s="211"/>
      <c r="J450" s="305"/>
      <c r="K450" s="305"/>
      <c r="L450" s="211"/>
      <c r="M450" s="211"/>
      <c r="N450" s="211"/>
      <c r="O450" s="211"/>
      <c r="P450" s="211"/>
      <c r="Q450" s="211"/>
      <c r="R450" s="211"/>
      <c r="V450" s="211"/>
      <c r="Y450" s="211"/>
      <c r="Z450" s="305"/>
      <c r="AA450" s="211"/>
      <c r="AB450" s="211"/>
      <c r="AC450" s="211"/>
      <c r="AD450" s="211"/>
      <c r="AE450" s="211"/>
      <c r="AF450" s="211"/>
      <c r="AI450" s="211"/>
      <c r="AJ450" s="211"/>
      <c r="AK450" s="212"/>
      <c r="AL450" s="211"/>
    </row>
    <row r="451" spans="1:40" x14ac:dyDescent="0.25">
      <c r="A451" s="202"/>
      <c r="C451" s="154"/>
      <c r="T451" s="154"/>
    </row>
    <row r="452" spans="1:40" x14ac:dyDescent="0.25">
      <c r="A452" s="202"/>
      <c r="C452" s="154"/>
      <c r="F452" s="252"/>
      <c r="H452" s="252"/>
      <c r="I452" s="252"/>
      <c r="J452" s="300"/>
      <c r="K452" s="300"/>
      <c r="L452" s="200"/>
      <c r="M452" s="200"/>
      <c r="N452" s="210"/>
      <c r="O452" s="210"/>
      <c r="P452" s="200"/>
      <c r="Q452" s="200"/>
      <c r="R452" s="200"/>
      <c r="T452" s="154"/>
      <c r="V452" s="200"/>
      <c r="Y452" s="200"/>
      <c r="Z452" s="300"/>
      <c r="AA452" s="200"/>
      <c r="AB452" s="200"/>
      <c r="AC452" s="210"/>
      <c r="AD452" s="210"/>
      <c r="AE452" s="200"/>
      <c r="AF452" s="200"/>
      <c r="AG452" s="209"/>
      <c r="AH452" s="201"/>
      <c r="AI452" s="200"/>
      <c r="AJ452" s="200"/>
      <c r="AK452" s="209"/>
      <c r="AL452" s="200"/>
      <c r="AM452" s="210"/>
      <c r="AN452" s="210"/>
    </row>
    <row r="453" spans="1:40" x14ac:dyDescent="0.25">
      <c r="A453" s="202"/>
      <c r="C453" s="154"/>
      <c r="F453" s="252"/>
      <c r="H453" s="252"/>
      <c r="I453" s="252"/>
      <c r="J453" s="300"/>
      <c r="K453" s="300"/>
      <c r="L453" s="200"/>
      <c r="M453" s="200"/>
      <c r="N453" s="210"/>
      <c r="O453" s="210"/>
      <c r="P453" s="200"/>
      <c r="Q453" s="200"/>
      <c r="R453" s="200"/>
      <c r="T453" s="154"/>
      <c r="V453" s="200"/>
      <c r="Y453" s="200"/>
      <c r="Z453" s="300"/>
      <c r="AA453" s="200"/>
      <c r="AB453" s="200"/>
      <c r="AC453" s="210"/>
      <c r="AD453" s="210"/>
      <c r="AE453" s="200"/>
      <c r="AF453" s="200"/>
      <c r="AG453" s="209"/>
      <c r="AH453" s="201"/>
      <c r="AI453" s="200"/>
      <c r="AJ453" s="200"/>
      <c r="AK453" s="209"/>
      <c r="AL453" s="200"/>
      <c r="AM453" s="210"/>
      <c r="AN453" s="210"/>
    </row>
    <row r="454" spans="1:40" x14ac:dyDescent="0.25">
      <c r="F454" s="211"/>
      <c r="H454" s="200"/>
      <c r="I454" s="200"/>
      <c r="J454" s="305"/>
      <c r="K454" s="305"/>
      <c r="L454" s="211"/>
      <c r="M454" s="211"/>
      <c r="N454" s="211"/>
      <c r="O454" s="211"/>
      <c r="P454" s="211"/>
      <c r="Q454" s="211"/>
      <c r="R454" s="211"/>
      <c r="V454" s="211"/>
      <c r="Y454" s="200"/>
      <c r="Z454" s="305"/>
      <c r="AA454" s="211"/>
      <c r="AB454" s="211"/>
      <c r="AC454" s="211"/>
      <c r="AD454" s="211"/>
      <c r="AE454" s="211"/>
      <c r="AF454" s="211"/>
      <c r="AI454" s="211"/>
      <c r="AJ454" s="211"/>
      <c r="AK454" s="212"/>
      <c r="AL454" s="211"/>
    </row>
    <row r="455" spans="1:40" x14ac:dyDescent="0.25">
      <c r="F455" s="200"/>
      <c r="H455" s="200"/>
      <c r="I455" s="200"/>
      <c r="J455" s="305"/>
      <c r="K455" s="305"/>
      <c r="L455" s="200"/>
      <c r="M455" s="200"/>
      <c r="N455" s="200"/>
      <c r="O455" s="200"/>
      <c r="P455" s="200"/>
      <c r="Q455" s="200"/>
      <c r="R455" s="200"/>
      <c r="V455" s="200"/>
      <c r="Y455" s="200"/>
      <c r="Z455" s="305"/>
      <c r="AA455" s="200"/>
      <c r="AB455" s="200"/>
      <c r="AC455" s="200"/>
      <c r="AD455" s="200"/>
      <c r="AE455" s="200"/>
      <c r="AF455" s="200"/>
      <c r="AI455" s="200"/>
      <c r="AJ455" s="200"/>
      <c r="AK455" s="209"/>
      <c r="AL455" s="200"/>
    </row>
    <row r="456" spans="1:40" x14ac:dyDescent="0.25">
      <c r="A456" s="202"/>
      <c r="C456" s="154"/>
      <c r="F456" s="200"/>
      <c r="H456" s="200"/>
      <c r="I456" s="200"/>
      <c r="L456" s="200"/>
      <c r="M456" s="200"/>
      <c r="N456" s="210"/>
      <c r="O456" s="210"/>
      <c r="P456" s="200"/>
      <c r="Q456" s="200"/>
      <c r="R456" s="200"/>
      <c r="T456" s="154"/>
      <c r="V456" s="200"/>
      <c r="Y456" s="200"/>
      <c r="AA456" s="200"/>
      <c r="AB456" s="200"/>
      <c r="AC456" s="210"/>
      <c r="AD456" s="210"/>
      <c r="AE456" s="200"/>
      <c r="AF456" s="200"/>
      <c r="AG456" s="209"/>
      <c r="AH456" s="201"/>
      <c r="AI456" s="252"/>
      <c r="AJ456" s="252"/>
      <c r="AK456" s="209"/>
      <c r="AL456" s="200"/>
      <c r="AM456" s="210"/>
      <c r="AN456" s="210"/>
    </row>
    <row r="457" spans="1:40" x14ac:dyDescent="0.25">
      <c r="F457" s="211"/>
      <c r="H457" s="211"/>
      <c r="I457" s="211"/>
      <c r="J457" s="305"/>
      <c r="K457" s="305"/>
      <c r="L457" s="211"/>
      <c r="M457" s="211"/>
      <c r="N457" s="211"/>
      <c r="O457" s="211"/>
      <c r="P457" s="211"/>
      <c r="Q457" s="211"/>
      <c r="R457" s="211"/>
      <c r="V457" s="211"/>
      <c r="Y457" s="211"/>
      <c r="Z457" s="305"/>
      <c r="AA457" s="211"/>
      <c r="AB457" s="211"/>
      <c r="AC457" s="211"/>
      <c r="AD457" s="211"/>
      <c r="AE457" s="211"/>
      <c r="AF457" s="211"/>
      <c r="AI457" s="211"/>
      <c r="AJ457" s="211"/>
      <c r="AK457" s="212"/>
      <c r="AL457" s="211"/>
    </row>
    <row r="459" spans="1:40" x14ac:dyDescent="0.25">
      <c r="A459" s="154"/>
      <c r="T459" s="154"/>
    </row>
    <row r="460" spans="1:40" x14ac:dyDescent="0.25">
      <c r="A460" s="154"/>
      <c r="T460" s="154"/>
    </row>
    <row r="461" spans="1:40" x14ac:dyDescent="0.25">
      <c r="A461" s="154"/>
      <c r="T461" s="154"/>
    </row>
    <row r="462" spans="1:40" x14ac:dyDescent="0.25">
      <c r="A462" s="154"/>
      <c r="T462" s="154"/>
    </row>
    <row r="463" spans="1:40" x14ac:dyDescent="0.25">
      <c r="A463" s="154"/>
      <c r="T463" s="154"/>
    </row>
    <row r="464" spans="1:40" x14ac:dyDescent="0.25">
      <c r="A464" s="154"/>
      <c r="T464" s="154"/>
    </row>
    <row r="465" spans="1:40" x14ac:dyDescent="0.25">
      <c r="A465" s="154"/>
      <c r="T465" s="154"/>
    </row>
    <row r="466" spans="1:40" x14ac:dyDescent="0.25">
      <c r="A466" s="154"/>
      <c r="T466" s="154"/>
    </row>
    <row r="467" spans="1:40" x14ac:dyDescent="0.25">
      <c r="A467" s="154"/>
      <c r="T467" s="154"/>
    </row>
    <row r="469" spans="1:40" x14ac:dyDescent="0.25">
      <c r="A469" s="154"/>
    </row>
    <row r="470" spans="1:40" x14ac:dyDescent="0.25">
      <c r="J470" s="202"/>
      <c r="K470" s="202"/>
      <c r="Z470" s="202"/>
    </row>
    <row r="471" spans="1:40" x14ac:dyDescent="0.25">
      <c r="H471" s="154"/>
      <c r="I471" s="154"/>
      <c r="Y471" s="154"/>
    </row>
    <row r="472" spans="1:40" x14ac:dyDescent="0.25">
      <c r="J472" s="202"/>
      <c r="K472" s="202"/>
      <c r="Z472" s="202"/>
    </row>
    <row r="473" spans="1:40" x14ac:dyDescent="0.25">
      <c r="L473" s="154"/>
      <c r="M473" s="154"/>
      <c r="AA473" s="154"/>
      <c r="AB473" s="154"/>
    </row>
    <row r="474" spans="1:40" x14ac:dyDescent="0.25">
      <c r="A474" s="202"/>
      <c r="R474" s="154"/>
      <c r="AK474" s="297"/>
      <c r="AL474" s="154"/>
    </row>
    <row r="475" spans="1:40" x14ac:dyDescent="0.25">
      <c r="A475" s="202"/>
      <c r="R475" s="154"/>
      <c r="AK475" s="297"/>
      <c r="AL475" s="154"/>
    </row>
    <row r="476" spans="1:40" x14ac:dyDescent="0.25">
      <c r="A476" s="154"/>
      <c r="R476" s="154"/>
      <c r="AK476" s="297"/>
      <c r="AL476" s="154"/>
    </row>
    <row r="477" spans="1:40" x14ac:dyDescent="0.25">
      <c r="L477" s="154"/>
      <c r="M477" s="154"/>
      <c r="R477" s="202"/>
      <c r="AA477" s="154"/>
      <c r="AB477" s="154"/>
      <c r="AK477" s="209"/>
      <c r="AL477" s="202"/>
    </row>
    <row r="478" spans="1:40" x14ac:dyDescent="0.2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208"/>
      <c r="AH478" s="102"/>
      <c r="AI478" s="102"/>
      <c r="AJ478" s="102"/>
      <c r="AK478" s="208"/>
      <c r="AL478" s="102"/>
      <c r="AM478" s="102"/>
      <c r="AN478" s="102"/>
    </row>
    <row r="479" spans="1:40" x14ac:dyDescent="0.25">
      <c r="L479" s="103"/>
      <c r="M479" s="103"/>
      <c r="N479" s="103"/>
      <c r="O479" s="103"/>
      <c r="R479" s="103"/>
      <c r="AA479" s="103"/>
      <c r="AB479" s="103"/>
      <c r="AC479" s="103"/>
      <c r="AD479" s="103"/>
      <c r="AE479" s="103"/>
      <c r="AF479" s="103"/>
      <c r="AG479" s="185"/>
      <c r="AH479" s="103"/>
      <c r="AK479" s="185"/>
      <c r="AL479" s="103"/>
      <c r="AM479" s="103"/>
      <c r="AN479" s="103"/>
    </row>
    <row r="480" spans="1:40" x14ac:dyDescent="0.25">
      <c r="L480" s="103"/>
      <c r="M480" s="103"/>
      <c r="N480" s="103"/>
      <c r="O480" s="103"/>
      <c r="R480" s="103"/>
      <c r="Z480" s="103"/>
      <c r="AA480" s="103"/>
      <c r="AB480" s="103"/>
      <c r="AC480" s="103"/>
      <c r="AD480" s="103"/>
      <c r="AE480" s="103"/>
      <c r="AF480" s="103"/>
      <c r="AG480" s="185"/>
      <c r="AH480" s="103"/>
      <c r="AK480" s="185"/>
      <c r="AL480" s="103"/>
      <c r="AM480" s="103"/>
      <c r="AN480" s="103"/>
    </row>
    <row r="481" spans="1:40" x14ac:dyDescent="0.25">
      <c r="A481" s="103"/>
      <c r="C481" s="103"/>
      <c r="D481" s="103"/>
      <c r="E481" s="103"/>
      <c r="F481" s="103"/>
      <c r="J481" s="103"/>
      <c r="K481" s="103"/>
      <c r="L481" s="103"/>
      <c r="M481" s="103"/>
      <c r="N481" s="103"/>
      <c r="O481" s="103"/>
      <c r="P481" s="103"/>
      <c r="Q481" s="103"/>
      <c r="R481" s="103"/>
      <c r="T481" s="103"/>
      <c r="U481" s="103"/>
      <c r="V481" s="103"/>
      <c r="Z481" s="103"/>
      <c r="AA481" s="103"/>
      <c r="AB481" s="103"/>
      <c r="AC481" s="103"/>
      <c r="AD481" s="103"/>
      <c r="AE481" s="103"/>
      <c r="AF481" s="103"/>
      <c r="AG481" s="185"/>
      <c r="AH481" s="103"/>
      <c r="AI481" s="103"/>
      <c r="AJ481" s="103"/>
      <c r="AK481" s="185"/>
      <c r="AL481" s="103"/>
      <c r="AM481" s="103"/>
      <c r="AN481" s="103"/>
    </row>
    <row r="482" spans="1:40" x14ac:dyDescent="0.25">
      <c r="A482" s="103"/>
      <c r="C482" s="103"/>
      <c r="D482" s="103"/>
      <c r="E482" s="103"/>
      <c r="F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T482" s="103"/>
      <c r="U482" s="103"/>
      <c r="V482" s="103"/>
      <c r="Y482" s="103"/>
      <c r="Z482" s="103"/>
      <c r="AA482" s="103"/>
      <c r="AB482" s="103"/>
      <c r="AC482" s="103"/>
      <c r="AD482" s="103"/>
      <c r="AE482" s="103"/>
      <c r="AF482" s="103"/>
      <c r="AG482" s="185"/>
      <c r="AH482" s="103"/>
      <c r="AI482" s="103"/>
      <c r="AJ482" s="103"/>
      <c r="AK482" s="185"/>
      <c r="AL482" s="103"/>
      <c r="AM482" s="103"/>
      <c r="AN482" s="103"/>
    </row>
    <row r="483" spans="1:40" x14ac:dyDescent="0.25">
      <c r="C483" s="103"/>
      <c r="D483" s="103"/>
      <c r="E483" s="103"/>
      <c r="F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T483" s="103"/>
      <c r="U483" s="103"/>
      <c r="V483" s="103"/>
      <c r="Y483" s="103"/>
      <c r="Z483" s="103"/>
      <c r="AA483" s="103"/>
      <c r="AB483" s="103"/>
      <c r="AC483" s="103"/>
      <c r="AD483" s="103"/>
      <c r="AE483" s="103"/>
      <c r="AF483" s="103"/>
      <c r="AG483" s="185"/>
      <c r="AH483" s="103"/>
      <c r="AI483" s="103"/>
      <c r="AJ483" s="103"/>
      <c r="AK483" s="185"/>
      <c r="AL483" s="103"/>
      <c r="AM483" s="103"/>
      <c r="AN483" s="103"/>
    </row>
    <row r="484" spans="1:40" x14ac:dyDescent="0.2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208"/>
      <c r="AH484" s="102"/>
      <c r="AI484" s="102"/>
      <c r="AJ484" s="102"/>
      <c r="AK484" s="208"/>
      <c r="AL484" s="102"/>
      <c r="AM484" s="102"/>
      <c r="AN484" s="102"/>
    </row>
    <row r="485" spans="1:40" x14ac:dyDescent="0.25"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Y485" s="103"/>
      <c r="Z485" s="103"/>
      <c r="AA485" s="103"/>
      <c r="AB485" s="103"/>
      <c r="AC485" s="103"/>
      <c r="AD485" s="103"/>
      <c r="AE485" s="103"/>
      <c r="AF485" s="103"/>
      <c r="AG485" s="185"/>
      <c r="AH485" s="103"/>
      <c r="AI485" s="103"/>
      <c r="AJ485" s="103"/>
      <c r="AK485" s="185"/>
      <c r="AL485" s="103"/>
      <c r="AM485" s="103"/>
      <c r="AN485" s="103"/>
    </row>
    <row r="486" spans="1:40" x14ac:dyDescent="0.25">
      <c r="A486" s="202"/>
      <c r="C486" s="154"/>
      <c r="D486" s="154"/>
      <c r="E486" s="154"/>
      <c r="T486" s="154"/>
      <c r="U486" s="154"/>
    </row>
    <row r="487" spans="1:40" x14ac:dyDescent="0.25">
      <c r="A487" s="202"/>
      <c r="D487" s="154"/>
      <c r="E487" s="154"/>
      <c r="U487" s="154"/>
    </row>
    <row r="489" spans="1:40" x14ac:dyDescent="0.25">
      <c r="A489" s="202"/>
      <c r="C489" s="154"/>
      <c r="F489" s="200"/>
      <c r="J489" s="215"/>
      <c r="K489" s="215"/>
      <c r="L489" s="200"/>
      <c r="M489" s="200"/>
      <c r="R489" s="200"/>
      <c r="T489" s="154"/>
      <c r="V489" s="200"/>
      <c r="Z489" s="215"/>
      <c r="AA489" s="200"/>
      <c r="AB489" s="200"/>
      <c r="AG489" s="209"/>
      <c r="AH489" s="200"/>
      <c r="AK489" s="209"/>
      <c r="AL489" s="200"/>
    </row>
    <row r="490" spans="1:40" x14ac:dyDescent="0.25">
      <c r="A490" s="202"/>
      <c r="C490" s="154"/>
      <c r="F490" s="200"/>
      <c r="R490" s="200"/>
      <c r="T490" s="154"/>
      <c r="V490" s="200"/>
      <c r="AG490" s="209"/>
      <c r="AH490" s="200"/>
      <c r="AK490" s="209"/>
      <c r="AL490" s="200"/>
    </row>
    <row r="491" spans="1:40" x14ac:dyDescent="0.25">
      <c r="AI491" s="200"/>
      <c r="AJ491" s="200"/>
      <c r="AK491" s="209"/>
      <c r="AL491" s="200"/>
      <c r="AM491" s="210"/>
      <c r="AN491" s="210"/>
    </row>
    <row r="492" spans="1:40" x14ac:dyDescent="0.25">
      <c r="A492" s="202"/>
      <c r="C492" s="154"/>
      <c r="F492" s="252"/>
      <c r="H492" s="252"/>
      <c r="I492" s="252"/>
      <c r="J492" s="328"/>
      <c r="K492" s="328"/>
      <c r="L492" s="200"/>
      <c r="M492" s="200"/>
      <c r="N492" s="210"/>
      <c r="O492" s="210"/>
      <c r="P492" s="200"/>
      <c r="Q492" s="200"/>
      <c r="R492" s="200"/>
      <c r="T492" s="154"/>
      <c r="V492" s="200"/>
      <c r="Y492" s="200"/>
      <c r="Z492" s="328"/>
      <c r="AA492" s="200"/>
      <c r="AB492" s="200"/>
      <c r="AC492" s="210"/>
      <c r="AD492" s="210"/>
      <c r="AE492" s="200"/>
      <c r="AF492" s="200"/>
      <c r="AG492" s="209"/>
      <c r="AH492" s="201"/>
      <c r="AI492" s="200"/>
      <c r="AJ492" s="200"/>
      <c r="AK492" s="209"/>
      <c r="AL492" s="200"/>
      <c r="AM492" s="210"/>
      <c r="AN492" s="210"/>
    </row>
    <row r="493" spans="1:40" x14ac:dyDescent="0.25">
      <c r="F493" s="200"/>
      <c r="H493" s="200"/>
      <c r="I493" s="200"/>
      <c r="J493" s="213"/>
      <c r="K493" s="213"/>
      <c r="L493" s="200"/>
      <c r="M493" s="200"/>
      <c r="P493" s="200"/>
      <c r="Q493" s="200"/>
      <c r="R493" s="200"/>
      <c r="V493" s="200"/>
      <c r="Y493" s="200"/>
      <c r="Z493" s="213"/>
      <c r="AA493" s="200"/>
      <c r="AB493" s="200"/>
      <c r="AI493" s="200"/>
      <c r="AJ493" s="200"/>
      <c r="AK493" s="209"/>
      <c r="AL493" s="200"/>
      <c r="AM493" s="210"/>
      <c r="AN493" s="210"/>
    </row>
    <row r="494" spans="1:40" x14ac:dyDescent="0.25">
      <c r="F494" s="200"/>
      <c r="R494" s="200"/>
      <c r="V494" s="200"/>
      <c r="AK494" s="209"/>
      <c r="AL494" s="200"/>
      <c r="AM494" s="210"/>
      <c r="AN494" s="210"/>
    </row>
    <row r="495" spans="1:40" x14ac:dyDescent="0.25">
      <c r="A495" s="202"/>
      <c r="C495" s="154"/>
      <c r="F495" s="200"/>
      <c r="J495" s="215"/>
      <c r="K495" s="215"/>
      <c r="L495" s="200"/>
      <c r="M495" s="200"/>
      <c r="N495" s="210"/>
      <c r="O495" s="210"/>
      <c r="R495" s="200"/>
      <c r="T495" s="154"/>
      <c r="V495" s="200"/>
      <c r="Z495" s="215"/>
      <c r="AA495" s="200"/>
      <c r="AB495" s="200"/>
      <c r="AC495" s="210"/>
      <c r="AD495" s="210"/>
      <c r="AK495" s="209"/>
      <c r="AL495" s="200"/>
      <c r="AM495" s="210"/>
      <c r="AN495" s="210"/>
    </row>
    <row r="496" spans="1:40" x14ac:dyDescent="0.25">
      <c r="A496" s="202"/>
      <c r="C496" s="154"/>
      <c r="F496" s="200"/>
      <c r="H496" s="200"/>
      <c r="I496" s="200"/>
      <c r="J496" s="215"/>
      <c r="K496" s="215"/>
      <c r="L496" s="200"/>
      <c r="M496" s="200"/>
      <c r="N496" s="210"/>
      <c r="O496" s="210"/>
      <c r="P496" s="200"/>
      <c r="Q496" s="200"/>
      <c r="R496" s="200"/>
      <c r="T496" s="154"/>
      <c r="V496" s="200"/>
      <c r="Y496" s="200"/>
      <c r="Z496" s="215"/>
      <c r="AA496" s="200"/>
      <c r="AB496" s="200"/>
      <c r="AC496" s="210"/>
      <c r="AD496" s="210"/>
      <c r="AI496" s="200"/>
      <c r="AJ496" s="200"/>
      <c r="AK496" s="209"/>
      <c r="AL496" s="200"/>
      <c r="AM496" s="210"/>
      <c r="AN496" s="210"/>
    </row>
    <row r="497" spans="1:40" x14ac:dyDescent="0.25">
      <c r="A497" s="202"/>
      <c r="C497" s="154"/>
      <c r="T497" s="154"/>
      <c r="AM497" s="210"/>
      <c r="AN497" s="210"/>
    </row>
    <row r="498" spans="1:40" x14ac:dyDescent="0.25">
      <c r="A498" s="202"/>
      <c r="C498" s="154"/>
      <c r="T498" s="154"/>
      <c r="AM498" s="210"/>
      <c r="AN498" s="210"/>
    </row>
    <row r="499" spans="1:40" x14ac:dyDescent="0.25">
      <c r="AM499" s="210"/>
      <c r="AN499" s="210"/>
    </row>
    <row r="500" spans="1:40" x14ac:dyDescent="0.25">
      <c r="A500" s="202"/>
      <c r="C500" s="154"/>
      <c r="F500" s="252"/>
      <c r="H500" s="252"/>
      <c r="I500" s="252"/>
      <c r="J500" s="328"/>
      <c r="K500" s="328"/>
      <c r="L500" s="200"/>
      <c r="M500" s="200"/>
      <c r="N500" s="210"/>
      <c r="O500" s="210"/>
      <c r="P500" s="200"/>
      <c r="Q500" s="200"/>
      <c r="R500" s="200"/>
      <c r="T500" s="154"/>
      <c r="V500" s="200"/>
      <c r="Y500" s="200"/>
      <c r="Z500" s="328"/>
      <c r="AA500" s="200"/>
      <c r="AB500" s="200"/>
      <c r="AC500" s="210"/>
      <c r="AD500" s="210"/>
      <c r="AE500" s="200"/>
      <c r="AF500" s="200"/>
      <c r="AG500" s="209"/>
      <c r="AH500" s="201"/>
      <c r="AI500" s="200"/>
      <c r="AJ500" s="200"/>
      <c r="AK500" s="209"/>
      <c r="AL500" s="200"/>
      <c r="AM500" s="210"/>
      <c r="AN500" s="210"/>
    </row>
    <row r="501" spans="1:40" x14ac:dyDescent="0.25">
      <c r="F501" s="211"/>
      <c r="H501" s="211"/>
      <c r="I501" s="211"/>
      <c r="J501" s="305"/>
      <c r="K501" s="305"/>
      <c r="L501" s="211"/>
      <c r="M501" s="211"/>
      <c r="N501" s="211"/>
      <c r="O501" s="211"/>
      <c r="P501" s="211"/>
      <c r="Q501" s="211"/>
      <c r="R501" s="211"/>
      <c r="V501" s="211"/>
      <c r="Y501" s="211"/>
      <c r="Z501" s="305"/>
      <c r="AA501" s="211"/>
      <c r="AB501" s="211"/>
      <c r="AC501" s="211"/>
      <c r="AD501" s="211"/>
      <c r="AE501" s="211"/>
      <c r="AF501" s="211"/>
      <c r="AI501" s="211"/>
      <c r="AJ501" s="211"/>
      <c r="AK501" s="212"/>
      <c r="AL501" s="211"/>
      <c r="AM501" s="210"/>
      <c r="AN501" s="210"/>
    </row>
    <row r="502" spans="1:40" x14ac:dyDescent="0.25">
      <c r="H502" s="200"/>
      <c r="I502" s="200"/>
      <c r="Y502" s="200"/>
      <c r="AM502" s="210"/>
      <c r="AN502" s="210"/>
    </row>
    <row r="503" spans="1:40" x14ac:dyDescent="0.25">
      <c r="A503" s="202"/>
      <c r="C503" s="154"/>
      <c r="F503" s="200"/>
      <c r="H503" s="200"/>
      <c r="I503" s="200"/>
      <c r="L503" s="200"/>
      <c r="M503" s="200"/>
      <c r="N503" s="210"/>
      <c r="O503" s="210"/>
      <c r="P503" s="252"/>
      <c r="Q503" s="252"/>
      <c r="R503" s="200"/>
      <c r="T503" s="154"/>
      <c r="V503" s="200"/>
      <c r="Y503" s="200"/>
      <c r="AA503" s="200"/>
      <c r="AB503" s="200"/>
      <c r="AC503" s="210"/>
      <c r="AD503" s="210"/>
      <c r="AE503" s="200"/>
      <c r="AF503" s="200"/>
      <c r="AG503" s="209"/>
      <c r="AH503" s="201"/>
      <c r="AI503" s="252"/>
      <c r="AJ503" s="252"/>
      <c r="AK503" s="209"/>
      <c r="AL503" s="200"/>
      <c r="AM503" s="210"/>
      <c r="AN503" s="210"/>
    </row>
    <row r="504" spans="1:40" x14ac:dyDescent="0.25">
      <c r="F504" s="211"/>
      <c r="H504" s="211"/>
      <c r="I504" s="211"/>
      <c r="J504" s="305"/>
      <c r="K504" s="305"/>
      <c r="L504" s="211"/>
      <c r="M504" s="211"/>
      <c r="N504" s="211"/>
      <c r="O504" s="211"/>
      <c r="P504" s="211"/>
      <c r="Q504" s="211"/>
      <c r="R504" s="211"/>
      <c r="V504" s="211"/>
      <c r="Y504" s="211"/>
      <c r="Z504" s="305"/>
      <c r="AA504" s="211"/>
      <c r="AB504" s="211"/>
      <c r="AC504" s="211"/>
      <c r="AD504" s="211"/>
      <c r="AE504" s="211"/>
      <c r="AF504" s="211"/>
      <c r="AI504" s="211"/>
      <c r="AJ504" s="211"/>
      <c r="AK504" s="212"/>
      <c r="AL504" s="211"/>
      <c r="AM504" s="210"/>
      <c r="AN504" s="210"/>
    </row>
    <row r="506" spans="1:40" x14ac:dyDescent="0.25">
      <c r="F506" s="200"/>
      <c r="H506" s="200"/>
      <c r="I506" s="200"/>
      <c r="J506" s="213"/>
      <c r="K506" s="213"/>
      <c r="L506" s="200"/>
      <c r="M506" s="200"/>
      <c r="N506" s="200"/>
      <c r="O506" s="200"/>
      <c r="P506" s="200"/>
      <c r="Q506" s="200"/>
      <c r="R506" s="200"/>
      <c r="V506" s="200"/>
      <c r="Y506" s="200"/>
      <c r="Z506" s="213"/>
      <c r="AA506" s="200"/>
      <c r="AB506" s="200"/>
      <c r="AC506" s="200"/>
      <c r="AD506" s="200"/>
      <c r="AE506" s="200"/>
      <c r="AF506" s="200"/>
      <c r="AG506" s="209"/>
      <c r="AH506" s="200"/>
      <c r="AI506" s="200"/>
      <c r="AJ506" s="200"/>
      <c r="AK506" s="209"/>
      <c r="AL506" s="200"/>
    </row>
    <row r="507" spans="1:40" x14ac:dyDescent="0.25">
      <c r="A507" s="154"/>
    </row>
    <row r="508" spans="1:40" x14ac:dyDescent="0.25">
      <c r="J508" s="202"/>
      <c r="K508" s="202"/>
      <c r="Z508" s="202"/>
    </row>
    <row r="509" spans="1:40" x14ac:dyDescent="0.25">
      <c r="H509" s="154"/>
      <c r="I509" s="154"/>
      <c r="Y509" s="154"/>
    </row>
    <row r="510" spans="1:40" x14ac:dyDescent="0.25">
      <c r="J510" s="202"/>
      <c r="K510" s="202"/>
      <c r="Z510" s="202"/>
    </row>
    <row r="511" spans="1:40" x14ac:dyDescent="0.25">
      <c r="L511" s="154"/>
      <c r="M511" s="154"/>
      <c r="AA511" s="154"/>
      <c r="AB511" s="154"/>
    </row>
    <row r="512" spans="1:40" x14ac:dyDescent="0.25">
      <c r="A512" s="202"/>
      <c r="R512" s="154"/>
      <c r="AK512" s="297"/>
      <c r="AL512" s="154"/>
    </row>
    <row r="513" spans="1:40" x14ac:dyDescent="0.25">
      <c r="A513" s="202"/>
      <c r="R513" s="154"/>
      <c r="AK513" s="297"/>
      <c r="AL513" s="154"/>
    </row>
    <row r="514" spans="1:40" x14ac:dyDescent="0.25">
      <c r="A514" s="154"/>
      <c r="R514" s="154"/>
      <c r="AK514" s="297"/>
      <c r="AL514" s="154"/>
    </row>
    <row r="515" spans="1:40" x14ac:dyDescent="0.25">
      <c r="L515" s="154"/>
      <c r="M515" s="154"/>
      <c r="R515" s="202"/>
      <c r="AA515" s="154"/>
      <c r="AB515" s="154"/>
      <c r="AK515" s="209"/>
      <c r="AL515" s="202"/>
    </row>
    <row r="516" spans="1:40" x14ac:dyDescent="0.2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208"/>
      <c r="AH516" s="102"/>
      <c r="AI516" s="102"/>
      <c r="AJ516" s="102"/>
      <c r="AK516" s="208"/>
      <c r="AL516" s="102"/>
      <c r="AM516" s="102"/>
      <c r="AN516" s="102"/>
    </row>
    <row r="517" spans="1:40" x14ac:dyDescent="0.25">
      <c r="L517" s="103"/>
      <c r="M517" s="103"/>
      <c r="N517" s="103"/>
      <c r="O517" s="103"/>
      <c r="R517" s="103"/>
      <c r="AA517" s="103"/>
      <c r="AB517" s="103"/>
      <c r="AC517" s="103"/>
      <c r="AD517" s="103"/>
      <c r="AE517" s="103"/>
      <c r="AF517" s="103"/>
      <c r="AG517" s="185"/>
      <c r="AH517" s="103"/>
      <c r="AK517" s="185"/>
      <c r="AL517" s="103"/>
      <c r="AM517" s="103"/>
      <c r="AN517" s="103"/>
    </row>
    <row r="518" spans="1:40" x14ac:dyDescent="0.25">
      <c r="L518" s="103"/>
      <c r="M518" s="103"/>
      <c r="N518" s="103"/>
      <c r="O518" s="103"/>
      <c r="R518" s="103"/>
      <c r="Z518" s="103"/>
      <c r="AA518" s="103"/>
      <c r="AB518" s="103"/>
      <c r="AC518" s="103"/>
      <c r="AD518" s="103"/>
      <c r="AE518" s="103"/>
      <c r="AF518" s="103"/>
      <c r="AG518" s="185"/>
      <c r="AH518" s="103"/>
      <c r="AK518" s="185"/>
      <c r="AL518" s="103"/>
      <c r="AM518" s="103"/>
      <c r="AN518" s="103"/>
    </row>
    <row r="519" spans="1:40" x14ac:dyDescent="0.25">
      <c r="A519" s="103"/>
      <c r="C519" s="103"/>
      <c r="D519" s="103"/>
      <c r="E519" s="103"/>
      <c r="F519" s="103"/>
      <c r="J519" s="103"/>
      <c r="K519" s="103"/>
      <c r="L519" s="103"/>
      <c r="M519" s="103"/>
      <c r="N519" s="103"/>
      <c r="O519" s="103"/>
      <c r="P519" s="103"/>
      <c r="Q519" s="103"/>
      <c r="R519" s="103"/>
      <c r="T519" s="103"/>
      <c r="U519" s="103"/>
      <c r="V519" s="103"/>
      <c r="Z519" s="103"/>
      <c r="AA519" s="103"/>
      <c r="AB519" s="103"/>
      <c r="AC519" s="103"/>
      <c r="AD519" s="103"/>
      <c r="AE519" s="103"/>
      <c r="AF519" s="103"/>
      <c r="AG519" s="185"/>
      <c r="AH519" s="103"/>
      <c r="AI519" s="103"/>
      <c r="AJ519" s="103"/>
      <c r="AK519" s="185"/>
      <c r="AL519" s="103"/>
      <c r="AM519" s="103"/>
      <c r="AN519" s="103"/>
    </row>
    <row r="520" spans="1:40" x14ac:dyDescent="0.25">
      <c r="A520" s="103"/>
      <c r="C520" s="103"/>
      <c r="D520" s="103"/>
      <c r="E520" s="103"/>
      <c r="F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T520" s="103"/>
      <c r="U520" s="103"/>
      <c r="V520" s="103"/>
      <c r="Y520" s="103"/>
      <c r="Z520" s="103"/>
      <c r="AA520" s="103"/>
      <c r="AB520" s="103"/>
      <c r="AC520" s="103"/>
      <c r="AD520" s="103"/>
      <c r="AE520" s="103"/>
      <c r="AF520" s="103"/>
      <c r="AG520" s="185"/>
      <c r="AH520" s="103"/>
      <c r="AI520" s="103"/>
      <c r="AJ520" s="103"/>
      <c r="AK520" s="185"/>
      <c r="AL520" s="103"/>
      <c r="AM520" s="103"/>
      <c r="AN520" s="103"/>
    </row>
    <row r="521" spans="1:40" x14ac:dyDescent="0.25">
      <c r="C521" s="103"/>
      <c r="D521" s="103"/>
      <c r="E521" s="103"/>
      <c r="F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T521" s="103"/>
      <c r="U521" s="103"/>
      <c r="V521" s="103"/>
      <c r="Y521" s="103"/>
      <c r="Z521" s="103"/>
      <c r="AA521" s="103"/>
      <c r="AB521" s="103"/>
      <c r="AC521" s="103"/>
      <c r="AD521" s="103"/>
      <c r="AE521" s="103"/>
      <c r="AF521" s="103"/>
      <c r="AG521" s="185"/>
      <c r="AH521" s="103"/>
      <c r="AI521" s="103"/>
      <c r="AJ521" s="103"/>
      <c r="AK521" s="185"/>
      <c r="AL521" s="103"/>
      <c r="AM521" s="103"/>
      <c r="AN521" s="103"/>
    </row>
    <row r="522" spans="1:40" x14ac:dyDescent="0.2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208"/>
      <c r="AH522" s="102"/>
      <c r="AI522" s="102"/>
      <c r="AJ522" s="102"/>
      <c r="AK522" s="208"/>
      <c r="AL522" s="102"/>
      <c r="AM522" s="102"/>
      <c r="AN522" s="102"/>
    </row>
    <row r="523" spans="1:40" x14ac:dyDescent="0.25"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Y523" s="103"/>
      <c r="Z523" s="103"/>
      <c r="AA523" s="103"/>
      <c r="AB523" s="103"/>
      <c r="AC523" s="103"/>
      <c r="AD523" s="103"/>
      <c r="AE523" s="103"/>
      <c r="AF523" s="103"/>
      <c r="AG523" s="185"/>
      <c r="AH523" s="103"/>
      <c r="AI523" s="103"/>
      <c r="AJ523" s="103"/>
      <c r="AK523" s="185"/>
      <c r="AL523" s="103"/>
      <c r="AM523" s="103"/>
      <c r="AN523" s="103"/>
    </row>
    <row r="524" spans="1:40" x14ac:dyDescent="0.25">
      <c r="A524" s="202"/>
      <c r="C524" s="154"/>
      <c r="D524" s="154"/>
      <c r="E524" s="154"/>
      <c r="T524" s="154"/>
      <c r="U524" s="154"/>
      <c r="V524" s="200"/>
      <c r="W524" s="200"/>
      <c r="X524" s="200"/>
      <c r="Y524" s="200"/>
      <c r="Z524" s="328"/>
    </row>
    <row r="526" spans="1:40" x14ac:dyDescent="0.25">
      <c r="A526" s="202"/>
      <c r="C526" s="154"/>
      <c r="T526" s="154"/>
      <c r="V526" s="200"/>
      <c r="W526" s="200"/>
      <c r="X526" s="200"/>
      <c r="Y526" s="200"/>
      <c r="Z526" s="328"/>
    </row>
    <row r="527" spans="1:40" x14ac:dyDescent="0.25">
      <c r="A527" s="202"/>
      <c r="C527" s="154"/>
      <c r="F527" s="252"/>
      <c r="H527" s="252"/>
      <c r="I527" s="252"/>
      <c r="J527" s="329"/>
      <c r="K527" s="329"/>
      <c r="L527" s="200"/>
      <c r="M527" s="200"/>
      <c r="N527" s="210"/>
      <c r="O527" s="210"/>
      <c r="P527" s="200"/>
      <c r="Q527" s="200"/>
      <c r="R527" s="200"/>
      <c r="T527" s="154"/>
      <c r="V527" s="200"/>
      <c r="W527" s="200"/>
      <c r="X527" s="200"/>
      <c r="Y527" s="200"/>
      <c r="Z527" s="329"/>
      <c r="AA527" s="200"/>
      <c r="AB527" s="200"/>
      <c r="AC527" s="210"/>
      <c r="AD527" s="210"/>
      <c r="AE527" s="200"/>
      <c r="AF527" s="200"/>
      <c r="AG527" s="209"/>
      <c r="AH527" s="201"/>
      <c r="AI527" s="200"/>
      <c r="AJ527" s="200"/>
      <c r="AK527" s="209"/>
      <c r="AL527" s="200"/>
      <c r="AM527" s="210"/>
      <c r="AN527" s="210"/>
    </row>
    <row r="528" spans="1:40" x14ac:dyDescent="0.25">
      <c r="A528" s="202"/>
      <c r="C528" s="154"/>
      <c r="F528" s="252"/>
      <c r="H528" s="252"/>
      <c r="I528" s="252"/>
      <c r="J528" s="329"/>
      <c r="K528" s="329"/>
      <c r="L528" s="200"/>
      <c r="M528" s="200"/>
      <c r="N528" s="210"/>
      <c r="O528" s="210"/>
      <c r="P528" s="200"/>
      <c r="Q528" s="200"/>
      <c r="R528" s="200"/>
      <c r="T528" s="154"/>
      <c r="V528" s="200"/>
      <c r="W528" s="200"/>
      <c r="X528" s="200"/>
      <c r="Y528" s="200"/>
      <c r="Z528" s="329"/>
      <c r="AA528" s="200"/>
      <c r="AB528" s="200"/>
      <c r="AC528" s="210"/>
      <c r="AD528" s="210"/>
      <c r="AE528" s="200"/>
      <c r="AF528" s="200"/>
      <c r="AG528" s="209"/>
      <c r="AH528" s="201"/>
      <c r="AI528" s="200"/>
      <c r="AJ528" s="200"/>
      <c r="AK528" s="209"/>
      <c r="AL528" s="200"/>
      <c r="AM528" s="210"/>
      <c r="AN528" s="210"/>
    </row>
    <row r="529" spans="1:40" x14ac:dyDescent="0.25">
      <c r="A529" s="202"/>
      <c r="C529" s="154"/>
      <c r="F529" s="252"/>
      <c r="H529" s="252"/>
      <c r="I529" s="252"/>
      <c r="J529" s="329"/>
      <c r="K529" s="329"/>
      <c r="L529" s="200"/>
      <c r="M529" s="200"/>
      <c r="N529" s="210"/>
      <c r="O529" s="210"/>
      <c r="P529" s="200"/>
      <c r="Q529" s="200"/>
      <c r="R529" s="200"/>
      <c r="T529" s="154"/>
      <c r="V529" s="200"/>
      <c r="W529" s="200"/>
      <c r="X529" s="200"/>
      <c r="Y529" s="200"/>
      <c r="Z529" s="329"/>
      <c r="AA529" s="200"/>
      <c r="AB529" s="200"/>
      <c r="AC529" s="210"/>
      <c r="AD529" s="210"/>
      <c r="AE529" s="200"/>
      <c r="AF529" s="200"/>
      <c r="AG529" s="209"/>
      <c r="AH529" s="201"/>
      <c r="AI529" s="200"/>
      <c r="AJ529" s="200"/>
      <c r="AK529" s="209"/>
      <c r="AL529" s="200"/>
      <c r="AM529" s="210"/>
      <c r="AN529" s="210"/>
    </row>
    <row r="530" spans="1:40" x14ac:dyDescent="0.25">
      <c r="A530" s="202"/>
      <c r="C530" s="154"/>
      <c r="F530" s="252"/>
      <c r="H530" s="252"/>
      <c r="I530" s="252"/>
      <c r="J530" s="329"/>
      <c r="K530" s="329"/>
      <c r="L530" s="200"/>
      <c r="M530" s="200"/>
      <c r="N530" s="210"/>
      <c r="O530" s="210"/>
      <c r="P530" s="200"/>
      <c r="Q530" s="200"/>
      <c r="R530" s="200"/>
      <c r="T530" s="154"/>
      <c r="V530" s="200"/>
      <c r="W530" s="200"/>
      <c r="X530" s="200"/>
      <c r="Y530" s="200"/>
      <c r="Z530" s="329"/>
      <c r="AA530" s="200"/>
      <c r="AB530" s="200"/>
      <c r="AC530" s="210"/>
      <c r="AD530" s="210"/>
      <c r="AE530" s="200"/>
      <c r="AF530" s="200"/>
      <c r="AG530" s="209"/>
      <c r="AH530" s="201"/>
      <c r="AI530" s="200"/>
      <c r="AJ530" s="200"/>
      <c r="AK530" s="209"/>
      <c r="AL530" s="200"/>
      <c r="AM530" s="210"/>
      <c r="AN530" s="210"/>
    </row>
    <row r="531" spans="1:40" x14ac:dyDescent="0.25">
      <c r="J531" s="334"/>
      <c r="K531" s="334"/>
      <c r="V531" s="200"/>
      <c r="W531" s="200"/>
      <c r="X531" s="200"/>
      <c r="Y531" s="200"/>
      <c r="Z531" s="329"/>
    </row>
    <row r="532" spans="1:40" x14ac:dyDescent="0.25">
      <c r="A532" s="202"/>
      <c r="C532" s="154"/>
      <c r="F532" s="252"/>
      <c r="H532" s="252"/>
      <c r="I532" s="252"/>
      <c r="J532" s="329"/>
      <c r="K532" s="329"/>
      <c r="L532" s="200"/>
      <c r="M532" s="200"/>
      <c r="N532" s="210"/>
      <c r="O532" s="210"/>
      <c r="P532" s="200"/>
      <c r="Q532" s="200"/>
      <c r="R532" s="200"/>
      <c r="T532" s="154"/>
      <c r="V532" s="200"/>
      <c r="W532" s="200"/>
      <c r="X532" s="200"/>
      <c r="Y532" s="200"/>
      <c r="Z532" s="329"/>
      <c r="AA532" s="200"/>
      <c r="AB532" s="200"/>
      <c r="AC532" s="210"/>
      <c r="AD532" s="210"/>
      <c r="AE532" s="200"/>
      <c r="AF532" s="200"/>
      <c r="AG532" s="209"/>
      <c r="AH532" s="201"/>
      <c r="AI532" s="200"/>
      <c r="AJ532" s="200"/>
      <c r="AK532" s="209"/>
      <c r="AL532" s="200"/>
      <c r="AM532" s="201"/>
      <c r="AN532" s="201"/>
    </row>
    <row r="533" spans="1:40" x14ac:dyDescent="0.25">
      <c r="A533" s="202"/>
      <c r="C533" s="154"/>
      <c r="J533" s="334"/>
      <c r="K533" s="334"/>
      <c r="T533" s="154"/>
      <c r="V533" s="200"/>
      <c r="W533" s="200"/>
      <c r="X533" s="200"/>
      <c r="Y533" s="200"/>
      <c r="Z533" s="329"/>
    </row>
    <row r="534" spans="1:40" x14ac:dyDescent="0.25">
      <c r="A534" s="202"/>
      <c r="C534" s="154"/>
      <c r="F534" s="252"/>
      <c r="H534" s="252"/>
      <c r="I534" s="252"/>
      <c r="J534" s="329"/>
      <c r="K534" s="329"/>
      <c r="L534" s="200"/>
      <c r="M534" s="200"/>
      <c r="N534" s="210"/>
      <c r="O534" s="210"/>
      <c r="P534" s="200"/>
      <c r="Q534" s="200"/>
      <c r="R534" s="200"/>
      <c r="T534" s="154"/>
      <c r="V534" s="200"/>
      <c r="W534" s="200"/>
      <c r="X534" s="200"/>
      <c r="Y534" s="200"/>
      <c r="Z534" s="329"/>
      <c r="AA534" s="200"/>
      <c r="AB534" s="200"/>
      <c r="AC534" s="210"/>
      <c r="AD534" s="210"/>
      <c r="AE534" s="200"/>
      <c r="AF534" s="200"/>
      <c r="AG534" s="209"/>
      <c r="AH534" s="201"/>
      <c r="AI534" s="200"/>
      <c r="AJ534" s="200"/>
      <c r="AK534" s="209"/>
      <c r="AL534" s="200"/>
      <c r="AM534" s="201"/>
      <c r="AN534" s="201"/>
    </row>
    <row r="535" spans="1:40" x14ac:dyDescent="0.25">
      <c r="J535" s="334"/>
      <c r="K535" s="334"/>
      <c r="Z535" s="334"/>
    </row>
    <row r="536" spans="1:40" x14ac:dyDescent="0.25">
      <c r="A536" s="202"/>
      <c r="C536" s="154"/>
      <c r="J536" s="334"/>
      <c r="K536" s="334"/>
      <c r="T536" s="154"/>
      <c r="V536" s="200"/>
      <c r="W536" s="200"/>
      <c r="X536" s="200"/>
      <c r="Y536" s="200"/>
      <c r="Z536" s="329"/>
    </row>
    <row r="537" spans="1:40" x14ac:dyDescent="0.25">
      <c r="A537" s="202"/>
      <c r="C537" s="154"/>
      <c r="F537" s="252"/>
      <c r="H537" s="252"/>
      <c r="I537" s="252"/>
      <c r="J537" s="329"/>
      <c r="K537" s="329"/>
      <c r="L537" s="200"/>
      <c r="M537" s="200"/>
      <c r="N537" s="210"/>
      <c r="O537" s="210"/>
      <c r="P537" s="200"/>
      <c r="Q537" s="200"/>
      <c r="R537" s="200"/>
      <c r="T537" s="154"/>
      <c r="V537" s="200"/>
      <c r="W537" s="200"/>
      <c r="X537" s="200"/>
      <c r="Y537" s="200"/>
      <c r="Z537" s="329"/>
      <c r="AA537" s="200"/>
      <c r="AB537" s="200"/>
      <c r="AC537" s="210"/>
      <c r="AD537" s="210"/>
      <c r="AE537" s="200"/>
      <c r="AF537" s="200"/>
      <c r="AG537" s="209"/>
      <c r="AH537" s="201"/>
      <c r="AI537" s="200"/>
      <c r="AJ537" s="200"/>
      <c r="AK537" s="209"/>
      <c r="AL537" s="200"/>
      <c r="AM537" s="201"/>
      <c r="AN537" s="201"/>
    </row>
    <row r="538" spans="1:40" x14ac:dyDescent="0.25">
      <c r="A538" s="202"/>
      <c r="C538" s="154"/>
      <c r="F538" s="252"/>
      <c r="H538" s="252"/>
      <c r="I538" s="252"/>
      <c r="J538" s="329"/>
      <c r="K538" s="329"/>
      <c r="L538" s="200"/>
      <c r="M538" s="200"/>
      <c r="N538" s="210"/>
      <c r="O538" s="210"/>
      <c r="P538" s="200"/>
      <c r="Q538" s="200"/>
      <c r="R538" s="200"/>
      <c r="T538" s="154"/>
      <c r="V538" s="200"/>
      <c r="W538" s="200"/>
      <c r="X538" s="200"/>
      <c r="Y538" s="200"/>
      <c r="Z538" s="329"/>
      <c r="AA538" s="200"/>
      <c r="AB538" s="200"/>
      <c r="AC538" s="210"/>
      <c r="AD538" s="210"/>
      <c r="AE538" s="200"/>
      <c r="AF538" s="200"/>
      <c r="AG538" s="209"/>
      <c r="AH538" s="201"/>
      <c r="AI538" s="200"/>
      <c r="AJ538" s="200"/>
      <c r="AK538" s="209"/>
      <c r="AL538" s="200"/>
      <c r="AM538" s="201"/>
      <c r="AN538" s="201"/>
    </row>
    <row r="539" spans="1:40" x14ac:dyDescent="0.25">
      <c r="F539" s="211"/>
      <c r="H539" s="211"/>
      <c r="I539" s="211"/>
      <c r="J539" s="329"/>
      <c r="K539" s="329"/>
      <c r="L539" s="211"/>
      <c r="M539" s="211"/>
      <c r="N539" s="211"/>
      <c r="O539" s="211"/>
      <c r="P539" s="211"/>
      <c r="Q539" s="211"/>
      <c r="R539" s="211"/>
      <c r="V539" s="211"/>
      <c r="Y539" s="211"/>
      <c r="Z539" s="305"/>
      <c r="AA539" s="211"/>
      <c r="AB539" s="211"/>
      <c r="AC539" s="211"/>
      <c r="AD539" s="211"/>
      <c r="AE539" s="211"/>
      <c r="AF539" s="211"/>
      <c r="AI539" s="211"/>
      <c r="AJ539" s="211"/>
      <c r="AK539" s="212"/>
      <c r="AL539" s="211"/>
    </row>
    <row r="540" spans="1:40" x14ac:dyDescent="0.25">
      <c r="A540" s="202"/>
      <c r="C540" s="154"/>
      <c r="F540" s="200"/>
      <c r="H540" s="200"/>
      <c r="I540" s="200"/>
      <c r="L540" s="200"/>
      <c r="M540" s="200"/>
      <c r="N540" s="210"/>
      <c r="O540" s="210"/>
      <c r="P540" s="252"/>
      <c r="Q540" s="252"/>
      <c r="R540" s="200"/>
      <c r="T540" s="154"/>
      <c r="V540" s="200"/>
      <c r="W540" s="200"/>
      <c r="X540" s="200"/>
      <c r="Y540" s="200"/>
      <c r="Z540" s="328"/>
      <c r="AA540" s="200"/>
      <c r="AB540" s="200"/>
      <c r="AC540" s="210"/>
      <c r="AD540" s="210"/>
      <c r="AE540" s="200"/>
      <c r="AF540" s="200"/>
      <c r="AG540" s="209"/>
      <c r="AH540" s="201"/>
      <c r="AI540" s="252"/>
      <c r="AJ540" s="252"/>
      <c r="AK540" s="209"/>
      <c r="AL540" s="200"/>
      <c r="AM540" s="201"/>
      <c r="AN540" s="201"/>
    </row>
    <row r="541" spans="1:40" x14ac:dyDescent="0.25">
      <c r="F541" s="211"/>
      <c r="H541" s="211"/>
      <c r="I541" s="211"/>
      <c r="J541" s="305"/>
      <c r="K541" s="305"/>
      <c r="L541" s="211"/>
      <c r="M541" s="211"/>
      <c r="N541" s="211"/>
      <c r="O541" s="211"/>
      <c r="P541" s="211"/>
      <c r="Q541" s="211"/>
      <c r="R541" s="211"/>
      <c r="V541" s="211"/>
      <c r="Y541" s="211"/>
      <c r="Z541" s="305"/>
      <c r="AA541" s="211"/>
      <c r="AB541" s="211"/>
      <c r="AC541" s="211"/>
      <c r="AD541" s="211"/>
      <c r="AE541" s="211"/>
      <c r="AF541" s="211"/>
      <c r="AI541" s="211"/>
      <c r="AJ541" s="211"/>
      <c r="AK541" s="212"/>
      <c r="AL541" s="211"/>
    </row>
    <row r="543" spans="1:40" x14ac:dyDescent="0.25">
      <c r="C543" s="202"/>
      <c r="T543" s="202"/>
    </row>
    <row r="544" spans="1:40" x14ac:dyDescent="0.25">
      <c r="A544" s="154"/>
    </row>
    <row r="545" spans="1:40" x14ac:dyDescent="0.25">
      <c r="J545" s="202"/>
      <c r="K545" s="202"/>
      <c r="Z545" s="202"/>
    </row>
    <row r="546" spans="1:40" x14ac:dyDescent="0.25">
      <c r="H546" s="154"/>
      <c r="I546" s="154"/>
      <c r="Y546" s="154"/>
    </row>
    <row r="547" spans="1:40" x14ac:dyDescent="0.25">
      <c r="J547" s="202"/>
      <c r="K547" s="202"/>
      <c r="Z547" s="202"/>
    </row>
    <row r="548" spans="1:40" x14ac:dyDescent="0.25">
      <c r="L548" s="154"/>
      <c r="M548" s="154"/>
      <c r="AA548" s="154"/>
      <c r="AB548" s="154"/>
    </row>
    <row r="549" spans="1:40" x14ac:dyDescent="0.25">
      <c r="A549" s="202"/>
      <c r="R549" s="154"/>
      <c r="AK549" s="297"/>
      <c r="AL549" s="154"/>
    </row>
    <row r="550" spans="1:40" x14ac:dyDescent="0.25">
      <c r="A550" s="202"/>
      <c r="R550" s="154"/>
      <c r="AK550" s="297"/>
      <c r="AL550" s="154"/>
    </row>
    <row r="551" spans="1:40" x14ac:dyDescent="0.25">
      <c r="A551" s="154"/>
      <c r="R551" s="154"/>
      <c r="AK551" s="297"/>
      <c r="AL551" s="154"/>
    </row>
    <row r="552" spans="1:40" x14ac:dyDescent="0.25">
      <c r="L552" s="154"/>
      <c r="M552" s="154"/>
      <c r="R552" s="202"/>
      <c r="AA552" s="154"/>
      <c r="AB552" s="154"/>
      <c r="AK552" s="209"/>
      <c r="AL552" s="202"/>
    </row>
    <row r="553" spans="1:40" x14ac:dyDescent="0.2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208"/>
      <c r="AH553" s="102"/>
      <c r="AI553" s="102"/>
      <c r="AJ553" s="102"/>
      <c r="AK553" s="208"/>
      <c r="AL553" s="102"/>
      <c r="AM553" s="102"/>
      <c r="AN553" s="102"/>
    </row>
    <row r="554" spans="1:40" x14ac:dyDescent="0.25">
      <c r="L554" s="103"/>
      <c r="M554" s="103"/>
      <c r="N554" s="103"/>
      <c r="O554" s="103"/>
      <c r="R554" s="103"/>
      <c r="AA554" s="103"/>
      <c r="AB554" s="103"/>
      <c r="AC554" s="103"/>
      <c r="AD554" s="103"/>
      <c r="AE554" s="103"/>
      <c r="AF554" s="103"/>
      <c r="AG554" s="185"/>
      <c r="AH554" s="103"/>
      <c r="AK554" s="185"/>
      <c r="AL554" s="103"/>
      <c r="AM554" s="103"/>
      <c r="AN554" s="103"/>
    </row>
    <row r="555" spans="1:40" x14ac:dyDescent="0.25">
      <c r="L555" s="103"/>
      <c r="M555" s="103"/>
      <c r="N555" s="103"/>
      <c r="O555" s="103"/>
      <c r="R555" s="103"/>
      <c r="Z555" s="103"/>
      <c r="AA555" s="103"/>
      <c r="AB555" s="103"/>
      <c r="AC555" s="103"/>
      <c r="AD555" s="103"/>
      <c r="AE555" s="103"/>
      <c r="AF555" s="103"/>
      <c r="AG555" s="185"/>
      <c r="AH555" s="103"/>
      <c r="AK555" s="185"/>
      <c r="AL555" s="103"/>
      <c r="AM555" s="103"/>
      <c r="AN555" s="103"/>
    </row>
    <row r="556" spans="1:40" x14ac:dyDescent="0.25">
      <c r="A556" s="103"/>
      <c r="C556" s="103"/>
      <c r="D556" s="103"/>
      <c r="E556" s="103"/>
      <c r="F556" s="103"/>
      <c r="J556" s="103"/>
      <c r="K556" s="103"/>
      <c r="L556" s="103"/>
      <c r="M556" s="103"/>
      <c r="N556" s="103"/>
      <c r="O556" s="103"/>
      <c r="P556" s="103"/>
      <c r="Q556" s="103"/>
      <c r="R556" s="103"/>
      <c r="T556" s="103"/>
      <c r="U556" s="103"/>
      <c r="V556" s="103"/>
      <c r="Z556" s="103"/>
      <c r="AA556" s="103"/>
      <c r="AB556" s="103"/>
      <c r="AC556" s="103"/>
      <c r="AD556" s="103"/>
      <c r="AE556" s="103"/>
      <c r="AF556" s="103"/>
      <c r="AG556" s="185"/>
      <c r="AH556" s="103"/>
      <c r="AI556" s="103"/>
      <c r="AJ556" s="103"/>
      <c r="AK556" s="185"/>
      <c r="AL556" s="103"/>
      <c r="AM556" s="103"/>
      <c r="AN556" s="103"/>
    </row>
    <row r="557" spans="1:40" x14ac:dyDescent="0.25">
      <c r="A557" s="103"/>
      <c r="C557" s="103"/>
      <c r="D557" s="103"/>
      <c r="E557" s="103"/>
      <c r="F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T557" s="103"/>
      <c r="U557" s="103"/>
      <c r="V557" s="103"/>
      <c r="Y557" s="103"/>
      <c r="Z557" s="103"/>
      <c r="AA557" s="103"/>
      <c r="AB557" s="103"/>
      <c r="AC557" s="103"/>
      <c r="AD557" s="103"/>
      <c r="AE557" s="103"/>
      <c r="AF557" s="103"/>
      <c r="AG557" s="185"/>
      <c r="AH557" s="103"/>
      <c r="AI557" s="103"/>
      <c r="AJ557" s="103"/>
      <c r="AK557" s="185"/>
      <c r="AL557" s="103"/>
      <c r="AM557" s="103"/>
      <c r="AN557" s="103"/>
    </row>
    <row r="558" spans="1:40" x14ac:dyDescent="0.25">
      <c r="C558" s="103"/>
      <c r="D558" s="103"/>
      <c r="E558" s="103"/>
      <c r="F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T558" s="103"/>
      <c r="U558" s="103"/>
      <c r="V558" s="103"/>
      <c r="Y558" s="103"/>
      <c r="Z558" s="103"/>
      <c r="AA558" s="103"/>
      <c r="AB558" s="103"/>
      <c r="AC558" s="103"/>
      <c r="AD558" s="103"/>
      <c r="AE558" s="103"/>
      <c r="AF558" s="103"/>
      <c r="AG558" s="185"/>
      <c r="AH558" s="103"/>
      <c r="AI558" s="103"/>
      <c r="AJ558" s="103"/>
      <c r="AK558" s="185"/>
      <c r="AL558" s="103"/>
      <c r="AM558" s="103"/>
      <c r="AN558" s="103"/>
    </row>
    <row r="559" spans="1:40" x14ac:dyDescent="0.2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208"/>
      <c r="AH559" s="102"/>
      <c r="AI559" s="102"/>
      <c r="AJ559" s="102"/>
      <c r="AK559" s="208"/>
      <c r="AL559" s="102"/>
      <c r="AM559" s="102"/>
      <c r="AN559" s="102"/>
    </row>
    <row r="560" spans="1:40" x14ac:dyDescent="0.25"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Y560" s="103"/>
      <c r="Z560" s="103"/>
      <c r="AA560" s="103"/>
      <c r="AB560" s="103"/>
      <c r="AC560" s="103"/>
      <c r="AD560" s="103"/>
      <c r="AE560" s="103"/>
      <c r="AF560" s="103"/>
      <c r="AG560" s="185"/>
      <c r="AH560" s="103"/>
      <c r="AI560" s="103"/>
      <c r="AJ560" s="103"/>
      <c r="AK560" s="185"/>
      <c r="AL560" s="103"/>
      <c r="AM560" s="103"/>
      <c r="AN560" s="103"/>
    </row>
    <row r="561" spans="1:40" x14ac:dyDescent="0.25">
      <c r="A561" s="202"/>
      <c r="C561" s="154"/>
      <c r="D561" s="154"/>
      <c r="E561" s="154"/>
      <c r="T561" s="154"/>
      <c r="U561" s="154"/>
    </row>
    <row r="563" spans="1:40" x14ac:dyDescent="0.25">
      <c r="A563" s="202"/>
      <c r="C563" s="154"/>
      <c r="T563" s="154"/>
    </row>
    <row r="564" spans="1:40" x14ac:dyDescent="0.25">
      <c r="A564" s="202"/>
      <c r="C564" s="154"/>
      <c r="T564" s="154"/>
    </row>
    <row r="565" spans="1:40" x14ac:dyDescent="0.25">
      <c r="A565" s="202"/>
      <c r="C565" s="154"/>
      <c r="F565" s="252"/>
      <c r="H565" s="252"/>
      <c r="I565" s="252"/>
      <c r="J565" s="329"/>
      <c r="K565" s="329"/>
      <c r="L565" s="200"/>
      <c r="M565" s="200"/>
      <c r="N565" s="210"/>
      <c r="O565" s="210"/>
      <c r="P565" s="200"/>
      <c r="Q565" s="200"/>
      <c r="R565" s="200"/>
      <c r="T565" s="154"/>
      <c r="V565" s="200"/>
      <c r="W565" s="200"/>
      <c r="X565" s="200"/>
      <c r="Y565" s="200"/>
      <c r="Z565" s="329"/>
      <c r="AA565" s="200"/>
      <c r="AB565" s="200"/>
      <c r="AC565" s="210"/>
      <c r="AD565" s="210"/>
      <c r="AE565" s="200"/>
      <c r="AF565" s="200"/>
      <c r="AG565" s="209"/>
      <c r="AH565" s="201"/>
      <c r="AI565" s="200"/>
      <c r="AJ565" s="200"/>
      <c r="AK565" s="209"/>
      <c r="AL565" s="200"/>
      <c r="AM565" s="201"/>
      <c r="AN565" s="201"/>
    </row>
    <row r="566" spans="1:40" x14ac:dyDescent="0.25">
      <c r="A566" s="202"/>
      <c r="C566" s="154"/>
      <c r="F566" s="200"/>
      <c r="H566" s="200"/>
      <c r="I566" s="200"/>
      <c r="J566" s="334"/>
      <c r="K566" s="334"/>
      <c r="L566" s="200"/>
      <c r="M566" s="200"/>
      <c r="N566" s="210"/>
      <c r="O566" s="210"/>
      <c r="P566" s="200"/>
      <c r="Q566" s="200"/>
      <c r="R566" s="200"/>
      <c r="T566" s="154"/>
      <c r="V566" s="200"/>
      <c r="W566" s="200"/>
      <c r="X566" s="200"/>
      <c r="Y566" s="200"/>
      <c r="Z566" s="334"/>
      <c r="AA566" s="200"/>
      <c r="AB566" s="200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01"/>
      <c r="AN566" s="201"/>
    </row>
    <row r="567" spans="1:40" x14ac:dyDescent="0.25">
      <c r="A567" s="202"/>
      <c r="C567" s="154"/>
      <c r="F567" s="200"/>
      <c r="H567" s="200"/>
      <c r="I567" s="200"/>
      <c r="J567" s="334"/>
      <c r="K567" s="334"/>
      <c r="L567" s="200"/>
      <c r="M567" s="200"/>
      <c r="N567" s="210"/>
      <c r="O567" s="210"/>
      <c r="P567" s="200"/>
      <c r="Q567" s="200"/>
      <c r="R567" s="200"/>
      <c r="T567" s="154"/>
      <c r="V567" s="200"/>
      <c r="W567" s="200"/>
      <c r="X567" s="200"/>
      <c r="Y567" s="200"/>
      <c r="Z567" s="334"/>
      <c r="AA567" s="200"/>
      <c r="AB567" s="200"/>
      <c r="AC567" s="210"/>
      <c r="AD567" s="210"/>
      <c r="AE567" s="200"/>
      <c r="AF567" s="200"/>
      <c r="AG567" s="209"/>
      <c r="AH567" s="201"/>
      <c r="AI567" s="200"/>
      <c r="AJ567" s="200"/>
      <c r="AK567" s="209"/>
      <c r="AL567" s="200"/>
      <c r="AM567" s="201"/>
      <c r="AN567" s="201"/>
    </row>
    <row r="568" spans="1:40" x14ac:dyDescent="0.25">
      <c r="A568" s="202"/>
      <c r="C568" s="154"/>
      <c r="F568" s="200"/>
      <c r="H568" s="200"/>
      <c r="I568" s="200"/>
      <c r="J568" s="334"/>
      <c r="K568" s="334"/>
      <c r="T568" s="154"/>
      <c r="V568" s="200"/>
      <c r="Z568" s="334"/>
    </row>
    <row r="569" spans="1:40" x14ac:dyDescent="0.25">
      <c r="A569" s="202"/>
      <c r="C569" s="154"/>
      <c r="F569" s="252"/>
      <c r="H569" s="252"/>
      <c r="I569" s="252"/>
      <c r="J569" s="329"/>
      <c r="K569" s="329"/>
      <c r="L569" s="200"/>
      <c r="M569" s="200"/>
      <c r="N569" s="210"/>
      <c r="O569" s="210"/>
      <c r="P569" s="200"/>
      <c r="Q569" s="200"/>
      <c r="R569" s="200"/>
      <c r="T569" s="154"/>
      <c r="V569" s="200"/>
      <c r="W569" s="200"/>
      <c r="X569" s="200"/>
      <c r="Y569" s="200"/>
      <c r="Z569" s="329"/>
      <c r="AA569" s="200"/>
      <c r="AB569" s="200"/>
      <c r="AC569" s="210"/>
      <c r="AD569" s="210"/>
      <c r="AE569" s="200"/>
      <c r="AF569" s="200"/>
      <c r="AG569" s="209"/>
      <c r="AH569" s="201"/>
      <c r="AI569" s="200"/>
      <c r="AJ569" s="200"/>
      <c r="AK569" s="209"/>
      <c r="AL569" s="200"/>
      <c r="AM569" s="201"/>
      <c r="AN569" s="201"/>
    </row>
    <row r="570" spans="1:40" x14ac:dyDescent="0.25">
      <c r="A570" s="202"/>
      <c r="C570" s="154"/>
      <c r="F570" s="200"/>
      <c r="H570" s="200"/>
      <c r="I570" s="200"/>
      <c r="J570" s="334"/>
      <c r="K570" s="334"/>
      <c r="T570" s="154"/>
      <c r="V570" s="200"/>
      <c r="W570" s="200"/>
      <c r="X570" s="200"/>
      <c r="Y570" s="200"/>
      <c r="Z570" s="334"/>
      <c r="AC570" s="210"/>
      <c r="AD570" s="210"/>
      <c r="AE570" s="200"/>
      <c r="AF570" s="200"/>
      <c r="AG570" s="209"/>
      <c r="AH570" s="201"/>
      <c r="AI570" s="200"/>
      <c r="AJ570" s="200"/>
      <c r="AK570" s="209"/>
      <c r="AL570" s="200"/>
      <c r="AM570" s="201"/>
      <c r="AN570" s="201"/>
    </row>
    <row r="571" spans="1:40" x14ac:dyDescent="0.25">
      <c r="A571" s="202"/>
      <c r="C571" s="154"/>
      <c r="F571" s="252"/>
      <c r="H571" s="252"/>
      <c r="I571" s="252"/>
      <c r="J571" s="329"/>
      <c r="K571" s="329"/>
      <c r="L571" s="200"/>
      <c r="M571" s="200"/>
      <c r="N571" s="210"/>
      <c r="O571" s="210"/>
      <c r="P571" s="200"/>
      <c r="Q571" s="200"/>
      <c r="R571" s="200"/>
      <c r="T571" s="154"/>
      <c r="V571" s="200"/>
      <c r="W571" s="200"/>
      <c r="X571" s="200"/>
      <c r="Y571" s="200"/>
      <c r="Z571" s="329"/>
      <c r="AA571" s="200"/>
      <c r="AB571" s="200"/>
      <c r="AC571" s="210"/>
      <c r="AD571" s="210"/>
      <c r="AE571" s="200"/>
      <c r="AF571" s="200"/>
      <c r="AG571" s="209"/>
      <c r="AH571" s="201"/>
      <c r="AI571" s="200"/>
      <c r="AJ571" s="200"/>
      <c r="AK571" s="209"/>
      <c r="AL571" s="200"/>
      <c r="AM571" s="201"/>
      <c r="AN571" s="201"/>
    </row>
    <row r="572" spans="1:40" x14ac:dyDescent="0.25">
      <c r="A572" s="202"/>
      <c r="C572" s="154"/>
      <c r="F572" s="200"/>
      <c r="H572" s="200"/>
      <c r="I572" s="200"/>
      <c r="J572" s="334"/>
      <c r="K572" s="334"/>
      <c r="L572" s="200"/>
      <c r="M572" s="200"/>
      <c r="N572" s="210"/>
      <c r="O572" s="210"/>
      <c r="P572" s="200"/>
      <c r="Q572" s="200"/>
      <c r="R572" s="200"/>
      <c r="T572" s="154"/>
      <c r="V572" s="200"/>
      <c r="W572" s="200"/>
      <c r="X572" s="200"/>
      <c r="Y572" s="200"/>
      <c r="Z572" s="334"/>
      <c r="AA572" s="200"/>
      <c r="AB572" s="200"/>
      <c r="AC572" s="210"/>
      <c r="AD572" s="210"/>
      <c r="AE572" s="200"/>
      <c r="AF572" s="200"/>
      <c r="AG572" s="209"/>
      <c r="AH572" s="201"/>
      <c r="AI572" s="200"/>
      <c r="AJ572" s="200"/>
      <c r="AK572" s="209"/>
      <c r="AL572" s="200"/>
      <c r="AM572" s="201"/>
      <c r="AN572" s="201"/>
    </row>
    <row r="573" spans="1:40" x14ac:dyDescent="0.25">
      <c r="F573" s="200"/>
      <c r="H573" s="200"/>
      <c r="I573" s="200"/>
      <c r="J573" s="334"/>
      <c r="K573" s="334"/>
      <c r="Z573" s="334"/>
    </row>
    <row r="574" spans="1:40" x14ac:dyDescent="0.25">
      <c r="A574" s="202"/>
      <c r="C574" s="154"/>
      <c r="F574" s="200"/>
      <c r="H574" s="252"/>
      <c r="I574" s="252"/>
      <c r="J574" s="329"/>
      <c r="K574" s="329"/>
      <c r="L574" s="200"/>
      <c r="M574" s="200"/>
      <c r="N574" s="210"/>
      <c r="O574" s="210"/>
      <c r="P574" s="200"/>
      <c r="Q574" s="200"/>
      <c r="R574" s="200"/>
      <c r="T574" s="154"/>
      <c r="V574" s="200"/>
      <c r="W574" s="200"/>
      <c r="X574" s="200"/>
      <c r="Y574" s="200"/>
      <c r="Z574" s="329"/>
      <c r="AA574" s="200"/>
      <c r="AB574" s="200"/>
      <c r="AC574" s="210"/>
      <c r="AD574" s="210"/>
      <c r="AE574" s="200"/>
      <c r="AF574" s="200"/>
      <c r="AG574" s="209"/>
      <c r="AH574" s="201"/>
      <c r="AI574" s="200"/>
      <c r="AJ574" s="200"/>
      <c r="AK574" s="209"/>
      <c r="AL574" s="200"/>
      <c r="AM574" s="201"/>
      <c r="AN574" s="201"/>
    </row>
    <row r="575" spans="1:40" x14ac:dyDescent="0.25">
      <c r="F575" s="211"/>
      <c r="H575" s="211"/>
      <c r="I575" s="211"/>
      <c r="J575" s="329"/>
      <c r="K575" s="329"/>
      <c r="L575" s="211"/>
      <c r="M575" s="211"/>
      <c r="N575" s="211"/>
      <c r="O575" s="211"/>
      <c r="P575" s="211"/>
      <c r="Q575" s="211"/>
      <c r="R575" s="211"/>
      <c r="V575" s="211"/>
      <c r="Y575" s="211"/>
      <c r="Z575" s="329"/>
      <c r="AA575" s="211"/>
      <c r="AB575" s="211"/>
      <c r="AC575" s="211"/>
      <c r="AD575" s="211"/>
      <c r="AE575" s="211"/>
      <c r="AF575" s="211"/>
      <c r="AI575" s="211"/>
      <c r="AJ575" s="211"/>
      <c r="AK575" s="212"/>
      <c r="AL575" s="211"/>
    </row>
    <row r="576" spans="1:40" x14ac:dyDescent="0.25">
      <c r="A576" s="202"/>
      <c r="C576" s="154"/>
      <c r="F576" s="200"/>
      <c r="H576" s="200"/>
      <c r="I576" s="200"/>
      <c r="J576" s="334"/>
      <c r="K576" s="334"/>
      <c r="L576" s="200"/>
      <c r="M576" s="200"/>
      <c r="N576" s="202"/>
      <c r="O576" s="202"/>
      <c r="P576" s="200"/>
      <c r="Q576" s="200"/>
      <c r="R576" s="200"/>
      <c r="T576" s="154"/>
      <c r="V576" s="200"/>
      <c r="Y576" s="200"/>
      <c r="Z576" s="334"/>
      <c r="AA576" s="200"/>
      <c r="AB576" s="200"/>
      <c r="AC576" s="201"/>
      <c r="AD576" s="201"/>
      <c r="AE576" s="200"/>
      <c r="AF576" s="200"/>
      <c r="AG576" s="209"/>
      <c r="AH576" s="201"/>
      <c r="AI576" s="200"/>
      <c r="AJ576" s="200"/>
      <c r="AK576" s="209"/>
      <c r="AL576" s="200"/>
      <c r="AM576" s="201"/>
      <c r="AN576" s="201"/>
    </row>
    <row r="577" spans="1:40" x14ac:dyDescent="0.25">
      <c r="F577" s="211"/>
      <c r="H577" s="211"/>
      <c r="I577" s="211"/>
      <c r="J577" s="329"/>
      <c r="K577" s="329"/>
      <c r="L577" s="211"/>
      <c r="M577" s="211"/>
      <c r="N577" s="211"/>
      <c r="O577" s="211"/>
      <c r="P577" s="211"/>
      <c r="Q577" s="211"/>
      <c r="R577" s="211"/>
      <c r="V577" s="211"/>
      <c r="Y577" s="211"/>
      <c r="Z577" s="329"/>
      <c r="AA577" s="211"/>
      <c r="AB577" s="211"/>
      <c r="AC577" s="211"/>
      <c r="AD577" s="211"/>
      <c r="AE577" s="211"/>
      <c r="AF577" s="211"/>
      <c r="AI577" s="211"/>
      <c r="AJ577" s="211"/>
      <c r="AK577" s="212"/>
      <c r="AL577" s="211"/>
    </row>
    <row r="578" spans="1:40" x14ac:dyDescent="0.25">
      <c r="J578" s="334"/>
      <c r="K578" s="334"/>
      <c r="Z578" s="334"/>
    </row>
    <row r="579" spans="1:40" x14ac:dyDescent="0.25">
      <c r="A579" s="202"/>
      <c r="C579" s="154"/>
      <c r="J579" s="334"/>
      <c r="K579" s="334"/>
      <c r="T579" s="154"/>
      <c r="Z579" s="334"/>
    </row>
    <row r="580" spans="1:40" x14ac:dyDescent="0.25">
      <c r="A580" s="202"/>
      <c r="C580" s="154"/>
      <c r="J580" s="334"/>
      <c r="K580" s="334"/>
      <c r="T580" s="154"/>
      <c r="Z580" s="334"/>
    </row>
    <row r="581" spans="1:40" x14ac:dyDescent="0.25">
      <c r="A581" s="202"/>
      <c r="C581" s="154"/>
      <c r="F581" s="252"/>
      <c r="H581" s="252"/>
      <c r="I581" s="252"/>
      <c r="J581" s="329"/>
      <c r="K581" s="329"/>
      <c r="L581" s="200"/>
      <c r="M581" s="200"/>
      <c r="N581" s="210"/>
      <c r="O581" s="210"/>
      <c r="P581" s="200"/>
      <c r="Q581" s="200"/>
      <c r="R581" s="200"/>
      <c r="T581" s="154"/>
      <c r="V581" s="200"/>
      <c r="W581" s="200"/>
      <c r="X581" s="200"/>
      <c r="Y581" s="200"/>
      <c r="Z581" s="329"/>
      <c r="AA581" s="200"/>
      <c r="AB581" s="200"/>
      <c r="AC581" s="210"/>
      <c r="AD581" s="210"/>
      <c r="AE581" s="200"/>
      <c r="AF581" s="200"/>
      <c r="AG581" s="209"/>
      <c r="AH581" s="201"/>
      <c r="AI581" s="200"/>
      <c r="AJ581" s="200"/>
      <c r="AK581" s="209"/>
      <c r="AL581" s="200"/>
      <c r="AM581" s="201"/>
      <c r="AN581" s="201"/>
    </row>
    <row r="582" spans="1:40" x14ac:dyDescent="0.25">
      <c r="A582" s="202"/>
      <c r="C582" s="154"/>
      <c r="J582" s="334"/>
      <c r="K582" s="334"/>
      <c r="T582" s="154"/>
      <c r="Z582" s="334"/>
    </row>
    <row r="583" spans="1:40" x14ac:dyDescent="0.25">
      <c r="A583" s="202"/>
      <c r="C583" s="154"/>
      <c r="F583" s="252"/>
      <c r="H583" s="252"/>
      <c r="I583" s="252"/>
      <c r="J583" s="329"/>
      <c r="K583" s="329"/>
      <c r="L583" s="200"/>
      <c r="M583" s="200"/>
      <c r="N583" s="210"/>
      <c r="O583" s="210"/>
      <c r="P583" s="200"/>
      <c r="Q583" s="200"/>
      <c r="R583" s="200"/>
      <c r="T583" s="154"/>
      <c r="V583" s="200"/>
      <c r="W583" s="200"/>
      <c r="X583" s="200"/>
      <c r="Y583" s="200"/>
      <c r="Z583" s="329"/>
      <c r="AA583" s="200"/>
      <c r="AB583" s="200"/>
      <c r="AC583" s="210"/>
      <c r="AD583" s="210"/>
      <c r="AE583" s="200"/>
      <c r="AF583" s="200"/>
      <c r="AG583" s="209"/>
      <c r="AH583" s="201"/>
      <c r="AI583" s="200"/>
      <c r="AJ583" s="200"/>
      <c r="AK583" s="209"/>
      <c r="AL583" s="200"/>
      <c r="AM583" s="201"/>
      <c r="AN583" s="201"/>
    </row>
    <row r="584" spans="1:40" x14ac:dyDescent="0.25">
      <c r="F584" s="211"/>
      <c r="H584" s="211"/>
      <c r="I584" s="211"/>
      <c r="J584" s="329"/>
      <c r="K584" s="329"/>
      <c r="L584" s="211"/>
      <c r="M584" s="211"/>
      <c r="N584" s="211"/>
      <c r="O584" s="211"/>
      <c r="P584" s="211"/>
      <c r="Q584" s="211"/>
      <c r="R584" s="211"/>
      <c r="V584" s="211"/>
      <c r="Y584" s="211"/>
      <c r="Z584" s="329"/>
      <c r="AA584" s="211"/>
      <c r="AB584" s="211"/>
      <c r="AC584" s="211"/>
      <c r="AD584" s="211"/>
      <c r="AE584" s="211"/>
      <c r="AF584" s="211"/>
      <c r="AI584" s="211"/>
      <c r="AJ584" s="211"/>
      <c r="AK584" s="212"/>
      <c r="AL584" s="211"/>
    </row>
    <row r="585" spans="1:40" x14ac:dyDescent="0.25">
      <c r="A585" s="202"/>
      <c r="C585" s="154"/>
      <c r="F585" s="200"/>
      <c r="H585" s="200"/>
      <c r="I585" s="200"/>
      <c r="J585" s="334"/>
      <c r="K585" s="334"/>
      <c r="L585" s="200"/>
      <c r="M585" s="200"/>
      <c r="N585" s="201"/>
      <c r="O585" s="201"/>
      <c r="P585" s="200"/>
      <c r="Q585" s="200"/>
      <c r="R585" s="200"/>
      <c r="T585" s="154"/>
      <c r="V585" s="200"/>
      <c r="Y585" s="200"/>
      <c r="Z585" s="334"/>
      <c r="AA585" s="200"/>
      <c r="AB585" s="200"/>
      <c r="AC585" s="201"/>
      <c r="AD585" s="201"/>
      <c r="AE585" s="200"/>
      <c r="AF585" s="200"/>
      <c r="AG585" s="209"/>
      <c r="AH585" s="201"/>
      <c r="AI585" s="200"/>
      <c r="AJ585" s="200"/>
      <c r="AK585" s="209"/>
      <c r="AL585" s="200"/>
      <c r="AM585" s="201"/>
      <c r="AN585" s="201"/>
    </row>
    <row r="586" spans="1:40" x14ac:dyDescent="0.25">
      <c r="F586" s="211"/>
      <c r="H586" s="211"/>
      <c r="I586" s="211"/>
      <c r="J586" s="329"/>
      <c r="K586" s="329"/>
      <c r="L586" s="211"/>
      <c r="M586" s="211"/>
      <c r="N586" s="211"/>
      <c r="O586" s="211"/>
      <c r="P586" s="211"/>
      <c r="Q586" s="211"/>
      <c r="R586" s="211"/>
      <c r="V586" s="211"/>
      <c r="Y586" s="211"/>
      <c r="Z586" s="305"/>
      <c r="AA586" s="211"/>
      <c r="AB586" s="211"/>
      <c r="AC586" s="211"/>
      <c r="AD586" s="211"/>
      <c r="AE586" s="211"/>
      <c r="AF586" s="211"/>
      <c r="AI586" s="211"/>
      <c r="AJ586" s="211"/>
      <c r="AK586" s="212"/>
      <c r="AL586" s="211"/>
    </row>
    <row r="587" spans="1:40" x14ac:dyDescent="0.25">
      <c r="J587" s="334"/>
      <c r="K587" s="334"/>
    </row>
    <row r="588" spans="1:40" x14ac:dyDescent="0.25">
      <c r="A588" s="202"/>
      <c r="C588" s="154"/>
      <c r="F588" s="200"/>
      <c r="H588" s="200"/>
      <c r="I588" s="200"/>
      <c r="J588" s="334"/>
      <c r="K588" s="334"/>
      <c r="L588" s="200"/>
      <c r="M588" s="200"/>
      <c r="N588" s="210"/>
      <c r="O588" s="210"/>
      <c r="P588" s="252"/>
      <c r="Q588" s="252"/>
      <c r="R588" s="200"/>
      <c r="T588" s="154"/>
      <c r="V588" s="200"/>
      <c r="Y588" s="200"/>
      <c r="AA588" s="200"/>
      <c r="AB588" s="200"/>
      <c r="AC588" s="201"/>
      <c r="AD588" s="201"/>
      <c r="AE588" s="200"/>
      <c r="AF588" s="200"/>
      <c r="AG588" s="209"/>
      <c r="AH588" s="201"/>
      <c r="AI588" s="252"/>
      <c r="AJ588" s="252"/>
      <c r="AK588" s="209"/>
      <c r="AL588" s="200"/>
      <c r="AM588" s="201"/>
      <c r="AN588" s="201"/>
    </row>
    <row r="589" spans="1:40" x14ac:dyDescent="0.25">
      <c r="F589" s="211"/>
      <c r="H589" s="211"/>
      <c r="I589" s="211"/>
      <c r="J589" s="329"/>
      <c r="K589" s="329"/>
      <c r="L589" s="211"/>
      <c r="M589" s="211"/>
      <c r="N589" s="211"/>
      <c r="O589" s="211"/>
      <c r="P589" s="211"/>
      <c r="Q589" s="211"/>
      <c r="R589" s="211"/>
      <c r="V589" s="211"/>
      <c r="Y589" s="211"/>
      <c r="Z589" s="305"/>
      <c r="AA589" s="211"/>
      <c r="AB589" s="211"/>
      <c r="AC589" s="211"/>
      <c r="AD589" s="211"/>
      <c r="AE589" s="211"/>
      <c r="AF589" s="211"/>
      <c r="AI589" s="211"/>
      <c r="AJ589" s="211"/>
      <c r="AK589" s="212"/>
      <c r="AL589" s="211"/>
    </row>
    <row r="591" spans="1:40" x14ac:dyDescent="0.25">
      <c r="C591" s="202"/>
      <c r="T591" s="202"/>
    </row>
    <row r="592" spans="1:40" x14ac:dyDescent="0.25">
      <c r="A592" s="154"/>
    </row>
    <row r="593" spans="1:40" x14ac:dyDescent="0.25">
      <c r="J593" s="202"/>
      <c r="K593" s="202"/>
      <c r="Z593" s="202"/>
    </row>
    <row r="594" spans="1:40" x14ac:dyDescent="0.25">
      <c r="H594" s="154"/>
      <c r="I594" s="154"/>
      <c r="Y594" s="154"/>
    </row>
    <row r="595" spans="1:40" x14ac:dyDescent="0.25">
      <c r="J595" s="202"/>
      <c r="K595" s="202"/>
      <c r="Z595" s="202"/>
    </row>
    <row r="596" spans="1:40" x14ac:dyDescent="0.25">
      <c r="L596" s="154"/>
      <c r="M596" s="154"/>
      <c r="AA596" s="154"/>
      <c r="AB596" s="154"/>
    </row>
    <row r="597" spans="1:40" x14ac:dyDescent="0.25">
      <c r="A597" s="202"/>
      <c r="R597" s="154"/>
      <c r="AK597" s="297"/>
      <c r="AL597" s="154"/>
    </row>
    <row r="598" spans="1:40" x14ac:dyDescent="0.25">
      <c r="A598" s="202"/>
      <c r="R598" s="154"/>
      <c r="AK598" s="297"/>
      <c r="AL598" s="154"/>
    </row>
    <row r="599" spans="1:40" x14ac:dyDescent="0.25">
      <c r="A599" s="154"/>
      <c r="R599" s="154"/>
      <c r="AK599" s="297"/>
      <c r="AL599" s="154"/>
    </row>
    <row r="600" spans="1:40" x14ac:dyDescent="0.25">
      <c r="L600" s="154"/>
      <c r="M600" s="154"/>
      <c r="R600" s="202"/>
      <c r="AA600" s="154"/>
      <c r="AB600" s="154"/>
      <c r="AK600" s="209"/>
      <c r="AL600" s="202"/>
    </row>
    <row r="601" spans="1:40" x14ac:dyDescent="0.2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208"/>
      <c r="AH601" s="102"/>
      <c r="AI601" s="102"/>
      <c r="AJ601" s="102"/>
      <c r="AK601" s="208"/>
      <c r="AL601" s="102"/>
      <c r="AM601" s="102"/>
      <c r="AN601" s="102"/>
    </row>
    <row r="602" spans="1:40" x14ac:dyDescent="0.25">
      <c r="L602" s="103"/>
      <c r="M602" s="103"/>
      <c r="N602" s="103"/>
      <c r="O602" s="103"/>
      <c r="R602" s="103"/>
      <c r="AA602" s="103"/>
      <c r="AB602" s="103"/>
      <c r="AC602" s="103"/>
      <c r="AD602" s="103"/>
      <c r="AE602" s="103"/>
      <c r="AF602" s="103"/>
      <c r="AG602" s="185"/>
      <c r="AH602" s="103"/>
      <c r="AK602" s="185"/>
      <c r="AL602" s="103"/>
      <c r="AM602" s="103"/>
      <c r="AN602" s="103"/>
    </row>
    <row r="603" spans="1:40" x14ac:dyDescent="0.25">
      <c r="L603" s="103"/>
      <c r="M603" s="103"/>
      <c r="N603" s="103"/>
      <c r="O603" s="103"/>
      <c r="R603" s="103"/>
      <c r="Z603" s="103"/>
      <c r="AA603" s="103"/>
      <c r="AB603" s="103"/>
      <c r="AC603" s="103"/>
      <c r="AD603" s="103"/>
      <c r="AE603" s="103"/>
      <c r="AF603" s="103"/>
      <c r="AG603" s="185"/>
      <c r="AH603" s="103"/>
      <c r="AK603" s="185"/>
      <c r="AL603" s="103"/>
      <c r="AM603" s="103"/>
      <c r="AN603" s="103"/>
    </row>
    <row r="604" spans="1:40" x14ac:dyDescent="0.25">
      <c r="A604" s="103"/>
      <c r="C604" s="103"/>
      <c r="D604" s="103"/>
      <c r="E604" s="103"/>
      <c r="F604" s="103"/>
      <c r="J604" s="103"/>
      <c r="K604" s="103"/>
      <c r="L604" s="103"/>
      <c r="M604" s="103"/>
      <c r="N604" s="103"/>
      <c r="O604" s="103"/>
      <c r="P604" s="103"/>
      <c r="Q604" s="103"/>
      <c r="R604" s="103"/>
      <c r="T604" s="103"/>
      <c r="U604" s="103"/>
      <c r="V604" s="103"/>
      <c r="Z604" s="103"/>
      <c r="AA604" s="103"/>
      <c r="AB604" s="103"/>
      <c r="AC604" s="103"/>
      <c r="AD604" s="103"/>
      <c r="AE604" s="103"/>
      <c r="AF604" s="103"/>
      <c r="AG604" s="185"/>
      <c r="AH604" s="103"/>
      <c r="AI604" s="103"/>
      <c r="AJ604" s="103"/>
      <c r="AK604" s="185"/>
      <c r="AL604" s="103"/>
      <c r="AM604" s="103"/>
      <c r="AN604" s="103"/>
    </row>
    <row r="605" spans="1:40" x14ac:dyDescent="0.25">
      <c r="A605" s="103"/>
      <c r="C605" s="103"/>
      <c r="D605" s="103"/>
      <c r="E605" s="103"/>
      <c r="F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T605" s="103"/>
      <c r="U605" s="103"/>
      <c r="V605" s="103"/>
      <c r="Y605" s="103"/>
      <c r="Z605" s="103"/>
      <c r="AA605" s="103"/>
      <c r="AB605" s="103"/>
      <c r="AC605" s="103"/>
      <c r="AD605" s="103"/>
      <c r="AE605" s="103"/>
      <c r="AF605" s="103"/>
      <c r="AG605" s="185"/>
      <c r="AH605" s="103"/>
      <c r="AI605" s="103"/>
      <c r="AJ605" s="103"/>
      <c r="AK605" s="185"/>
      <c r="AL605" s="103"/>
      <c r="AM605" s="103"/>
      <c r="AN605" s="103"/>
    </row>
    <row r="606" spans="1:40" x14ac:dyDescent="0.25">
      <c r="C606" s="103"/>
      <c r="D606" s="103"/>
      <c r="E606" s="103"/>
      <c r="F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T606" s="103"/>
      <c r="U606" s="103"/>
      <c r="V606" s="103"/>
      <c r="Y606" s="103"/>
      <c r="Z606" s="103"/>
      <c r="AA606" s="103"/>
      <c r="AB606" s="103"/>
      <c r="AC606" s="103"/>
      <c r="AD606" s="103"/>
      <c r="AE606" s="103"/>
      <c r="AF606" s="103"/>
      <c r="AG606" s="185"/>
      <c r="AH606" s="103"/>
      <c r="AI606" s="103"/>
      <c r="AJ606" s="103"/>
      <c r="AK606" s="185"/>
      <c r="AL606" s="103"/>
      <c r="AM606" s="103"/>
      <c r="AN606" s="103"/>
    </row>
    <row r="607" spans="1:40" x14ac:dyDescent="0.2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208"/>
      <c r="AH607" s="102"/>
      <c r="AI607" s="102"/>
      <c r="AJ607" s="102"/>
      <c r="AK607" s="208"/>
      <c r="AL607" s="102"/>
      <c r="AM607" s="102"/>
      <c r="AN607" s="102"/>
    </row>
    <row r="608" spans="1:40" x14ac:dyDescent="0.25"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Y608" s="103"/>
      <c r="Z608" s="103"/>
      <c r="AA608" s="103"/>
      <c r="AB608" s="103"/>
      <c r="AC608" s="103"/>
      <c r="AD608" s="103"/>
      <c r="AE608" s="103"/>
      <c r="AF608" s="103"/>
      <c r="AG608" s="185"/>
      <c r="AH608" s="103"/>
      <c r="AI608" s="103"/>
      <c r="AJ608" s="103"/>
      <c r="AK608" s="185"/>
      <c r="AL608" s="103"/>
      <c r="AM608" s="103"/>
      <c r="AN608" s="103"/>
    </row>
    <row r="609" spans="1:40" x14ac:dyDescent="0.25">
      <c r="A609" s="202"/>
      <c r="C609" s="154"/>
      <c r="D609" s="154"/>
      <c r="E609" s="154"/>
      <c r="T609" s="154"/>
      <c r="U609" s="154"/>
    </row>
    <row r="611" spans="1:40" x14ac:dyDescent="0.25">
      <c r="A611" s="202"/>
      <c r="C611" s="154"/>
      <c r="D611" s="154"/>
      <c r="E611" s="154"/>
      <c r="T611" s="154"/>
      <c r="U611" s="154"/>
    </row>
    <row r="612" spans="1:40" x14ac:dyDescent="0.25">
      <c r="A612" s="202"/>
      <c r="C612" s="154"/>
      <c r="T612" s="154"/>
    </row>
    <row r="613" spans="1:40" x14ac:dyDescent="0.25">
      <c r="A613" s="202"/>
      <c r="C613" s="154"/>
      <c r="T613" s="154"/>
    </row>
    <row r="614" spans="1:40" x14ac:dyDescent="0.25">
      <c r="A614" s="202"/>
      <c r="C614" s="154"/>
      <c r="F614" s="252"/>
      <c r="H614" s="252"/>
      <c r="I614" s="252"/>
      <c r="J614" s="329"/>
      <c r="K614" s="329"/>
      <c r="L614" s="200"/>
      <c r="M614" s="200"/>
      <c r="N614" s="210"/>
      <c r="O614" s="210"/>
      <c r="P614" s="200"/>
      <c r="Q614" s="200"/>
      <c r="R614" s="200"/>
      <c r="T614" s="154"/>
      <c r="V614" s="200"/>
      <c r="W614" s="200"/>
      <c r="X614" s="200"/>
      <c r="Y614" s="200"/>
      <c r="Z614" s="329"/>
      <c r="AA614" s="200"/>
      <c r="AB614" s="200"/>
      <c r="AC614" s="210"/>
      <c r="AD614" s="210"/>
      <c r="AE614" s="200"/>
      <c r="AF614" s="200"/>
      <c r="AG614" s="209"/>
      <c r="AH614" s="201"/>
      <c r="AI614" s="200"/>
      <c r="AJ614" s="200"/>
      <c r="AK614" s="209"/>
      <c r="AL614" s="200"/>
      <c r="AM614" s="210"/>
      <c r="AN614" s="210"/>
    </row>
    <row r="615" spans="1:40" x14ac:dyDescent="0.25">
      <c r="A615" s="202"/>
      <c r="C615" s="154"/>
      <c r="J615" s="334"/>
      <c r="K615" s="334"/>
      <c r="T615" s="154"/>
      <c r="V615" s="200"/>
      <c r="W615" s="200"/>
      <c r="X615" s="200"/>
      <c r="Y615" s="200"/>
      <c r="Z615" s="329"/>
    </row>
    <row r="616" spans="1:40" x14ac:dyDescent="0.25">
      <c r="A616" s="202"/>
      <c r="C616" s="154"/>
      <c r="F616" s="252"/>
      <c r="H616" s="252"/>
      <c r="I616" s="252"/>
      <c r="J616" s="329"/>
      <c r="K616" s="329"/>
      <c r="L616" s="200"/>
      <c r="M616" s="200"/>
      <c r="N616" s="210"/>
      <c r="O616" s="210"/>
      <c r="P616" s="200"/>
      <c r="Q616" s="200"/>
      <c r="R616" s="200"/>
      <c r="T616" s="154"/>
      <c r="V616" s="200"/>
      <c r="W616" s="200"/>
      <c r="X616" s="200"/>
      <c r="Y616" s="200"/>
      <c r="Z616" s="329"/>
      <c r="AA616" s="200"/>
      <c r="AB616" s="200"/>
      <c r="AC616" s="210"/>
      <c r="AD616" s="210"/>
      <c r="AE616" s="200"/>
      <c r="AF616" s="200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A617" s="202"/>
      <c r="C617" s="154"/>
      <c r="J617" s="334"/>
      <c r="K617" s="334"/>
      <c r="T617" s="154"/>
      <c r="V617" s="200"/>
      <c r="W617" s="200"/>
      <c r="X617" s="200"/>
      <c r="Y617" s="200"/>
      <c r="Z617" s="329"/>
    </row>
    <row r="618" spans="1:40" x14ac:dyDescent="0.25">
      <c r="A618" s="202"/>
      <c r="C618" s="154"/>
      <c r="F618" s="252"/>
      <c r="H618" s="252"/>
      <c r="I618" s="252"/>
      <c r="J618" s="329"/>
      <c r="K618" s="329"/>
      <c r="L618" s="200"/>
      <c r="M618" s="200"/>
      <c r="N618" s="210"/>
      <c r="O618" s="210"/>
      <c r="P618" s="200"/>
      <c r="Q618" s="200"/>
      <c r="R618" s="200"/>
      <c r="T618" s="154"/>
      <c r="V618" s="200"/>
      <c r="W618" s="200"/>
      <c r="X618" s="200"/>
      <c r="Y618" s="200"/>
      <c r="Z618" s="329"/>
      <c r="AA618" s="200"/>
      <c r="AB618" s="200"/>
      <c r="AC618" s="210"/>
      <c r="AD618" s="210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A619" s="202"/>
      <c r="C619" s="154"/>
      <c r="J619" s="334"/>
      <c r="K619" s="334"/>
      <c r="T619" s="154"/>
      <c r="V619" s="200"/>
      <c r="W619" s="200"/>
      <c r="X619" s="200"/>
      <c r="Y619" s="200"/>
      <c r="Z619" s="329"/>
    </row>
    <row r="620" spans="1:40" x14ac:dyDescent="0.25">
      <c r="A620" s="202"/>
      <c r="C620" s="154"/>
      <c r="F620" s="252"/>
      <c r="H620" s="252"/>
      <c r="I620" s="252"/>
      <c r="J620" s="329"/>
      <c r="K620" s="329"/>
      <c r="L620" s="200"/>
      <c r="M620" s="200"/>
      <c r="N620" s="210"/>
      <c r="O620" s="210"/>
      <c r="P620" s="200"/>
      <c r="Q620" s="200"/>
      <c r="R620" s="200"/>
      <c r="T620" s="154"/>
      <c r="V620" s="200"/>
      <c r="W620" s="200"/>
      <c r="X620" s="200"/>
      <c r="Y620" s="200"/>
      <c r="Z620" s="329"/>
      <c r="AA620" s="200"/>
      <c r="AB620" s="200"/>
      <c r="AC620" s="210"/>
      <c r="AD620" s="210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A621" s="202"/>
      <c r="C621" s="154"/>
      <c r="J621" s="334"/>
      <c r="K621" s="334"/>
      <c r="T621" s="154"/>
      <c r="V621" s="200"/>
      <c r="W621" s="200"/>
      <c r="X621" s="200"/>
      <c r="Y621" s="200"/>
      <c r="Z621" s="329"/>
    </row>
    <row r="622" spans="1:40" x14ac:dyDescent="0.25">
      <c r="A622" s="202"/>
      <c r="C622" s="154"/>
      <c r="F622" s="252"/>
      <c r="H622" s="252"/>
      <c r="I622" s="252"/>
      <c r="J622" s="329"/>
      <c r="K622" s="329"/>
      <c r="L622" s="200"/>
      <c r="M622" s="200"/>
      <c r="N622" s="210"/>
      <c r="O622" s="210"/>
      <c r="P622" s="200"/>
      <c r="Q622" s="200"/>
      <c r="R622" s="200"/>
      <c r="T622" s="154"/>
      <c r="V622" s="200"/>
      <c r="W622" s="200"/>
      <c r="X622" s="200"/>
      <c r="Y622" s="200"/>
      <c r="Z622" s="329"/>
      <c r="AA622" s="200"/>
      <c r="AB622" s="200"/>
      <c r="AC622" s="210"/>
      <c r="AD622" s="210"/>
      <c r="AE622" s="200"/>
      <c r="AF622" s="200"/>
      <c r="AG622" s="209"/>
      <c r="AH622" s="201"/>
      <c r="AI622" s="200"/>
      <c r="AJ622" s="200"/>
      <c r="AK622" s="209"/>
      <c r="AL622" s="200"/>
      <c r="AM622" s="210"/>
      <c r="AN622" s="210"/>
    </row>
    <row r="623" spans="1:40" x14ac:dyDescent="0.25">
      <c r="A623" s="202"/>
      <c r="C623" s="154"/>
      <c r="J623" s="334"/>
      <c r="K623" s="334"/>
      <c r="T623" s="154"/>
      <c r="V623" s="200"/>
      <c r="W623" s="200"/>
      <c r="X623" s="200"/>
      <c r="Y623" s="200"/>
      <c r="Z623" s="329"/>
    </row>
    <row r="624" spans="1:40" x14ac:dyDescent="0.25">
      <c r="A624" s="202"/>
      <c r="C624" s="154"/>
      <c r="F624" s="252"/>
      <c r="H624" s="252"/>
      <c r="I624" s="252"/>
      <c r="J624" s="329"/>
      <c r="K624" s="329"/>
      <c r="L624" s="200"/>
      <c r="M624" s="200"/>
      <c r="N624" s="210"/>
      <c r="O624" s="210"/>
      <c r="P624" s="200"/>
      <c r="Q624" s="200"/>
      <c r="R624" s="200"/>
      <c r="T624" s="154"/>
      <c r="V624" s="200"/>
      <c r="W624" s="200"/>
      <c r="X624" s="200"/>
      <c r="Y624" s="200"/>
      <c r="Z624" s="329"/>
      <c r="AA624" s="200"/>
      <c r="AB624" s="200"/>
      <c r="AC624" s="210"/>
      <c r="AD624" s="210"/>
      <c r="AE624" s="200"/>
      <c r="AF624" s="200"/>
      <c r="AG624" s="209"/>
      <c r="AH624" s="201"/>
      <c r="AI624" s="200"/>
      <c r="AJ624" s="200"/>
      <c r="AK624" s="209"/>
      <c r="AL624" s="200"/>
      <c r="AM624" s="210"/>
      <c r="AN624" s="210"/>
    </row>
    <row r="625" spans="1:40" x14ac:dyDescent="0.25">
      <c r="F625" s="211"/>
      <c r="H625" s="211"/>
      <c r="I625" s="211"/>
      <c r="J625" s="329"/>
      <c r="K625" s="329"/>
      <c r="L625" s="211"/>
      <c r="M625" s="211"/>
      <c r="N625" s="211"/>
      <c r="O625" s="211"/>
      <c r="P625" s="211"/>
      <c r="Q625" s="211"/>
      <c r="R625" s="211"/>
      <c r="V625" s="211"/>
      <c r="Y625" s="211"/>
      <c r="Z625" s="329"/>
      <c r="AA625" s="211"/>
      <c r="AB625" s="211"/>
      <c r="AC625" s="211"/>
      <c r="AD625" s="211"/>
      <c r="AE625" s="211"/>
      <c r="AF625" s="211"/>
      <c r="AI625" s="211"/>
      <c r="AJ625" s="211"/>
      <c r="AK625" s="212"/>
      <c r="AL625" s="211"/>
      <c r="AM625" s="210"/>
      <c r="AN625" s="210"/>
    </row>
    <row r="626" spans="1:40" x14ac:dyDescent="0.25">
      <c r="A626" s="202"/>
      <c r="C626" s="154"/>
      <c r="F626" s="200"/>
      <c r="H626" s="200"/>
      <c r="I626" s="200"/>
      <c r="J626" s="334"/>
      <c r="K626" s="334"/>
      <c r="L626" s="200"/>
      <c r="M626" s="200"/>
      <c r="N626" s="210"/>
      <c r="O626" s="210"/>
      <c r="P626" s="252"/>
      <c r="Q626" s="252"/>
      <c r="R626" s="200"/>
      <c r="T626" s="154"/>
      <c r="V626" s="200"/>
      <c r="W626" s="200"/>
      <c r="X626" s="200"/>
      <c r="Y626" s="200"/>
      <c r="Z626" s="329"/>
      <c r="AA626" s="200"/>
      <c r="AB626" s="200"/>
      <c r="AC626" s="210"/>
      <c r="AD626" s="210"/>
      <c r="AE626" s="200"/>
      <c r="AF626" s="200"/>
      <c r="AG626" s="209"/>
      <c r="AH626" s="201"/>
      <c r="AI626" s="252"/>
      <c r="AJ626" s="252"/>
      <c r="AK626" s="209"/>
      <c r="AL626" s="200"/>
      <c r="AM626" s="210"/>
      <c r="AN626" s="210"/>
    </row>
    <row r="627" spans="1:40" x14ac:dyDescent="0.25">
      <c r="F627" s="211"/>
      <c r="H627" s="211"/>
      <c r="I627" s="211"/>
      <c r="J627" s="329"/>
      <c r="K627" s="329"/>
      <c r="L627" s="211"/>
      <c r="M627" s="211"/>
      <c r="N627" s="211"/>
      <c r="O627" s="211"/>
      <c r="P627" s="211"/>
      <c r="Q627" s="211"/>
      <c r="R627" s="211"/>
      <c r="V627" s="211"/>
      <c r="Y627" s="211"/>
      <c r="Z627" s="329"/>
      <c r="AA627" s="211"/>
      <c r="AB627" s="211"/>
      <c r="AC627" s="211"/>
      <c r="AD627" s="211"/>
      <c r="AE627" s="211"/>
      <c r="AF627" s="211"/>
      <c r="AI627" s="211"/>
      <c r="AJ627" s="211"/>
      <c r="AK627" s="212"/>
      <c r="AL627" s="211"/>
    </row>
    <row r="628" spans="1:40" x14ac:dyDescent="0.25">
      <c r="A628" s="202"/>
      <c r="C628" s="154"/>
      <c r="D628" s="154"/>
      <c r="E628" s="154"/>
      <c r="J628" s="334"/>
      <c r="K628" s="334"/>
      <c r="T628" s="154"/>
      <c r="U628" s="154"/>
      <c r="V628" s="200"/>
      <c r="W628" s="200"/>
      <c r="X628" s="200"/>
      <c r="Y628" s="200"/>
      <c r="Z628" s="329"/>
    </row>
    <row r="629" spans="1:40" x14ac:dyDescent="0.25">
      <c r="A629" s="202"/>
      <c r="C629" s="154"/>
      <c r="J629" s="334"/>
      <c r="K629" s="334"/>
      <c r="T629" s="154"/>
      <c r="V629" s="200"/>
      <c r="W629" s="200"/>
      <c r="X629" s="200"/>
      <c r="Y629" s="200"/>
      <c r="Z629" s="329"/>
    </row>
    <row r="630" spans="1:40" x14ac:dyDescent="0.25">
      <c r="A630" s="202"/>
      <c r="C630" s="154"/>
      <c r="J630" s="334"/>
      <c r="K630" s="334"/>
      <c r="T630" s="154"/>
      <c r="V630" s="200"/>
      <c r="W630" s="200"/>
      <c r="X630" s="200"/>
      <c r="Y630" s="200"/>
      <c r="Z630" s="329"/>
    </row>
    <row r="631" spans="1:40" x14ac:dyDescent="0.25">
      <c r="A631" s="202"/>
      <c r="C631" s="154"/>
      <c r="F631" s="252"/>
      <c r="H631" s="252"/>
      <c r="I631" s="252"/>
      <c r="J631" s="329"/>
      <c r="K631" s="329"/>
      <c r="L631" s="200"/>
      <c r="M631" s="200"/>
      <c r="N631" s="210"/>
      <c r="O631" s="210"/>
      <c r="P631" s="200"/>
      <c r="Q631" s="200"/>
      <c r="R631" s="200"/>
      <c r="T631" s="154"/>
      <c r="V631" s="200"/>
      <c r="W631" s="200"/>
      <c r="X631" s="200"/>
      <c r="Y631" s="200"/>
      <c r="Z631" s="329"/>
      <c r="AA631" s="200"/>
      <c r="AB631" s="200"/>
      <c r="AC631" s="210"/>
      <c r="AD631" s="210"/>
      <c r="AE631" s="200"/>
      <c r="AF631" s="200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A632" s="202"/>
      <c r="C632" s="154"/>
      <c r="J632" s="334"/>
      <c r="K632" s="334"/>
      <c r="T632" s="154"/>
      <c r="V632" s="200"/>
      <c r="W632" s="200"/>
      <c r="X632" s="200"/>
      <c r="Y632" s="200"/>
      <c r="Z632" s="329"/>
    </row>
    <row r="633" spans="1:40" x14ac:dyDescent="0.25">
      <c r="A633" s="202"/>
      <c r="C633" s="154"/>
      <c r="F633" s="252"/>
      <c r="H633" s="252"/>
      <c r="I633" s="252"/>
      <c r="J633" s="329"/>
      <c r="K633" s="329"/>
      <c r="L633" s="200"/>
      <c r="M633" s="200"/>
      <c r="N633" s="210"/>
      <c r="O633" s="210"/>
      <c r="P633" s="200"/>
      <c r="Q633" s="200"/>
      <c r="R633" s="200"/>
      <c r="T633" s="154"/>
      <c r="V633" s="200"/>
      <c r="W633" s="200"/>
      <c r="X633" s="200"/>
      <c r="Y633" s="200"/>
      <c r="Z633" s="329"/>
      <c r="AA633" s="200"/>
      <c r="AB633" s="200"/>
      <c r="AC633" s="210"/>
      <c r="AD633" s="210"/>
      <c r="AE633" s="200"/>
      <c r="AF633" s="200"/>
      <c r="AG633" s="209"/>
      <c r="AH633" s="201"/>
      <c r="AI633" s="200"/>
      <c r="AJ633" s="200"/>
      <c r="AK633" s="209"/>
      <c r="AL633" s="200"/>
      <c r="AM633" s="210"/>
      <c r="AN633" s="210"/>
    </row>
    <row r="634" spans="1:40" x14ac:dyDescent="0.25">
      <c r="F634" s="211"/>
      <c r="H634" s="211"/>
      <c r="I634" s="211"/>
      <c r="J634" s="329"/>
      <c r="K634" s="329"/>
      <c r="L634" s="211"/>
      <c r="M634" s="211"/>
      <c r="N634" s="211"/>
      <c r="O634" s="211"/>
      <c r="P634" s="211"/>
      <c r="Q634" s="211"/>
      <c r="R634" s="211"/>
      <c r="V634" s="211"/>
      <c r="Y634" s="211"/>
      <c r="Z634" s="305"/>
      <c r="AA634" s="211"/>
      <c r="AB634" s="211"/>
      <c r="AC634" s="211"/>
      <c r="AD634" s="211"/>
      <c r="AE634" s="211"/>
      <c r="AF634" s="211"/>
      <c r="AI634" s="211"/>
      <c r="AJ634" s="211"/>
      <c r="AK634" s="212"/>
      <c r="AL634" s="211"/>
    </row>
    <row r="635" spans="1:40" x14ac:dyDescent="0.25">
      <c r="A635" s="202"/>
      <c r="C635" s="154"/>
      <c r="F635" s="200"/>
      <c r="H635" s="200"/>
      <c r="I635" s="200"/>
      <c r="L635" s="200"/>
      <c r="M635" s="200"/>
      <c r="N635" s="210"/>
      <c r="O635" s="210"/>
      <c r="P635" s="252"/>
      <c r="Q635" s="252"/>
      <c r="R635" s="200"/>
      <c r="T635" s="154"/>
      <c r="V635" s="200"/>
      <c r="W635" s="200"/>
      <c r="X635" s="200"/>
      <c r="Y635" s="200"/>
      <c r="Z635" s="328"/>
      <c r="AA635" s="200"/>
      <c r="AB635" s="200"/>
      <c r="AC635" s="210"/>
      <c r="AD635" s="210"/>
      <c r="AE635" s="200"/>
      <c r="AF635" s="200"/>
      <c r="AG635" s="209"/>
      <c r="AH635" s="201"/>
      <c r="AI635" s="252"/>
      <c r="AJ635" s="252"/>
      <c r="AK635" s="209"/>
      <c r="AL635" s="200"/>
      <c r="AM635" s="210"/>
      <c r="AN635" s="210"/>
    </row>
    <row r="636" spans="1:40" x14ac:dyDescent="0.25">
      <c r="F636" s="211"/>
      <c r="H636" s="211"/>
      <c r="I636" s="211"/>
      <c r="J636" s="305"/>
      <c r="K636" s="305"/>
      <c r="L636" s="211"/>
      <c r="M636" s="211"/>
      <c r="N636" s="211"/>
      <c r="O636" s="211"/>
      <c r="P636" s="211"/>
      <c r="Q636" s="211"/>
      <c r="R636" s="211"/>
      <c r="V636" s="211"/>
      <c r="Y636" s="211"/>
      <c r="Z636" s="305"/>
      <c r="AA636" s="211"/>
      <c r="AB636" s="211"/>
      <c r="AC636" s="211"/>
      <c r="AD636" s="211"/>
      <c r="AE636" s="211"/>
      <c r="AF636" s="211"/>
      <c r="AI636" s="211"/>
      <c r="AJ636" s="211"/>
      <c r="AK636" s="212"/>
      <c r="AL636" s="211"/>
    </row>
    <row r="637" spans="1:40" x14ac:dyDescent="0.25">
      <c r="A637" s="202"/>
      <c r="C637" s="154"/>
      <c r="D637" s="154"/>
      <c r="E637" s="154"/>
      <c r="T637" s="154"/>
      <c r="U637" s="154"/>
      <c r="V637" s="200"/>
      <c r="W637" s="200"/>
      <c r="X637" s="200"/>
      <c r="Y637" s="200"/>
      <c r="Z637" s="328"/>
    </row>
    <row r="638" spans="1:40" x14ac:dyDescent="0.25">
      <c r="A638" s="202"/>
      <c r="C638" s="154"/>
      <c r="T638" s="154"/>
      <c r="V638" s="200"/>
      <c r="W638" s="200"/>
      <c r="X638" s="200"/>
      <c r="Y638" s="200"/>
      <c r="Z638" s="328"/>
    </row>
    <row r="639" spans="1:40" x14ac:dyDescent="0.25">
      <c r="A639" s="202"/>
      <c r="C639" s="154"/>
      <c r="F639" s="252"/>
      <c r="H639" s="252"/>
      <c r="I639" s="252"/>
      <c r="J639" s="328"/>
      <c r="K639" s="328"/>
      <c r="L639" s="200"/>
      <c r="M639" s="200"/>
      <c r="N639" s="210"/>
      <c r="O639" s="210"/>
      <c r="P639" s="200"/>
      <c r="Q639" s="200"/>
      <c r="R639" s="200"/>
      <c r="T639" s="154"/>
      <c r="V639" s="200"/>
      <c r="W639" s="200"/>
      <c r="X639" s="200"/>
      <c r="Y639" s="200"/>
      <c r="Z639" s="328"/>
      <c r="AA639" s="200"/>
      <c r="AB639" s="200"/>
      <c r="AC639" s="210"/>
      <c r="AD639" s="210"/>
      <c r="AE639" s="200"/>
      <c r="AF639" s="200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A640" s="202"/>
      <c r="C640" s="154"/>
      <c r="T640" s="154"/>
      <c r="V640" s="200"/>
      <c r="W640" s="200"/>
      <c r="X640" s="200"/>
      <c r="Y640" s="200"/>
      <c r="Z640" s="328"/>
    </row>
    <row r="641" spans="1:40" x14ac:dyDescent="0.25">
      <c r="A641" s="202"/>
      <c r="C641" s="154"/>
      <c r="F641" s="252"/>
      <c r="H641" s="252"/>
      <c r="I641" s="252"/>
      <c r="J641" s="328"/>
      <c r="K641" s="328"/>
      <c r="L641" s="200"/>
      <c r="M641" s="200"/>
      <c r="N641" s="210"/>
      <c r="O641" s="210"/>
      <c r="P641" s="200"/>
      <c r="Q641" s="200"/>
      <c r="R641" s="200"/>
      <c r="T641" s="154"/>
      <c r="V641" s="200"/>
      <c r="W641" s="200"/>
      <c r="X641" s="200"/>
      <c r="Y641" s="200"/>
      <c r="Z641" s="328"/>
      <c r="AA641" s="200"/>
      <c r="AB641" s="200"/>
      <c r="AC641" s="210"/>
      <c r="AD641" s="210"/>
      <c r="AE641" s="200"/>
      <c r="AF641" s="200"/>
      <c r="AG641" s="209"/>
      <c r="AH641" s="201"/>
      <c r="AI641" s="200"/>
      <c r="AJ641" s="200"/>
      <c r="AK641" s="209"/>
      <c r="AL641" s="200"/>
      <c r="AM641" s="210"/>
      <c r="AN641" s="210"/>
    </row>
    <row r="642" spans="1:40" x14ac:dyDescent="0.25">
      <c r="A642" s="202"/>
      <c r="C642" s="154"/>
      <c r="T642" s="154"/>
      <c r="V642" s="200"/>
      <c r="W642" s="200"/>
      <c r="X642" s="200"/>
      <c r="Y642" s="200"/>
      <c r="Z642" s="328"/>
    </row>
    <row r="643" spans="1:40" x14ac:dyDescent="0.25">
      <c r="A643" s="202"/>
      <c r="C643" s="154"/>
      <c r="F643" s="252"/>
      <c r="H643" s="252"/>
      <c r="I643" s="252"/>
      <c r="J643" s="328"/>
      <c r="K643" s="328"/>
      <c r="L643" s="200"/>
      <c r="M643" s="200"/>
      <c r="N643" s="210"/>
      <c r="O643" s="210"/>
      <c r="P643" s="200"/>
      <c r="Q643" s="200"/>
      <c r="R643" s="200"/>
      <c r="T643" s="154"/>
      <c r="V643" s="200"/>
      <c r="W643" s="200"/>
      <c r="X643" s="200"/>
      <c r="Y643" s="200"/>
      <c r="Z643" s="328"/>
      <c r="AA643" s="200"/>
      <c r="AB643" s="200"/>
      <c r="AC643" s="210"/>
      <c r="AD643" s="210"/>
      <c r="AE643" s="200"/>
      <c r="AF643" s="200"/>
      <c r="AG643" s="209"/>
      <c r="AH643" s="201"/>
      <c r="AI643" s="200"/>
      <c r="AJ643" s="200"/>
      <c r="AK643" s="209"/>
      <c r="AL643" s="200"/>
      <c r="AM643" s="210"/>
      <c r="AN643" s="210"/>
    </row>
    <row r="644" spans="1:40" x14ac:dyDescent="0.25">
      <c r="A644" s="202"/>
      <c r="C644" s="154"/>
      <c r="T644" s="154"/>
      <c r="V644" s="200"/>
      <c r="W644" s="200"/>
      <c r="X644" s="200"/>
      <c r="Y644" s="200"/>
      <c r="Z644" s="328"/>
    </row>
    <row r="645" spans="1:40" x14ac:dyDescent="0.25">
      <c r="A645" s="202"/>
      <c r="C645" s="154"/>
      <c r="F645" s="252"/>
      <c r="H645" s="252"/>
      <c r="I645" s="252"/>
      <c r="J645" s="328"/>
      <c r="K645" s="328"/>
      <c r="L645" s="200"/>
      <c r="M645" s="200"/>
      <c r="N645" s="210"/>
      <c r="O645" s="210"/>
      <c r="P645" s="200"/>
      <c r="Q645" s="200"/>
      <c r="R645" s="200"/>
      <c r="T645" s="154"/>
      <c r="V645" s="200"/>
      <c r="W645" s="200"/>
      <c r="X645" s="200"/>
      <c r="Y645" s="200"/>
      <c r="Z645" s="328"/>
      <c r="AA645" s="200"/>
      <c r="AB645" s="200"/>
      <c r="AC645" s="210"/>
      <c r="AD645" s="210"/>
      <c r="AE645" s="200"/>
      <c r="AF645" s="200"/>
      <c r="AG645" s="209"/>
      <c r="AH645" s="201"/>
      <c r="AI645" s="200"/>
      <c r="AJ645" s="200"/>
      <c r="AK645" s="209"/>
      <c r="AL645" s="200"/>
      <c r="AM645" s="210"/>
      <c r="AN645" s="210"/>
    </row>
    <row r="646" spans="1:40" x14ac:dyDescent="0.25">
      <c r="F646" s="211"/>
      <c r="H646" s="211"/>
      <c r="I646" s="211"/>
      <c r="J646" s="305"/>
      <c r="K646" s="305"/>
      <c r="L646" s="211"/>
      <c r="M646" s="211"/>
      <c r="N646" s="211"/>
      <c r="O646" s="211"/>
      <c r="P646" s="211"/>
      <c r="Q646" s="211"/>
      <c r="R646" s="211"/>
      <c r="V646" s="211"/>
      <c r="Y646" s="211"/>
      <c r="Z646" s="305"/>
      <c r="AA646" s="211"/>
      <c r="AB646" s="211"/>
      <c r="AC646" s="211"/>
      <c r="AD646" s="211"/>
      <c r="AE646" s="211"/>
      <c r="AF646" s="211"/>
      <c r="AI646" s="211"/>
      <c r="AJ646" s="211"/>
      <c r="AK646" s="212"/>
      <c r="AL646" s="211"/>
    </row>
    <row r="647" spans="1:40" x14ac:dyDescent="0.25">
      <c r="A647" s="202"/>
      <c r="C647" s="154"/>
      <c r="F647" s="200"/>
      <c r="H647" s="200"/>
      <c r="I647" s="200"/>
      <c r="L647" s="200"/>
      <c r="M647" s="200"/>
      <c r="N647" s="210"/>
      <c r="O647" s="210"/>
      <c r="P647" s="252"/>
      <c r="Q647" s="252"/>
      <c r="R647" s="200"/>
      <c r="T647" s="154"/>
      <c r="V647" s="200"/>
      <c r="W647" s="200"/>
      <c r="X647" s="200"/>
      <c r="Y647" s="200"/>
      <c r="Z647" s="328"/>
      <c r="AA647" s="200"/>
      <c r="AB647" s="200"/>
      <c r="AC647" s="210"/>
      <c r="AD647" s="210"/>
      <c r="AE647" s="200"/>
      <c r="AF647" s="200"/>
      <c r="AG647" s="209"/>
      <c r="AH647" s="201"/>
      <c r="AI647" s="252"/>
      <c r="AJ647" s="252"/>
      <c r="AK647" s="209"/>
      <c r="AL647" s="200"/>
      <c r="AM647" s="210"/>
      <c r="AN647" s="210"/>
    </row>
    <row r="648" spans="1:40" x14ac:dyDescent="0.25">
      <c r="F648" s="211"/>
      <c r="H648" s="211"/>
      <c r="I648" s="211"/>
      <c r="J648" s="305"/>
      <c r="K648" s="305"/>
      <c r="L648" s="211"/>
      <c r="M648" s="211"/>
      <c r="N648" s="211"/>
      <c r="O648" s="211"/>
      <c r="P648" s="211"/>
      <c r="Q648" s="211"/>
      <c r="R648" s="211"/>
      <c r="V648" s="211"/>
      <c r="Y648" s="211"/>
      <c r="Z648" s="305"/>
      <c r="AA648" s="211"/>
      <c r="AB648" s="211"/>
      <c r="AC648" s="211"/>
      <c r="AD648" s="211"/>
      <c r="AE648" s="211"/>
      <c r="AF648" s="211"/>
      <c r="AI648" s="211"/>
      <c r="AJ648" s="211"/>
      <c r="AK648" s="212"/>
      <c r="AL648" s="211"/>
    </row>
    <row r="649" spans="1:40" x14ac:dyDescent="0.25">
      <c r="A649" s="202"/>
      <c r="C649" s="154"/>
      <c r="F649" s="200"/>
      <c r="H649" s="200"/>
      <c r="I649" s="200"/>
      <c r="L649" s="200"/>
      <c r="M649" s="200"/>
      <c r="N649" s="210"/>
      <c r="O649" s="210"/>
      <c r="P649" s="200"/>
      <c r="Q649" s="200"/>
      <c r="R649" s="200"/>
      <c r="T649" s="154"/>
      <c r="V649" s="200"/>
      <c r="W649" s="200"/>
      <c r="X649" s="200"/>
      <c r="Y649" s="200"/>
      <c r="AA649" s="200"/>
      <c r="AB649" s="200"/>
      <c r="AC649" s="210"/>
      <c r="AD649" s="210"/>
      <c r="AE649" s="200"/>
      <c r="AF649" s="200"/>
      <c r="AG649" s="209"/>
      <c r="AH649" s="201"/>
      <c r="AI649" s="200"/>
      <c r="AJ649" s="200"/>
      <c r="AK649" s="209"/>
      <c r="AL649" s="200"/>
      <c r="AM649" s="201"/>
      <c r="AN649" s="201"/>
    </row>
    <row r="650" spans="1:40" x14ac:dyDescent="0.25">
      <c r="F650" s="211"/>
      <c r="H650" s="211"/>
      <c r="I650" s="211"/>
      <c r="J650" s="305"/>
      <c r="K650" s="305"/>
      <c r="L650" s="211"/>
      <c r="M650" s="211"/>
      <c r="N650" s="211"/>
      <c r="O650" s="211"/>
      <c r="P650" s="211"/>
      <c r="Q650" s="211"/>
      <c r="R650" s="211"/>
      <c r="V650" s="211"/>
      <c r="Y650" s="211"/>
      <c r="Z650" s="305"/>
      <c r="AA650" s="211"/>
      <c r="AB650" s="211"/>
      <c r="AC650" s="211"/>
      <c r="AD650" s="211"/>
      <c r="AE650" s="211"/>
      <c r="AF650" s="211"/>
      <c r="AI650" s="211"/>
      <c r="AJ650" s="211"/>
      <c r="AK650" s="212"/>
      <c r="AL650" s="211"/>
    </row>
    <row r="652" spans="1:40" x14ac:dyDescent="0.25">
      <c r="C652" s="202"/>
      <c r="T652" s="202"/>
    </row>
    <row r="653" spans="1:40" x14ac:dyDescent="0.25">
      <c r="A653" s="154"/>
    </row>
    <row r="654" spans="1:40" x14ac:dyDescent="0.25">
      <c r="J654" s="202"/>
      <c r="K654" s="202"/>
      <c r="Z654" s="202"/>
    </row>
    <row r="655" spans="1:40" x14ac:dyDescent="0.25">
      <c r="H655" s="154"/>
      <c r="I655" s="154"/>
      <c r="Y655" s="154"/>
    </row>
    <row r="656" spans="1:40" x14ac:dyDescent="0.25">
      <c r="J656" s="202"/>
      <c r="K656" s="202"/>
      <c r="Z656" s="202"/>
    </row>
    <row r="657" spans="1:40" x14ac:dyDescent="0.25">
      <c r="L657" s="154"/>
      <c r="M657" s="154"/>
      <c r="AA657" s="154"/>
      <c r="AB657" s="154"/>
    </row>
    <row r="658" spans="1:40" x14ac:dyDescent="0.25">
      <c r="A658" s="202"/>
      <c r="R658" s="154"/>
      <c r="AK658" s="297"/>
      <c r="AL658" s="154"/>
    </row>
    <row r="659" spans="1:40" x14ac:dyDescent="0.25">
      <c r="A659" s="202"/>
      <c r="R659" s="154"/>
      <c r="AK659" s="297"/>
      <c r="AL659" s="154"/>
    </row>
    <row r="660" spans="1:40" x14ac:dyDescent="0.25">
      <c r="A660" s="154"/>
      <c r="R660" s="154"/>
      <c r="AK660" s="297"/>
      <c r="AL660" s="154"/>
    </row>
    <row r="661" spans="1:40" x14ac:dyDescent="0.25">
      <c r="L661" s="154"/>
      <c r="M661" s="154"/>
      <c r="R661" s="202"/>
      <c r="AA661" s="154"/>
      <c r="AB661" s="154"/>
      <c r="AK661" s="209"/>
      <c r="AL661" s="202"/>
    </row>
    <row r="662" spans="1:40" x14ac:dyDescent="0.2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208"/>
      <c r="AH662" s="102"/>
      <c r="AI662" s="102"/>
      <c r="AJ662" s="102"/>
      <c r="AK662" s="208"/>
      <c r="AL662" s="102"/>
      <c r="AM662" s="102"/>
      <c r="AN662" s="102"/>
    </row>
    <row r="663" spans="1:40" x14ac:dyDescent="0.25">
      <c r="L663" s="103"/>
      <c r="M663" s="103"/>
      <c r="N663" s="103"/>
      <c r="O663" s="103"/>
      <c r="R663" s="103"/>
      <c r="AA663" s="103"/>
      <c r="AB663" s="103"/>
      <c r="AC663" s="103"/>
      <c r="AD663" s="103"/>
      <c r="AE663" s="103"/>
      <c r="AF663" s="103"/>
      <c r="AG663" s="185"/>
      <c r="AH663" s="103"/>
      <c r="AK663" s="185"/>
      <c r="AL663" s="103"/>
      <c r="AM663" s="103"/>
      <c r="AN663" s="103"/>
    </row>
    <row r="664" spans="1:40" x14ac:dyDescent="0.25">
      <c r="L664" s="103"/>
      <c r="M664" s="103"/>
      <c r="N664" s="103"/>
      <c r="O664" s="103"/>
      <c r="R664" s="103"/>
      <c r="Z664" s="103"/>
      <c r="AA664" s="103"/>
      <c r="AB664" s="103"/>
      <c r="AC664" s="103"/>
      <c r="AD664" s="103"/>
      <c r="AE664" s="103"/>
      <c r="AF664" s="103"/>
      <c r="AG664" s="185"/>
      <c r="AH664" s="103"/>
      <c r="AK664" s="185"/>
      <c r="AL664" s="103"/>
      <c r="AM664" s="103"/>
      <c r="AN664" s="103"/>
    </row>
    <row r="665" spans="1:40" x14ac:dyDescent="0.25">
      <c r="A665" s="103"/>
      <c r="C665" s="103"/>
      <c r="D665" s="103"/>
      <c r="E665" s="103"/>
      <c r="F665" s="103"/>
      <c r="J665" s="103"/>
      <c r="K665" s="103"/>
      <c r="L665" s="103"/>
      <c r="M665" s="103"/>
      <c r="N665" s="103"/>
      <c r="O665" s="103"/>
      <c r="P665" s="103"/>
      <c r="Q665" s="103"/>
      <c r="R665" s="103"/>
      <c r="T665" s="103"/>
      <c r="U665" s="103"/>
      <c r="V665" s="103"/>
      <c r="Z665" s="103"/>
      <c r="AA665" s="103"/>
      <c r="AB665" s="103"/>
      <c r="AC665" s="103"/>
      <c r="AD665" s="103"/>
      <c r="AE665" s="103"/>
      <c r="AF665" s="103"/>
      <c r="AG665" s="185"/>
      <c r="AH665" s="103"/>
      <c r="AI665" s="103"/>
      <c r="AJ665" s="103"/>
      <c r="AK665" s="185"/>
      <c r="AL665" s="103"/>
      <c r="AM665" s="103"/>
      <c r="AN665" s="103"/>
    </row>
    <row r="666" spans="1:40" x14ac:dyDescent="0.25">
      <c r="A666" s="103"/>
      <c r="C666" s="103"/>
      <c r="D666" s="103"/>
      <c r="E666" s="103"/>
      <c r="F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T666" s="103"/>
      <c r="U666" s="103"/>
      <c r="V666" s="103"/>
      <c r="Y666" s="103"/>
      <c r="Z666" s="103"/>
      <c r="AA666" s="103"/>
      <c r="AB666" s="103"/>
      <c r="AC666" s="103"/>
      <c r="AD666" s="103"/>
      <c r="AE666" s="103"/>
      <c r="AF666" s="103"/>
      <c r="AG666" s="185"/>
      <c r="AH666" s="103"/>
      <c r="AI666" s="103"/>
      <c r="AJ666" s="103"/>
      <c r="AK666" s="185"/>
      <c r="AL666" s="103"/>
      <c r="AM666" s="103"/>
      <c r="AN666" s="103"/>
    </row>
    <row r="667" spans="1:40" x14ac:dyDescent="0.25">
      <c r="C667" s="103"/>
      <c r="D667" s="103"/>
      <c r="E667" s="103"/>
      <c r="F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T667" s="103"/>
      <c r="U667" s="103"/>
      <c r="V667" s="103"/>
      <c r="Y667" s="103"/>
      <c r="Z667" s="103"/>
      <c r="AA667" s="103"/>
      <c r="AB667" s="103"/>
      <c r="AC667" s="103"/>
      <c r="AD667" s="103"/>
      <c r="AE667" s="103"/>
      <c r="AF667" s="103"/>
      <c r="AG667" s="185"/>
      <c r="AH667" s="103"/>
      <c r="AI667" s="103"/>
      <c r="AJ667" s="103"/>
      <c r="AK667" s="185"/>
      <c r="AL667" s="103"/>
      <c r="AM667" s="103"/>
      <c r="AN667" s="103"/>
    </row>
    <row r="668" spans="1:40" x14ac:dyDescent="0.2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208"/>
      <c r="AH668" s="102"/>
      <c r="AI668" s="102"/>
      <c r="AJ668" s="102"/>
      <c r="AK668" s="208"/>
      <c r="AL668" s="102"/>
      <c r="AM668" s="102"/>
      <c r="AN668" s="102"/>
    </row>
    <row r="669" spans="1:40" x14ac:dyDescent="0.25"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Y669" s="103"/>
      <c r="Z669" s="103"/>
      <c r="AA669" s="103"/>
      <c r="AB669" s="103"/>
      <c r="AC669" s="103"/>
      <c r="AD669" s="103"/>
      <c r="AE669" s="103"/>
      <c r="AF669" s="103"/>
      <c r="AG669" s="185"/>
      <c r="AH669" s="103"/>
      <c r="AI669" s="103"/>
      <c r="AJ669" s="103"/>
      <c r="AK669" s="185"/>
      <c r="AL669" s="103"/>
      <c r="AM669" s="103"/>
      <c r="AN669" s="103"/>
    </row>
    <row r="670" spans="1:40" x14ac:dyDescent="0.25">
      <c r="A670" s="202"/>
      <c r="C670" s="154"/>
      <c r="D670" s="154"/>
      <c r="E670" s="154"/>
      <c r="F670" s="200"/>
      <c r="H670" s="200"/>
      <c r="I670" s="200"/>
      <c r="J670" s="213"/>
      <c r="K670" s="213"/>
      <c r="L670" s="200"/>
      <c r="M670" s="200"/>
      <c r="N670" s="213"/>
      <c r="O670" s="213"/>
      <c r="P670" s="200"/>
      <c r="Q670" s="200"/>
      <c r="R670" s="200"/>
      <c r="T670" s="154"/>
      <c r="U670" s="154"/>
      <c r="V670" s="200"/>
      <c r="Y670" s="200"/>
      <c r="Z670" s="213"/>
      <c r="AA670" s="200"/>
      <c r="AB670" s="200"/>
      <c r="AC670" s="213"/>
      <c r="AD670" s="213"/>
      <c r="AE670" s="200"/>
      <c r="AF670" s="200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F671" s="211"/>
      <c r="H671" s="211"/>
      <c r="I671" s="211"/>
      <c r="J671" s="305"/>
      <c r="K671" s="305"/>
      <c r="L671" s="211"/>
      <c r="M671" s="211"/>
      <c r="N671" s="211"/>
      <c r="O671" s="211"/>
      <c r="P671" s="211"/>
      <c r="Q671" s="211"/>
      <c r="R671" s="211"/>
      <c r="V671" s="211"/>
      <c r="Y671" s="211"/>
      <c r="Z671" s="305"/>
      <c r="AA671" s="211"/>
      <c r="AB671" s="211"/>
      <c r="AC671" s="211"/>
      <c r="AD671" s="211"/>
      <c r="AE671" s="211"/>
      <c r="AF671" s="211"/>
      <c r="AI671" s="211"/>
      <c r="AJ671" s="211"/>
      <c r="AK671" s="212"/>
      <c r="AL671" s="211"/>
      <c r="AM671" s="210"/>
      <c r="AN671" s="210"/>
    </row>
    <row r="672" spans="1:40" x14ac:dyDescent="0.25">
      <c r="A672" s="202"/>
      <c r="C672" s="154"/>
      <c r="F672" s="200"/>
      <c r="H672" s="200"/>
      <c r="I672" s="200"/>
      <c r="J672" s="213"/>
      <c r="K672" s="213"/>
      <c r="L672" s="200"/>
      <c r="M672" s="200"/>
      <c r="N672" s="213"/>
      <c r="O672" s="213"/>
      <c r="P672" s="200"/>
      <c r="Q672" s="200"/>
      <c r="R672" s="200"/>
      <c r="T672" s="154"/>
      <c r="V672" s="200"/>
      <c r="Y672" s="200"/>
      <c r="Z672" s="213"/>
      <c r="AA672" s="200"/>
      <c r="AB672" s="200"/>
      <c r="AC672" s="213"/>
      <c r="AD672" s="213"/>
      <c r="AE672" s="200"/>
      <c r="AF672" s="200"/>
      <c r="AG672" s="209"/>
      <c r="AH672" s="201"/>
      <c r="AI672" s="200"/>
      <c r="AJ672" s="200"/>
      <c r="AK672" s="209"/>
      <c r="AL672" s="200"/>
      <c r="AM672" s="210"/>
      <c r="AN672" s="210"/>
    </row>
    <row r="673" spans="1:40" x14ac:dyDescent="0.25">
      <c r="F673" s="200"/>
      <c r="H673" s="200"/>
      <c r="I673" s="200"/>
      <c r="J673" s="213"/>
      <c r="K673" s="213"/>
      <c r="L673" s="200"/>
      <c r="M673" s="200"/>
      <c r="N673" s="213"/>
      <c r="O673" s="213"/>
      <c r="P673" s="200"/>
      <c r="Q673" s="200"/>
      <c r="R673" s="200"/>
      <c r="V673" s="200"/>
      <c r="Y673" s="200"/>
      <c r="Z673" s="213"/>
      <c r="AA673" s="200"/>
      <c r="AB673" s="200"/>
      <c r="AC673" s="213"/>
      <c r="AD673" s="213"/>
      <c r="AG673" s="209"/>
      <c r="AH673" s="201"/>
      <c r="AI673" s="200"/>
      <c r="AJ673" s="200"/>
      <c r="AK673" s="209"/>
      <c r="AL673" s="200"/>
      <c r="AM673" s="210"/>
      <c r="AN673" s="210"/>
    </row>
    <row r="674" spans="1:40" x14ac:dyDescent="0.25">
      <c r="A674" s="202"/>
      <c r="C674" s="154"/>
      <c r="D674" s="154"/>
      <c r="E674" s="154"/>
      <c r="F674" s="200"/>
      <c r="H674" s="200"/>
      <c r="I674" s="200"/>
      <c r="J674" s="213"/>
      <c r="K674" s="213"/>
      <c r="L674" s="200"/>
      <c r="M674" s="200"/>
      <c r="N674" s="213"/>
      <c r="O674" s="213"/>
      <c r="P674" s="200"/>
      <c r="Q674" s="200"/>
      <c r="R674" s="200"/>
      <c r="T674" s="154"/>
      <c r="U674" s="154"/>
      <c r="V674" s="200"/>
      <c r="Y674" s="200"/>
      <c r="Z674" s="213"/>
      <c r="AA674" s="200"/>
      <c r="AB674" s="200"/>
      <c r="AC674" s="213"/>
      <c r="AD674" s="213"/>
      <c r="AE674" s="200"/>
      <c r="AF674" s="200"/>
      <c r="AG674" s="209"/>
      <c r="AH674" s="201"/>
      <c r="AI674" s="200"/>
      <c r="AJ674" s="200"/>
      <c r="AK674" s="209"/>
      <c r="AL674" s="200"/>
      <c r="AM674" s="210"/>
      <c r="AN674" s="210"/>
    </row>
    <row r="675" spans="1:40" x14ac:dyDescent="0.25">
      <c r="A675" s="202"/>
      <c r="C675" s="154"/>
      <c r="D675" s="154"/>
      <c r="E675" s="154"/>
      <c r="F675" s="200"/>
      <c r="H675" s="200"/>
      <c r="I675" s="200"/>
      <c r="J675" s="213"/>
      <c r="K675" s="213"/>
      <c r="L675" s="200"/>
      <c r="M675" s="200"/>
      <c r="N675" s="213"/>
      <c r="O675" s="213"/>
      <c r="P675" s="200"/>
      <c r="Q675" s="200"/>
      <c r="R675" s="200"/>
      <c r="T675" s="154"/>
      <c r="U675" s="154"/>
      <c r="V675" s="200"/>
      <c r="Y675" s="200"/>
      <c r="Z675" s="213"/>
      <c r="AA675" s="200"/>
      <c r="AB675" s="200"/>
      <c r="AC675" s="213"/>
      <c r="AD675" s="213"/>
      <c r="AE675" s="200"/>
      <c r="AF675" s="200"/>
      <c r="AG675" s="209"/>
      <c r="AH675" s="201"/>
      <c r="AI675" s="200"/>
      <c r="AJ675" s="200"/>
      <c r="AK675" s="209"/>
      <c r="AL675" s="200"/>
      <c r="AM675" s="210"/>
      <c r="AN675" s="210"/>
    </row>
    <row r="676" spans="1:40" x14ac:dyDescent="0.25">
      <c r="A676" s="202"/>
      <c r="C676" s="154"/>
      <c r="D676" s="154"/>
      <c r="E676" s="154"/>
      <c r="F676" s="200"/>
      <c r="H676" s="200"/>
      <c r="I676" s="200"/>
      <c r="J676" s="213"/>
      <c r="K676" s="213"/>
      <c r="L676" s="200"/>
      <c r="M676" s="200"/>
      <c r="N676" s="213"/>
      <c r="O676" s="213"/>
      <c r="P676" s="200"/>
      <c r="Q676" s="200"/>
      <c r="R676" s="200"/>
      <c r="T676" s="154"/>
      <c r="U676" s="154"/>
      <c r="V676" s="200"/>
      <c r="Y676" s="200"/>
      <c r="Z676" s="213"/>
      <c r="AA676" s="200"/>
      <c r="AB676" s="200"/>
      <c r="AC676" s="213"/>
      <c r="AD676" s="213"/>
      <c r="AE676" s="200"/>
      <c r="AF676" s="200"/>
      <c r="AG676" s="209"/>
      <c r="AH676" s="201"/>
      <c r="AI676" s="200"/>
      <c r="AJ676" s="200"/>
      <c r="AK676" s="209"/>
      <c r="AL676" s="200"/>
      <c r="AM676" s="210"/>
      <c r="AN676" s="210"/>
    </row>
    <row r="677" spans="1:40" x14ac:dyDescent="0.25">
      <c r="A677" s="202"/>
      <c r="C677" s="154"/>
      <c r="D677" s="154"/>
      <c r="E677" s="154"/>
      <c r="F677" s="200"/>
      <c r="H677" s="200"/>
      <c r="I677" s="200"/>
      <c r="J677" s="213"/>
      <c r="K677" s="213"/>
      <c r="L677" s="200"/>
      <c r="M677" s="200"/>
      <c r="N677" s="213"/>
      <c r="O677" s="213"/>
      <c r="P677" s="200"/>
      <c r="Q677" s="200"/>
      <c r="R677" s="200"/>
      <c r="T677" s="154"/>
      <c r="U677" s="154"/>
      <c r="V677" s="200"/>
      <c r="Y677" s="200"/>
      <c r="Z677" s="213"/>
      <c r="AA677" s="200"/>
      <c r="AB677" s="200"/>
      <c r="AC677" s="213"/>
      <c r="AD677" s="213"/>
      <c r="AE677" s="200"/>
      <c r="AF677" s="200"/>
      <c r="AG677" s="209"/>
      <c r="AH677" s="201"/>
      <c r="AI677" s="200"/>
      <c r="AJ677" s="200"/>
      <c r="AK677" s="209"/>
      <c r="AL677" s="200"/>
      <c r="AM677" s="210"/>
      <c r="AN677" s="210"/>
    </row>
    <row r="678" spans="1:40" x14ac:dyDescent="0.25">
      <c r="A678" s="202"/>
      <c r="C678" s="154"/>
      <c r="D678" s="154"/>
      <c r="E678" s="154"/>
      <c r="F678" s="200"/>
      <c r="H678" s="200"/>
      <c r="I678" s="200"/>
      <c r="J678" s="213"/>
      <c r="K678" s="213"/>
      <c r="L678" s="200"/>
      <c r="M678" s="200"/>
      <c r="N678" s="213"/>
      <c r="O678" s="213"/>
      <c r="P678" s="200"/>
      <c r="Q678" s="200"/>
      <c r="R678" s="200"/>
      <c r="T678" s="154"/>
      <c r="U678" s="154"/>
      <c r="V678" s="200"/>
      <c r="Y678" s="200"/>
      <c r="Z678" s="213"/>
      <c r="AA678" s="200"/>
      <c r="AB678" s="200"/>
      <c r="AC678" s="213"/>
      <c r="AD678" s="213"/>
      <c r="AE678" s="200"/>
      <c r="AF678" s="200"/>
      <c r="AG678" s="209"/>
      <c r="AH678" s="201"/>
      <c r="AI678" s="200"/>
      <c r="AJ678" s="200"/>
      <c r="AK678" s="209"/>
      <c r="AL678" s="200"/>
      <c r="AM678" s="210"/>
      <c r="AN678" s="210"/>
    </row>
    <row r="679" spans="1:40" x14ac:dyDescent="0.25">
      <c r="A679" s="202"/>
      <c r="C679" s="154"/>
      <c r="D679" s="154"/>
      <c r="E679" s="154"/>
      <c r="F679" s="200"/>
      <c r="H679" s="200"/>
      <c r="I679" s="200"/>
      <c r="J679" s="213"/>
      <c r="K679" s="213"/>
      <c r="L679" s="200"/>
      <c r="M679" s="200"/>
      <c r="N679" s="213"/>
      <c r="O679" s="213"/>
      <c r="P679" s="200"/>
      <c r="Q679" s="200"/>
      <c r="R679" s="200"/>
      <c r="T679" s="154"/>
      <c r="U679" s="154"/>
      <c r="V679" s="200"/>
      <c r="Y679" s="200"/>
      <c r="Z679" s="213"/>
      <c r="AA679" s="200"/>
      <c r="AB679" s="200"/>
      <c r="AC679" s="213"/>
      <c r="AD679" s="213"/>
      <c r="AE679" s="200"/>
      <c r="AF679" s="200"/>
      <c r="AG679" s="209"/>
      <c r="AH679" s="201"/>
      <c r="AI679" s="200"/>
      <c r="AJ679" s="200"/>
      <c r="AK679" s="209"/>
      <c r="AL679" s="200"/>
      <c r="AM679" s="210"/>
      <c r="AN679" s="210"/>
    </row>
    <row r="680" spans="1:40" x14ac:dyDescent="0.25">
      <c r="F680" s="211"/>
      <c r="H680" s="211"/>
      <c r="I680" s="211"/>
      <c r="J680" s="305"/>
      <c r="K680" s="305"/>
      <c r="L680" s="211"/>
      <c r="M680" s="211"/>
      <c r="N680" s="211"/>
      <c r="O680" s="211"/>
      <c r="P680" s="211"/>
      <c r="Q680" s="211"/>
      <c r="R680" s="211"/>
      <c r="V680" s="211"/>
      <c r="Y680" s="211"/>
      <c r="Z680" s="305"/>
      <c r="AA680" s="211"/>
      <c r="AB680" s="211"/>
      <c r="AC680" s="211"/>
      <c r="AD680" s="211"/>
      <c r="AE680" s="211"/>
      <c r="AF680" s="211"/>
      <c r="AI680" s="211"/>
      <c r="AJ680" s="211"/>
      <c r="AK680" s="212"/>
      <c r="AL680" s="211"/>
      <c r="AM680" s="210"/>
      <c r="AN680" s="210"/>
    </row>
    <row r="681" spans="1:40" x14ac:dyDescent="0.25">
      <c r="A681" s="202"/>
      <c r="C681" s="154"/>
      <c r="F681" s="200"/>
      <c r="H681" s="200"/>
      <c r="I681" s="200"/>
      <c r="J681" s="213"/>
      <c r="K681" s="213"/>
      <c r="L681" s="200"/>
      <c r="M681" s="200"/>
      <c r="N681" s="213"/>
      <c r="O681" s="213"/>
      <c r="P681" s="200"/>
      <c r="Q681" s="200"/>
      <c r="R681" s="200"/>
      <c r="T681" s="154"/>
      <c r="V681" s="200"/>
      <c r="Y681" s="200"/>
      <c r="Z681" s="213"/>
      <c r="AA681" s="200"/>
      <c r="AB681" s="200"/>
      <c r="AC681" s="213"/>
      <c r="AD681" s="213"/>
      <c r="AE681" s="200"/>
      <c r="AF681" s="200"/>
      <c r="AG681" s="209"/>
      <c r="AH681" s="201"/>
      <c r="AI681" s="200"/>
      <c r="AJ681" s="200"/>
      <c r="AK681" s="209"/>
      <c r="AL681" s="200"/>
      <c r="AM681" s="210"/>
      <c r="AN681" s="210"/>
    </row>
    <row r="682" spans="1:40" x14ac:dyDescent="0.25">
      <c r="F682" s="200"/>
      <c r="H682" s="200"/>
      <c r="I682" s="200"/>
      <c r="J682" s="213"/>
      <c r="K682" s="213"/>
      <c r="L682" s="200"/>
      <c r="M682" s="200"/>
      <c r="N682" s="213"/>
      <c r="O682" s="213"/>
      <c r="P682" s="200"/>
      <c r="Q682" s="200"/>
      <c r="R682" s="200"/>
      <c r="V682" s="200"/>
      <c r="Y682" s="200"/>
      <c r="Z682" s="213"/>
      <c r="AA682" s="200"/>
      <c r="AB682" s="200"/>
      <c r="AC682" s="213"/>
      <c r="AD682" s="213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A683" s="202"/>
      <c r="C683" s="154"/>
      <c r="D683" s="154"/>
      <c r="E683" s="154"/>
      <c r="F683" s="200"/>
      <c r="H683" s="200"/>
      <c r="I683" s="200"/>
      <c r="J683" s="213"/>
      <c r="K683" s="213"/>
      <c r="L683" s="200"/>
      <c r="M683" s="200"/>
      <c r="N683" s="213"/>
      <c r="O683" s="213"/>
      <c r="P683" s="200"/>
      <c r="Q683" s="200"/>
      <c r="R683" s="200"/>
      <c r="T683" s="154"/>
      <c r="U683" s="154"/>
      <c r="V683" s="200"/>
      <c r="Y683" s="200"/>
      <c r="Z683" s="213"/>
      <c r="AA683" s="200"/>
      <c r="AB683" s="200"/>
      <c r="AC683" s="213"/>
      <c r="AD683" s="213"/>
      <c r="AE683" s="200"/>
      <c r="AF683" s="200"/>
      <c r="AG683" s="209"/>
      <c r="AH683" s="201"/>
      <c r="AI683" s="200"/>
      <c r="AJ683" s="200"/>
      <c r="AK683" s="209"/>
      <c r="AL683" s="200"/>
      <c r="AM683" s="210"/>
      <c r="AN683" s="210"/>
    </row>
    <row r="684" spans="1:40" x14ac:dyDescent="0.25">
      <c r="F684" s="211"/>
      <c r="H684" s="211"/>
      <c r="I684" s="211"/>
      <c r="J684" s="305"/>
      <c r="K684" s="305"/>
      <c r="L684" s="211"/>
      <c r="M684" s="211"/>
      <c r="N684" s="211"/>
      <c r="O684" s="211"/>
      <c r="P684" s="211"/>
      <c r="Q684" s="211"/>
      <c r="R684" s="211"/>
      <c r="V684" s="211"/>
      <c r="Y684" s="211"/>
      <c r="Z684" s="305"/>
      <c r="AA684" s="211"/>
      <c r="AB684" s="211"/>
      <c r="AC684" s="211"/>
      <c r="AD684" s="211"/>
      <c r="AE684" s="211"/>
      <c r="AF684" s="211"/>
      <c r="AI684" s="211"/>
      <c r="AJ684" s="211"/>
      <c r="AK684" s="212"/>
      <c r="AL684" s="211"/>
      <c r="AM684" s="210"/>
      <c r="AN684" s="210"/>
    </row>
    <row r="685" spans="1:40" x14ac:dyDescent="0.25">
      <c r="A685" s="202"/>
      <c r="C685" s="154"/>
      <c r="F685" s="200"/>
      <c r="H685" s="200"/>
      <c r="I685" s="200"/>
      <c r="J685" s="213"/>
      <c r="K685" s="213"/>
      <c r="L685" s="200"/>
      <c r="M685" s="200"/>
      <c r="N685" s="213"/>
      <c r="O685" s="213"/>
      <c r="P685" s="200"/>
      <c r="Q685" s="200"/>
      <c r="R685" s="200"/>
      <c r="T685" s="154"/>
      <c r="V685" s="200"/>
      <c r="Y685" s="200"/>
      <c r="Z685" s="213"/>
      <c r="AA685" s="200"/>
      <c r="AB685" s="200"/>
      <c r="AC685" s="213"/>
      <c r="AD685" s="213"/>
      <c r="AE685" s="200"/>
      <c r="AF685" s="200"/>
      <c r="AG685" s="209"/>
      <c r="AH685" s="201"/>
      <c r="AI685" s="200"/>
      <c r="AJ685" s="200"/>
      <c r="AK685" s="209"/>
      <c r="AL685" s="200"/>
      <c r="AM685" s="210"/>
      <c r="AN685" s="210"/>
    </row>
    <row r="686" spans="1:40" x14ac:dyDescent="0.25">
      <c r="F686" s="200"/>
      <c r="H686" s="200"/>
      <c r="I686" s="200"/>
      <c r="J686" s="213"/>
      <c r="K686" s="213"/>
      <c r="L686" s="200"/>
      <c r="M686" s="200"/>
      <c r="N686" s="213"/>
      <c r="O686" s="213"/>
      <c r="P686" s="200"/>
      <c r="Q686" s="200"/>
      <c r="R686" s="200"/>
      <c r="V686" s="200"/>
      <c r="Y686" s="200"/>
      <c r="Z686" s="213"/>
      <c r="AA686" s="200"/>
      <c r="AB686" s="200"/>
      <c r="AC686" s="213"/>
      <c r="AD686" s="213"/>
      <c r="AG686" s="209"/>
      <c r="AH686" s="201"/>
      <c r="AI686" s="200"/>
      <c r="AJ686" s="200"/>
      <c r="AK686" s="209"/>
      <c r="AL686" s="200"/>
      <c r="AM686" s="210"/>
      <c r="AN686" s="210"/>
    </row>
    <row r="687" spans="1:40" x14ac:dyDescent="0.25">
      <c r="A687" s="202"/>
      <c r="C687" s="154"/>
      <c r="D687" s="154"/>
      <c r="E687" s="154"/>
      <c r="F687" s="200"/>
      <c r="H687" s="200"/>
      <c r="I687" s="200"/>
      <c r="J687" s="213"/>
      <c r="K687" s="213"/>
      <c r="L687" s="200"/>
      <c r="M687" s="200"/>
      <c r="N687" s="213"/>
      <c r="O687" s="213"/>
      <c r="P687" s="200"/>
      <c r="Q687" s="200"/>
      <c r="R687" s="200"/>
      <c r="T687" s="154"/>
      <c r="U687" s="154"/>
      <c r="V687" s="200"/>
      <c r="Y687" s="200"/>
      <c r="Z687" s="213"/>
      <c r="AA687" s="200"/>
      <c r="AB687" s="200"/>
      <c r="AC687" s="213"/>
      <c r="AD687" s="213"/>
      <c r="AE687" s="200"/>
      <c r="AF687" s="200"/>
      <c r="AG687" s="209"/>
      <c r="AH687" s="201"/>
      <c r="AI687" s="200"/>
      <c r="AJ687" s="200"/>
      <c r="AK687" s="209"/>
      <c r="AL687" s="200"/>
      <c r="AM687" s="210"/>
      <c r="AN687" s="210"/>
    </row>
    <row r="688" spans="1:40" x14ac:dyDescent="0.25">
      <c r="A688" s="202"/>
      <c r="C688" s="154"/>
      <c r="D688" s="154"/>
      <c r="E688" s="154"/>
      <c r="F688" s="200"/>
      <c r="G688" s="200"/>
      <c r="H688" s="200"/>
      <c r="I688" s="200"/>
      <c r="J688" s="213"/>
      <c r="K688" s="213"/>
      <c r="L688" s="200"/>
      <c r="M688" s="200"/>
      <c r="N688" s="213"/>
      <c r="O688" s="213"/>
      <c r="P688" s="200"/>
      <c r="Q688" s="200"/>
      <c r="R688" s="200"/>
      <c r="T688" s="154"/>
      <c r="U688" s="154"/>
      <c r="V688" s="200"/>
      <c r="W688" s="200"/>
      <c r="X688" s="200"/>
      <c r="Y688" s="200"/>
      <c r="Z688" s="213"/>
      <c r="AA688" s="200"/>
      <c r="AB688" s="200"/>
      <c r="AC688" s="213"/>
      <c r="AD688" s="213"/>
      <c r="AE688" s="200"/>
      <c r="AF688" s="200"/>
      <c r="AG688" s="209"/>
      <c r="AH688" s="201"/>
      <c r="AI688" s="200"/>
      <c r="AJ688" s="200"/>
      <c r="AK688" s="209"/>
      <c r="AL688" s="200"/>
      <c r="AM688" s="210"/>
      <c r="AN688" s="210"/>
    </row>
    <row r="689" spans="1:40" x14ac:dyDescent="0.25">
      <c r="A689" s="202"/>
      <c r="C689" s="154"/>
      <c r="D689" s="154"/>
      <c r="E689" s="154"/>
      <c r="F689" s="200"/>
      <c r="G689" s="200"/>
      <c r="H689" s="200"/>
      <c r="I689" s="200"/>
      <c r="J689" s="213"/>
      <c r="K689" s="213"/>
      <c r="L689" s="200"/>
      <c r="M689" s="200"/>
      <c r="N689" s="213"/>
      <c r="O689" s="213"/>
      <c r="P689" s="200"/>
      <c r="Q689" s="200"/>
      <c r="R689" s="200"/>
      <c r="T689" s="154"/>
      <c r="U689" s="154"/>
      <c r="V689" s="200"/>
      <c r="W689" s="200"/>
      <c r="X689" s="200"/>
      <c r="Y689" s="200"/>
      <c r="Z689" s="213"/>
      <c r="AA689" s="200"/>
      <c r="AB689" s="200"/>
      <c r="AC689" s="213"/>
      <c r="AD689" s="213"/>
      <c r="AE689" s="200"/>
      <c r="AF689" s="200"/>
      <c r="AG689" s="209"/>
      <c r="AH689" s="201"/>
      <c r="AI689" s="200"/>
      <c r="AJ689" s="200"/>
      <c r="AK689" s="209"/>
      <c r="AL689" s="200"/>
      <c r="AM689" s="210"/>
      <c r="AN689" s="210"/>
    </row>
    <row r="690" spans="1:40" x14ac:dyDescent="0.25">
      <c r="A690" s="202"/>
      <c r="C690" s="154"/>
      <c r="D690" s="154"/>
      <c r="E690" s="154"/>
      <c r="F690" s="200"/>
      <c r="H690" s="200"/>
      <c r="I690" s="200"/>
      <c r="J690" s="213"/>
      <c r="K690" s="213"/>
      <c r="L690" s="200"/>
      <c r="M690" s="200"/>
      <c r="N690" s="213"/>
      <c r="O690" s="213"/>
      <c r="P690" s="200"/>
      <c r="Q690" s="200"/>
      <c r="R690" s="200"/>
      <c r="T690" s="154"/>
      <c r="U690" s="154"/>
      <c r="V690" s="200"/>
      <c r="Y690" s="200"/>
      <c r="Z690" s="213"/>
      <c r="AA690" s="200"/>
      <c r="AB690" s="200"/>
      <c r="AC690" s="213"/>
      <c r="AD690" s="213"/>
      <c r="AE690" s="200"/>
      <c r="AF690" s="200"/>
      <c r="AG690" s="209"/>
      <c r="AH690" s="201"/>
      <c r="AI690" s="200"/>
      <c r="AJ690" s="200"/>
      <c r="AK690" s="209"/>
      <c r="AL690" s="200"/>
      <c r="AM690" s="210"/>
      <c r="AN690" s="210"/>
    </row>
    <row r="691" spans="1:40" x14ac:dyDescent="0.25">
      <c r="A691" s="202"/>
      <c r="C691" s="154"/>
      <c r="D691" s="154"/>
      <c r="E691" s="154"/>
      <c r="F691" s="200"/>
      <c r="H691" s="200"/>
      <c r="I691" s="200"/>
      <c r="J691" s="213"/>
      <c r="K691" s="213"/>
      <c r="L691" s="200"/>
      <c r="M691" s="200"/>
      <c r="N691" s="213"/>
      <c r="O691" s="213"/>
      <c r="P691" s="200"/>
      <c r="Q691" s="200"/>
      <c r="R691" s="200"/>
      <c r="T691" s="154"/>
      <c r="U691" s="154"/>
      <c r="V691" s="200"/>
      <c r="Y691" s="200"/>
      <c r="Z691" s="213"/>
      <c r="AA691" s="200"/>
      <c r="AB691" s="200"/>
      <c r="AC691" s="213"/>
      <c r="AD691" s="213"/>
      <c r="AE691" s="200"/>
      <c r="AF691" s="200"/>
      <c r="AG691" s="209"/>
      <c r="AH691" s="201"/>
      <c r="AI691" s="200"/>
      <c r="AJ691" s="200"/>
      <c r="AK691" s="209"/>
      <c r="AL691" s="200"/>
      <c r="AM691" s="210"/>
      <c r="AN691" s="210"/>
    </row>
    <row r="692" spans="1:40" x14ac:dyDescent="0.25">
      <c r="A692" s="202"/>
      <c r="C692" s="154"/>
      <c r="D692" s="154"/>
      <c r="E692" s="154"/>
      <c r="F692" s="200"/>
      <c r="H692" s="200"/>
      <c r="I692" s="200"/>
      <c r="J692" s="213"/>
      <c r="K692" s="213"/>
      <c r="L692" s="200"/>
      <c r="M692" s="200"/>
      <c r="N692" s="213"/>
      <c r="O692" s="213"/>
      <c r="P692" s="200"/>
      <c r="Q692" s="200"/>
      <c r="R692" s="200"/>
      <c r="T692" s="154"/>
      <c r="U692" s="154"/>
      <c r="V692" s="200"/>
      <c r="Y692" s="200"/>
      <c r="Z692" s="213"/>
      <c r="AA692" s="200"/>
      <c r="AB692" s="200"/>
      <c r="AC692" s="213"/>
      <c r="AD692" s="213"/>
      <c r="AE692" s="200"/>
      <c r="AF692" s="200"/>
      <c r="AG692" s="209"/>
      <c r="AH692" s="201"/>
      <c r="AI692" s="200"/>
      <c r="AJ692" s="200"/>
      <c r="AK692" s="209"/>
      <c r="AL692" s="200"/>
      <c r="AM692" s="210"/>
      <c r="AN692" s="210"/>
    </row>
    <row r="693" spans="1:40" x14ac:dyDescent="0.25">
      <c r="A693" s="202"/>
      <c r="C693" s="154"/>
      <c r="D693" s="154"/>
      <c r="E693" s="154"/>
      <c r="F693" s="200"/>
      <c r="H693" s="200"/>
      <c r="I693" s="200"/>
      <c r="J693" s="213"/>
      <c r="K693" s="213"/>
      <c r="L693" s="200"/>
      <c r="M693" s="200"/>
      <c r="N693" s="213"/>
      <c r="O693" s="213"/>
      <c r="P693" s="200"/>
      <c r="Q693" s="200"/>
      <c r="R693" s="200"/>
      <c r="T693" s="154"/>
      <c r="U693" s="154"/>
      <c r="V693" s="200"/>
      <c r="Y693" s="200"/>
      <c r="Z693" s="213"/>
      <c r="AA693" s="200"/>
      <c r="AB693" s="200"/>
      <c r="AC693" s="213"/>
      <c r="AD693" s="213"/>
      <c r="AE693" s="200"/>
      <c r="AF693" s="200"/>
      <c r="AG693" s="209"/>
      <c r="AH693" s="201"/>
      <c r="AI693" s="200"/>
      <c r="AJ693" s="200"/>
      <c r="AK693" s="209"/>
      <c r="AL693" s="200"/>
      <c r="AM693" s="210"/>
      <c r="AN693" s="210"/>
    </row>
    <row r="694" spans="1:40" x14ac:dyDescent="0.25">
      <c r="F694" s="211"/>
      <c r="H694" s="211"/>
      <c r="I694" s="211"/>
      <c r="J694" s="305"/>
      <c r="K694" s="305"/>
      <c r="L694" s="211"/>
      <c r="M694" s="211"/>
      <c r="N694" s="211"/>
      <c r="O694" s="211"/>
      <c r="P694" s="211"/>
      <c r="Q694" s="211"/>
      <c r="R694" s="211"/>
      <c r="V694" s="211"/>
      <c r="Y694" s="211"/>
      <c r="Z694" s="305"/>
      <c r="AA694" s="211"/>
      <c r="AB694" s="211"/>
      <c r="AC694" s="211"/>
      <c r="AD694" s="211"/>
      <c r="AE694" s="211"/>
      <c r="AF694" s="211"/>
      <c r="AI694" s="211"/>
      <c r="AJ694" s="211"/>
      <c r="AK694" s="212"/>
      <c r="AL694" s="211"/>
      <c r="AM694" s="210"/>
      <c r="AN694" s="210"/>
    </row>
    <row r="695" spans="1:40" x14ac:dyDescent="0.25">
      <c r="A695" s="202"/>
      <c r="C695" s="154"/>
      <c r="F695" s="200"/>
      <c r="H695" s="200"/>
      <c r="I695" s="200"/>
      <c r="J695" s="213"/>
      <c r="K695" s="213"/>
      <c r="L695" s="200"/>
      <c r="M695" s="200"/>
      <c r="N695" s="213"/>
      <c r="O695" s="213"/>
      <c r="P695" s="200"/>
      <c r="Q695" s="200"/>
      <c r="R695" s="200"/>
      <c r="T695" s="154"/>
      <c r="V695" s="200"/>
      <c r="Y695" s="200"/>
      <c r="Z695" s="213"/>
      <c r="AA695" s="200"/>
      <c r="AB695" s="200"/>
      <c r="AC695" s="213"/>
      <c r="AD695" s="213"/>
      <c r="AE695" s="200"/>
      <c r="AF695" s="200"/>
      <c r="AG695" s="209"/>
      <c r="AH695" s="201"/>
      <c r="AI695" s="200"/>
      <c r="AJ695" s="200"/>
      <c r="AK695" s="209"/>
      <c r="AL695" s="200"/>
      <c r="AM695" s="210"/>
      <c r="AN695" s="210"/>
    </row>
    <row r="696" spans="1:40" x14ac:dyDescent="0.25">
      <c r="V696" s="200"/>
      <c r="Y696" s="200"/>
      <c r="Z696" s="305"/>
      <c r="AA696" s="200"/>
      <c r="AB696" s="200"/>
      <c r="AC696" s="200"/>
      <c r="AD696" s="200"/>
      <c r="AE696" s="200"/>
      <c r="AF696" s="200"/>
      <c r="AI696" s="200"/>
      <c r="AJ696" s="200"/>
      <c r="AK696" s="209"/>
      <c r="AL696" s="200"/>
      <c r="AM696" s="210"/>
      <c r="AN696" s="210"/>
    </row>
    <row r="697" spans="1:40" x14ac:dyDescent="0.25">
      <c r="A697" s="202"/>
      <c r="C697" s="154"/>
      <c r="D697" s="154"/>
      <c r="E697" s="154"/>
      <c r="L697" s="200"/>
      <c r="M697" s="200"/>
      <c r="N697" s="213"/>
      <c r="O697" s="213"/>
      <c r="P697" s="202"/>
      <c r="Q697" s="202"/>
      <c r="R697" s="200"/>
      <c r="T697" s="154"/>
      <c r="U697" s="154"/>
      <c r="AA697" s="200"/>
      <c r="AB697" s="200"/>
      <c r="AC697" s="213"/>
      <c r="AD697" s="213"/>
      <c r="AE697" s="200"/>
      <c r="AF697" s="200"/>
      <c r="AG697" s="209"/>
      <c r="AH697" s="201"/>
      <c r="AI697" s="202"/>
      <c r="AJ697" s="202"/>
      <c r="AK697" s="209"/>
      <c r="AL697" s="200"/>
      <c r="AM697" s="210"/>
      <c r="AN697" s="210"/>
    </row>
    <row r="698" spans="1:40" x14ac:dyDescent="0.25">
      <c r="A698" s="202"/>
      <c r="D698" s="154"/>
      <c r="E698" s="154"/>
      <c r="F698" s="252"/>
      <c r="H698" s="252"/>
      <c r="I698" s="252"/>
      <c r="J698" s="213"/>
      <c r="K698" s="213"/>
      <c r="L698" s="200"/>
      <c r="M698" s="200"/>
      <c r="N698" s="213"/>
      <c r="O698" s="213"/>
      <c r="P698" s="252"/>
      <c r="Q698" s="252"/>
      <c r="R698" s="200"/>
      <c r="U698" s="154"/>
      <c r="V698" s="200"/>
      <c r="Y698" s="200"/>
      <c r="Z698" s="213"/>
      <c r="AA698" s="200"/>
      <c r="AB698" s="200"/>
      <c r="AC698" s="213"/>
      <c r="AD698" s="213"/>
      <c r="AE698" s="200"/>
      <c r="AF698" s="200"/>
      <c r="AG698" s="209"/>
      <c r="AH698" s="201"/>
      <c r="AI698" s="200"/>
      <c r="AJ698" s="200"/>
      <c r="AK698" s="209"/>
      <c r="AL698" s="200"/>
      <c r="AM698" s="210"/>
      <c r="AN698" s="210"/>
    </row>
    <row r="699" spans="1:40" x14ac:dyDescent="0.25">
      <c r="F699" s="211"/>
      <c r="H699" s="211"/>
      <c r="I699" s="211"/>
      <c r="J699" s="305"/>
      <c r="K699" s="305"/>
      <c r="L699" s="211"/>
      <c r="M699" s="211"/>
      <c r="N699" s="211"/>
      <c r="O699" s="211"/>
      <c r="P699" s="211"/>
      <c r="Q699" s="211"/>
      <c r="R699" s="211"/>
      <c r="V699" s="211"/>
      <c r="Y699" s="211"/>
      <c r="Z699" s="305"/>
      <c r="AA699" s="211"/>
      <c r="AB699" s="211"/>
      <c r="AC699" s="211"/>
      <c r="AD699" s="211"/>
      <c r="AE699" s="211"/>
      <c r="AF699" s="211"/>
      <c r="AI699" s="211"/>
      <c r="AJ699" s="211"/>
      <c r="AK699" s="212"/>
      <c r="AL699" s="211"/>
      <c r="AM699" s="210"/>
      <c r="AN699" s="210"/>
    </row>
    <row r="700" spans="1:40" x14ac:dyDescent="0.25">
      <c r="A700" s="202"/>
      <c r="C700" s="154"/>
      <c r="F700" s="200"/>
      <c r="H700" s="200"/>
      <c r="I700" s="200"/>
      <c r="J700" s="213"/>
      <c r="K700" s="213"/>
      <c r="L700" s="200"/>
      <c r="M700" s="200"/>
      <c r="N700" s="213"/>
      <c r="O700" s="213"/>
      <c r="P700" s="200"/>
      <c r="Q700" s="200"/>
      <c r="R700" s="200"/>
      <c r="T700" s="154"/>
      <c r="V700" s="200"/>
      <c r="Y700" s="200"/>
      <c r="Z700" s="213"/>
      <c r="AA700" s="200"/>
      <c r="AB700" s="200"/>
      <c r="AC700" s="213"/>
      <c r="AD700" s="213"/>
      <c r="AE700" s="200"/>
      <c r="AF700" s="200"/>
      <c r="AG700" s="209"/>
      <c r="AH700" s="201"/>
      <c r="AI700" s="200"/>
      <c r="AJ700" s="200"/>
      <c r="AK700" s="209"/>
      <c r="AL700" s="200"/>
      <c r="AM700" s="210"/>
      <c r="AN700" s="210"/>
    </row>
    <row r="701" spans="1:40" x14ac:dyDescent="0.25">
      <c r="F701" s="200"/>
      <c r="H701" s="200"/>
      <c r="I701" s="200"/>
      <c r="J701" s="213"/>
      <c r="K701" s="213"/>
      <c r="L701" s="200"/>
      <c r="M701" s="200"/>
      <c r="N701" s="213"/>
      <c r="O701" s="213"/>
      <c r="P701" s="200"/>
      <c r="Q701" s="200"/>
      <c r="R701" s="200"/>
      <c r="V701" s="200"/>
      <c r="Y701" s="200"/>
      <c r="Z701" s="213"/>
      <c r="AA701" s="200"/>
      <c r="AB701" s="200"/>
      <c r="AC701" s="213"/>
      <c r="AD701" s="213"/>
      <c r="AG701" s="209"/>
      <c r="AH701" s="201"/>
      <c r="AI701" s="200"/>
      <c r="AJ701" s="200"/>
      <c r="AK701" s="209"/>
      <c r="AL701" s="200"/>
      <c r="AM701" s="210"/>
      <c r="AN701" s="210"/>
    </row>
    <row r="702" spans="1:40" x14ac:dyDescent="0.25">
      <c r="A702" s="202"/>
      <c r="D702" s="154"/>
      <c r="E702" s="154"/>
      <c r="F702" s="200"/>
      <c r="H702" s="200"/>
      <c r="I702" s="200"/>
      <c r="J702" s="213"/>
      <c r="K702" s="213"/>
      <c r="L702" s="252"/>
      <c r="M702" s="252"/>
      <c r="N702" s="213"/>
      <c r="O702" s="213"/>
      <c r="P702" s="200"/>
      <c r="Q702" s="200"/>
      <c r="R702" s="200"/>
      <c r="U702" s="154"/>
      <c r="V702" s="200"/>
      <c r="Y702" s="200"/>
      <c r="Z702" s="213"/>
      <c r="AA702" s="252"/>
      <c r="AB702" s="252"/>
      <c r="AC702" s="213"/>
      <c r="AD702" s="213"/>
      <c r="AE702" s="200"/>
      <c r="AF702" s="200"/>
      <c r="AG702" s="209"/>
      <c r="AH702" s="201"/>
      <c r="AI702" s="200"/>
      <c r="AJ702" s="200"/>
      <c r="AK702" s="209"/>
      <c r="AL702" s="200"/>
      <c r="AM702" s="210"/>
      <c r="AN702" s="210"/>
    </row>
    <row r="703" spans="1:40" x14ac:dyDescent="0.25">
      <c r="A703" s="202"/>
      <c r="D703" s="154"/>
      <c r="E703" s="154"/>
      <c r="F703" s="200"/>
      <c r="H703" s="200"/>
      <c r="I703" s="200"/>
      <c r="J703" s="213"/>
      <c r="K703" s="213"/>
      <c r="L703" s="252"/>
      <c r="M703" s="252"/>
      <c r="N703" s="213"/>
      <c r="O703" s="213"/>
      <c r="P703" s="200"/>
      <c r="Q703" s="200"/>
      <c r="R703" s="200"/>
      <c r="U703" s="154"/>
      <c r="V703" s="200"/>
      <c r="Y703" s="200"/>
      <c r="Z703" s="213"/>
      <c r="AA703" s="252"/>
      <c r="AB703" s="252"/>
      <c r="AC703" s="213"/>
      <c r="AD703" s="213"/>
      <c r="AE703" s="200"/>
      <c r="AF703" s="200"/>
      <c r="AG703" s="209"/>
      <c r="AH703" s="201"/>
      <c r="AI703" s="200"/>
      <c r="AJ703" s="200"/>
      <c r="AK703" s="209"/>
      <c r="AL703" s="200"/>
      <c r="AM703" s="210"/>
      <c r="AN703" s="210"/>
    </row>
    <row r="704" spans="1:40" x14ac:dyDescent="0.25">
      <c r="A704" s="202"/>
      <c r="D704" s="154"/>
      <c r="E704" s="154"/>
      <c r="F704" s="200"/>
      <c r="H704" s="200"/>
      <c r="I704" s="200"/>
      <c r="J704" s="213"/>
      <c r="K704" s="213"/>
      <c r="L704" s="252"/>
      <c r="M704" s="252"/>
      <c r="N704" s="213"/>
      <c r="O704" s="213"/>
      <c r="P704" s="200"/>
      <c r="Q704" s="200"/>
      <c r="R704" s="200"/>
      <c r="U704" s="154"/>
      <c r="V704" s="200"/>
      <c r="Y704" s="200"/>
      <c r="Z704" s="213"/>
      <c r="AA704" s="252"/>
      <c r="AB704" s="252"/>
      <c r="AC704" s="213"/>
      <c r="AD704" s="213"/>
      <c r="AE704" s="200"/>
      <c r="AF704" s="200"/>
      <c r="AG704" s="209"/>
      <c r="AH704" s="201"/>
      <c r="AI704" s="200"/>
      <c r="AJ704" s="200"/>
      <c r="AK704" s="209"/>
      <c r="AL704" s="200"/>
      <c r="AM704" s="210"/>
      <c r="AN704" s="210"/>
    </row>
    <row r="705" spans="1:40" x14ac:dyDescent="0.25">
      <c r="F705" s="211"/>
      <c r="H705" s="211"/>
      <c r="I705" s="211"/>
      <c r="J705" s="305"/>
      <c r="K705" s="305"/>
      <c r="L705" s="211"/>
      <c r="M705" s="211"/>
      <c r="N705" s="211"/>
      <c r="O705" s="211"/>
      <c r="P705" s="211"/>
      <c r="Q705" s="211"/>
      <c r="R705" s="211"/>
      <c r="V705" s="211"/>
      <c r="Y705" s="211"/>
      <c r="Z705" s="305"/>
      <c r="AA705" s="211"/>
      <c r="AB705" s="211"/>
      <c r="AC705" s="211"/>
      <c r="AD705" s="211"/>
      <c r="AE705" s="211"/>
      <c r="AF705" s="211"/>
      <c r="AI705" s="211"/>
      <c r="AJ705" s="211"/>
      <c r="AK705" s="212"/>
      <c r="AL705" s="211"/>
      <c r="AM705" s="210"/>
      <c r="AN705" s="210"/>
    </row>
    <row r="706" spans="1:40" x14ac:dyDescent="0.25">
      <c r="A706" s="202"/>
      <c r="C706" s="154"/>
      <c r="F706" s="200"/>
      <c r="H706" s="200"/>
      <c r="I706" s="200"/>
      <c r="J706" s="213"/>
      <c r="K706" s="213"/>
      <c r="L706" s="200"/>
      <c r="M706" s="200"/>
      <c r="N706" s="213"/>
      <c r="O706" s="213"/>
      <c r="P706" s="200"/>
      <c r="Q706" s="200"/>
      <c r="R706" s="200"/>
      <c r="T706" s="154"/>
      <c r="V706" s="200"/>
      <c r="Y706" s="200"/>
      <c r="Z706" s="213"/>
      <c r="AA706" s="200"/>
      <c r="AB706" s="200"/>
      <c r="AC706" s="213"/>
      <c r="AD706" s="213"/>
      <c r="AE706" s="200"/>
      <c r="AF706" s="200"/>
      <c r="AG706" s="209"/>
      <c r="AH706" s="201"/>
      <c r="AI706" s="200"/>
      <c r="AJ706" s="200"/>
      <c r="AK706" s="209"/>
      <c r="AL706" s="200"/>
      <c r="AM706" s="210"/>
      <c r="AN706" s="210"/>
    </row>
    <row r="707" spans="1:40" x14ac:dyDescent="0.25">
      <c r="F707" s="200"/>
      <c r="H707" s="200"/>
      <c r="I707" s="200"/>
      <c r="J707" s="213"/>
      <c r="K707" s="213"/>
      <c r="L707" s="200"/>
      <c r="M707" s="200"/>
      <c r="N707" s="213"/>
      <c r="O707" s="213"/>
      <c r="P707" s="200"/>
      <c r="Q707" s="200"/>
      <c r="R707" s="200"/>
      <c r="V707" s="200"/>
      <c r="Y707" s="200"/>
      <c r="Z707" s="213"/>
      <c r="AA707" s="200"/>
      <c r="AB707" s="200"/>
      <c r="AC707" s="213"/>
      <c r="AD707" s="213"/>
      <c r="AG707" s="209"/>
      <c r="AH707" s="201"/>
      <c r="AI707" s="200"/>
      <c r="AJ707" s="200"/>
      <c r="AK707" s="209"/>
      <c r="AL707" s="200"/>
      <c r="AM707" s="210"/>
      <c r="AN707" s="210"/>
    </row>
    <row r="708" spans="1:40" x14ac:dyDescent="0.25">
      <c r="A708" s="202"/>
      <c r="C708" s="154"/>
      <c r="F708" s="200"/>
      <c r="H708" s="200"/>
      <c r="I708" s="200"/>
      <c r="J708" s="213"/>
      <c r="K708" s="213"/>
      <c r="L708" s="200"/>
      <c r="M708" s="200"/>
      <c r="N708" s="213"/>
      <c r="O708" s="213"/>
      <c r="P708" s="200"/>
      <c r="Q708" s="200"/>
      <c r="R708" s="200"/>
      <c r="T708" s="154"/>
      <c r="V708" s="200"/>
      <c r="Y708" s="200"/>
      <c r="Z708" s="213"/>
      <c r="AA708" s="200"/>
      <c r="AB708" s="200"/>
      <c r="AC708" s="213"/>
      <c r="AD708" s="213"/>
      <c r="AE708" s="200"/>
      <c r="AF708" s="200"/>
      <c r="AG708" s="209"/>
      <c r="AH708" s="201"/>
      <c r="AI708" s="200"/>
      <c r="AJ708" s="200"/>
      <c r="AK708" s="209"/>
      <c r="AL708" s="200"/>
      <c r="AM708" s="210"/>
      <c r="AN708" s="210"/>
    </row>
    <row r="709" spans="1:40" x14ac:dyDescent="0.25">
      <c r="F709" s="211"/>
      <c r="H709" s="211"/>
      <c r="I709" s="211"/>
      <c r="J709" s="305"/>
      <c r="K709" s="305"/>
      <c r="L709" s="211"/>
      <c r="M709" s="211"/>
      <c r="N709" s="211"/>
      <c r="O709" s="211"/>
      <c r="P709" s="211"/>
      <c r="Q709" s="211"/>
      <c r="R709" s="211"/>
      <c r="V709" s="211"/>
      <c r="Y709" s="211"/>
      <c r="Z709" s="305"/>
      <c r="AA709" s="211"/>
      <c r="AB709" s="211"/>
      <c r="AC709" s="211"/>
      <c r="AD709" s="211"/>
      <c r="AE709" s="211"/>
      <c r="AF709" s="211"/>
      <c r="AI709" s="211"/>
      <c r="AJ709" s="211"/>
      <c r="AK709" s="212"/>
      <c r="AL709" s="211"/>
    </row>
    <row r="711" spans="1:40" x14ac:dyDescent="0.25">
      <c r="C711" s="154"/>
      <c r="L711" s="200"/>
      <c r="M711" s="200"/>
      <c r="P711" s="200"/>
      <c r="Q711" s="200"/>
      <c r="R711" s="200"/>
      <c r="T711" s="154"/>
    </row>
    <row r="712" spans="1:40" x14ac:dyDescent="0.25">
      <c r="A712" s="154"/>
      <c r="L712" s="200"/>
      <c r="M712" s="200"/>
      <c r="P712" s="200"/>
      <c r="Q712" s="200"/>
      <c r="R712" s="200"/>
    </row>
    <row r="713" spans="1:40" x14ac:dyDescent="0.25">
      <c r="L713" s="200"/>
      <c r="M713" s="200"/>
      <c r="P713" s="200"/>
      <c r="Q713" s="200"/>
      <c r="R713" s="200"/>
    </row>
    <row r="714" spans="1:40" x14ac:dyDescent="0.25">
      <c r="L714" s="200"/>
      <c r="M714" s="200"/>
      <c r="P714" s="200"/>
      <c r="Q714" s="200"/>
      <c r="R714" s="200"/>
    </row>
    <row r="715" spans="1:40" x14ac:dyDescent="0.25">
      <c r="L715" s="200"/>
      <c r="M715" s="200"/>
      <c r="P715" s="200"/>
      <c r="Q715" s="200"/>
      <c r="R715" s="200"/>
    </row>
    <row r="716" spans="1:40" x14ac:dyDescent="0.25">
      <c r="L716" s="200"/>
      <c r="M716" s="200"/>
      <c r="P716" s="200"/>
      <c r="Q716" s="200"/>
      <c r="R716" s="200"/>
    </row>
    <row r="717" spans="1:40" x14ac:dyDescent="0.25">
      <c r="L717" s="200"/>
      <c r="M717" s="200"/>
      <c r="P717" s="200"/>
      <c r="Q717" s="200"/>
      <c r="R717" s="200"/>
    </row>
    <row r="750" spans="49:49" x14ac:dyDescent="0.25">
      <c r="AW750" s="200"/>
    </row>
    <row r="751" spans="49:49" x14ac:dyDescent="0.25">
      <c r="AW751" s="200"/>
    </row>
    <row r="752" spans="49:49" x14ac:dyDescent="0.25">
      <c r="AW752" s="200"/>
    </row>
    <row r="753" spans="49:49" x14ac:dyDescent="0.25">
      <c r="AW753" s="200"/>
    </row>
    <row r="754" spans="49:49" x14ac:dyDescent="0.25">
      <c r="AW754" s="200"/>
    </row>
    <row r="755" spans="49:49" x14ac:dyDescent="0.25">
      <c r="AW755" s="200"/>
    </row>
    <row r="758" spans="49:49" x14ac:dyDescent="0.25">
      <c r="AW758" s="200"/>
    </row>
    <row r="759" spans="49:49" x14ac:dyDescent="0.25">
      <c r="AW759" s="200"/>
    </row>
    <row r="760" spans="49:49" x14ac:dyDescent="0.25">
      <c r="AW760" s="200"/>
    </row>
    <row r="761" spans="49:49" x14ac:dyDescent="0.25">
      <c r="AW761" s="200"/>
    </row>
    <row r="762" spans="49:49" x14ac:dyDescent="0.25">
      <c r="AW762" s="200"/>
    </row>
    <row r="763" spans="49:49" x14ac:dyDescent="0.25">
      <c r="AW763" s="200"/>
    </row>
    <row r="764" spans="49:49" x14ac:dyDescent="0.25">
      <c r="AW764" s="200"/>
    </row>
    <row r="765" spans="49:49" x14ac:dyDescent="0.25">
      <c r="AW765" s="200"/>
    </row>
    <row r="768" spans="49:49" x14ac:dyDescent="0.25">
      <c r="AW768" s="200"/>
    </row>
    <row r="769" spans="49:51" x14ac:dyDescent="0.25">
      <c r="AW769" s="200"/>
    </row>
    <row r="772" spans="49:51" x14ac:dyDescent="0.25">
      <c r="AW772" s="200"/>
    </row>
    <row r="773" spans="49:51" x14ac:dyDescent="0.25">
      <c r="AW773" s="200"/>
    </row>
    <row r="774" spans="49:51" x14ac:dyDescent="0.25">
      <c r="AW774" s="200"/>
    </row>
    <row r="775" spans="49:51" x14ac:dyDescent="0.25">
      <c r="AW775" s="200"/>
    </row>
    <row r="781" spans="49:51" x14ac:dyDescent="0.25">
      <c r="AY781" s="202"/>
    </row>
    <row r="782" spans="49:51" x14ac:dyDescent="0.25">
      <c r="AY782" s="202"/>
    </row>
    <row r="783" spans="49:51" x14ac:dyDescent="0.25">
      <c r="AY783" s="154"/>
    </row>
    <row r="784" spans="49:51" x14ac:dyDescent="0.25">
      <c r="AY784" s="154"/>
    </row>
    <row r="785" spans="45:69" x14ac:dyDescent="0.25">
      <c r="AS785" s="202"/>
      <c r="BD785" s="154"/>
    </row>
    <row r="786" spans="45:69" x14ac:dyDescent="0.25">
      <c r="AS786" s="202"/>
      <c r="BD786" s="154"/>
    </row>
    <row r="787" spans="45:69" x14ac:dyDescent="0.25">
      <c r="AS787" s="154"/>
      <c r="BD787" s="154"/>
    </row>
    <row r="788" spans="45:69" x14ac:dyDescent="0.25">
      <c r="BD788" s="202"/>
    </row>
    <row r="789" spans="45:69" x14ac:dyDescent="0.25"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</row>
    <row r="790" spans="45:69" x14ac:dyDescent="0.25">
      <c r="AX790" s="154"/>
    </row>
    <row r="791" spans="45:69" x14ac:dyDescent="0.25">
      <c r="AX791" s="102"/>
      <c r="AY791" s="102"/>
      <c r="AZ791" s="102"/>
      <c r="BA791" s="102"/>
      <c r="BC791" s="103"/>
      <c r="BD791" s="103"/>
    </row>
    <row r="792" spans="45:69" x14ac:dyDescent="0.25">
      <c r="AV792" s="103"/>
      <c r="AW792" s="103"/>
      <c r="AZ792" s="103"/>
      <c r="BA792" s="103"/>
      <c r="BC792" s="103"/>
      <c r="BD792" s="103"/>
      <c r="BE792" s="103"/>
      <c r="BG792" s="102"/>
      <c r="BH792" s="154"/>
      <c r="BK792" s="102"/>
      <c r="BM792" s="102"/>
      <c r="BN792" s="154"/>
      <c r="BQ792" s="102"/>
    </row>
    <row r="793" spans="45:69" x14ac:dyDescent="0.25"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H793" s="103"/>
      <c r="BI793" s="103"/>
      <c r="BJ793" s="103"/>
      <c r="BN793" s="103"/>
      <c r="BO793" s="103"/>
      <c r="BP793" s="103"/>
    </row>
    <row r="794" spans="45:69" x14ac:dyDescent="0.25">
      <c r="AS794" s="103"/>
      <c r="AU794" s="154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G794" s="103"/>
      <c r="BH794" s="103"/>
      <c r="BI794" s="103"/>
      <c r="BJ794" s="103"/>
      <c r="BK794" s="103"/>
      <c r="BM794" s="103"/>
      <c r="BN794" s="103"/>
      <c r="BO794" s="103"/>
      <c r="BP794" s="103"/>
      <c r="BQ794" s="103"/>
    </row>
    <row r="795" spans="45:69" x14ac:dyDescent="0.25">
      <c r="AS795" s="103"/>
      <c r="AU795" s="154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G795" s="103"/>
      <c r="BH795" s="103"/>
      <c r="BI795" s="103"/>
      <c r="BJ795" s="103"/>
      <c r="BK795" s="103"/>
      <c r="BM795" s="103"/>
      <c r="BN795" s="103"/>
      <c r="BO795" s="103"/>
      <c r="BP795" s="103"/>
      <c r="BQ795" s="103"/>
    </row>
    <row r="796" spans="45:69" x14ac:dyDescent="0.25"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G796" s="102"/>
      <c r="BH796" s="102"/>
      <c r="BI796" s="102"/>
      <c r="BJ796" s="102"/>
      <c r="BK796" s="102"/>
      <c r="BM796" s="102"/>
      <c r="BN796" s="102"/>
      <c r="BO796" s="102"/>
      <c r="BP796" s="102"/>
      <c r="BQ796" s="102"/>
    </row>
    <row r="797" spans="45:69" x14ac:dyDescent="0.25"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</row>
    <row r="798" spans="45:69" x14ac:dyDescent="0.25">
      <c r="AS798" s="202"/>
      <c r="AU798" s="154"/>
      <c r="AV798" s="103"/>
      <c r="AY798" s="213"/>
    </row>
    <row r="799" spans="45:69" x14ac:dyDescent="0.25">
      <c r="AS799" s="202"/>
      <c r="AV799" s="103"/>
      <c r="AW799" s="200"/>
      <c r="AX799" s="334"/>
      <c r="AY799" s="334"/>
      <c r="AZ799" s="334"/>
      <c r="BA799" s="210"/>
      <c r="BB799" s="334"/>
      <c r="BC799" s="213"/>
      <c r="BD799" s="213"/>
      <c r="BE799" s="210"/>
      <c r="BG799" s="334"/>
      <c r="BH799" s="334"/>
      <c r="BI799" s="334"/>
      <c r="BJ799" s="334"/>
      <c r="BK799" s="334"/>
      <c r="BM799" s="334"/>
      <c r="BN799" s="334"/>
      <c r="BO799" s="334"/>
      <c r="BP799" s="334"/>
      <c r="BQ799" s="334"/>
    </row>
    <row r="800" spans="45:69" x14ac:dyDescent="0.25">
      <c r="AS800" s="202"/>
      <c r="AV800" s="103"/>
      <c r="AW800" s="200"/>
      <c r="AX800" s="334"/>
      <c r="AY800" s="334"/>
      <c r="AZ800" s="334"/>
      <c r="BA800" s="210"/>
      <c r="BB800" s="334"/>
      <c r="BC800" s="213"/>
      <c r="BD800" s="213"/>
      <c r="BE800" s="210"/>
      <c r="BG800" s="334"/>
      <c r="BH800" s="334"/>
      <c r="BI800" s="334"/>
      <c r="BJ800" s="334"/>
      <c r="BK800" s="334"/>
      <c r="BM800" s="334"/>
      <c r="BN800" s="334"/>
      <c r="BO800" s="334"/>
      <c r="BP800" s="334"/>
      <c r="BQ800" s="334"/>
    </row>
    <row r="801" spans="45:69" x14ac:dyDescent="0.25">
      <c r="AS801" s="202"/>
      <c r="AV801" s="103"/>
      <c r="AW801" s="200"/>
      <c r="AX801" s="334"/>
      <c r="AY801" s="334"/>
      <c r="AZ801" s="334"/>
      <c r="BA801" s="210"/>
      <c r="BB801" s="334"/>
      <c r="BC801" s="213"/>
      <c r="BD801" s="213"/>
      <c r="BE801" s="210"/>
      <c r="BG801" s="334"/>
      <c r="BH801" s="334"/>
      <c r="BI801" s="334"/>
      <c r="BJ801" s="334"/>
      <c r="BK801" s="334"/>
      <c r="BM801" s="334"/>
      <c r="BN801" s="334"/>
      <c r="BO801" s="334"/>
      <c r="BP801" s="334"/>
      <c r="BQ801" s="334"/>
    </row>
    <row r="802" spans="45:69" x14ac:dyDescent="0.25">
      <c r="AS802" s="202"/>
      <c r="AV802" s="103"/>
      <c r="AW802" s="200"/>
      <c r="AX802" s="334"/>
      <c r="AY802" s="334"/>
      <c r="AZ802" s="334"/>
      <c r="BA802" s="210"/>
      <c r="BB802" s="334"/>
      <c r="BC802" s="213"/>
      <c r="BD802" s="213"/>
      <c r="BE802" s="210"/>
      <c r="BG802" s="334"/>
      <c r="BH802" s="334"/>
      <c r="BI802" s="334"/>
      <c r="BJ802" s="334"/>
      <c r="BK802" s="334"/>
      <c r="BM802" s="334"/>
      <c r="BN802" s="334"/>
      <c r="BO802" s="334"/>
      <c r="BP802" s="334"/>
      <c r="BQ802" s="334"/>
    </row>
    <row r="803" spans="45:69" x14ac:dyDescent="0.25">
      <c r="AS803" s="202"/>
      <c r="AV803" s="103"/>
      <c r="AW803" s="200"/>
      <c r="AX803" s="334"/>
      <c r="AY803" s="334"/>
      <c r="AZ803" s="334"/>
      <c r="BA803" s="210"/>
      <c r="BB803" s="334"/>
      <c r="BC803" s="213"/>
      <c r="BD803" s="213"/>
      <c r="BE803" s="210"/>
      <c r="BG803" s="334"/>
      <c r="BH803" s="334"/>
      <c r="BI803" s="334"/>
      <c r="BJ803" s="334"/>
      <c r="BK803" s="334"/>
      <c r="BM803" s="334"/>
      <c r="BN803" s="334"/>
      <c r="BO803" s="334"/>
      <c r="BP803" s="334"/>
      <c r="BQ803" s="334"/>
    </row>
    <row r="804" spans="45:69" x14ac:dyDescent="0.25">
      <c r="AS804" s="202"/>
      <c r="AV804" s="103"/>
      <c r="AW804" s="200"/>
      <c r="AX804" s="334"/>
      <c r="AY804" s="334"/>
      <c r="AZ804" s="334"/>
      <c r="BA804" s="210"/>
      <c r="BB804" s="334"/>
      <c r="BC804" s="213"/>
      <c r="BD804" s="213"/>
      <c r="BE804" s="210"/>
      <c r="BG804" s="334"/>
      <c r="BH804" s="334"/>
      <c r="BI804" s="334"/>
      <c r="BJ804" s="334"/>
      <c r="BK804" s="334"/>
      <c r="BM804" s="334"/>
      <c r="BN804" s="334"/>
      <c r="BO804" s="334"/>
      <c r="BP804" s="334"/>
      <c r="BQ804" s="334"/>
    </row>
    <row r="805" spans="45:69" x14ac:dyDescent="0.25">
      <c r="AS805" s="202"/>
      <c r="AV805" s="103"/>
      <c r="AW805" s="200"/>
      <c r="AX805" s="334"/>
      <c r="AY805" s="334"/>
      <c r="AZ805" s="334"/>
      <c r="BA805" s="210"/>
      <c r="BB805" s="334"/>
      <c r="BC805" s="213"/>
      <c r="BD805" s="213"/>
      <c r="BE805" s="210"/>
      <c r="BG805" s="334"/>
      <c r="BH805" s="334"/>
      <c r="BI805" s="334"/>
      <c r="BJ805" s="334"/>
      <c r="BK805" s="334"/>
      <c r="BM805" s="334"/>
      <c r="BN805" s="334"/>
      <c r="BO805" s="334"/>
      <c r="BP805" s="334"/>
      <c r="BQ805" s="334"/>
    </row>
    <row r="806" spans="45:69" x14ac:dyDescent="0.25">
      <c r="AY806" s="213"/>
      <c r="AZ806" s="334"/>
      <c r="BA806" s="210"/>
      <c r="BB806" s="334"/>
      <c r="BC806" s="213"/>
      <c r="BD806" s="213"/>
      <c r="BE806" s="210"/>
      <c r="BK806" s="334"/>
      <c r="BQ806" s="334"/>
    </row>
    <row r="807" spans="45:69" x14ac:dyDescent="0.25">
      <c r="AS807" s="202"/>
      <c r="AV807" s="103"/>
      <c r="AY807" s="213"/>
      <c r="AZ807" s="334"/>
      <c r="BA807" s="210"/>
      <c r="BB807" s="334"/>
      <c r="BC807" s="213"/>
      <c r="BD807" s="213"/>
      <c r="BE807" s="210"/>
      <c r="BK807" s="334"/>
      <c r="BQ807" s="334"/>
    </row>
    <row r="808" spans="45:69" x14ac:dyDescent="0.25">
      <c r="AS808" s="202"/>
      <c r="AV808" s="103"/>
      <c r="AW808" s="200"/>
      <c r="AX808" s="334"/>
      <c r="AY808" s="334"/>
      <c r="AZ808" s="334"/>
      <c r="BA808" s="210"/>
      <c r="BB808" s="334"/>
      <c r="BC808" s="213"/>
      <c r="BD808" s="213"/>
      <c r="BE808" s="210"/>
      <c r="BG808" s="334"/>
      <c r="BH808" s="334"/>
      <c r="BI808" s="334"/>
      <c r="BJ808" s="334"/>
      <c r="BK808" s="334"/>
      <c r="BM808" s="334"/>
      <c r="BN808" s="334"/>
      <c r="BO808" s="334"/>
      <c r="BP808" s="334"/>
      <c r="BQ808" s="334"/>
    </row>
    <row r="809" spans="45:69" x14ac:dyDescent="0.25">
      <c r="AS809" s="202"/>
      <c r="AV809" s="103"/>
      <c r="AW809" s="200"/>
      <c r="AX809" s="334"/>
      <c r="AY809" s="334"/>
      <c r="AZ809" s="334"/>
      <c r="BA809" s="210"/>
      <c r="BB809" s="334"/>
      <c r="BC809" s="213"/>
      <c r="BD809" s="213"/>
      <c r="BE809" s="210"/>
      <c r="BG809" s="334"/>
      <c r="BH809" s="334"/>
      <c r="BI809" s="334"/>
      <c r="BJ809" s="334"/>
      <c r="BK809" s="334"/>
      <c r="BM809" s="334"/>
      <c r="BN809" s="334"/>
      <c r="BO809" s="334"/>
      <c r="BP809" s="334"/>
      <c r="BQ809" s="334"/>
    </row>
    <row r="810" spans="45:69" x14ac:dyDescent="0.25">
      <c r="AS810" s="202"/>
      <c r="AV810" s="103"/>
      <c r="AW810" s="200"/>
      <c r="AX810" s="334"/>
      <c r="AY810" s="334"/>
      <c r="AZ810" s="334"/>
      <c r="BA810" s="210"/>
      <c r="BB810" s="334"/>
      <c r="BC810" s="213"/>
      <c r="BD810" s="213"/>
      <c r="BE810" s="210"/>
      <c r="BG810" s="334"/>
      <c r="BH810" s="334"/>
      <c r="BI810" s="334"/>
      <c r="BJ810" s="334"/>
      <c r="BK810" s="334"/>
      <c r="BM810" s="334"/>
      <c r="BN810" s="334"/>
      <c r="BO810" s="334"/>
      <c r="BP810" s="334"/>
      <c r="BQ810" s="334"/>
    </row>
    <row r="811" spans="45:69" x14ac:dyDescent="0.25">
      <c r="AS811" s="202"/>
      <c r="AV811" s="103"/>
      <c r="AW811" s="200"/>
      <c r="AX811" s="334"/>
      <c r="AY811" s="334"/>
      <c r="AZ811" s="334"/>
      <c r="BA811" s="210"/>
      <c r="BB811" s="334"/>
      <c r="BC811" s="213"/>
      <c r="BD811" s="213"/>
      <c r="BE811" s="210"/>
      <c r="BG811" s="334"/>
      <c r="BH811" s="334"/>
      <c r="BI811" s="334"/>
      <c r="BJ811" s="334"/>
      <c r="BK811" s="334"/>
      <c r="BM811" s="334"/>
      <c r="BN811" s="334"/>
      <c r="BO811" s="334"/>
      <c r="BP811" s="334"/>
      <c r="BQ811" s="334"/>
    </row>
    <row r="812" spans="45:69" x14ac:dyDescent="0.25">
      <c r="AS812" s="202"/>
      <c r="AV812" s="103"/>
      <c r="AW812" s="200"/>
      <c r="AX812" s="334"/>
      <c r="AY812" s="334"/>
      <c r="AZ812" s="334"/>
      <c r="BA812" s="210"/>
      <c r="BB812" s="334"/>
      <c r="BC812" s="213"/>
      <c r="BD812" s="213"/>
      <c r="BE812" s="210"/>
      <c r="BG812" s="334"/>
      <c r="BH812" s="334"/>
      <c r="BI812" s="334"/>
      <c r="BJ812" s="334"/>
      <c r="BK812" s="334"/>
      <c r="BM812" s="334"/>
      <c r="BN812" s="334"/>
      <c r="BO812" s="334"/>
      <c r="BP812" s="334"/>
      <c r="BQ812" s="334"/>
    </row>
    <row r="813" spans="45:69" x14ac:dyDescent="0.25">
      <c r="AS813" s="202"/>
      <c r="AV813" s="103"/>
      <c r="AW813" s="200"/>
      <c r="AX813" s="334"/>
      <c r="AY813" s="334"/>
      <c r="AZ813" s="334"/>
      <c r="BA813" s="210"/>
      <c r="BB813" s="334"/>
      <c r="BC813" s="213"/>
      <c r="BD813" s="213"/>
      <c r="BE813" s="210"/>
      <c r="BG813" s="334"/>
      <c r="BH813" s="334"/>
      <c r="BI813" s="334"/>
      <c r="BJ813" s="334"/>
      <c r="BK813" s="334"/>
      <c r="BM813" s="334"/>
      <c r="BN813" s="334"/>
      <c r="BO813" s="334"/>
      <c r="BP813" s="334"/>
      <c r="BQ813" s="334"/>
    </row>
    <row r="814" spans="45:69" x14ac:dyDescent="0.25">
      <c r="AS814" s="202"/>
      <c r="AV814" s="103"/>
      <c r="AW814" s="200"/>
      <c r="AX814" s="334"/>
      <c r="AY814" s="334"/>
      <c r="AZ814" s="334"/>
      <c r="BA814" s="210"/>
      <c r="BB814" s="334"/>
      <c r="BC814" s="213"/>
      <c r="BD814" s="213"/>
      <c r="BE814" s="210"/>
      <c r="BG814" s="334"/>
      <c r="BH814" s="334"/>
      <c r="BI814" s="334"/>
      <c r="BJ814" s="334"/>
      <c r="BK814" s="334"/>
      <c r="BM814" s="334"/>
      <c r="BN814" s="334"/>
      <c r="BO814" s="334"/>
      <c r="BP814" s="334"/>
      <c r="BQ814" s="334"/>
    </row>
    <row r="815" spans="45:69" x14ac:dyDescent="0.25">
      <c r="AS815" s="202"/>
      <c r="AV815" s="103"/>
      <c r="AW815" s="200"/>
      <c r="AX815" s="334"/>
      <c r="AY815" s="334"/>
      <c r="AZ815" s="334"/>
      <c r="BA815" s="210"/>
      <c r="BB815" s="334"/>
      <c r="BC815" s="213"/>
      <c r="BD815" s="213"/>
      <c r="BE815" s="210"/>
      <c r="BG815" s="334"/>
      <c r="BH815" s="334"/>
      <c r="BI815" s="334"/>
      <c r="BJ815" s="334"/>
      <c r="BK815" s="334"/>
      <c r="BM815" s="334"/>
      <c r="BN815" s="334"/>
      <c r="BO815" s="334"/>
      <c r="BP815" s="334"/>
      <c r="BQ815" s="334"/>
    </row>
    <row r="816" spans="45:69" x14ac:dyDescent="0.25">
      <c r="AY816" s="213"/>
      <c r="AZ816" s="334"/>
      <c r="BA816" s="210"/>
      <c r="BB816" s="334"/>
      <c r="BC816" s="213"/>
      <c r="BD816" s="213"/>
      <c r="BE816" s="210"/>
      <c r="BK816" s="334"/>
      <c r="BQ816" s="334"/>
    </row>
    <row r="817" spans="45:75" x14ac:dyDescent="0.25">
      <c r="AU817" s="154"/>
      <c r="AZ817" s="334"/>
      <c r="BB817" s="334"/>
      <c r="BG817" s="334"/>
      <c r="BH817" s="334"/>
      <c r="BJ817" s="334"/>
      <c r="BK817" s="334"/>
    </row>
    <row r="818" spans="45:75" x14ac:dyDescent="0.25">
      <c r="AZ818" s="334"/>
      <c r="BB818" s="334"/>
    </row>
    <row r="819" spans="45:75" x14ac:dyDescent="0.25">
      <c r="AS819" s="154"/>
      <c r="AZ819" s="334"/>
      <c r="BB819" s="334"/>
      <c r="BI819" s="334"/>
    </row>
    <row r="820" spans="45:75" x14ac:dyDescent="0.25">
      <c r="AY820" s="202"/>
      <c r="AZ820" s="334"/>
      <c r="BB820" s="334"/>
    </row>
    <row r="821" spans="45:75" x14ac:dyDescent="0.25">
      <c r="AY821" s="334"/>
      <c r="BB821" s="334"/>
    </row>
    <row r="822" spans="45:75" x14ac:dyDescent="0.25">
      <c r="AY822" s="154"/>
      <c r="AZ822" s="334"/>
      <c r="BB822" s="334"/>
    </row>
    <row r="823" spans="45:75" x14ac:dyDescent="0.25">
      <c r="AY823" s="154"/>
      <c r="AZ823" s="334"/>
      <c r="BB823" s="334"/>
    </row>
    <row r="824" spans="45:75" x14ac:dyDescent="0.25">
      <c r="AS824" s="202"/>
      <c r="AZ824" s="334"/>
      <c r="BB824" s="334"/>
      <c r="BD824" s="154"/>
    </row>
    <row r="825" spans="45:75" x14ac:dyDescent="0.25">
      <c r="AS825" s="202"/>
      <c r="AZ825" s="334"/>
      <c r="BB825" s="334"/>
      <c r="BD825" s="154"/>
    </row>
    <row r="826" spans="45:75" x14ac:dyDescent="0.25">
      <c r="AS826" s="154"/>
      <c r="AZ826" s="334"/>
      <c r="BB826" s="334"/>
      <c r="BD826" s="154"/>
    </row>
    <row r="827" spans="45:75" x14ac:dyDescent="0.25">
      <c r="AZ827" s="334"/>
      <c r="BB827" s="334"/>
      <c r="BD827" s="202"/>
    </row>
    <row r="828" spans="45:75" x14ac:dyDescent="0.25">
      <c r="AS828" s="102"/>
      <c r="AT828" s="102"/>
      <c r="AU828" s="102"/>
      <c r="AV828" s="102"/>
      <c r="AW828" s="102"/>
      <c r="AX828" s="102"/>
      <c r="AY828" s="102"/>
      <c r="AZ828" s="335"/>
      <c r="BA828" s="102"/>
      <c r="BB828" s="335"/>
      <c r="BC828" s="102"/>
      <c r="BD828" s="102"/>
      <c r="BE828" s="102"/>
    </row>
    <row r="829" spans="45:75" x14ac:dyDescent="0.25">
      <c r="AX829" s="154"/>
      <c r="AZ829" s="334"/>
      <c r="BB829" s="334"/>
    </row>
    <row r="830" spans="45:75" x14ac:dyDescent="0.25">
      <c r="AX830" s="102"/>
      <c r="AY830" s="102"/>
      <c r="AZ830" s="335"/>
      <c r="BA830" s="102"/>
      <c r="BB830" s="334"/>
      <c r="BC830" s="103"/>
      <c r="BD830" s="103"/>
    </row>
    <row r="831" spans="45:75" x14ac:dyDescent="0.25">
      <c r="AV831" s="103"/>
      <c r="AW831" s="103"/>
      <c r="AZ831" s="336"/>
      <c r="BA831" s="103"/>
      <c r="BB831" s="334"/>
      <c r="BC831" s="103"/>
      <c r="BD831" s="103"/>
      <c r="BE831" s="103"/>
      <c r="BG831" s="102"/>
      <c r="BH831" s="102"/>
      <c r="BI831" s="154"/>
      <c r="BM831" s="102"/>
      <c r="BN831" s="102"/>
      <c r="BP831" s="102"/>
      <c r="BQ831" s="102"/>
      <c r="BR831" s="154"/>
      <c r="BV831" s="102"/>
      <c r="BW831" s="102"/>
    </row>
    <row r="832" spans="45:75" x14ac:dyDescent="0.25">
      <c r="AV832" s="103"/>
      <c r="AW832" s="103"/>
      <c r="AX832" s="103"/>
      <c r="AY832" s="103"/>
      <c r="AZ832" s="336"/>
      <c r="BA832" s="103"/>
      <c r="BB832" s="336"/>
      <c r="BC832" s="103"/>
      <c r="BD832" s="103"/>
      <c r="BE832" s="103"/>
      <c r="BH832" s="103"/>
      <c r="BI832" s="103"/>
      <c r="BJ832" s="103"/>
      <c r="BK832" s="103"/>
      <c r="BL832" s="103"/>
      <c r="BM832" s="103"/>
      <c r="BQ832" s="103"/>
      <c r="BR832" s="103"/>
      <c r="BS832" s="103"/>
      <c r="BT832" s="103"/>
      <c r="BU832" s="103"/>
      <c r="BV832" s="103"/>
    </row>
    <row r="833" spans="45:75" x14ac:dyDescent="0.25">
      <c r="AS833" s="103"/>
      <c r="AU833" s="154"/>
      <c r="AV833" s="103"/>
      <c r="AW833" s="103"/>
      <c r="AX833" s="103"/>
      <c r="AY833" s="103"/>
      <c r="AZ833" s="336"/>
      <c r="BA833" s="103"/>
      <c r="BB833" s="336"/>
      <c r="BC833" s="103"/>
      <c r="BD833" s="103"/>
      <c r="BE833" s="103"/>
      <c r="BG833" s="103"/>
      <c r="BH833" s="103"/>
      <c r="BI833" s="103"/>
      <c r="BJ833" s="103"/>
      <c r="BK833" s="103"/>
      <c r="BL833" s="103"/>
      <c r="BM833" s="103"/>
      <c r="BN833" s="103"/>
      <c r="BP833" s="103"/>
      <c r="BQ833" s="103"/>
      <c r="BR833" s="103"/>
      <c r="BS833" s="103"/>
      <c r="BT833" s="103"/>
      <c r="BU833" s="103"/>
      <c r="BV833" s="103"/>
      <c r="BW833" s="103"/>
    </row>
    <row r="834" spans="45:75" x14ac:dyDescent="0.25">
      <c r="AS834" s="103"/>
      <c r="AU834" s="154"/>
      <c r="AV834" s="103"/>
      <c r="AW834" s="103"/>
      <c r="AX834" s="103"/>
      <c r="AY834" s="103"/>
      <c r="AZ834" s="336"/>
      <c r="BA834" s="103"/>
      <c r="BB834" s="336"/>
      <c r="BC834" s="103"/>
      <c r="BD834" s="103"/>
      <c r="BE834" s="103"/>
      <c r="BG834" s="103"/>
      <c r="BH834" s="103"/>
      <c r="BI834" s="103"/>
      <c r="BJ834" s="103"/>
      <c r="BK834" s="103"/>
      <c r="BL834" s="103"/>
      <c r="BM834" s="103"/>
      <c r="BN834" s="103"/>
      <c r="BP834" s="103"/>
      <c r="BQ834" s="103"/>
      <c r="BR834" s="103"/>
      <c r="BS834" s="103"/>
      <c r="BT834" s="103"/>
      <c r="BU834" s="103"/>
      <c r="BV834" s="103"/>
      <c r="BW834" s="103"/>
    </row>
    <row r="835" spans="45:75" x14ac:dyDescent="0.25">
      <c r="AS835" s="102"/>
      <c r="AT835" s="102"/>
      <c r="AU835" s="102"/>
      <c r="AV835" s="102"/>
      <c r="AW835" s="102"/>
      <c r="AX835" s="102"/>
      <c r="AY835" s="102"/>
      <c r="AZ835" s="335"/>
      <c r="BA835" s="102"/>
      <c r="BB835" s="335"/>
      <c r="BC835" s="102"/>
      <c r="BD835" s="102"/>
      <c r="BE835" s="102"/>
      <c r="BG835" s="102"/>
      <c r="BH835" s="102"/>
      <c r="BI835" s="102"/>
      <c r="BJ835" s="102"/>
      <c r="BK835" s="102"/>
      <c r="BL835" s="102"/>
      <c r="BM835" s="102"/>
      <c r="BN835" s="102"/>
      <c r="BP835" s="102"/>
      <c r="BQ835" s="102"/>
      <c r="BR835" s="102"/>
      <c r="BS835" s="102"/>
      <c r="BT835" s="102"/>
      <c r="BU835" s="102"/>
      <c r="BV835" s="102"/>
      <c r="BW835" s="102"/>
    </row>
    <row r="836" spans="45:75" x14ac:dyDescent="0.25">
      <c r="AV836" s="103"/>
      <c r="AW836" s="103"/>
      <c r="AX836" s="103"/>
      <c r="AY836" s="103"/>
      <c r="AZ836" s="336"/>
      <c r="BA836" s="103"/>
      <c r="BB836" s="336"/>
      <c r="BC836" s="103"/>
      <c r="BD836" s="103"/>
      <c r="BE836" s="103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  <c r="BT836" s="334"/>
      <c r="BU836" s="334"/>
      <c r="BV836" s="334"/>
      <c r="BW836" s="334"/>
    </row>
    <row r="837" spans="45:75" x14ac:dyDescent="0.25">
      <c r="AS837" s="202"/>
      <c r="AU837" s="154"/>
      <c r="AV837" s="202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  <c r="BT837" s="334"/>
      <c r="BU837" s="334"/>
      <c r="BV837" s="334"/>
      <c r="BW837" s="334"/>
    </row>
    <row r="838" spans="45:75" x14ac:dyDescent="0.25">
      <c r="AS838" s="202"/>
      <c r="AV838" s="202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  <c r="BT838" s="334"/>
      <c r="BU838" s="334"/>
      <c r="BV838" s="334"/>
      <c r="BW838" s="334"/>
    </row>
    <row r="839" spans="45:75" x14ac:dyDescent="0.25">
      <c r="AS839" s="202"/>
      <c r="AV839" s="202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  <c r="BT839" s="334"/>
      <c r="BU839" s="334"/>
      <c r="BV839" s="334"/>
      <c r="BW839" s="334"/>
    </row>
    <row r="840" spans="45:75" x14ac:dyDescent="0.25">
      <c r="AS840" s="202"/>
      <c r="AV840" s="202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  <c r="BT840" s="334"/>
      <c r="BU840" s="334"/>
      <c r="BV840" s="334"/>
      <c r="BW840" s="334"/>
    </row>
    <row r="841" spans="45:75" x14ac:dyDescent="0.25">
      <c r="AS841" s="202"/>
      <c r="AV841" s="202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  <c r="BT841" s="334"/>
      <c r="BU841" s="334"/>
      <c r="BV841" s="334"/>
      <c r="BW841" s="334"/>
    </row>
    <row r="842" spans="45:75" x14ac:dyDescent="0.25">
      <c r="AS842" s="202"/>
      <c r="AV842" s="202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  <c r="BT842" s="334"/>
      <c r="BU842" s="334"/>
      <c r="BV842" s="334"/>
      <c r="BW842" s="334"/>
    </row>
    <row r="843" spans="45:75" x14ac:dyDescent="0.25">
      <c r="AS843" s="202"/>
      <c r="AV843" s="202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  <c r="BT843" s="334"/>
      <c r="BU843" s="334"/>
      <c r="BV843" s="334"/>
      <c r="BW843" s="334"/>
    </row>
    <row r="844" spans="45:75" x14ac:dyDescent="0.25">
      <c r="AS844" s="202"/>
      <c r="AV844" s="202"/>
      <c r="AW844" s="200"/>
      <c r="AX844" s="334"/>
      <c r="AY844" s="334"/>
      <c r="AZ844" s="334"/>
      <c r="BA844" s="201"/>
      <c r="BB844" s="334"/>
      <c r="BC844" s="334"/>
      <c r="BD844" s="334"/>
      <c r="BE844" s="201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  <c r="BT844" s="334"/>
      <c r="BU844" s="334"/>
      <c r="BV844" s="334"/>
      <c r="BW844" s="334"/>
    </row>
    <row r="845" spans="45:75" x14ac:dyDescent="0.25">
      <c r="AS845" s="202"/>
      <c r="AV845" s="202"/>
      <c r="AW845" s="200"/>
      <c r="AX845" s="334"/>
      <c r="AY845" s="33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  <c r="BT845" s="334"/>
      <c r="BU845" s="334"/>
      <c r="BV845" s="334"/>
      <c r="BW845" s="334"/>
    </row>
    <row r="846" spans="45:75" x14ac:dyDescent="0.25">
      <c r="AS846" s="202"/>
      <c r="AV846" s="202"/>
      <c r="AW846" s="200"/>
      <c r="AX846" s="334"/>
      <c r="AY846" s="334"/>
      <c r="AZ846" s="334"/>
      <c r="BA846" s="201"/>
      <c r="BB846" s="334"/>
      <c r="BC846" s="334"/>
      <c r="BD846" s="334"/>
      <c r="BE846" s="201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  <c r="BT846" s="334"/>
      <c r="BU846" s="334"/>
      <c r="BV846" s="334"/>
      <c r="BW846" s="334"/>
    </row>
    <row r="847" spans="45:75" x14ac:dyDescent="0.25">
      <c r="AS847" s="202"/>
      <c r="AV847" s="202"/>
      <c r="AW847" s="200"/>
      <c r="AX847" s="334"/>
      <c r="AY847" s="334"/>
      <c r="AZ847" s="334"/>
      <c r="BA847" s="201"/>
      <c r="BB847" s="334"/>
      <c r="BC847" s="334"/>
      <c r="BD847" s="334"/>
      <c r="BE847" s="201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  <c r="BT847" s="334"/>
      <c r="BU847" s="334"/>
      <c r="BV847" s="334"/>
      <c r="BW847" s="334"/>
    </row>
    <row r="848" spans="45:75" x14ac:dyDescent="0.25">
      <c r="AS848" s="202"/>
      <c r="AV848" s="202"/>
      <c r="AW848" s="200"/>
      <c r="AX848" s="334"/>
      <c r="AY848" s="334"/>
      <c r="AZ848" s="334"/>
      <c r="BA848" s="201"/>
      <c r="BB848" s="334"/>
      <c r="BC848" s="334"/>
      <c r="BD848" s="334"/>
      <c r="BE848" s="201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  <c r="BT848" s="334"/>
      <c r="BU848" s="334"/>
      <c r="BV848" s="334"/>
      <c r="BW848" s="334"/>
    </row>
    <row r="849" spans="45:75" x14ac:dyDescent="0.25">
      <c r="AS849" s="202"/>
      <c r="AV849" s="202"/>
      <c r="AW849" s="200"/>
      <c r="AX849" s="334"/>
      <c r="AY849" s="334"/>
      <c r="AZ849" s="334"/>
      <c r="BA849" s="201"/>
      <c r="BB849" s="334"/>
      <c r="BC849" s="334"/>
      <c r="BD849" s="334"/>
      <c r="BE849" s="201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  <c r="BR849" s="334"/>
      <c r="BS849" s="334"/>
      <c r="BT849" s="334"/>
      <c r="BU849" s="334"/>
      <c r="BV849" s="334"/>
      <c r="BW849" s="334"/>
    </row>
    <row r="850" spans="45:75" x14ac:dyDescent="0.25">
      <c r="AS850" s="202"/>
      <c r="AV850" s="202"/>
      <c r="AW850" s="200"/>
      <c r="AX850" s="334"/>
      <c r="AY850" s="334"/>
      <c r="AZ850" s="334"/>
      <c r="BA850" s="201"/>
      <c r="BB850" s="334"/>
      <c r="BC850" s="334"/>
      <c r="BD850" s="334"/>
      <c r="BE850" s="201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  <c r="BT850" s="334"/>
      <c r="BU850" s="334"/>
      <c r="BV850" s="334"/>
      <c r="BW850" s="334"/>
    </row>
    <row r="851" spans="45:75" x14ac:dyDescent="0.25">
      <c r="AS851" s="202"/>
      <c r="AV851" s="202"/>
      <c r="AW851" s="200"/>
      <c r="AX851" s="334"/>
      <c r="AY851" s="334"/>
      <c r="AZ851" s="334"/>
      <c r="BA851" s="201"/>
      <c r="BB851" s="334"/>
      <c r="BC851" s="334"/>
      <c r="BD851" s="334"/>
      <c r="BE851" s="201"/>
      <c r="BG851" s="334"/>
      <c r="BH851" s="334"/>
      <c r="BI851" s="334"/>
      <c r="BJ851" s="334"/>
      <c r="BK851" s="334"/>
      <c r="BL851" s="334"/>
      <c r="BM851" s="334"/>
      <c r="BN851" s="334"/>
      <c r="BO851" s="334"/>
      <c r="BP851" s="334"/>
      <c r="BQ851" s="334"/>
      <c r="BR851" s="334"/>
      <c r="BS851" s="334"/>
      <c r="BT851" s="334"/>
      <c r="BU851" s="334"/>
      <c r="BV851" s="334"/>
      <c r="BW851" s="334"/>
    </row>
    <row r="852" spans="45:75" x14ac:dyDescent="0.25">
      <c r="AS852" s="202"/>
      <c r="AV852" s="202"/>
      <c r="AW852" s="200"/>
      <c r="AX852" s="334"/>
      <c r="AY852" s="334"/>
      <c r="AZ852" s="334"/>
      <c r="BA852" s="201"/>
      <c r="BB852" s="334"/>
      <c r="BC852" s="334"/>
      <c r="BD852" s="334"/>
      <c r="BE852" s="201"/>
      <c r="BG852" s="334"/>
      <c r="BH852" s="334"/>
      <c r="BI852" s="334"/>
      <c r="BJ852" s="334"/>
      <c r="BK852" s="334"/>
      <c r="BL852" s="334"/>
      <c r="BM852" s="334"/>
      <c r="BN852" s="334"/>
      <c r="BO852" s="334"/>
      <c r="BP852" s="334"/>
      <c r="BQ852" s="334"/>
      <c r="BR852" s="334"/>
      <c r="BS852" s="334"/>
      <c r="BT852" s="334"/>
      <c r="BU852" s="334"/>
      <c r="BV852" s="334"/>
      <c r="BW852" s="334"/>
    </row>
    <row r="853" spans="45:75" x14ac:dyDescent="0.25">
      <c r="AS853" s="202"/>
      <c r="AV853" s="202"/>
      <c r="AW853" s="200"/>
      <c r="AX853" s="334"/>
      <c r="AY853" s="334"/>
      <c r="AZ853" s="334"/>
      <c r="BA853" s="201"/>
      <c r="BB853" s="334"/>
      <c r="BC853" s="334"/>
      <c r="BD853" s="334"/>
      <c r="BE853" s="201"/>
      <c r="BG853" s="334"/>
      <c r="BH853" s="334"/>
      <c r="BI853" s="334"/>
      <c r="BJ853" s="334"/>
      <c r="BK853" s="334"/>
      <c r="BL853" s="334"/>
      <c r="BM853" s="334"/>
      <c r="BN853" s="334"/>
      <c r="BO853" s="334"/>
      <c r="BP853" s="334"/>
      <c r="BQ853" s="334"/>
      <c r="BR853" s="334"/>
      <c r="BS853" s="334"/>
      <c r="BT853" s="334"/>
      <c r="BU853" s="334"/>
      <c r="BV853" s="334"/>
      <c r="BW853" s="334"/>
    </row>
    <row r="854" spans="45:75" x14ac:dyDescent="0.25">
      <c r="AS854" s="202"/>
      <c r="AV854" s="202"/>
      <c r="AW854" s="200"/>
      <c r="AX854" s="334"/>
      <c r="AY854" s="334"/>
      <c r="AZ854" s="334"/>
      <c r="BA854" s="201"/>
      <c r="BB854" s="334"/>
      <c r="BC854" s="334"/>
      <c r="BD854" s="334"/>
      <c r="BE854" s="201"/>
      <c r="BG854" s="334"/>
      <c r="BH854" s="334"/>
      <c r="BI854" s="334"/>
      <c r="BJ854" s="334"/>
      <c r="BK854" s="334"/>
      <c r="BL854" s="334"/>
      <c r="BM854" s="334"/>
      <c r="BN854" s="334"/>
      <c r="BO854" s="334"/>
      <c r="BP854" s="334"/>
      <c r="BQ854" s="334"/>
      <c r="BR854" s="334"/>
      <c r="BS854" s="334"/>
      <c r="BT854" s="334"/>
      <c r="BU854" s="334"/>
      <c r="BV854" s="334"/>
      <c r="BW854" s="334"/>
    </row>
    <row r="855" spans="45:75" x14ac:dyDescent="0.25">
      <c r="AS855" s="202"/>
      <c r="AV855" s="202"/>
      <c r="AW855" s="200"/>
      <c r="AX855" s="334"/>
      <c r="AY855" s="334"/>
      <c r="AZ855" s="334"/>
      <c r="BA855" s="201"/>
      <c r="BB855" s="334"/>
      <c r="BC855" s="334"/>
      <c r="BD855" s="334"/>
      <c r="BE855" s="201"/>
      <c r="BG855" s="334"/>
      <c r="BH855" s="334"/>
      <c r="BI855" s="334"/>
      <c r="BJ855" s="334"/>
      <c r="BK855" s="334"/>
      <c r="BL855" s="334"/>
      <c r="BM855" s="334"/>
      <c r="BN855" s="334"/>
      <c r="BO855" s="334"/>
      <c r="BP855" s="334"/>
      <c r="BQ855" s="334"/>
      <c r="BR855" s="334"/>
      <c r="BS855" s="334"/>
      <c r="BT855" s="334"/>
      <c r="BU855" s="334"/>
      <c r="BV855" s="334"/>
      <c r="BW855" s="334"/>
    </row>
    <row r="856" spans="45:75" x14ac:dyDescent="0.25">
      <c r="AS856" s="202"/>
      <c r="AV856" s="202"/>
      <c r="AW856" s="200"/>
      <c r="AX856" s="334"/>
      <c r="AY856" s="334"/>
      <c r="AZ856" s="334"/>
      <c r="BA856" s="201"/>
      <c r="BB856" s="334"/>
      <c r="BC856" s="334"/>
      <c r="BD856" s="334"/>
      <c r="BE856" s="201"/>
      <c r="BG856" s="334"/>
      <c r="BH856" s="334"/>
      <c r="BI856" s="334"/>
      <c r="BJ856" s="334"/>
      <c r="BK856" s="334"/>
      <c r="BL856" s="334"/>
      <c r="BM856" s="334"/>
      <c r="BN856" s="334"/>
      <c r="BO856" s="334"/>
      <c r="BP856" s="334"/>
      <c r="BQ856" s="334"/>
      <c r="BR856" s="334"/>
      <c r="BS856" s="334"/>
      <c r="BT856" s="334"/>
      <c r="BU856" s="334"/>
      <c r="BV856" s="334"/>
      <c r="BW856" s="334"/>
    </row>
    <row r="857" spans="45:75" x14ac:dyDescent="0.25">
      <c r="AS857" s="202"/>
      <c r="AV857" s="202"/>
      <c r="AW857" s="200"/>
      <c r="AX857" s="334"/>
      <c r="AY857" s="334"/>
      <c r="AZ857" s="334"/>
      <c r="BA857" s="201"/>
      <c r="BB857" s="334"/>
      <c r="BC857" s="334"/>
      <c r="BD857" s="334"/>
      <c r="BE857" s="201"/>
      <c r="BG857" s="334"/>
      <c r="BH857" s="334"/>
      <c r="BI857" s="334"/>
      <c r="BJ857" s="334"/>
      <c r="BK857" s="334"/>
      <c r="BL857" s="334"/>
      <c r="BM857" s="334"/>
      <c r="BN857" s="334"/>
      <c r="BO857" s="334"/>
      <c r="BP857" s="334"/>
      <c r="BQ857" s="334"/>
      <c r="BR857" s="334"/>
      <c r="BS857" s="334"/>
      <c r="BT857" s="334"/>
      <c r="BU857" s="334"/>
      <c r="BV857" s="334"/>
      <c r="BW857" s="334"/>
    </row>
    <row r="858" spans="45:75" x14ac:dyDescent="0.25">
      <c r="AW858" s="200"/>
      <c r="AX858" s="334"/>
      <c r="AY858" s="334"/>
      <c r="AZ858" s="334"/>
      <c r="BA858" s="201"/>
      <c r="BB858" s="334"/>
      <c r="BC858" s="334"/>
      <c r="BD858" s="334"/>
      <c r="BE858" s="201"/>
      <c r="BG858" s="102"/>
      <c r="BH858" s="102"/>
      <c r="BI858" s="154"/>
      <c r="BM858" s="102"/>
      <c r="BN858" s="102"/>
      <c r="BO858" s="334"/>
      <c r="BP858" s="102"/>
      <c r="BQ858" s="102"/>
      <c r="BR858" s="154"/>
      <c r="BV858" s="102"/>
      <c r="BW858" s="102"/>
    </row>
    <row r="859" spans="45:75" x14ac:dyDescent="0.25">
      <c r="AS859" s="202"/>
      <c r="AU859" s="154"/>
      <c r="AV859" s="103"/>
      <c r="AW859" s="200"/>
      <c r="AX859" s="334"/>
      <c r="AY859" s="334"/>
      <c r="AZ859" s="334"/>
      <c r="BA859" s="201"/>
      <c r="BB859" s="334"/>
      <c r="BC859" s="334"/>
      <c r="BD859" s="334"/>
      <c r="BE859" s="201"/>
      <c r="BG859" s="336"/>
      <c r="BH859" s="334"/>
      <c r="BI859" s="334"/>
      <c r="BJ859" s="334"/>
      <c r="BK859" s="336"/>
      <c r="BL859" s="337"/>
      <c r="BM859" s="334"/>
      <c r="BN859" s="336"/>
      <c r="BO859" s="334"/>
      <c r="BP859" s="336"/>
      <c r="BQ859" s="334"/>
      <c r="BR859" s="334"/>
      <c r="BS859" s="334"/>
      <c r="BT859" s="336"/>
      <c r="BU859" s="337"/>
      <c r="BV859" s="334"/>
      <c r="BW859" s="336"/>
    </row>
    <row r="860" spans="45:75" x14ac:dyDescent="0.25">
      <c r="AS860" s="202"/>
      <c r="AV860" s="103"/>
      <c r="AW860" s="200"/>
      <c r="AX860" s="334"/>
      <c r="AY860" s="334"/>
      <c r="AZ860" s="334"/>
      <c r="BA860" s="201"/>
      <c r="BB860" s="334"/>
      <c r="BC860" s="334"/>
      <c r="BD860" s="334"/>
      <c r="BE860" s="201"/>
      <c r="BG860" s="334"/>
      <c r="BH860" s="334"/>
      <c r="BI860" s="334"/>
      <c r="BJ860" s="334"/>
      <c r="BK860" s="334"/>
      <c r="BL860" s="337"/>
      <c r="BM860" s="334"/>
      <c r="BN860" s="334"/>
      <c r="BO860" s="334"/>
      <c r="BP860" s="334"/>
      <c r="BQ860" s="334"/>
      <c r="BR860" s="334"/>
      <c r="BS860" s="334"/>
      <c r="BT860" s="334"/>
      <c r="BU860" s="337"/>
      <c r="BV860" s="334"/>
      <c r="BW860" s="334"/>
    </row>
    <row r="861" spans="45:75" x14ac:dyDescent="0.25">
      <c r="AS861" s="202"/>
      <c r="AV861" s="103"/>
      <c r="AW861" s="200"/>
      <c r="AX861" s="334"/>
      <c r="AY861" s="334"/>
      <c r="AZ861" s="334"/>
      <c r="BA861" s="201"/>
      <c r="BB861" s="334"/>
      <c r="BC861" s="334"/>
      <c r="BD861" s="334"/>
      <c r="BE861" s="201"/>
      <c r="BG861" s="334"/>
      <c r="BH861" s="334"/>
      <c r="BI861" s="334"/>
      <c r="BJ861" s="334"/>
      <c r="BK861" s="334"/>
      <c r="BL861" s="337"/>
      <c r="BM861" s="334"/>
      <c r="BN861" s="334"/>
      <c r="BO861" s="334"/>
      <c r="BP861" s="334"/>
      <c r="BQ861" s="334"/>
      <c r="BR861" s="334"/>
      <c r="BS861" s="334"/>
      <c r="BT861" s="334"/>
      <c r="BU861" s="337"/>
      <c r="BV861" s="334"/>
      <c r="BW861" s="334"/>
    </row>
    <row r="862" spans="45:75" x14ac:dyDescent="0.25">
      <c r="AS862" s="202"/>
      <c r="AV862" s="103"/>
      <c r="AW862" s="200"/>
      <c r="AX862" s="334"/>
      <c r="AY862" s="334"/>
      <c r="AZ862" s="334"/>
      <c r="BA862" s="201"/>
      <c r="BB862" s="334"/>
      <c r="BC862" s="334"/>
      <c r="BD862" s="334"/>
      <c r="BE862" s="201"/>
      <c r="BG862" s="334"/>
      <c r="BH862" s="334"/>
      <c r="BI862" s="334"/>
      <c r="BJ862" s="334"/>
      <c r="BK862" s="334"/>
      <c r="BL862" s="337"/>
      <c r="BM862" s="334"/>
      <c r="BN862" s="334"/>
      <c r="BO862" s="334"/>
      <c r="BP862" s="334"/>
      <c r="BQ862" s="334"/>
      <c r="BR862" s="334"/>
      <c r="BS862" s="334"/>
      <c r="BT862" s="334"/>
      <c r="BU862" s="337"/>
      <c r="BV862" s="334"/>
      <c r="BW862" s="334"/>
    </row>
    <row r="863" spans="45:75" x14ac:dyDescent="0.25">
      <c r="AX863" s="334"/>
      <c r="AY863" s="334"/>
      <c r="AZ863" s="334"/>
      <c r="BA863" s="201"/>
      <c r="BB863" s="334"/>
      <c r="BC863" s="334"/>
      <c r="BD863" s="334"/>
      <c r="BE863" s="201"/>
      <c r="BG863" s="334"/>
      <c r="BH863" s="334"/>
      <c r="BI863" s="334"/>
      <c r="BJ863" s="334"/>
      <c r="BK863" s="334"/>
      <c r="BL863" s="334"/>
      <c r="BM863" s="334"/>
      <c r="BN863" s="334"/>
      <c r="BO863" s="334"/>
      <c r="BP863" s="334"/>
      <c r="BQ863" s="334"/>
      <c r="BR863" s="334"/>
      <c r="BS863" s="334"/>
      <c r="BT863" s="334"/>
      <c r="BU863" s="334"/>
      <c r="BV863" s="334"/>
    </row>
    <row r="864" spans="45:75" x14ac:dyDescent="0.25">
      <c r="AU864" s="154"/>
    </row>
    <row r="865" spans="45:74" x14ac:dyDescent="0.25">
      <c r="AU865" s="154"/>
      <c r="AZ865" s="334"/>
      <c r="BA865" s="201"/>
      <c r="BB865" s="334"/>
      <c r="BC865" s="334"/>
      <c r="BD865" s="334"/>
      <c r="BE865" s="201"/>
      <c r="BG865" s="334"/>
      <c r="BH865" s="334"/>
      <c r="BI865" s="334"/>
      <c r="BJ865" s="334"/>
      <c r="BK865" s="334"/>
      <c r="BL865" s="334"/>
      <c r="BM865" s="334"/>
      <c r="BN865" s="334"/>
      <c r="BO865" s="334"/>
      <c r="BP865" s="334"/>
      <c r="BQ865" s="334"/>
      <c r="BR865" s="334"/>
      <c r="BS865" s="334"/>
      <c r="BT865" s="334"/>
      <c r="BU865" s="334"/>
      <c r="BV865" s="334"/>
    </row>
    <row r="866" spans="45:74" x14ac:dyDescent="0.25">
      <c r="AS866" s="154"/>
      <c r="AZ866" s="334"/>
      <c r="BB866" s="334"/>
    </row>
    <row r="867" spans="45:74" x14ac:dyDescent="0.25">
      <c r="AY867" s="202"/>
      <c r="AZ867" s="334"/>
      <c r="BB867" s="334"/>
      <c r="BO867" s="334"/>
      <c r="BP867" s="334"/>
      <c r="BQ867" s="334"/>
      <c r="BR867" s="334"/>
      <c r="BS867" s="334"/>
      <c r="BT867" s="334"/>
      <c r="BU867" s="334"/>
      <c r="BV867" s="334"/>
    </row>
    <row r="868" spans="45:74" x14ac:dyDescent="0.25">
      <c r="AY868" s="334"/>
      <c r="AZ868" s="334"/>
      <c r="BB868" s="334"/>
      <c r="BO868" s="334"/>
      <c r="BP868" s="334"/>
      <c r="BQ868" s="334"/>
      <c r="BR868" s="334"/>
      <c r="BS868" s="334"/>
      <c r="BT868" s="334"/>
      <c r="BU868" s="334"/>
      <c r="BV868" s="334"/>
    </row>
    <row r="869" spans="45:74" x14ac:dyDescent="0.25">
      <c r="AY869" s="154"/>
      <c r="AZ869" s="334"/>
      <c r="BB869" s="334"/>
      <c r="BO869" s="334"/>
      <c r="BP869" s="334"/>
      <c r="BQ869" s="334"/>
      <c r="BR869" s="334"/>
      <c r="BS869" s="334"/>
      <c r="BT869" s="334"/>
      <c r="BU869" s="334"/>
      <c r="BV869" s="334"/>
    </row>
    <row r="870" spans="45:74" x14ac:dyDescent="0.25">
      <c r="AY870" s="154"/>
      <c r="AZ870" s="334"/>
      <c r="BB870" s="334"/>
      <c r="BO870" s="334"/>
      <c r="BP870" s="334"/>
      <c r="BQ870" s="334"/>
      <c r="BR870" s="334"/>
      <c r="BS870" s="334"/>
      <c r="BT870" s="334"/>
      <c r="BU870" s="334"/>
      <c r="BV870" s="334"/>
    </row>
    <row r="871" spans="45:74" x14ac:dyDescent="0.25">
      <c r="AS871" s="202"/>
      <c r="AZ871" s="334"/>
      <c r="BB871" s="334"/>
      <c r="BD871" s="154"/>
      <c r="BO871" s="334"/>
      <c r="BP871" s="334"/>
      <c r="BQ871" s="334"/>
      <c r="BR871" s="334"/>
      <c r="BS871" s="334"/>
      <c r="BT871" s="334"/>
      <c r="BU871" s="334"/>
      <c r="BV871" s="334"/>
    </row>
    <row r="872" spans="45:74" x14ac:dyDescent="0.25">
      <c r="AS872" s="202"/>
      <c r="AZ872" s="334"/>
      <c r="BB872" s="334"/>
      <c r="BD872" s="154"/>
      <c r="BO872" s="334"/>
      <c r="BP872" s="334"/>
      <c r="BQ872" s="334"/>
      <c r="BR872" s="334"/>
      <c r="BS872" s="334"/>
      <c r="BT872" s="334"/>
      <c r="BU872" s="334"/>
      <c r="BV872" s="334"/>
    </row>
    <row r="873" spans="45:74" x14ac:dyDescent="0.25">
      <c r="AS873" s="154"/>
      <c r="AZ873" s="334"/>
      <c r="BB873" s="334"/>
      <c r="BD873" s="154"/>
      <c r="BO873" s="334"/>
      <c r="BP873" s="334"/>
      <c r="BQ873" s="334"/>
      <c r="BR873" s="334"/>
      <c r="BS873" s="334"/>
      <c r="BT873" s="334"/>
      <c r="BU873" s="334"/>
      <c r="BV873" s="334"/>
    </row>
    <row r="874" spans="45:74" x14ac:dyDescent="0.25">
      <c r="AZ874" s="334"/>
      <c r="BB874" s="334"/>
      <c r="BD874" s="202"/>
      <c r="BO874" s="334"/>
      <c r="BP874" s="334"/>
      <c r="BQ874" s="334"/>
      <c r="BR874" s="334"/>
      <c r="BS874" s="334"/>
      <c r="BT874" s="334"/>
      <c r="BU874" s="334"/>
      <c r="BV874" s="334"/>
    </row>
    <row r="875" spans="45:74" x14ac:dyDescent="0.25">
      <c r="AS875" s="102"/>
      <c r="AT875" s="102"/>
      <c r="AU875" s="102"/>
      <c r="AV875" s="102"/>
      <c r="AW875" s="102"/>
      <c r="AX875" s="102"/>
      <c r="AY875" s="102"/>
      <c r="AZ875" s="335"/>
      <c r="BA875" s="102"/>
      <c r="BB875" s="335"/>
      <c r="BC875" s="102"/>
      <c r="BD875" s="102"/>
      <c r="BE875" s="102"/>
      <c r="BO875" s="334"/>
      <c r="BP875" s="334"/>
      <c r="BQ875" s="334"/>
      <c r="BR875" s="334"/>
      <c r="BS875" s="334"/>
      <c r="BT875" s="334"/>
      <c r="BU875" s="334"/>
      <c r="BV875" s="334"/>
    </row>
    <row r="876" spans="45:74" x14ac:dyDescent="0.25">
      <c r="AX876" s="154"/>
      <c r="AZ876" s="334"/>
      <c r="BB876" s="334"/>
      <c r="BO876" s="334"/>
      <c r="BP876" s="334"/>
      <c r="BQ876" s="334"/>
      <c r="BR876" s="334"/>
      <c r="BS876" s="334"/>
      <c r="BT876" s="334"/>
      <c r="BU876" s="334"/>
      <c r="BV876" s="334"/>
    </row>
    <row r="877" spans="45:74" x14ac:dyDescent="0.25">
      <c r="AX877" s="102"/>
      <c r="AY877" s="102"/>
      <c r="AZ877" s="335"/>
      <c r="BA877" s="102"/>
      <c r="BB877" s="334"/>
      <c r="BC877" s="103"/>
      <c r="BD877" s="103"/>
      <c r="BO877" s="334"/>
      <c r="BP877" s="334"/>
      <c r="BQ877" s="334"/>
      <c r="BR877" s="334"/>
      <c r="BS877" s="334"/>
      <c r="BT877" s="334"/>
      <c r="BU877" s="334"/>
      <c r="BV877" s="334"/>
    </row>
    <row r="878" spans="45:74" x14ac:dyDescent="0.25">
      <c r="AV878" s="103"/>
      <c r="AW878" s="103"/>
      <c r="AZ878" s="336"/>
      <c r="BA878" s="103"/>
      <c r="BB878" s="334"/>
      <c r="BC878" s="103"/>
      <c r="BD878" s="103"/>
      <c r="BE878" s="103"/>
      <c r="BG878" s="102"/>
      <c r="BH878" s="154"/>
      <c r="BK878" s="102"/>
      <c r="BM878" s="102"/>
      <c r="BN878" s="154"/>
      <c r="BQ878" s="102"/>
    </row>
    <row r="879" spans="45:74" x14ac:dyDescent="0.25">
      <c r="AV879" s="103"/>
      <c r="AW879" s="103"/>
      <c r="AX879" s="103"/>
      <c r="AY879" s="103"/>
      <c r="AZ879" s="336"/>
      <c r="BA879" s="103"/>
      <c r="BB879" s="336"/>
      <c r="BC879" s="103"/>
      <c r="BD879" s="103"/>
      <c r="BE879" s="103"/>
      <c r="BH879" s="103"/>
      <c r="BI879" s="103"/>
      <c r="BN879" s="103"/>
      <c r="BO879" s="103"/>
    </row>
    <row r="880" spans="45:74" x14ac:dyDescent="0.25">
      <c r="AS880" s="103"/>
      <c r="AU880" s="154"/>
      <c r="AV880" s="103"/>
      <c r="AW880" s="103"/>
      <c r="AX880" s="103"/>
      <c r="AY880" s="103"/>
      <c r="AZ880" s="336"/>
      <c r="BA880" s="103"/>
      <c r="BB880" s="336"/>
      <c r="BC880" s="103"/>
      <c r="BD880" s="103"/>
      <c r="BE880" s="103"/>
      <c r="BG880" s="103"/>
      <c r="BH880" s="103"/>
      <c r="BI880" s="103"/>
      <c r="BJ880" s="103"/>
      <c r="BK880" s="103"/>
      <c r="BM880" s="103"/>
      <c r="BN880" s="103"/>
      <c r="BO880" s="103"/>
      <c r="BP880" s="103"/>
      <c r="BQ880" s="103"/>
    </row>
    <row r="881" spans="45:71" x14ac:dyDescent="0.25">
      <c r="AS881" s="103"/>
      <c r="AU881" s="154"/>
      <c r="AV881" s="103"/>
      <c r="AW881" s="103"/>
      <c r="AX881" s="103"/>
      <c r="AY881" s="103"/>
      <c r="AZ881" s="336"/>
      <c r="BA881" s="103"/>
      <c r="BB881" s="336"/>
      <c r="BC881" s="103"/>
      <c r="BD881" s="103"/>
      <c r="BE881" s="103"/>
      <c r="BG881" s="103"/>
      <c r="BH881" s="103"/>
      <c r="BI881" s="103"/>
      <c r="BJ881" s="103"/>
      <c r="BK881" s="103"/>
      <c r="BM881" s="103"/>
      <c r="BN881" s="103"/>
      <c r="BO881" s="103"/>
      <c r="BP881" s="103"/>
      <c r="BQ881" s="103"/>
    </row>
    <row r="882" spans="45:71" x14ac:dyDescent="0.25">
      <c r="AS882" s="102"/>
      <c r="AT882" s="102"/>
      <c r="AU882" s="102"/>
      <c r="AV882" s="102"/>
      <c r="AW882" s="102"/>
      <c r="AX882" s="102"/>
      <c r="AY882" s="102"/>
      <c r="AZ882" s="335"/>
      <c r="BA882" s="102"/>
      <c r="BB882" s="335"/>
      <c r="BC882" s="102"/>
      <c r="BD882" s="102"/>
      <c r="BE882" s="102"/>
      <c r="BG882" s="102"/>
      <c r="BH882" s="102"/>
      <c r="BI882" s="102"/>
      <c r="BJ882" s="102"/>
      <c r="BK882" s="102"/>
      <c r="BM882" s="102"/>
      <c r="BN882" s="102"/>
      <c r="BO882" s="102"/>
      <c r="BP882" s="102"/>
      <c r="BQ882" s="102"/>
    </row>
    <row r="883" spans="45:71" x14ac:dyDescent="0.25">
      <c r="AV883" s="103"/>
      <c r="AW883" s="103"/>
      <c r="AX883" s="103"/>
      <c r="AY883" s="103"/>
      <c r="AZ883" s="336"/>
      <c r="BA883" s="103"/>
      <c r="BB883" s="336"/>
      <c r="BC883" s="103"/>
      <c r="BD883" s="103"/>
      <c r="BE883" s="103"/>
      <c r="BG883" s="334"/>
      <c r="BH883" s="334"/>
      <c r="BI883" s="334"/>
      <c r="BJ883" s="334"/>
      <c r="BK883" s="334"/>
      <c r="BL883" s="334"/>
      <c r="BM883" s="334"/>
      <c r="BN883" s="334"/>
      <c r="BO883" s="334"/>
      <c r="BP883" s="334"/>
      <c r="BQ883" s="334"/>
    </row>
    <row r="884" spans="45:71" x14ac:dyDescent="0.25">
      <c r="AS884" s="202"/>
      <c r="AT884" s="154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  <c r="BG884" s="334"/>
      <c r="BH884" s="334"/>
      <c r="BI884" s="334"/>
      <c r="BJ884" s="334"/>
      <c r="BK884" s="334"/>
      <c r="BL884" s="334"/>
      <c r="BM884" s="334"/>
      <c r="BN884" s="334"/>
      <c r="BO884" s="334"/>
      <c r="BP884" s="334"/>
      <c r="BQ884" s="334"/>
      <c r="BR884" s="334"/>
      <c r="BS884" s="334"/>
    </row>
    <row r="885" spans="45:71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  <c r="BG885" s="334"/>
      <c r="BH885" s="334"/>
      <c r="BI885" s="334"/>
      <c r="BJ885" s="334"/>
      <c r="BK885" s="334"/>
      <c r="BL885" s="334"/>
      <c r="BM885" s="334"/>
      <c r="BN885" s="334"/>
      <c r="BO885" s="334"/>
      <c r="BP885" s="334"/>
      <c r="BQ885" s="334"/>
      <c r="BR885" s="334"/>
      <c r="BS885" s="334"/>
    </row>
    <row r="886" spans="45:71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  <c r="BG886" s="334"/>
      <c r="BH886" s="334"/>
      <c r="BI886" s="334"/>
      <c r="BJ886" s="334"/>
      <c r="BK886" s="334"/>
      <c r="BL886" s="334"/>
      <c r="BM886" s="334"/>
      <c r="BN886" s="334"/>
      <c r="BO886" s="334"/>
      <c r="BP886" s="334"/>
      <c r="BQ886" s="334"/>
      <c r="BR886" s="334"/>
      <c r="BS886" s="334"/>
    </row>
    <row r="887" spans="45:71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  <c r="BG887" s="334"/>
      <c r="BH887" s="334"/>
      <c r="BI887" s="334"/>
      <c r="BJ887" s="334"/>
      <c r="BK887" s="334"/>
      <c r="BL887" s="334"/>
      <c r="BM887" s="334"/>
      <c r="BN887" s="334"/>
      <c r="BO887" s="334"/>
      <c r="BP887" s="334"/>
      <c r="BQ887" s="334"/>
      <c r="BR887" s="334"/>
      <c r="BS887" s="334"/>
    </row>
    <row r="888" spans="45:71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  <c r="BG888" s="334"/>
      <c r="BH888" s="334"/>
      <c r="BI888" s="334"/>
      <c r="BJ888" s="334"/>
      <c r="BK888" s="334"/>
      <c r="BL888" s="334"/>
      <c r="BM888" s="334"/>
      <c r="BN888" s="334"/>
      <c r="BO888" s="334"/>
      <c r="BP888" s="334"/>
      <c r="BQ888" s="334"/>
      <c r="BR888" s="334"/>
      <c r="BS888" s="334"/>
    </row>
    <row r="889" spans="45:71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  <c r="BG889" s="334"/>
      <c r="BH889" s="334"/>
      <c r="BI889" s="334"/>
      <c r="BJ889" s="334"/>
      <c r="BK889" s="334"/>
      <c r="BL889" s="334"/>
      <c r="BM889" s="334"/>
      <c r="BN889" s="334"/>
      <c r="BO889" s="334"/>
      <c r="BP889" s="334"/>
      <c r="BQ889" s="334"/>
      <c r="BR889" s="334"/>
      <c r="BS889" s="334"/>
    </row>
    <row r="890" spans="45:71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  <c r="BG890" s="334"/>
      <c r="BH890" s="334"/>
      <c r="BI890" s="334"/>
      <c r="BJ890" s="334"/>
      <c r="BK890" s="334"/>
      <c r="BL890" s="334"/>
      <c r="BM890" s="334"/>
      <c r="BN890" s="334"/>
      <c r="BO890" s="334"/>
      <c r="BP890" s="334"/>
      <c r="BQ890" s="334"/>
      <c r="BR890" s="334"/>
      <c r="BS890" s="334"/>
    </row>
    <row r="891" spans="45:71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  <c r="BG891" s="334"/>
      <c r="BH891" s="334"/>
      <c r="BI891" s="334"/>
      <c r="BJ891" s="334"/>
      <c r="BK891" s="334"/>
      <c r="BL891" s="334"/>
      <c r="BM891" s="334"/>
      <c r="BN891" s="334"/>
      <c r="BO891" s="334"/>
      <c r="BP891" s="334"/>
      <c r="BQ891" s="334"/>
      <c r="BR891" s="334"/>
      <c r="BS891" s="334"/>
    </row>
    <row r="892" spans="45:71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  <c r="BG892" s="334"/>
      <c r="BH892" s="334"/>
      <c r="BI892" s="334"/>
      <c r="BJ892" s="334"/>
      <c r="BK892" s="334"/>
      <c r="BL892" s="334"/>
      <c r="BM892" s="334"/>
      <c r="BN892" s="334"/>
      <c r="BO892" s="334"/>
      <c r="BP892" s="334"/>
      <c r="BQ892" s="334"/>
      <c r="BR892" s="334"/>
      <c r="BS892" s="334"/>
    </row>
    <row r="893" spans="45:71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  <c r="BG893" s="334"/>
      <c r="BH893" s="334"/>
      <c r="BI893" s="334"/>
      <c r="BJ893" s="334"/>
      <c r="BK893" s="334"/>
      <c r="BL893" s="334"/>
      <c r="BM893" s="334"/>
      <c r="BN893" s="334"/>
      <c r="BO893" s="334"/>
      <c r="BP893" s="334"/>
      <c r="BQ893" s="334"/>
      <c r="BR893" s="334"/>
      <c r="BS893" s="334"/>
    </row>
    <row r="894" spans="45:71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  <c r="BG894" s="334"/>
      <c r="BH894" s="334"/>
      <c r="BI894" s="334"/>
      <c r="BJ894" s="334"/>
      <c r="BK894" s="334"/>
      <c r="BL894" s="334"/>
      <c r="BM894" s="334"/>
      <c r="BN894" s="334"/>
      <c r="BO894" s="334"/>
      <c r="BP894" s="334"/>
      <c r="BQ894" s="334"/>
      <c r="BR894" s="334"/>
      <c r="BS894" s="334"/>
    </row>
    <row r="895" spans="45:71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  <c r="BG895" s="334"/>
      <c r="BH895" s="334"/>
      <c r="BI895" s="334"/>
      <c r="BJ895" s="334"/>
      <c r="BK895" s="334"/>
      <c r="BL895" s="334"/>
      <c r="BM895" s="334"/>
      <c r="BN895" s="334"/>
      <c r="BO895" s="334"/>
      <c r="BP895" s="334"/>
      <c r="BQ895" s="334"/>
      <c r="BR895" s="334"/>
      <c r="BS895" s="334"/>
    </row>
    <row r="896" spans="45:71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  <c r="BG896" s="334"/>
      <c r="BH896" s="334"/>
      <c r="BI896" s="334"/>
      <c r="BJ896" s="334"/>
      <c r="BK896" s="334"/>
      <c r="BL896" s="334"/>
      <c r="BM896" s="334"/>
      <c r="BN896" s="334"/>
      <c r="BO896" s="334"/>
      <c r="BP896" s="334"/>
      <c r="BQ896" s="334"/>
      <c r="BR896" s="334"/>
      <c r="BS896" s="334"/>
    </row>
    <row r="897" spans="45:71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  <c r="BG897" s="334"/>
      <c r="BH897" s="334"/>
      <c r="BI897" s="334"/>
      <c r="BJ897" s="334"/>
      <c r="BK897" s="334"/>
      <c r="BL897" s="334"/>
      <c r="BM897" s="334"/>
      <c r="BN897" s="334"/>
      <c r="BO897" s="334"/>
      <c r="BP897" s="334"/>
      <c r="BQ897" s="334"/>
      <c r="BR897" s="334"/>
      <c r="BS897" s="334"/>
    </row>
    <row r="898" spans="45:71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  <c r="BG898" s="334"/>
      <c r="BH898" s="334"/>
      <c r="BI898" s="334"/>
      <c r="BJ898" s="334"/>
      <c r="BK898" s="334"/>
      <c r="BL898" s="334"/>
      <c r="BM898" s="334"/>
      <c r="BN898" s="334"/>
      <c r="BO898" s="334"/>
      <c r="BP898" s="334"/>
      <c r="BQ898" s="334"/>
      <c r="BR898" s="334"/>
      <c r="BS898" s="334"/>
    </row>
    <row r="899" spans="45:71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  <c r="BG899" s="334"/>
      <c r="BH899" s="334"/>
      <c r="BI899" s="334"/>
      <c r="BJ899" s="334"/>
      <c r="BK899" s="334"/>
      <c r="BL899" s="334"/>
      <c r="BM899" s="334"/>
      <c r="BN899" s="334"/>
      <c r="BO899" s="334"/>
      <c r="BP899" s="334"/>
      <c r="BQ899" s="334"/>
      <c r="BR899" s="334"/>
      <c r="BS899" s="334"/>
    </row>
    <row r="900" spans="45:71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  <c r="BG900" s="334"/>
      <c r="BH900" s="334"/>
      <c r="BI900" s="334"/>
      <c r="BJ900" s="334"/>
      <c r="BK900" s="334"/>
      <c r="BL900" s="334"/>
      <c r="BM900" s="334"/>
      <c r="BN900" s="334"/>
      <c r="BO900" s="334"/>
      <c r="BP900" s="334"/>
      <c r="BQ900" s="334"/>
      <c r="BR900" s="334"/>
      <c r="BS900" s="334"/>
    </row>
    <row r="901" spans="45:71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  <c r="BG901" s="334"/>
      <c r="BH901" s="334"/>
      <c r="BI901" s="334"/>
      <c r="BJ901" s="334"/>
      <c r="BK901" s="334"/>
      <c r="BL901" s="334"/>
      <c r="BM901" s="334"/>
      <c r="BN901" s="334"/>
      <c r="BO901" s="334"/>
      <c r="BP901" s="334"/>
      <c r="BQ901" s="334"/>
      <c r="BR901" s="334"/>
      <c r="BS901" s="334"/>
    </row>
    <row r="902" spans="45:71" x14ac:dyDescent="0.25">
      <c r="AZ902" s="334"/>
      <c r="BB902" s="334"/>
      <c r="BC902" s="334"/>
      <c r="BD902" s="334"/>
      <c r="BG902" s="334"/>
      <c r="BH902" s="334"/>
      <c r="BI902" s="334"/>
      <c r="BJ902" s="334"/>
      <c r="BK902" s="334"/>
      <c r="BL902" s="334"/>
      <c r="BM902" s="334"/>
      <c r="BN902" s="334"/>
      <c r="BO902" s="334"/>
      <c r="BP902" s="334"/>
      <c r="BQ902" s="334"/>
      <c r="BR902" s="334"/>
      <c r="BS902" s="334"/>
    </row>
    <row r="903" spans="45:71" x14ac:dyDescent="0.25">
      <c r="AS903" s="202"/>
      <c r="AT903" s="154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</row>
    <row r="904" spans="45:71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</row>
    <row r="905" spans="45:71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</row>
    <row r="906" spans="45:71" x14ac:dyDescent="0.25">
      <c r="AS906" s="202"/>
      <c r="AV906" s="200"/>
      <c r="AW906" s="200"/>
      <c r="AX906" s="334"/>
      <c r="AY906" s="334"/>
      <c r="AZ906" s="334"/>
      <c r="BA906" s="201"/>
      <c r="BB906" s="334"/>
      <c r="BC906" s="334"/>
      <c r="BD906" s="334"/>
      <c r="BE906" s="201"/>
    </row>
    <row r="907" spans="45:71" x14ac:dyDescent="0.25">
      <c r="AS907" s="202"/>
      <c r="AV907" s="200"/>
      <c r="AW907" s="200"/>
      <c r="AX907" s="334"/>
      <c r="AY907" s="334"/>
      <c r="AZ907" s="334"/>
      <c r="BA907" s="201"/>
      <c r="BB907" s="334"/>
      <c r="BC907" s="334"/>
      <c r="BD907" s="334"/>
      <c r="BE907" s="201"/>
    </row>
    <row r="908" spans="45:71" x14ac:dyDescent="0.25">
      <c r="AS908" s="202"/>
      <c r="AV908" s="200"/>
      <c r="AW908" s="200"/>
      <c r="AX908" s="334"/>
      <c r="AY908" s="334"/>
      <c r="AZ908" s="334"/>
      <c r="BA908" s="201"/>
      <c r="BB908" s="334"/>
      <c r="BC908" s="334"/>
      <c r="BD908" s="334"/>
      <c r="BE908" s="201"/>
    </row>
    <row r="909" spans="45:71" x14ac:dyDescent="0.25">
      <c r="AS909" s="202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</row>
    <row r="910" spans="45:71" x14ac:dyDescent="0.25">
      <c r="AS910" s="202"/>
      <c r="AV910" s="200"/>
      <c r="AW910" s="200"/>
      <c r="AX910" s="334"/>
      <c r="AY910" s="334"/>
      <c r="AZ910" s="334"/>
      <c r="BA910" s="201"/>
      <c r="BB910" s="334"/>
      <c r="BC910" s="334"/>
      <c r="BD910" s="334"/>
      <c r="BE910" s="201"/>
    </row>
    <row r="911" spans="45:71" x14ac:dyDescent="0.25">
      <c r="AS911" s="202"/>
      <c r="AV911" s="200"/>
      <c r="AW911" s="200"/>
      <c r="AX911" s="334"/>
      <c r="AY911" s="334"/>
      <c r="AZ911" s="334"/>
      <c r="BA911" s="201"/>
      <c r="BB911" s="334"/>
      <c r="BC911" s="334"/>
      <c r="BD911" s="334"/>
      <c r="BE911" s="201"/>
    </row>
    <row r="912" spans="45:71" x14ac:dyDescent="0.25">
      <c r="AS912" s="202"/>
      <c r="AV912" s="200"/>
      <c r="AW912" s="200"/>
      <c r="AX912" s="334"/>
      <c r="AY912" s="334"/>
      <c r="AZ912" s="334"/>
      <c r="BA912" s="201"/>
      <c r="BB912" s="334"/>
      <c r="BC912" s="334"/>
      <c r="BD912" s="334"/>
      <c r="BE912" s="201"/>
    </row>
    <row r="913" spans="45:57" x14ac:dyDescent="0.25">
      <c r="AS913" s="202"/>
      <c r="AV913" s="200"/>
      <c r="AW913" s="200"/>
      <c r="AX913" s="334"/>
      <c r="AY913" s="334"/>
      <c r="AZ913" s="334"/>
      <c r="BA913" s="201"/>
      <c r="BB913" s="334"/>
      <c r="BC913" s="334"/>
      <c r="BD913" s="334"/>
      <c r="BE913" s="201"/>
    </row>
    <row r="914" spans="45:57" x14ac:dyDescent="0.25">
      <c r="AS914" s="202"/>
      <c r="AV914" s="200"/>
      <c r="AW914" s="200"/>
      <c r="AX914" s="334"/>
      <c r="AY914" s="334"/>
      <c r="AZ914" s="334"/>
      <c r="BA914" s="201"/>
      <c r="BB914" s="334"/>
      <c r="BC914" s="334"/>
      <c r="BD914" s="334"/>
      <c r="BE914" s="201"/>
    </row>
    <row r="915" spans="45:57" x14ac:dyDescent="0.25">
      <c r="AS915" s="202"/>
      <c r="AV915" s="200"/>
      <c r="AW915" s="200"/>
      <c r="AX915" s="334"/>
      <c r="AY915" s="334"/>
      <c r="AZ915" s="334"/>
      <c r="BA915" s="201"/>
      <c r="BB915" s="334"/>
      <c r="BC915" s="334"/>
      <c r="BD915" s="334"/>
      <c r="BE915" s="201"/>
    </row>
    <row r="916" spans="45:57" x14ac:dyDescent="0.25">
      <c r="AS916" s="202"/>
      <c r="AV916" s="200"/>
      <c r="AW916" s="200"/>
      <c r="AX916" s="334"/>
      <c r="AY916" s="334"/>
      <c r="AZ916" s="334"/>
      <c r="BA916" s="201"/>
      <c r="BB916" s="334"/>
      <c r="BC916" s="334"/>
      <c r="BD916" s="334"/>
      <c r="BE916" s="201"/>
    </row>
    <row r="917" spans="45:57" x14ac:dyDescent="0.25">
      <c r="AS917" s="202"/>
      <c r="AV917" s="200"/>
      <c r="AW917" s="200"/>
      <c r="AX917" s="334"/>
      <c r="AY917" s="334"/>
      <c r="AZ917" s="334"/>
      <c r="BA917" s="201"/>
      <c r="BB917" s="334"/>
      <c r="BC917" s="334"/>
      <c r="BD917" s="334"/>
      <c r="BE917" s="201"/>
    </row>
    <row r="918" spans="45:57" x14ac:dyDescent="0.25">
      <c r="AS918" s="202"/>
      <c r="AV918" s="200"/>
      <c r="AW918" s="200"/>
      <c r="AX918" s="334"/>
      <c r="AY918" s="334"/>
      <c r="AZ918" s="334"/>
      <c r="BA918" s="201"/>
      <c r="BB918" s="334"/>
      <c r="BC918" s="334"/>
      <c r="BD918" s="334"/>
      <c r="BE918" s="201"/>
    </row>
    <row r="919" spans="45:57" x14ac:dyDescent="0.25">
      <c r="AS919" s="202"/>
      <c r="AV919" s="200"/>
      <c r="AW919" s="200"/>
      <c r="AX919" s="334"/>
      <c r="AY919" s="334"/>
      <c r="AZ919" s="334"/>
      <c r="BA919" s="201"/>
      <c r="BB919" s="334"/>
      <c r="BC919" s="334"/>
      <c r="BD919" s="334"/>
      <c r="BE919" s="201"/>
    </row>
    <row r="920" spans="45:57" x14ac:dyDescent="0.25">
      <c r="AS920" s="202"/>
      <c r="AV920" s="200"/>
      <c r="AW920" s="200"/>
      <c r="AX920" s="334"/>
      <c r="AY920" s="334"/>
      <c r="AZ920" s="334"/>
      <c r="BA920" s="201"/>
      <c r="BB920" s="334"/>
      <c r="BC920" s="334"/>
      <c r="BD920" s="334"/>
      <c r="BE920" s="201"/>
    </row>
    <row r="921" spans="45:57" x14ac:dyDescent="0.25">
      <c r="BB921" s="334"/>
    </row>
    <row r="922" spans="45:57" x14ac:dyDescent="0.25">
      <c r="AU922" s="154"/>
      <c r="BB922" s="334"/>
    </row>
    <row r="923" spans="45:57" x14ac:dyDescent="0.25">
      <c r="AU923" s="154"/>
    </row>
    <row r="924" spans="45:57" x14ac:dyDescent="0.25">
      <c r="AU924" s="154"/>
      <c r="BB924" s="334"/>
    </row>
    <row r="925" spans="45:57" x14ac:dyDescent="0.25">
      <c r="AS925" s="154"/>
      <c r="AZ925" s="334"/>
      <c r="BB925" s="334"/>
    </row>
    <row r="926" spans="45:57" x14ac:dyDescent="0.25">
      <c r="AY926" s="202"/>
      <c r="AZ926" s="334"/>
      <c r="BB926" s="334"/>
    </row>
    <row r="927" spans="45:57" x14ac:dyDescent="0.25">
      <c r="AY927" s="334"/>
      <c r="AZ927" s="334"/>
      <c r="BB927" s="334"/>
    </row>
    <row r="928" spans="45:57" x14ac:dyDescent="0.25">
      <c r="AY928" s="154"/>
      <c r="AZ928" s="334"/>
      <c r="BB928" s="334"/>
    </row>
    <row r="929" spans="45:57" x14ac:dyDescent="0.25">
      <c r="AY929" s="154"/>
      <c r="AZ929" s="334"/>
      <c r="BB929" s="334"/>
    </row>
    <row r="930" spans="45:57" x14ac:dyDescent="0.25">
      <c r="AS930" s="202"/>
      <c r="AZ930" s="334"/>
      <c r="BB930" s="334"/>
      <c r="BD930" s="154"/>
    </row>
    <row r="931" spans="45:57" x14ac:dyDescent="0.25">
      <c r="AS931" s="202"/>
      <c r="AZ931" s="334"/>
      <c r="BB931" s="334"/>
      <c r="BD931" s="154"/>
    </row>
    <row r="932" spans="45:57" x14ac:dyDescent="0.25">
      <c r="AS932" s="154"/>
      <c r="AZ932" s="334"/>
      <c r="BB932" s="334"/>
      <c r="BD932" s="154"/>
    </row>
    <row r="933" spans="45:57" x14ac:dyDescent="0.25">
      <c r="AZ933" s="334"/>
      <c r="BB933" s="334"/>
      <c r="BD933" s="202"/>
    </row>
    <row r="934" spans="45:57" x14ac:dyDescent="0.25">
      <c r="AS934" s="102"/>
      <c r="AT934" s="102"/>
      <c r="AU934" s="102"/>
      <c r="AV934" s="102"/>
      <c r="AW934" s="102"/>
      <c r="AX934" s="102"/>
      <c r="AY934" s="102"/>
      <c r="AZ934" s="335"/>
      <c r="BA934" s="102"/>
      <c r="BB934" s="335"/>
      <c r="BC934" s="102"/>
      <c r="BD934" s="102"/>
      <c r="BE934" s="102"/>
    </row>
    <row r="935" spans="45:57" x14ac:dyDescent="0.25">
      <c r="AX935" s="154"/>
      <c r="AZ935" s="334"/>
      <c r="BB935" s="334"/>
    </row>
    <row r="936" spans="45:57" x14ac:dyDescent="0.25">
      <c r="AX936" s="102"/>
      <c r="AY936" s="102"/>
      <c r="AZ936" s="335"/>
      <c r="BA936" s="102"/>
      <c r="BB936" s="334"/>
      <c r="BC936" s="103"/>
      <c r="BD936" s="103"/>
    </row>
    <row r="937" spans="45:57" x14ac:dyDescent="0.25">
      <c r="AV937" s="103"/>
      <c r="AW937" s="103"/>
      <c r="AZ937" s="336"/>
      <c r="BA937" s="103"/>
      <c r="BB937" s="334"/>
      <c r="BC937" s="103"/>
      <c r="BD937" s="103"/>
      <c r="BE937" s="103"/>
    </row>
    <row r="938" spans="45:57" x14ac:dyDescent="0.25">
      <c r="AV938" s="103"/>
      <c r="AW938" s="103"/>
      <c r="AX938" s="103"/>
      <c r="AY938" s="103"/>
      <c r="AZ938" s="336"/>
      <c r="BA938" s="103"/>
      <c r="BB938" s="336"/>
      <c r="BC938" s="103"/>
      <c r="BD938" s="103"/>
      <c r="BE938" s="103"/>
    </row>
    <row r="939" spans="45:57" x14ac:dyDescent="0.25">
      <c r="AS939" s="103"/>
      <c r="AU939" s="154"/>
      <c r="AV939" s="103"/>
      <c r="AW939" s="103"/>
      <c r="AX939" s="103"/>
      <c r="AY939" s="103"/>
      <c r="AZ939" s="336"/>
      <c r="BA939" s="103"/>
      <c r="BB939" s="336"/>
      <c r="BC939" s="103"/>
      <c r="BD939" s="103"/>
      <c r="BE939" s="103"/>
    </row>
    <row r="940" spans="45:57" x14ac:dyDescent="0.25">
      <c r="AS940" s="103"/>
      <c r="AU940" s="154"/>
      <c r="AV940" s="103"/>
      <c r="AW940" s="103"/>
      <c r="AX940" s="103"/>
      <c r="AY940" s="103"/>
      <c r="AZ940" s="336"/>
      <c r="BA940" s="103"/>
      <c r="BB940" s="336"/>
      <c r="BC940" s="103"/>
      <c r="BD940" s="103"/>
      <c r="BE940" s="103"/>
    </row>
    <row r="941" spans="45:57" x14ac:dyDescent="0.25">
      <c r="AS941" s="102"/>
      <c r="AT941" s="102"/>
      <c r="AU941" s="102"/>
      <c r="AV941" s="102"/>
      <c r="AW941" s="102"/>
      <c r="AX941" s="102"/>
      <c r="AY941" s="102"/>
      <c r="AZ941" s="335"/>
      <c r="BA941" s="102"/>
      <c r="BB941" s="335"/>
      <c r="BC941" s="102"/>
      <c r="BD941" s="102"/>
      <c r="BE941" s="102"/>
    </row>
    <row r="942" spans="45:57" x14ac:dyDescent="0.25">
      <c r="AV942" s="103"/>
      <c r="AW942" s="103"/>
      <c r="AX942" s="103"/>
      <c r="AY942" s="103"/>
      <c r="AZ942" s="336"/>
      <c r="BA942" s="103"/>
      <c r="BB942" s="336"/>
      <c r="BC942" s="103"/>
      <c r="BD942" s="103"/>
      <c r="BE942" s="103"/>
    </row>
    <row r="943" spans="45:57" x14ac:dyDescent="0.25">
      <c r="AS943" s="202"/>
      <c r="AT943" s="154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4" spans="45:57" x14ac:dyDescent="0.25">
      <c r="AS944" s="202"/>
      <c r="AV944" s="200"/>
      <c r="AW944" s="200"/>
      <c r="AX944" s="334"/>
      <c r="AY944" s="334"/>
      <c r="AZ944" s="334"/>
      <c r="BA944" s="201"/>
      <c r="BB944" s="334"/>
      <c r="BC944" s="334"/>
      <c r="BD944" s="334"/>
      <c r="BE944" s="201"/>
    </row>
    <row r="945" spans="45:57" x14ac:dyDescent="0.25">
      <c r="AS945" s="202"/>
      <c r="AV945" s="200"/>
      <c r="AW945" s="200"/>
      <c r="AX945" s="334"/>
      <c r="AY945" s="334"/>
      <c r="AZ945" s="334"/>
      <c r="BA945" s="201"/>
      <c r="BB945" s="334"/>
      <c r="BC945" s="334"/>
      <c r="BD945" s="334"/>
      <c r="BE945" s="201"/>
    </row>
    <row r="946" spans="45:57" x14ac:dyDescent="0.25">
      <c r="AS946" s="202"/>
      <c r="AV946" s="200"/>
      <c r="AW946" s="200"/>
      <c r="AX946" s="334"/>
      <c r="AY946" s="334"/>
      <c r="AZ946" s="334"/>
      <c r="BA946" s="201"/>
      <c r="BB946" s="334"/>
      <c r="BC946" s="334"/>
      <c r="BD946" s="334"/>
      <c r="BE946" s="201"/>
    </row>
    <row r="947" spans="45:57" x14ac:dyDescent="0.25">
      <c r="AS947" s="202"/>
      <c r="AV947" s="200"/>
      <c r="AW947" s="200"/>
      <c r="AX947" s="334"/>
      <c r="AY947" s="334"/>
      <c r="AZ947" s="334"/>
      <c r="BA947" s="201"/>
      <c r="BB947" s="334"/>
      <c r="BC947" s="334"/>
      <c r="BD947" s="334"/>
      <c r="BE947" s="201"/>
    </row>
    <row r="948" spans="45:57" x14ac:dyDescent="0.25">
      <c r="AS948" s="202"/>
      <c r="AV948" s="200"/>
      <c r="AW948" s="200"/>
      <c r="AX948" s="334"/>
      <c r="AY948" s="334"/>
      <c r="AZ948" s="334"/>
      <c r="BA948" s="201"/>
      <c r="BB948" s="334"/>
      <c r="BC948" s="334"/>
      <c r="BD948" s="334"/>
      <c r="BE948" s="201"/>
    </row>
    <row r="949" spans="45:57" x14ac:dyDescent="0.25">
      <c r="AS949" s="202"/>
      <c r="AV949" s="200"/>
      <c r="AW949" s="200"/>
      <c r="AX949" s="334"/>
      <c r="AY949" s="334"/>
      <c r="AZ949" s="334"/>
      <c r="BA949" s="201"/>
      <c r="BB949" s="334"/>
      <c r="BC949" s="334"/>
      <c r="BD949" s="334"/>
      <c r="BE949" s="201"/>
    </row>
    <row r="950" spans="45:57" x14ac:dyDescent="0.25">
      <c r="AS950" s="202"/>
      <c r="AV950" s="200"/>
      <c r="AW950" s="200"/>
      <c r="AX950" s="334"/>
      <c r="AY950" s="334"/>
      <c r="AZ950" s="334"/>
      <c r="BA950" s="201"/>
      <c r="BB950" s="334"/>
      <c r="BC950" s="334"/>
      <c r="BD950" s="334"/>
      <c r="BE950" s="201"/>
    </row>
    <row r="951" spans="45:57" x14ac:dyDescent="0.25">
      <c r="AS951" s="202"/>
      <c r="AV951" s="200"/>
      <c r="AW951" s="200"/>
      <c r="AX951" s="334"/>
      <c r="AY951" s="334"/>
      <c r="AZ951" s="334"/>
      <c r="BA951" s="201"/>
      <c r="BB951" s="334"/>
      <c r="BC951" s="334"/>
      <c r="BD951" s="334"/>
      <c r="BE951" s="201"/>
    </row>
    <row r="952" spans="45:57" x14ac:dyDescent="0.25">
      <c r="AS952" s="202"/>
      <c r="AV952" s="200"/>
      <c r="AW952" s="200"/>
      <c r="AX952" s="334"/>
      <c r="AY952" s="334"/>
      <c r="AZ952" s="334"/>
      <c r="BA952" s="201"/>
      <c r="BB952" s="334"/>
      <c r="BC952" s="334"/>
      <c r="BD952" s="334"/>
      <c r="BE952" s="201"/>
    </row>
    <row r="953" spans="45:57" x14ac:dyDescent="0.25">
      <c r="AV953" s="200"/>
      <c r="AW953" s="200"/>
      <c r="BB953" s="334"/>
    </row>
    <row r="954" spans="45:57" x14ac:dyDescent="0.25">
      <c r="AS954" s="202"/>
      <c r="AT954" s="154"/>
      <c r="AV954" s="200"/>
      <c r="AW954" s="200"/>
      <c r="AX954" s="334"/>
      <c r="AY954" s="334"/>
      <c r="AZ954" s="334"/>
      <c r="BA954" s="201"/>
      <c r="BB954" s="334"/>
      <c r="BC954" s="334"/>
      <c r="BD954" s="334"/>
      <c r="BE954" s="201"/>
    </row>
    <row r="955" spans="45:57" x14ac:dyDescent="0.25">
      <c r="AS955" s="202"/>
      <c r="AV955" s="200"/>
      <c r="AW955" s="200"/>
      <c r="AX955" s="334"/>
      <c r="AY955" s="334"/>
      <c r="AZ955" s="334"/>
      <c r="BA955" s="201"/>
      <c r="BB955" s="334"/>
      <c r="BC955" s="334"/>
      <c r="BD955" s="334"/>
      <c r="BE955" s="201"/>
    </row>
    <row r="956" spans="45:57" x14ac:dyDescent="0.25">
      <c r="AS956" s="202"/>
      <c r="AV956" s="200"/>
      <c r="AW956" s="200"/>
      <c r="AX956" s="334"/>
      <c r="AY956" s="334"/>
      <c r="AZ956" s="334"/>
      <c r="BA956" s="201"/>
      <c r="BB956" s="334"/>
      <c r="BC956" s="334"/>
      <c r="BD956" s="334"/>
      <c r="BE956" s="201"/>
    </row>
    <row r="957" spans="45:57" x14ac:dyDescent="0.25">
      <c r="AS957" s="202"/>
      <c r="AV957" s="200"/>
      <c r="AW957" s="200"/>
      <c r="AX957" s="334"/>
      <c r="AY957" s="334"/>
      <c r="AZ957" s="334"/>
      <c r="BA957" s="201"/>
      <c r="BB957" s="334"/>
      <c r="BC957" s="334"/>
      <c r="BD957" s="334"/>
      <c r="BE957" s="201"/>
    </row>
    <row r="958" spans="45:57" x14ac:dyDescent="0.25">
      <c r="AS958" s="202"/>
      <c r="AV958" s="200"/>
      <c r="AW958" s="200"/>
      <c r="AX958" s="334"/>
      <c r="AY958" s="334"/>
      <c r="AZ958" s="334"/>
      <c r="BA958" s="201"/>
      <c r="BB958" s="334"/>
      <c r="BC958" s="334"/>
      <c r="BD958" s="334"/>
      <c r="BE958" s="201"/>
    </row>
    <row r="959" spans="45:57" x14ac:dyDescent="0.25">
      <c r="AS959" s="202"/>
      <c r="AV959" s="200"/>
      <c r="AW959" s="200"/>
      <c r="AX959" s="334"/>
      <c r="AY959" s="334"/>
      <c r="AZ959" s="334"/>
      <c r="BA959" s="201"/>
      <c r="BB959" s="334"/>
      <c r="BC959" s="334"/>
      <c r="BD959" s="334"/>
      <c r="BE959" s="201"/>
    </row>
    <row r="960" spans="45:57" x14ac:dyDescent="0.25">
      <c r="AS960" s="202"/>
      <c r="AV960" s="200"/>
      <c r="AW960" s="200"/>
      <c r="AX960" s="334"/>
      <c r="AY960" s="334"/>
      <c r="AZ960" s="334"/>
      <c r="BA960" s="201"/>
      <c r="BB960" s="334"/>
      <c r="BC960" s="334"/>
      <c r="BD960" s="334"/>
      <c r="BE960" s="201"/>
    </row>
    <row r="961" spans="45:57" x14ac:dyDescent="0.25">
      <c r="AS961" s="202"/>
      <c r="AV961" s="200"/>
      <c r="AW961" s="200"/>
      <c r="AX961" s="334"/>
      <c r="AY961" s="334"/>
      <c r="AZ961" s="334"/>
      <c r="BA961" s="201"/>
      <c r="BB961" s="334"/>
      <c r="BC961" s="334"/>
      <c r="BD961" s="334"/>
      <c r="BE961" s="201"/>
    </row>
    <row r="962" spans="45:57" x14ac:dyDescent="0.25">
      <c r="AS962" s="202"/>
      <c r="AV962" s="200"/>
      <c r="AW962" s="200"/>
      <c r="AX962" s="334"/>
      <c r="AY962" s="334"/>
      <c r="AZ962" s="334"/>
      <c r="BA962" s="201"/>
      <c r="BB962" s="334"/>
      <c r="BC962" s="334"/>
      <c r="BD962" s="334"/>
      <c r="BE962" s="201"/>
    </row>
    <row r="963" spans="45:57" x14ac:dyDescent="0.25">
      <c r="AS963" s="202"/>
      <c r="AV963" s="200"/>
      <c r="AW963" s="200"/>
      <c r="AX963" s="334"/>
      <c r="AY963" s="334"/>
      <c r="AZ963" s="334"/>
      <c r="BA963" s="201"/>
      <c r="BB963" s="334"/>
      <c r="BC963" s="334"/>
      <c r="BD963" s="334"/>
      <c r="BE963" s="201"/>
    </row>
    <row r="965" spans="45:57" x14ac:dyDescent="0.25">
      <c r="AU965" s="154"/>
    </row>
    <row r="966" spans="45:57" x14ac:dyDescent="0.25">
      <c r="AU966" s="154"/>
    </row>
    <row r="967" spans="45:57" x14ac:dyDescent="0.25">
      <c r="AU967" s="154"/>
    </row>
    <row r="968" spans="45:57" x14ac:dyDescent="0.25">
      <c r="AS968" s="154"/>
    </row>
    <row r="989" spans="52:71" x14ac:dyDescent="0.25">
      <c r="AZ989" s="334"/>
      <c r="BB989" s="334"/>
      <c r="BC989" s="334"/>
      <c r="BD989" s="334"/>
      <c r="BG989" s="334"/>
      <c r="BH989" s="334"/>
      <c r="BI989" s="334"/>
      <c r="BJ989" s="334"/>
      <c r="BK989" s="334"/>
      <c r="BL989" s="334"/>
      <c r="BM989" s="334"/>
      <c r="BN989" s="334"/>
      <c r="BO989" s="334"/>
      <c r="BP989" s="334"/>
      <c r="BQ989" s="334"/>
      <c r="BR989" s="334"/>
      <c r="BS989" s="334"/>
    </row>
    <row r="990" spans="52:71" x14ac:dyDescent="0.25">
      <c r="AZ990" s="334"/>
      <c r="BB990" s="334"/>
      <c r="BC990" s="334"/>
      <c r="BD990" s="334"/>
      <c r="BG990" s="334"/>
      <c r="BH990" s="334"/>
      <c r="BI990" s="334"/>
      <c r="BJ990" s="334"/>
      <c r="BK990" s="334"/>
      <c r="BL990" s="334"/>
      <c r="BM990" s="334"/>
      <c r="BN990" s="334"/>
      <c r="BO990" s="334"/>
      <c r="BP990" s="334"/>
      <c r="BQ990" s="334"/>
      <c r="BR990" s="334"/>
      <c r="BS990" s="334"/>
    </row>
    <row r="991" spans="52:71" x14ac:dyDescent="0.25">
      <c r="AZ991" s="334"/>
      <c r="BB991" s="334"/>
      <c r="BC991" s="334"/>
      <c r="BD991" s="334"/>
      <c r="BG991" s="334"/>
      <c r="BH991" s="334"/>
      <c r="BI991" s="334"/>
      <c r="BJ991" s="334"/>
      <c r="BK991" s="334"/>
      <c r="BL991" s="334"/>
      <c r="BM991" s="334"/>
      <c r="BN991" s="334"/>
      <c r="BO991" s="334"/>
      <c r="BP991" s="334"/>
      <c r="BQ991" s="334"/>
      <c r="BR991" s="334"/>
      <c r="BS991" s="334"/>
    </row>
    <row r="992" spans="52:71" x14ac:dyDescent="0.25">
      <c r="AZ992" s="334"/>
      <c r="BB992" s="334"/>
      <c r="BC992" s="334"/>
      <c r="BD992" s="334"/>
      <c r="BG992" s="334"/>
      <c r="BH992" s="334"/>
      <c r="BI992" s="334"/>
      <c r="BJ992" s="334"/>
      <c r="BK992" s="334"/>
      <c r="BL992" s="334"/>
      <c r="BM992" s="334"/>
      <c r="BN992" s="334"/>
      <c r="BO992" s="334"/>
      <c r="BP992" s="334"/>
      <c r="BQ992" s="334"/>
      <c r="BR992" s="334"/>
      <c r="BS992" s="334"/>
    </row>
    <row r="993" spans="52:71" x14ac:dyDescent="0.25">
      <c r="AZ993" s="334"/>
      <c r="BB993" s="334"/>
      <c r="BC993" s="334"/>
      <c r="BD993" s="334"/>
      <c r="BG993" s="334"/>
      <c r="BH993" s="334"/>
      <c r="BI993" s="334"/>
      <c r="BJ993" s="334"/>
      <c r="BK993" s="334"/>
      <c r="BL993" s="334"/>
      <c r="BM993" s="334"/>
      <c r="BN993" s="334"/>
      <c r="BO993" s="334"/>
      <c r="BP993" s="334"/>
      <c r="BQ993" s="334"/>
      <c r="BR993" s="334"/>
      <c r="BS993" s="334"/>
    </row>
    <row r="994" spans="52:71" x14ac:dyDescent="0.25">
      <c r="AZ994" s="334"/>
      <c r="BB994" s="334"/>
      <c r="BC994" s="334"/>
      <c r="BD994" s="334"/>
      <c r="BG994" s="334"/>
      <c r="BH994" s="334"/>
      <c r="BI994" s="334"/>
      <c r="BJ994" s="334"/>
      <c r="BK994" s="334"/>
      <c r="BL994" s="334"/>
      <c r="BM994" s="334"/>
      <c r="BN994" s="334"/>
      <c r="BO994" s="334"/>
      <c r="BP994" s="334"/>
      <c r="BQ994" s="334"/>
      <c r="BR994" s="334"/>
      <c r="BS994" s="334"/>
    </row>
    <row r="995" spans="52:71" x14ac:dyDescent="0.25">
      <c r="AZ995" s="334"/>
      <c r="BB995" s="334"/>
      <c r="BC995" s="334"/>
      <c r="BD995" s="334"/>
      <c r="BG995" s="334"/>
      <c r="BH995" s="334"/>
      <c r="BI995" s="334"/>
      <c r="BJ995" s="334"/>
      <c r="BK995" s="334"/>
      <c r="BL995" s="334"/>
      <c r="BM995" s="334"/>
      <c r="BN995" s="334"/>
      <c r="BO995" s="334"/>
      <c r="BP995" s="334"/>
      <c r="BQ995" s="334"/>
      <c r="BR995" s="334"/>
      <c r="BS995" s="334"/>
    </row>
    <row r="996" spans="52:71" x14ac:dyDescent="0.25">
      <c r="AZ996" s="334"/>
      <c r="BB996" s="334"/>
      <c r="BC996" s="334"/>
      <c r="BD996" s="334"/>
      <c r="BG996" s="334"/>
      <c r="BH996" s="334"/>
      <c r="BI996" s="334"/>
      <c r="BJ996" s="334"/>
      <c r="BK996" s="334"/>
      <c r="BL996" s="334"/>
      <c r="BM996" s="334"/>
      <c r="BN996" s="334"/>
      <c r="BO996" s="334"/>
      <c r="BP996" s="334"/>
      <c r="BQ996" s="334"/>
      <c r="BR996" s="334"/>
      <c r="BS996" s="334"/>
    </row>
    <row r="997" spans="52:71" x14ac:dyDescent="0.25">
      <c r="AZ997" s="334"/>
      <c r="BB997" s="334"/>
      <c r="BC997" s="334"/>
      <c r="BD997" s="334"/>
      <c r="BG997" s="334"/>
      <c r="BH997" s="334"/>
      <c r="BI997" s="334"/>
      <c r="BJ997" s="334"/>
      <c r="BK997" s="334"/>
      <c r="BL997" s="334"/>
      <c r="BM997" s="334"/>
      <c r="BN997" s="334"/>
      <c r="BO997" s="334"/>
      <c r="BP997" s="334"/>
      <c r="BQ997" s="334"/>
      <c r="BR997" s="334"/>
      <c r="BS997" s="334"/>
    </row>
    <row r="998" spans="52:71" x14ac:dyDescent="0.25">
      <c r="AZ998" s="334"/>
      <c r="BB998" s="334"/>
      <c r="BC998" s="334"/>
      <c r="BD998" s="334"/>
      <c r="BG998" s="334"/>
      <c r="BH998" s="334"/>
      <c r="BI998" s="334"/>
      <c r="BJ998" s="334"/>
      <c r="BK998" s="334"/>
      <c r="BL998" s="334"/>
      <c r="BM998" s="334"/>
      <c r="BN998" s="334"/>
      <c r="BO998" s="334"/>
      <c r="BP998" s="334"/>
      <c r="BQ998" s="334"/>
      <c r="BR998" s="334"/>
      <c r="BS998" s="334"/>
    </row>
    <row r="999" spans="52:71" x14ac:dyDescent="0.25">
      <c r="AZ999" s="334"/>
      <c r="BB999" s="334"/>
      <c r="BC999" s="334"/>
      <c r="BD999" s="334"/>
      <c r="BG999" s="334"/>
      <c r="BH999" s="334"/>
      <c r="BI999" s="334"/>
      <c r="BJ999" s="334"/>
      <c r="BK999" s="334"/>
      <c r="BL999" s="334"/>
      <c r="BM999" s="334"/>
      <c r="BN999" s="334"/>
      <c r="BO999" s="334"/>
      <c r="BP999" s="334"/>
      <c r="BQ999" s="334"/>
      <c r="BR999" s="334"/>
      <c r="BS999" s="334"/>
    </row>
    <row r="1000" spans="52:71" x14ac:dyDescent="0.25">
      <c r="AZ1000" s="334"/>
      <c r="BB1000" s="334"/>
      <c r="BC1000" s="334"/>
      <c r="BD1000" s="334"/>
      <c r="BG1000" s="334"/>
      <c r="BH1000" s="334"/>
      <c r="BI1000" s="334"/>
      <c r="BJ1000" s="334"/>
      <c r="BK1000" s="334"/>
      <c r="BL1000" s="334"/>
      <c r="BM1000" s="334"/>
      <c r="BN1000" s="334"/>
      <c r="BO1000" s="334"/>
      <c r="BP1000" s="334"/>
      <c r="BQ1000" s="334"/>
      <c r="BR1000" s="334"/>
      <c r="BS1000" s="334"/>
    </row>
    <row r="1001" spans="52:71" x14ac:dyDescent="0.25">
      <c r="AZ1001" s="334"/>
      <c r="BG1001" s="334"/>
      <c r="BH1001" s="334"/>
      <c r="BI1001" s="334"/>
      <c r="BJ1001" s="334"/>
      <c r="BK1001" s="334"/>
      <c r="BL1001" s="334"/>
      <c r="BM1001" s="334"/>
      <c r="BN1001" s="334"/>
      <c r="BO1001" s="334"/>
      <c r="BP1001" s="334"/>
      <c r="BQ1001" s="334"/>
      <c r="BR1001" s="334"/>
      <c r="BS1001" s="334"/>
    </row>
    <row r="1002" spans="52:71" x14ac:dyDescent="0.25">
      <c r="AZ1002" s="334"/>
      <c r="BG1002" s="334"/>
      <c r="BH1002" s="334"/>
      <c r="BI1002" s="334"/>
      <c r="BJ1002" s="334"/>
      <c r="BK1002" s="334"/>
      <c r="BL1002" s="334"/>
      <c r="BM1002" s="334"/>
      <c r="BN1002" s="334"/>
      <c r="BO1002" s="334"/>
      <c r="BP1002" s="334"/>
      <c r="BQ1002" s="334"/>
      <c r="BR1002" s="334"/>
      <c r="BS1002" s="334"/>
    </row>
    <row r="1003" spans="52:71" x14ac:dyDescent="0.25">
      <c r="AZ1003" s="334"/>
      <c r="BG1003" s="334"/>
      <c r="BH1003" s="334"/>
      <c r="BI1003" s="334"/>
      <c r="BJ1003" s="334"/>
      <c r="BK1003" s="334"/>
      <c r="BL1003" s="334"/>
      <c r="BM1003" s="334"/>
      <c r="BN1003" s="334"/>
      <c r="BO1003" s="334"/>
      <c r="BP1003" s="334"/>
      <c r="BQ1003" s="334"/>
      <c r="BR1003" s="334"/>
      <c r="BS1003" s="334"/>
    </row>
    <row r="1004" spans="52:71" x14ac:dyDescent="0.25">
      <c r="AZ1004" s="334"/>
      <c r="BG1004" s="334"/>
      <c r="BH1004" s="334"/>
      <c r="BI1004" s="334"/>
      <c r="BJ1004" s="334"/>
      <c r="BK1004" s="334"/>
      <c r="BL1004" s="334"/>
      <c r="BM1004" s="334"/>
      <c r="BN1004" s="334"/>
      <c r="BO1004" s="334"/>
      <c r="BP1004" s="334"/>
      <c r="BQ1004" s="334"/>
      <c r="BR1004" s="334"/>
      <c r="BS1004" s="334"/>
    </row>
    <row r="1005" spans="52:71" x14ac:dyDescent="0.25">
      <c r="AZ1005" s="334"/>
      <c r="BG1005" s="334"/>
      <c r="BH1005" s="334"/>
      <c r="BI1005" s="334"/>
      <c r="BJ1005" s="334"/>
      <c r="BK1005" s="334"/>
      <c r="BL1005" s="334"/>
      <c r="BM1005" s="334"/>
      <c r="BN1005" s="334"/>
      <c r="BO1005" s="334"/>
      <c r="BP1005" s="334"/>
      <c r="BQ1005" s="334"/>
      <c r="BR1005" s="334"/>
      <c r="BS1005" s="334"/>
    </row>
    <row r="1006" spans="52:71" x14ac:dyDescent="0.25">
      <c r="AZ1006" s="334"/>
      <c r="BG1006" s="334"/>
      <c r="BH1006" s="334"/>
      <c r="BI1006" s="334"/>
      <c r="BJ1006" s="334"/>
      <c r="BK1006" s="334"/>
      <c r="BL1006" s="334"/>
      <c r="BM1006" s="334"/>
      <c r="BN1006" s="334"/>
      <c r="BO1006" s="334"/>
      <c r="BP1006" s="334"/>
      <c r="BQ1006" s="334"/>
      <c r="BR1006" s="334"/>
      <c r="BS1006" s="334"/>
    </row>
    <row r="1007" spans="52:71" x14ac:dyDescent="0.25">
      <c r="AZ1007" s="334"/>
      <c r="BG1007" s="334"/>
      <c r="BH1007" s="334"/>
      <c r="BI1007" s="334"/>
      <c r="BJ1007" s="334"/>
      <c r="BK1007" s="334"/>
      <c r="BL1007" s="334"/>
      <c r="BM1007" s="334"/>
      <c r="BN1007" s="334"/>
      <c r="BO1007" s="334"/>
      <c r="BP1007" s="334"/>
      <c r="BQ1007" s="334"/>
      <c r="BR1007" s="334"/>
      <c r="BS1007" s="334"/>
    </row>
    <row r="1008" spans="52:71" x14ac:dyDescent="0.25">
      <c r="AZ1008" s="334"/>
    </row>
    <row r="1009" spans="1:52" x14ac:dyDescent="0.25">
      <c r="AZ1009" s="334"/>
    </row>
    <row r="1023" spans="1:52" x14ac:dyDescent="0.25">
      <c r="A1023" s="154"/>
    </row>
    <row r="1026" spans="1:28" x14ac:dyDescent="0.25">
      <c r="Y1026" s="154"/>
    </row>
    <row r="1027" spans="1:28" x14ac:dyDescent="0.25">
      <c r="A1027" s="154"/>
      <c r="H1027" s="154"/>
      <c r="I1027" s="154"/>
    </row>
    <row r="1028" spans="1:28" x14ac:dyDescent="0.25">
      <c r="A1028" s="154"/>
      <c r="V1028" s="103"/>
      <c r="AA1028" s="103"/>
      <c r="AB1028" s="103"/>
    </row>
    <row r="1029" spans="1:28" x14ac:dyDescent="0.25">
      <c r="A1029" s="154"/>
      <c r="V1029" s="102"/>
      <c r="AA1029" s="102"/>
      <c r="AB1029" s="102"/>
    </row>
    <row r="1030" spans="1:28" x14ac:dyDescent="0.25">
      <c r="A1030" s="154"/>
      <c r="U1030" s="154"/>
      <c r="AA1030" s="103"/>
      <c r="AB1030" s="103"/>
    </row>
    <row r="1031" spans="1:28" x14ac:dyDescent="0.25">
      <c r="A1031" s="154"/>
    </row>
    <row r="1032" spans="1:28" x14ac:dyDescent="0.25">
      <c r="A1032" s="154"/>
      <c r="U1032" s="154"/>
      <c r="AA1032" s="103"/>
      <c r="AB1032" s="103"/>
    </row>
    <row r="1033" spans="1:28" x14ac:dyDescent="0.25">
      <c r="A1033" s="154"/>
    </row>
    <row r="1034" spans="1:28" x14ac:dyDescent="0.25">
      <c r="A1034" s="154"/>
      <c r="U1034" s="154"/>
      <c r="V1034" s="338"/>
      <c r="AA1034" s="103"/>
      <c r="AB1034" s="103"/>
    </row>
    <row r="1035" spans="1:28" x14ac:dyDescent="0.25">
      <c r="A1035" s="154"/>
    </row>
    <row r="1036" spans="1:28" x14ac:dyDescent="0.25">
      <c r="A1036" s="154"/>
      <c r="U1036" s="154"/>
      <c r="AA1036" s="103"/>
      <c r="AB1036" s="103"/>
    </row>
    <row r="1037" spans="1:28" x14ac:dyDescent="0.25">
      <c r="A1037" s="154"/>
    </row>
    <row r="1038" spans="1:28" x14ac:dyDescent="0.25">
      <c r="A1038" s="154"/>
      <c r="U1038" s="154"/>
      <c r="AA1038" s="103"/>
      <c r="AB1038" s="103"/>
    </row>
    <row r="1039" spans="1:28" x14ac:dyDescent="0.25">
      <c r="A1039" s="154"/>
    </row>
    <row r="1040" spans="1:28" x14ac:dyDescent="0.25">
      <c r="A1040" s="154"/>
    </row>
    <row r="1041" spans="1:9" x14ac:dyDescent="0.25">
      <c r="A1041" s="154"/>
    </row>
    <row r="1042" spans="1:9" x14ac:dyDescent="0.25">
      <c r="A1042" s="154"/>
    </row>
    <row r="1043" spans="1:9" x14ac:dyDescent="0.25">
      <c r="A1043" s="154"/>
    </row>
    <row r="1044" spans="1:9" x14ac:dyDescent="0.25">
      <c r="A1044" s="154"/>
    </row>
    <row r="1045" spans="1:9" x14ac:dyDescent="0.25">
      <c r="A1045" s="154"/>
    </row>
    <row r="1046" spans="1:9" x14ac:dyDescent="0.25">
      <c r="A1046" s="154"/>
    </row>
    <row r="1047" spans="1:9" x14ac:dyDescent="0.25">
      <c r="A1047" s="154"/>
    </row>
    <row r="1048" spans="1:9" x14ac:dyDescent="0.25">
      <c r="A1048" s="154"/>
    </row>
    <row r="1049" spans="1:9" x14ac:dyDescent="0.25">
      <c r="A1049" s="154"/>
      <c r="H1049" s="154"/>
      <c r="I1049" s="154"/>
    </row>
    <row r="1052" spans="1:9" x14ac:dyDescent="0.25">
      <c r="A1052" s="154"/>
    </row>
    <row r="1055" spans="1:9" x14ac:dyDescent="0.25">
      <c r="A1055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  <row r="1068" spans="1:1" x14ac:dyDescent="0.25">
      <c r="A1068" s="154"/>
    </row>
    <row r="1069" spans="1:1" x14ac:dyDescent="0.25">
      <c r="A1069" s="154"/>
    </row>
    <row r="1070" spans="1:1" x14ac:dyDescent="0.25">
      <c r="A1070" s="154"/>
    </row>
    <row r="1071" spans="1:1" x14ac:dyDescent="0.25">
      <c r="A1071" s="154"/>
    </row>
    <row r="1072" spans="1:1" x14ac:dyDescent="0.25">
      <c r="A1072" s="154"/>
    </row>
    <row r="1073" spans="1:1" x14ac:dyDescent="0.25">
      <c r="A1073" s="154"/>
    </row>
    <row r="1074" spans="1:1" x14ac:dyDescent="0.25">
      <c r="A1074" s="154"/>
    </row>
    <row r="1075" spans="1:1" x14ac:dyDescent="0.25">
      <c r="A1075" s="154"/>
    </row>
    <row r="1076" spans="1:1" x14ac:dyDescent="0.25">
      <c r="A1076" s="154"/>
    </row>
    <row r="1077" spans="1:1" x14ac:dyDescent="0.25">
      <c r="A1077" s="154"/>
    </row>
    <row r="1078" spans="1:1" x14ac:dyDescent="0.25">
      <c r="A1078" s="154"/>
    </row>
    <row r="1079" spans="1:1" x14ac:dyDescent="0.25">
      <c r="A1079" s="154"/>
    </row>
    <row r="1080" spans="1:1" x14ac:dyDescent="0.25">
      <c r="A1080" s="154"/>
    </row>
    <row r="1081" spans="1:1" x14ac:dyDescent="0.25">
      <c r="A1081" s="154"/>
    </row>
    <row r="1082" spans="1:1" x14ac:dyDescent="0.25">
      <c r="A1082" s="154"/>
    </row>
    <row r="1083" spans="1:1" x14ac:dyDescent="0.25">
      <c r="A1083" s="154"/>
    </row>
    <row r="1084" spans="1:1" x14ac:dyDescent="0.25">
      <c r="A1084" s="154"/>
    </row>
    <row r="1085" spans="1:1" x14ac:dyDescent="0.25">
      <c r="A1085" s="154"/>
    </row>
    <row r="1086" spans="1:1" x14ac:dyDescent="0.25">
      <c r="A1086" s="154"/>
    </row>
    <row r="1087" spans="1:1" x14ac:dyDescent="0.25">
      <c r="A1087" s="154"/>
    </row>
    <row r="1088" spans="1:1" x14ac:dyDescent="0.25">
      <c r="A1088" s="154"/>
    </row>
    <row r="1089" spans="1:1" x14ac:dyDescent="0.25">
      <c r="A1089" s="154"/>
    </row>
    <row r="1090" spans="1:1" x14ac:dyDescent="0.25">
      <c r="A1090" s="154"/>
    </row>
    <row r="1091" spans="1:1" x14ac:dyDescent="0.25">
      <c r="A1091" s="154"/>
    </row>
    <row r="1092" spans="1:1" x14ac:dyDescent="0.25">
      <c r="A1092" s="154"/>
    </row>
    <row r="1097" spans="1:1" x14ac:dyDescent="0.25">
      <c r="A1097" s="154"/>
    </row>
    <row r="1098" spans="1:1" x14ac:dyDescent="0.25">
      <c r="A1098" s="154"/>
    </row>
    <row r="1101" spans="1:1" x14ac:dyDescent="0.25">
      <c r="A1101" s="154"/>
    </row>
    <row r="1103" spans="1:1" x14ac:dyDescent="0.25">
      <c r="A1103" s="154"/>
    </row>
    <row r="1105" spans="1:1" x14ac:dyDescent="0.25">
      <c r="A1105" s="154"/>
    </row>
    <row r="1107" spans="1:1" x14ac:dyDescent="0.25">
      <c r="A1107" s="154"/>
    </row>
    <row r="1110" spans="1:1" x14ac:dyDescent="0.25">
      <c r="A1110" s="154"/>
    </row>
    <row r="1111" spans="1:1" x14ac:dyDescent="0.25">
      <c r="A1111" s="154"/>
    </row>
    <row r="1112" spans="1:1" x14ac:dyDescent="0.25">
      <c r="A1112" s="154"/>
    </row>
    <row r="1113" spans="1:1" x14ac:dyDescent="0.25">
      <c r="A1113" s="154"/>
    </row>
    <row r="1114" spans="1:1" x14ac:dyDescent="0.25">
      <c r="A1114" s="154"/>
    </row>
    <row r="1115" spans="1:1" x14ac:dyDescent="0.25">
      <c r="A1115" s="154"/>
    </row>
    <row r="1116" spans="1:1" x14ac:dyDescent="0.25">
      <c r="A1116" s="154"/>
    </row>
    <row r="1117" spans="1:1" x14ac:dyDescent="0.25">
      <c r="A1117" s="154"/>
    </row>
  </sheetData>
  <customSheetViews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"/>
      <headerFooter alignWithMargins="0"/>
    </customSheetView>
    <customSheetView guid="{0C49E549-011E-46F4-A82E-2CC8951A9C1E}" scale="75" fitToPage="1" showRuler="0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2"/>
      <headerFooter alignWithMargins="0"/>
    </customSheetView>
    <customSheetView guid="{4BC93440-BA85-4935-A8C9-66DC6AE5DE5E}" scale="75" fitToPage="1" showRuler="0" topLeftCell="X47">
      <selection activeCell="AM69" sqref="AM69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 topLeftCell="X47">
      <selection activeCell="AM69" sqref="AM69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3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5"/>
      <headerFooter alignWithMargins="0"/>
    </customSheetView>
    <customSheetView guid="{8FC77C99-DBF7-40B8-99B8-01B75826CDCB}" scale="75" fitToPage="1" showRuler="0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7"/>
      <headerFooter alignWithMargins="0"/>
    </customSheetView>
    <customSheetView guid="{6B3D5C27-2FDE-4561-9575-1E98BFB869D0}" scale="75" fitToPage="1" showRuler="0">
      <selection sqref="A1:R3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>
      <selection sqref="A1:R3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9"/>
      <headerFooter alignWithMargins="0"/>
    </customSheetView>
    <customSheetView guid="{18BDED73-BFA0-442E-87EC-CED86EE4CF94}" scale="75" fitToPage="1" showRuler="0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0"/>
      <headerFooter alignWithMargins="0"/>
    </customSheetView>
    <customSheetView guid="{35F19056-2E6F-4935-B863-78836FE990BF}" scale="75" fitToPage="1" showRuler="0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1"/>
      <headerFooter alignWithMargins="0"/>
    </customSheetView>
    <customSheetView guid="{F562D92E-120C-4AE9-9663-89E64D41DC53}" scale="75" fitToPage="1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Z30"/>
  <sheetViews>
    <sheetView tabSelected="1" view="pageLayout" zoomScaleNormal="100" workbookViewId="0">
      <selection activeCell="L6" sqref="L6"/>
    </sheetView>
  </sheetViews>
  <sheetFormatPr defaultRowHeight="15" x14ac:dyDescent="0.2"/>
  <cols>
    <col min="1" max="1" width="1.77734375" customWidth="1"/>
    <col min="2" max="2" width="9.88671875" customWidth="1"/>
    <col min="3" max="3" width="1.77734375" customWidth="1"/>
    <col min="4" max="4" width="11" customWidth="1"/>
    <col min="5" max="5" width="1.77734375" customWidth="1"/>
    <col min="6" max="6" width="11" customWidth="1"/>
    <col min="7" max="7" width="1.77734375" customWidth="1"/>
    <col min="8" max="8" width="11" customWidth="1"/>
    <col min="9" max="9" width="1.77734375" customWidth="1"/>
    <col min="10" max="10" width="11" customWidth="1"/>
    <col min="11" max="11" width="8.77734375" customWidth="1"/>
    <col min="12" max="12" width="9.44140625" customWidth="1"/>
    <col min="13" max="13" width="1.77734375" customWidth="1"/>
    <col min="14" max="14" width="11" customWidth="1"/>
    <col min="15" max="15" width="1.77734375" customWidth="1"/>
    <col min="16" max="16" width="11" customWidth="1"/>
    <col min="17" max="17" width="1.77734375" customWidth="1"/>
    <col min="18" max="18" width="11" customWidth="1"/>
    <col min="19" max="19" width="1.77734375" customWidth="1"/>
    <col min="20" max="20" width="11" customWidth="1"/>
  </cols>
  <sheetData>
    <row r="1" spans="1:26" ht="25.5" customHeight="1" x14ac:dyDescent="0.4">
      <c r="A1" s="19"/>
      <c r="B1" s="493" t="s">
        <v>602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19"/>
      <c r="V1" s="19"/>
      <c r="W1" s="19"/>
    </row>
    <row r="2" spans="1:26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</row>
    <row r="3" spans="1:26" ht="17.25" customHeight="1" x14ac:dyDescent="0.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Z3" s="19"/>
    </row>
    <row r="4" spans="1:26" ht="43.5" customHeight="1" x14ac:dyDescent="0.2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</row>
    <row r="5" spans="1:26" ht="15.75" thickBot="1" x14ac:dyDescent="0.2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26" ht="24" customHeight="1" thickBot="1" x14ac:dyDescent="0.3">
      <c r="A6" s="19"/>
      <c r="B6" s="490" t="s">
        <v>550</v>
      </c>
      <c r="C6" s="491"/>
      <c r="D6" s="491"/>
      <c r="E6" s="491"/>
      <c r="F6" s="491"/>
      <c r="G6" s="491"/>
      <c r="H6" s="491"/>
      <c r="I6" s="491"/>
      <c r="J6" s="492"/>
      <c r="K6" s="19"/>
      <c r="L6" s="490" t="s">
        <v>551</v>
      </c>
      <c r="M6" s="491"/>
      <c r="N6" s="491"/>
      <c r="O6" s="491"/>
      <c r="P6" s="491"/>
      <c r="Q6" s="491"/>
      <c r="R6" s="491"/>
      <c r="S6" s="491"/>
      <c r="T6" s="492"/>
      <c r="U6" s="19"/>
      <c r="V6" s="19"/>
      <c r="W6" s="19"/>
    </row>
    <row r="7" spans="1:26" x14ac:dyDescent="0.2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</row>
    <row r="8" spans="1:26" ht="39.950000000000003" customHeight="1" x14ac:dyDescent="0.2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</row>
    <row r="9" spans="1:26" x14ac:dyDescent="0.2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</row>
    <row r="10" spans="1:26" ht="39.950000000000003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</row>
    <row r="11" spans="1:26" x14ac:dyDescent="0.2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</row>
    <row r="12" spans="1:26" ht="39.950000000000003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</row>
    <row r="13" spans="1:26" x14ac:dyDescent="0.2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1:26" ht="39.950000000000003" customHeight="1" x14ac:dyDescent="0.2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</row>
    <row r="15" spans="1:26" x14ac:dyDescent="0.2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</row>
    <row r="16" spans="1:26" ht="39.950000000000003" customHeight="1" x14ac:dyDescent="0.2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</row>
    <row r="17" spans="1:23" x14ac:dyDescent="0.2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</row>
    <row r="18" spans="1:23" ht="39.950000000000003" customHeight="1" x14ac:dyDescent="0.2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1:23" x14ac:dyDescent="0.2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</row>
    <row r="20" spans="1:23" ht="39.950000000000003" customHeight="1" x14ac:dyDescent="0.2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</row>
    <row r="21" spans="1:23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1:23" x14ac:dyDescent="0.2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</row>
    <row r="23" spans="1:23" x14ac:dyDescent="0.2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</row>
    <row r="24" spans="1:23" x14ac:dyDescent="0.2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</row>
    <row r="25" spans="1:23" x14ac:dyDescent="0.2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</row>
    <row r="26" spans="1:23" x14ac:dyDescent="0.2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</row>
    <row r="27" spans="1:23" x14ac:dyDescent="0.2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</row>
    <row r="28" spans="1:23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1:23" x14ac:dyDescent="0.2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1:23" x14ac:dyDescent="0.2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</row>
  </sheetData>
  <customSheetViews>
    <customSheetView guid="{195DF303-1BBD-4236-94B5-47432850B006}" showRuler="0">
      <pageMargins left="0.75" right="0.75" top="1" bottom="1" header="0.5" footer="0.5"/>
      <pageSetup orientation="portrait" horizontalDpi="300" verticalDpi="300" r:id="rId1"/>
      <headerFooter alignWithMargins="0"/>
    </customSheetView>
    <customSheetView guid="{0C49E549-011E-46F4-A82E-2CC8951A9C1E}" showRuler="0">
      <selection activeCell="C25" sqref="C25"/>
      <pageMargins left="0.75" right="0.75" top="1" bottom="1" header="0.5" footer="0.5"/>
      <pageSetup orientation="portrait" horizontalDpi="300" verticalDpi="300" r:id="rId2"/>
      <headerFooter alignWithMargins="0"/>
    </customSheetView>
    <customSheetView guid="{4BC93440-BA85-4935-A8C9-66DC6AE5DE5E}" showRuler="0">
      <selection activeCell="B26" sqref="B26"/>
      <pageMargins left="0.75" right="0.75" top="1" bottom="1" header="0.5" footer="0.5"/>
      <pageSetup orientation="portrait" horizontalDpi="300" verticalDpi="300" r:id="rId3"/>
      <headerFooter alignWithMargins="0"/>
    </customSheetView>
    <customSheetView guid="{2431C9E5-7CC2-4B8D-99C3-962247B1DBF5}" showRuler="0">
      <pageMargins left="0.75" right="0.75" top="1" bottom="1" header="0.5" footer="0.5"/>
      <pageSetup orientation="portrait" horizontalDpi="300" verticalDpi="300" r:id="rId4"/>
      <headerFooter alignWithMargins="0"/>
    </customSheetView>
    <customSheetView guid="{2EA35095-1ADC-4CC7-8C3C-B487D65FA247}" showRuler="0">
      <pageMargins left="0.75" right="0.75" top="1" bottom="1" header="0.5" footer="0.5"/>
      <pageSetup orientation="portrait" horizontalDpi="300" verticalDpi="300" r:id="rId5"/>
      <headerFooter alignWithMargins="0"/>
    </customSheetView>
    <customSheetView guid="{8FC77C99-DBF7-40B8-99B8-01B75826CDCB}" showRuler="0">
      <pageMargins left="0.75" right="0.75" top="1" bottom="1" header="0.5" footer="0.5"/>
      <pageSetup orientation="portrait" horizontalDpi="300" verticalDpi="300" r:id="rId6"/>
      <headerFooter alignWithMargins="0"/>
    </customSheetView>
    <customSheetView guid="{8FB94551-8874-4095-B8FB-5316E0D2FD2C}" showRuler="0">
      <pageMargins left="0.75" right="0.75" top="1" bottom="1" header="0.5" footer="0.5"/>
      <pageSetup orientation="portrait" horizontalDpi="300" verticalDpi="300" r:id="rId7"/>
      <headerFooter alignWithMargins="0"/>
    </customSheetView>
    <customSheetView guid="{6B3D5C27-2FDE-4561-9575-1E98BFB869D0}" showRuler="0">
      <selection activeCell="B26" sqref="B26"/>
      <pageMargins left="0.75" right="0.75" top="1" bottom="1" header="0.5" footer="0.5"/>
      <pageSetup orientation="portrait" horizontalDpi="300" verticalDpi="300" r:id="rId8"/>
      <headerFooter alignWithMargins="0"/>
    </customSheetView>
    <customSheetView guid="{0BC1F393-8A13-47D5-BC6C-0C99615B5AB9}" showRuler="0">
      <pageMargins left="0.75" right="0.75" top="1" bottom="1" header="0.5" footer="0.5"/>
      <pageSetup orientation="portrait" horizontalDpi="300" verticalDpi="300" r:id="rId9"/>
      <headerFooter alignWithMargins="0"/>
    </customSheetView>
    <customSheetView guid="{18BDED73-BFA0-442E-87EC-CED86EE4CF94}" showRuler="0">
      <pageMargins left="0.75" right="0.75" top="1" bottom="1" header="0.5" footer="0.5"/>
      <pageSetup orientation="portrait" horizontalDpi="300" verticalDpi="300" r:id="rId10"/>
      <headerFooter alignWithMargins="0"/>
    </customSheetView>
    <customSheetView guid="{35F19056-2E6F-4935-B863-78836FE990BF}" showPageBreaks="1" showRuler="0">
      <pageMargins left="0.75" right="0.75" top="1" bottom="1" header="0.5" footer="0.5"/>
      <pageSetup orientation="portrait" horizontalDpi="300" verticalDpi="300" r:id="rId11"/>
      <headerFooter alignWithMargins="0"/>
    </customSheetView>
    <customSheetView guid="{F562D92E-120C-4AE9-9663-89E64D41DC53}">
      <pageMargins left="0.75" right="0.75" top="1" bottom="1" header="0.5" footer="0.5"/>
      <pageSetup orientation="portrait" horizontalDpi="300" verticalDpi="300" r:id="rId12"/>
      <headerFooter alignWithMargins="0"/>
    </customSheetView>
  </customSheetViews>
  <mergeCells count="3">
    <mergeCell ref="B6:J6"/>
    <mergeCell ref="L6:T6"/>
    <mergeCell ref="B1:T1"/>
  </mergeCells>
  <phoneticPr fontId="9" type="noConversion"/>
  <pageMargins left="0.75" right="0.75" top="1" bottom="1" header="0.5" footer="0.5"/>
  <pageSetup scale="47" orientation="portrait" horizontalDpi="300" verticalDpi="300" r:id="rId13"/>
  <headerFooter alignWithMargins="0">
    <oddHeader>&amp;C&amp;A&amp;R&amp;"Times New Roman,Bold"&amp;10KyPSC Case No. 2017-00321
STAFF-DR-01-053(B) Attachment
Page &amp;P of &amp;N</oddHeader>
    <oddFooter>Page &amp;P</oddFooter>
  </headerFooter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16" name="Button 1">
              <controlPr defaultSize="0" print="0" autoFill="0" autoPict="0" macro="[0]!Module1.PRINT_SCH_M">
                <anchor moveWithCells="1" sizeWithCells="1">
                  <from>
                    <xdr:col>1</xdr:col>
                    <xdr:colOff>9525</xdr:colOff>
                    <xdr:row>3</xdr:row>
                    <xdr:rowOff>19050</xdr:rowOff>
                  </from>
                  <to>
                    <xdr:col>7</xdr:col>
                    <xdr:colOff>9525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17" name="Button 2">
              <controlPr defaultSize="0" print="0" autoFill="0" autoPict="0" macro="[0]!Module1.PRINT_SCH_N">
                <anchor moveWithCells="1" sizeWithCells="1">
                  <from>
                    <xdr:col>15</xdr:col>
                    <xdr:colOff>9525</xdr:colOff>
                    <xdr:row>3</xdr:row>
                    <xdr:rowOff>0</xdr:rowOff>
                  </from>
                  <to>
                    <xdr:col>20</xdr:col>
                    <xdr:colOff>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8" name="Button 3">
              <controlPr defaultSize="0" print="0" autoFill="0" autoPict="0" macro="[0]!PRINT_SCH_M_2_2">
                <anchor moveWithCells="1" siz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9" name="Button 4">
              <controlPr defaultSize="0" print="0" autoFill="0" autoPict="0" macro="[0]!PRINT_SCH_M_2_2_SUMMARY">
                <anchor moveWithCells="1" siz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2</xdr:col>
                    <xdr:colOff>9525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20" name="Button 5">
              <controlPr defaultSize="0" print="0" autoFill="0" autoPict="0" macro="[0]!PRINT_SCH_M_2_2_DETAIL">
                <anchor moveWithCells="1" siz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21" name="Button 6">
              <controlPr defaultSize="0" print="0" autoFill="0" autoPict="0" macro="[0]!PRINT_SCH_M_2_2_RESCURR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22" name="Button 7">
              <controlPr defaultSize="0" print="0" autoFill="0" autoPict="0" macro="[0]!PRINT_SCH_M_2_2_DSCURR">
                <anchor moveWithCells="1" sizeWithCells="1">
                  <from>
                    <xdr:col>3</xdr:col>
                    <xdr:colOff>0</xdr:colOff>
                    <xdr:row>8</xdr:row>
                    <xdr:rowOff>180975</xdr:rowOff>
                  </from>
                  <to>
                    <xdr:col>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23" name="Button 8">
              <controlPr defaultSize="0" print="0" autoFill="0" autoPict="0" macro="[0]!PRINT_SCH_M_2_2_DTCURR_PRI">
                <anchor moveWithCells="1" sizeWithCells="1">
                  <from>
                    <xdr:col>3</xdr:col>
                    <xdr:colOff>0</xdr:colOff>
                    <xdr:row>11</xdr:row>
                    <xdr:rowOff>9525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24" name="Button 9">
              <controlPr defaultSize="0" print="0" autoFill="0" autoPict="0" macro="[0]!PRINT_SCH_M_2_2_DPCURR">
                <anchor moveWithCells="1" sizeWithCells="1">
                  <from>
                    <xdr:col>5</xdr:col>
                    <xdr:colOff>0</xdr:colOff>
                    <xdr:row>9</xdr:row>
                    <xdr:rowOff>9525</xdr:rowOff>
                  </from>
                  <to>
                    <xdr:col>6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25" name="Button 10">
              <controlPr defaultSize="0" print="0" autoFill="0" autoPict="0" macro="[0]!PRINT_SCH_M_2_2_GSFLCURR">
                <anchor moveWithCells="1" sizeWithCells="1">
                  <from>
                    <xdr:col>5</xdr:col>
                    <xdr:colOff>0</xdr:colOff>
                    <xdr:row>7</xdr:row>
                    <xdr:rowOff>0</xdr:rowOff>
                  </from>
                  <to>
                    <xdr:col>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26" name="Button 11">
              <controlPr defaultSize="0" print="0" autoFill="0" autoPict="0" macro="[0]!PRINT_SCH_M_2_2_EHCURR">
                <anchor moveWithCells="1" sizeWithCells="1">
                  <from>
                    <xdr:col>3</xdr:col>
                    <xdr:colOff>0</xdr:colOff>
                    <xdr:row>14</xdr:row>
                    <xdr:rowOff>180975</xdr:rowOff>
                  </from>
                  <to>
                    <xdr:col>4</xdr:col>
                    <xdr:colOff>9525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27" name="Button 12">
              <controlPr defaultSize="0" print="0" autoFill="0" autoPict="0" macro="[0]!PRINT_SCH_M_2_2_TTCURR">
                <anchor moveWithCells="1" sizeWithCells="1">
                  <from>
                    <xdr:col>5</xdr:col>
                    <xdr:colOff>0</xdr:colOff>
                    <xdr:row>10</xdr:row>
                    <xdr:rowOff>180975</xdr:rowOff>
                  </from>
                  <to>
                    <xdr:col>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8" name="Button 13">
              <controlPr defaultSize="0" print="0" autoFill="0" autoPict="0" macro="[0]!PRINT_SCH_M_2_2_SLCURR">
                <anchor moveWithCells="1" siz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9" name="Button 14">
              <controlPr defaultSize="0" print="0" autoFill="0" autoPict="0" macro="[0]!PRINT_SCH_M_2_2_SECURR">
                <anchor moveWithCells="1" sizeWithCells="1">
                  <from>
                    <xdr:col>9</xdr:col>
                    <xdr:colOff>9525</xdr:colOff>
                    <xdr:row>15</xdr:row>
                    <xdr:rowOff>0</xdr:rowOff>
                  </from>
                  <to>
                    <xdr:col>10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30" name="Button 15">
              <controlPr defaultSize="0" print="0" autoFill="0" autoPict="0" macro="[0]!PRINT_SCH_M_2_2_TLCURR">
                <anchor moveWithCells="1" sizeWithCells="1">
                  <from>
                    <xdr:col>7</xdr:col>
                    <xdr:colOff>0</xdr:colOff>
                    <xdr:row>12</xdr:row>
                    <xdr:rowOff>180975</xdr:rowOff>
                  </from>
                  <to>
                    <xdr:col>8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31" name="Button 17">
              <controlPr defaultSize="0" print="0" autoFill="0" autoPict="0" macro="[0]!PRINT_SCH_M_2_2_NSUCURR">
                <anchor moveWithCells="1" sizeWithCells="1">
                  <from>
                    <xdr:col>9</xdr:col>
                    <xdr:colOff>0</xdr:colOff>
                    <xdr:row>9</xdr:row>
                    <xdr:rowOff>9525</xdr:rowOff>
                  </from>
                  <to>
                    <xdr:col>10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32" name="Button 18">
              <controlPr defaultSize="0" print="0" autoFill="0" autoPict="0" macro="[0]!PRINT_SCH_M_2_2_NSPCURR">
                <anchor moveWithCells="1" sizeWithCells="1">
                  <from>
                    <xdr:col>9</xdr:col>
                    <xdr:colOff>0</xdr:colOff>
                    <xdr:row>11</xdr:row>
                    <xdr:rowOff>9525</xdr:rowOff>
                  </from>
                  <to>
                    <xdr:col>10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33" name="Button 19">
              <controlPr defaultSize="0" print="0" autoFill="0" autoPict="0" macro="[0]!PRINT_SCH_M_2_3">
                <anchor moveWithCells="1" siz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12</xdr:col>
                    <xdr:colOff>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34" name="Button 20">
              <controlPr defaultSize="0" print="0" autoFill="0" autoPict="0" macro="[0]!PRINT_SCH_M_2_3_SUMMARY">
                <anchor moveWithCells="1" sizeWithCells="1">
                  <from>
                    <xdr:col>10</xdr:col>
                    <xdr:colOff>742950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35" name="Button 21">
              <controlPr defaultSize="0" print="0" autoFill="0" autoPict="0" macro="[0]!PRINT_SCH_M_2_3_DETAIL">
                <anchor moveWithCells="1" sizeWithCells="1">
                  <from>
                    <xdr:col>11</xdr:col>
                    <xdr:colOff>0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36" name="Button 22">
              <controlPr defaultSize="0" print="0" autoFill="0" autoPict="0" macro="[0]!PRINT_SCH_M_2_3_RESPROP">
                <anchor moveWithCells="1" sizeWithCells="1">
                  <from>
                    <xdr:col>13</xdr:col>
                    <xdr:colOff>0</xdr:colOff>
                    <xdr:row>7</xdr:row>
                    <xdr:rowOff>9525</xdr:rowOff>
                  </from>
                  <to>
                    <xdr:col>14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7" name="Button 23">
              <controlPr defaultSize="0" print="0" autoFill="0" autoPict="0" macro="[0]!PRINT_SCH_M_2_3_DSPROP">
                <anchor moveWithCells="1" sizeWithCells="1">
                  <from>
                    <xdr:col>13</xdr:col>
                    <xdr:colOff>0</xdr:colOff>
                    <xdr:row>8</xdr:row>
                    <xdr:rowOff>180975</xdr:rowOff>
                  </from>
                  <to>
                    <xdr:col>14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8" name="Button 24">
              <controlPr defaultSize="0" print="0" autoFill="0" autoPict="0" macro="[0]!PRINT_SCH_M_2_3_DTPROP_PRI">
                <anchor moveWithCells="1" sizeWithCells="1">
                  <from>
                    <xdr:col>13</xdr:col>
                    <xdr:colOff>0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9" name="Button 25">
              <controlPr defaultSize="0" print="0" autoFill="0" autoPict="0" macro="[0]!PRINT_SCH_M_2_3_DPPROP">
                <anchor moveWithCells="1" sizeWithCells="1">
                  <from>
                    <xdr:col>15</xdr:col>
                    <xdr:colOff>0</xdr:colOff>
                    <xdr:row>9</xdr:row>
                    <xdr:rowOff>9525</xdr:rowOff>
                  </from>
                  <to>
                    <xdr:col>16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40" name="Button 26">
              <controlPr defaultSize="0" print="0" autoFill="0" autoPict="0" macro="[0]!PRINT_SCH_M_2_3_GSFLPROP">
                <anchor moveWithCells="1" sizeWithCells="1">
                  <from>
                    <xdr:col>15</xdr:col>
                    <xdr:colOff>0</xdr:colOff>
                    <xdr:row>7</xdr:row>
                    <xdr:rowOff>9525</xdr:rowOff>
                  </from>
                  <to>
                    <xdr:col>16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41" name="Button 27">
              <controlPr defaultSize="0" print="0" autoFill="0" autoPict="0" macro="[0]!PRINT_SCH_M_2_3_EHPROP">
                <anchor moveWithCells="1" siz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14</xdr:col>
                    <xdr:colOff>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42" name="Button 28">
              <controlPr defaultSize="0" print="0" autoFill="0" autoPict="0" macro="[0]!PRINT_SCH_M_2_3_TTPROP">
                <anchor moveWithCells="1" sizeWithCells="1">
                  <from>
                    <xdr:col>15</xdr:col>
                    <xdr:colOff>9525</xdr:colOff>
                    <xdr:row>11</xdr:row>
                    <xdr:rowOff>9525</xdr:rowOff>
                  </from>
                  <to>
                    <xdr:col>16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43" name="Button 29">
              <controlPr defaultSize="0" print="0" autoFill="0" autoPict="0" macro="[0]!PRINT_SCH_M_2_3_SLPROP">
                <anchor moveWithCells="1" sizeWithCells="1">
                  <from>
                    <xdr:col>17</xdr:col>
                    <xdr:colOff>0</xdr:colOff>
                    <xdr:row>11</xdr:row>
                    <xdr:rowOff>9525</xdr:rowOff>
                  </from>
                  <to>
                    <xdr:col>18</xdr:col>
                    <xdr:colOff>19050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44" name="Button 30">
              <controlPr defaultSize="0" print="0" autoFill="0" autoPict="0" macro="[0]!PRINT_SCH_M_2_3_SEPROP">
                <anchor moveWithCells="1" sizeWithCells="1">
                  <from>
                    <xdr:col>19</xdr:col>
                    <xdr:colOff>9525</xdr:colOff>
                    <xdr:row>15</xdr:row>
                    <xdr:rowOff>9525</xdr:rowOff>
                  </from>
                  <to>
                    <xdr:col>20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45" name="Button 31">
              <controlPr defaultSize="0" print="0" autoFill="0" autoPict="0" macro="[0]!PRINT_SCH_M_2_3_TLPROP">
                <anchor moveWithCells="1" sizeWithCells="1">
                  <from>
                    <xdr:col>17</xdr:col>
                    <xdr:colOff>0</xdr:colOff>
                    <xdr:row>12</xdr:row>
                    <xdr:rowOff>171450</xdr:rowOff>
                  </from>
                  <to>
                    <xdr:col>18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6" name="Button 33">
              <controlPr defaultSize="0" print="0" autoFill="0" autoPict="0" macro="[0]!PRINT_SCH_M_2_3_NSUPROP">
                <anchor moveWithCells="1" sizeWithCells="1">
                  <from>
                    <xdr:col>19</xdr:col>
                    <xdr:colOff>9525</xdr:colOff>
                    <xdr:row>8</xdr:row>
                    <xdr:rowOff>180975</xdr:rowOff>
                  </from>
                  <to>
                    <xdr:col>20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47" name="Button 34">
              <controlPr defaultSize="0" print="0" autoFill="0" autoPict="0" macro="[0]!PRINT_SCH_M_2_3_NSPPROP">
                <anchor moveWithCells="1" sizeWithCells="1">
                  <from>
                    <xdr:col>19</xdr:col>
                    <xdr:colOff>0</xdr:colOff>
                    <xdr:row>10</xdr:row>
                    <xdr:rowOff>180975</xdr:rowOff>
                  </from>
                  <to>
                    <xdr:col>20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8" name="Button 35">
              <controlPr defaultSize="0" print="0" autoFill="0" autoPict="0" macro="[0]!PRINT_SCH_M_2_1">
                <anchor moveWithCells="1" sizeWithCells="1">
                  <from>
                    <xdr:col>8</xdr:col>
                    <xdr:colOff>0</xdr:colOff>
                    <xdr:row>2</xdr:row>
                    <xdr:rowOff>209550</xdr:rowOff>
                  </from>
                  <to>
                    <xdr:col>13</xdr:col>
                    <xdr:colOff>9525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9" name="Button 36">
              <controlPr defaultSize="0" print="0" autoFill="0" autoPict="0" macro="[0]!PRINT_SCH_M_2_2_SCCURR">
                <anchor moveWithCells="1" sizeWithCells="1">
                  <from>
                    <xdr:col>9</xdr:col>
                    <xdr:colOff>9525</xdr:colOff>
                    <xdr:row>13</xdr:row>
                    <xdr:rowOff>9525</xdr:rowOff>
                  </from>
                  <to>
                    <xdr:col>10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50" name="Button 37">
              <controlPr defaultSize="0" print="0" autoFill="0" autoPict="0" macro="[0]!PRINT_SCH_M_2_3_SCPROP">
                <anchor moveWithCells="1" sizeWithCells="1">
                  <from>
                    <xdr:col>19</xdr:col>
                    <xdr:colOff>0</xdr:colOff>
                    <xdr:row>12</xdr:row>
                    <xdr:rowOff>180975</xdr:rowOff>
                  </from>
                  <to>
                    <xdr:col>20</xdr:col>
                    <xdr:colOff>0</xdr:colOff>
                    <xdr:row>13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51" name="Button 38">
              <controlPr defaultSize="0" print="0" autoFill="0" autoPict="0" macro="[0]!PRINT_RTP_CURRENT">
                <anchor moveWithCells="1" sizeWithCells="1">
                  <from>
                    <xdr:col>1</xdr:col>
                    <xdr:colOff>0</xdr:colOff>
                    <xdr:row>13</xdr:row>
                    <xdr:rowOff>9525</xdr:rowOff>
                  </from>
                  <to>
                    <xdr:col>2</xdr:col>
                    <xdr:colOff>9525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52" name="Button 39">
              <controlPr defaultSize="0" print="0" autoFill="0" autoPict="0" macro="[0]!PRINT_RTP_DETAIL">
                <anchor moveWithCells="1" sizeWithCells="1">
                  <from>
                    <xdr:col>11</xdr:col>
                    <xdr:colOff>0</xdr:colOff>
                    <xdr:row>13</xdr:row>
                    <xdr:rowOff>19050</xdr:rowOff>
                  </from>
                  <to>
                    <xdr:col>12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53" name="Button 40">
              <controlPr defaultSize="0" print="0" autoFill="0" autoPict="0" macro="[0]!PRINT_SCH_M_2_3_DTPROP_SEC">
                <anchor moveWithCells="1" sizeWithCells="1">
                  <from>
                    <xdr:col>13</xdr:col>
                    <xdr:colOff>9525</xdr:colOff>
                    <xdr:row>13</xdr:row>
                    <xdr:rowOff>0</xdr:rowOff>
                  </from>
                  <to>
                    <xdr:col>14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54" name="Button 41">
              <controlPr defaultSize="0" print="0" autoFill="0" autoPict="0" macro="[0]!PRINT_SCH_M_2_2_DTCURR_SEC">
                <anchor moveWithCells="1" sizeWithCells="1">
                  <from>
                    <xdr:col>3</xdr:col>
                    <xdr:colOff>0</xdr:colOff>
                    <xdr:row>12</xdr:row>
                    <xdr:rowOff>180975</xdr:rowOff>
                  </from>
                  <to>
                    <xdr:col>4</xdr:col>
                    <xdr:colOff>9525</xdr:colOff>
                    <xdr:row>13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55" name="Button 43">
              <controlPr defaultSize="0" print="0" autoFill="0" autoPict="0" macro="[0]!PRINT_SCH_M_2_3_UOLSPROP">
                <anchor moveWithCells="1" sizeWithCells="1">
                  <from>
                    <xdr:col>17</xdr:col>
                    <xdr:colOff>0</xdr:colOff>
                    <xdr:row>15</xdr:row>
                    <xdr:rowOff>9525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56" name="Button 44">
              <controlPr defaultSize="0" print="0" autoFill="0" autoPict="0" macro="[0]!PRINT_SCH_M_2_3_OLPROP">
                <anchor moveWithCells="1" sizeWithCells="1">
                  <from>
                    <xdr:col>19</xdr:col>
                    <xdr:colOff>0</xdr:colOff>
                    <xdr:row>6</xdr:row>
                    <xdr:rowOff>180975</xdr:rowOff>
                  </from>
                  <to>
                    <xdr:col>20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57" name="Button 45">
              <controlPr defaultSize="0" print="0" autoFill="0" autoPict="0" macro="[0]!PRINT_SCH_M_2_2_OLCURR">
                <anchor moveWithCells="1" sizeWithCells="1">
                  <from>
                    <xdr:col>9</xdr:col>
                    <xdr:colOff>9525</xdr:colOff>
                    <xdr:row>7</xdr:row>
                    <xdr:rowOff>0</xdr:rowOff>
                  </from>
                  <to>
                    <xdr:col>10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58" name="Button 46">
              <controlPr defaultSize="0" print="0" autoFill="0" autoPict="0" macro="[0]!PRINT_SCH_M_2_2_UOLSCURR">
                <anchor moveWithCells="1" sizeWithCells="1">
                  <from>
                    <xdr:col>7</xdr:col>
                    <xdr:colOff>9525</xdr:colOff>
                    <xdr:row>14</xdr:row>
                    <xdr:rowOff>180975</xdr:rowOff>
                  </from>
                  <to>
                    <xdr:col>8</xdr:col>
                    <xdr:colOff>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9" name="Button 47">
              <controlPr defaultSize="0" print="0" autoFill="0" autoPict="0" macro="[0]!PRINT_SCH_M_2_2_DTRTP_P_CURR">
                <anchor moveWithCells="1" sizeWithCells="1">
                  <from>
                    <xdr:col>5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60" name="Button 48">
              <controlPr defaultSize="0" print="0" autoFill="0" autoPict="0" macro="[0]!PRINT_SCH_M_2_2_DTRTP_S_CURR">
                <anchor moveWithCells="1" sizeWithCells="1">
                  <from>
                    <xdr:col>5</xdr:col>
                    <xdr:colOff>9525</xdr:colOff>
                    <xdr:row>15</xdr:row>
                    <xdr:rowOff>0</xdr:rowOff>
                  </from>
                  <to>
                    <xdr:col>6</xdr:col>
                    <xdr:colOff>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61" name="Button 49">
              <controlPr defaultSize="0" print="0" autoFill="0" autoPict="0" macro="[0]!PRINT_SCH_M_2_2_DSRTP_CURR">
                <anchor moveWithCells="1" sizeWithCells="1">
                  <from>
                    <xdr:col>7</xdr:col>
                    <xdr:colOff>9525</xdr:colOff>
                    <xdr:row>7</xdr:row>
                    <xdr:rowOff>9525</xdr:rowOff>
                  </from>
                  <to>
                    <xdr:col>8</xdr:col>
                    <xdr:colOff>9525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62" name="Button 50">
              <controlPr defaultSize="0" print="0" autoFill="0" autoPict="0" macro="[0]!PRINT_SCH_M_2_2_TTRTP_CURR">
                <anchor moveWithCells="1" sizeWithCells="1">
                  <from>
                    <xdr:col>7</xdr:col>
                    <xdr:colOff>9525</xdr:colOff>
                    <xdr:row>9</xdr:row>
                    <xdr:rowOff>0</xdr:rowOff>
                  </from>
                  <to>
                    <xdr:col>8</xdr:col>
                    <xdr:colOff>0</xdr:colOff>
                    <xdr:row>9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63" name="Button 51">
              <controlPr defaultSize="0" print="0" autoFill="0" autoPict="0" macro="[0]!PRINT_SCH_M_2_3_DTRTP_P_PROP">
                <anchor moveWithCells="1" sizeWithCells="1">
                  <from>
                    <xdr:col>15</xdr:col>
                    <xdr:colOff>0</xdr:colOff>
                    <xdr:row>13</xdr:row>
                    <xdr:rowOff>9525</xdr:rowOff>
                  </from>
                  <to>
                    <xdr:col>16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64" name="Button 52">
              <controlPr defaultSize="0" print="0" autoFill="0" autoPict="0" macro="[0]!PRINT_SCH_M_2_3_DTRTP_S_PROP">
                <anchor moveWithCells="1" sizeWithCells="1">
                  <from>
                    <xdr:col>14</xdr:col>
                    <xdr:colOff>152400</xdr:colOff>
                    <xdr:row>15</xdr:row>
                    <xdr:rowOff>9525</xdr:rowOff>
                  </from>
                  <to>
                    <xdr:col>16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65" name="Button 53">
              <controlPr defaultSize="0" print="0" autoFill="0" autoPict="0" macro="[0]!PRINT_SCH_M_2_3_DSRTP_PROP">
                <anchor moveWithCells="1" sizeWithCells="1">
                  <from>
                    <xdr:col>17</xdr:col>
                    <xdr:colOff>0</xdr:colOff>
                    <xdr:row>7</xdr:row>
                    <xdr:rowOff>9525</xdr:rowOff>
                  </from>
                  <to>
                    <xdr:col>18</xdr:col>
                    <xdr:colOff>9525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66" name="Button 54">
              <controlPr defaultSize="0" print="0" autoFill="0" autoPict="0" macro="[0]!PRINT_SCH_M_2_3_TTRTP_PROP">
                <anchor moveWithCells="1" sizeWithCells="1">
                  <from>
                    <xdr:col>17</xdr:col>
                    <xdr:colOff>0</xdr:colOff>
                    <xdr:row>8</xdr:row>
                    <xdr:rowOff>180975</xdr:rowOff>
                  </from>
                  <to>
                    <xdr:col>18</xdr:col>
                    <xdr:colOff>9525</xdr:colOff>
                    <xdr:row>9</xdr:row>
                    <xdr:rowOff>495300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72"/>
  <dimension ref="A1:BW1123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4" style="101" customWidth="1"/>
    <col min="2" max="2" width="0.6640625" style="101" customWidth="1"/>
    <col min="3" max="3" width="8.5546875" style="101" customWidth="1"/>
    <col min="4" max="4" width="39.21875" style="101" customWidth="1"/>
    <col min="5" max="5" width="0.441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4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18.44140625" style="101" customWidth="1"/>
    <col min="19" max="19" width="8.77734375" style="101" customWidth="1"/>
    <col min="20" max="20" width="5.44140625" style="101" customWidth="1"/>
    <col min="21" max="21" width="0.5546875" style="101" customWidth="1"/>
    <col min="22" max="22" width="8" style="101" customWidth="1"/>
    <col min="23" max="23" width="38.109375" style="101" customWidth="1"/>
    <col min="24" max="24" width="0.44140625" style="101" customWidth="1"/>
    <col min="25" max="25" width="11.7773437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2.88671875" style="101" customWidth="1"/>
    <col min="30" max="30" width="0.5546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88671875" style="101" customWidth="1"/>
    <col min="37" max="37" width="14.5546875" style="183" customWidth="1"/>
    <col min="38" max="38" width="0.664062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761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9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51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413</v>
      </c>
      <c r="D20" s="253" t="s">
        <v>153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154"/>
      <c r="U20" s="154"/>
    </row>
    <row r="21" spans="1:40" x14ac:dyDescent="0.25">
      <c r="A21" s="159">
        <v>2</v>
      </c>
      <c r="B21" s="80"/>
      <c r="C21" s="258"/>
      <c r="D21" s="253" t="s">
        <v>154</v>
      </c>
      <c r="E21" s="82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154"/>
    </row>
    <row r="22" spans="1:40" ht="21" customHeight="1" x14ac:dyDescent="0.25">
      <c r="A22" s="80"/>
      <c r="B22" s="80"/>
      <c r="C22" s="80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200"/>
      <c r="T23" s="154"/>
      <c r="V23" s="200"/>
      <c r="Y23" s="200"/>
      <c r="Z23" s="300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159">
        <v>4</v>
      </c>
      <c r="B24" s="80"/>
      <c r="C24" s="82" t="s">
        <v>417</v>
      </c>
      <c r="D24" s="80"/>
      <c r="E24" s="80"/>
      <c r="F24" s="252">
        <v>36</v>
      </c>
      <c r="G24" s="70"/>
      <c r="H24" s="78"/>
      <c r="I24" s="78"/>
      <c r="J24" s="283">
        <f>INPUT!D153</f>
        <v>183</v>
      </c>
      <c r="K24" s="284"/>
      <c r="L24" s="79">
        <f>ROUND(F24*J24,0)</f>
        <v>6588</v>
      </c>
      <c r="M24" s="79"/>
      <c r="N24" s="156">
        <f>ROUND((L24/L$42)*100,1)</f>
        <v>23.1</v>
      </c>
      <c r="O24" s="156"/>
      <c r="P24" s="79"/>
      <c r="Q24" s="302"/>
      <c r="R24" s="79">
        <f>L24+P24</f>
        <v>6588</v>
      </c>
      <c r="S24" s="200"/>
      <c r="V24" s="200"/>
      <c r="Y24" s="200"/>
      <c r="Z24" s="252"/>
      <c r="AA24" s="200"/>
      <c r="AB24" s="200"/>
      <c r="AC24" s="210"/>
      <c r="AD24" s="210"/>
      <c r="AE24" s="200"/>
      <c r="AF24" s="200"/>
      <c r="AI24" s="200"/>
      <c r="AJ24" s="200"/>
      <c r="AK24" s="209"/>
      <c r="AL24" s="200"/>
    </row>
    <row r="25" spans="1:40" ht="20.100000000000001" customHeight="1" x14ac:dyDescent="0.25">
      <c r="A25" s="159">
        <v>5</v>
      </c>
      <c r="B25" s="80"/>
      <c r="C25" s="253" t="s">
        <v>158</v>
      </c>
      <c r="D25" s="80"/>
      <c r="E25" s="80"/>
      <c r="F25" s="163"/>
      <c r="G25" s="70"/>
      <c r="H25" s="79"/>
      <c r="I25" s="79"/>
      <c r="J25" s="388"/>
      <c r="K25" s="268"/>
      <c r="L25" s="169">
        <f>SUM(L24:L24)</f>
        <v>6588</v>
      </c>
      <c r="M25" s="79"/>
      <c r="N25" s="303">
        <f>ROUND((L25/L$42)*100,1)</f>
        <v>23.1</v>
      </c>
      <c r="O25" s="156"/>
      <c r="P25" s="169"/>
      <c r="Q25" s="79"/>
      <c r="R25" s="169">
        <f>SUM(R24:R24)</f>
        <v>6588</v>
      </c>
      <c r="S25" s="200"/>
      <c r="T25" s="154"/>
      <c r="V25" s="200"/>
      <c r="Y25" s="200"/>
      <c r="Z25" s="304"/>
      <c r="AA25" s="200"/>
      <c r="AB25" s="200"/>
      <c r="AC25" s="210"/>
      <c r="AD25" s="210"/>
      <c r="AE25" s="200"/>
      <c r="AF25" s="200"/>
      <c r="AG25" s="209"/>
      <c r="AH25" s="210"/>
      <c r="AI25" s="200"/>
      <c r="AJ25" s="200"/>
      <c r="AK25" s="209"/>
      <c r="AL25" s="200"/>
      <c r="AM25" s="210"/>
      <c r="AN25" s="210"/>
    </row>
    <row r="26" spans="1:40" ht="24" customHeight="1" x14ac:dyDescent="0.25">
      <c r="A26" s="159"/>
      <c r="B26" s="80"/>
      <c r="C26" s="82"/>
      <c r="D26" s="80"/>
      <c r="E26" s="80"/>
      <c r="F26" s="79"/>
      <c r="G26" s="70"/>
      <c r="H26" s="163"/>
      <c r="I26" s="79"/>
      <c r="J26" s="388"/>
      <c r="K26" s="268"/>
      <c r="L26" s="163"/>
      <c r="M26" s="79"/>
      <c r="N26" s="198"/>
      <c r="O26" s="156"/>
      <c r="P26" s="163"/>
      <c r="Q26" s="79"/>
      <c r="R26" s="163"/>
      <c r="S26" s="200"/>
      <c r="V26" s="211"/>
      <c r="Y26" s="252"/>
      <c r="Z26" s="305"/>
      <c r="AA26" s="200"/>
      <c r="AB26" s="200"/>
      <c r="AC26" s="210"/>
      <c r="AD26" s="210"/>
      <c r="AE26" s="200"/>
      <c r="AF26" s="200"/>
      <c r="AG26" s="209"/>
      <c r="AH26" s="210"/>
      <c r="AI26" s="200"/>
      <c r="AJ26" s="200"/>
      <c r="AK26" s="209"/>
      <c r="AL26" s="200"/>
      <c r="AM26" s="210"/>
      <c r="AN26" s="210"/>
    </row>
    <row r="27" spans="1:40" x14ac:dyDescent="0.25">
      <c r="A27" s="159">
        <v>6</v>
      </c>
      <c r="B27" s="80"/>
      <c r="C27" s="253" t="s">
        <v>69</v>
      </c>
      <c r="D27" s="80"/>
      <c r="E27" s="80"/>
      <c r="F27" s="79"/>
      <c r="G27" s="70"/>
      <c r="H27" s="79"/>
      <c r="I27" s="79"/>
      <c r="J27" s="310"/>
      <c r="K27" s="263"/>
      <c r="L27" s="79"/>
      <c r="M27" s="79"/>
      <c r="N27" s="156"/>
      <c r="O27" s="156"/>
      <c r="P27" s="79"/>
      <c r="Q27" s="79"/>
      <c r="R27" s="79"/>
      <c r="S27" s="200"/>
      <c r="T27" s="154"/>
      <c r="V27" s="252"/>
      <c r="Y27" s="200"/>
      <c r="Z27" s="304"/>
      <c r="AA27" s="200"/>
      <c r="AB27" s="200"/>
      <c r="AC27" s="210"/>
      <c r="AD27" s="210"/>
      <c r="AE27" s="200"/>
      <c r="AF27" s="200"/>
      <c r="AG27" s="209"/>
      <c r="AH27" s="210"/>
      <c r="AI27" s="200"/>
      <c r="AJ27" s="200"/>
      <c r="AK27" s="209"/>
      <c r="AL27" s="200"/>
      <c r="AM27" s="210"/>
      <c r="AN27" s="210"/>
    </row>
    <row r="28" spans="1:40" x14ac:dyDescent="0.25">
      <c r="A28" s="159">
        <v>7</v>
      </c>
      <c r="B28" s="80"/>
      <c r="C28" s="82" t="s">
        <v>494</v>
      </c>
      <c r="D28" s="80"/>
      <c r="E28" s="80"/>
      <c r="F28" s="78"/>
      <c r="G28" s="70"/>
      <c r="H28" s="225">
        <v>299922</v>
      </c>
      <c r="I28" s="78"/>
      <c r="J28" s="295">
        <f>INPUT!D155</f>
        <v>1.5412E-2</v>
      </c>
      <c r="K28" s="289"/>
      <c r="L28" s="79">
        <f>ROUND((H28*J28),0)</f>
        <v>4622</v>
      </c>
      <c r="M28" s="79"/>
      <c r="N28" s="156">
        <f>ROUND((L28/L$42)*100,1)</f>
        <v>16.2</v>
      </c>
      <c r="O28" s="156"/>
      <c r="P28" s="78"/>
      <c r="Q28" s="78"/>
      <c r="R28" s="79">
        <f>L28+P28</f>
        <v>4622</v>
      </c>
      <c r="S28" s="200"/>
      <c r="T28" s="154"/>
      <c r="V28" s="252"/>
      <c r="Y28" s="200"/>
      <c r="Z28" s="304"/>
      <c r="AA28" s="200"/>
      <c r="AB28" s="200"/>
      <c r="AC28" s="210"/>
      <c r="AD28" s="210"/>
      <c r="AE28" s="200"/>
      <c r="AF28" s="200"/>
      <c r="AG28" s="209"/>
      <c r="AH28" s="210"/>
      <c r="AI28" s="200"/>
      <c r="AJ28" s="200"/>
      <c r="AK28" s="209"/>
      <c r="AL28" s="200"/>
      <c r="AM28" s="210"/>
      <c r="AN28" s="210"/>
    </row>
    <row r="29" spans="1:40" x14ac:dyDescent="0.25">
      <c r="A29" s="159">
        <v>8</v>
      </c>
      <c r="B29" s="80"/>
      <c r="C29" s="82" t="s">
        <v>419</v>
      </c>
      <c r="D29" s="80"/>
      <c r="E29" s="80"/>
      <c r="F29" s="78"/>
      <c r="G29" s="70"/>
      <c r="H29" s="78">
        <f>H28</f>
        <v>299922</v>
      </c>
      <c r="I29" s="78"/>
      <c r="J29" s="295">
        <f>INPUT!D159</f>
        <v>0</v>
      </c>
      <c r="K29" s="289"/>
      <c r="L29" s="79">
        <f>ROUND((H29*J29),0)</f>
        <v>0</v>
      </c>
      <c r="M29" s="79"/>
      <c r="N29" s="156">
        <f>ROUND((L29/L$42)*100,1)</f>
        <v>0</v>
      </c>
      <c r="O29" s="156"/>
      <c r="P29" s="78"/>
      <c r="Q29" s="78"/>
      <c r="R29" s="79">
        <f>L29+P29</f>
        <v>0</v>
      </c>
      <c r="S29" s="200"/>
      <c r="V29" s="211"/>
      <c r="Y29" s="211"/>
      <c r="Z29" s="305"/>
      <c r="AA29" s="211"/>
      <c r="AB29" s="211"/>
      <c r="AC29" s="211"/>
      <c r="AD29" s="211"/>
      <c r="AE29" s="211"/>
      <c r="AF29" s="211"/>
      <c r="AI29" s="211"/>
      <c r="AJ29" s="211"/>
      <c r="AK29" s="212"/>
      <c r="AL29" s="211"/>
      <c r="AM29" s="210"/>
      <c r="AN29" s="210"/>
    </row>
    <row r="30" spans="1:40" x14ac:dyDescent="0.25">
      <c r="A30" s="159">
        <v>9</v>
      </c>
      <c r="B30" s="80"/>
      <c r="C30" s="82" t="s">
        <v>480</v>
      </c>
      <c r="D30" s="80"/>
      <c r="E30" s="80"/>
      <c r="F30" s="78"/>
      <c r="G30" s="70"/>
      <c r="H30" s="78">
        <f>H29</f>
        <v>299922</v>
      </c>
      <c r="I30" s="78"/>
      <c r="J30" s="295">
        <f>INPUT!D163</f>
        <v>5.5529000000000002E-2</v>
      </c>
      <c r="K30" s="289"/>
      <c r="L30" s="79">
        <f>ROUND((H30*J30),0)</f>
        <v>16654</v>
      </c>
      <c r="M30" s="79"/>
      <c r="N30" s="156">
        <f>ROUND((L30/L$42)*100,1)+0.1</f>
        <v>58.5</v>
      </c>
      <c r="O30" s="156"/>
      <c r="P30" s="200">
        <v>0</v>
      </c>
      <c r="Q30" s="78"/>
      <c r="R30" s="79">
        <f>L30+P30</f>
        <v>16654</v>
      </c>
      <c r="S30" s="200"/>
      <c r="V30" s="211"/>
      <c r="Y30" s="211"/>
      <c r="Z30" s="305"/>
      <c r="AA30" s="211"/>
      <c r="AB30" s="211"/>
      <c r="AC30" s="211"/>
      <c r="AD30" s="211"/>
      <c r="AE30" s="211"/>
      <c r="AF30" s="211"/>
      <c r="AI30" s="211"/>
      <c r="AJ30" s="211"/>
      <c r="AK30" s="212"/>
      <c r="AL30" s="211"/>
      <c r="AM30" s="210"/>
      <c r="AN30" s="210"/>
    </row>
    <row r="31" spans="1:40" ht="20.100000000000001" customHeight="1" x14ac:dyDescent="0.25">
      <c r="A31" s="159">
        <v>10</v>
      </c>
      <c r="B31" s="80"/>
      <c r="C31" s="253" t="s">
        <v>164</v>
      </c>
      <c r="D31" s="80"/>
      <c r="E31" s="80"/>
      <c r="F31" s="167"/>
      <c r="G31" s="70"/>
      <c r="H31" s="169">
        <f>H28</f>
        <v>299922</v>
      </c>
      <c r="I31" s="79"/>
      <c r="J31" s="307"/>
      <c r="K31" s="263"/>
      <c r="L31" s="169">
        <f>SUM(L28:L30)</f>
        <v>21276</v>
      </c>
      <c r="M31" s="79"/>
      <c r="N31" s="303">
        <f>ROUND((L31/L$42)*100,1)</f>
        <v>74.7</v>
      </c>
      <c r="O31" s="156"/>
      <c r="P31" s="126">
        <f>P30</f>
        <v>0</v>
      </c>
      <c r="Q31" s="79"/>
      <c r="R31" s="169">
        <f>SUM(R28:R30)</f>
        <v>21276</v>
      </c>
      <c r="S31" s="200"/>
      <c r="V31" s="211"/>
      <c r="Y31" s="211"/>
      <c r="Z31" s="305"/>
      <c r="AA31" s="211"/>
      <c r="AB31" s="211"/>
      <c r="AC31" s="211"/>
      <c r="AD31" s="211"/>
      <c r="AE31" s="211"/>
      <c r="AF31" s="211"/>
      <c r="AI31" s="211"/>
      <c r="AJ31" s="211"/>
      <c r="AK31" s="212"/>
      <c r="AL31" s="211"/>
    </row>
    <row r="32" spans="1:40" ht="20.100000000000001" customHeight="1" x14ac:dyDescent="0.25">
      <c r="A32" s="159">
        <v>11</v>
      </c>
      <c r="B32" s="80"/>
      <c r="C32" s="265" t="s">
        <v>582</v>
      </c>
      <c r="D32" s="80"/>
      <c r="E32" s="80"/>
      <c r="F32" s="169">
        <f>F24</f>
        <v>36</v>
      </c>
      <c r="G32" s="70"/>
      <c r="H32" s="169">
        <f>H31</f>
        <v>299922</v>
      </c>
      <c r="I32" s="79"/>
      <c r="J32" s="307"/>
      <c r="K32" s="263"/>
      <c r="L32" s="169">
        <f>L31+L25</f>
        <v>27864</v>
      </c>
      <c r="M32" s="79"/>
      <c r="N32" s="303">
        <f>ROUND((L32/L$42)*100,1)</f>
        <v>97.8</v>
      </c>
      <c r="O32" s="156"/>
      <c r="P32" s="126">
        <f>P31+P25</f>
        <v>0</v>
      </c>
      <c r="Q32" s="79"/>
      <c r="R32" s="169">
        <f>R31+R25</f>
        <v>27864</v>
      </c>
      <c r="S32" s="200"/>
      <c r="V32" s="211"/>
      <c r="Y32" s="211"/>
      <c r="Z32" s="305"/>
      <c r="AA32" s="211"/>
      <c r="AB32" s="211"/>
      <c r="AC32" s="211"/>
      <c r="AD32" s="211"/>
      <c r="AE32" s="211"/>
      <c r="AF32" s="211"/>
      <c r="AI32" s="211"/>
      <c r="AJ32" s="211"/>
      <c r="AK32" s="212"/>
      <c r="AL32" s="211"/>
    </row>
    <row r="33" spans="1:43" ht="15.75" customHeight="1" x14ac:dyDescent="0.25">
      <c r="A33" s="159"/>
      <c r="B33" s="80"/>
      <c r="C33" s="82"/>
      <c r="D33" s="80"/>
      <c r="E33" s="80"/>
      <c r="F33" s="163"/>
      <c r="G33" s="70"/>
      <c r="H33" s="163"/>
      <c r="I33" s="79"/>
      <c r="J33" s="307"/>
      <c r="K33" s="263"/>
      <c r="L33" s="163"/>
      <c r="M33" s="79"/>
      <c r="N33" s="198"/>
      <c r="O33" s="156"/>
      <c r="P33" s="230"/>
      <c r="Q33" s="79"/>
      <c r="R33" s="163"/>
      <c r="S33" s="200"/>
      <c r="V33" s="211"/>
      <c r="Y33" s="211"/>
      <c r="Z33" s="305"/>
      <c r="AA33" s="211"/>
      <c r="AB33" s="211"/>
      <c r="AC33" s="211"/>
      <c r="AD33" s="211"/>
      <c r="AE33" s="211"/>
      <c r="AF33" s="211"/>
      <c r="AI33" s="211"/>
      <c r="AJ33" s="211"/>
      <c r="AK33" s="212"/>
      <c r="AL33" s="211"/>
    </row>
    <row r="34" spans="1:43" ht="15.75" customHeight="1" x14ac:dyDescent="0.25">
      <c r="A34" s="159">
        <v>12</v>
      </c>
      <c r="B34" s="80"/>
      <c r="C34" s="253" t="s">
        <v>553</v>
      </c>
      <c r="D34" s="80"/>
      <c r="E34" s="80"/>
      <c r="F34" s="163"/>
      <c r="G34" s="70"/>
      <c r="H34" s="163"/>
      <c r="I34" s="79"/>
      <c r="J34" s="307"/>
      <c r="K34" s="263"/>
      <c r="L34" s="163"/>
      <c r="M34" s="79"/>
      <c r="N34" s="198"/>
      <c r="O34" s="156"/>
      <c r="P34" s="230"/>
      <c r="Q34" s="79"/>
      <c r="R34" s="163"/>
      <c r="S34" s="200"/>
      <c r="V34" s="211"/>
      <c r="Y34" s="211"/>
      <c r="Z34" s="305"/>
      <c r="AA34" s="211"/>
      <c r="AB34" s="211"/>
      <c r="AC34" s="211"/>
      <c r="AD34" s="211"/>
      <c r="AE34" s="211"/>
      <c r="AF34" s="211"/>
      <c r="AI34" s="211"/>
      <c r="AJ34" s="211"/>
      <c r="AK34" s="212"/>
      <c r="AL34" s="211"/>
    </row>
    <row r="35" spans="1:43" ht="15.75" customHeight="1" x14ac:dyDescent="0.25">
      <c r="A35" s="159">
        <v>13</v>
      </c>
      <c r="B35" s="80"/>
      <c r="C35" s="153" t="str">
        <f>DSMR_Name</f>
        <v>DEMAND SIDE MANAGEMENT RIDER (DSMR)</v>
      </c>
      <c r="D35" s="80"/>
      <c r="E35" s="80"/>
      <c r="F35" s="163"/>
      <c r="G35" s="70"/>
      <c r="H35" s="163"/>
      <c r="I35" s="79"/>
      <c r="J35" s="295">
        <f>PRO_DSM_DIST</f>
        <v>2.5760000000000002E-3</v>
      </c>
      <c r="K35" s="263"/>
      <c r="L35" s="163">
        <f>ROUND($H$32*J35,0)</f>
        <v>773</v>
      </c>
      <c r="M35" s="79"/>
      <c r="N35" s="155">
        <f t="shared" ref="N35:N40" si="0">ROUND((L35/L$42)*100,1)</f>
        <v>2.7</v>
      </c>
      <c r="O35" s="156"/>
      <c r="P35" s="230"/>
      <c r="Q35" s="79"/>
      <c r="R35" s="79">
        <f t="shared" ref="R35:R39" si="1">L35+P35</f>
        <v>773</v>
      </c>
      <c r="S35" s="200"/>
      <c r="V35" s="211"/>
      <c r="Y35" s="211"/>
      <c r="Z35" s="305"/>
      <c r="AA35" s="211"/>
      <c r="AB35" s="211"/>
      <c r="AC35" s="211"/>
      <c r="AD35" s="211"/>
      <c r="AE35" s="211"/>
      <c r="AF35" s="211"/>
      <c r="AI35" s="211"/>
      <c r="AJ35" s="211"/>
      <c r="AK35" s="212"/>
      <c r="AL35" s="211"/>
    </row>
    <row r="36" spans="1:43" ht="15.75" customHeight="1" x14ac:dyDescent="0.25">
      <c r="A36" s="159">
        <v>14</v>
      </c>
      <c r="B36" s="80"/>
      <c r="C36" s="153" t="str">
        <f>ESM_Name</f>
        <v>ENVIRONMENTAL SURCHARGE MECHANISM RIDER (ESM)</v>
      </c>
      <c r="D36" s="80"/>
      <c r="E36" s="80"/>
      <c r="F36" s="163"/>
      <c r="G36" s="70"/>
      <c r="H36" s="163"/>
      <c r="I36" s="79"/>
      <c r="J36" s="295">
        <f>PRO_ESM</f>
        <v>0</v>
      </c>
      <c r="K36" s="263"/>
      <c r="L36" s="163">
        <f>ROUND(R32*J36,0)</f>
        <v>0</v>
      </c>
      <c r="M36" s="79"/>
      <c r="N36" s="155">
        <f t="shared" si="0"/>
        <v>0</v>
      </c>
      <c r="O36" s="156"/>
      <c r="P36" s="230"/>
      <c r="Q36" s="79"/>
      <c r="R36" s="79">
        <f t="shared" ref="R36:R38" si="2">L36+P36</f>
        <v>0</v>
      </c>
      <c r="S36" s="200"/>
      <c r="V36" s="211"/>
      <c r="Y36" s="211"/>
      <c r="Z36" s="305"/>
      <c r="AA36" s="211"/>
      <c r="AB36" s="211"/>
      <c r="AC36" s="211"/>
      <c r="AD36" s="211"/>
      <c r="AE36" s="211"/>
      <c r="AF36" s="211"/>
      <c r="AI36" s="211"/>
      <c r="AJ36" s="211"/>
      <c r="AK36" s="212"/>
      <c r="AL36" s="211"/>
    </row>
    <row r="37" spans="1:43" ht="15.75" customHeight="1" x14ac:dyDescent="0.25">
      <c r="A37" s="159">
        <v>15</v>
      </c>
      <c r="B37" s="80"/>
      <c r="C37" s="153" t="str">
        <f>DCI_Name</f>
        <v>DISTRIBUTION CAPITAL INVESTMENT RIDER (DCI)</v>
      </c>
      <c r="D37" s="80"/>
      <c r="E37" s="80"/>
      <c r="F37" s="163"/>
      <c r="G37" s="70"/>
      <c r="H37" s="78"/>
      <c r="I37" s="79"/>
      <c r="J37" s="349">
        <f>PRO_DCI_DIST</f>
        <v>0</v>
      </c>
      <c r="K37" s="263"/>
      <c r="L37" s="163">
        <f>ROUND(H37*J37,0)</f>
        <v>0</v>
      </c>
      <c r="M37" s="79"/>
      <c r="N37" s="155">
        <f t="shared" si="0"/>
        <v>0</v>
      </c>
      <c r="O37" s="156"/>
      <c r="P37" s="230"/>
      <c r="Q37" s="79"/>
      <c r="R37" s="79">
        <f t="shared" ref="R37" si="3">L37+P37</f>
        <v>0</v>
      </c>
      <c r="S37" s="200"/>
      <c r="V37" s="211"/>
      <c r="Y37" s="211"/>
      <c r="Z37" s="305"/>
      <c r="AA37" s="211"/>
      <c r="AB37" s="211"/>
      <c r="AC37" s="211"/>
      <c r="AD37" s="211"/>
      <c r="AE37" s="211"/>
      <c r="AF37" s="211"/>
      <c r="AI37" s="211"/>
      <c r="AJ37" s="211"/>
      <c r="AK37" s="212"/>
      <c r="AL37" s="211"/>
    </row>
    <row r="38" spans="1:43" ht="15.75" customHeight="1" x14ac:dyDescent="0.25">
      <c r="A38" s="159">
        <v>16</v>
      </c>
      <c r="B38" s="80"/>
      <c r="C38" s="153" t="str">
        <f>FTR_Name</f>
        <v>FERC TRANSMISSION COST RECOVERY RECONCILIATION (FTR)</v>
      </c>
      <c r="D38" s="80"/>
      <c r="E38" s="80"/>
      <c r="F38" s="163"/>
      <c r="G38" s="70"/>
      <c r="H38" s="78"/>
      <c r="I38" s="79"/>
      <c r="J38" s="288">
        <f>PRO_FTR_DIST</f>
        <v>0</v>
      </c>
      <c r="K38" s="263"/>
      <c r="L38" s="163">
        <f>ROUND(H32*J38,0)</f>
        <v>0</v>
      </c>
      <c r="M38" s="79"/>
      <c r="N38" s="155">
        <f t="shared" si="0"/>
        <v>0</v>
      </c>
      <c r="O38" s="156"/>
      <c r="P38" s="230"/>
      <c r="Q38" s="79"/>
      <c r="R38" s="79">
        <f t="shared" si="2"/>
        <v>0</v>
      </c>
      <c r="S38" s="200"/>
      <c r="V38" s="211"/>
      <c r="Y38" s="211"/>
      <c r="Z38" s="305"/>
      <c r="AA38" s="211"/>
      <c r="AB38" s="211"/>
      <c r="AC38" s="211"/>
      <c r="AD38" s="211"/>
      <c r="AE38" s="211"/>
      <c r="AF38" s="211"/>
      <c r="AI38" s="211"/>
      <c r="AJ38" s="211"/>
      <c r="AK38" s="212"/>
      <c r="AL38" s="211"/>
    </row>
    <row r="39" spans="1:43" ht="15.75" customHeight="1" x14ac:dyDescent="0.25">
      <c r="A39" s="159">
        <v>17</v>
      </c>
      <c r="B39" s="80"/>
      <c r="C39" s="153" t="str">
        <f>PSM_Name</f>
        <v>PROFIT SHARING MECHANISM (PSM)</v>
      </c>
      <c r="D39" s="80"/>
      <c r="E39" s="80"/>
      <c r="F39" s="163"/>
      <c r="G39" s="70"/>
      <c r="H39" s="163"/>
      <c r="I39" s="79"/>
      <c r="J39" s="295">
        <f>PRO_PSM</f>
        <v>-4.5600000000000003E-4</v>
      </c>
      <c r="K39" s="263"/>
      <c r="L39" s="163">
        <f>ROUND(H32*PRO_PSM,0)</f>
        <v>-137</v>
      </c>
      <c r="M39" s="79"/>
      <c r="N39" s="166">
        <f t="shared" si="0"/>
        <v>-0.5</v>
      </c>
      <c r="O39" s="156"/>
      <c r="P39" s="230"/>
      <c r="Q39" s="79"/>
      <c r="R39" s="167">
        <f t="shared" si="1"/>
        <v>-137</v>
      </c>
      <c r="S39" s="200"/>
      <c r="V39" s="211"/>
      <c r="Y39" s="211"/>
      <c r="Z39" s="305"/>
      <c r="AA39" s="211"/>
      <c r="AB39" s="211"/>
      <c r="AC39" s="211"/>
      <c r="AD39" s="211"/>
      <c r="AE39" s="211"/>
      <c r="AF39" s="211"/>
      <c r="AI39" s="211"/>
      <c r="AJ39" s="211"/>
      <c r="AK39" s="212"/>
      <c r="AL39" s="211"/>
    </row>
    <row r="40" spans="1:43" ht="20.100000000000001" customHeight="1" x14ac:dyDescent="0.25">
      <c r="A40" s="159">
        <v>18</v>
      </c>
      <c r="B40" s="80"/>
      <c r="C40" s="253" t="s">
        <v>557</v>
      </c>
      <c r="D40" s="80"/>
      <c r="E40" s="80"/>
      <c r="F40" s="167"/>
      <c r="G40" s="70"/>
      <c r="H40" s="167"/>
      <c r="I40" s="79"/>
      <c r="J40" s="263"/>
      <c r="K40" s="263"/>
      <c r="L40" s="169">
        <f>SUM(L35:L39)</f>
        <v>636</v>
      </c>
      <c r="M40" s="79"/>
      <c r="N40" s="170">
        <f t="shared" si="0"/>
        <v>2.2000000000000002</v>
      </c>
      <c r="O40" s="156"/>
      <c r="P40" s="169">
        <f>SUM(P35:P39)</f>
        <v>0</v>
      </c>
      <c r="Q40" s="79"/>
      <c r="R40" s="169">
        <f>SUM(R35:R39)</f>
        <v>636</v>
      </c>
      <c r="S40" s="200"/>
      <c r="V40" s="211"/>
      <c r="Y40" s="211"/>
      <c r="Z40" s="305"/>
      <c r="AA40" s="211"/>
      <c r="AB40" s="211"/>
      <c r="AC40" s="211"/>
      <c r="AD40" s="211"/>
      <c r="AE40" s="211"/>
      <c r="AF40" s="211"/>
      <c r="AI40" s="211"/>
      <c r="AJ40" s="211"/>
      <c r="AK40" s="212"/>
      <c r="AL40" s="211"/>
    </row>
    <row r="41" spans="1:43" ht="15.75" customHeight="1" x14ac:dyDescent="0.25">
      <c r="A41" s="159"/>
      <c r="B41" s="80"/>
      <c r="C41" s="253"/>
      <c r="D41" s="80"/>
      <c r="E41" s="80"/>
      <c r="F41" s="163"/>
      <c r="G41" s="70"/>
      <c r="H41" s="163"/>
      <c r="I41" s="79"/>
      <c r="J41" s="263"/>
      <c r="K41" s="263"/>
      <c r="L41" s="163"/>
      <c r="M41" s="79"/>
      <c r="N41" s="198"/>
      <c r="O41" s="156"/>
      <c r="P41" s="230"/>
      <c r="Q41" s="79"/>
      <c r="R41" s="163"/>
      <c r="S41" s="200"/>
      <c r="V41" s="211"/>
      <c r="Y41" s="211"/>
      <c r="Z41" s="305"/>
      <c r="AA41" s="211"/>
      <c r="AB41" s="211"/>
      <c r="AC41" s="211"/>
      <c r="AD41" s="211"/>
      <c r="AE41" s="211"/>
      <c r="AF41" s="211"/>
      <c r="AI41" s="211"/>
      <c r="AJ41" s="211"/>
      <c r="AK41" s="212"/>
      <c r="AL41" s="211"/>
    </row>
    <row r="42" spans="1:43" ht="20.100000000000001" customHeight="1" thickBot="1" x14ac:dyDescent="0.3">
      <c r="A42" s="159">
        <v>19</v>
      </c>
      <c r="B42" s="80"/>
      <c r="C42" s="265" t="s">
        <v>581</v>
      </c>
      <c r="D42" s="80"/>
      <c r="E42" s="80"/>
      <c r="F42" s="275">
        <f>F32</f>
        <v>36</v>
      </c>
      <c r="G42" s="70"/>
      <c r="H42" s="275">
        <f>H32</f>
        <v>299922</v>
      </c>
      <c r="I42" s="79"/>
      <c r="J42" s="263"/>
      <c r="K42" s="263"/>
      <c r="L42" s="275">
        <f>L40+L32</f>
        <v>28500</v>
      </c>
      <c r="M42" s="79"/>
      <c r="N42" s="309">
        <v>100</v>
      </c>
      <c r="O42" s="156"/>
      <c r="P42" s="275">
        <f>P40+P32</f>
        <v>0</v>
      </c>
      <c r="Q42" s="79"/>
      <c r="R42" s="275">
        <f>R40+R32</f>
        <v>28500</v>
      </c>
      <c r="S42" s="200"/>
      <c r="AA42" s="200"/>
      <c r="AB42" s="200"/>
      <c r="AC42" s="200"/>
      <c r="AD42" s="200"/>
      <c r="AI42" s="200"/>
      <c r="AJ42" s="200"/>
      <c r="AK42" s="209"/>
      <c r="AL42" s="200"/>
    </row>
    <row r="43" spans="1:43" ht="18.75" customHeight="1" thickTop="1" x14ac:dyDescent="0.25">
      <c r="A43" s="80"/>
      <c r="B43" s="80"/>
      <c r="C43" s="80"/>
      <c r="D43" s="80"/>
      <c r="E43" s="80"/>
      <c r="F43" s="79"/>
      <c r="G43" s="70"/>
      <c r="H43" s="79"/>
      <c r="I43" s="79"/>
      <c r="J43" s="263"/>
      <c r="K43" s="263"/>
      <c r="L43" s="79"/>
      <c r="M43" s="79"/>
      <c r="N43" s="79"/>
      <c r="O43" s="79"/>
      <c r="P43" s="79"/>
      <c r="Q43" s="79"/>
      <c r="R43" s="79"/>
      <c r="Z43" s="202"/>
    </row>
    <row r="44" spans="1:43" x14ac:dyDescent="0.25">
      <c r="A44" s="80"/>
      <c r="B44" s="80"/>
      <c r="C44" s="173" t="s">
        <v>61</v>
      </c>
      <c r="D44" s="80"/>
      <c r="E44" s="80"/>
      <c r="F44" s="189"/>
      <c r="G44" s="80"/>
      <c r="H44" s="189"/>
      <c r="I44" s="189"/>
      <c r="J44" s="310"/>
      <c r="K44" s="310"/>
      <c r="L44" s="189"/>
      <c r="M44" s="189"/>
      <c r="N44" s="189"/>
      <c r="O44" s="189"/>
      <c r="P44" s="189"/>
      <c r="Q44" s="189"/>
      <c r="R44" s="189"/>
      <c r="Y44" s="154"/>
    </row>
    <row r="45" spans="1:43" x14ac:dyDescent="0.25">
      <c r="A45" s="82"/>
      <c r="B45" s="80"/>
      <c r="C45" s="82"/>
      <c r="D45" s="80"/>
      <c r="E45" s="80"/>
      <c r="F45" s="189"/>
      <c r="G45" s="80"/>
      <c r="H45" s="189"/>
      <c r="I45" s="189"/>
      <c r="J45" s="310"/>
      <c r="K45" s="310"/>
      <c r="L45" s="189"/>
      <c r="M45" s="189"/>
      <c r="N45" s="189"/>
      <c r="O45" s="189"/>
      <c r="P45" s="189"/>
      <c r="Q45" s="189"/>
      <c r="R45" s="189"/>
      <c r="Z45" s="202"/>
    </row>
    <row r="46" spans="1:43" x14ac:dyDescent="0.25">
      <c r="H46" s="109"/>
      <c r="L46" s="154"/>
      <c r="M46" s="154"/>
      <c r="AA46" s="154"/>
      <c r="AB46" s="154"/>
    </row>
    <row r="47" spans="1:43" x14ac:dyDescent="0.25">
      <c r="A47" s="202"/>
      <c r="R47" s="154"/>
      <c r="AK47" s="297"/>
      <c r="AL47" s="154"/>
    </row>
    <row r="48" spans="1:43" x14ac:dyDescent="0.25">
      <c r="A48" s="202"/>
      <c r="R48" s="154"/>
      <c r="T48" s="150" t="str">
        <f>NAME</f>
        <v>DUKE ENERGY KENTUCKY, INC.</v>
      </c>
      <c r="U48" s="150"/>
      <c r="V48" s="150"/>
      <c r="W48" s="150"/>
      <c r="X48" s="150"/>
      <c r="Y48" s="150"/>
      <c r="Z48" s="150"/>
      <c r="AA48" s="150"/>
      <c r="AB48" s="150"/>
      <c r="AC48" s="187"/>
      <c r="AD48" s="187"/>
      <c r="AE48" s="150"/>
      <c r="AF48" s="100"/>
      <c r="AG48" s="190"/>
      <c r="AH48" s="100"/>
      <c r="AI48" s="150"/>
      <c r="AJ48" s="150"/>
      <c r="AK48" s="190"/>
      <c r="AL48" s="150"/>
      <c r="AM48" s="150"/>
      <c r="AN48" s="100"/>
      <c r="AO48" s="150"/>
      <c r="AP48" s="150"/>
      <c r="AQ48" s="190"/>
    </row>
    <row r="49" spans="1:43" x14ac:dyDescent="0.25">
      <c r="A49" s="202"/>
      <c r="R49" s="154"/>
      <c r="T49" s="150" t="str">
        <f>CASE_NO</f>
        <v>CASE NO.   2017-00321</v>
      </c>
      <c r="U49" s="150"/>
      <c r="V49" s="150"/>
      <c r="W49" s="150"/>
      <c r="X49" s="150"/>
      <c r="Y49" s="150"/>
      <c r="Z49" s="150"/>
      <c r="AA49" s="150"/>
      <c r="AB49" s="150"/>
      <c r="AC49" s="187"/>
      <c r="AD49" s="187"/>
      <c r="AE49" s="150"/>
      <c r="AF49" s="100"/>
      <c r="AG49" s="190"/>
      <c r="AH49" s="100"/>
      <c r="AI49" s="150"/>
      <c r="AJ49" s="150"/>
      <c r="AK49" s="190"/>
      <c r="AL49" s="150"/>
      <c r="AM49" s="150"/>
      <c r="AN49" s="100"/>
      <c r="AO49" s="150"/>
      <c r="AP49" s="150"/>
      <c r="AQ49" s="190"/>
    </row>
    <row r="50" spans="1:43" x14ac:dyDescent="0.25">
      <c r="A50" s="154"/>
      <c r="R50" s="154"/>
      <c r="T50" s="187" t="str">
        <f>TITLE</f>
        <v>ANNUALIZED BASE YEAR REVENUES AT PROPOSED VS. MOST CURRENT RATES</v>
      </c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00"/>
      <c r="AG50" s="190"/>
      <c r="AH50" s="100"/>
      <c r="AI50" s="150"/>
      <c r="AJ50" s="150"/>
      <c r="AK50" s="190"/>
      <c r="AL50" s="150"/>
      <c r="AM50" s="150"/>
      <c r="AN50" s="100"/>
      <c r="AO50" s="150"/>
      <c r="AP50" s="150"/>
      <c r="AQ50" s="190"/>
    </row>
    <row r="51" spans="1:43" x14ac:dyDescent="0.25">
      <c r="L51" s="154"/>
      <c r="M51" s="154"/>
      <c r="R51" s="202"/>
      <c r="T51" s="150" t="str">
        <f>DATE</f>
        <v>FOR THE TWELVE MONTHS ENDED November 30, 2017</v>
      </c>
      <c r="U51" s="150"/>
      <c r="V51" s="150"/>
      <c r="W51" s="150"/>
      <c r="X51" s="150"/>
      <c r="Y51" s="150"/>
      <c r="Z51" s="150"/>
      <c r="AA51" s="150"/>
      <c r="AB51" s="150"/>
      <c r="AC51" s="187"/>
      <c r="AD51" s="187"/>
      <c r="AE51" s="150"/>
      <c r="AF51" s="100"/>
      <c r="AG51" s="190"/>
      <c r="AH51" s="100"/>
      <c r="AI51" s="150"/>
      <c r="AJ51" s="150"/>
      <c r="AK51" s="190"/>
      <c r="AL51" s="150"/>
      <c r="AM51" s="150"/>
      <c r="AN51" s="100"/>
      <c r="AO51" s="150"/>
      <c r="AP51" s="150"/>
      <c r="AQ51" s="190"/>
    </row>
    <row r="52" spans="1:43" x14ac:dyDescent="0.25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T52" s="150" t="str">
        <f>SERVICE</f>
        <v>(ELECTRIC SERVICE)</v>
      </c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87"/>
      <c r="AF52" s="312"/>
      <c r="AG52" s="190"/>
      <c r="AH52" s="100"/>
      <c r="AI52" s="150"/>
      <c r="AJ52" s="150"/>
      <c r="AK52" s="190"/>
      <c r="AL52" s="150"/>
      <c r="AM52" s="150"/>
      <c r="AN52" s="100"/>
      <c r="AO52" s="150"/>
      <c r="AP52" s="150"/>
      <c r="AQ52" s="190"/>
    </row>
    <row r="53" spans="1:43" x14ac:dyDescent="0.25">
      <c r="L53" s="103"/>
      <c r="M53" s="103"/>
      <c r="N53" s="103"/>
      <c r="O53" s="103"/>
      <c r="R53" s="103"/>
      <c r="T53" s="159" t="str">
        <f>DATA_PERIOD</f>
        <v>DATA: __X__ BASE PERIOD   ____FORECASTED PERIOD</v>
      </c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G53" s="188"/>
      <c r="AI53" s="80"/>
      <c r="AJ53" s="80"/>
      <c r="AK53" s="188"/>
      <c r="AL53" s="80"/>
      <c r="AM53" s="80"/>
      <c r="AO53" s="82" t="s">
        <v>179</v>
      </c>
      <c r="AP53" s="82"/>
      <c r="AQ53" s="188"/>
    </row>
    <row r="54" spans="1:43" x14ac:dyDescent="0.25">
      <c r="L54" s="103"/>
      <c r="M54" s="103"/>
      <c r="N54" s="103"/>
      <c r="O54" s="103"/>
      <c r="R54" s="103"/>
      <c r="T54" s="159" t="str">
        <f>TYPE</f>
        <v>TYPE OF FILING: _X_ ORIGINAL   ___UPDATED  ___ REVISED</v>
      </c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G54" s="188"/>
      <c r="AI54" s="80"/>
      <c r="AJ54" s="80"/>
      <c r="AK54" s="188"/>
      <c r="AL54" s="80"/>
      <c r="AM54" s="80"/>
      <c r="AO54" s="81" t="str">
        <f>R7</f>
        <v>PAGE  11  OF  22</v>
      </c>
      <c r="AP54" s="82"/>
      <c r="AQ54" s="188"/>
    </row>
    <row r="55" spans="1:43" x14ac:dyDescent="0.25">
      <c r="A55" s="103"/>
      <c r="C55" s="103"/>
      <c r="D55" s="103"/>
      <c r="E55" s="103"/>
      <c r="F55" s="103"/>
      <c r="J55" s="103"/>
      <c r="K55" s="103"/>
      <c r="L55" s="103"/>
      <c r="M55" s="103"/>
      <c r="N55" s="103"/>
      <c r="O55" s="103"/>
      <c r="P55" s="103"/>
      <c r="Q55" s="103"/>
      <c r="R55" s="103"/>
      <c r="T55" s="82" t="s">
        <v>192</v>
      </c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G55" s="188"/>
      <c r="AI55" s="80"/>
      <c r="AJ55" s="80"/>
      <c r="AK55" s="188"/>
      <c r="AL55" s="80"/>
      <c r="AM55" s="80"/>
      <c r="AO55" s="82" t="s">
        <v>3</v>
      </c>
      <c r="AP55" s="82"/>
      <c r="AQ55" s="188"/>
    </row>
    <row r="56" spans="1:43" x14ac:dyDescent="0.25">
      <c r="A56" s="103"/>
      <c r="C56" s="103"/>
      <c r="D56" s="103"/>
      <c r="E56" s="103"/>
      <c r="F56" s="103"/>
      <c r="J56" s="103"/>
      <c r="K56" s="103"/>
      <c r="L56" s="103"/>
      <c r="M56" s="103"/>
      <c r="N56" s="103"/>
      <c r="O56" s="103"/>
      <c r="P56" s="103"/>
      <c r="Q56" s="103"/>
      <c r="R56" s="103"/>
      <c r="T56" s="253" t="str">
        <f>TIME</f>
        <v>6 Months Actual and 6 Months Projected</v>
      </c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G56" s="188"/>
      <c r="AI56" s="80"/>
      <c r="AJ56" s="80"/>
      <c r="AK56" s="188"/>
      <c r="AL56" s="80"/>
      <c r="AM56" s="80"/>
      <c r="AO56" s="159" t="str">
        <f>WIT</f>
        <v>B. L. SAILERS</v>
      </c>
      <c r="AP56" s="159"/>
      <c r="AQ56" s="188"/>
    </row>
    <row r="57" spans="1:43" x14ac:dyDescent="0.25">
      <c r="A57" s="103"/>
      <c r="C57" s="103"/>
      <c r="D57" s="103"/>
      <c r="E57" s="103"/>
      <c r="F57" s="103"/>
      <c r="J57" s="103"/>
      <c r="K57" s="103"/>
      <c r="L57" s="103"/>
      <c r="M57" s="103"/>
      <c r="N57" s="103"/>
      <c r="O57" s="103"/>
      <c r="P57" s="103"/>
      <c r="Q57" s="103"/>
      <c r="R57" s="103"/>
      <c r="T57" s="253" t="str">
        <f>INPUT!B5</f>
        <v>6 Months Actual Ending May 31, 2017</v>
      </c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G57" s="188"/>
      <c r="AI57" s="80"/>
      <c r="AJ57" s="80"/>
      <c r="AK57" s="188"/>
      <c r="AL57" s="80"/>
      <c r="AM57" s="80"/>
      <c r="AO57" s="159"/>
      <c r="AP57" s="159"/>
      <c r="AQ57" s="188"/>
    </row>
    <row r="58" spans="1:43" x14ac:dyDescent="0.25">
      <c r="A58" s="103"/>
      <c r="C58" s="103"/>
      <c r="D58" s="103"/>
      <c r="E58" s="103"/>
      <c r="F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T58" s="187" t="s">
        <v>152</v>
      </c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00"/>
      <c r="AG58" s="190"/>
      <c r="AH58" s="100"/>
      <c r="AI58" s="150"/>
      <c r="AJ58" s="150"/>
      <c r="AK58" s="190"/>
      <c r="AL58" s="150"/>
      <c r="AM58" s="150"/>
      <c r="AN58" s="100"/>
      <c r="AO58" s="150"/>
      <c r="AP58" s="150"/>
      <c r="AQ58" s="190"/>
    </row>
    <row r="59" spans="1:43" x14ac:dyDescent="0.25">
      <c r="C59" s="103"/>
      <c r="D59" s="103"/>
      <c r="E59" s="103"/>
      <c r="F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5"/>
      <c r="AH59" s="254"/>
      <c r="AI59" s="254"/>
      <c r="AJ59" s="254"/>
      <c r="AK59" s="255"/>
      <c r="AL59" s="254"/>
      <c r="AM59" s="254"/>
      <c r="AN59" s="254"/>
      <c r="AO59" s="254"/>
      <c r="AP59" s="254"/>
      <c r="AQ59" s="255"/>
    </row>
    <row r="60" spans="1:43" ht="18" customHeight="1" x14ac:dyDescent="0.25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3" t="s">
        <v>8</v>
      </c>
      <c r="AF60" s="103"/>
      <c r="AG60" s="195" t="s">
        <v>7</v>
      </c>
      <c r="AH60" s="103"/>
      <c r="AI60" s="83" t="s">
        <v>9</v>
      </c>
      <c r="AJ60" s="83"/>
      <c r="AK60" s="195" t="s">
        <v>10</v>
      </c>
      <c r="AL60" s="83"/>
      <c r="AM60" s="80"/>
      <c r="AO60" s="83" t="s">
        <v>8</v>
      </c>
      <c r="AP60" s="83"/>
      <c r="AQ60" s="195" t="s">
        <v>11</v>
      </c>
    </row>
    <row r="61" spans="1:43" x14ac:dyDescent="0.25"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T61" s="80"/>
      <c r="U61" s="80"/>
      <c r="V61" s="80"/>
      <c r="W61" s="80"/>
      <c r="X61" s="80"/>
      <c r="Y61" s="80"/>
      <c r="Z61" s="80"/>
      <c r="AA61" s="80"/>
      <c r="AB61" s="80"/>
      <c r="AC61" s="83" t="s">
        <v>14</v>
      </c>
      <c r="AD61" s="83"/>
      <c r="AE61" s="83" t="s">
        <v>12</v>
      </c>
      <c r="AF61" s="103"/>
      <c r="AG61" s="195" t="s">
        <v>13</v>
      </c>
      <c r="AH61" s="103"/>
      <c r="AI61" s="83" t="s">
        <v>15</v>
      </c>
      <c r="AJ61" s="83"/>
      <c r="AK61" s="195" t="s">
        <v>16</v>
      </c>
      <c r="AL61" s="83"/>
      <c r="AM61" s="80"/>
      <c r="AO61" s="83" t="s">
        <v>11</v>
      </c>
      <c r="AP61" s="83"/>
      <c r="AQ61" s="195" t="s">
        <v>9</v>
      </c>
    </row>
    <row r="62" spans="1:43" x14ac:dyDescent="0.25">
      <c r="A62" s="202"/>
      <c r="C62" s="154"/>
      <c r="D62" s="154"/>
      <c r="E62" s="154"/>
      <c r="T62" s="83" t="s">
        <v>17</v>
      </c>
      <c r="U62" s="80"/>
      <c r="V62" s="83" t="s">
        <v>18</v>
      </c>
      <c r="W62" s="83" t="s">
        <v>19</v>
      </c>
      <c r="X62" s="83"/>
      <c r="Y62" s="83" t="s">
        <v>20</v>
      </c>
      <c r="Z62" s="80"/>
      <c r="AA62" s="80"/>
      <c r="AB62" s="80"/>
      <c r="AC62" s="83" t="s">
        <v>8</v>
      </c>
      <c r="AD62" s="83"/>
      <c r="AE62" s="83" t="s">
        <v>21</v>
      </c>
      <c r="AF62" s="103"/>
      <c r="AG62" s="195" t="s">
        <v>21</v>
      </c>
      <c r="AH62" s="103"/>
      <c r="AI62" s="83" t="s">
        <v>22</v>
      </c>
      <c r="AJ62" s="83"/>
      <c r="AK62" s="195" t="s">
        <v>22</v>
      </c>
      <c r="AL62" s="83"/>
      <c r="AM62" s="83" t="s">
        <v>21</v>
      </c>
      <c r="AN62" s="103"/>
      <c r="AO62" s="83" t="s">
        <v>9</v>
      </c>
      <c r="AP62" s="83"/>
      <c r="AQ62" s="195" t="s">
        <v>23</v>
      </c>
    </row>
    <row r="63" spans="1:43" x14ac:dyDescent="0.25">
      <c r="A63" s="202"/>
      <c r="D63" s="154"/>
      <c r="E63" s="154"/>
      <c r="T63" s="83" t="s">
        <v>24</v>
      </c>
      <c r="U63" s="80"/>
      <c r="V63" s="83" t="s">
        <v>25</v>
      </c>
      <c r="W63" s="83" t="s">
        <v>26</v>
      </c>
      <c r="X63" s="83"/>
      <c r="Y63" s="83" t="s">
        <v>27</v>
      </c>
      <c r="Z63" s="80"/>
      <c r="AA63" s="83" t="s">
        <v>28</v>
      </c>
      <c r="AB63" s="83"/>
      <c r="AC63" s="83" t="s">
        <v>29</v>
      </c>
      <c r="AD63" s="83"/>
      <c r="AE63" s="83" t="s">
        <v>9</v>
      </c>
      <c r="AF63" s="103"/>
      <c r="AG63" s="195" t="s">
        <v>9</v>
      </c>
      <c r="AH63" s="103"/>
      <c r="AI63" s="256" t="s">
        <v>31</v>
      </c>
      <c r="AJ63" s="256"/>
      <c r="AK63" s="257" t="s">
        <v>32</v>
      </c>
      <c r="AL63" s="83"/>
      <c r="AM63" s="83" t="s">
        <v>475</v>
      </c>
      <c r="AN63" s="103"/>
      <c r="AO63" s="256" t="s">
        <v>33</v>
      </c>
      <c r="AP63" s="83"/>
      <c r="AQ63" s="257" t="s">
        <v>34</v>
      </c>
    </row>
    <row r="64" spans="1:43" x14ac:dyDescent="0.25">
      <c r="T64" s="80"/>
      <c r="U64" s="80"/>
      <c r="V64" s="256" t="s">
        <v>35</v>
      </c>
      <c r="W64" s="256" t="s">
        <v>36</v>
      </c>
      <c r="X64" s="256"/>
      <c r="Y64" s="256" t="s">
        <v>37</v>
      </c>
      <c r="Z64" s="258"/>
      <c r="AA64" s="256" t="s">
        <v>38</v>
      </c>
      <c r="AB64" s="256"/>
      <c r="AC64" s="256" t="s">
        <v>44</v>
      </c>
      <c r="AD64" s="256"/>
      <c r="AE64" s="256" t="s">
        <v>45</v>
      </c>
      <c r="AF64" s="313"/>
      <c r="AG64" s="257" t="s">
        <v>46</v>
      </c>
      <c r="AH64" s="313"/>
      <c r="AI64" s="256" t="s">
        <v>47</v>
      </c>
      <c r="AJ64" s="256"/>
      <c r="AK64" s="257" t="s">
        <v>48</v>
      </c>
      <c r="AL64" s="256"/>
      <c r="AM64" s="256" t="s">
        <v>42</v>
      </c>
      <c r="AN64" s="103"/>
      <c r="AO64" s="256" t="s">
        <v>49</v>
      </c>
      <c r="AP64" s="83"/>
      <c r="AQ64" s="257" t="s">
        <v>50</v>
      </c>
    </row>
    <row r="65" spans="1:43" x14ac:dyDescent="0.25">
      <c r="A65" s="202"/>
      <c r="C65" s="1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5"/>
      <c r="AH65" s="254"/>
      <c r="AI65" s="254"/>
      <c r="AJ65" s="254"/>
      <c r="AK65" s="255"/>
      <c r="AL65" s="254"/>
      <c r="AM65" s="254"/>
      <c r="AN65" s="254"/>
      <c r="AO65" s="254"/>
      <c r="AP65" s="254"/>
      <c r="AQ65" s="255"/>
    </row>
    <row r="66" spans="1:43" ht="17.100000000000001" customHeight="1" x14ac:dyDescent="0.25">
      <c r="A66" s="202"/>
      <c r="C66" s="154"/>
      <c r="F66" s="252"/>
      <c r="H66" s="252"/>
      <c r="I66" s="252"/>
      <c r="J66" s="300"/>
      <c r="K66" s="300"/>
      <c r="L66" s="200"/>
      <c r="M66" s="200"/>
      <c r="N66" s="210"/>
      <c r="O66" s="210"/>
      <c r="P66" s="202"/>
      <c r="Q66" s="202"/>
      <c r="R66" s="200"/>
      <c r="T66" s="80"/>
      <c r="U66" s="80"/>
      <c r="V66" s="80"/>
      <c r="W66" s="80"/>
      <c r="X66" s="80"/>
      <c r="Y66" s="80"/>
      <c r="Z66" s="80"/>
      <c r="AA66" s="260" t="s">
        <v>51</v>
      </c>
      <c r="AB66" s="259"/>
      <c r="AC66" s="260" t="s">
        <v>418</v>
      </c>
      <c r="AD66" s="259"/>
      <c r="AE66" s="259" t="s">
        <v>52</v>
      </c>
      <c r="AF66" s="314"/>
      <c r="AG66" s="261" t="s">
        <v>53</v>
      </c>
      <c r="AH66" s="314"/>
      <c r="AI66" s="259" t="s">
        <v>52</v>
      </c>
      <c r="AJ66" s="259"/>
      <c r="AK66" s="261" t="s">
        <v>53</v>
      </c>
      <c r="AL66" s="259"/>
      <c r="AM66" s="259" t="s">
        <v>52</v>
      </c>
      <c r="AN66" s="314"/>
      <c r="AO66" s="259" t="s">
        <v>52</v>
      </c>
      <c r="AP66" s="259"/>
      <c r="AQ66" s="261" t="s">
        <v>53</v>
      </c>
    </row>
    <row r="67" spans="1:43" x14ac:dyDescent="0.25">
      <c r="A67" s="202"/>
      <c r="C67" s="154"/>
      <c r="F67" s="252"/>
      <c r="H67" s="252"/>
      <c r="I67" s="252"/>
      <c r="J67" s="300"/>
      <c r="K67" s="300"/>
      <c r="L67" s="200"/>
      <c r="M67" s="200"/>
      <c r="N67" s="210"/>
      <c r="O67" s="210"/>
      <c r="P67" s="202"/>
      <c r="Q67" s="202"/>
      <c r="R67" s="200"/>
      <c r="T67" s="159">
        <v>1</v>
      </c>
      <c r="U67" s="80"/>
      <c r="V67" s="253" t="s">
        <v>414</v>
      </c>
      <c r="W67" s="253" t="s">
        <v>153</v>
      </c>
      <c r="X67" s="82"/>
      <c r="Y67" s="70"/>
      <c r="Z67" s="70"/>
      <c r="AA67" s="70"/>
      <c r="AB67" s="70"/>
      <c r="AC67" s="70"/>
      <c r="AD67" s="70"/>
      <c r="AE67" s="70"/>
      <c r="AF67" s="85"/>
      <c r="AG67" s="164"/>
      <c r="AH67" s="85"/>
      <c r="AI67" s="70"/>
      <c r="AJ67" s="70"/>
      <c r="AK67" s="164"/>
      <c r="AL67" s="70"/>
      <c r="AM67" s="70"/>
      <c r="AN67" s="85"/>
      <c r="AO67" s="70"/>
      <c r="AP67" s="70"/>
      <c r="AQ67" s="164"/>
    </row>
    <row r="68" spans="1:43" x14ac:dyDescent="0.25">
      <c r="F68" s="211"/>
      <c r="H68" s="200"/>
      <c r="I68" s="200"/>
      <c r="J68" s="305"/>
      <c r="K68" s="305"/>
      <c r="L68" s="211"/>
      <c r="M68" s="211"/>
      <c r="N68" s="211"/>
      <c r="O68" s="211"/>
      <c r="P68" s="211"/>
      <c r="Q68" s="211"/>
      <c r="R68" s="211"/>
      <c r="T68" s="159">
        <v>2</v>
      </c>
      <c r="U68" s="80"/>
      <c r="V68" s="258"/>
      <c r="W68" s="253" t="s">
        <v>154</v>
      </c>
      <c r="X68" s="82"/>
      <c r="Y68" s="70"/>
      <c r="Z68" s="70"/>
      <c r="AA68" s="70"/>
      <c r="AB68" s="70"/>
      <c r="AC68" s="70"/>
      <c r="AD68" s="70"/>
      <c r="AE68" s="70"/>
      <c r="AF68" s="85"/>
      <c r="AG68" s="164"/>
      <c r="AH68" s="85"/>
      <c r="AI68" s="70"/>
      <c r="AJ68" s="70"/>
      <c r="AK68" s="164"/>
      <c r="AL68" s="70"/>
      <c r="AM68" s="70"/>
      <c r="AN68" s="85"/>
      <c r="AO68" s="70"/>
      <c r="AP68" s="70"/>
      <c r="AQ68" s="164"/>
    </row>
    <row r="69" spans="1:43" ht="24.75" customHeight="1" x14ac:dyDescent="0.25">
      <c r="A69" s="202"/>
      <c r="C69" s="154"/>
      <c r="F69" s="200"/>
      <c r="H69" s="200"/>
      <c r="I69" s="200"/>
      <c r="J69" s="305"/>
      <c r="K69" s="305"/>
      <c r="L69" s="200"/>
      <c r="M69" s="200"/>
      <c r="N69" s="210"/>
      <c r="O69" s="210"/>
      <c r="P69" s="200"/>
      <c r="Q69" s="200"/>
      <c r="R69" s="200"/>
      <c r="T69" s="80"/>
      <c r="U69" s="80"/>
      <c r="V69" s="80"/>
      <c r="W69" s="80"/>
      <c r="X69" s="80"/>
      <c r="Y69" s="70"/>
      <c r="Z69" s="70"/>
      <c r="AA69" s="70"/>
      <c r="AB69" s="70"/>
      <c r="AC69" s="70"/>
      <c r="AD69" s="70"/>
      <c r="AE69" s="70"/>
      <c r="AF69" s="85"/>
      <c r="AG69" s="164"/>
      <c r="AH69" s="85"/>
      <c r="AI69" s="70"/>
      <c r="AJ69" s="70"/>
      <c r="AK69" s="164"/>
      <c r="AL69" s="70"/>
      <c r="AM69" s="70"/>
      <c r="AN69" s="85"/>
      <c r="AO69" s="70"/>
      <c r="AP69" s="70"/>
      <c r="AQ69" s="164"/>
    </row>
    <row r="70" spans="1:43" x14ac:dyDescent="0.25">
      <c r="F70" s="211"/>
      <c r="H70" s="200"/>
      <c r="I70" s="200"/>
      <c r="J70" s="305"/>
      <c r="K70" s="305"/>
      <c r="L70" s="211"/>
      <c r="M70" s="211"/>
      <c r="N70" s="211"/>
      <c r="O70" s="211"/>
      <c r="P70" s="211"/>
      <c r="Q70" s="211"/>
      <c r="R70" s="211"/>
      <c r="T70" s="159">
        <v>3</v>
      </c>
      <c r="U70" s="80"/>
      <c r="V70" s="253" t="s">
        <v>155</v>
      </c>
      <c r="W70" s="80"/>
      <c r="X70" s="80"/>
      <c r="Y70" s="70"/>
      <c r="Z70" s="70"/>
      <c r="AA70" s="70"/>
      <c r="AB70" s="70"/>
      <c r="AC70" s="70"/>
      <c r="AD70" s="70"/>
      <c r="AE70" s="70"/>
      <c r="AF70" s="85"/>
      <c r="AG70" s="164"/>
      <c r="AH70" s="85"/>
      <c r="AI70" s="70"/>
      <c r="AJ70" s="70"/>
      <c r="AK70" s="164"/>
      <c r="AL70" s="70"/>
      <c r="AM70" s="70"/>
      <c r="AN70" s="85"/>
      <c r="AO70" s="70"/>
      <c r="AP70" s="70"/>
      <c r="AQ70" s="164"/>
    </row>
    <row r="71" spans="1:43" x14ac:dyDescent="0.25">
      <c r="A71" s="202"/>
      <c r="C71" s="154"/>
      <c r="F71" s="200"/>
      <c r="H71" s="200"/>
      <c r="I71" s="200"/>
      <c r="J71" s="305"/>
      <c r="K71" s="305"/>
      <c r="L71" s="200"/>
      <c r="M71" s="200"/>
      <c r="N71" s="210"/>
      <c r="O71" s="210"/>
      <c r="P71" s="200"/>
      <c r="Q71" s="200"/>
      <c r="R71" s="200"/>
      <c r="T71" s="159">
        <v>4</v>
      </c>
      <c r="U71" s="80"/>
      <c r="V71" s="82" t="s">
        <v>417</v>
      </c>
      <c r="W71" s="80"/>
      <c r="X71" s="80"/>
      <c r="Y71" s="163">
        <f>F24</f>
        <v>36</v>
      </c>
      <c r="Z71" s="70"/>
      <c r="AA71" s="78"/>
      <c r="AB71" s="78"/>
      <c r="AC71" s="283">
        <f>INPUT!C153</f>
        <v>183</v>
      </c>
      <c r="AD71" s="284"/>
      <c r="AE71" s="79">
        <f>ROUND(Y71*AC71,0)</f>
        <v>6588</v>
      </c>
      <c r="AF71" s="163"/>
      <c r="AG71" s="155">
        <f>ROUND((AE71/AE$89)*100,1)</f>
        <v>25.4</v>
      </c>
      <c r="AH71" s="198"/>
      <c r="AI71" s="79">
        <f>L24-AE71</f>
        <v>0</v>
      </c>
      <c r="AJ71" s="79"/>
      <c r="AK71" s="166">
        <f>ROUND((AI71/AE71)*100,1)</f>
        <v>0</v>
      </c>
      <c r="AL71" s="158"/>
      <c r="AM71" s="79"/>
      <c r="AN71" s="271"/>
      <c r="AO71" s="79">
        <f>AE71+AM71</f>
        <v>6588</v>
      </c>
      <c r="AP71" s="79"/>
      <c r="AQ71" s="157">
        <f>IF(AO71=0,"0.0 ",ROUND((AI71/AO71)*100,1))</f>
        <v>0</v>
      </c>
    </row>
    <row r="72" spans="1:43" ht="20.100000000000001" customHeight="1" x14ac:dyDescent="0.25">
      <c r="A72" s="202"/>
      <c r="C72" s="154"/>
      <c r="F72" s="252"/>
      <c r="H72" s="252"/>
      <c r="I72" s="252"/>
      <c r="J72" s="300"/>
      <c r="K72" s="300"/>
      <c r="L72" s="200"/>
      <c r="M72" s="200"/>
      <c r="N72" s="210"/>
      <c r="O72" s="210"/>
      <c r="P72" s="200"/>
      <c r="Q72" s="200"/>
      <c r="R72" s="200"/>
      <c r="T72" s="159">
        <v>5</v>
      </c>
      <c r="U72" s="80"/>
      <c r="V72" s="253" t="s">
        <v>158</v>
      </c>
      <c r="W72" s="80"/>
      <c r="X72" s="80"/>
      <c r="Y72" s="163"/>
      <c r="Z72" s="70"/>
      <c r="AA72" s="79"/>
      <c r="AB72" s="79"/>
      <c r="AC72" s="263"/>
      <c r="AD72" s="263"/>
      <c r="AE72" s="169">
        <f>SUM(AE71:AE71)</f>
        <v>6588</v>
      </c>
      <c r="AF72" s="163"/>
      <c r="AG72" s="170">
        <f>ROUND((AE72/AE$89)*100,1)</f>
        <v>25.4</v>
      </c>
      <c r="AH72" s="198"/>
      <c r="AI72" s="169">
        <f>SUM(AI71:AI71)</f>
        <v>0</v>
      </c>
      <c r="AJ72" s="163"/>
      <c r="AK72" s="170">
        <f>ROUND((AI72/AE72)*100,1)</f>
        <v>0</v>
      </c>
      <c r="AL72" s="158"/>
      <c r="AM72" s="169"/>
      <c r="AN72" s="163"/>
      <c r="AO72" s="169">
        <f>SUM(AO71:AO71)</f>
        <v>6588</v>
      </c>
      <c r="AP72" s="163"/>
      <c r="AQ72" s="157">
        <f>IF(AO72=0,"0.0 ",ROUND((AI72/AO72)*100,1))</f>
        <v>0</v>
      </c>
    </row>
    <row r="73" spans="1:43" ht="24.75" customHeight="1" x14ac:dyDescent="0.25">
      <c r="A73" s="202"/>
      <c r="C73" s="154"/>
      <c r="F73" s="252"/>
      <c r="H73" s="252"/>
      <c r="I73" s="252"/>
      <c r="J73" s="320"/>
      <c r="K73" s="320"/>
      <c r="L73" s="200"/>
      <c r="M73" s="200"/>
      <c r="N73" s="210"/>
      <c r="O73" s="210"/>
      <c r="P73" s="252"/>
      <c r="Q73" s="252"/>
      <c r="R73" s="200"/>
      <c r="T73" s="159"/>
      <c r="U73" s="80"/>
      <c r="V73" s="82"/>
      <c r="W73" s="80"/>
      <c r="X73" s="80"/>
      <c r="Y73" s="79"/>
      <c r="Z73" s="70"/>
      <c r="AA73" s="163"/>
      <c r="AB73" s="163"/>
      <c r="AC73" s="268"/>
      <c r="AD73" s="268"/>
      <c r="AE73" s="163"/>
      <c r="AF73" s="163"/>
      <c r="AG73" s="197"/>
      <c r="AH73" s="198"/>
      <c r="AI73" s="163"/>
      <c r="AJ73" s="163"/>
      <c r="AK73" s="155"/>
      <c r="AL73" s="158"/>
      <c r="AM73" s="163"/>
      <c r="AN73" s="163"/>
      <c r="AO73" s="163"/>
      <c r="AP73" s="163"/>
      <c r="AQ73" s="155"/>
    </row>
    <row r="74" spans="1:43" x14ac:dyDescent="0.25">
      <c r="A74" s="202"/>
      <c r="C74" s="154"/>
      <c r="H74" s="252"/>
      <c r="I74" s="252"/>
      <c r="J74" s="320"/>
      <c r="K74" s="320"/>
      <c r="L74" s="200"/>
      <c r="M74" s="200"/>
      <c r="N74" s="210"/>
      <c r="O74" s="210"/>
      <c r="P74" s="252"/>
      <c r="Q74" s="252"/>
      <c r="R74" s="200"/>
      <c r="T74" s="159">
        <v>6</v>
      </c>
      <c r="U74" s="80"/>
      <c r="V74" s="253" t="s">
        <v>69</v>
      </c>
      <c r="W74" s="80"/>
      <c r="X74" s="80"/>
      <c r="Y74" s="79"/>
      <c r="Z74" s="70"/>
      <c r="AA74" s="79"/>
      <c r="AB74" s="79"/>
      <c r="AC74" s="263"/>
      <c r="AD74" s="263"/>
      <c r="AE74" s="79"/>
      <c r="AF74" s="163"/>
      <c r="AG74" s="155"/>
      <c r="AH74" s="198"/>
      <c r="AI74" s="79"/>
      <c r="AJ74" s="79"/>
      <c r="AK74" s="155"/>
      <c r="AL74" s="158"/>
      <c r="AM74" s="79"/>
      <c r="AN74" s="163"/>
      <c r="AO74" s="79"/>
      <c r="AP74" s="79"/>
      <c r="AQ74" s="155"/>
    </row>
    <row r="75" spans="1:43" x14ac:dyDescent="0.25">
      <c r="F75" s="211"/>
      <c r="H75" s="211"/>
      <c r="I75" s="211"/>
      <c r="J75" s="305"/>
      <c r="K75" s="305"/>
      <c r="L75" s="211"/>
      <c r="M75" s="211"/>
      <c r="N75" s="211"/>
      <c r="O75" s="211"/>
      <c r="P75" s="211"/>
      <c r="Q75" s="211"/>
      <c r="R75" s="211"/>
      <c r="T75" s="159">
        <v>7</v>
      </c>
      <c r="U75" s="80"/>
      <c r="V75" s="82" t="s">
        <v>494</v>
      </c>
      <c r="W75" s="80"/>
      <c r="X75" s="80"/>
      <c r="Y75" s="78"/>
      <c r="Z75" s="70"/>
      <c r="AA75" s="79">
        <f>H28</f>
        <v>299922</v>
      </c>
      <c r="AB75" s="79"/>
      <c r="AC75" s="295">
        <f>INPUT!C155</f>
        <v>6.0530000000000002E-3</v>
      </c>
      <c r="AD75" s="293"/>
      <c r="AE75" s="79">
        <f>ROUND((AA75*AC75),0)</f>
        <v>1815</v>
      </c>
      <c r="AF75" s="163"/>
      <c r="AG75" s="155">
        <f>ROUND((AE75/AE$89)*100,1)</f>
        <v>7</v>
      </c>
      <c r="AH75" s="198"/>
      <c r="AI75" s="79">
        <f>L28-AE75</f>
        <v>2807</v>
      </c>
      <c r="AJ75" s="79"/>
      <c r="AK75" s="155">
        <f>ROUND((AI75/AE75)*100,1)</f>
        <v>154.69999999999999</v>
      </c>
      <c r="AL75" s="158"/>
      <c r="AM75" s="78"/>
      <c r="AN75" s="230"/>
      <c r="AO75" s="79">
        <f>AE75+AM75</f>
        <v>1815</v>
      </c>
      <c r="AP75" s="79"/>
      <c r="AQ75" s="157">
        <f>IF(AO75=0,"0.0 ",ROUND((AI75/AO75)*100,1))</f>
        <v>154.69999999999999</v>
      </c>
    </row>
    <row r="76" spans="1:43" x14ac:dyDescent="0.25">
      <c r="A76" s="202"/>
      <c r="C76" s="154"/>
      <c r="F76" s="200"/>
      <c r="H76" s="200"/>
      <c r="I76" s="200"/>
      <c r="J76" s="213"/>
      <c r="K76" s="213"/>
      <c r="L76" s="200"/>
      <c r="M76" s="200"/>
      <c r="N76" s="210"/>
      <c r="O76" s="210"/>
      <c r="P76" s="200"/>
      <c r="Q76" s="200"/>
      <c r="R76" s="200"/>
      <c r="T76" s="159">
        <v>8</v>
      </c>
      <c r="U76" s="80"/>
      <c r="V76" s="82" t="s">
        <v>419</v>
      </c>
      <c r="W76" s="80"/>
      <c r="X76" s="80"/>
      <c r="Y76" s="78"/>
      <c r="Z76" s="70"/>
      <c r="AA76" s="79">
        <f>H29</f>
        <v>299922</v>
      </c>
      <c r="AB76" s="79"/>
      <c r="AC76" s="295">
        <f>INPUT!C159</f>
        <v>7.6000000000000004E-4</v>
      </c>
      <c r="AD76" s="293"/>
      <c r="AE76" s="79">
        <f>ROUND((AA76*AC76),0)</f>
        <v>228</v>
      </c>
      <c r="AF76" s="163"/>
      <c r="AG76" s="155">
        <f>ROUND((AE76/AE$89)*100,1)</f>
        <v>0.9</v>
      </c>
      <c r="AH76" s="198"/>
      <c r="AI76" s="79">
        <f>L29-AE76</f>
        <v>-228</v>
      </c>
      <c r="AJ76" s="79"/>
      <c r="AK76" s="155">
        <f>ROUND((AI76/AE76)*100,1)</f>
        <v>-100</v>
      </c>
      <c r="AL76" s="158"/>
      <c r="AM76" s="78"/>
      <c r="AN76" s="230"/>
      <c r="AO76" s="79">
        <f>AE76+AM76</f>
        <v>228</v>
      </c>
      <c r="AP76" s="79"/>
      <c r="AQ76" s="157">
        <f>IF(AO76=0,"0.0 ",ROUND((AI76/AO76)*100,1))</f>
        <v>-100</v>
      </c>
    </row>
    <row r="77" spans="1:43" x14ac:dyDescent="0.25">
      <c r="A77" s="202"/>
      <c r="C77" s="154"/>
      <c r="F77" s="200"/>
      <c r="H77" s="200"/>
      <c r="I77" s="200"/>
      <c r="J77" s="213"/>
      <c r="K77" s="213"/>
      <c r="L77" s="200"/>
      <c r="M77" s="200"/>
      <c r="N77" s="210"/>
      <c r="O77" s="210"/>
      <c r="P77" s="200"/>
      <c r="Q77" s="200"/>
      <c r="R77" s="200"/>
      <c r="T77" s="159">
        <v>9</v>
      </c>
      <c r="U77" s="80"/>
      <c r="V77" s="82" t="s">
        <v>480</v>
      </c>
      <c r="W77" s="80"/>
      <c r="X77" s="80"/>
      <c r="Y77" s="78"/>
      <c r="Z77" s="70"/>
      <c r="AA77" s="79">
        <f>H30</f>
        <v>299922</v>
      </c>
      <c r="AB77" s="79"/>
      <c r="AC77" s="295">
        <f>INPUT!C163</f>
        <v>5.5529000000000002E-2</v>
      </c>
      <c r="AD77" s="293"/>
      <c r="AE77" s="79">
        <f>ROUND((AA77*AC77),0)</f>
        <v>16654</v>
      </c>
      <c r="AF77" s="163"/>
      <c r="AG77" s="155">
        <f>ROUND((AE77/AE$89)*100,1)</f>
        <v>64.2</v>
      </c>
      <c r="AH77" s="198"/>
      <c r="AI77" s="79">
        <f>L30-AE77</f>
        <v>0</v>
      </c>
      <c r="AJ77" s="79"/>
      <c r="AK77" s="155">
        <f>ROUND((AI77/AE77)*100,1)</f>
        <v>0</v>
      </c>
      <c r="AL77" s="158"/>
      <c r="AM77" s="200">
        <v>0</v>
      </c>
      <c r="AN77" s="230"/>
      <c r="AO77" s="79">
        <f>AE77+AM77</f>
        <v>16654</v>
      </c>
      <c r="AP77" s="79"/>
      <c r="AQ77" s="157">
        <f>IF(AO77=0,"0.0 ",ROUND((AI77/AO77)*100,1))</f>
        <v>0</v>
      </c>
    </row>
    <row r="78" spans="1:43" ht="20.100000000000001" customHeight="1" x14ac:dyDescent="0.25">
      <c r="F78" s="200"/>
      <c r="H78" s="200"/>
      <c r="I78" s="200"/>
      <c r="J78" s="213"/>
      <c r="K78" s="213"/>
      <c r="L78" s="200"/>
      <c r="M78" s="200"/>
      <c r="N78" s="200"/>
      <c r="O78" s="200"/>
      <c r="P78" s="200"/>
      <c r="Q78" s="200"/>
      <c r="R78" s="200"/>
      <c r="T78" s="159">
        <v>10</v>
      </c>
      <c r="U78" s="80"/>
      <c r="V78" s="253" t="s">
        <v>164</v>
      </c>
      <c r="W78" s="80"/>
      <c r="X78" s="80"/>
      <c r="Y78" s="167"/>
      <c r="Z78" s="70"/>
      <c r="AA78" s="169">
        <f>H31</f>
        <v>299922</v>
      </c>
      <c r="AB78" s="163"/>
      <c r="AC78" s="307"/>
      <c r="AD78" s="263"/>
      <c r="AE78" s="169">
        <f>SUM(AE75:AE77)</f>
        <v>18697</v>
      </c>
      <c r="AF78" s="163"/>
      <c r="AG78" s="170">
        <f>ROUND((AE78/AE$89)*100,1)</f>
        <v>72.099999999999994</v>
      </c>
      <c r="AH78" s="198"/>
      <c r="AI78" s="169">
        <f>SUM(AI75:AI77)</f>
        <v>2579</v>
      </c>
      <c r="AJ78" s="163"/>
      <c r="AK78" s="170">
        <f>ROUND((AI78/AE78)*100,1)</f>
        <v>13.8</v>
      </c>
      <c r="AL78" s="158"/>
      <c r="AM78" s="169">
        <f>AM77</f>
        <v>0</v>
      </c>
      <c r="AN78" s="163"/>
      <c r="AO78" s="169">
        <f>SUM(AO75:AO77)</f>
        <v>18697</v>
      </c>
      <c r="AP78" s="163"/>
      <c r="AQ78" s="157">
        <f>IF(AO78=0,"0.0 ",ROUND((AI78/AO78)*100,1))</f>
        <v>13.8</v>
      </c>
    </row>
    <row r="79" spans="1:43" ht="20.100000000000001" customHeight="1" x14ac:dyDescent="0.25">
      <c r="F79" s="200"/>
      <c r="H79" s="200"/>
      <c r="I79" s="200"/>
      <c r="J79" s="213"/>
      <c r="K79" s="213"/>
      <c r="L79" s="200"/>
      <c r="M79" s="200"/>
      <c r="N79" s="200"/>
      <c r="O79" s="200"/>
      <c r="P79" s="200"/>
      <c r="Q79" s="200"/>
      <c r="R79" s="200"/>
      <c r="T79" s="159">
        <v>11</v>
      </c>
      <c r="U79" s="80"/>
      <c r="V79" s="265" t="s">
        <v>582</v>
      </c>
      <c r="W79" s="80"/>
      <c r="X79" s="80"/>
      <c r="Y79" s="169">
        <f>Y71</f>
        <v>36</v>
      </c>
      <c r="Z79" s="70"/>
      <c r="AA79" s="169">
        <f>AA78</f>
        <v>299922</v>
      </c>
      <c r="AB79" s="163"/>
      <c r="AC79" s="307"/>
      <c r="AD79" s="263"/>
      <c r="AE79" s="169">
        <f>AE78+AE72</f>
        <v>25285</v>
      </c>
      <c r="AF79" s="163"/>
      <c r="AG79" s="170">
        <f>ROUND((AE79/AE$89)*100,1)</f>
        <v>97.5</v>
      </c>
      <c r="AH79" s="198"/>
      <c r="AI79" s="169">
        <f>AI78+AI72</f>
        <v>2579</v>
      </c>
      <c r="AJ79" s="163"/>
      <c r="AK79" s="170">
        <f>ROUND((AI79/AE79)*100,1)</f>
        <v>10.199999999999999</v>
      </c>
      <c r="AL79" s="158"/>
      <c r="AM79" s="169">
        <f>AM78+AM72</f>
        <v>0</v>
      </c>
      <c r="AN79" s="163"/>
      <c r="AO79" s="169">
        <f>AO78+AO72</f>
        <v>25285</v>
      </c>
      <c r="AP79" s="163"/>
      <c r="AQ79" s="157">
        <f>IF(AO79=0,"0.0 ",ROUND((AI79/AO79)*100,1))</f>
        <v>10.199999999999999</v>
      </c>
    </row>
    <row r="80" spans="1:43" ht="15.75" customHeight="1" x14ac:dyDescent="0.25">
      <c r="F80" s="200"/>
      <c r="H80" s="200"/>
      <c r="I80" s="200"/>
      <c r="J80" s="213"/>
      <c r="K80" s="213"/>
      <c r="L80" s="200"/>
      <c r="M80" s="200"/>
      <c r="N80" s="200"/>
      <c r="O80" s="200"/>
      <c r="P80" s="200"/>
      <c r="Q80" s="200"/>
      <c r="R80" s="200"/>
      <c r="T80" s="159"/>
      <c r="U80" s="80"/>
      <c r="V80" s="82"/>
      <c r="W80" s="80"/>
      <c r="X80" s="80"/>
      <c r="Y80" s="163"/>
      <c r="Z80" s="70"/>
      <c r="AA80" s="163"/>
      <c r="AB80" s="163"/>
      <c r="AC80" s="307"/>
      <c r="AD80" s="263"/>
      <c r="AE80" s="163"/>
      <c r="AF80" s="163"/>
      <c r="AG80" s="197"/>
      <c r="AH80" s="198"/>
      <c r="AI80" s="163"/>
      <c r="AJ80" s="163"/>
      <c r="AK80" s="197"/>
      <c r="AL80" s="158"/>
      <c r="AM80" s="163"/>
      <c r="AN80" s="163"/>
      <c r="AO80" s="163"/>
      <c r="AP80" s="163"/>
      <c r="AQ80" s="157"/>
    </row>
    <row r="81" spans="6:43" ht="15.75" customHeight="1" x14ac:dyDescent="0.25">
      <c r="F81" s="200"/>
      <c r="H81" s="200"/>
      <c r="I81" s="200"/>
      <c r="J81" s="213"/>
      <c r="K81" s="213"/>
      <c r="L81" s="200"/>
      <c r="M81" s="200"/>
      <c r="N81" s="200"/>
      <c r="O81" s="200"/>
      <c r="P81" s="200"/>
      <c r="Q81" s="200"/>
      <c r="R81" s="200"/>
      <c r="T81" s="159">
        <f t="shared" ref="T81:T87" si="4">A34</f>
        <v>12</v>
      </c>
      <c r="U81" s="80"/>
      <c r="V81" s="253" t="s">
        <v>553</v>
      </c>
      <c r="W81" s="80"/>
      <c r="X81" s="80"/>
      <c r="Y81" s="163"/>
      <c r="Z81" s="70"/>
      <c r="AA81" s="163"/>
      <c r="AB81" s="163"/>
      <c r="AC81" s="307"/>
      <c r="AD81" s="263"/>
      <c r="AE81" s="163"/>
      <c r="AF81" s="163"/>
      <c r="AG81" s="197"/>
      <c r="AH81" s="198"/>
      <c r="AI81" s="163"/>
      <c r="AJ81" s="163"/>
      <c r="AK81" s="197"/>
      <c r="AL81" s="158"/>
      <c r="AM81" s="163"/>
      <c r="AN81" s="163"/>
      <c r="AO81" s="163"/>
      <c r="AP81" s="163"/>
      <c r="AQ81" s="157"/>
    </row>
    <row r="82" spans="6:43" ht="15.75" customHeight="1" x14ac:dyDescent="0.25">
      <c r="F82" s="200"/>
      <c r="H82" s="200"/>
      <c r="I82" s="200"/>
      <c r="J82" s="213"/>
      <c r="K82" s="213"/>
      <c r="L82" s="200"/>
      <c r="M82" s="200"/>
      <c r="N82" s="200"/>
      <c r="O82" s="200"/>
      <c r="P82" s="200"/>
      <c r="Q82" s="200"/>
      <c r="R82" s="200"/>
      <c r="T82" s="159">
        <f t="shared" si="4"/>
        <v>13</v>
      </c>
      <c r="U82" s="80"/>
      <c r="V82" s="153" t="str">
        <f>C35</f>
        <v>DEMAND SIDE MANAGEMENT RIDER (DSMR)</v>
      </c>
      <c r="W82" s="80"/>
      <c r="X82" s="80"/>
      <c r="Y82" s="163"/>
      <c r="Z82" s="70"/>
      <c r="AA82" s="163"/>
      <c r="AB82" s="163"/>
      <c r="AC82" s="308">
        <f>DSM_DIST</f>
        <v>2.5760000000000002E-3</v>
      </c>
      <c r="AD82" s="268"/>
      <c r="AE82" s="163">
        <f>ROUND($AA$79*AC82,0)</f>
        <v>773</v>
      </c>
      <c r="AF82" s="163"/>
      <c r="AG82" s="155">
        <f t="shared" ref="AG82:AG87" si="5">ROUND((AE82/AE$89)*100,1)</f>
        <v>3</v>
      </c>
      <c r="AH82" s="198"/>
      <c r="AI82" s="79">
        <f>L35-AE82</f>
        <v>0</v>
      </c>
      <c r="AJ82" s="163"/>
      <c r="AK82" s="155">
        <f>IF(AE82=0,0,ROUND((AI82/AE82)*100,1))</f>
        <v>0</v>
      </c>
      <c r="AL82" s="158"/>
      <c r="AM82" s="163"/>
      <c r="AN82" s="163"/>
      <c r="AO82" s="79">
        <f t="shared" ref="AO82:AO86" si="6">AE82+AM82</f>
        <v>773</v>
      </c>
      <c r="AP82" s="163"/>
      <c r="AQ82" s="157">
        <f t="shared" ref="AQ82:AQ87" si="7">IF(AO82=0,"0.0 ",ROUND((AI82/AO82)*100,1))</f>
        <v>0</v>
      </c>
    </row>
    <row r="83" spans="6:43" ht="15.75" customHeight="1" x14ac:dyDescent="0.25">
      <c r="F83" s="200"/>
      <c r="H83" s="200"/>
      <c r="I83" s="200"/>
      <c r="J83" s="213"/>
      <c r="K83" s="213"/>
      <c r="L83" s="200"/>
      <c r="M83" s="200"/>
      <c r="N83" s="200"/>
      <c r="O83" s="200"/>
      <c r="P83" s="200"/>
      <c r="Q83" s="200"/>
      <c r="R83" s="200"/>
      <c r="T83" s="159">
        <f t="shared" si="4"/>
        <v>14</v>
      </c>
      <c r="U83" s="80"/>
      <c r="V83" s="153" t="str">
        <f>C36</f>
        <v>ENVIRONMENTAL SURCHARGE MECHANISM RIDER (ESM)</v>
      </c>
      <c r="W83" s="80"/>
      <c r="X83" s="80"/>
      <c r="Y83" s="163"/>
      <c r="Z83" s="70"/>
      <c r="AA83" s="163"/>
      <c r="AB83" s="163"/>
      <c r="AC83" s="308">
        <f>CUR_ESM</f>
        <v>0</v>
      </c>
      <c r="AD83" s="268"/>
      <c r="AE83" s="163">
        <f>ROUND(AO79*AC83,0)</f>
        <v>0</v>
      </c>
      <c r="AF83" s="163"/>
      <c r="AG83" s="155">
        <f t="shared" si="5"/>
        <v>0</v>
      </c>
      <c r="AH83" s="198"/>
      <c r="AI83" s="79">
        <f>L36-AE83</f>
        <v>0</v>
      </c>
      <c r="AJ83" s="163"/>
      <c r="AK83" s="155">
        <f t="shared" ref="AK83:AK86" si="8">IF(AE83=0,0,ROUND((AI83/AE83)*100,1))</f>
        <v>0</v>
      </c>
      <c r="AL83" s="158"/>
      <c r="AM83" s="163"/>
      <c r="AN83" s="163"/>
      <c r="AO83" s="79">
        <f t="shared" ref="AO83:AO85" si="9">AE83+AM83</f>
        <v>0</v>
      </c>
      <c r="AP83" s="163"/>
      <c r="AQ83" s="157" t="str">
        <f t="shared" si="7"/>
        <v xml:space="preserve">0.0 </v>
      </c>
    </row>
    <row r="84" spans="6:43" ht="15.75" customHeight="1" x14ac:dyDescent="0.25">
      <c r="F84" s="200"/>
      <c r="H84" s="200"/>
      <c r="I84" s="200"/>
      <c r="J84" s="213"/>
      <c r="K84" s="213"/>
      <c r="L84" s="200"/>
      <c r="M84" s="200"/>
      <c r="N84" s="200"/>
      <c r="O84" s="200"/>
      <c r="P84" s="200"/>
      <c r="Q84" s="200"/>
      <c r="R84" s="200"/>
      <c r="T84" s="159">
        <f t="shared" si="4"/>
        <v>15</v>
      </c>
      <c r="U84" s="80"/>
      <c r="V84" s="153" t="str">
        <f>C37</f>
        <v>DISTRIBUTION CAPITAL INVESTMENT RIDER (DCI)</v>
      </c>
      <c r="W84" s="80"/>
      <c r="X84" s="80"/>
      <c r="Y84" s="163"/>
      <c r="Z84" s="70"/>
      <c r="AA84" s="79">
        <f>H37</f>
        <v>0</v>
      </c>
      <c r="AB84" s="163"/>
      <c r="AC84" s="324">
        <f>CUR_DCI_DIST</f>
        <v>0</v>
      </c>
      <c r="AD84" s="268"/>
      <c r="AE84" s="163">
        <f>ROUND(AA84*AC84,0)</f>
        <v>0</v>
      </c>
      <c r="AF84" s="163"/>
      <c r="AG84" s="155">
        <f t="shared" si="5"/>
        <v>0</v>
      </c>
      <c r="AH84" s="198"/>
      <c r="AI84" s="79">
        <f t="shared" ref="AI84" si="10">L37-AE84</f>
        <v>0</v>
      </c>
      <c r="AJ84" s="163"/>
      <c r="AK84" s="155">
        <f t="shared" ref="AK84" si="11">IF(AE84=0,0,ROUND((AI84/AE84)*100,1))</f>
        <v>0</v>
      </c>
      <c r="AL84" s="158"/>
      <c r="AM84" s="163"/>
      <c r="AN84" s="163"/>
      <c r="AO84" s="79">
        <f t="shared" ref="AO84" si="12">AE84+AM84</f>
        <v>0</v>
      </c>
      <c r="AP84" s="163"/>
      <c r="AQ84" s="157" t="str">
        <f t="shared" ref="AQ84" si="13">IF(AO84=0,"0.0 ",ROUND((AI84/AO84)*100,1))</f>
        <v xml:space="preserve">0.0 </v>
      </c>
    </row>
    <row r="85" spans="6:43" ht="15.75" customHeight="1" x14ac:dyDescent="0.25">
      <c r="F85" s="200"/>
      <c r="H85" s="200"/>
      <c r="I85" s="200"/>
      <c r="J85" s="213"/>
      <c r="K85" s="213"/>
      <c r="L85" s="200"/>
      <c r="M85" s="200"/>
      <c r="N85" s="200"/>
      <c r="O85" s="200"/>
      <c r="P85" s="200"/>
      <c r="Q85" s="200"/>
      <c r="R85" s="200"/>
      <c r="T85" s="159">
        <f t="shared" si="4"/>
        <v>16</v>
      </c>
      <c r="U85" s="80"/>
      <c r="V85" s="153" t="str">
        <f>C38</f>
        <v>FERC TRANSMISSION COST RECOVERY RECONCILIATION (FTR)</v>
      </c>
      <c r="W85" s="80"/>
      <c r="X85" s="80"/>
      <c r="Y85" s="163"/>
      <c r="Z85" s="70"/>
      <c r="AA85" s="79"/>
      <c r="AB85" s="79"/>
      <c r="AC85" s="308">
        <f>CUR_FTR_DIST</f>
        <v>0</v>
      </c>
      <c r="AD85" s="268"/>
      <c r="AE85" s="163">
        <f>ROUND(AA79*AC85,0)</f>
        <v>0</v>
      </c>
      <c r="AF85" s="163"/>
      <c r="AG85" s="155">
        <f t="shared" si="5"/>
        <v>0</v>
      </c>
      <c r="AH85" s="198"/>
      <c r="AI85" s="79">
        <f t="shared" ref="AI85" si="14">L38-AE85</f>
        <v>0</v>
      </c>
      <c r="AJ85" s="163"/>
      <c r="AK85" s="155">
        <f t="shared" si="8"/>
        <v>0</v>
      </c>
      <c r="AL85" s="158"/>
      <c r="AM85" s="163"/>
      <c r="AN85" s="163"/>
      <c r="AO85" s="79">
        <f t="shared" si="9"/>
        <v>0</v>
      </c>
      <c r="AP85" s="163"/>
      <c r="AQ85" s="157" t="str">
        <f t="shared" si="7"/>
        <v xml:space="preserve">0.0 </v>
      </c>
    </row>
    <row r="86" spans="6:43" ht="15.75" customHeight="1" x14ac:dyDescent="0.25">
      <c r="F86" s="200"/>
      <c r="H86" s="200"/>
      <c r="I86" s="200"/>
      <c r="J86" s="213"/>
      <c r="K86" s="213"/>
      <c r="L86" s="200"/>
      <c r="M86" s="200"/>
      <c r="N86" s="200"/>
      <c r="O86" s="200"/>
      <c r="P86" s="200"/>
      <c r="Q86" s="200"/>
      <c r="R86" s="200"/>
      <c r="T86" s="159">
        <f t="shared" si="4"/>
        <v>17</v>
      </c>
      <c r="U86" s="80"/>
      <c r="V86" s="153" t="str">
        <f>C39</f>
        <v>PROFIT SHARING MECHANISM (PSM)</v>
      </c>
      <c r="W86" s="80"/>
      <c r="X86" s="80"/>
      <c r="Y86" s="163"/>
      <c r="Z86" s="70"/>
      <c r="AA86" s="163"/>
      <c r="AB86" s="163"/>
      <c r="AC86" s="308">
        <f>RS_PSM</f>
        <v>-4.5600000000000003E-4</v>
      </c>
      <c r="AD86" s="268"/>
      <c r="AE86" s="167">
        <f>ROUND(AA79*RS_PSM,0)</f>
        <v>-137</v>
      </c>
      <c r="AF86" s="163"/>
      <c r="AG86" s="166">
        <f t="shared" si="5"/>
        <v>-0.5</v>
      </c>
      <c r="AH86" s="198"/>
      <c r="AI86" s="79">
        <f>L39-AE86</f>
        <v>0</v>
      </c>
      <c r="AJ86" s="163"/>
      <c r="AK86" s="166">
        <f t="shared" si="8"/>
        <v>0</v>
      </c>
      <c r="AL86" s="158"/>
      <c r="AM86" s="163"/>
      <c r="AN86" s="163"/>
      <c r="AO86" s="167">
        <f t="shared" si="6"/>
        <v>-137</v>
      </c>
      <c r="AP86" s="163"/>
      <c r="AQ86" s="157">
        <f t="shared" si="7"/>
        <v>0</v>
      </c>
    </row>
    <row r="87" spans="6:43" ht="20.100000000000001" customHeight="1" x14ac:dyDescent="0.25">
      <c r="F87" s="200"/>
      <c r="H87" s="200"/>
      <c r="I87" s="200"/>
      <c r="J87" s="213"/>
      <c r="K87" s="213"/>
      <c r="L87" s="200"/>
      <c r="M87" s="200"/>
      <c r="N87" s="200"/>
      <c r="O87" s="200"/>
      <c r="P87" s="200"/>
      <c r="Q87" s="200"/>
      <c r="R87" s="200"/>
      <c r="T87" s="159">
        <f t="shared" si="4"/>
        <v>18</v>
      </c>
      <c r="U87" s="80"/>
      <c r="V87" s="253" t="s">
        <v>557</v>
      </c>
      <c r="W87" s="80"/>
      <c r="X87" s="80"/>
      <c r="Y87" s="167"/>
      <c r="Z87" s="70"/>
      <c r="AA87" s="167"/>
      <c r="AB87" s="163"/>
      <c r="AC87" s="263"/>
      <c r="AD87" s="263"/>
      <c r="AE87" s="169">
        <f>SUM(AE82:AE86)</f>
        <v>636</v>
      </c>
      <c r="AF87" s="163"/>
      <c r="AG87" s="170">
        <f t="shared" si="5"/>
        <v>2.5</v>
      </c>
      <c r="AH87" s="198"/>
      <c r="AI87" s="169">
        <f>SUM(AI82:AI86)</f>
        <v>0</v>
      </c>
      <c r="AJ87" s="163"/>
      <c r="AK87" s="170">
        <f t="shared" ref="AK87" si="15">ROUND((AI87/AE87)*100,1)</f>
        <v>0</v>
      </c>
      <c r="AL87" s="158"/>
      <c r="AM87" s="169">
        <f>SUM(AM82:AM86)</f>
        <v>0</v>
      </c>
      <c r="AN87" s="163"/>
      <c r="AO87" s="169">
        <f>SUM(AO82:AO86)</f>
        <v>636</v>
      </c>
      <c r="AP87" s="163"/>
      <c r="AQ87" s="157">
        <f t="shared" si="7"/>
        <v>0</v>
      </c>
    </row>
    <row r="88" spans="6:43" ht="15.75" customHeight="1" x14ac:dyDescent="0.25">
      <c r="F88" s="200"/>
      <c r="H88" s="200"/>
      <c r="I88" s="200"/>
      <c r="J88" s="213"/>
      <c r="K88" s="213"/>
      <c r="L88" s="200"/>
      <c r="M88" s="200"/>
      <c r="N88" s="200"/>
      <c r="O88" s="200"/>
      <c r="P88" s="200"/>
      <c r="Q88" s="200"/>
      <c r="R88" s="200"/>
      <c r="T88" s="159"/>
      <c r="U88" s="80"/>
      <c r="V88" s="253"/>
      <c r="W88" s="80"/>
      <c r="X88" s="80"/>
      <c r="Y88" s="163"/>
      <c r="Z88" s="70"/>
      <c r="AA88" s="163"/>
      <c r="AB88" s="163"/>
      <c r="AC88" s="263"/>
      <c r="AD88" s="263"/>
      <c r="AE88" s="163"/>
      <c r="AF88" s="163"/>
      <c r="AG88" s="197"/>
      <c r="AH88" s="198"/>
      <c r="AI88" s="163"/>
      <c r="AJ88" s="163"/>
      <c r="AK88" s="197"/>
      <c r="AL88" s="158"/>
      <c r="AM88" s="163"/>
      <c r="AN88" s="163"/>
      <c r="AO88" s="163"/>
      <c r="AP88" s="163"/>
      <c r="AQ88" s="157"/>
    </row>
    <row r="89" spans="6:43" ht="20.100000000000001" customHeight="1" thickBot="1" x14ac:dyDescent="0.3">
      <c r="T89" s="159">
        <f>A42</f>
        <v>19</v>
      </c>
      <c r="U89" s="80"/>
      <c r="V89" s="265" t="s">
        <v>581</v>
      </c>
      <c r="W89" s="80"/>
      <c r="X89" s="80"/>
      <c r="Y89" s="275">
        <f>Y79</f>
        <v>36</v>
      </c>
      <c r="Z89" s="70"/>
      <c r="AA89" s="275">
        <f>AA79</f>
        <v>299922</v>
      </c>
      <c r="AB89" s="163"/>
      <c r="AC89" s="263"/>
      <c r="AD89" s="263"/>
      <c r="AE89" s="275">
        <f>AE87+AE79</f>
        <v>25921</v>
      </c>
      <c r="AF89" s="163"/>
      <c r="AG89" s="291">
        <v>100</v>
      </c>
      <c r="AH89" s="198"/>
      <c r="AI89" s="275">
        <f>AI87+AI79</f>
        <v>2579</v>
      </c>
      <c r="AJ89" s="163"/>
      <c r="AK89" s="291">
        <f>ROUND((AI89/AE89)*100,1)</f>
        <v>9.9</v>
      </c>
      <c r="AL89" s="158"/>
      <c r="AM89" s="275">
        <f>AM87+AM79</f>
        <v>0</v>
      </c>
      <c r="AN89" s="163"/>
      <c r="AO89" s="275">
        <f>AO87+AO79</f>
        <v>25921</v>
      </c>
      <c r="AP89" s="79"/>
      <c r="AQ89" s="157">
        <f>IF(AO89=0,"0.0 ",ROUND((AI89/AO89)*100,1))</f>
        <v>9.9</v>
      </c>
    </row>
    <row r="90" spans="6:43" ht="16.5" thickTop="1" x14ac:dyDescent="0.25">
      <c r="T90" s="80"/>
      <c r="U90" s="80"/>
      <c r="V90" s="80"/>
      <c r="W90" s="80"/>
      <c r="X90" s="80"/>
      <c r="Y90" s="79"/>
      <c r="Z90" s="70"/>
      <c r="AA90" s="79"/>
      <c r="AB90" s="79"/>
      <c r="AC90" s="263"/>
      <c r="AD90" s="263"/>
      <c r="AE90" s="79"/>
      <c r="AF90" s="163"/>
      <c r="AG90" s="155"/>
      <c r="AH90" s="163"/>
      <c r="AI90" s="70"/>
      <c r="AJ90" s="70"/>
      <c r="AK90" s="164"/>
      <c r="AL90" s="70"/>
      <c r="AM90" s="70"/>
      <c r="AN90" s="85"/>
      <c r="AO90" s="70"/>
      <c r="AP90" s="70"/>
      <c r="AQ90" s="164"/>
    </row>
    <row r="91" spans="6:43" x14ac:dyDescent="0.25">
      <c r="L91" s="200"/>
      <c r="M91" s="200"/>
      <c r="N91" s="200"/>
      <c r="O91" s="200"/>
      <c r="P91" s="200"/>
      <c r="Q91" s="200"/>
      <c r="R91" s="200"/>
      <c r="T91" s="80"/>
      <c r="U91" s="80"/>
      <c r="V91" s="173" t="s">
        <v>61</v>
      </c>
      <c r="W91" s="80"/>
      <c r="X91" s="80"/>
      <c r="Y91" s="189"/>
      <c r="Z91" s="80"/>
      <c r="AA91" s="189"/>
      <c r="AB91" s="189"/>
      <c r="AC91" s="310"/>
      <c r="AD91" s="310"/>
      <c r="AE91" s="189"/>
      <c r="AF91" s="200"/>
      <c r="AG91" s="296"/>
      <c r="AH91" s="200"/>
      <c r="AI91" s="80"/>
      <c r="AJ91" s="80"/>
      <c r="AK91" s="188"/>
      <c r="AL91" s="80"/>
      <c r="AM91" s="80"/>
      <c r="AO91" s="80"/>
      <c r="AP91" s="80"/>
      <c r="AQ91" s="188"/>
    </row>
    <row r="92" spans="6:43" x14ac:dyDescent="0.25">
      <c r="T92" s="82"/>
      <c r="U92" s="80"/>
      <c r="V92" s="82"/>
      <c r="W92" s="80"/>
      <c r="X92" s="80"/>
      <c r="Y92" s="189"/>
      <c r="Z92" s="80"/>
      <c r="AA92" s="189"/>
      <c r="AB92" s="189"/>
      <c r="AC92" s="310"/>
      <c r="AD92" s="310"/>
      <c r="AE92" s="189"/>
      <c r="AF92" s="200"/>
      <c r="AG92" s="296"/>
      <c r="AH92" s="200"/>
      <c r="AI92" s="80"/>
      <c r="AJ92" s="80"/>
      <c r="AK92" s="188"/>
      <c r="AL92" s="80"/>
      <c r="AM92" s="80"/>
      <c r="AO92" s="80"/>
      <c r="AP92" s="80"/>
      <c r="AQ92" s="188"/>
    </row>
    <row r="93" spans="6:43" x14ac:dyDescent="0.25">
      <c r="J93" s="202"/>
      <c r="K93" s="202"/>
      <c r="Z93" s="202"/>
    </row>
    <row r="94" spans="6:43" x14ac:dyDescent="0.25">
      <c r="H94" s="154"/>
      <c r="I94" s="154"/>
      <c r="Y94" s="154"/>
    </row>
    <row r="95" spans="6:43" x14ac:dyDescent="0.25">
      <c r="J95" s="202"/>
      <c r="K95" s="202"/>
      <c r="Z95" s="202"/>
    </row>
    <row r="96" spans="6:43" x14ac:dyDescent="0.25">
      <c r="L96" s="154"/>
      <c r="M96" s="154"/>
      <c r="AA96" s="154"/>
      <c r="AB96" s="154"/>
    </row>
    <row r="97" spans="1:40" x14ac:dyDescent="0.25">
      <c r="A97" s="202"/>
      <c r="R97" s="154"/>
      <c r="AK97" s="297"/>
      <c r="AL97" s="154"/>
    </row>
    <row r="98" spans="1:40" x14ac:dyDescent="0.25">
      <c r="A98" s="202"/>
      <c r="R98" s="154"/>
      <c r="AK98" s="297"/>
      <c r="AL98" s="154"/>
    </row>
    <row r="99" spans="1:40" x14ac:dyDescent="0.25">
      <c r="A99" s="154"/>
      <c r="R99" s="154"/>
      <c r="AK99" s="297"/>
      <c r="AL99" s="154"/>
    </row>
    <row r="100" spans="1:40" x14ac:dyDescent="0.25">
      <c r="L100" s="154"/>
      <c r="M100" s="154"/>
      <c r="R100" s="202"/>
      <c r="AA100" s="154"/>
      <c r="AB100" s="154"/>
      <c r="AK100" s="209"/>
      <c r="AL100" s="202"/>
    </row>
    <row r="101" spans="1:40" x14ac:dyDescent="0.2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208"/>
      <c r="AH101" s="102"/>
      <c r="AI101" s="102"/>
      <c r="AJ101" s="102"/>
      <c r="AK101" s="208"/>
      <c r="AL101" s="102"/>
      <c r="AM101" s="102"/>
      <c r="AN101" s="102"/>
    </row>
    <row r="102" spans="1:40" x14ac:dyDescent="0.25">
      <c r="L102" s="103"/>
      <c r="M102" s="103"/>
      <c r="N102" s="103"/>
      <c r="O102" s="103"/>
      <c r="R102" s="103"/>
      <c r="AA102" s="103"/>
      <c r="AB102" s="103"/>
      <c r="AC102" s="103"/>
      <c r="AD102" s="103"/>
      <c r="AE102" s="103"/>
      <c r="AF102" s="103"/>
      <c r="AG102" s="185"/>
      <c r="AH102" s="103"/>
      <c r="AK102" s="185"/>
      <c r="AL102" s="103"/>
      <c r="AM102" s="103"/>
      <c r="AN102" s="103"/>
    </row>
    <row r="103" spans="1:40" x14ac:dyDescent="0.25">
      <c r="L103" s="103"/>
      <c r="M103" s="103"/>
      <c r="N103" s="103"/>
      <c r="O103" s="103"/>
      <c r="R103" s="103"/>
      <c r="Z103" s="103"/>
      <c r="AA103" s="103"/>
      <c r="AB103" s="103"/>
      <c r="AC103" s="103"/>
      <c r="AD103" s="103"/>
      <c r="AE103" s="103"/>
      <c r="AF103" s="103"/>
      <c r="AG103" s="185"/>
      <c r="AH103" s="103"/>
      <c r="AK103" s="185"/>
      <c r="AL103" s="103"/>
      <c r="AM103" s="103"/>
      <c r="AN103" s="103"/>
    </row>
    <row r="104" spans="1:40" x14ac:dyDescent="0.25">
      <c r="A104" s="103"/>
      <c r="C104" s="103"/>
      <c r="D104" s="103"/>
      <c r="E104" s="103"/>
      <c r="F104" s="103"/>
      <c r="J104" s="103"/>
      <c r="K104" s="103"/>
      <c r="L104" s="103"/>
      <c r="M104" s="103"/>
      <c r="N104" s="103"/>
      <c r="O104" s="103"/>
      <c r="P104" s="103"/>
      <c r="Q104" s="103"/>
      <c r="R104" s="103"/>
      <c r="T104" s="103"/>
      <c r="U104" s="103"/>
      <c r="V104" s="103"/>
      <c r="Z104" s="103"/>
      <c r="AA104" s="103"/>
      <c r="AB104" s="103"/>
      <c r="AC104" s="103"/>
      <c r="AD104" s="103"/>
      <c r="AE104" s="103"/>
      <c r="AF104" s="103"/>
      <c r="AG104" s="185"/>
      <c r="AH104" s="103"/>
      <c r="AI104" s="103"/>
      <c r="AJ104" s="103"/>
      <c r="AK104" s="185"/>
      <c r="AL104" s="103"/>
      <c r="AM104" s="103"/>
      <c r="AN104" s="103"/>
    </row>
    <row r="105" spans="1:40" x14ac:dyDescent="0.25">
      <c r="A105" s="103"/>
      <c r="C105" s="103"/>
      <c r="D105" s="103"/>
      <c r="E105" s="103"/>
      <c r="F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T105" s="103"/>
      <c r="U105" s="103"/>
      <c r="V105" s="103"/>
      <c r="Y105" s="103"/>
      <c r="Z105" s="103"/>
      <c r="AA105" s="103"/>
      <c r="AB105" s="103"/>
      <c r="AC105" s="103"/>
      <c r="AD105" s="103"/>
      <c r="AE105" s="103"/>
      <c r="AF105" s="103"/>
      <c r="AG105" s="185"/>
      <c r="AH105" s="103"/>
      <c r="AI105" s="103"/>
      <c r="AJ105" s="103"/>
      <c r="AK105" s="185"/>
      <c r="AL105" s="103"/>
      <c r="AM105" s="103"/>
      <c r="AN105" s="103"/>
    </row>
    <row r="106" spans="1:40" x14ac:dyDescent="0.25">
      <c r="C106" s="103"/>
      <c r="D106" s="103"/>
      <c r="E106" s="103"/>
      <c r="F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T106" s="103"/>
      <c r="U106" s="103"/>
      <c r="V106" s="103"/>
      <c r="Y106" s="103"/>
      <c r="Z106" s="103"/>
      <c r="AA106" s="103"/>
      <c r="AB106" s="103"/>
      <c r="AC106" s="103"/>
      <c r="AD106" s="103"/>
      <c r="AE106" s="103"/>
      <c r="AF106" s="103"/>
      <c r="AG106" s="185"/>
      <c r="AH106" s="103"/>
      <c r="AI106" s="103"/>
      <c r="AJ106" s="103"/>
      <c r="AK106" s="185"/>
      <c r="AL106" s="103"/>
      <c r="AM106" s="103"/>
      <c r="AN106" s="103"/>
    </row>
    <row r="107" spans="1:40" x14ac:dyDescent="0.2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208"/>
      <c r="AH107" s="102"/>
      <c r="AI107" s="102"/>
      <c r="AJ107" s="102"/>
      <c r="AK107" s="208"/>
      <c r="AL107" s="102"/>
      <c r="AM107" s="102"/>
      <c r="AN107" s="102"/>
    </row>
    <row r="108" spans="1:40" x14ac:dyDescent="0.25"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Y108" s="103"/>
      <c r="Z108" s="103"/>
      <c r="AA108" s="103"/>
      <c r="AB108" s="103"/>
      <c r="AC108" s="103"/>
      <c r="AD108" s="103"/>
      <c r="AE108" s="103"/>
      <c r="AF108" s="103"/>
      <c r="AG108" s="185"/>
      <c r="AH108" s="103"/>
      <c r="AI108" s="103"/>
      <c r="AJ108" s="103"/>
      <c r="AK108" s="185"/>
      <c r="AL108" s="103"/>
      <c r="AM108" s="103"/>
      <c r="AN108" s="103"/>
    </row>
    <row r="109" spans="1:40" x14ac:dyDescent="0.25">
      <c r="A109" s="202"/>
      <c r="C109" s="154"/>
      <c r="D109" s="154"/>
      <c r="E109" s="154"/>
      <c r="T109" s="154"/>
      <c r="U109" s="154"/>
    </row>
    <row r="110" spans="1:40" x14ac:dyDescent="0.25">
      <c r="A110" s="202"/>
      <c r="C110" s="154"/>
      <c r="T110" s="154"/>
    </row>
    <row r="112" spans="1:40" x14ac:dyDescent="0.25">
      <c r="A112" s="202"/>
      <c r="C112" s="154"/>
      <c r="T112" s="154"/>
    </row>
    <row r="113" spans="1:40" x14ac:dyDescent="0.25">
      <c r="A113" s="202"/>
      <c r="C113" s="154"/>
      <c r="F113" s="252"/>
      <c r="H113" s="252"/>
      <c r="I113" s="252"/>
      <c r="J113" s="300"/>
      <c r="K113" s="300"/>
      <c r="L113" s="200"/>
      <c r="M113" s="200"/>
      <c r="N113" s="210"/>
      <c r="O113" s="210"/>
      <c r="P113" s="202"/>
      <c r="Q113" s="202"/>
      <c r="R113" s="200"/>
      <c r="T113" s="154"/>
      <c r="V113" s="200"/>
      <c r="Y113" s="252"/>
      <c r="Z113" s="300"/>
      <c r="AA113" s="200"/>
      <c r="AB113" s="200"/>
      <c r="AC113" s="210"/>
      <c r="AD113" s="210"/>
      <c r="AE113" s="200"/>
      <c r="AF113" s="200"/>
      <c r="AG113" s="325"/>
      <c r="AH113" s="326"/>
      <c r="AI113" s="202"/>
      <c r="AJ113" s="202"/>
      <c r="AK113" s="209"/>
      <c r="AL113" s="200"/>
      <c r="AM113" s="327"/>
      <c r="AN113" s="327"/>
    </row>
    <row r="114" spans="1:40" x14ac:dyDescent="0.25">
      <c r="A114" s="202"/>
      <c r="C114" s="154"/>
      <c r="F114" s="252"/>
      <c r="H114" s="252"/>
      <c r="I114" s="252"/>
      <c r="J114" s="300"/>
      <c r="K114" s="300"/>
      <c r="L114" s="200"/>
      <c r="M114" s="200"/>
      <c r="N114" s="210"/>
      <c r="O114" s="210"/>
      <c r="P114" s="202"/>
      <c r="Q114" s="202"/>
      <c r="R114" s="200"/>
      <c r="T114" s="154"/>
      <c r="V114" s="200"/>
      <c r="Y114" s="252"/>
      <c r="Z114" s="300"/>
      <c r="AA114" s="200"/>
      <c r="AB114" s="200"/>
      <c r="AC114" s="210"/>
      <c r="AD114" s="210"/>
      <c r="AE114" s="200"/>
      <c r="AF114" s="200"/>
      <c r="AG114" s="209"/>
      <c r="AH114" s="201"/>
      <c r="AI114" s="202"/>
      <c r="AJ114" s="202"/>
      <c r="AK114" s="209"/>
      <c r="AL114" s="200"/>
      <c r="AM114" s="210"/>
      <c r="AN114" s="210"/>
    </row>
    <row r="115" spans="1:40" x14ac:dyDescent="0.25">
      <c r="A115" s="202"/>
      <c r="C115" s="154"/>
      <c r="F115" s="252"/>
      <c r="H115" s="252"/>
      <c r="I115" s="252"/>
      <c r="J115" s="300"/>
      <c r="K115" s="300"/>
      <c r="L115" s="200"/>
      <c r="M115" s="200"/>
      <c r="N115" s="210"/>
      <c r="O115" s="210"/>
      <c r="P115" s="202"/>
      <c r="Q115" s="202"/>
      <c r="R115" s="200"/>
      <c r="T115" s="154"/>
      <c r="V115" s="200"/>
      <c r="Y115" s="252"/>
      <c r="Z115" s="300"/>
      <c r="AA115" s="200"/>
      <c r="AB115" s="200"/>
      <c r="AC115" s="210"/>
      <c r="AD115" s="210"/>
      <c r="AE115" s="200"/>
      <c r="AF115" s="200"/>
      <c r="AG115" s="209"/>
      <c r="AH115" s="201"/>
      <c r="AI115" s="202"/>
      <c r="AJ115" s="202"/>
      <c r="AK115" s="209"/>
      <c r="AL115" s="200"/>
      <c r="AM115" s="210"/>
      <c r="AN115" s="210"/>
    </row>
    <row r="116" spans="1:40" x14ac:dyDescent="0.25">
      <c r="F116" s="211"/>
      <c r="H116" s="200"/>
      <c r="I116" s="200"/>
      <c r="J116" s="305"/>
      <c r="K116" s="305"/>
      <c r="L116" s="211"/>
      <c r="M116" s="211"/>
      <c r="N116" s="211"/>
      <c r="O116" s="211"/>
      <c r="P116" s="211"/>
      <c r="Q116" s="211"/>
      <c r="R116" s="211"/>
      <c r="V116" s="211"/>
      <c r="Y116" s="200"/>
      <c r="Z116" s="305"/>
      <c r="AA116" s="211"/>
      <c r="AB116" s="211"/>
      <c r="AC116" s="211"/>
      <c r="AD116" s="211"/>
      <c r="AE116" s="211"/>
      <c r="AF116" s="211"/>
      <c r="AI116" s="211"/>
      <c r="AJ116" s="211"/>
      <c r="AK116" s="212"/>
      <c r="AL116" s="211"/>
      <c r="AM116" s="210"/>
      <c r="AN116" s="210"/>
    </row>
    <row r="117" spans="1:40" x14ac:dyDescent="0.25">
      <c r="A117" s="202"/>
      <c r="C117" s="154"/>
      <c r="F117" s="200"/>
      <c r="H117" s="200"/>
      <c r="I117" s="200"/>
      <c r="J117" s="305"/>
      <c r="K117" s="305"/>
      <c r="L117" s="200"/>
      <c r="M117" s="200"/>
      <c r="N117" s="210"/>
      <c r="O117" s="210"/>
      <c r="P117" s="200"/>
      <c r="Q117" s="200"/>
      <c r="R117" s="200"/>
      <c r="T117" s="154"/>
      <c r="V117" s="200"/>
      <c r="Y117" s="200"/>
      <c r="Z117" s="213"/>
      <c r="AA117" s="200"/>
      <c r="AB117" s="200"/>
      <c r="AC117" s="210"/>
      <c r="AD117" s="210"/>
      <c r="AE117" s="200"/>
      <c r="AF117" s="200"/>
      <c r="AG117" s="209"/>
      <c r="AH117" s="201"/>
      <c r="AI117" s="200"/>
      <c r="AJ117" s="200"/>
      <c r="AK117" s="209"/>
      <c r="AL117" s="200"/>
      <c r="AM117" s="210"/>
      <c r="AN117" s="210"/>
    </row>
    <row r="118" spans="1:40" x14ac:dyDescent="0.25">
      <c r="F118" s="211"/>
      <c r="H118" s="200"/>
      <c r="I118" s="200"/>
      <c r="J118" s="305"/>
      <c r="K118" s="305"/>
      <c r="L118" s="211"/>
      <c r="M118" s="211"/>
      <c r="N118" s="211"/>
      <c r="O118" s="211"/>
      <c r="P118" s="211"/>
      <c r="Q118" s="211"/>
      <c r="R118" s="211"/>
      <c r="V118" s="211"/>
      <c r="Y118" s="200"/>
      <c r="Z118" s="305"/>
      <c r="AA118" s="211"/>
      <c r="AB118" s="211"/>
      <c r="AC118" s="211"/>
      <c r="AD118" s="211"/>
      <c r="AE118" s="211"/>
      <c r="AF118" s="211"/>
      <c r="AI118" s="211"/>
      <c r="AJ118" s="211"/>
      <c r="AK118" s="212"/>
      <c r="AL118" s="211"/>
      <c r="AM118" s="210"/>
      <c r="AN118" s="210"/>
    </row>
    <row r="119" spans="1:40" x14ac:dyDescent="0.25">
      <c r="A119" s="202"/>
      <c r="C119" s="154"/>
      <c r="F119" s="252"/>
      <c r="H119" s="252"/>
      <c r="I119" s="252"/>
      <c r="J119" s="328"/>
      <c r="K119" s="328"/>
      <c r="L119" s="200"/>
      <c r="M119" s="200"/>
      <c r="N119" s="210"/>
      <c r="O119" s="210"/>
      <c r="P119" s="200"/>
      <c r="Q119" s="200"/>
      <c r="R119" s="200"/>
      <c r="S119" s="200"/>
      <c r="T119" s="154"/>
      <c r="V119" s="252"/>
      <c r="Y119" s="252"/>
      <c r="Z119" s="328"/>
      <c r="AA119" s="200"/>
      <c r="AB119" s="200"/>
      <c r="AC119" s="210"/>
      <c r="AD119" s="210"/>
      <c r="AE119" s="200"/>
      <c r="AF119" s="200"/>
      <c r="AG119" s="209"/>
      <c r="AH119" s="210"/>
      <c r="AI119" s="200"/>
      <c r="AJ119" s="200"/>
      <c r="AK119" s="209"/>
      <c r="AL119" s="200"/>
      <c r="AM119" s="210"/>
      <c r="AN119" s="210"/>
    </row>
    <row r="120" spans="1:40" x14ac:dyDescent="0.25">
      <c r="A120" s="202"/>
      <c r="C120" s="154"/>
      <c r="F120" s="252"/>
      <c r="H120" s="252"/>
      <c r="I120" s="252"/>
      <c r="J120" s="300"/>
      <c r="K120" s="300"/>
      <c r="L120" s="200"/>
      <c r="M120" s="200"/>
      <c r="N120" s="210"/>
      <c r="O120" s="210"/>
      <c r="P120" s="200"/>
      <c r="Q120" s="200"/>
      <c r="R120" s="200"/>
      <c r="T120" s="154"/>
      <c r="V120" s="252"/>
      <c r="Y120" s="200"/>
      <c r="Z120" s="300"/>
      <c r="AA120" s="200"/>
      <c r="AB120" s="200"/>
      <c r="AC120" s="210"/>
      <c r="AD120" s="210"/>
      <c r="AE120" s="200"/>
      <c r="AF120" s="200"/>
      <c r="AG120" s="209"/>
      <c r="AH120" s="201"/>
      <c r="AI120" s="200"/>
      <c r="AJ120" s="200"/>
      <c r="AK120" s="209"/>
      <c r="AL120" s="200"/>
      <c r="AM120" s="210"/>
      <c r="AN120" s="210"/>
    </row>
    <row r="121" spans="1:40" x14ac:dyDescent="0.25">
      <c r="A121" s="202"/>
      <c r="C121" s="154"/>
      <c r="F121" s="252"/>
      <c r="H121" s="252"/>
      <c r="I121" s="252"/>
      <c r="J121" s="300"/>
      <c r="K121" s="300"/>
      <c r="L121" s="200"/>
      <c r="M121" s="200"/>
      <c r="N121" s="210"/>
      <c r="O121" s="210"/>
      <c r="P121" s="200"/>
      <c r="Q121" s="200"/>
      <c r="R121" s="200"/>
      <c r="T121" s="154"/>
      <c r="V121" s="252"/>
      <c r="Y121" s="200"/>
      <c r="Z121" s="300"/>
      <c r="AA121" s="200"/>
      <c r="AB121" s="200"/>
      <c r="AC121" s="210"/>
      <c r="AD121" s="210"/>
      <c r="AE121" s="200"/>
      <c r="AF121" s="200"/>
      <c r="AG121" s="209"/>
      <c r="AH121" s="201"/>
      <c r="AI121" s="200"/>
      <c r="AJ121" s="200"/>
      <c r="AK121" s="209"/>
      <c r="AL121" s="200"/>
      <c r="AM121" s="210"/>
      <c r="AN121" s="210"/>
    </row>
    <row r="122" spans="1:40" x14ac:dyDescent="0.25">
      <c r="F122" s="200"/>
      <c r="H122" s="211"/>
      <c r="I122" s="211"/>
      <c r="J122" s="305"/>
      <c r="K122" s="305"/>
      <c r="L122" s="211"/>
      <c r="M122" s="211"/>
      <c r="N122" s="211"/>
      <c r="O122" s="211"/>
      <c r="P122" s="211"/>
      <c r="Q122" s="211"/>
      <c r="R122" s="211"/>
      <c r="V122" s="200"/>
      <c r="Y122" s="211"/>
      <c r="Z122" s="305"/>
      <c r="AA122" s="211"/>
      <c r="AB122" s="211"/>
      <c r="AC122" s="211"/>
      <c r="AD122" s="211"/>
      <c r="AE122" s="211"/>
      <c r="AF122" s="211"/>
      <c r="AI122" s="211"/>
      <c r="AJ122" s="211"/>
      <c r="AK122" s="212"/>
      <c r="AL122" s="211"/>
      <c r="AM122" s="210"/>
      <c r="AN122" s="210"/>
    </row>
    <row r="123" spans="1:40" x14ac:dyDescent="0.25">
      <c r="A123" s="202"/>
      <c r="C123" s="154"/>
      <c r="F123" s="200"/>
      <c r="H123" s="200"/>
      <c r="I123" s="200"/>
      <c r="J123" s="305"/>
      <c r="K123" s="305"/>
      <c r="L123" s="200"/>
      <c r="M123" s="200"/>
      <c r="N123" s="210"/>
      <c r="O123" s="210"/>
      <c r="P123" s="200"/>
      <c r="Q123" s="200"/>
      <c r="R123" s="200"/>
      <c r="T123" s="154"/>
      <c r="V123" s="200"/>
      <c r="Y123" s="200"/>
      <c r="Z123" s="305"/>
      <c r="AA123" s="200"/>
      <c r="AB123" s="200"/>
      <c r="AC123" s="210"/>
      <c r="AD123" s="210"/>
      <c r="AE123" s="200"/>
      <c r="AF123" s="200"/>
      <c r="AG123" s="209"/>
      <c r="AH123" s="201"/>
      <c r="AI123" s="200"/>
      <c r="AJ123" s="200"/>
      <c r="AK123" s="209"/>
      <c r="AL123" s="200"/>
      <c r="AM123" s="210"/>
      <c r="AN123" s="210"/>
    </row>
    <row r="124" spans="1:40" x14ac:dyDescent="0.25">
      <c r="F124" s="200"/>
      <c r="H124" s="211"/>
      <c r="I124" s="211"/>
      <c r="J124" s="305"/>
      <c r="K124" s="305"/>
      <c r="L124" s="211"/>
      <c r="M124" s="211"/>
      <c r="N124" s="211"/>
      <c r="O124" s="211"/>
      <c r="P124" s="211"/>
      <c r="Q124" s="211"/>
      <c r="R124" s="211"/>
      <c r="V124" s="200"/>
      <c r="Y124" s="211"/>
      <c r="Z124" s="305"/>
      <c r="AA124" s="211"/>
      <c r="AB124" s="211"/>
      <c r="AC124" s="211"/>
      <c r="AD124" s="211"/>
      <c r="AE124" s="211"/>
      <c r="AF124" s="211"/>
      <c r="AI124" s="211"/>
      <c r="AJ124" s="211"/>
      <c r="AK124" s="212"/>
      <c r="AL124" s="211"/>
      <c r="AM124" s="210"/>
      <c r="AN124" s="210"/>
    </row>
    <row r="125" spans="1:40" x14ac:dyDescent="0.25">
      <c r="A125" s="202"/>
      <c r="C125" s="154"/>
      <c r="F125" s="200"/>
      <c r="H125" s="200"/>
      <c r="I125" s="200"/>
      <c r="J125" s="305"/>
      <c r="K125" s="305"/>
      <c r="L125" s="200"/>
      <c r="M125" s="200"/>
      <c r="N125" s="200"/>
      <c r="O125" s="200"/>
      <c r="P125" s="200"/>
      <c r="Q125" s="200"/>
      <c r="R125" s="200"/>
      <c r="T125" s="154"/>
      <c r="V125" s="200"/>
      <c r="Y125" s="200"/>
      <c r="Z125" s="305"/>
      <c r="AA125" s="200"/>
      <c r="AB125" s="200"/>
      <c r="AC125" s="200"/>
      <c r="AD125" s="200"/>
      <c r="AE125" s="200"/>
      <c r="AF125" s="200"/>
      <c r="AG125" s="209"/>
      <c r="AH125" s="201"/>
      <c r="AI125" s="200"/>
      <c r="AJ125" s="200"/>
      <c r="AK125" s="209"/>
      <c r="AL125" s="200"/>
      <c r="AM125" s="210"/>
      <c r="AN125" s="210"/>
    </row>
    <row r="126" spans="1:40" x14ac:dyDescent="0.25">
      <c r="A126" s="202"/>
      <c r="C126" s="154"/>
      <c r="F126" s="200"/>
      <c r="H126" s="252"/>
      <c r="I126" s="252"/>
      <c r="J126" s="329"/>
      <c r="K126" s="329"/>
      <c r="L126" s="200"/>
      <c r="M126" s="200"/>
      <c r="N126" s="210"/>
      <c r="O126" s="210"/>
      <c r="P126" s="200"/>
      <c r="Q126" s="200"/>
      <c r="R126" s="200"/>
      <c r="T126" s="154"/>
      <c r="V126" s="200"/>
      <c r="Y126" s="200"/>
      <c r="Z126" s="329"/>
      <c r="AA126" s="200"/>
      <c r="AB126" s="200"/>
      <c r="AC126" s="210"/>
      <c r="AD126" s="210"/>
      <c r="AE126" s="200"/>
      <c r="AF126" s="200"/>
      <c r="AG126" s="209"/>
      <c r="AH126" s="201"/>
      <c r="AI126" s="200"/>
      <c r="AJ126" s="200"/>
      <c r="AK126" s="209"/>
      <c r="AL126" s="200"/>
      <c r="AM126" s="210"/>
      <c r="AN126" s="210"/>
    </row>
    <row r="127" spans="1:40" x14ac:dyDescent="0.25">
      <c r="A127" s="202"/>
      <c r="C127" s="154"/>
      <c r="H127" s="252"/>
      <c r="I127" s="252"/>
      <c r="J127" s="329"/>
      <c r="K127" s="329"/>
      <c r="L127" s="200"/>
      <c r="M127" s="200"/>
      <c r="N127" s="210"/>
      <c r="O127" s="210"/>
      <c r="P127" s="200"/>
      <c r="Q127" s="200"/>
      <c r="R127" s="200"/>
      <c r="T127" s="154"/>
      <c r="Y127" s="200"/>
      <c r="Z127" s="329"/>
      <c r="AA127" s="200"/>
      <c r="AB127" s="200"/>
      <c r="AC127" s="210"/>
      <c r="AD127" s="210"/>
      <c r="AE127" s="200"/>
      <c r="AF127" s="200"/>
      <c r="AG127" s="209"/>
      <c r="AH127" s="201"/>
      <c r="AI127" s="200"/>
      <c r="AJ127" s="200"/>
      <c r="AK127" s="209"/>
      <c r="AL127" s="200"/>
      <c r="AM127" s="210"/>
      <c r="AN127" s="210"/>
    </row>
    <row r="128" spans="1:40" x14ac:dyDescent="0.25">
      <c r="F128" s="200"/>
      <c r="H128" s="200"/>
      <c r="I128" s="200"/>
      <c r="J128" s="305"/>
      <c r="K128" s="305"/>
      <c r="L128" s="211"/>
      <c r="M128" s="211"/>
      <c r="N128" s="211"/>
      <c r="O128" s="211"/>
      <c r="P128" s="211"/>
      <c r="Q128" s="211"/>
      <c r="R128" s="211"/>
      <c r="V128" s="200"/>
      <c r="Y128" s="200"/>
      <c r="Z128" s="305"/>
      <c r="AA128" s="211"/>
      <c r="AB128" s="211"/>
      <c r="AC128" s="211"/>
      <c r="AD128" s="211"/>
      <c r="AE128" s="211"/>
      <c r="AF128" s="211"/>
      <c r="AI128" s="211"/>
      <c r="AJ128" s="211"/>
      <c r="AK128" s="212"/>
      <c r="AL128" s="211"/>
      <c r="AM128" s="210"/>
      <c r="AN128" s="210"/>
    </row>
    <row r="129" spans="1:40" x14ac:dyDescent="0.25">
      <c r="A129" s="202"/>
      <c r="C129" s="154"/>
      <c r="F129" s="200"/>
      <c r="H129" s="200"/>
      <c r="I129" s="200"/>
      <c r="J129" s="213"/>
      <c r="K129" s="213"/>
      <c r="L129" s="200"/>
      <c r="M129" s="200"/>
      <c r="N129" s="210"/>
      <c r="O129" s="210"/>
      <c r="P129" s="200"/>
      <c r="Q129" s="200"/>
      <c r="R129" s="200"/>
      <c r="T129" s="154"/>
      <c r="V129" s="200"/>
      <c r="Y129" s="200"/>
      <c r="Z129" s="213"/>
      <c r="AA129" s="200"/>
      <c r="AB129" s="200"/>
      <c r="AC129" s="210"/>
      <c r="AD129" s="210"/>
      <c r="AE129" s="200"/>
      <c r="AF129" s="200"/>
      <c r="AG129" s="209"/>
      <c r="AH129" s="201"/>
      <c r="AI129" s="200"/>
      <c r="AJ129" s="200"/>
      <c r="AK129" s="209"/>
      <c r="AL129" s="200"/>
      <c r="AM129" s="210"/>
      <c r="AN129" s="210"/>
    </row>
    <row r="130" spans="1:40" x14ac:dyDescent="0.25">
      <c r="F130" s="200"/>
      <c r="H130" s="200"/>
      <c r="I130" s="200"/>
      <c r="J130" s="305"/>
      <c r="K130" s="305"/>
      <c r="L130" s="211"/>
      <c r="M130" s="211"/>
      <c r="N130" s="211"/>
      <c r="O130" s="211"/>
      <c r="P130" s="211"/>
      <c r="Q130" s="211"/>
      <c r="R130" s="211"/>
      <c r="V130" s="200"/>
      <c r="Y130" s="200"/>
      <c r="Z130" s="305"/>
      <c r="AA130" s="211"/>
      <c r="AB130" s="211"/>
      <c r="AC130" s="211"/>
      <c r="AD130" s="211"/>
      <c r="AE130" s="211"/>
      <c r="AF130" s="211"/>
      <c r="AI130" s="211"/>
      <c r="AJ130" s="211"/>
      <c r="AK130" s="212"/>
      <c r="AL130" s="211"/>
      <c r="AM130" s="210"/>
      <c r="AN130" s="210"/>
    </row>
    <row r="131" spans="1:40" x14ac:dyDescent="0.25">
      <c r="A131" s="202"/>
      <c r="C131" s="154"/>
      <c r="F131" s="200"/>
      <c r="H131" s="200"/>
      <c r="I131" s="200"/>
      <c r="J131" s="213"/>
      <c r="K131" s="213"/>
      <c r="L131" s="200"/>
      <c r="M131" s="200"/>
      <c r="N131" s="210"/>
      <c r="O131" s="210"/>
      <c r="P131" s="200"/>
      <c r="Q131" s="200"/>
      <c r="R131" s="200"/>
      <c r="T131" s="154"/>
      <c r="V131" s="200"/>
      <c r="Y131" s="200"/>
      <c r="Z131" s="213"/>
      <c r="AA131" s="200"/>
      <c r="AB131" s="200"/>
      <c r="AC131" s="210"/>
      <c r="AD131" s="210"/>
      <c r="AE131" s="200"/>
      <c r="AF131" s="200"/>
      <c r="AG131" s="209"/>
      <c r="AH131" s="201"/>
      <c r="AI131" s="200"/>
      <c r="AJ131" s="200"/>
      <c r="AK131" s="209"/>
      <c r="AL131" s="200"/>
      <c r="AM131" s="210"/>
      <c r="AN131" s="210"/>
    </row>
    <row r="132" spans="1:40" x14ac:dyDescent="0.25">
      <c r="A132" s="202"/>
      <c r="C132" s="154"/>
      <c r="F132" s="200"/>
      <c r="H132" s="252"/>
      <c r="I132" s="252"/>
      <c r="J132" s="320"/>
      <c r="K132" s="320"/>
      <c r="L132" s="200"/>
      <c r="M132" s="200"/>
      <c r="N132" s="210"/>
      <c r="O132" s="210"/>
      <c r="P132" s="200"/>
      <c r="Q132" s="200"/>
      <c r="R132" s="200"/>
      <c r="T132" s="154"/>
      <c r="V132" s="252"/>
      <c r="Y132" s="200"/>
      <c r="Z132" s="320"/>
      <c r="AA132" s="200"/>
      <c r="AB132" s="200"/>
      <c r="AC132" s="210"/>
      <c r="AD132" s="210"/>
      <c r="AE132" s="200"/>
      <c r="AF132" s="200"/>
      <c r="AG132" s="209"/>
      <c r="AH132" s="201"/>
      <c r="AI132" s="200"/>
      <c r="AJ132" s="200"/>
      <c r="AK132" s="209"/>
      <c r="AL132" s="200"/>
      <c r="AM132" s="210"/>
      <c r="AN132" s="210"/>
    </row>
    <row r="133" spans="1:40" x14ac:dyDescent="0.25">
      <c r="F133" s="211"/>
      <c r="H133" s="211"/>
      <c r="I133" s="211"/>
      <c r="J133" s="305"/>
      <c r="K133" s="305"/>
      <c r="L133" s="211"/>
      <c r="M133" s="211"/>
      <c r="N133" s="211"/>
      <c r="O133" s="211"/>
      <c r="P133" s="211"/>
      <c r="Q133" s="211"/>
      <c r="R133" s="211"/>
      <c r="V133" s="211"/>
      <c r="Y133" s="211"/>
      <c r="Z133" s="305"/>
      <c r="AA133" s="211"/>
      <c r="AB133" s="211"/>
      <c r="AC133" s="211"/>
      <c r="AD133" s="211"/>
      <c r="AE133" s="211"/>
      <c r="AF133" s="211"/>
      <c r="AI133" s="211"/>
      <c r="AJ133" s="211"/>
      <c r="AK133" s="212"/>
      <c r="AL133" s="211"/>
      <c r="AM133" s="210"/>
      <c r="AN133" s="210"/>
    </row>
    <row r="134" spans="1:40" x14ac:dyDescent="0.25">
      <c r="A134" s="202"/>
      <c r="C134" s="154"/>
      <c r="F134" s="200"/>
      <c r="H134" s="200"/>
      <c r="I134" s="200"/>
      <c r="J134" s="305"/>
      <c r="K134" s="305"/>
      <c r="L134" s="200"/>
      <c r="M134" s="200"/>
      <c r="N134" s="210"/>
      <c r="O134" s="210"/>
      <c r="P134" s="200"/>
      <c r="Q134" s="200"/>
      <c r="R134" s="200"/>
      <c r="S134" s="200"/>
      <c r="T134" s="154"/>
      <c r="V134" s="200"/>
      <c r="Y134" s="200"/>
      <c r="Z134" s="305"/>
      <c r="AA134" s="200"/>
      <c r="AB134" s="200"/>
      <c r="AC134" s="210"/>
      <c r="AD134" s="210"/>
      <c r="AE134" s="200"/>
      <c r="AF134" s="200"/>
      <c r="AG134" s="209"/>
      <c r="AH134" s="210"/>
      <c r="AI134" s="200"/>
      <c r="AJ134" s="200"/>
      <c r="AK134" s="209"/>
      <c r="AL134" s="200"/>
      <c r="AM134" s="210"/>
      <c r="AN134" s="210"/>
    </row>
    <row r="135" spans="1:40" x14ac:dyDescent="0.25">
      <c r="F135" s="211"/>
      <c r="H135" s="211"/>
      <c r="I135" s="211"/>
      <c r="J135" s="305"/>
      <c r="K135" s="305"/>
      <c r="L135" s="211"/>
      <c r="M135" s="211"/>
      <c r="N135" s="211"/>
      <c r="O135" s="211"/>
      <c r="P135" s="211"/>
      <c r="Q135" s="211"/>
      <c r="R135" s="211"/>
      <c r="S135" s="200"/>
      <c r="V135" s="211"/>
      <c r="Y135" s="211"/>
      <c r="Z135" s="305"/>
      <c r="AA135" s="211"/>
      <c r="AB135" s="211"/>
      <c r="AC135" s="211"/>
      <c r="AD135" s="211"/>
      <c r="AE135" s="211"/>
      <c r="AF135" s="211"/>
      <c r="AI135" s="211"/>
      <c r="AJ135" s="211"/>
      <c r="AK135" s="212"/>
      <c r="AL135" s="211"/>
      <c r="AM135" s="210"/>
      <c r="AN135" s="210"/>
    </row>
    <row r="136" spans="1:40" x14ac:dyDescent="0.25">
      <c r="A136" s="202"/>
      <c r="C136" s="154"/>
      <c r="F136" s="252"/>
      <c r="H136" s="330"/>
      <c r="I136" s="330"/>
      <c r="J136" s="305"/>
      <c r="K136" s="305"/>
      <c r="L136" s="200"/>
      <c r="M136" s="200"/>
      <c r="N136" s="210"/>
      <c r="O136" s="210"/>
      <c r="P136" s="200"/>
      <c r="Q136" s="200"/>
      <c r="R136" s="200"/>
      <c r="S136" s="200"/>
      <c r="T136" s="154"/>
      <c r="V136" s="252"/>
      <c r="Y136" s="252"/>
      <c r="Z136" s="305"/>
      <c r="AA136" s="200"/>
      <c r="AB136" s="200"/>
      <c r="AC136" s="210"/>
      <c r="AD136" s="210"/>
      <c r="AE136" s="200"/>
      <c r="AF136" s="200"/>
      <c r="AI136" s="200"/>
      <c r="AJ136" s="200"/>
      <c r="AK136" s="209"/>
      <c r="AL136" s="200"/>
      <c r="AM136" s="210"/>
      <c r="AN136" s="210"/>
    </row>
    <row r="138" spans="1:40" x14ac:dyDescent="0.25">
      <c r="A138" s="202"/>
      <c r="C138" s="154"/>
      <c r="T138" s="154"/>
    </row>
    <row r="139" spans="1:40" x14ac:dyDescent="0.25">
      <c r="A139" s="202"/>
      <c r="C139" s="154"/>
      <c r="F139" s="252"/>
      <c r="H139" s="252"/>
      <c r="I139" s="252"/>
      <c r="J139" s="300"/>
      <c r="K139" s="300"/>
      <c r="L139" s="200"/>
      <c r="M139" s="200"/>
      <c r="N139" s="210"/>
      <c r="O139" s="210"/>
      <c r="P139" s="202"/>
      <c r="Q139" s="202"/>
      <c r="R139" s="200"/>
      <c r="T139" s="154"/>
      <c r="V139" s="200"/>
      <c r="Y139" s="252"/>
      <c r="Z139" s="300"/>
      <c r="AA139" s="200"/>
      <c r="AB139" s="200"/>
      <c r="AC139" s="210"/>
      <c r="AD139" s="210"/>
      <c r="AE139" s="200"/>
      <c r="AF139" s="200"/>
      <c r="AG139" s="325"/>
      <c r="AH139" s="326"/>
      <c r="AI139" s="202"/>
      <c r="AJ139" s="202"/>
      <c r="AK139" s="209"/>
      <c r="AL139" s="200"/>
      <c r="AM139" s="327"/>
      <c r="AN139" s="327"/>
    </row>
    <row r="140" spans="1:40" x14ac:dyDescent="0.25">
      <c r="A140" s="202"/>
      <c r="C140" s="154"/>
      <c r="F140" s="252"/>
      <c r="H140" s="252"/>
      <c r="I140" s="252"/>
      <c r="J140" s="300"/>
      <c r="K140" s="300"/>
      <c r="L140" s="200"/>
      <c r="M140" s="200"/>
      <c r="N140" s="210"/>
      <c r="O140" s="210"/>
      <c r="P140" s="202"/>
      <c r="Q140" s="202"/>
      <c r="R140" s="200"/>
      <c r="T140" s="154"/>
      <c r="V140" s="200"/>
      <c r="Y140" s="252"/>
      <c r="Z140" s="300"/>
      <c r="AA140" s="200"/>
      <c r="AB140" s="200"/>
      <c r="AC140" s="210"/>
      <c r="AD140" s="210"/>
      <c r="AE140" s="200"/>
      <c r="AF140" s="200"/>
      <c r="AG140" s="209"/>
      <c r="AH140" s="201"/>
      <c r="AI140" s="202"/>
      <c r="AJ140" s="202"/>
      <c r="AK140" s="209"/>
      <c r="AL140" s="200"/>
      <c r="AM140" s="210"/>
      <c r="AN140" s="210"/>
    </row>
    <row r="141" spans="1:40" x14ac:dyDescent="0.25">
      <c r="A141" s="202"/>
      <c r="C141" s="154"/>
      <c r="F141" s="252"/>
      <c r="H141" s="252"/>
      <c r="I141" s="252"/>
      <c r="J141" s="300"/>
      <c r="K141" s="300"/>
      <c r="L141" s="200"/>
      <c r="M141" s="200"/>
      <c r="N141" s="210"/>
      <c r="O141" s="210"/>
      <c r="P141" s="202"/>
      <c r="Q141" s="202"/>
      <c r="R141" s="200"/>
      <c r="T141" s="154"/>
      <c r="V141" s="200"/>
      <c r="Y141" s="252"/>
      <c r="Z141" s="300"/>
      <c r="AA141" s="200"/>
      <c r="AB141" s="200"/>
      <c r="AC141" s="210"/>
      <c r="AD141" s="210"/>
      <c r="AE141" s="200"/>
      <c r="AF141" s="200"/>
      <c r="AG141" s="209"/>
      <c r="AH141" s="201"/>
      <c r="AI141" s="202"/>
      <c r="AJ141" s="202"/>
      <c r="AK141" s="209"/>
      <c r="AL141" s="200"/>
      <c r="AM141" s="210"/>
      <c r="AN141" s="210"/>
    </row>
    <row r="142" spans="1:40" x14ac:dyDescent="0.25">
      <c r="F142" s="211"/>
      <c r="H142" s="200"/>
      <c r="I142" s="200"/>
      <c r="J142" s="305"/>
      <c r="K142" s="305"/>
      <c r="L142" s="211"/>
      <c r="M142" s="211"/>
      <c r="N142" s="211"/>
      <c r="O142" s="211"/>
      <c r="P142" s="211"/>
      <c r="Q142" s="211"/>
      <c r="R142" s="211"/>
      <c r="V142" s="211"/>
      <c r="Y142" s="200"/>
      <c r="Z142" s="305"/>
      <c r="AA142" s="211"/>
      <c r="AB142" s="211"/>
      <c r="AC142" s="211"/>
      <c r="AD142" s="211"/>
      <c r="AE142" s="211"/>
      <c r="AF142" s="211"/>
      <c r="AI142" s="211"/>
      <c r="AJ142" s="211"/>
      <c r="AK142" s="212"/>
      <c r="AL142" s="211"/>
      <c r="AM142" s="210"/>
      <c r="AN142" s="210"/>
    </row>
    <row r="143" spans="1:40" x14ac:dyDescent="0.25">
      <c r="A143" s="202"/>
      <c r="C143" s="154"/>
      <c r="F143" s="200"/>
      <c r="H143" s="200"/>
      <c r="I143" s="200"/>
      <c r="J143" s="305"/>
      <c r="K143" s="305"/>
      <c r="L143" s="200"/>
      <c r="M143" s="200"/>
      <c r="N143" s="210"/>
      <c r="O143" s="210"/>
      <c r="P143" s="200"/>
      <c r="Q143" s="200"/>
      <c r="R143" s="200"/>
      <c r="T143" s="154"/>
      <c r="V143" s="200"/>
      <c r="Y143" s="200"/>
      <c r="Z143" s="305"/>
      <c r="AA143" s="200"/>
      <c r="AB143" s="200"/>
      <c r="AC143" s="210"/>
      <c r="AD143" s="210"/>
      <c r="AE143" s="200"/>
      <c r="AF143" s="200"/>
      <c r="AG143" s="209"/>
      <c r="AH143" s="201"/>
      <c r="AI143" s="200"/>
      <c r="AJ143" s="200"/>
      <c r="AK143" s="209"/>
      <c r="AL143" s="200"/>
      <c r="AM143" s="210"/>
      <c r="AN143" s="210"/>
    </row>
    <row r="144" spans="1:40" x14ac:dyDescent="0.25">
      <c r="F144" s="211"/>
      <c r="H144" s="200"/>
      <c r="I144" s="200"/>
      <c r="J144" s="305"/>
      <c r="K144" s="305"/>
      <c r="L144" s="211"/>
      <c r="M144" s="211"/>
      <c r="N144" s="211"/>
      <c r="O144" s="211"/>
      <c r="P144" s="211"/>
      <c r="Q144" s="211"/>
      <c r="R144" s="211"/>
      <c r="V144" s="211"/>
      <c r="Y144" s="200"/>
      <c r="Z144" s="305"/>
      <c r="AA144" s="211"/>
      <c r="AB144" s="211"/>
      <c r="AC144" s="211"/>
      <c r="AD144" s="211"/>
      <c r="AE144" s="211"/>
      <c r="AF144" s="211"/>
      <c r="AI144" s="211"/>
      <c r="AJ144" s="211"/>
      <c r="AK144" s="212"/>
      <c r="AL144" s="211"/>
      <c r="AM144" s="210"/>
      <c r="AN144" s="210"/>
    </row>
    <row r="145" spans="1:40" x14ac:dyDescent="0.25">
      <c r="A145" s="202"/>
      <c r="C145" s="154"/>
      <c r="F145" s="252"/>
      <c r="H145" s="252"/>
      <c r="I145" s="252"/>
      <c r="J145" s="328"/>
      <c r="K145" s="328"/>
      <c r="L145" s="200"/>
      <c r="M145" s="200"/>
      <c r="N145" s="210"/>
      <c r="O145" s="210"/>
      <c r="P145" s="200"/>
      <c r="Q145" s="200"/>
      <c r="R145" s="200"/>
      <c r="S145" s="200"/>
      <c r="T145" s="154"/>
      <c r="V145" s="252"/>
      <c r="Y145" s="252"/>
      <c r="Z145" s="328"/>
      <c r="AA145" s="200"/>
      <c r="AB145" s="200"/>
      <c r="AC145" s="210"/>
      <c r="AD145" s="210"/>
      <c r="AE145" s="200"/>
      <c r="AF145" s="200"/>
      <c r="AG145" s="209"/>
      <c r="AH145" s="210"/>
      <c r="AI145" s="200"/>
      <c r="AJ145" s="200"/>
      <c r="AK145" s="209"/>
      <c r="AL145" s="200"/>
      <c r="AM145" s="210"/>
      <c r="AN145" s="210"/>
    </row>
    <row r="146" spans="1:40" x14ac:dyDescent="0.25">
      <c r="A146" s="202"/>
      <c r="C146" s="154"/>
      <c r="F146" s="252"/>
      <c r="H146" s="252"/>
      <c r="I146" s="252"/>
      <c r="J146" s="300"/>
      <c r="K146" s="300"/>
      <c r="L146" s="200"/>
      <c r="M146" s="200"/>
      <c r="N146" s="210"/>
      <c r="O146" s="210"/>
      <c r="P146" s="200"/>
      <c r="Q146" s="200"/>
      <c r="R146" s="200"/>
      <c r="T146" s="154"/>
      <c r="V146" s="252"/>
      <c r="Y146" s="200"/>
      <c r="Z146" s="300"/>
      <c r="AA146" s="200"/>
      <c r="AB146" s="200"/>
      <c r="AC146" s="210"/>
      <c r="AD146" s="210"/>
      <c r="AE146" s="200"/>
      <c r="AF146" s="200"/>
      <c r="AG146" s="209"/>
      <c r="AH146" s="201"/>
      <c r="AI146" s="200"/>
      <c r="AJ146" s="200"/>
      <c r="AK146" s="209"/>
      <c r="AL146" s="200"/>
      <c r="AM146" s="210"/>
      <c r="AN146" s="210"/>
    </row>
    <row r="147" spans="1:40" x14ac:dyDescent="0.25">
      <c r="A147" s="202"/>
      <c r="C147" s="154"/>
      <c r="F147" s="252"/>
      <c r="H147" s="252"/>
      <c r="I147" s="252"/>
      <c r="J147" s="300"/>
      <c r="K147" s="300"/>
      <c r="L147" s="200"/>
      <c r="M147" s="200"/>
      <c r="N147" s="210"/>
      <c r="O147" s="210"/>
      <c r="P147" s="200"/>
      <c r="Q147" s="200"/>
      <c r="R147" s="200"/>
      <c r="T147" s="154"/>
      <c r="V147" s="252"/>
      <c r="Y147" s="200"/>
      <c r="Z147" s="300"/>
      <c r="AA147" s="200"/>
      <c r="AB147" s="200"/>
      <c r="AC147" s="210"/>
      <c r="AD147" s="210"/>
      <c r="AE147" s="200"/>
      <c r="AF147" s="200"/>
      <c r="AG147" s="209"/>
      <c r="AH147" s="201"/>
      <c r="AI147" s="200"/>
      <c r="AJ147" s="200"/>
      <c r="AK147" s="209"/>
      <c r="AL147" s="200"/>
      <c r="AM147" s="210"/>
      <c r="AN147" s="210"/>
    </row>
    <row r="148" spans="1:40" x14ac:dyDescent="0.25">
      <c r="F148" s="200"/>
      <c r="H148" s="211"/>
      <c r="I148" s="211"/>
      <c r="J148" s="305"/>
      <c r="K148" s="305"/>
      <c r="L148" s="211"/>
      <c r="M148" s="211"/>
      <c r="N148" s="211"/>
      <c r="O148" s="211"/>
      <c r="P148" s="211"/>
      <c r="Q148" s="211"/>
      <c r="R148" s="211"/>
      <c r="V148" s="200"/>
      <c r="Y148" s="211"/>
      <c r="Z148" s="305"/>
      <c r="AA148" s="211"/>
      <c r="AB148" s="211"/>
      <c r="AC148" s="211"/>
      <c r="AD148" s="211"/>
      <c r="AE148" s="211"/>
      <c r="AF148" s="211"/>
      <c r="AI148" s="211"/>
      <c r="AJ148" s="211"/>
      <c r="AK148" s="212"/>
      <c r="AL148" s="211"/>
      <c r="AM148" s="210"/>
      <c r="AN148" s="210"/>
    </row>
    <row r="149" spans="1:40" x14ac:dyDescent="0.25">
      <c r="A149" s="202"/>
      <c r="C149" s="154"/>
      <c r="F149" s="200"/>
      <c r="H149" s="200"/>
      <c r="I149" s="200"/>
      <c r="J149" s="305"/>
      <c r="K149" s="305"/>
      <c r="L149" s="200"/>
      <c r="M149" s="200"/>
      <c r="N149" s="210"/>
      <c r="O149" s="210"/>
      <c r="P149" s="200"/>
      <c r="Q149" s="200"/>
      <c r="R149" s="200"/>
      <c r="T149" s="154"/>
      <c r="V149" s="200"/>
      <c r="Y149" s="200"/>
      <c r="Z149" s="305"/>
      <c r="AA149" s="200"/>
      <c r="AB149" s="200"/>
      <c r="AC149" s="210"/>
      <c r="AD149" s="210"/>
      <c r="AE149" s="200"/>
      <c r="AF149" s="200"/>
      <c r="AG149" s="209"/>
      <c r="AH149" s="201"/>
      <c r="AI149" s="200"/>
      <c r="AJ149" s="200"/>
      <c r="AK149" s="209"/>
      <c r="AL149" s="200"/>
      <c r="AM149" s="210"/>
      <c r="AN149" s="210"/>
    </row>
    <row r="150" spans="1:40" x14ac:dyDescent="0.25">
      <c r="F150" s="200"/>
      <c r="H150" s="211"/>
      <c r="I150" s="211"/>
      <c r="J150" s="305"/>
      <c r="K150" s="305"/>
      <c r="L150" s="211"/>
      <c r="M150" s="211"/>
      <c r="N150" s="211"/>
      <c r="O150" s="211"/>
      <c r="P150" s="211"/>
      <c r="Q150" s="211"/>
      <c r="R150" s="211"/>
      <c r="V150" s="200"/>
      <c r="Y150" s="211"/>
      <c r="Z150" s="305"/>
      <c r="AA150" s="211"/>
      <c r="AB150" s="211"/>
      <c r="AC150" s="211"/>
      <c r="AD150" s="211"/>
      <c r="AE150" s="211"/>
      <c r="AF150" s="211"/>
      <c r="AI150" s="211"/>
      <c r="AJ150" s="211"/>
      <c r="AK150" s="212"/>
      <c r="AL150" s="211"/>
      <c r="AM150" s="210"/>
      <c r="AN150" s="210"/>
    </row>
    <row r="151" spans="1:40" x14ac:dyDescent="0.25">
      <c r="A151" s="202"/>
      <c r="C151" s="154"/>
      <c r="F151" s="200"/>
      <c r="H151" s="200"/>
      <c r="I151" s="200"/>
      <c r="J151" s="305"/>
      <c r="K151" s="305"/>
      <c r="L151" s="200"/>
      <c r="M151" s="200"/>
      <c r="N151" s="200"/>
      <c r="O151" s="200"/>
      <c r="P151" s="200"/>
      <c r="Q151" s="200"/>
      <c r="R151" s="200"/>
      <c r="T151" s="154"/>
      <c r="V151" s="200"/>
      <c r="Y151" s="200"/>
      <c r="Z151" s="305"/>
      <c r="AA151" s="200"/>
      <c r="AB151" s="200"/>
      <c r="AC151" s="200"/>
      <c r="AD151" s="200"/>
      <c r="AE151" s="200"/>
      <c r="AF151" s="200"/>
      <c r="AG151" s="209"/>
      <c r="AH151" s="201"/>
      <c r="AI151" s="200"/>
      <c r="AJ151" s="200"/>
      <c r="AK151" s="209"/>
      <c r="AL151" s="200"/>
      <c r="AM151" s="210"/>
      <c r="AN151" s="210"/>
    </row>
    <row r="152" spans="1:40" x14ac:dyDescent="0.25">
      <c r="A152" s="202"/>
      <c r="C152" s="154"/>
      <c r="F152" s="200"/>
      <c r="H152" s="252"/>
      <c r="I152" s="252"/>
      <c r="J152" s="329"/>
      <c r="K152" s="329"/>
      <c r="L152" s="200"/>
      <c r="M152" s="200"/>
      <c r="N152" s="210"/>
      <c r="O152" s="210"/>
      <c r="P152" s="200"/>
      <c r="Q152" s="200"/>
      <c r="R152" s="200"/>
      <c r="T152" s="154"/>
      <c r="V152" s="200"/>
      <c r="Y152" s="200"/>
      <c r="Z152" s="329"/>
      <c r="AA152" s="200"/>
      <c r="AB152" s="200"/>
      <c r="AC152" s="210"/>
      <c r="AD152" s="210"/>
      <c r="AE152" s="200"/>
      <c r="AF152" s="200"/>
      <c r="AG152" s="209"/>
      <c r="AH152" s="201"/>
      <c r="AI152" s="200"/>
      <c r="AJ152" s="200"/>
      <c r="AK152" s="209"/>
      <c r="AL152" s="200"/>
      <c r="AM152" s="210"/>
      <c r="AN152" s="210"/>
    </row>
    <row r="153" spans="1:40" x14ac:dyDescent="0.25">
      <c r="A153" s="202"/>
      <c r="C153" s="154"/>
      <c r="H153" s="252"/>
      <c r="I153" s="252"/>
      <c r="J153" s="329"/>
      <c r="K153" s="329"/>
      <c r="L153" s="200"/>
      <c r="M153" s="200"/>
      <c r="N153" s="210"/>
      <c r="O153" s="210"/>
      <c r="P153" s="200"/>
      <c r="Q153" s="200"/>
      <c r="R153" s="200"/>
      <c r="T153" s="154"/>
      <c r="Y153" s="200"/>
      <c r="Z153" s="329"/>
      <c r="AA153" s="200"/>
      <c r="AB153" s="200"/>
      <c r="AC153" s="210"/>
      <c r="AD153" s="210"/>
      <c r="AE153" s="200"/>
      <c r="AF153" s="200"/>
      <c r="AG153" s="209"/>
      <c r="AH153" s="201"/>
      <c r="AI153" s="200"/>
      <c r="AJ153" s="200"/>
      <c r="AK153" s="209"/>
      <c r="AL153" s="200"/>
      <c r="AM153" s="210"/>
      <c r="AN153" s="210"/>
    </row>
    <row r="154" spans="1:40" x14ac:dyDescent="0.25">
      <c r="F154" s="200"/>
      <c r="H154" s="200"/>
      <c r="I154" s="200"/>
      <c r="J154" s="305"/>
      <c r="K154" s="305"/>
      <c r="L154" s="211"/>
      <c r="M154" s="211"/>
      <c r="N154" s="211"/>
      <c r="O154" s="211"/>
      <c r="P154" s="211"/>
      <c r="Q154" s="211"/>
      <c r="R154" s="211"/>
      <c r="V154" s="200"/>
      <c r="Y154" s="200"/>
      <c r="Z154" s="305"/>
      <c r="AA154" s="211"/>
      <c r="AB154" s="211"/>
      <c r="AC154" s="211"/>
      <c r="AD154" s="211"/>
      <c r="AE154" s="211"/>
      <c r="AF154" s="211"/>
      <c r="AI154" s="211"/>
      <c r="AJ154" s="211"/>
      <c r="AK154" s="212"/>
      <c r="AL154" s="211"/>
      <c r="AM154" s="210"/>
      <c r="AN154" s="210"/>
    </row>
    <row r="155" spans="1:40" x14ac:dyDescent="0.25">
      <c r="A155" s="202"/>
      <c r="C155" s="154"/>
      <c r="F155" s="200"/>
      <c r="H155" s="200"/>
      <c r="I155" s="200"/>
      <c r="J155" s="213"/>
      <c r="K155" s="213"/>
      <c r="L155" s="200"/>
      <c r="M155" s="200"/>
      <c r="N155" s="210"/>
      <c r="O155" s="210"/>
      <c r="P155" s="200"/>
      <c r="Q155" s="200"/>
      <c r="R155" s="200"/>
      <c r="T155" s="154"/>
      <c r="V155" s="200"/>
      <c r="Y155" s="200"/>
      <c r="Z155" s="213"/>
      <c r="AA155" s="200"/>
      <c r="AB155" s="200"/>
      <c r="AC155" s="210"/>
      <c r="AD155" s="210"/>
      <c r="AE155" s="200"/>
      <c r="AF155" s="200"/>
      <c r="AG155" s="209"/>
      <c r="AH155" s="201"/>
      <c r="AI155" s="200"/>
      <c r="AJ155" s="200"/>
      <c r="AK155" s="209"/>
      <c r="AL155" s="200"/>
      <c r="AM155" s="210"/>
      <c r="AN155" s="210"/>
    </row>
    <row r="156" spans="1:40" x14ac:dyDescent="0.25">
      <c r="F156" s="200"/>
      <c r="H156" s="200"/>
      <c r="I156" s="200"/>
      <c r="J156" s="305"/>
      <c r="K156" s="305"/>
      <c r="L156" s="211"/>
      <c r="M156" s="211"/>
      <c r="N156" s="211"/>
      <c r="O156" s="211"/>
      <c r="P156" s="211"/>
      <c r="Q156" s="211"/>
      <c r="R156" s="211"/>
      <c r="V156" s="200"/>
      <c r="Y156" s="200"/>
      <c r="Z156" s="305"/>
      <c r="AA156" s="211"/>
      <c r="AB156" s="211"/>
      <c r="AC156" s="211"/>
      <c r="AD156" s="211"/>
      <c r="AE156" s="211"/>
      <c r="AF156" s="211"/>
      <c r="AI156" s="211"/>
      <c r="AJ156" s="211"/>
      <c r="AK156" s="212"/>
      <c r="AL156" s="211"/>
      <c r="AM156" s="210"/>
      <c r="AN156" s="210"/>
    </row>
    <row r="157" spans="1:40" x14ac:dyDescent="0.25">
      <c r="A157" s="202"/>
      <c r="C157" s="154"/>
      <c r="F157" s="200"/>
      <c r="H157" s="200"/>
      <c r="I157" s="200"/>
      <c r="J157" s="213"/>
      <c r="K157" s="213"/>
      <c r="L157" s="200"/>
      <c r="M157" s="200"/>
      <c r="N157" s="210"/>
      <c r="O157" s="210"/>
      <c r="P157" s="200"/>
      <c r="Q157" s="200"/>
      <c r="R157" s="200"/>
      <c r="T157" s="154"/>
      <c r="V157" s="200"/>
      <c r="Y157" s="200"/>
      <c r="Z157" s="213"/>
      <c r="AA157" s="200"/>
      <c r="AB157" s="200"/>
      <c r="AC157" s="210"/>
      <c r="AD157" s="210"/>
      <c r="AE157" s="200"/>
      <c r="AF157" s="200"/>
      <c r="AG157" s="209"/>
      <c r="AH157" s="201"/>
      <c r="AI157" s="200"/>
      <c r="AJ157" s="200"/>
      <c r="AK157" s="209"/>
      <c r="AL157" s="200"/>
      <c r="AM157" s="210"/>
      <c r="AN157" s="210"/>
    </row>
    <row r="158" spans="1:40" x14ac:dyDescent="0.25">
      <c r="A158" s="202"/>
      <c r="C158" s="154"/>
      <c r="F158" s="252"/>
      <c r="H158" s="252"/>
      <c r="I158" s="252"/>
      <c r="J158" s="320"/>
      <c r="K158" s="320"/>
      <c r="L158" s="200"/>
      <c r="M158" s="200"/>
      <c r="N158" s="210"/>
      <c r="O158" s="210"/>
      <c r="P158" s="200"/>
      <c r="Q158" s="200"/>
      <c r="R158" s="200"/>
      <c r="T158" s="154"/>
      <c r="V158" s="252"/>
      <c r="Y158" s="200"/>
      <c r="Z158" s="320"/>
      <c r="AA158" s="200"/>
      <c r="AB158" s="200"/>
      <c r="AC158" s="210"/>
      <c r="AD158" s="210"/>
      <c r="AE158" s="200"/>
      <c r="AF158" s="200"/>
      <c r="AG158" s="209"/>
      <c r="AH158" s="201"/>
      <c r="AI158" s="200"/>
      <c r="AJ158" s="200"/>
      <c r="AK158" s="209"/>
      <c r="AL158" s="200"/>
      <c r="AM158" s="210"/>
      <c r="AN158" s="210"/>
    </row>
    <row r="159" spans="1:40" x14ac:dyDescent="0.25">
      <c r="F159" s="211"/>
      <c r="H159" s="211"/>
      <c r="I159" s="211"/>
      <c r="J159" s="305"/>
      <c r="K159" s="305"/>
      <c r="L159" s="211"/>
      <c r="M159" s="211"/>
      <c r="N159" s="211"/>
      <c r="O159" s="211"/>
      <c r="P159" s="211"/>
      <c r="Q159" s="211"/>
      <c r="R159" s="211"/>
      <c r="V159" s="211"/>
      <c r="Y159" s="211"/>
      <c r="Z159" s="305"/>
      <c r="AA159" s="211"/>
      <c r="AB159" s="211"/>
      <c r="AC159" s="211"/>
      <c r="AD159" s="211"/>
      <c r="AE159" s="211"/>
      <c r="AF159" s="211"/>
      <c r="AI159" s="211"/>
      <c r="AJ159" s="211"/>
      <c r="AK159" s="212"/>
      <c r="AL159" s="211"/>
      <c r="AM159" s="210"/>
      <c r="AN159" s="210"/>
    </row>
    <row r="160" spans="1:40" x14ac:dyDescent="0.25">
      <c r="A160" s="202"/>
      <c r="C160" s="154"/>
      <c r="F160" s="200"/>
      <c r="H160" s="200"/>
      <c r="I160" s="200"/>
      <c r="J160" s="305"/>
      <c r="K160" s="305"/>
      <c r="L160" s="200"/>
      <c r="M160" s="200"/>
      <c r="N160" s="210"/>
      <c r="O160" s="210"/>
      <c r="P160" s="200"/>
      <c r="Q160" s="200"/>
      <c r="R160" s="200"/>
      <c r="S160" s="200"/>
      <c r="T160" s="154"/>
      <c r="V160" s="200"/>
      <c r="Y160" s="200"/>
      <c r="Z160" s="305"/>
      <c r="AA160" s="200"/>
      <c r="AB160" s="200"/>
      <c r="AC160" s="210"/>
      <c r="AD160" s="210"/>
      <c r="AE160" s="200"/>
      <c r="AF160" s="200"/>
      <c r="AG160" s="209"/>
      <c r="AH160" s="210"/>
      <c r="AI160" s="200"/>
      <c r="AJ160" s="200"/>
      <c r="AK160" s="209"/>
      <c r="AL160" s="200"/>
      <c r="AM160" s="210"/>
      <c r="AN160" s="210"/>
    </row>
    <row r="161" spans="1:40" x14ac:dyDescent="0.25">
      <c r="F161" s="211"/>
      <c r="H161" s="211"/>
      <c r="I161" s="211"/>
      <c r="J161" s="305"/>
      <c r="K161" s="305"/>
      <c r="L161" s="211"/>
      <c r="M161" s="211"/>
      <c r="N161" s="211"/>
      <c r="O161" s="211"/>
      <c r="P161" s="211"/>
      <c r="Q161" s="211"/>
      <c r="R161" s="211"/>
      <c r="S161" s="200"/>
      <c r="V161" s="211"/>
      <c r="Y161" s="211"/>
      <c r="Z161" s="305"/>
      <c r="AA161" s="211"/>
      <c r="AB161" s="211"/>
      <c r="AC161" s="211"/>
      <c r="AD161" s="211"/>
      <c r="AE161" s="211"/>
      <c r="AF161" s="211"/>
      <c r="AI161" s="211"/>
      <c r="AJ161" s="211"/>
      <c r="AK161" s="212"/>
      <c r="AL161" s="211"/>
      <c r="AM161" s="210"/>
      <c r="AN161" s="210"/>
    </row>
    <row r="162" spans="1:40" x14ac:dyDescent="0.25">
      <c r="A162" s="202"/>
      <c r="C162" s="154"/>
      <c r="T162" s="154"/>
    </row>
    <row r="163" spans="1:40" x14ac:dyDescent="0.25">
      <c r="A163" s="202"/>
      <c r="C163" s="154"/>
      <c r="F163" s="200"/>
      <c r="H163" s="200"/>
      <c r="I163" s="200"/>
      <c r="L163" s="200"/>
      <c r="M163" s="200"/>
      <c r="N163" s="210"/>
      <c r="O163" s="210"/>
      <c r="P163" s="252"/>
      <c r="Q163" s="252"/>
      <c r="R163" s="200"/>
      <c r="T163" s="154"/>
      <c r="V163" s="200"/>
      <c r="Y163" s="200"/>
      <c r="AA163" s="200"/>
      <c r="AB163" s="200"/>
      <c r="AC163" s="210"/>
      <c r="AD163" s="210"/>
      <c r="AE163" s="200"/>
      <c r="AF163" s="200"/>
      <c r="AG163" s="209"/>
      <c r="AH163" s="210"/>
      <c r="AI163" s="252"/>
      <c r="AJ163" s="252"/>
      <c r="AK163" s="209"/>
      <c r="AL163" s="200"/>
      <c r="AM163" s="210"/>
      <c r="AN163" s="210"/>
    </row>
    <row r="164" spans="1:40" x14ac:dyDescent="0.25">
      <c r="F164" s="211"/>
      <c r="H164" s="211"/>
      <c r="I164" s="211"/>
      <c r="J164" s="305"/>
      <c r="K164" s="305"/>
      <c r="L164" s="211"/>
      <c r="M164" s="211"/>
      <c r="N164" s="211"/>
      <c r="O164" s="211"/>
      <c r="P164" s="211"/>
      <c r="Q164" s="211"/>
      <c r="R164" s="211"/>
      <c r="V164" s="211"/>
      <c r="Y164" s="211"/>
      <c r="Z164" s="305"/>
      <c r="AA164" s="211"/>
      <c r="AB164" s="211"/>
      <c r="AC164" s="211"/>
      <c r="AD164" s="211"/>
      <c r="AE164" s="211"/>
      <c r="AF164" s="211"/>
      <c r="AI164" s="211"/>
      <c r="AJ164" s="211"/>
      <c r="AK164" s="212"/>
      <c r="AL164" s="211"/>
    </row>
    <row r="166" spans="1:40" x14ac:dyDescent="0.25">
      <c r="C166" s="154"/>
      <c r="L166" s="200"/>
      <c r="M166" s="200"/>
      <c r="N166" s="200"/>
      <c r="O166" s="200"/>
      <c r="P166" s="200"/>
      <c r="Q166" s="200"/>
      <c r="R166" s="200"/>
      <c r="S166" s="200"/>
      <c r="T166" s="154"/>
      <c r="AA166" s="200"/>
      <c r="AB166" s="200"/>
      <c r="AC166" s="200"/>
      <c r="AD166" s="200"/>
      <c r="AI166" s="200"/>
      <c r="AJ166" s="200"/>
      <c r="AK166" s="209"/>
      <c r="AL166" s="200"/>
    </row>
    <row r="167" spans="1:40" x14ac:dyDescent="0.25">
      <c r="A167" s="154"/>
    </row>
    <row r="168" spans="1:40" x14ac:dyDescent="0.25">
      <c r="J168" s="202"/>
      <c r="K168" s="202"/>
      <c r="Z168" s="202"/>
    </row>
    <row r="169" spans="1:40" x14ac:dyDescent="0.25">
      <c r="H169" s="154"/>
      <c r="I169" s="154"/>
      <c r="Y169" s="154"/>
    </row>
    <row r="170" spans="1:40" x14ac:dyDescent="0.25">
      <c r="J170" s="202"/>
      <c r="K170" s="202"/>
      <c r="Z170" s="202"/>
    </row>
    <row r="171" spans="1:40" x14ac:dyDescent="0.25">
      <c r="L171" s="154"/>
      <c r="M171" s="154"/>
      <c r="AA171" s="154"/>
      <c r="AB171" s="154"/>
    </row>
    <row r="172" spans="1:40" x14ac:dyDescent="0.25">
      <c r="A172" s="202"/>
      <c r="R172" s="154"/>
      <c r="AK172" s="297"/>
      <c r="AL172" s="154"/>
    </row>
    <row r="173" spans="1:40" x14ac:dyDescent="0.25">
      <c r="A173" s="202"/>
      <c r="R173" s="154"/>
      <c r="AK173" s="297"/>
      <c r="AL173" s="154"/>
    </row>
    <row r="174" spans="1:40" x14ac:dyDescent="0.25">
      <c r="A174" s="154"/>
      <c r="R174" s="154"/>
      <c r="AK174" s="297"/>
      <c r="AL174" s="154"/>
    </row>
    <row r="175" spans="1:40" x14ac:dyDescent="0.25">
      <c r="L175" s="154"/>
      <c r="M175" s="154"/>
      <c r="R175" s="202"/>
      <c r="AA175" s="154"/>
      <c r="AB175" s="154"/>
      <c r="AK175" s="209"/>
      <c r="AL175" s="202"/>
    </row>
    <row r="176" spans="1:40" x14ac:dyDescent="0.2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208"/>
      <c r="AH176" s="102"/>
      <c r="AI176" s="102"/>
      <c r="AJ176" s="102"/>
      <c r="AK176" s="208"/>
      <c r="AL176" s="102"/>
      <c r="AM176" s="102"/>
      <c r="AN176" s="102"/>
    </row>
    <row r="177" spans="1:40" x14ac:dyDescent="0.25">
      <c r="L177" s="103"/>
      <c r="M177" s="103"/>
      <c r="N177" s="103"/>
      <c r="O177" s="103"/>
      <c r="R177" s="103"/>
      <c r="AA177" s="103"/>
      <c r="AB177" s="103"/>
      <c r="AC177" s="103"/>
      <c r="AD177" s="103"/>
      <c r="AE177" s="103"/>
      <c r="AF177" s="103"/>
      <c r="AG177" s="185"/>
      <c r="AH177" s="103"/>
      <c r="AK177" s="185"/>
      <c r="AL177" s="103"/>
      <c r="AM177" s="103"/>
      <c r="AN177" s="103"/>
    </row>
    <row r="178" spans="1:40" x14ac:dyDescent="0.25">
      <c r="L178" s="103"/>
      <c r="M178" s="103"/>
      <c r="N178" s="103"/>
      <c r="O178" s="103"/>
      <c r="R178" s="103"/>
      <c r="Z178" s="103"/>
      <c r="AA178" s="103"/>
      <c r="AB178" s="103"/>
      <c r="AC178" s="103"/>
      <c r="AD178" s="103"/>
      <c r="AE178" s="103"/>
      <c r="AF178" s="103"/>
      <c r="AG178" s="185"/>
      <c r="AH178" s="103"/>
      <c r="AK178" s="185"/>
      <c r="AL178" s="103"/>
      <c r="AM178" s="103"/>
      <c r="AN178" s="103"/>
    </row>
    <row r="179" spans="1:40" x14ac:dyDescent="0.25">
      <c r="A179" s="103"/>
      <c r="C179" s="103"/>
      <c r="D179" s="103"/>
      <c r="E179" s="103"/>
      <c r="F179" s="103"/>
      <c r="J179" s="103"/>
      <c r="K179" s="103"/>
      <c r="L179" s="103"/>
      <c r="M179" s="103"/>
      <c r="N179" s="103"/>
      <c r="O179" s="103"/>
      <c r="P179" s="103"/>
      <c r="Q179" s="103"/>
      <c r="R179" s="103"/>
      <c r="T179" s="103"/>
      <c r="U179" s="103"/>
      <c r="V179" s="103"/>
      <c r="Z179" s="103"/>
      <c r="AA179" s="103"/>
      <c r="AB179" s="103"/>
      <c r="AC179" s="103"/>
      <c r="AD179" s="103"/>
      <c r="AE179" s="103"/>
      <c r="AF179" s="103"/>
      <c r="AG179" s="185"/>
      <c r="AH179" s="103"/>
      <c r="AI179" s="103"/>
      <c r="AJ179" s="103"/>
      <c r="AK179" s="185"/>
      <c r="AL179" s="103"/>
      <c r="AM179" s="103"/>
      <c r="AN179" s="103"/>
    </row>
    <row r="180" spans="1:40" x14ac:dyDescent="0.25">
      <c r="A180" s="103"/>
      <c r="C180" s="103"/>
      <c r="D180" s="103"/>
      <c r="E180" s="103"/>
      <c r="F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T180" s="103"/>
      <c r="U180" s="103"/>
      <c r="V180" s="103"/>
      <c r="Y180" s="103"/>
      <c r="Z180" s="103"/>
      <c r="AA180" s="103"/>
      <c r="AB180" s="103"/>
      <c r="AC180" s="103"/>
      <c r="AD180" s="103"/>
      <c r="AE180" s="103"/>
      <c r="AF180" s="103"/>
      <c r="AG180" s="185"/>
      <c r="AH180" s="103"/>
      <c r="AI180" s="103"/>
      <c r="AJ180" s="103"/>
      <c r="AK180" s="185"/>
      <c r="AL180" s="103"/>
      <c r="AM180" s="103"/>
      <c r="AN180" s="103"/>
    </row>
    <row r="181" spans="1:40" x14ac:dyDescent="0.25">
      <c r="C181" s="103"/>
      <c r="D181" s="103"/>
      <c r="E181" s="103"/>
      <c r="F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T181" s="103"/>
      <c r="U181" s="103"/>
      <c r="V181" s="103"/>
      <c r="Y181" s="103"/>
      <c r="Z181" s="103"/>
      <c r="AA181" s="103"/>
      <c r="AB181" s="103"/>
      <c r="AC181" s="103"/>
      <c r="AD181" s="103"/>
      <c r="AE181" s="103"/>
      <c r="AF181" s="103"/>
      <c r="AG181" s="185"/>
      <c r="AH181" s="103"/>
      <c r="AI181" s="103"/>
      <c r="AJ181" s="103"/>
      <c r="AK181" s="185"/>
      <c r="AL181" s="103"/>
      <c r="AM181" s="103"/>
      <c r="AN181" s="103"/>
    </row>
    <row r="182" spans="1:40" x14ac:dyDescent="0.25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208"/>
      <c r="AH182" s="102"/>
      <c r="AI182" s="102"/>
      <c r="AJ182" s="102"/>
      <c r="AK182" s="208"/>
      <c r="AL182" s="102"/>
      <c r="AM182" s="102"/>
      <c r="AN182" s="102"/>
    </row>
    <row r="183" spans="1:40" x14ac:dyDescent="0.25"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Y183" s="103"/>
      <c r="Z183" s="103"/>
      <c r="AA183" s="103"/>
      <c r="AB183" s="103"/>
      <c r="AC183" s="103"/>
      <c r="AD183" s="103"/>
      <c r="AE183" s="103"/>
      <c r="AF183" s="103"/>
      <c r="AG183" s="185"/>
      <c r="AH183" s="103"/>
      <c r="AI183" s="103"/>
      <c r="AJ183" s="103"/>
      <c r="AK183" s="185"/>
      <c r="AL183" s="103"/>
      <c r="AM183" s="103"/>
      <c r="AN183" s="103"/>
    </row>
    <row r="184" spans="1:40" x14ac:dyDescent="0.25">
      <c r="A184" s="202"/>
      <c r="C184" s="154"/>
      <c r="D184" s="154"/>
      <c r="E184" s="154"/>
      <c r="T184" s="154"/>
      <c r="U184" s="154"/>
    </row>
    <row r="185" spans="1:40" x14ac:dyDescent="0.25">
      <c r="A185" s="202"/>
      <c r="D185" s="154"/>
      <c r="E185" s="154"/>
      <c r="U185" s="154"/>
    </row>
    <row r="187" spans="1:40" x14ac:dyDescent="0.25">
      <c r="A187" s="202"/>
      <c r="C187" s="154"/>
      <c r="F187" s="252"/>
      <c r="H187" s="252"/>
      <c r="I187" s="252"/>
      <c r="J187" s="300"/>
      <c r="K187" s="300"/>
      <c r="L187" s="200"/>
      <c r="M187" s="200"/>
      <c r="N187" s="210"/>
      <c r="O187" s="210"/>
      <c r="R187" s="200"/>
      <c r="T187" s="154"/>
      <c r="V187" s="200"/>
      <c r="Y187" s="252"/>
      <c r="Z187" s="300"/>
      <c r="AA187" s="200"/>
      <c r="AB187" s="200"/>
      <c r="AC187" s="210"/>
      <c r="AD187" s="210"/>
      <c r="AE187" s="200"/>
      <c r="AF187" s="200"/>
      <c r="AG187" s="325"/>
      <c r="AH187" s="326"/>
      <c r="AK187" s="209"/>
      <c r="AL187" s="200"/>
      <c r="AM187" s="327"/>
      <c r="AN187" s="327"/>
    </row>
    <row r="188" spans="1:40" x14ac:dyDescent="0.25">
      <c r="A188" s="202"/>
      <c r="C188" s="154"/>
      <c r="F188" s="252"/>
      <c r="H188" s="252"/>
      <c r="I188" s="252"/>
      <c r="J188" s="300"/>
      <c r="K188" s="300"/>
      <c r="L188" s="200"/>
      <c r="M188" s="200"/>
      <c r="N188" s="210"/>
      <c r="O188" s="210"/>
      <c r="P188" s="202"/>
      <c r="Q188" s="202"/>
      <c r="R188" s="200"/>
      <c r="T188" s="154"/>
      <c r="V188" s="200"/>
      <c r="Y188" s="252"/>
      <c r="Z188" s="300"/>
      <c r="AA188" s="200"/>
      <c r="AB188" s="200"/>
      <c r="AC188" s="210"/>
      <c r="AD188" s="210"/>
      <c r="AE188" s="200"/>
      <c r="AF188" s="200"/>
      <c r="AG188" s="209"/>
      <c r="AH188" s="201"/>
      <c r="AI188" s="202"/>
      <c r="AJ188" s="202"/>
      <c r="AK188" s="209"/>
      <c r="AL188" s="200"/>
      <c r="AM188" s="210"/>
      <c r="AN188" s="210"/>
    </row>
    <row r="189" spans="1:40" x14ac:dyDescent="0.25">
      <c r="F189" s="211"/>
      <c r="H189" s="200"/>
      <c r="I189" s="200"/>
      <c r="J189" s="305"/>
      <c r="K189" s="305"/>
      <c r="L189" s="211"/>
      <c r="M189" s="211"/>
      <c r="N189" s="211"/>
      <c r="O189" s="211"/>
      <c r="P189" s="211"/>
      <c r="Q189" s="211"/>
      <c r="R189" s="211"/>
      <c r="V189" s="211"/>
      <c r="Y189" s="200"/>
      <c r="Z189" s="305"/>
      <c r="AA189" s="211"/>
      <c r="AB189" s="211"/>
      <c r="AC189" s="211"/>
      <c r="AD189" s="211"/>
      <c r="AE189" s="211"/>
      <c r="AF189" s="211"/>
      <c r="AI189" s="211"/>
      <c r="AJ189" s="211"/>
      <c r="AK189" s="212"/>
      <c r="AL189" s="211"/>
      <c r="AM189" s="210"/>
      <c r="AN189" s="210"/>
    </row>
    <row r="190" spans="1:40" x14ac:dyDescent="0.25">
      <c r="A190" s="202"/>
      <c r="C190" s="154"/>
      <c r="F190" s="200"/>
      <c r="H190" s="200"/>
      <c r="I190" s="200"/>
      <c r="J190" s="305"/>
      <c r="K190" s="305"/>
      <c r="L190" s="200"/>
      <c r="M190" s="200"/>
      <c r="N190" s="210"/>
      <c r="O190" s="210"/>
      <c r="P190" s="200"/>
      <c r="Q190" s="200"/>
      <c r="R190" s="200"/>
      <c r="T190" s="154"/>
      <c r="V190" s="200"/>
      <c r="Y190" s="200"/>
      <c r="Z190" s="213"/>
      <c r="AA190" s="200"/>
      <c r="AB190" s="200"/>
      <c r="AC190" s="210"/>
      <c r="AD190" s="210"/>
      <c r="AE190" s="200"/>
      <c r="AF190" s="200"/>
      <c r="AG190" s="209"/>
      <c r="AH190" s="201"/>
      <c r="AI190" s="200"/>
      <c r="AJ190" s="200"/>
      <c r="AK190" s="209"/>
      <c r="AL190" s="200"/>
      <c r="AM190" s="210"/>
      <c r="AN190" s="210"/>
    </row>
    <row r="191" spans="1:40" x14ac:dyDescent="0.25">
      <c r="F191" s="211"/>
      <c r="H191" s="200"/>
      <c r="I191" s="200"/>
      <c r="J191" s="305"/>
      <c r="K191" s="305"/>
      <c r="L191" s="211"/>
      <c r="M191" s="211"/>
      <c r="N191" s="211"/>
      <c r="O191" s="211"/>
      <c r="P191" s="211"/>
      <c r="Q191" s="211"/>
      <c r="R191" s="211"/>
      <c r="V191" s="211"/>
      <c r="Y191" s="200"/>
      <c r="Z191" s="305"/>
      <c r="AA191" s="211"/>
      <c r="AB191" s="211"/>
      <c r="AC191" s="211"/>
      <c r="AD191" s="211"/>
      <c r="AE191" s="211"/>
      <c r="AF191" s="211"/>
      <c r="AI191" s="211"/>
      <c r="AJ191" s="211"/>
      <c r="AK191" s="212"/>
      <c r="AL191" s="211"/>
      <c r="AM191" s="210"/>
      <c r="AN191" s="210"/>
    </row>
    <row r="192" spans="1:40" x14ac:dyDescent="0.25">
      <c r="F192" s="200"/>
      <c r="H192" s="200"/>
      <c r="I192" s="200"/>
      <c r="J192" s="305"/>
      <c r="K192" s="305"/>
      <c r="L192" s="200"/>
      <c r="M192" s="200"/>
      <c r="N192" s="210"/>
      <c r="O192" s="210"/>
      <c r="P192" s="200"/>
      <c r="Q192" s="200"/>
      <c r="R192" s="200"/>
      <c r="V192" s="200"/>
      <c r="Y192" s="200"/>
      <c r="Z192" s="213"/>
      <c r="AA192" s="200"/>
      <c r="AB192" s="200"/>
      <c r="AC192" s="210"/>
      <c r="AD192" s="210"/>
      <c r="AE192" s="200"/>
      <c r="AF192" s="200"/>
      <c r="AG192" s="209"/>
      <c r="AH192" s="201"/>
      <c r="AI192" s="200"/>
      <c r="AJ192" s="200"/>
      <c r="AK192" s="209"/>
      <c r="AL192" s="200"/>
      <c r="AM192" s="210"/>
      <c r="AN192" s="210"/>
    </row>
    <row r="193" spans="1:40" x14ac:dyDescent="0.25">
      <c r="A193" s="202"/>
      <c r="C193" s="154"/>
      <c r="F193" s="252"/>
      <c r="H193" s="252"/>
      <c r="I193" s="252"/>
      <c r="J193" s="300"/>
      <c r="K193" s="300"/>
      <c r="L193" s="200"/>
      <c r="M193" s="200"/>
      <c r="N193" s="210"/>
      <c r="O193" s="210"/>
      <c r="P193" s="200"/>
      <c r="Q193" s="200"/>
      <c r="R193" s="200"/>
      <c r="T193" s="154"/>
      <c r="V193" s="252"/>
      <c r="Y193" s="200"/>
      <c r="Z193" s="300"/>
      <c r="AA193" s="200"/>
      <c r="AB193" s="200"/>
      <c r="AC193" s="210"/>
      <c r="AD193" s="210"/>
      <c r="AE193" s="200"/>
      <c r="AF193" s="200"/>
      <c r="AG193" s="325"/>
      <c r="AH193" s="326"/>
      <c r="AI193" s="200"/>
      <c r="AJ193" s="200"/>
      <c r="AK193" s="209"/>
      <c r="AL193" s="200"/>
      <c r="AM193" s="327"/>
      <c r="AN193" s="327"/>
    </row>
    <row r="194" spans="1:40" x14ac:dyDescent="0.25">
      <c r="A194" s="202"/>
      <c r="C194" s="154"/>
      <c r="F194" s="252"/>
      <c r="H194" s="252"/>
      <c r="I194" s="252"/>
      <c r="J194" s="300"/>
      <c r="K194" s="300"/>
      <c r="L194" s="200"/>
      <c r="M194" s="200"/>
      <c r="N194" s="210"/>
      <c r="O194" s="210"/>
      <c r="P194" s="200"/>
      <c r="Q194" s="200"/>
      <c r="R194" s="200"/>
      <c r="T194" s="154"/>
      <c r="V194" s="252"/>
      <c r="Y194" s="200"/>
      <c r="Z194" s="300"/>
      <c r="AA194" s="200"/>
      <c r="AB194" s="200"/>
      <c r="AC194" s="210"/>
      <c r="AD194" s="210"/>
      <c r="AE194" s="200"/>
      <c r="AF194" s="200"/>
      <c r="AG194" s="209"/>
      <c r="AH194" s="201"/>
      <c r="AI194" s="200"/>
      <c r="AJ194" s="200"/>
      <c r="AK194" s="209"/>
      <c r="AL194" s="200"/>
      <c r="AM194" s="210"/>
      <c r="AN194" s="210"/>
    </row>
    <row r="195" spans="1:40" x14ac:dyDescent="0.25">
      <c r="F195" s="200"/>
      <c r="H195" s="211"/>
      <c r="I195" s="211"/>
      <c r="J195" s="305"/>
      <c r="K195" s="305"/>
      <c r="L195" s="211"/>
      <c r="M195" s="211"/>
      <c r="N195" s="211"/>
      <c r="O195" s="211"/>
      <c r="P195" s="211"/>
      <c r="Q195" s="211"/>
      <c r="R195" s="211"/>
      <c r="V195" s="200"/>
      <c r="Y195" s="211"/>
      <c r="Z195" s="305"/>
      <c r="AA195" s="211"/>
      <c r="AB195" s="211"/>
      <c r="AC195" s="211"/>
      <c r="AD195" s="211"/>
      <c r="AE195" s="211"/>
      <c r="AF195" s="211"/>
      <c r="AI195" s="211"/>
      <c r="AJ195" s="211"/>
      <c r="AK195" s="212"/>
      <c r="AL195" s="211"/>
      <c r="AM195" s="210"/>
      <c r="AN195" s="210"/>
    </row>
    <row r="196" spans="1:40" x14ac:dyDescent="0.25">
      <c r="A196" s="202"/>
      <c r="C196" s="154"/>
      <c r="F196" s="200"/>
      <c r="H196" s="200"/>
      <c r="I196" s="200"/>
      <c r="J196" s="305"/>
      <c r="K196" s="305"/>
      <c r="L196" s="200"/>
      <c r="M196" s="200"/>
      <c r="N196" s="210"/>
      <c r="O196" s="210"/>
      <c r="P196" s="200"/>
      <c r="Q196" s="200"/>
      <c r="R196" s="200"/>
      <c r="T196" s="154"/>
      <c r="V196" s="200"/>
      <c r="Y196" s="200"/>
      <c r="Z196" s="305"/>
      <c r="AA196" s="200"/>
      <c r="AB196" s="200"/>
      <c r="AC196" s="210"/>
      <c r="AD196" s="210"/>
      <c r="AE196" s="200"/>
      <c r="AF196" s="200"/>
      <c r="AG196" s="209"/>
      <c r="AH196" s="201"/>
      <c r="AI196" s="200"/>
      <c r="AJ196" s="200"/>
      <c r="AK196" s="209"/>
      <c r="AL196" s="200"/>
      <c r="AM196" s="210"/>
      <c r="AN196" s="210"/>
    </row>
    <row r="197" spans="1:40" x14ac:dyDescent="0.25">
      <c r="F197" s="200"/>
      <c r="H197" s="211"/>
      <c r="I197" s="211"/>
      <c r="J197" s="305"/>
      <c r="K197" s="305"/>
      <c r="L197" s="211"/>
      <c r="M197" s="211"/>
      <c r="N197" s="211"/>
      <c r="O197" s="211"/>
      <c r="P197" s="211"/>
      <c r="Q197" s="211"/>
      <c r="R197" s="211"/>
      <c r="V197" s="200"/>
      <c r="Y197" s="211"/>
      <c r="Z197" s="305"/>
      <c r="AA197" s="211"/>
      <c r="AB197" s="211"/>
      <c r="AC197" s="211"/>
      <c r="AD197" s="211"/>
      <c r="AE197" s="211"/>
      <c r="AF197" s="211"/>
      <c r="AI197" s="211"/>
      <c r="AJ197" s="211"/>
      <c r="AK197" s="212"/>
      <c r="AL197" s="211"/>
      <c r="AM197" s="210"/>
      <c r="AN197" s="210"/>
    </row>
    <row r="198" spans="1:40" x14ac:dyDescent="0.25">
      <c r="F198" s="200"/>
      <c r="H198" s="200"/>
      <c r="I198" s="200"/>
      <c r="J198" s="305"/>
      <c r="K198" s="305"/>
      <c r="L198" s="200"/>
      <c r="M198" s="200"/>
      <c r="N198" s="200"/>
      <c r="O198" s="200"/>
      <c r="P198" s="200"/>
      <c r="Q198" s="200"/>
      <c r="R198" s="200"/>
      <c r="V198" s="200"/>
      <c r="Y198" s="200"/>
      <c r="Z198" s="305"/>
      <c r="AA198" s="200"/>
      <c r="AB198" s="200"/>
      <c r="AC198" s="200"/>
      <c r="AD198" s="200"/>
      <c r="AE198" s="200"/>
      <c r="AF198" s="200"/>
      <c r="AG198" s="209"/>
      <c r="AH198" s="201"/>
      <c r="AI198" s="200"/>
      <c r="AJ198" s="200"/>
      <c r="AK198" s="209"/>
      <c r="AL198" s="200"/>
      <c r="AM198" s="210"/>
      <c r="AN198" s="210"/>
    </row>
    <row r="199" spans="1:40" x14ac:dyDescent="0.25">
      <c r="A199" s="202"/>
      <c r="C199" s="154"/>
      <c r="F199" s="252"/>
      <c r="H199" s="252"/>
      <c r="I199" s="252"/>
      <c r="J199" s="320"/>
      <c r="K199" s="320"/>
      <c r="L199" s="200"/>
      <c r="M199" s="200"/>
      <c r="N199" s="210"/>
      <c r="O199" s="210"/>
      <c r="P199" s="252"/>
      <c r="Q199" s="252"/>
      <c r="R199" s="200"/>
      <c r="T199" s="154"/>
      <c r="V199" s="252"/>
      <c r="Y199" s="252"/>
      <c r="Z199" s="328"/>
      <c r="AA199" s="200"/>
      <c r="AB199" s="200"/>
      <c r="AC199" s="210"/>
      <c r="AD199" s="210"/>
      <c r="AE199" s="200"/>
      <c r="AF199" s="200"/>
      <c r="AG199" s="209"/>
      <c r="AH199" s="201"/>
      <c r="AI199" s="252"/>
      <c r="AJ199" s="252"/>
      <c r="AK199" s="209"/>
      <c r="AL199" s="200"/>
      <c r="AM199" s="210"/>
      <c r="AN199" s="210"/>
    </row>
    <row r="200" spans="1:40" x14ac:dyDescent="0.25">
      <c r="A200" s="202"/>
      <c r="C200" s="154"/>
      <c r="F200" s="252"/>
      <c r="H200" s="252"/>
      <c r="I200" s="252"/>
      <c r="J200" s="320"/>
      <c r="K200" s="320"/>
      <c r="L200" s="200"/>
      <c r="M200" s="200"/>
      <c r="N200" s="210"/>
      <c r="O200" s="210"/>
      <c r="P200" s="252"/>
      <c r="Q200" s="252"/>
      <c r="R200" s="200"/>
      <c r="T200" s="154"/>
      <c r="V200" s="252"/>
      <c r="Y200" s="200"/>
      <c r="Z200" s="304"/>
      <c r="AA200" s="200"/>
      <c r="AB200" s="200"/>
      <c r="AC200" s="210"/>
      <c r="AD200" s="210"/>
      <c r="AE200" s="200"/>
      <c r="AF200" s="200"/>
      <c r="AG200" s="209"/>
      <c r="AH200" s="201"/>
      <c r="AI200" s="252"/>
      <c r="AJ200" s="252"/>
      <c r="AK200" s="209"/>
      <c r="AL200" s="200"/>
      <c r="AM200" s="210"/>
      <c r="AN200" s="210"/>
    </row>
    <row r="201" spans="1:40" x14ac:dyDescent="0.25">
      <c r="A201" s="202"/>
      <c r="C201" s="154"/>
      <c r="F201" s="252"/>
      <c r="H201" s="252"/>
      <c r="I201" s="252"/>
      <c r="J201" s="320"/>
      <c r="K201" s="320"/>
      <c r="L201" s="200"/>
      <c r="M201" s="200"/>
      <c r="N201" s="210"/>
      <c r="O201" s="210"/>
      <c r="P201" s="252"/>
      <c r="Q201" s="252"/>
      <c r="R201" s="200"/>
      <c r="T201" s="154"/>
      <c r="V201" s="252"/>
      <c r="Y201" s="200"/>
      <c r="Z201" s="304"/>
      <c r="AA201" s="200"/>
      <c r="AB201" s="200"/>
      <c r="AC201" s="210"/>
      <c r="AD201" s="210"/>
      <c r="AE201" s="200"/>
      <c r="AF201" s="200"/>
      <c r="AG201" s="209"/>
      <c r="AH201" s="201"/>
      <c r="AI201" s="252"/>
      <c r="AJ201" s="252"/>
      <c r="AK201" s="209"/>
      <c r="AL201" s="200"/>
      <c r="AM201" s="210"/>
      <c r="AN201" s="210"/>
    </row>
    <row r="202" spans="1:40" x14ac:dyDescent="0.25">
      <c r="F202" s="211"/>
      <c r="H202" s="211"/>
      <c r="I202" s="211"/>
      <c r="J202" s="305"/>
      <c r="K202" s="305"/>
      <c r="L202" s="211"/>
      <c r="M202" s="211"/>
      <c r="N202" s="211"/>
      <c r="O202" s="211"/>
      <c r="P202" s="211"/>
      <c r="Q202" s="211"/>
      <c r="R202" s="211"/>
      <c r="V202" s="211"/>
      <c r="Y202" s="211"/>
      <c r="Z202" s="305"/>
      <c r="AA202" s="211"/>
      <c r="AB202" s="211"/>
      <c r="AC202" s="211"/>
      <c r="AD202" s="211"/>
      <c r="AE202" s="211"/>
      <c r="AF202" s="211"/>
      <c r="AI202" s="211"/>
      <c r="AJ202" s="211"/>
      <c r="AK202" s="212"/>
      <c r="AL202" s="211"/>
      <c r="AM202" s="210"/>
      <c r="AN202" s="210"/>
    </row>
    <row r="203" spans="1:40" x14ac:dyDescent="0.25">
      <c r="A203" s="202"/>
      <c r="C203" s="154"/>
      <c r="F203" s="200"/>
      <c r="H203" s="200"/>
      <c r="I203" s="200"/>
      <c r="J203" s="213"/>
      <c r="K203" s="213"/>
      <c r="L203" s="200"/>
      <c r="M203" s="200"/>
      <c r="N203" s="210"/>
      <c r="O203" s="210"/>
      <c r="P203" s="200"/>
      <c r="Q203" s="200"/>
      <c r="R203" s="200"/>
      <c r="T203" s="154"/>
      <c r="V203" s="200"/>
      <c r="Y203" s="200"/>
      <c r="Z203" s="213"/>
      <c r="AA203" s="200"/>
      <c r="AB203" s="200"/>
      <c r="AC203" s="210"/>
      <c r="AD203" s="210"/>
      <c r="AE203" s="200"/>
      <c r="AF203" s="200"/>
      <c r="AG203" s="209"/>
      <c r="AH203" s="201"/>
      <c r="AI203" s="200"/>
      <c r="AJ203" s="200"/>
      <c r="AK203" s="209"/>
      <c r="AL203" s="200"/>
      <c r="AM203" s="210"/>
      <c r="AN203" s="210"/>
    </row>
    <row r="204" spans="1:40" x14ac:dyDescent="0.25">
      <c r="F204" s="211"/>
      <c r="H204" s="211"/>
      <c r="I204" s="211"/>
      <c r="J204" s="305"/>
      <c r="K204" s="305"/>
      <c r="L204" s="211"/>
      <c r="M204" s="211"/>
      <c r="N204" s="211"/>
      <c r="O204" s="211"/>
      <c r="P204" s="211"/>
      <c r="Q204" s="211"/>
      <c r="R204" s="211"/>
      <c r="V204" s="211"/>
      <c r="Y204" s="211"/>
      <c r="Z204" s="305"/>
      <c r="AA204" s="211"/>
      <c r="AB204" s="211"/>
      <c r="AC204" s="211"/>
      <c r="AD204" s="211"/>
      <c r="AE204" s="211"/>
      <c r="AF204" s="211"/>
      <c r="AI204" s="211"/>
      <c r="AJ204" s="211"/>
      <c r="AK204" s="212"/>
      <c r="AL204" s="211"/>
      <c r="AM204" s="210"/>
      <c r="AN204" s="210"/>
    </row>
    <row r="205" spans="1:40" x14ac:dyDescent="0.25">
      <c r="A205" s="202"/>
      <c r="C205" s="154"/>
      <c r="F205" s="200"/>
      <c r="H205" s="200"/>
      <c r="I205" s="200"/>
      <c r="J205" s="213"/>
      <c r="K205" s="213"/>
      <c r="L205" s="200"/>
      <c r="M205" s="200"/>
      <c r="N205" s="210"/>
      <c r="O205" s="210"/>
      <c r="P205" s="200"/>
      <c r="Q205" s="200"/>
      <c r="R205" s="200"/>
      <c r="T205" s="154"/>
      <c r="V205" s="200"/>
      <c r="Y205" s="200"/>
      <c r="Z205" s="213"/>
      <c r="AA205" s="200"/>
      <c r="AB205" s="200"/>
      <c r="AC205" s="210"/>
      <c r="AD205" s="210"/>
      <c r="AE205" s="200"/>
      <c r="AF205" s="200"/>
      <c r="AG205" s="209"/>
      <c r="AH205" s="201"/>
      <c r="AI205" s="200"/>
      <c r="AJ205" s="200"/>
      <c r="AK205" s="209"/>
      <c r="AL205" s="200"/>
      <c r="AM205" s="210"/>
      <c r="AN205" s="210"/>
    </row>
    <row r="206" spans="1:40" x14ac:dyDescent="0.25">
      <c r="A206" s="202"/>
      <c r="C206" s="154"/>
      <c r="F206" s="200"/>
      <c r="H206" s="200"/>
      <c r="I206" s="200"/>
      <c r="J206" s="213"/>
      <c r="K206" s="213"/>
      <c r="L206" s="200"/>
      <c r="M206" s="200"/>
      <c r="N206" s="210"/>
      <c r="O206" s="210"/>
      <c r="P206" s="200"/>
      <c r="Q206" s="200"/>
      <c r="R206" s="200"/>
      <c r="T206" s="154"/>
      <c r="V206" s="200"/>
      <c r="Y206" s="200"/>
      <c r="Z206" s="213"/>
      <c r="AA206" s="200"/>
      <c r="AB206" s="200"/>
      <c r="AC206" s="210"/>
      <c r="AD206" s="210"/>
      <c r="AE206" s="200"/>
      <c r="AF206" s="200"/>
      <c r="AG206" s="209"/>
      <c r="AH206" s="201"/>
      <c r="AI206" s="200"/>
      <c r="AJ206" s="200"/>
      <c r="AK206" s="209"/>
      <c r="AL206" s="200"/>
      <c r="AM206" s="210"/>
      <c r="AN206" s="210"/>
    </row>
    <row r="207" spans="1:40" x14ac:dyDescent="0.25">
      <c r="F207" s="211"/>
      <c r="H207" s="211"/>
      <c r="I207" s="211"/>
      <c r="J207" s="305"/>
      <c r="K207" s="305"/>
      <c r="L207" s="211"/>
      <c r="M207" s="211"/>
      <c r="N207" s="211"/>
      <c r="O207" s="211"/>
      <c r="P207" s="211"/>
      <c r="Q207" s="211"/>
      <c r="R207" s="211"/>
      <c r="V207" s="211"/>
      <c r="Y207" s="211"/>
      <c r="Z207" s="305"/>
      <c r="AA207" s="211"/>
      <c r="AB207" s="211"/>
      <c r="AC207" s="211"/>
      <c r="AD207" s="211"/>
      <c r="AE207" s="211"/>
      <c r="AF207" s="211"/>
      <c r="AI207" s="211"/>
      <c r="AJ207" s="211"/>
      <c r="AK207" s="212"/>
      <c r="AL207" s="211"/>
      <c r="AM207" s="200"/>
      <c r="AN207" s="200"/>
    </row>
    <row r="208" spans="1:40" x14ac:dyDescent="0.25">
      <c r="F208" s="200"/>
      <c r="H208" s="200"/>
      <c r="I208" s="200"/>
      <c r="J208" s="213"/>
      <c r="K208" s="213"/>
      <c r="L208" s="200"/>
      <c r="M208" s="200"/>
      <c r="N208" s="200"/>
      <c r="O208" s="200"/>
      <c r="P208" s="200"/>
      <c r="Q208" s="200"/>
      <c r="R208" s="200"/>
      <c r="V208" s="200"/>
      <c r="Y208" s="200"/>
      <c r="Z208" s="213"/>
      <c r="AA208" s="200"/>
      <c r="AB208" s="200"/>
      <c r="AC208" s="200"/>
      <c r="AD208" s="200"/>
    </row>
    <row r="209" spans="1:40" x14ac:dyDescent="0.25">
      <c r="C209" s="154"/>
      <c r="F209" s="200"/>
      <c r="H209" s="200"/>
      <c r="I209" s="200"/>
      <c r="J209" s="213"/>
      <c r="K209" s="213"/>
      <c r="L209" s="200"/>
      <c r="M209" s="200"/>
      <c r="N209" s="200"/>
      <c r="O209" s="200"/>
      <c r="P209" s="200"/>
      <c r="Q209" s="200"/>
      <c r="R209" s="200"/>
      <c r="T209" s="154"/>
      <c r="V209" s="200"/>
      <c r="Y209" s="200"/>
      <c r="Z209" s="213"/>
      <c r="AA209" s="200"/>
      <c r="AB209" s="200"/>
      <c r="AC209" s="200"/>
      <c r="AD209" s="200"/>
    </row>
    <row r="210" spans="1:40" x14ac:dyDescent="0.25">
      <c r="A210" s="154"/>
    </row>
    <row r="211" spans="1:40" x14ac:dyDescent="0.25">
      <c r="J211" s="202"/>
      <c r="K211" s="202"/>
      <c r="Z211" s="202"/>
    </row>
    <row r="212" spans="1:40" x14ac:dyDescent="0.25">
      <c r="H212" s="154"/>
      <c r="I212" s="154"/>
      <c r="Y212" s="154"/>
    </row>
    <row r="213" spans="1:40" x14ac:dyDescent="0.25">
      <c r="J213" s="202"/>
      <c r="K213" s="202"/>
      <c r="Z213" s="202"/>
    </row>
    <row r="214" spans="1:40" x14ac:dyDescent="0.25">
      <c r="L214" s="154"/>
      <c r="M214" s="154"/>
      <c r="AA214" s="154"/>
      <c r="AB214" s="154"/>
    </row>
    <row r="215" spans="1:40" x14ac:dyDescent="0.25">
      <c r="A215" s="202"/>
      <c r="R215" s="154"/>
      <c r="AK215" s="297"/>
      <c r="AL215" s="154"/>
    </row>
    <row r="216" spans="1:40" x14ac:dyDescent="0.25">
      <c r="A216" s="202"/>
      <c r="R216" s="154"/>
      <c r="AK216" s="297"/>
      <c r="AL216" s="154"/>
    </row>
    <row r="217" spans="1:40" x14ac:dyDescent="0.25">
      <c r="A217" s="154"/>
      <c r="R217" s="154"/>
      <c r="AK217" s="297"/>
      <c r="AL217" s="154"/>
    </row>
    <row r="218" spans="1:40" x14ac:dyDescent="0.25">
      <c r="L218" s="154"/>
      <c r="M218" s="154"/>
      <c r="R218" s="202"/>
      <c r="AA218" s="154"/>
      <c r="AB218" s="154"/>
      <c r="AK218" s="209"/>
      <c r="AL218" s="202"/>
    </row>
    <row r="219" spans="1:40" x14ac:dyDescent="0.2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208"/>
      <c r="AH219" s="102"/>
      <c r="AI219" s="102"/>
      <c r="AJ219" s="102"/>
      <c r="AK219" s="208"/>
      <c r="AL219" s="102"/>
      <c r="AM219" s="102"/>
      <c r="AN219" s="102"/>
    </row>
    <row r="220" spans="1:40" x14ac:dyDescent="0.25">
      <c r="L220" s="103"/>
      <c r="M220" s="103"/>
      <c r="N220" s="103"/>
      <c r="O220" s="103"/>
      <c r="R220" s="103"/>
      <c r="AA220" s="103"/>
      <c r="AB220" s="103"/>
      <c r="AC220" s="103"/>
      <c r="AD220" s="103"/>
      <c r="AE220" s="103"/>
      <c r="AF220" s="103"/>
      <c r="AG220" s="185"/>
      <c r="AH220" s="103"/>
      <c r="AK220" s="185"/>
      <c r="AL220" s="103"/>
      <c r="AM220" s="103"/>
      <c r="AN220" s="103"/>
    </row>
    <row r="221" spans="1:40" x14ac:dyDescent="0.25">
      <c r="L221" s="103"/>
      <c r="M221" s="103"/>
      <c r="N221" s="103"/>
      <c r="O221" s="103"/>
      <c r="R221" s="103"/>
      <c r="Z221" s="103"/>
      <c r="AA221" s="103"/>
      <c r="AB221" s="103"/>
      <c r="AC221" s="103"/>
      <c r="AD221" s="103"/>
      <c r="AE221" s="103"/>
      <c r="AF221" s="103"/>
      <c r="AG221" s="185"/>
      <c r="AH221" s="103"/>
      <c r="AK221" s="185"/>
      <c r="AL221" s="103"/>
      <c r="AM221" s="103"/>
      <c r="AN221" s="103"/>
    </row>
    <row r="222" spans="1:40" x14ac:dyDescent="0.25">
      <c r="A222" s="103"/>
      <c r="C222" s="103"/>
      <c r="D222" s="103"/>
      <c r="E222" s="103"/>
      <c r="F222" s="103"/>
      <c r="J222" s="103"/>
      <c r="K222" s="103"/>
      <c r="L222" s="103"/>
      <c r="M222" s="103"/>
      <c r="N222" s="103"/>
      <c r="O222" s="103"/>
      <c r="P222" s="103"/>
      <c r="Q222" s="103"/>
      <c r="R222" s="103"/>
      <c r="T222" s="103"/>
      <c r="U222" s="103"/>
      <c r="V222" s="103"/>
      <c r="Z222" s="103"/>
      <c r="AA222" s="103"/>
      <c r="AB222" s="103"/>
      <c r="AC222" s="103"/>
      <c r="AD222" s="103"/>
      <c r="AE222" s="103"/>
      <c r="AF222" s="103"/>
      <c r="AG222" s="185"/>
      <c r="AH222" s="103"/>
      <c r="AI222" s="103"/>
      <c r="AJ222" s="103"/>
      <c r="AK222" s="185"/>
      <c r="AL222" s="103"/>
      <c r="AM222" s="103"/>
      <c r="AN222" s="103"/>
    </row>
    <row r="223" spans="1:40" x14ac:dyDescent="0.25">
      <c r="A223" s="103"/>
      <c r="C223" s="103"/>
      <c r="D223" s="103"/>
      <c r="E223" s="103"/>
      <c r="F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T223" s="103"/>
      <c r="U223" s="103"/>
      <c r="V223" s="103"/>
      <c r="Y223" s="103"/>
      <c r="Z223" s="103"/>
      <c r="AA223" s="103"/>
      <c r="AB223" s="103"/>
      <c r="AC223" s="103"/>
      <c r="AD223" s="103"/>
      <c r="AE223" s="103"/>
      <c r="AF223" s="103"/>
      <c r="AG223" s="185"/>
      <c r="AH223" s="103"/>
      <c r="AI223" s="103"/>
      <c r="AJ223" s="103"/>
      <c r="AK223" s="185"/>
      <c r="AL223" s="103"/>
      <c r="AM223" s="103"/>
      <c r="AN223" s="103"/>
    </row>
    <row r="224" spans="1:40" x14ac:dyDescent="0.25">
      <c r="C224" s="103"/>
      <c r="D224" s="103"/>
      <c r="E224" s="103"/>
      <c r="F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T224" s="103"/>
      <c r="U224" s="103"/>
      <c r="V224" s="103"/>
      <c r="Y224" s="103"/>
      <c r="Z224" s="103"/>
      <c r="AA224" s="103"/>
      <c r="AB224" s="103"/>
      <c r="AC224" s="103"/>
      <c r="AD224" s="103"/>
      <c r="AE224" s="103"/>
      <c r="AF224" s="103"/>
      <c r="AG224" s="185"/>
      <c r="AH224" s="103"/>
      <c r="AI224" s="103"/>
      <c r="AJ224" s="103"/>
      <c r="AK224" s="185"/>
      <c r="AL224" s="103"/>
      <c r="AM224" s="103"/>
      <c r="AN224" s="103"/>
    </row>
    <row r="225" spans="1:40" x14ac:dyDescent="0.2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208"/>
      <c r="AH225" s="102"/>
      <c r="AI225" s="102"/>
      <c r="AJ225" s="102"/>
      <c r="AK225" s="208"/>
      <c r="AL225" s="102"/>
      <c r="AM225" s="102"/>
      <c r="AN225" s="102"/>
    </row>
    <row r="226" spans="1:40" x14ac:dyDescent="0.25"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Y226" s="103"/>
      <c r="Z226" s="103"/>
      <c r="AA226" s="103"/>
      <c r="AB226" s="103"/>
      <c r="AC226" s="103"/>
      <c r="AD226" s="103"/>
      <c r="AE226" s="103"/>
      <c r="AF226" s="103"/>
      <c r="AG226" s="185"/>
      <c r="AH226" s="103"/>
      <c r="AI226" s="103"/>
      <c r="AJ226" s="103"/>
      <c r="AK226" s="185"/>
      <c r="AL226" s="103"/>
      <c r="AM226" s="103"/>
      <c r="AN226" s="103"/>
    </row>
    <row r="227" spans="1:40" x14ac:dyDescent="0.25">
      <c r="A227" s="202"/>
      <c r="C227" s="154"/>
      <c r="D227" s="154"/>
      <c r="E227" s="154"/>
      <c r="T227" s="154"/>
      <c r="U227" s="154"/>
    </row>
    <row r="229" spans="1:40" x14ac:dyDescent="0.25">
      <c r="A229" s="202"/>
      <c r="C229" s="154"/>
      <c r="F229" s="252"/>
      <c r="H229" s="317"/>
      <c r="I229" s="317"/>
      <c r="J229" s="300"/>
      <c r="K229" s="300"/>
      <c r="L229" s="200"/>
      <c r="M229" s="200"/>
      <c r="N229" s="202"/>
      <c r="O229" s="202"/>
      <c r="P229" s="202"/>
      <c r="Q229" s="202"/>
      <c r="R229" s="200"/>
      <c r="T229" s="154"/>
      <c r="V229" s="200"/>
      <c r="Y229" s="202"/>
      <c r="Z229" s="300"/>
      <c r="AA229" s="200"/>
      <c r="AB229" s="200"/>
      <c r="AC229" s="202"/>
      <c r="AD229" s="202"/>
      <c r="AE229" s="200"/>
      <c r="AF229" s="200"/>
      <c r="AG229" s="325"/>
      <c r="AH229" s="326"/>
      <c r="AI229" s="200"/>
      <c r="AJ229" s="200"/>
      <c r="AK229" s="209"/>
      <c r="AL229" s="200"/>
      <c r="AM229" s="327"/>
      <c r="AN229" s="327"/>
    </row>
    <row r="230" spans="1:40" x14ac:dyDescent="0.25">
      <c r="F230" s="252"/>
      <c r="H230" s="317"/>
      <c r="I230" s="317"/>
      <c r="J230" s="317"/>
      <c r="K230" s="317"/>
      <c r="R230" s="200"/>
      <c r="V230" s="200"/>
      <c r="Z230" s="317"/>
    </row>
    <row r="231" spans="1:40" x14ac:dyDescent="0.25">
      <c r="A231" s="202"/>
      <c r="C231" s="154"/>
      <c r="F231" s="252"/>
      <c r="H231" s="252"/>
      <c r="I231" s="252"/>
      <c r="J231" s="320"/>
      <c r="K231" s="320"/>
      <c r="L231" s="200"/>
      <c r="M231" s="200"/>
      <c r="N231" s="210"/>
      <c r="O231" s="210"/>
      <c r="P231" s="252"/>
      <c r="Q231" s="252"/>
      <c r="R231" s="200"/>
      <c r="T231" s="154"/>
      <c r="V231" s="200"/>
      <c r="Y231" s="200"/>
      <c r="Z231" s="304"/>
      <c r="AA231" s="200"/>
      <c r="AB231" s="200"/>
      <c r="AC231" s="210"/>
      <c r="AD231" s="210"/>
      <c r="AE231" s="200"/>
      <c r="AF231" s="200"/>
      <c r="AG231" s="209"/>
      <c r="AH231" s="201"/>
      <c r="AI231" s="252"/>
      <c r="AJ231" s="252"/>
      <c r="AK231" s="209"/>
      <c r="AL231" s="200"/>
      <c r="AM231" s="210"/>
      <c r="AN231" s="210"/>
    </row>
    <row r="232" spans="1:40" x14ac:dyDescent="0.25">
      <c r="F232" s="211"/>
      <c r="H232" s="211"/>
      <c r="I232" s="211"/>
      <c r="J232" s="305"/>
      <c r="K232" s="305"/>
      <c r="L232" s="211"/>
      <c r="M232" s="211"/>
      <c r="N232" s="211"/>
      <c r="O232" s="211"/>
      <c r="P232" s="211"/>
      <c r="Q232" s="211"/>
      <c r="R232" s="211"/>
      <c r="V232" s="211"/>
      <c r="Y232" s="211"/>
      <c r="Z232" s="305"/>
      <c r="AA232" s="211"/>
      <c r="AB232" s="211"/>
      <c r="AC232" s="211"/>
      <c r="AD232" s="211"/>
      <c r="AE232" s="211"/>
      <c r="AF232" s="211"/>
      <c r="AI232" s="211"/>
      <c r="AJ232" s="211"/>
      <c r="AK232" s="212"/>
      <c r="AL232" s="211"/>
    </row>
    <row r="233" spans="1:40" x14ac:dyDescent="0.25">
      <c r="A233" s="202"/>
      <c r="D233" s="154"/>
      <c r="E233" s="154"/>
      <c r="F233" s="200"/>
      <c r="H233" s="200"/>
      <c r="I233" s="200"/>
      <c r="J233" s="213"/>
      <c r="K233" s="213"/>
      <c r="L233" s="200"/>
      <c r="M233" s="200"/>
      <c r="N233" s="210"/>
      <c r="O233" s="210"/>
      <c r="P233" s="200"/>
      <c r="Q233" s="200"/>
      <c r="R233" s="200"/>
      <c r="U233" s="154"/>
      <c r="V233" s="200"/>
      <c r="Y233" s="200"/>
      <c r="Z233" s="213"/>
      <c r="AA233" s="200"/>
      <c r="AB233" s="200"/>
      <c r="AC233" s="210"/>
      <c r="AD233" s="210"/>
      <c r="AE233" s="200"/>
      <c r="AF233" s="200"/>
      <c r="AG233" s="209"/>
      <c r="AH233" s="201"/>
      <c r="AI233" s="200"/>
      <c r="AJ233" s="200"/>
      <c r="AK233" s="209"/>
      <c r="AL233" s="200"/>
      <c r="AM233" s="210"/>
      <c r="AN233" s="210"/>
    </row>
    <row r="234" spans="1:40" x14ac:dyDescent="0.25">
      <c r="F234" s="211"/>
      <c r="H234" s="211"/>
      <c r="I234" s="211"/>
      <c r="J234" s="305"/>
      <c r="K234" s="305"/>
      <c r="L234" s="211"/>
      <c r="M234" s="211"/>
      <c r="N234" s="211"/>
      <c r="O234" s="211"/>
      <c r="P234" s="211"/>
      <c r="Q234" s="211"/>
      <c r="R234" s="211"/>
      <c r="V234" s="211"/>
      <c r="Y234" s="211"/>
      <c r="Z234" s="305"/>
      <c r="AA234" s="211"/>
      <c r="AB234" s="211"/>
      <c r="AC234" s="211"/>
      <c r="AD234" s="211"/>
      <c r="AE234" s="211"/>
      <c r="AF234" s="211"/>
      <c r="AI234" s="211"/>
      <c r="AJ234" s="211"/>
      <c r="AK234" s="212"/>
      <c r="AL234" s="211"/>
    </row>
    <row r="235" spans="1:40" x14ac:dyDescent="0.25">
      <c r="R235" s="200"/>
    </row>
    <row r="236" spans="1:40" x14ac:dyDescent="0.25">
      <c r="R236" s="200"/>
    </row>
    <row r="237" spans="1:40" x14ac:dyDescent="0.25">
      <c r="R237" s="200"/>
    </row>
    <row r="238" spans="1:40" x14ac:dyDescent="0.25">
      <c r="A238" s="202"/>
      <c r="C238" s="154"/>
      <c r="D238" s="154"/>
      <c r="E238" s="154"/>
      <c r="H238" s="200"/>
      <c r="I238" s="200"/>
      <c r="J238" s="213"/>
      <c r="K238" s="213"/>
      <c r="L238" s="200"/>
      <c r="M238" s="200"/>
      <c r="N238" s="210"/>
      <c r="O238" s="210"/>
      <c r="P238" s="200"/>
      <c r="Q238" s="200"/>
      <c r="R238" s="200"/>
      <c r="T238" s="154"/>
      <c r="U238" s="154"/>
      <c r="Y238" s="200"/>
      <c r="Z238" s="213"/>
      <c r="AA238" s="200"/>
      <c r="AB238" s="200"/>
      <c r="AC238" s="210"/>
      <c r="AD238" s="210"/>
    </row>
    <row r="239" spans="1:40" x14ac:dyDescent="0.25">
      <c r="H239" s="200"/>
      <c r="I239" s="200"/>
      <c r="J239" s="213"/>
      <c r="K239" s="213"/>
      <c r="L239" s="200"/>
      <c r="M239" s="200"/>
      <c r="N239" s="210"/>
      <c r="O239" s="210"/>
      <c r="P239" s="200"/>
      <c r="Q239" s="200"/>
      <c r="R239" s="200"/>
      <c r="Y239" s="200"/>
      <c r="Z239" s="213"/>
      <c r="AA239" s="200"/>
      <c r="AB239" s="200"/>
      <c r="AC239" s="210"/>
      <c r="AD239" s="210"/>
    </row>
    <row r="240" spans="1:40" x14ac:dyDescent="0.25">
      <c r="A240" s="202"/>
      <c r="C240" s="154"/>
      <c r="F240" s="252"/>
      <c r="H240" s="252"/>
      <c r="I240" s="252"/>
      <c r="J240" s="214"/>
      <c r="K240" s="214"/>
      <c r="L240" s="252"/>
      <c r="M240" s="252"/>
      <c r="N240" s="210"/>
      <c r="O240" s="210"/>
      <c r="P240" s="200"/>
      <c r="Q240" s="200"/>
      <c r="R240" s="200"/>
      <c r="T240" s="154"/>
      <c r="V240" s="200"/>
      <c r="Y240" s="200"/>
      <c r="Z240" s="214"/>
      <c r="AA240" s="200"/>
      <c r="AB240" s="200"/>
      <c r="AC240" s="210"/>
      <c r="AD240" s="210"/>
      <c r="AE240" s="200"/>
      <c r="AF240" s="200"/>
      <c r="AG240" s="209"/>
      <c r="AH240" s="201"/>
      <c r="AI240" s="200"/>
      <c r="AJ240" s="200"/>
      <c r="AK240" s="209"/>
      <c r="AL240" s="200"/>
      <c r="AM240" s="210"/>
      <c r="AN240" s="210"/>
    </row>
    <row r="241" spans="1:40" x14ac:dyDescent="0.25">
      <c r="F241" s="252"/>
      <c r="H241" s="317"/>
      <c r="I241" s="317"/>
      <c r="J241" s="317"/>
      <c r="K241" s="317"/>
      <c r="R241" s="200"/>
      <c r="V241" s="200"/>
      <c r="Z241" s="317"/>
    </row>
    <row r="242" spans="1:40" x14ac:dyDescent="0.25">
      <c r="A242" s="202"/>
      <c r="C242" s="154"/>
      <c r="F242" s="252"/>
      <c r="H242" s="252"/>
      <c r="I242" s="252"/>
      <c r="J242" s="300"/>
      <c r="K242" s="300"/>
      <c r="L242" s="200"/>
      <c r="M242" s="200"/>
      <c r="N242" s="210"/>
      <c r="O242" s="210"/>
      <c r="P242" s="200"/>
      <c r="Q242" s="200"/>
      <c r="R242" s="200"/>
      <c r="T242" s="154"/>
      <c r="V242" s="200"/>
      <c r="Y242" s="200"/>
      <c r="Z242" s="300"/>
      <c r="AA242" s="200"/>
      <c r="AB242" s="200"/>
      <c r="AC242" s="210"/>
      <c r="AD242" s="210"/>
      <c r="AE242" s="200"/>
      <c r="AF242" s="200"/>
      <c r="AG242" s="209"/>
      <c r="AH242" s="201"/>
      <c r="AI242" s="200"/>
      <c r="AJ242" s="200"/>
      <c r="AK242" s="209"/>
      <c r="AL242" s="200"/>
      <c r="AM242" s="210"/>
      <c r="AN242" s="210"/>
    </row>
    <row r="243" spans="1:40" x14ac:dyDescent="0.25">
      <c r="F243" s="252"/>
      <c r="H243" s="317"/>
      <c r="I243" s="317"/>
      <c r="J243" s="317"/>
      <c r="K243" s="317"/>
      <c r="R243" s="200"/>
      <c r="V243" s="200"/>
      <c r="Z243" s="317"/>
    </row>
    <row r="244" spans="1:40" x14ac:dyDescent="0.25">
      <c r="A244" s="202"/>
      <c r="C244" s="154"/>
      <c r="F244" s="252"/>
      <c r="H244" s="252"/>
      <c r="I244" s="252"/>
      <c r="J244" s="320"/>
      <c r="K244" s="320"/>
      <c r="L244" s="200"/>
      <c r="M244" s="200"/>
      <c r="N244" s="210"/>
      <c r="O244" s="210"/>
      <c r="P244" s="200"/>
      <c r="Q244" s="200"/>
      <c r="R244" s="200"/>
      <c r="T244" s="154"/>
      <c r="V244" s="200"/>
      <c r="Y244" s="200"/>
      <c r="Z244" s="304"/>
      <c r="AA244" s="200"/>
      <c r="AB244" s="200"/>
      <c r="AC244" s="210"/>
      <c r="AD244" s="210"/>
      <c r="AE244" s="200"/>
      <c r="AF244" s="200"/>
      <c r="AG244" s="209"/>
      <c r="AH244" s="201"/>
      <c r="AI244" s="200"/>
      <c r="AJ244" s="200"/>
      <c r="AK244" s="209"/>
      <c r="AL244" s="200"/>
      <c r="AM244" s="210"/>
      <c r="AN244" s="210"/>
    </row>
    <row r="245" spans="1:40" x14ac:dyDescent="0.25">
      <c r="F245" s="211"/>
      <c r="H245" s="211"/>
      <c r="I245" s="211"/>
      <c r="J245" s="305"/>
      <c r="K245" s="305"/>
      <c r="L245" s="211"/>
      <c r="M245" s="211"/>
      <c r="N245" s="211"/>
      <c r="O245" s="211"/>
      <c r="P245" s="211"/>
      <c r="Q245" s="211"/>
      <c r="R245" s="211"/>
      <c r="S245" s="200"/>
      <c r="V245" s="211"/>
      <c r="Y245" s="211"/>
      <c r="Z245" s="305"/>
      <c r="AA245" s="211"/>
      <c r="AB245" s="211"/>
      <c r="AC245" s="211"/>
      <c r="AD245" s="211"/>
      <c r="AE245" s="211"/>
      <c r="AF245" s="211"/>
      <c r="AI245" s="211"/>
      <c r="AJ245" s="211"/>
      <c r="AK245" s="212"/>
      <c r="AL245" s="211"/>
    </row>
    <row r="246" spans="1:40" x14ac:dyDescent="0.25">
      <c r="A246" s="202"/>
      <c r="D246" s="154"/>
      <c r="E246" s="154"/>
      <c r="F246" s="200"/>
      <c r="H246" s="200"/>
      <c r="I246" s="200"/>
      <c r="J246" s="213"/>
      <c r="K246" s="213"/>
      <c r="L246" s="200"/>
      <c r="M246" s="200"/>
      <c r="N246" s="210"/>
      <c r="O246" s="210"/>
      <c r="P246" s="252"/>
      <c r="Q246" s="252"/>
      <c r="R246" s="200"/>
      <c r="S246" s="200"/>
      <c r="U246" s="154"/>
      <c r="V246" s="200"/>
      <c r="Y246" s="200"/>
      <c r="Z246" s="213"/>
      <c r="AA246" s="200"/>
      <c r="AB246" s="200"/>
      <c r="AC246" s="210"/>
      <c r="AD246" s="210"/>
      <c r="AE246" s="200"/>
      <c r="AF246" s="200"/>
      <c r="AG246" s="209"/>
      <c r="AH246" s="201"/>
      <c r="AI246" s="252"/>
      <c r="AJ246" s="252"/>
      <c r="AK246" s="209"/>
      <c r="AL246" s="200"/>
      <c r="AM246" s="210"/>
      <c r="AN246" s="210"/>
    </row>
    <row r="247" spans="1:40" x14ac:dyDescent="0.25">
      <c r="F247" s="211"/>
      <c r="H247" s="211"/>
      <c r="I247" s="211"/>
      <c r="J247" s="305"/>
      <c r="K247" s="305"/>
      <c r="L247" s="211"/>
      <c r="M247" s="211"/>
      <c r="N247" s="211"/>
      <c r="O247" s="211"/>
      <c r="P247" s="211"/>
      <c r="Q247" s="211"/>
      <c r="R247" s="211"/>
      <c r="S247" s="200"/>
      <c r="V247" s="211"/>
      <c r="Y247" s="211"/>
      <c r="Z247" s="305"/>
      <c r="AA247" s="211"/>
      <c r="AB247" s="211"/>
      <c r="AC247" s="211"/>
      <c r="AD247" s="211"/>
      <c r="AE247" s="211"/>
      <c r="AF247" s="211"/>
      <c r="AI247" s="211"/>
      <c r="AJ247" s="211"/>
      <c r="AK247" s="212"/>
      <c r="AL247" s="211"/>
    </row>
    <row r="248" spans="1:40" x14ac:dyDescent="0.25">
      <c r="R248" s="200"/>
    </row>
    <row r="249" spans="1:40" x14ac:dyDescent="0.25">
      <c r="F249" s="200"/>
      <c r="H249" s="200"/>
      <c r="I249" s="200"/>
      <c r="J249" s="213"/>
      <c r="K249" s="213"/>
      <c r="L249" s="200"/>
      <c r="M249" s="200"/>
      <c r="N249" s="200"/>
      <c r="O249" s="200"/>
      <c r="P249" s="200"/>
      <c r="Q249" s="200"/>
      <c r="R249" s="200"/>
      <c r="V249" s="200"/>
      <c r="Y249" s="200"/>
      <c r="Z249" s="213"/>
      <c r="AA249" s="200"/>
      <c r="AB249" s="200"/>
      <c r="AC249" s="200"/>
      <c r="AD249" s="200"/>
    </row>
    <row r="250" spans="1:40" x14ac:dyDescent="0.25">
      <c r="C250" s="154"/>
      <c r="F250" s="200"/>
      <c r="H250" s="200"/>
      <c r="I250" s="200"/>
      <c r="J250" s="213"/>
      <c r="K250" s="213"/>
      <c r="L250" s="200"/>
      <c r="M250" s="200"/>
      <c r="N250" s="200"/>
      <c r="O250" s="200"/>
      <c r="P250" s="200"/>
      <c r="Q250" s="200"/>
      <c r="R250" s="200"/>
      <c r="T250" s="154"/>
      <c r="V250" s="200"/>
      <c r="Y250" s="200"/>
      <c r="Z250" s="213"/>
      <c r="AA250" s="200"/>
      <c r="AB250" s="200"/>
      <c r="AC250" s="200"/>
      <c r="AD250" s="200"/>
    </row>
    <row r="251" spans="1:40" x14ac:dyDescent="0.25">
      <c r="C251" s="154"/>
      <c r="T251" s="154"/>
    </row>
    <row r="252" spans="1:40" x14ac:dyDescent="0.25">
      <c r="A252" s="154"/>
    </row>
    <row r="254" spans="1:40" x14ac:dyDescent="0.25">
      <c r="J254" s="202"/>
      <c r="K254" s="202"/>
      <c r="Z254" s="202"/>
    </row>
    <row r="255" spans="1:40" x14ac:dyDescent="0.25">
      <c r="H255" s="154"/>
      <c r="I255" s="154"/>
      <c r="Y255" s="154"/>
    </row>
    <row r="256" spans="1:40" x14ac:dyDescent="0.25">
      <c r="J256" s="202"/>
      <c r="K256" s="202"/>
      <c r="Z256" s="202"/>
    </row>
    <row r="257" spans="1:40" x14ac:dyDescent="0.25">
      <c r="L257" s="154"/>
      <c r="M257" s="154"/>
      <c r="AA257" s="154"/>
      <c r="AB257" s="154"/>
    </row>
    <row r="258" spans="1:40" x14ac:dyDescent="0.25">
      <c r="A258" s="202"/>
      <c r="R258" s="154"/>
      <c r="AK258" s="297"/>
      <c r="AL258" s="154"/>
    </row>
    <row r="259" spans="1:40" x14ac:dyDescent="0.25">
      <c r="A259" s="202"/>
      <c r="R259" s="154"/>
      <c r="AK259" s="297"/>
      <c r="AL259" s="154"/>
    </row>
    <row r="260" spans="1:40" x14ac:dyDescent="0.25">
      <c r="A260" s="154"/>
      <c r="R260" s="154"/>
      <c r="AK260" s="297"/>
      <c r="AL260" s="154"/>
    </row>
    <row r="261" spans="1:40" x14ac:dyDescent="0.25">
      <c r="L261" s="154"/>
      <c r="M261" s="154"/>
      <c r="R261" s="202"/>
      <c r="AA261" s="154"/>
      <c r="AB261" s="154"/>
      <c r="AK261" s="209"/>
      <c r="AL261" s="202"/>
    </row>
    <row r="262" spans="1:40" x14ac:dyDescent="0.2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208"/>
      <c r="AH262" s="102"/>
      <c r="AI262" s="102"/>
      <c r="AJ262" s="102"/>
      <c r="AK262" s="208"/>
      <c r="AL262" s="102"/>
      <c r="AM262" s="102"/>
      <c r="AN262" s="102"/>
    </row>
    <row r="263" spans="1:40" x14ac:dyDescent="0.25">
      <c r="L263" s="103"/>
      <c r="M263" s="103"/>
      <c r="N263" s="103"/>
      <c r="O263" s="103"/>
      <c r="R263" s="103"/>
      <c r="AA263" s="103"/>
      <c r="AB263" s="103"/>
      <c r="AC263" s="103"/>
      <c r="AD263" s="103"/>
      <c r="AE263" s="103"/>
      <c r="AF263" s="103"/>
      <c r="AG263" s="185"/>
      <c r="AH263" s="103"/>
      <c r="AK263" s="185"/>
      <c r="AL263" s="103"/>
      <c r="AM263" s="103"/>
      <c r="AN263" s="103"/>
    </row>
    <row r="264" spans="1:40" x14ac:dyDescent="0.25">
      <c r="L264" s="103"/>
      <c r="M264" s="103"/>
      <c r="N264" s="103"/>
      <c r="O264" s="103"/>
      <c r="R264" s="103"/>
      <c r="Z264" s="103"/>
      <c r="AA264" s="103"/>
      <c r="AB264" s="103"/>
      <c r="AC264" s="103"/>
      <c r="AD264" s="103"/>
      <c r="AE264" s="103"/>
      <c r="AF264" s="103"/>
      <c r="AG264" s="185"/>
      <c r="AH264" s="103"/>
      <c r="AK264" s="185"/>
      <c r="AL264" s="103"/>
      <c r="AM264" s="103"/>
      <c r="AN264" s="103"/>
    </row>
    <row r="265" spans="1:40" x14ac:dyDescent="0.25">
      <c r="A265" s="103"/>
      <c r="C265" s="103"/>
      <c r="D265" s="103"/>
      <c r="E265" s="103"/>
      <c r="F265" s="103"/>
      <c r="J265" s="103"/>
      <c r="K265" s="103"/>
      <c r="L265" s="103"/>
      <c r="M265" s="103"/>
      <c r="N265" s="103"/>
      <c r="O265" s="103"/>
      <c r="P265" s="103"/>
      <c r="Q265" s="103"/>
      <c r="R265" s="103"/>
      <c r="T265" s="103"/>
      <c r="U265" s="103"/>
      <c r="V265" s="103"/>
      <c r="Z265" s="103"/>
      <c r="AA265" s="103"/>
      <c r="AB265" s="103"/>
      <c r="AC265" s="103"/>
      <c r="AD265" s="103"/>
      <c r="AE265" s="103"/>
      <c r="AF265" s="103"/>
      <c r="AG265" s="185"/>
      <c r="AH265" s="103"/>
      <c r="AI265" s="103"/>
      <c r="AJ265" s="103"/>
      <c r="AK265" s="185"/>
      <c r="AL265" s="103"/>
      <c r="AM265" s="103"/>
      <c r="AN265" s="103"/>
    </row>
    <row r="266" spans="1:40" x14ac:dyDescent="0.25">
      <c r="A266" s="103"/>
      <c r="C266" s="103"/>
      <c r="D266" s="103"/>
      <c r="E266" s="103"/>
      <c r="F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T266" s="103"/>
      <c r="U266" s="103"/>
      <c r="V266" s="103"/>
      <c r="Y266" s="103"/>
      <c r="Z266" s="103"/>
      <c r="AA266" s="103"/>
      <c r="AB266" s="103"/>
      <c r="AC266" s="103"/>
      <c r="AD266" s="103"/>
      <c r="AE266" s="103"/>
      <c r="AF266" s="103"/>
      <c r="AG266" s="185"/>
      <c r="AH266" s="103"/>
      <c r="AI266" s="103"/>
      <c r="AJ266" s="103"/>
      <c r="AK266" s="185"/>
      <c r="AL266" s="103"/>
      <c r="AM266" s="103"/>
      <c r="AN266" s="103"/>
    </row>
    <row r="267" spans="1:40" x14ac:dyDescent="0.25">
      <c r="C267" s="103"/>
      <c r="D267" s="103"/>
      <c r="E267" s="103"/>
      <c r="F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T267" s="103"/>
      <c r="U267" s="103"/>
      <c r="V267" s="103"/>
      <c r="Y267" s="103"/>
      <c r="Z267" s="103"/>
      <c r="AA267" s="103"/>
      <c r="AB267" s="103"/>
      <c r="AC267" s="103"/>
      <c r="AD267" s="103"/>
      <c r="AE267" s="103"/>
      <c r="AF267" s="103"/>
      <c r="AG267" s="185"/>
      <c r="AH267" s="103"/>
      <c r="AI267" s="103"/>
      <c r="AJ267" s="103"/>
      <c r="AK267" s="185"/>
      <c r="AL267" s="103"/>
      <c r="AM267" s="103"/>
      <c r="AN267" s="103"/>
    </row>
    <row r="268" spans="1:40" x14ac:dyDescent="0.25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208"/>
      <c r="AH268" s="102"/>
      <c r="AI268" s="102"/>
      <c r="AJ268" s="102"/>
      <c r="AK268" s="208"/>
      <c r="AL268" s="102"/>
      <c r="AM268" s="102"/>
      <c r="AN268" s="102"/>
    </row>
    <row r="269" spans="1:40" x14ac:dyDescent="0.25"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Y269" s="103"/>
      <c r="Z269" s="103"/>
      <c r="AA269" s="103"/>
      <c r="AB269" s="103"/>
      <c r="AC269" s="103"/>
      <c r="AD269" s="103"/>
      <c r="AE269" s="103"/>
      <c r="AF269" s="103"/>
      <c r="AG269" s="185"/>
      <c r="AH269" s="103"/>
      <c r="AI269" s="103"/>
      <c r="AJ269" s="103"/>
      <c r="AK269" s="185"/>
      <c r="AL269" s="103"/>
      <c r="AM269" s="103"/>
      <c r="AN269" s="103"/>
    </row>
    <row r="270" spans="1:40" x14ac:dyDescent="0.25">
      <c r="A270" s="202"/>
      <c r="C270" s="154"/>
      <c r="D270" s="154"/>
      <c r="E270" s="154"/>
      <c r="T270" s="154"/>
      <c r="U270" s="154"/>
    </row>
    <row r="271" spans="1:40" x14ac:dyDescent="0.25">
      <c r="A271" s="202"/>
      <c r="D271" s="154"/>
      <c r="E271" s="154"/>
      <c r="U271" s="154"/>
    </row>
    <row r="273" spans="1:40" x14ac:dyDescent="0.25">
      <c r="A273" s="202"/>
      <c r="C273" s="154"/>
      <c r="F273" s="200"/>
      <c r="J273" s="215"/>
      <c r="K273" s="215"/>
      <c r="L273" s="200"/>
      <c r="M273" s="200"/>
      <c r="R273" s="200"/>
      <c r="T273" s="154"/>
      <c r="V273" s="200"/>
      <c r="Z273" s="215"/>
      <c r="AA273" s="200"/>
      <c r="AB273" s="200"/>
      <c r="AK273" s="209"/>
      <c r="AL273" s="200"/>
    </row>
    <row r="274" spans="1:40" x14ac:dyDescent="0.25">
      <c r="F274" s="200"/>
      <c r="R274" s="200"/>
      <c r="V274" s="200"/>
      <c r="AK274" s="209"/>
      <c r="AL274" s="200"/>
    </row>
    <row r="275" spans="1:40" x14ac:dyDescent="0.25">
      <c r="A275" s="202"/>
      <c r="C275" s="154"/>
      <c r="F275" s="252"/>
      <c r="H275" s="252"/>
      <c r="I275" s="252"/>
      <c r="J275" s="300"/>
      <c r="K275" s="300"/>
      <c r="L275" s="200"/>
      <c r="M275" s="200"/>
      <c r="N275" s="210"/>
      <c r="O275" s="210"/>
      <c r="P275" s="200"/>
      <c r="Q275" s="200"/>
      <c r="R275" s="200"/>
      <c r="T275" s="154"/>
      <c r="V275" s="200"/>
      <c r="Y275" s="200"/>
      <c r="Z275" s="300"/>
      <c r="AA275" s="200"/>
      <c r="AB275" s="200"/>
      <c r="AC275" s="210"/>
      <c r="AD275" s="210"/>
      <c r="AE275" s="200"/>
      <c r="AF275" s="200"/>
      <c r="AG275" s="209"/>
      <c r="AH275" s="201"/>
      <c r="AI275" s="200"/>
      <c r="AJ275" s="200"/>
      <c r="AK275" s="209"/>
      <c r="AL275" s="200"/>
      <c r="AM275" s="210"/>
      <c r="AN275" s="210"/>
    </row>
    <row r="276" spans="1:40" x14ac:dyDescent="0.25">
      <c r="A276" s="202"/>
      <c r="C276" s="154"/>
      <c r="F276" s="252"/>
      <c r="H276" s="317"/>
      <c r="I276" s="317"/>
      <c r="J276" s="300"/>
      <c r="K276" s="300"/>
      <c r="L276" s="200"/>
      <c r="M276" s="200"/>
      <c r="N276" s="210"/>
      <c r="O276" s="210"/>
      <c r="P276" s="200"/>
      <c r="Q276" s="200"/>
      <c r="R276" s="200"/>
      <c r="T276" s="154"/>
      <c r="V276" s="200"/>
      <c r="Y276" s="200"/>
      <c r="Z276" s="300"/>
      <c r="AA276" s="200"/>
      <c r="AB276" s="200"/>
      <c r="AC276" s="210"/>
      <c r="AD276" s="210"/>
      <c r="AE276" s="200"/>
      <c r="AF276" s="200"/>
      <c r="AG276" s="209"/>
      <c r="AH276" s="201"/>
      <c r="AI276" s="200"/>
      <c r="AJ276" s="200"/>
      <c r="AK276" s="209"/>
      <c r="AL276" s="200"/>
      <c r="AM276" s="210"/>
      <c r="AN276" s="210"/>
    </row>
    <row r="277" spans="1:40" x14ac:dyDescent="0.25">
      <c r="F277" s="211"/>
      <c r="H277" s="200"/>
      <c r="I277" s="200"/>
      <c r="J277" s="305"/>
      <c r="K277" s="305"/>
      <c r="L277" s="211"/>
      <c r="M277" s="211"/>
      <c r="N277" s="211"/>
      <c r="O277" s="211"/>
      <c r="P277" s="211"/>
      <c r="Q277" s="211"/>
      <c r="R277" s="211"/>
      <c r="V277" s="211"/>
      <c r="Y277" s="200"/>
      <c r="Z277" s="305"/>
      <c r="AA277" s="211"/>
      <c r="AB277" s="211"/>
      <c r="AC277" s="211"/>
      <c r="AD277" s="211"/>
      <c r="AE277" s="211"/>
      <c r="AF277" s="211"/>
      <c r="AI277" s="211"/>
      <c r="AJ277" s="211"/>
      <c r="AK277" s="212"/>
      <c r="AL277" s="211"/>
    </row>
    <row r="278" spans="1:40" x14ac:dyDescent="0.25">
      <c r="A278" s="202"/>
      <c r="C278" s="154"/>
      <c r="F278" s="200"/>
      <c r="H278" s="200"/>
      <c r="I278" s="200"/>
      <c r="J278" s="213"/>
      <c r="K278" s="213"/>
      <c r="L278" s="200"/>
      <c r="M278" s="200"/>
      <c r="N278" s="210"/>
      <c r="O278" s="210"/>
      <c r="P278" s="200"/>
      <c r="Q278" s="200"/>
      <c r="R278" s="200"/>
      <c r="T278" s="154"/>
      <c r="V278" s="200"/>
      <c r="Y278" s="200"/>
      <c r="Z278" s="213"/>
      <c r="AA278" s="200"/>
      <c r="AB278" s="200"/>
      <c r="AC278" s="210"/>
      <c r="AD278" s="210"/>
      <c r="AE278" s="200"/>
      <c r="AF278" s="200"/>
      <c r="AG278" s="209"/>
      <c r="AH278" s="201"/>
      <c r="AI278" s="200"/>
      <c r="AJ278" s="200"/>
      <c r="AK278" s="209"/>
      <c r="AL278" s="200"/>
      <c r="AM278" s="210"/>
      <c r="AN278" s="210"/>
    </row>
    <row r="279" spans="1:40" x14ac:dyDescent="0.25">
      <c r="F279" s="211"/>
      <c r="H279" s="200"/>
      <c r="I279" s="200"/>
      <c r="J279" s="305"/>
      <c r="K279" s="305"/>
      <c r="L279" s="211"/>
      <c r="M279" s="211"/>
      <c r="N279" s="211"/>
      <c r="O279" s="211"/>
      <c r="P279" s="211"/>
      <c r="Q279" s="211"/>
      <c r="R279" s="211"/>
      <c r="V279" s="211"/>
      <c r="Y279" s="200"/>
      <c r="Z279" s="305"/>
      <c r="AA279" s="211"/>
      <c r="AB279" s="211"/>
      <c r="AC279" s="211"/>
      <c r="AD279" s="211"/>
      <c r="AE279" s="211"/>
      <c r="AF279" s="211"/>
      <c r="AI279" s="211"/>
      <c r="AJ279" s="211"/>
      <c r="AK279" s="212"/>
      <c r="AL279" s="211"/>
    </row>
    <row r="280" spans="1:40" x14ac:dyDescent="0.25">
      <c r="F280" s="200"/>
      <c r="R280" s="200"/>
      <c r="V280" s="200"/>
      <c r="AK280" s="209"/>
      <c r="AL280" s="200"/>
    </row>
    <row r="281" spans="1:40" x14ac:dyDescent="0.25">
      <c r="A281" s="202"/>
      <c r="C281" s="154"/>
      <c r="F281" s="200"/>
      <c r="R281" s="200"/>
      <c r="T281" s="154"/>
      <c r="V281" s="200"/>
      <c r="AK281" s="209"/>
      <c r="AL281" s="200"/>
    </row>
    <row r="282" spans="1:40" x14ac:dyDescent="0.25">
      <c r="F282" s="200"/>
      <c r="R282" s="200"/>
      <c r="V282" s="200"/>
      <c r="AK282" s="209"/>
      <c r="AL282" s="200"/>
    </row>
    <row r="283" spans="1:40" x14ac:dyDescent="0.25">
      <c r="A283" s="202"/>
      <c r="C283" s="154"/>
      <c r="F283" s="200"/>
      <c r="H283" s="252"/>
      <c r="I283" s="252"/>
      <c r="J283" s="320"/>
      <c r="K283" s="320"/>
      <c r="L283" s="200"/>
      <c r="M283" s="200"/>
      <c r="N283" s="210"/>
      <c r="O283" s="210"/>
      <c r="P283" s="252"/>
      <c r="Q283" s="252"/>
      <c r="R283" s="200"/>
      <c r="T283" s="154"/>
      <c r="V283" s="200"/>
      <c r="Y283" s="200"/>
      <c r="Z283" s="304"/>
      <c r="AA283" s="200"/>
      <c r="AB283" s="200"/>
      <c r="AC283" s="210"/>
      <c r="AD283" s="210"/>
      <c r="AE283" s="200"/>
      <c r="AF283" s="200"/>
      <c r="AG283" s="209"/>
      <c r="AH283" s="201"/>
      <c r="AI283" s="252"/>
      <c r="AJ283" s="252"/>
      <c r="AK283" s="209"/>
      <c r="AL283" s="200"/>
      <c r="AM283" s="210"/>
      <c r="AN283" s="210"/>
    </row>
    <row r="284" spans="1:40" x14ac:dyDescent="0.25">
      <c r="F284" s="211"/>
      <c r="H284" s="211"/>
      <c r="I284" s="211"/>
      <c r="J284" s="305"/>
      <c r="K284" s="305"/>
      <c r="L284" s="211"/>
      <c r="M284" s="211"/>
      <c r="N284" s="211"/>
      <c r="O284" s="211"/>
      <c r="P284" s="211"/>
      <c r="Q284" s="211"/>
      <c r="R284" s="211"/>
      <c r="V284" s="211"/>
      <c r="Y284" s="211"/>
      <c r="Z284" s="305"/>
      <c r="AA284" s="211"/>
      <c r="AB284" s="211"/>
      <c r="AC284" s="211"/>
      <c r="AD284" s="211"/>
      <c r="AE284" s="211"/>
      <c r="AF284" s="211"/>
      <c r="AI284" s="211"/>
      <c r="AJ284" s="211"/>
      <c r="AK284" s="212"/>
      <c r="AL284" s="211"/>
    </row>
    <row r="286" spans="1:40" x14ac:dyDescent="0.25">
      <c r="A286" s="202"/>
      <c r="C286" s="154"/>
      <c r="F286" s="200"/>
      <c r="H286" s="200"/>
      <c r="I286" s="200"/>
      <c r="J286" s="215"/>
      <c r="K286" s="215"/>
      <c r="L286" s="200"/>
      <c r="M286" s="200"/>
      <c r="N286" s="210"/>
      <c r="O286" s="210"/>
      <c r="P286" s="200"/>
      <c r="Q286" s="200"/>
      <c r="R286" s="200"/>
      <c r="T286" s="154"/>
      <c r="V286" s="200"/>
      <c r="Y286" s="200"/>
      <c r="Z286" s="215"/>
      <c r="AA286" s="200"/>
      <c r="AB286" s="200"/>
      <c r="AC286" s="210"/>
      <c r="AD286" s="210"/>
      <c r="AE286" s="200"/>
      <c r="AF286" s="200"/>
      <c r="AG286" s="209"/>
      <c r="AH286" s="201"/>
      <c r="AI286" s="200"/>
      <c r="AJ286" s="200"/>
      <c r="AK286" s="209"/>
      <c r="AL286" s="200"/>
      <c r="AM286" s="210"/>
      <c r="AN286" s="210"/>
    </row>
    <row r="287" spans="1:40" x14ac:dyDescent="0.25">
      <c r="F287" s="211"/>
      <c r="H287" s="211"/>
      <c r="I287" s="211"/>
      <c r="J287" s="305"/>
      <c r="K287" s="305"/>
      <c r="L287" s="211"/>
      <c r="M287" s="211"/>
      <c r="N287" s="211"/>
      <c r="O287" s="211"/>
      <c r="P287" s="211"/>
      <c r="Q287" s="211"/>
      <c r="R287" s="211"/>
      <c r="V287" s="211"/>
      <c r="Y287" s="211"/>
      <c r="Z287" s="305"/>
      <c r="AA287" s="211"/>
      <c r="AB287" s="211"/>
      <c r="AC287" s="211"/>
      <c r="AD287" s="211"/>
      <c r="AE287" s="211"/>
      <c r="AF287" s="211"/>
      <c r="AI287" s="211"/>
      <c r="AJ287" s="211"/>
      <c r="AK287" s="212"/>
      <c r="AL287" s="211"/>
    </row>
    <row r="288" spans="1:40" x14ac:dyDescent="0.25">
      <c r="R288" s="200"/>
      <c r="AG288" s="209"/>
      <c r="AH288" s="200"/>
    </row>
    <row r="289" spans="1:40" x14ac:dyDescent="0.25">
      <c r="F289" s="200"/>
      <c r="H289" s="200"/>
      <c r="I289" s="200"/>
      <c r="J289" s="213"/>
      <c r="K289" s="213"/>
      <c r="L289" s="200"/>
      <c r="M289" s="200"/>
      <c r="N289" s="200"/>
      <c r="O289" s="200"/>
      <c r="P289" s="200"/>
      <c r="Q289" s="200"/>
      <c r="R289" s="200"/>
      <c r="V289" s="200"/>
      <c r="Y289" s="200"/>
      <c r="Z289" s="213"/>
      <c r="AA289" s="200"/>
      <c r="AB289" s="200"/>
      <c r="AC289" s="200"/>
      <c r="AD289" s="200"/>
      <c r="AE289" s="200"/>
      <c r="AF289" s="200"/>
      <c r="AG289" s="209"/>
      <c r="AH289" s="200"/>
    </row>
    <row r="290" spans="1:40" x14ac:dyDescent="0.25">
      <c r="C290" s="154"/>
      <c r="F290" s="200"/>
      <c r="H290" s="200"/>
      <c r="I290" s="200"/>
      <c r="J290" s="213"/>
      <c r="K290" s="213"/>
      <c r="L290" s="200"/>
      <c r="M290" s="200"/>
      <c r="N290" s="200"/>
      <c r="O290" s="200"/>
      <c r="P290" s="200"/>
      <c r="Q290" s="200"/>
      <c r="R290" s="200"/>
      <c r="T290" s="154"/>
      <c r="V290" s="200"/>
      <c r="Y290" s="200"/>
      <c r="Z290" s="213"/>
      <c r="AA290" s="200"/>
      <c r="AB290" s="200"/>
      <c r="AC290" s="200"/>
      <c r="AD290" s="200"/>
      <c r="AE290" s="200"/>
      <c r="AF290" s="200"/>
      <c r="AG290" s="209"/>
      <c r="AH290" s="200"/>
    </row>
    <row r="291" spans="1:40" x14ac:dyDescent="0.25">
      <c r="A291" s="154"/>
    </row>
    <row r="293" spans="1:40" x14ac:dyDescent="0.25">
      <c r="J293" s="202"/>
      <c r="K293" s="202"/>
      <c r="Z293" s="202"/>
    </row>
    <row r="294" spans="1:40" x14ac:dyDescent="0.25">
      <c r="H294" s="154"/>
      <c r="I294" s="154"/>
      <c r="Y294" s="154"/>
    </row>
    <row r="295" spans="1:40" x14ac:dyDescent="0.25">
      <c r="J295" s="202"/>
      <c r="K295" s="202"/>
      <c r="Z295" s="202"/>
    </row>
    <row r="296" spans="1:40" x14ac:dyDescent="0.25">
      <c r="L296" s="154"/>
      <c r="M296" s="154"/>
      <c r="AA296" s="154"/>
      <c r="AB296" s="154"/>
    </row>
    <row r="297" spans="1:40" x14ac:dyDescent="0.25">
      <c r="A297" s="202"/>
      <c r="R297" s="154"/>
      <c r="AK297" s="297"/>
      <c r="AL297" s="154"/>
    </row>
    <row r="298" spans="1:40" x14ac:dyDescent="0.25">
      <c r="A298" s="202"/>
      <c r="R298" s="154"/>
      <c r="AK298" s="297"/>
      <c r="AL298" s="154"/>
    </row>
    <row r="299" spans="1:40" x14ac:dyDescent="0.25">
      <c r="A299" s="154"/>
      <c r="R299" s="154"/>
      <c r="AK299" s="297"/>
      <c r="AL299" s="154"/>
    </row>
    <row r="300" spans="1:40" x14ac:dyDescent="0.25">
      <c r="L300" s="154"/>
      <c r="M300" s="154"/>
      <c r="R300" s="202"/>
      <c r="AA300" s="154"/>
      <c r="AB300" s="154"/>
      <c r="AK300" s="209"/>
      <c r="AL300" s="202"/>
    </row>
    <row r="301" spans="1:40" x14ac:dyDescent="0.2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208"/>
      <c r="AH301" s="102"/>
      <c r="AI301" s="102"/>
      <c r="AJ301" s="102"/>
      <c r="AK301" s="208"/>
      <c r="AL301" s="102"/>
      <c r="AM301" s="102"/>
      <c r="AN301" s="102"/>
    </row>
    <row r="302" spans="1:40" x14ac:dyDescent="0.25">
      <c r="L302" s="103"/>
      <c r="M302" s="103"/>
      <c r="N302" s="103"/>
      <c r="O302" s="103"/>
      <c r="R302" s="103"/>
      <c r="AA302" s="103"/>
      <c r="AB302" s="103"/>
      <c r="AC302" s="103"/>
      <c r="AD302" s="103"/>
      <c r="AE302" s="103"/>
      <c r="AF302" s="103"/>
      <c r="AG302" s="185"/>
      <c r="AH302" s="103"/>
      <c r="AK302" s="185"/>
      <c r="AL302" s="103"/>
      <c r="AM302" s="103"/>
      <c r="AN302" s="103"/>
    </row>
    <row r="303" spans="1:40" x14ac:dyDescent="0.25">
      <c r="L303" s="103"/>
      <c r="M303" s="103"/>
      <c r="N303" s="103"/>
      <c r="O303" s="103"/>
      <c r="R303" s="103"/>
      <c r="Z303" s="103"/>
      <c r="AA303" s="103"/>
      <c r="AB303" s="103"/>
      <c r="AC303" s="103"/>
      <c r="AD303" s="103"/>
      <c r="AE303" s="103"/>
      <c r="AF303" s="103"/>
      <c r="AG303" s="185"/>
      <c r="AH303" s="103"/>
      <c r="AK303" s="185"/>
      <c r="AL303" s="103"/>
      <c r="AM303" s="103"/>
      <c r="AN303" s="103"/>
    </row>
    <row r="304" spans="1:40" x14ac:dyDescent="0.25">
      <c r="A304" s="103"/>
      <c r="C304" s="103"/>
      <c r="D304" s="103"/>
      <c r="E304" s="103"/>
      <c r="F304" s="103"/>
      <c r="J304" s="103"/>
      <c r="K304" s="103"/>
      <c r="L304" s="103"/>
      <c r="M304" s="103"/>
      <c r="N304" s="103"/>
      <c r="O304" s="103"/>
      <c r="P304" s="103"/>
      <c r="Q304" s="103"/>
      <c r="R304" s="103"/>
      <c r="T304" s="103"/>
      <c r="U304" s="103"/>
      <c r="V304" s="103"/>
      <c r="Z304" s="103"/>
      <c r="AA304" s="103"/>
      <c r="AB304" s="103"/>
      <c r="AC304" s="103"/>
      <c r="AD304" s="103"/>
      <c r="AE304" s="103"/>
      <c r="AF304" s="103"/>
      <c r="AG304" s="185"/>
      <c r="AH304" s="103"/>
      <c r="AI304" s="103"/>
      <c r="AJ304" s="103"/>
      <c r="AK304" s="185"/>
      <c r="AL304" s="103"/>
      <c r="AM304" s="103"/>
      <c r="AN304" s="103"/>
    </row>
    <row r="305" spans="1:40" x14ac:dyDescent="0.25">
      <c r="A305" s="103"/>
      <c r="C305" s="103"/>
      <c r="D305" s="103"/>
      <c r="E305" s="103"/>
      <c r="F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T305" s="103"/>
      <c r="U305" s="103"/>
      <c r="V305" s="103"/>
      <c r="Y305" s="103"/>
      <c r="Z305" s="103"/>
      <c r="AA305" s="103"/>
      <c r="AB305" s="103"/>
      <c r="AC305" s="103"/>
      <c r="AD305" s="103"/>
      <c r="AE305" s="103"/>
      <c r="AF305" s="103"/>
      <c r="AG305" s="185"/>
      <c r="AH305" s="103"/>
      <c r="AI305" s="103"/>
      <c r="AJ305" s="103"/>
      <c r="AK305" s="185"/>
      <c r="AL305" s="103"/>
      <c r="AM305" s="103"/>
      <c r="AN305" s="103"/>
    </row>
    <row r="306" spans="1:40" x14ac:dyDescent="0.25">
      <c r="C306" s="103"/>
      <c r="D306" s="103"/>
      <c r="E306" s="103"/>
      <c r="F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T306" s="103"/>
      <c r="U306" s="103"/>
      <c r="V306" s="103"/>
      <c r="Y306" s="103"/>
      <c r="Z306" s="103"/>
      <c r="AA306" s="103"/>
      <c r="AB306" s="103"/>
      <c r="AC306" s="103"/>
      <c r="AD306" s="103"/>
      <c r="AE306" s="103"/>
      <c r="AF306" s="103"/>
      <c r="AG306" s="185"/>
      <c r="AH306" s="103"/>
      <c r="AI306" s="103"/>
      <c r="AJ306" s="103"/>
      <c r="AK306" s="185"/>
      <c r="AL306" s="103"/>
      <c r="AM306" s="103"/>
      <c r="AN306" s="103"/>
    </row>
    <row r="307" spans="1:40" x14ac:dyDescent="0.25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208"/>
      <c r="AH307" s="102"/>
      <c r="AI307" s="102"/>
      <c r="AJ307" s="102"/>
      <c r="AK307" s="208"/>
      <c r="AL307" s="102"/>
      <c r="AM307" s="102"/>
      <c r="AN307" s="102"/>
    </row>
    <row r="308" spans="1:40" x14ac:dyDescent="0.25"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Y308" s="103"/>
      <c r="Z308" s="103"/>
      <c r="AA308" s="103"/>
      <c r="AB308" s="103"/>
      <c r="AC308" s="103"/>
      <c r="AD308" s="103"/>
      <c r="AE308" s="103"/>
      <c r="AF308" s="103"/>
      <c r="AG308" s="185"/>
      <c r="AH308" s="103"/>
      <c r="AI308" s="103"/>
      <c r="AJ308" s="103"/>
      <c r="AK308" s="185"/>
      <c r="AL308" s="103"/>
      <c r="AM308" s="103"/>
      <c r="AN308" s="103"/>
    </row>
    <row r="309" spans="1:40" x14ac:dyDescent="0.25">
      <c r="A309" s="202"/>
      <c r="C309" s="154"/>
      <c r="D309" s="154"/>
      <c r="E309" s="154"/>
      <c r="T309" s="154"/>
      <c r="U309" s="154"/>
    </row>
    <row r="310" spans="1:40" x14ac:dyDescent="0.25">
      <c r="A310" s="202"/>
      <c r="C310" s="154"/>
      <c r="T310" s="154"/>
    </row>
    <row r="312" spans="1:40" x14ac:dyDescent="0.25">
      <c r="A312" s="202"/>
      <c r="C312" s="154"/>
      <c r="F312" s="252"/>
      <c r="H312" s="252"/>
      <c r="I312" s="252"/>
      <c r="J312" s="300"/>
      <c r="K312" s="300"/>
      <c r="L312" s="200"/>
      <c r="M312" s="200"/>
      <c r="N312" s="210"/>
      <c r="O312" s="210"/>
      <c r="P312" s="202"/>
      <c r="Q312" s="202"/>
      <c r="R312" s="200"/>
      <c r="T312" s="154"/>
      <c r="V312" s="200"/>
      <c r="Y312" s="252"/>
      <c r="Z312" s="300"/>
      <c r="AA312" s="200"/>
      <c r="AB312" s="200"/>
      <c r="AC312" s="210"/>
      <c r="AD312" s="210"/>
      <c r="AE312" s="200"/>
      <c r="AF312" s="200"/>
      <c r="AG312" s="209"/>
      <c r="AH312" s="201"/>
      <c r="AI312" s="202"/>
      <c r="AJ312" s="202"/>
      <c r="AK312" s="209"/>
      <c r="AL312" s="200"/>
      <c r="AM312" s="210"/>
      <c r="AN312" s="210"/>
    </row>
    <row r="313" spans="1:40" x14ac:dyDescent="0.25">
      <c r="F313" s="211"/>
      <c r="H313" s="200"/>
      <c r="I313" s="200"/>
      <c r="J313" s="305"/>
      <c r="K313" s="305"/>
      <c r="L313" s="211"/>
      <c r="M313" s="211"/>
      <c r="N313" s="211"/>
      <c r="O313" s="211"/>
      <c r="P313" s="211"/>
      <c r="Q313" s="211"/>
      <c r="R313" s="211"/>
      <c r="V313" s="211"/>
      <c r="Y313" s="200"/>
      <c r="Z313" s="305"/>
      <c r="AA313" s="211"/>
      <c r="AB313" s="211"/>
      <c r="AC313" s="211"/>
      <c r="AD313" s="211"/>
      <c r="AE313" s="211"/>
      <c r="AF313" s="211"/>
      <c r="AI313" s="211"/>
      <c r="AJ313" s="211"/>
      <c r="AK313" s="212"/>
      <c r="AL313" s="211"/>
      <c r="AM313" s="210"/>
      <c r="AN313" s="210"/>
    </row>
    <row r="314" spans="1:40" x14ac:dyDescent="0.25">
      <c r="A314" s="202"/>
      <c r="C314" s="154"/>
      <c r="F314" s="252"/>
      <c r="H314" s="252"/>
      <c r="I314" s="252"/>
      <c r="J314" s="328"/>
      <c r="K314" s="328"/>
      <c r="L314" s="200"/>
      <c r="M314" s="200"/>
      <c r="N314" s="210"/>
      <c r="O314" s="210"/>
      <c r="P314" s="200"/>
      <c r="Q314" s="200"/>
      <c r="R314" s="200"/>
      <c r="S314" s="200"/>
      <c r="T314" s="154"/>
      <c r="V314" s="252"/>
      <c r="Y314" s="252"/>
      <c r="Z314" s="328"/>
      <c r="AA314" s="200"/>
      <c r="AB314" s="200"/>
      <c r="AC314" s="210"/>
      <c r="AD314" s="210"/>
      <c r="AE314" s="200"/>
      <c r="AF314" s="200"/>
      <c r="AG314" s="209"/>
      <c r="AH314" s="210"/>
      <c r="AI314" s="200"/>
      <c r="AJ314" s="200"/>
      <c r="AK314" s="209"/>
      <c r="AL314" s="200"/>
      <c r="AM314" s="210"/>
      <c r="AN314" s="210"/>
    </row>
    <row r="315" spans="1:40" x14ac:dyDescent="0.25">
      <c r="A315" s="202"/>
      <c r="C315" s="154"/>
      <c r="F315" s="252"/>
      <c r="H315" s="252"/>
      <c r="I315" s="252"/>
      <c r="J315" s="300"/>
      <c r="K315" s="300"/>
      <c r="L315" s="200"/>
      <c r="M315" s="200"/>
      <c r="N315" s="210"/>
      <c r="O315" s="210"/>
      <c r="P315" s="200"/>
      <c r="Q315" s="200"/>
      <c r="R315" s="200"/>
      <c r="T315" s="154"/>
      <c r="V315" s="252"/>
      <c r="Y315" s="200"/>
      <c r="Z315" s="300"/>
      <c r="AA315" s="200"/>
      <c r="AB315" s="200"/>
      <c r="AC315" s="210"/>
      <c r="AD315" s="210"/>
      <c r="AE315" s="200"/>
      <c r="AF315" s="200"/>
      <c r="AG315" s="209"/>
      <c r="AH315" s="201"/>
      <c r="AI315" s="200"/>
      <c r="AJ315" s="200"/>
      <c r="AK315" s="209"/>
      <c r="AL315" s="200"/>
      <c r="AM315" s="210"/>
      <c r="AN315" s="210"/>
    </row>
    <row r="316" spans="1:40" x14ac:dyDescent="0.25">
      <c r="A316" s="202"/>
      <c r="C316" s="154"/>
      <c r="F316" s="252"/>
      <c r="H316" s="252"/>
      <c r="I316" s="252"/>
      <c r="J316" s="300"/>
      <c r="K316" s="300"/>
      <c r="L316" s="200"/>
      <c r="M316" s="200"/>
      <c r="N316" s="210"/>
      <c r="O316" s="210"/>
      <c r="P316" s="200"/>
      <c r="Q316" s="200"/>
      <c r="R316" s="200"/>
      <c r="T316" s="154"/>
      <c r="V316" s="252"/>
      <c r="Y316" s="200"/>
      <c r="Z316" s="300"/>
      <c r="AA316" s="200"/>
      <c r="AB316" s="200"/>
      <c r="AC316" s="210"/>
      <c r="AD316" s="210"/>
      <c r="AE316" s="200"/>
      <c r="AF316" s="200"/>
      <c r="AG316" s="209"/>
      <c r="AH316" s="201"/>
      <c r="AI316" s="200"/>
      <c r="AJ316" s="200"/>
      <c r="AK316" s="209"/>
      <c r="AL316" s="200"/>
      <c r="AM316" s="210"/>
      <c r="AN316" s="210"/>
    </row>
    <row r="317" spans="1:40" x14ac:dyDescent="0.25">
      <c r="F317" s="211"/>
      <c r="H317" s="211"/>
      <c r="I317" s="211"/>
      <c r="J317" s="305"/>
      <c r="K317" s="305"/>
      <c r="L317" s="211"/>
      <c r="M317" s="211"/>
      <c r="N317" s="211"/>
      <c r="O317" s="211"/>
      <c r="P317" s="211"/>
      <c r="Q317" s="211"/>
      <c r="R317" s="211"/>
      <c r="V317" s="211"/>
      <c r="Y317" s="211"/>
      <c r="Z317" s="305"/>
      <c r="AA317" s="211"/>
      <c r="AB317" s="211"/>
      <c r="AC317" s="211"/>
      <c r="AD317" s="211"/>
      <c r="AE317" s="211"/>
      <c r="AF317" s="211"/>
      <c r="AI317" s="211"/>
      <c r="AJ317" s="211"/>
      <c r="AK317" s="212"/>
      <c r="AL317" s="211"/>
      <c r="AM317" s="210"/>
      <c r="AN317" s="210"/>
    </row>
    <row r="318" spans="1:40" x14ac:dyDescent="0.25">
      <c r="A318" s="202"/>
      <c r="C318" s="154"/>
      <c r="F318" s="200"/>
      <c r="H318" s="200"/>
      <c r="I318" s="200"/>
      <c r="J318" s="213"/>
      <c r="K318" s="213"/>
      <c r="L318" s="200"/>
      <c r="M318" s="200"/>
      <c r="N318" s="210"/>
      <c r="O318" s="210"/>
      <c r="P318" s="200"/>
      <c r="Q318" s="200"/>
      <c r="R318" s="200"/>
      <c r="T318" s="154"/>
      <c r="V318" s="200"/>
      <c r="Y318" s="200"/>
      <c r="Z318" s="213"/>
      <c r="AA318" s="200"/>
      <c r="AB318" s="200"/>
      <c r="AC318" s="210"/>
      <c r="AD318" s="210"/>
      <c r="AE318" s="200"/>
      <c r="AF318" s="200"/>
      <c r="AG318" s="209"/>
      <c r="AH318" s="201"/>
      <c r="AI318" s="200"/>
      <c r="AJ318" s="200"/>
      <c r="AK318" s="209"/>
      <c r="AL318" s="200"/>
      <c r="AM318" s="210"/>
      <c r="AN318" s="210"/>
    </row>
    <row r="319" spans="1:40" x14ac:dyDescent="0.25">
      <c r="F319" s="211"/>
      <c r="H319" s="211"/>
      <c r="I319" s="211"/>
      <c r="J319" s="305"/>
      <c r="K319" s="305"/>
      <c r="L319" s="211"/>
      <c r="M319" s="211"/>
      <c r="N319" s="211"/>
      <c r="O319" s="211"/>
      <c r="P319" s="211"/>
      <c r="Q319" s="211"/>
      <c r="R319" s="211"/>
      <c r="V319" s="211"/>
      <c r="Y319" s="211"/>
      <c r="Z319" s="305"/>
      <c r="AA319" s="211"/>
      <c r="AB319" s="211"/>
      <c r="AC319" s="211"/>
      <c r="AD319" s="211"/>
      <c r="AE319" s="211"/>
      <c r="AF319" s="211"/>
      <c r="AI319" s="211"/>
      <c r="AJ319" s="211"/>
      <c r="AK319" s="212"/>
      <c r="AL319" s="211"/>
      <c r="AM319" s="210"/>
      <c r="AN319" s="210"/>
    </row>
    <row r="320" spans="1:40" x14ac:dyDescent="0.25">
      <c r="A320" s="202"/>
      <c r="C320" s="154"/>
      <c r="F320" s="200"/>
      <c r="H320" s="200"/>
      <c r="I320" s="200"/>
      <c r="J320" s="213"/>
      <c r="K320" s="213"/>
      <c r="L320" s="200"/>
      <c r="M320" s="200"/>
      <c r="N320" s="210"/>
      <c r="O320" s="210"/>
      <c r="P320" s="200"/>
      <c r="Q320" s="200"/>
      <c r="R320" s="200"/>
      <c r="T320" s="154"/>
      <c r="V320" s="200"/>
      <c r="Y320" s="200"/>
      <c r="Z320" s="213"/>
      <c r="AA320" s="200"/>
      <c r="AB320" s="200"/>
      <c r="AC320" s="210"/>
      <c r="AD320" s="210"/>
      <c r="AE320" s="200"/>
      <c r="AF320" s="200"/>
      <c r="AG320" s="209"/>
      <c r="AH320" s="201"/>
      <c r="AI320" s="200"/>
      <c r="AJ320" s="200"/>
      <c r="AK320" s="209"/>
      <c r="AL320" s="200"/>
      <c r="AM320" s="210"/>
      <c r="AN320" s="210"/>
    </row>
    <row r="321" spans="1:40" x14ac:dyDescent="0.25">
      <c r="A321" s="202"/>
      <c r="C321" s="154"/>
      <c r="F321" s="200"/>
      <c r="H321" s="252"/>
      <c r="I321" s="252"/>
      <c r="J321" s="320"/>
      <c r="K321" s="320"/>
      <c r="L321" s="200"/>
      <c r="M321" s="200"/>
      <c r="N321" s="210"/>
      <c r="O321" s="210"/>
      <c r="P321" s="200"/>
      <c r="Q321" s="200"/>
      <c r="R321" s="200"/>
      <c r="T321" s="154"/>
      <c r="V321" s="200"/>
      <c r="Y321" s="200"/>
      <c r="Z321" s="304"/>
      <c r="AA321" s="200"/>
      <c r="AB321" s="200"/>
      <c r="AC321" s="210"/>
      <c r="AD321" s="210"/>
      <c r="AE321" s="200"/>
      <c r="AF321" s="200"/>
      <c r="AG321" s="209"/>
      <c r="AH321" s="201"/>
      <c r="AI321" s="200"/>
      <c r="AJ321" s="200"/>
      <c r="AK321" s="209"/>
      <c r="AL321" s="200"/>
      <c r="AM321" s="210"/>
      <c r="AN321" s="210"/>
    </row>
    <row r="322" spans="1:40" x14ac:dyDescent="0.25">
      <c r="F322" s="211"/>
      <c r="H322" s="211"/>
      <c r="I322" s="211"/>
      <c r="J322" s="305"/>
      <c r="K322" s="305"/>
      <c r="L322" s="211"/>
      <c r="M322" s="211"/>
      <c r="N322" s="211"/>
      <c r="O322" s="211"/>
      <c r="P322" s="211"/>
      <c r="Q322" s="211"/>
      <c r="R322" s="211"/>
      <c r="V322" s="211"/>
      <c r="Y322" s="211"/>
      <c r="Z322" s="305"/>
      <c r="AA322" s="211"/>
      <c r="AB322" s="211"/>
      <c r="AC322" s="211"/>
      <c r="AD322" s="211"/>
      <c r="AE322" s="211"/>
      <c r="AF322" s="211"/>
      <c r="AI322" s="211"/>
      <c r="AJ322" s="211"/>
      <c r="AK322" s="212"/>
      <c r="AL322" s="211"/>
      <c r="AM322" s="210"/>
      <c r="AN322" s="210"/>
    </row>
    <row r="324" spans="1:40" x14ac:dyDescent="0.25">
      <c r="A324" s="202"/>
      <c r="C324" s="154"/>
      <c r="F324" s="200"/>
      <c r="H324" s="200"/>
      <c r="I324" s="200"/>
      <c r="J324" s="305"/>
      <c r="K324" s="305"/>
      <c r="L324" s="200"/>
      <c r="M324" s="200"/>
      <c r="N324" s="210"/>
      <c r="O324" s="210"/>
      <c r="P324" s="200"/>
      <c r="Q324" s="200"/>
      <c r="R324" s="200"/>
      <c r="S324" s="200"/>
      <c r="T324" s="154"/>
      <c r="V324" s="200"/>
      <c r="Y324" s="200"/>
      <c r="Z324" s="305"/>
      <c r="AA324" s="200"/>
      <c r="AB324" s="200"/>
      <c r="AC324" s="210"/>
      <c r="AD324" s="210"/>
      <c r="AE324" s="200"/>
      <c r="AF324" s="200"/>
      <c r="AG324" s="209"/>
      <c r="AH324" s="210"/>
      <c r="AI324" s="200"/>
      <c r="AJ324" s="200"/>
      <c r="AK324" s="209"/>
      <c r="AL324" s="200"/>
      <c r="AM324" s="210"/>
      <c r="AN324" s="210"/>
    </row>
    <row r="325" spans="1:40" x14ac:dyDescent="0.25">
      <c r="F325" s="211"/>
      <c r="H325" s="211"/>
      <c r="I325" s="211"/>
      <c r="J325" s="305"/>
      <c r="K325" s="305"/>
      <c r="L325" s="211"/>
      <c r="M325" s="211"/>
      <c r="N325" s="211"/>
      <c r="O325" s="211"/>
      <c r="P325" s="211"/>
      <c r="Q325" s="211"/>
      <c r="R325" s="211"/>
      <c r="S325" s="200"/>
      <c r="V325" s="211"/>
      <c r="Y325" s="211"/>
      <c r="Z325" s="305"/>
      <c r="AA325" s="211"/>
      <c r="AB325" s="211"/>
      <c r="AC325" s="211"/>
      <c r="AD325" s="211"/>
      <c r="AE325" s="211"/>
      <c r="AF325" s="211"/>
      <c r="AI325" s="211"/>
      <c r="AJ325" s="211"/>
      <c r="AK325" s="212"/>
      <c r="AL325" s="211"/>
      <c r="AM325" s="210"/>
      <c r="AN325" s="210"/>
    </row>
    <row r="326" spans="1:40" x14ac:dyDescent="0.25">
      <c r="A326" s="202"/>
      <c r="C326" s="154"/>
      <c r="F326" s="252"/>
      <c r="H326" s="252"/>
      <c r="I326" s="252"/>
      <c r="J326" s="305"/>
      <c r="K326" s="305"/>
      <c r="L326" s="200"/>
      <c r="M326" s="200"/>
      <c r="N326" s="210"/>
      <c r="O326" s="210"/>
      <c r="P326" s="200"/>
      <c r="Q326" s="200"/>
      <c r="R326" s="200"/>
      <c r="S326" s="200"/>
      <c r="T326" s="154"/>
      <c r="V326" s="252"/>
      <c r="Y326" s="252"/>
      <c r="Z326" s="305"/>
      <c r="AA326" s="200"/>
      <c r="AB326" s="200"/>
      <c r="AC326" s="210"/>
      <c r="AD326" s="210"/>
      <c r="AE326" s="200"/>
      <c r="AF326" s="200"/>
      <c r="AI326" s="200"/>
      <c r="AJ326" s="200"/>
      <c r="AK326" s="209"/>
      <c r="AL326" s="200"/>
      <c r="AM326" s="210"/>
      <c r="AN326" s="210"/>
    </row>
    <row r="328" spans="1:40" x14ac:dyDescent="0.25">
      <c r="A328" s="202"/>
      <c r="C328" s="154"/>
      <c r="F328" s="252"/>
      <c r="H328" s="252"/>
      <c r="I328" s="252"/>
      <c r="J328" s="300"/>
      <c r="K328" s="300"/>
      <c r="L328" s="200"/>
      <c r="M328" s="200"/>
      <c r="N328" s="210"/>
      <c r="O328" s="210"/>
      <c r="P328" s="202"/>
      <c r="Q328" s="202"/>
      <c r="R328" s="200"/>
      <c r="T328" s="154"/>
      <c r="V328" s="200"/>
      <c r="Y328" s="252"/>
      <c r="Z328" s="300"/>
      <c r="AA328" s="200"/>
      <c r="AB328" s="200"/>
      <c r="AC328" s="210"/>
      <c r="AD328" s="210"/>
      <c r="AE328" s="200"/>
      <c r="AF328" s="200"/>
      <c r="AG328" s="209"/>
      <c r="AH328" s="201"/>
      <c r="AI328" s="202"/>
      <c r="AJ328" s="202"/>
      <c r="AK328" s="209"/>
      <c r="AL328" s="200"/>
      <c r="AM328" s="210"/>
      <c r="AN328" s="210"/>
    </row>
    <row r="329" spans="1:40" x14ac:dyDescent="0.25">
      <c r="F329" s="211"/>
      <c r="H329" s="200"/>
      <c r="I329" s="200"/>
      <c r="J329" s="305"/>
      <c r="K329" s="305"/>
      <c r="L329" s="211"/>
      <c r="M329" s="211"/>
      <c r="N329" s="211"/>
      <c r="O329" s="211"/>
      <c r="P329" s="211"/>
      <c r="Q329" s="211"/>
      <c r="R329" s="211"/>
      <c r="V329" s="211"/>
      <c r="Y329" s="200"/>
      <c r="Z329" s="305"/>
      <c r="AA329" s="211"/>
      <c r="AB329" s="211"/>
      <c r="AC329" s="211"/>
      <c r="AD329" s="211"/>
      <c r="AE329" s="211"/>
      <c r="AF329" s="211"/>
      <c r="AI329" s="211"/>
      <c r="AJ329" s="211"/>
      <c r="AK329" s="212"/>
      <c r="AL329" s="211"/>
      <c r="AM329" s="210"/>
      <c r="AN329" s="210"/>
    </row>
    <row r="330" spans="1:40" x14ac:dyDescent="0.25">
      <c r="A330" s="202"/>
      <c r="C330" s="154"/>
      <c r="F330" s="252"/>
      <c r="H330" s="252"/>
      <c r="I330" s="252"/>
      <c r="J330" s="328"/>
      <c r="K330" s="328"/>
      <c r="L330" s="200"/>
      <c r="M330" s="200"/>
      <c r="N330" s="210"/>
      <c r="O330" s="210"/>
      <c r="P330" s="200"/>
      <c r="Q330" s="200"/>
      <c r="R330" s="200"/>
      <c r="S330" s="200"/>
      <c r="T330" s="154"/>
      <c r="V330" s="252"/>
      <c r="Y330" s="252"/>
      <c r="Z330" s="328"/>
      <c r="AA330" s="200"/>
      <c r="AB330" s="200"/>
      <c r="AC330" s="210"/>
      <c r="AD330" s="210"/>
      <c r="AE330" s="200"/>
      <c r="AF330" s="200"/>
      <c r="AG330" s="209"/>
      <c r="AH330" s="210"/>
      <c r="AI330" s="200"/>
      <c r="AJ330" s="200"/>
      <c r="AK330" s="209"/>
      <c r="AL330" s="200"/>
      <c r="AM330" s="210"/>
      <c r="AN330" s="210"/>
    </row>
    <row r="331" spans="1:40" x14ac:dyDescent="0.25">
      <c r="A331" s="202"/>
      <c r="C331" s="154"/>
      <c r="F331" s="252"/>
      <c r="H331" s="252"/>
      <c r="I331" s="252"/>
      <c r="J331" s="300"/>
      <c r="K331" s="300"/>
      <c r="L331" s="200"/>
      <c r="M331" s="200"/>
      <c r="N331" s="210"/>
      <c r="O331" s="210"/>
      <c r="P331" s="200"/>
      <c r="Q331" s="200"/>
      <c r="R331" s="200"/>
      <c r="T331" s="154"/>
      <c r="V331" s="252"/>
      <c r="Y331" s="200"/>
      <c r="Z331" s="300"/>
      <c r="AA331" s="200"/>
      <c r="AB331" s="200"/>
      <c r="AC331" s="210"/>
      <c r="AD331" s="210"/>
      <c r="AE331" s="200"/>
      <c r="AF331" s="200"/>
      <c r="AG331" s="209"/>
      <c r="AH331" s="201"/>
      <c r="AI331" s="200"/>
      <c r="AJ331" s="200"/>
      <c r="AK331" s="209"/>
      <c r="AL331" s="200"/>
      <c r="AM331" s="210"/>
      <c r="AN331" s="210"/>
    </row>
    <row r="332" spans="1:40" x14ac:dyDescent="0.25">
      <c r="A332" s="202"/>
      <c r="C332" s="154"/>
      <c r="F332" s="252"/>
      <c r="H332" s="252"/>
      <c r="I332" s="252"/>
      <c r="J332" s="300"/>
      <c r="K332" s="300"/>
      <c r="L332" s="200"/>
      <c r="M332" s="200"/>
      <c r="N332" s="210"/>
      <c r="O332" s="210"/>
      <c r="P332" s="200"/>
      <c r="Q332" s="200"/>
      <c r="R332" s="200"/>
      <c r="T332" s="154"/>
      <c r="V332" s="252"/>
      <c r="Y332" s="200"/>
      <c r="Z332" s="300"/>
      <c r="AA332" s="200"/>
      <c r="AB332" s="200"/>
      <c r="AC332" s="210"/>
      <c r="AD332" s="210"/>
      <c r="AE332" s="200"/>
      <c r="AF332" s="200"/>
      <c r="AG332" s="209"/>
      <c r="AH332" s="201"/>
      <c r="AI332" s="200"/>
      <c r="AJ332" s="200"/>
      <c r="AK332" s="209"/>
      <c r="AL332" s="200"/>
      <c r="AM332" s="210"/>
      <c r="AN332" s="210"/>
    </row>
    <row r="333" spans="1:40" x14ac:dyDescent="0.25">
      <c r="F333" s="211"/>
      <c r="H333" s="211"/>
      <c r="I333" s="211"/>
      <c r="J333" s="305"/>
      <c r="K333" s="305"/>
      <c r="L333" s="211"/>
      <c r="M333" s="211"/>
      <c r="N333" s="211"/>
      <c r="O333" s="211"/>
      <c r="P333" s="211"/>
      <c r="Q333" s="211"/>
      <c r="R333" s="211"/>
      <c r="V333" s="211"/>
      <c r="Y333" s="211"/>
      <c r="Z333" s="305"/>
      <c r="AA333" s="211"/>
      <c r="AB333" s="211"/>
      <c r="AC333" s="211"/>
      <c r="AD333" s="211"/>
      <c r="AE333" s="211"/>
      <c r="AF333" s="211"/>
      <c r="AI333" s="211"/>
      <c r="AJ333" s="211"/>
      <c r="AK333" s="212"/>
      <c r="AL333" s="211"/>
      <c r="AM333" s="210"/>
      <c r="AN333" s="210"/>
    </row>
    <row r="334" spans="1:40" x14ac:dyDescent="0.25">
      <c r="A334" s="202"/>
      <c r="C334" s="154"/>
      <c r="F334" s="200"/>
      <c r="H334" s="200"/>
      <c r="I334" s="200"/>
      <c r="J334" s="213"/>
      <c r="K334" s="213"/>
      <c r="L334" s="200"/>
      <c r="M334" s="200"/>
      <c r="N334" s="210"/>
      <c r="O334" s="210"/>
      <c r="P334" s="200"/>
      <c r="Q334" s="200"/>
      <c r="R334" s="200"/>
      <c r="T334" s="154"/>
      <c r="V334" s="200"/>
      <c r="Y334" s="200"/>
      <c r="Z334" s="213"/>
      <c r="AA334" s="200"/>
      <c r="AB334" s="200"/>
      <c r="AC334" s="210"/>
      <c r="AD334" s="210"/>
      <c r="AE334" s="200"/>
      <c r="AF334" s="200"/>
      <c r="AG334" s="209"/>
      <c r="AH334" s="201"/>
      <c r="AI334" s="200"/>
      <c r="AJ334" s="200"/>
      <c r="AK334" s="209"/>
      <c r="AL334" s="200"/>
      <c r="AM334" s="210"/>
      <c r="AN334" s="210"/>
    </row>
    <row r="335" spans="1:40" x14ac:dyDescent="0.25">
      <c r="F335" s="211"/>
      <c r="H335" s="211"/>
      <c r="I335" s="211"/>
      <c r="J335" s="305"/>
      <c r="K335" s="305"/>
      <c r="L335" s="211"/>
      <c r="M335" s="211"/>
      <c r="N335" s="211"/>
      <c r="O335" s="211"/>
      <c r="P335" s="211"/>
      <c r="Q335" s="211"/>
      <c r="R335" s="211"/>
      <c r="V335" s="211"/>
      <c r="Y335" s="211"/>
      <c r="Z335" s="305"/>
      <c r="AA335" s="211"/>
      <c r="AB335" s="211"/>
      <c r="AC335" s="211"/>
      <c r="AD335" s="211"/>
      <c r="AE335" s="211"/>
      <c r="AF335" s="211"/>
      <c r="AI335" s="211"/>
      <c r="AJ335" s="211"/>
      <c r="AK335" s="212"/>
      <c r="AL335" s="211"/>
      <c r="AM335" s="210"/>
      <c r="AN335" s="210"/>
    </row>
    <row r="336" spans="1:40" x14ac:dyDescent="0.25">
      <c r="A336" s="202"/>
      <c r="C336" s="154"/>
      <c r="F336" s="200"/>
      <c r="H336" s="200"/>
      <c r="I336" s="200"/>
      <c r="J336" s="213"/>
      <c r="K336" s="213"/>
      <c r="L336" s="200"/>
      <c r="M336" s="200"/>
      <c r="N336" s="210"/>
      <c r="O336" s="210"/>
      <c r="P336" s="200"/>
      <c r="Q336" s="200"/>
      <c r="R336" s="200"/>
      <c r="T336" s="154"/>
      <c r="V336" s="200"/>
      <c r="Y336" s="200"/>
      <c r="Z336" s="213"/>
      <c r="AA336" s="200"/>
      <c r="AB336" s="200"/>
      <c r="AC336" s="210"/>
      <c r="AD336" s="210"/>
      <c r="AE336" s="200"/>
      <c r="AF336" s="200"/>
      <c r="AG336" s="209"/>
      <c r="AH336" s="201"/>
      <c r="AI336" s="200"/>
      <c r="AJ336" s="200"/>
      <c r="AK336" s="209"/>
      <c r="AL336" s="200"/>
      <c r="AM336" s="210"/>
      <c r="AN336" s="210"/>
    </row>
    <row r="337" spans="1:40" x14ac:dyDescent="0.25">
      <c r="A337" s="202"/>
      <c r="C337" s="154"/>
      <c r="F337" s="200"/>
      <c r="H337" s="252"/>
      <c r="I337" s="252"/>
      <c r="J337" s="320"/>
      <c r="K337" s="320"/>
      <c r="L337" s="200"/>
      <c r="M337" s="200"/>
      <c r="N337" s="210"/>
      <c r="O337" s="210"/>
      <c r="P337" s="200"/>
      <c r="Q337" s="200"/>
      <c r="R337" s="200"/>
      <c r="T337" s="154"/>
      <c r="V337" s="200"/>
      <c r="Y337" s="200"/>
      <c r="Z337" s="304"/>
      <c r="AA337" s="200"/>
      <c r="AB337" s="200"/>
      <c r="AC337" s="210"/>
      <c r="AD337" s="210"/>
      <c r="AE337" s="200"/>
      <c r="AF337" s="200"/>
      <c r="AG337" s="209"/>
      <c r="AH337" s="201"/>
      <c r="AI337" s="200"/>
      <c r="AJ337" s="200"/>
      <c r="AK337" s="209"/>
      <c r="AL337" s="200"/>
      <c r="AM337" s="210"/>
      <c r="AN337" s="210"/>
    </row>
    <row r="338" spans="1:40" x14ac:dyDescent="0.25">
      <c r="F338" s="211"/>
      <c r="H338" s="211"/>
      <c r="I338" s="211"/>
      <c r="J338" s="305"/>
      <c r="K338" s="305"/>
      <c r="L338" s="211"/>
      <c r="M338" s="211"/>
      <c r="N338" s="211"/>
      <c r="O338" s="211"/>
      <c r="P338" s="211"/>
      <c r="Q338" s="211"/>
      <c r="R338" s="211"/>
      <c r="V338" s="211"/>
      <c r="Y338" s="211"/>
      <c r="Z338" s="305"/>
      <c r="AA338" s="211"/>
      <c r="AB338" s="211"/>
      <c r="AC338" s="211"/>
      <c r="AD338" s="211"/>
      <c r="AE338" s="211"/>
      <c r="AF338" s="211"/>
      <c r="AI338" s="211"/>
      <c r="AJ338" s="211"/>
      <c r="AK338" s="212"/>
      <c r="AL338" s="211"/>
      <c r="AM338" s="210"/>
      <c r="AN338" s="210"/>
    </row>
    <row r="340" spans="1:40" x14ac:dyDescent="0.25">
      <c r="A340" s="202"/>
      <c r="C340" s="154"/>
      <c r="F340" s="200"/>
      <c r="H340" s="200"/>
      <c r="I340" s="200"/>
      <c r="J340" s="305"/>
      <c r="K340" s="305"/>
      <c r="L340" s="200"/>
      <c r="M340" s="200"/>
      <c r="N340" s="210"/>
      <c r="O340" s="210"/>
      <c r="P340" s="200"/>
      <c r="Q340" s="200"/>
      <c r="R340" s="200"/>
      <c r="S340" s="200"/>
      <c r="T340" s="154"/>
      <c r="V340" s="200"/>
      <c r="Y340" s="200"/>
      <c r="Z340" s="305"/>
      <c r="AA340" s="200"/>
      <c r="AB340" s="200"/>
      <c r="AC340" s="210"/>
      <c r="AD340" s="210"/>
      <c r="AE340" s="200"/>
      <c r="AF340" s="200"/>
      <c r="AG340" s="209"/>
      <c r="AH340" s="210"/>
      <c r="AI340" s="200"/>
      <c r="AJ340" s="200"/>
      <c r="AK340" s="209"/>
      <c r="AL340" s="200"/>
      <c r="AM340" s="210"/>
      <c r="AN340" s="210"/>
    </row>
    <row r="341" spans="1:40" x14ac:dyDescent="0.25">
      <c r="F341" s="211"/>
      <c r="H341" s="211"/>
      <c r="I341" s="211"/>
      <c r="J341" s="305"/>
      <c r="K341" s="305"/>
      <c r="L341" s="211"/>
      <c r="M341" s="211"/>
      <c r="N341" s="211"/>
      <c r="O341" s="211"/>
      <c r="P341" s="211"/>
      <c r="Q341" s="211"/>
      <c r="R341" s="211"/>
      <c r="S341" s="200"/>
      <c r="V341" s="211"/>
      <c r="Y341" s="211"/>
      <c r="Z341" s="305"/>
      <c r="AA341" s="211"/>
      <c r="AB341" s="211"/>
      <c r="AC341" s="211"/>
      <c r="AD341" s="211"/>
      <c r="AE341" s="211"/>
      <c r="AF341" s="211"/>
      <c r="AI341" s="211"/>
      <c r="AJ341" s="211"/>
      <c r="AK341" s="212"/>
      <c r="AL341" s="211"/>
      <c r="AM341" s="210"/>
      <c r="AN341" s="210"/>
    </row>
    <row r="342" spans="1:40" x14ac:dyDescent="0.25">
      <c r="A342" s="202"/>
      <c r="C342" s="154"/>
      <c r="T342" s="154"/>
    </row>
    <row r="343" spans="1:40" x14ac:dyDescent="0.25">
      <c r="A343" s="202"/>
      <c r="C343" s="154"/>
      <c r="F343" s="200"/>
      <c r="H343" s="200"/>
      <c r="I343" s="200"/>
      <c r="L343" s="200"/>
      <c r="M343" s="200"/>
      <c r="N343" s="210"/>
      <c r="O343" s="210"/>
      <c r="P343" s="252"/>
      <c r="Q343" s="252"/>
      <c r="R343" s="200"/>
      <c r="T343" s="154"/>
      <c r="V343" s="200"/>
      <c r="Y343" s="200"/>
      <c r="AA343" s="200"/>
      <c r="AB343" s="200"/>
      <c r="AC343" s="210"/>
      <c r="AD343" s="210"/>
      <c r="AE343" s="200"/>
      <c r="AF343" s="200"/>
      <c r="AG343" s="209"/>
      <c r="AH343" s="210"/>
      <c r="AI343" s="252"/>
      <c r="AJ343" s="252"/>
      <c r="AK343" s="209"/>
      <c r="AL343" s="200"/>
      <c r="AM343" s="210"/>
      <c r="AN343" s="210"/>
    </row>
    <row r="344" spans="1:40" x14ac:dyDescent="0.25">
      <c r="F344" s="211"/>
      <c r="H344" s="211"/>
      <c r="I344" s="211"/>
      <c r="J344" s="305"/>
      <c r="K344" s="305"/>
      <c r="L344" s="211"/>
      <c r="M344" s="211"/>
      <c r="N344" s="211"/>
      <c r="O344" s="211"/>
      <c r="P344" s="211"/>
      <c r="Q344" s="211"/>
      <c r="R344" s="211"/>
      <c r="V344" s="211"/>
      <c r="Y344" s="211"/>
      <c r="Z344" s="305"/>
      <c r="AA344" s="211"/>
      <c r="AB344" s="211"/>
      <c r="AC344" s="211"/>
      <c r="AD344" s="211"/>
      <c r="AE344" s="211"/>
      <c r="AF344" s="211"/>
      <c r="AI344" s="211"/>
      <c r="AJ344" s="211"/>
      <c r="AK344" s="212"/>
      <c r="AL344" s="211"/>
    </row>
    <row r="346" spans="1:40" x14ac:dyDescent="0.25">
      <c r="C346" s="154"/>
      <c r="L346" s="200"/>
      <c r="M346" s="200"/>
      <c r="N346" s="200"/>
      <c r="O346" s="200"/>
      <c r="P346" s="200"/>
      <c r="Q346" s="200"/>
      <c r="R346" s="200"/>
      <c r="S346" s="200"/>
      <c r="T346" s="154"/>
      <c r="AA346" s="200"/>
      <c r="AB346" s="200"/>
      <c r="AC346" s="200"/>
      <c r="AD346" s="200"/>
      <c r="AI346" s="200"/>
      <c r="AJ346" s="200"/>
      <c r="AK346" s="209"/>
      <c r="AL346" s="200"/>
    </row>
    <row r="347" spans="1:40" x14ac:dyDescent="0.25">
      <c r="A347" s="154"/>
    </row>
    <row r="348" spans="1:40" x14ac:dyDescent="0.25">
      <c r="J348" s="202"/>
      <c r="K348" s="202"/>
      <c r="Z348" s="202"/>
    </row>
    <row r="349" spans="1:40" x14ac:dyDescent="0.25">
      <c r="H349" s="154"/>
      <c r="I349" s="154"/>
      <c r="Y349" s="154"/>
    </row>
    <row r="350" spans="1:40" x14ac:dyDescent="0.25">
      <c r="J350" s="202"/>
      <c r="K350" s="202"/>
      <c r="Z350" s="202"/>
    </row>
    <row r="351" spans="1:40" x14ac:dyDescent="0.25">
      <c r="L351" s="154"/>
      <c r="M351" s="154"/>
      <c r="AA351" s="154"/>
      <c r="AB351" s="154"/>
    </row>
    <row r="352" spans="1:40" x14ac:dyDescent="0.25">
      <c r="A352" s="202"/>
      <c r="R352" s="154"/>
      <c r="AK352" s="297"/>
      <c r="AL352" s="154"/>
    </row>
    <row r="353" spans="1:40" x14ac:dyDescent="0.25">
      <c r="A353" s="202"/>
      <c r="R353" s="154"/>
      <c r="AK353" s="297"/>
      <c r="AL353" s="154"/>
    </row>
    <row r="354" spans="1:40" x14ac:dyDescent="0.25">
      <c r="A354" s="154"/>
      <c r="R354" s="154"/>
      <c r="AK354" s="297"/>
      <c r="AL354" s="154"/>
    </row>
    <row r="355" spans="1:40" x14ac:dyDescent="0.25">
      <c r="L355" s="154"/>
      <c r="M355" s="154"/>
      <c r="R355" s="202"/>
      <c r="AA355" s="154"/>
      <c r="AB355" s="154"/>
      <c r="AK355" s="209"/>
      <c r="AL355" s="202"/>
    </row>
    <row r="356" spans="1:40" x14ac:dyDescent="0.2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208"/>
      <c r="AH356" s="102"/>
      <c r="AI356" s="102"/>
      <c r="AJ356" s="102"/>
      <c r="AK356" s="208"/>
      <c r="AL356" s="102"/>
      <c r="AM356" s="102"/>
      <c r="AN356" s="102"/>
    </row>
    <row r="357" spans="1:40" x14ac:dyDescent="0.25">
      <c r="L357" s="103"/>
      <c r="M357" s="103"/>
      <c r="N357" s="103"/>
      <c r="O357" s="103"/>
      <c r="R357" s="103"/>
      <c r="AA357" s="103"/>
      <c r="AB357" s="103"/>
      <c r="AC357" s="103"/>
      <c r="AD357" s="103"/>
      <c r="AE357" s="103"/>
      <c r="AF357" s="103"/>
      <c r="AG357" s="185"/>
      <c r="AH357" s="103"/>
      <c r="AK357" s="185"/>
      <c r="AL357" s="103"/>
      <c r="AM357" s="103"/>
      <c r="AN357" s="103"/>
    </row>
    <row r="358" spans="1:40" x14ac:dyDescent="0.25">
      <c r="L358" s="103"/>
      <c r="M358" s="103"/>
      <c r="N358" s="103"/>
      <c r="O358" s="103"/>
      <c r="R358" s="103"/>
      <c r="Z358" s="103"/>
      <c r="AA358" s="103"/>
      <c r="AB358" s="103"/>
      <c r="AC358" s="103"/>
      <c r="AD358" s="103"/>
      <c r="AE358" s="103"/>
      <c r="AF358" s="103"/>
      <c r="AG358" s="185"/>
      <c r="AH358" s="103"/>
      <c r="AK358" s="185"/>
      <c r="AL358" s="103"/>
      <c r="AM358" s="103"/>
      <c r="AN358" s="103"/>
    </row>
    <row r="359" spans="1:40" x14ac:dyDescent="0.25">
      <c r="A359" s="103"/>
      <c r="C359" s="103"/>
      <c r="D359" s="103"/>
      <c r="E359" s="103"/>
      <c r="F359" s="103"/>
      <c r="J359" s="103"/>
      <c r="K359" s="103"/>
      <c r="L359" s="103"/>
      <c r="M359" s="103"/>
      <c r="N359" s="103"/>
      <c r="O359" s="103"/>
      <c r="P359" s="103"/>
      <c r="Q359" s="103"/>
      <c r="R359" s="103"/>
      <c r="T359" s="103"/>
      <c r="U359" s="103"/>
      <c r="V359" s="103"/>
      <c r="Z359" s="103"/>
      <c r="AA359" s="103"/>
      <c r="AB359" s="103"/>
      <c r="AC359" s="103"/>
      <c r="AD359" s="103"/>
      <c r="AE359" s="103"/>
      <c r="AF359" s="103"/>
      <c r="AG359" s="185"/>
      <c r="AH359" s="103"/>
      <c r="AI359" s="103"/>
      <c r="AJ359" s="103"/>
      <c r="AK359" s="185"/>
      <c r="AL359" s="103"/>
      <c r="AM359" s="103"/>
      <c r="AN359" s="103"/>
    </row>
    <row r="360" spans="1:40" x14ac:dyDescent="0.25">
      <c r="A360" s="103"/>
      <c r="C360" s="103"/>
      <c r="D360" s="103"/>
      <c r="E360" s="103"/>
      <c r="F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T360" s="103"/>
      <c r="U360" s="103"/>
      <c r="V360" s="103"/>
      <c r="Y360" s="103"/>
      <c r="Z360" s="103"/>
      <c r="AA360" s="103"/>
      <c r="AB360" s="103"/>
      <c r="AC360" s="103"/>
      <c r="AD360" s="103"/>
      <c r="AE360" s="103"/>
      <c r="AF360" s="103"/>
      <c r="AG360" s="185"/>
      <c r="AH360" s="103"/>
      <c r="AI360" s="103"/>
      <c r="AJ360" s="103"/>
      <c r="AK360" s="185"/>
      <c r="AL360" s="103"/>
      <c r="AM360" s="103"/>
      <c r="AN360" s="103"/>
    </row>
    <row r="361" spans="1:40" x14ac:dyDescent="0.25">
      <c r="C361" s="103"/>
      <c r="D361" s="103"/>
      <c r="E361" s="103"/>
      <c r="F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T361" s="103"/>
      <c r="U361" s="103"/>
      <c r="V361" s="103"/>
      <c r="Y361" s="103"/>
      <c r="Z361" s="103"/>
      <c r="AA361" s="103"/>
      <c r="AB361" s="103"/>
      <c r="AC361" s="103"/>
      <c r="AD361" s="103"/>
      <c r="AE361" s="103"/>
      <c r="AF361" s="103"/>
      <c r="AG361" s="185"/>
      <c r="AH361" s="103"/>
      <c r="AI361" s="103"/>
      <c r="AJ361" s="103"/>
      <c r="AK361" s="185"/>
      <c r="AL361" s="103"/>
      <c r="AM361" s="103"/>
      <c r="AN361" s="103"/>
    </row>
    <row r="362" spans="1:40" x14ac:dyDescent="0.25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208"/>
      <c r="AH362" s="102"/>
      <c r="AI362" s="102"/>
      <c r="AJ362" s="102"/>
      <c r="AK362" s="208"/>
      <c r="AL362" s="102"/>
      <c r="AM362" s="102"/>
      <c r="AN362" s="102"/>
    </row>
    <row r="363" spans="1:40" x14ac:dyDescent="0.25"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Y363" s="103"/>
      <c r="Z363" s="103"/>
      <c r="AA363" s="103"/>
      <c r="AB363" s="103"/>
      <c r="AC363" s="103"/>
      <c r="AD363" s="103"/>
      <c r="AE363" s="103"/>
      <c r="AF363" s="103"/>
      <c r="AG363" s="185"/>
      <c r="AH363" s="103"/>
      <c r="AI363" s="103"/>
      <c r="AJ363" s="103"/>
      <c r="AK363" s="185"/>
      <c r="AL363" s="103"/>
      <c r="AM363" s="103"/>
      <c r="AN363" s="103"/>
    </row>
    <row r="364" spans="1:40" x14ac:dyDescent="0.25">
      <c r="A364" s="202"/>
      <c r="C364" s="154"/>
      <c r="D364" s="154"/>
      <c r="E364" s="154"/>
      <c r="T364" s="154"/>
      <c r="U364" s="154"/>
    </row>
    <row r="365" spans="1:40" x14ac:dyDescent="0.25">
      <c r="D365" s="154"/>
      <c r="E365" s="154"/>
      <c r="U365" s="154"/>
    </row>
    <row r="367" spans="1:40" x14ac:dyDescent="0.25">
      <c r="A367" s="202"/>
      <c r="C367" s="154"/>
      <c r="T367" s="154"/>
    </row>
    <row r="368" spans="1:40" x14ac:dyDescent="0.25">
      <c r="A368" s="202"/>
      <c r="C368" s="154"/>
      <c r="F368" s="252"/>
      <c r="H368" s="252"/>
      <c r="I368" s="252"/>
      <c r="J368" s="329"/>
      <c r="K368" s="329"/>
      <c r="L368" s="200"/>
      <c r="M368" s="200"/>
      <c r="N368" s="210"/>
      <c r="O368" s="210"/>
      <c r="P368" s="200"/>
      <c r="Q368" s="200"/>
      <c r="R368" s="200"/>
      <c r="T368" s="154"/>
      <c r="V368" s="252"/>
      <c r="W368" s="200"/>
      <c r="X368" s="200"/>
      <c r="Y368" s="252"/>
      <c r="Z368" s="329"/>
      <c r="AA368" s="200"/>
      <c r="AB368" s="200"/>
      <c r="AC368" s="210"/>
      <c r="AD368" s="21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A369" s="202"/>
      <c r="C369" s="154"/>
      <c r="F369" s="200"/>
      <c r="H369" s="200"/>
      <c r="I369" s="200"/>
      <c r="J369" s="305"/>
      <c r="K369" s="305"/>
      <c r="L369" s="200"/>
      <c r="M369" s="200"/>
      <c r="N369" s="210"/>
      <c r="O369" s="210"/>
      <c r="P369" s="200"/>
      <c r="Q369" s="200"/>
      <c r="R369" s="200"/>
      <c r="T369" s="154"/>
      <c r="V369" s="252"/>
      <c r="W369" s="200"/>
      <c r="X369" s="200"/>
      <c r="Y369" s="252"/>
      <c r="Z369" s="305"/>
      <c r="AA369" s="200"/>
      <c r="AB369" s="200"/>
      <c r="AC369" s="210"/>
      <c r="AD369" s="210"/>
      <c r="AE369" s="200"/>
      <c r="AF369" s="200"/>
      <c r="AG369" s="209"/>
      <c r="AH369" s="201"/>
      <c r="AI369" s="200"/>
      <c r="AJ369" s="200"/>
      <c r="AK369" s="209"/>
      <c r="AL369" s="200"/>
      <c r="AM369" s="210"/>
      <c r="AN369" s="210"/>
    </row>
    <row r="370" spans="1:40" x14ac:dyDescent="0.25">
      <c r="A370" s="202"/>
      <c r="C370" s="154"/>
      <c r="F370" s="252"/>
      <c r="H370" s="252"/>
      <c r="I370" s="252"/>
      <c r="J370" s="329"/>
      <c r="K370" s="329"/>
      <c r="L370" s="200"/>
      <c r="M370" s="200"/>
      <c r="N370" s="210"/>
      <c r="O370" s="210"/>
      <c r="P370" s="200"/>
      <c r="Q370" s="200"/>
      <c r="R370" s="200"/>
      <c r="T370" s="154"/>
      <c r="V370" s="252"/>
      <c r="W370" s="200"/>
      <c r="X370" s="200"/>
      <c r="Y370" s="252"/>
      <c r="Z370" s="329"/>
      <c r="AA370" s="200"/>
      <c r="AB370" s="200"/>
      <c r="AC370" s="210"/>
      <c r="AD370" s="210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A371" s="202"/>
      <c r="C371" s="154"/>
      <c r="F371" s="252"/>
      <c r="H371" s="252"/>
      <c r="I371" s="252"/>
      <c r="J371" s="329"/>
      <c r="K371" s="329"/>
      <c r="L371" s="200"/>
      <c r="M371" s="200"/>
      <c r="N371" s="210"/>
      <c r="O371" s="210"/>
      <c r="P371" s="200"/>
      <c r="Q371" s="200"/>
      <c r="R371" s="200"/>
      <c r="T371" s="154"/>
      <c r="V371" s="252"/>
      <c r="W371" s="200"/>
      <c r="X371" s="200"/>
      <c r="Y371" s="252"/>
      <c r="Z371" s="329"/>
      <c r="AA371" s="200"/>
      <c r="AB371" s="200"/>
      <c r="AC371" s="210"/>
      <c r="AD371" s="210"/>
      <c r="AE371" s="200"/>
      <c r="AF371" s="200"/>
      <c r="AG371" s="209"/>
      <c r="AH371" s="201"/>
      <c r="AI371" s="200"/>
      <c r="AJ371" s="200"/>
      <c r="AK371" s="209"/>
      <c r="AL371" s="200"/>
      <c r="AM371" s="210"/>
      <c r="AN371" s="210"/>
    </row>
    <row r="372" spans="1:40" x14ac:dyDescent="0.25">
      <c r="A372" s="202"/>
      <c r="C372" s="154"/>
      <c r="F372" s="252"/>
      <c r="H372" s="252"/>
      <c r="I372" s="252"/>
      <c r="J372" s="329"/>
      <c r="K372" s="329"/>
      <c r="L372" s="200"/>
      <c r="M372" s="200"/>
      <c r="N372" s="210"/>
      <c r="O372" s="210"/>
      <c r="P372" s="200"/>
      <c r="Q372" s="200"/>
      <c r="R372" s="200"/>
      <c r="T372" s="154"/>
      <c r="V372" s="252"/>
      <c r="W372" s="200"/>
      <c r="X372" s="200"/>
      <c r="Y372" s="252"/>
      <c r="Z372" s="329"/>
      <c r="AA372" s="200"/>
      <c r="AB372" s="200"/>
      <c r="AC372" s="210"/>
      <c r="AD372" s="210"/>
      <c r="AE372" s="200"/>
      <c r="AF372" s="200"/>
      <c r="AG372" s="209"/>
      <c r="AH372" s="201"/>
      <c r="AI372" s="200"/>
      <c r="AJ372" s="200"/>
      <c r="AK372" s="209"/>
      <c r="AL372" s="200"/>
      <c r="AM372" s="210"/>
      <c r="AN372" s="210"/>
    </row>
    <row r="373" spans="1:40" x14ac:dyDescent="0.25">
      <c r="A373" s="202"/>
      <c r="C373" s="154"/>
      <c r="F373" s="200"/>
      <c r="H373" s="200"/>
      <c r="I373" s="200"/>
      <c r="J373" s="329"/>
      <c r="K373" s="329"/>
      <c r="L373" s="200"/>
      <c r="M373" s="200"/>
      <c r="N373" s="210"/>
      <c r="O373" s="210"/>
      <c r="P373" s="200"/>
      <c r="Q373" s="200"/>
      <c r="R373" s="200"/>
      <c r="T373" s="154"/>
      <c r="V373" s="252"/>
      <c r="W373" s="200"/>
      <c r="X373" s="200"/>
      <c r="Y373" s="252"/>
      <c r="Z373" s="329"/>
      <c r="AA373" s="200"/>
      <c r="AB373" s="200"/>
      <c r="AC373" s="210"/>
      <c r="AD373" s="210"/>
      <c r="AE373" s="200"/>
      <c r="AF373" s="200"/>
      <c r="AG373" s="209"/>
      <c r="AH373" s="201"/>
      <c r="AI373" s="200"/>
      <c r="AJ373" s="200"/>
      <c r="AK373" s="209"/>
      <c r="AL373" s="200"/>
      <c r="AM373" s="210"/>
      <c r="AN373" s="210"/>
    </row>
    <row r="374" spans="1:40" x14ac:dyDescent="0.25">
      <c r="A374" s="202"/>
      <c r="C374" s="154"/>
      <c r="F374" s="200"/>
      <c r="H374" s="200"/>
      <c r="I374" s="200"/>
      <c r="J374" s="329"/>
      <c r="K374" s="329"/>
      <c r="L374" s="200"/>
      <c r="M374" s="200"/>
      <c r="N374" s="210"/>
      <c r="O374" s="210"/>
      <c r="P374" s="200"/>
      <c r="Q374" s="200"/>
      <c r="R374" s="200"/>
      <c r="T374" s="154"/>
      <c r="V374" s="252"/>
      <c r="W374" s="200"/>
      <c r="X374" s="200"/>
      <c r="Y374" s="252"/>
      <c r="Z374" s="329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F375" s="331"/>
      <c r="H375" s="332"/>
      <c r="I375" s="332"/>
      <c r="J375" s="329"/>
      <c r="K375" s="329"/>
      <c r="L375" s="331"/>
      <c r="M375" s="331"/>
      <c r="N375" s="211"/>
      <c r="O375" s="211"/>
      <c r="P375" s="331"/>
      <c r="Q375" s="331"/>
      <c r="R375" s="331"/>
      <c r="V375" s="331"/>
      <c r="W375" s="200"/>
      <c r="X375" s="200"/>
      <c r="Y375" s="331"/>
      <c r="Z375" s="329"/>
      <c r="AA375" s="331"/>
      <c r="AB375" s="331"/>
      <c r="AC375" s="333"/>
      <c r="AD375" s="333"/>
      <c r="AE375" s="331"/>
      <c r="AF375" s="331"/>
      <c r="AG375" s="209"/>
      <c r="AH375" s="201"/>
      <c r="AI375" s="331"/>
      <c r="AJ375" s="331"/>
      <c r="AK375" s="208"/>
      <c r="AL375" s="331"/>
      <c r="AM375" s="210"/>
      <c r="AN375" s="210"/>
    </row>
    <row r="376" spans="1:40" x14ac:dyDescent="0.25">
      <c r="A376" s="202"/>
      <c r="C376" s="154"/>
      <c r="F376" s="200"/>
      <c r="H376" s="200"/>
      <c r="I376" s="200"/>
      <c r="J376" s="329"/>
      <c r="K376" s="329"/>
      <c r="L376" s="200"/>
      <c r="M376" s="200"/>
      <c r="N376" s="201"/>
      <c r="O376" s="201"/>
      <c r="P376" s="200"/>
      <c r="Q376" s="200"/>
      <c r="R376" s="200"/>
      <c r="T376" s="103"/>
      <c r="V376" s="200"/>
      <c r="W376" s="200"/>
      <c r="X376" s="200"/>
      <c r="Y376" s="200"/>
      <c r="Z376" s="329"/>
      <c r="AA376" s="200"/>
      <c r="AB376" s="200"/>
      <c r="AC376" s="201"/>
      <c r="AD376" s="201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F377" s="102"/>
      <c r="H377" s="102"/>
      <c r="I377" s="102"/>
      <c r="L377" s="102"/>
      <c r="M377" s="102"/>
      <c r="N377" s="333"/>
      <c r="O377" s="333"/>
      <c r="P377" s="331"/>
      <c r="Q377" s="331"/>
      <c r="R377" s="331"/>
      <c r="V377" s="331"/>
      <c r="Y377" s="331"/>
      <c r="Z377" s="305"/>
      <c r="AA377" s="331"/>
      <c r="AB377" s="331"/>
      <c r="AC377" s="331"/>
      <c r="AD377" s="331"/>
      <c r="AE377" s="331"/>
      <c r="AF377" s="331"/>
      <c r="AI377" s="331"/>
      <c r="AJ377" s="331"/>
      <c r="AK377" s="208"/>
      <c r="AL377" s="331"/>
      <c r="AM377" s="333"/>
      <c r="AN377" s="333"/>
    </row>
    <row r="378" spans="1:40" x14ac:dyDescent="0.25">
      <c r="AI378" s="202"/>
      <c r="AJ378" s="202"/>
    </row>
    <row r="382" spans="1:40" x14ac:dyDescent="0.25">
      <c r="N382" s="200"/>
      <c r="O382" s="200"/>
      <c r="P382" s="200"/>
      <c r="Q382" s="200"/>
      <c r="R382" s="200"/>
      <c r="V382" s="200"/>
      <c r="Y382" s="200"/>
      <c r="Z382" s="213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A383" s="202"/>
      <c r="C383" s="154"/>
      <c r="D383" s="154"/>
      <c r="E383" s="154"/>
      <c r="J383" s="334"/>
      <c r="K383" s="334"/>
      <c r="T383" s="154"/>
      <c r="U383" s="154"/>
      <c r="Z383" s="334"/>
      <c r="AE383" s="200"/>
      <c r="AF383" s="200"/>
      <c r="AI383" s="200"/>
      <c r="AJ383" s="200"/>
      <c r="AK383" s="209"/>
      <c r="AL383" s="200"/>
      <c r="AM383" s="210"/>
      <c r="AN383" s="210"/>
    </row>
    <row r="384" spans="1:40" x14ac:dyDescent="0.25">
      <c r="D384" s="154"/>
      <c r="E384" s="154"/>
      <c r="F384" s="200"/>
      <c r="H384" s="200"/>
      <c r="I384" s="200"/>
      <c r="J384" s="329"/>
      <c r="K384" s="329"/>
      <c r="L384" s="200"/>
      <c r="M384" s="200"/>
      <c r="N384" s="210"/>
      <c r="O384" s="210"/>
      <c r="P384" s="200"/>
      <c r="Q384" s="200"/>
      <c r="R384" s="200"/>
      <c r="U384" s="154"/>
      <c r="V384" s="200"/>
      <c r="Y384" s="200"/>
      <c r="Z384" s="329"/>
      <c r="AA384" s="200"/>
      <c r="AB384" s="200"/>
      <c r="AC384" s="210"/>
      <c r="AD384" s="210"/>
      <c r="AE384" s="200"/>
      <c r="AF384" s="200"/>
      <c r="AG384" s="209"/>
      <c r="AH384" s="201"/>
      <c r="AI384" s="200"/>
      <c r="AJ384" s="200"/>
      <c r="AK384" s="209"/>
      <c r="AL384" s="200"/>
      <c r="AM384" s="210"/>
      <c r="AN384" s="210"/>
    </row>
    <row r="385" spans="1:40" x14ac:dyDescent="0.25">
      <c r="F385" s="200"/>
      <c r="H385" s="200"/>
      <c r="I385" s="200"/>
      <c r="J385" s="305"/>
      <c r="K385" s="305"/>
      <c r="L385" s="200"/>
      <c r="M385" s="200"/>
      <c r="N385" s="200"/>
      <c r="O385" s="200"/>
      <c r="P385" s="200"/>
      <c r="Q385" s="200"/>
      <c r="R385" s="200"/>
      <c r="V385" s="200"/>
      <c r="Y385" s="200"/>
      <c r="Z385" s="305"/>
      <c r="AA385" s="200"/>
      <c r="AB385" s="200"/>
      <c r="AC385" s="200"/>
      <c r="AD385" s="200"/>
      <c r="AE385" s="200"/>
      <c r="AF385" s="200"/>
      <c r="AG385" s="209"/>
      <c r="AH385" s="201"/>
      <c r="AI385" s="252"/>
      <c r="AJ385" s="252"/>
      <c r="AK385" s="209"/>
      <c r="AL385" s="200"/>
      <c r="AM385" s="210"/>
      <c r="AN385" s="210"/>
    </row>
    <row r="386" spans="1:40" x14ac:dyDescent="0.25">
      <c r="A386" s="202"/>
      <c r="C386" s="154"/>
      <c r="F386" s="252"/>
      <c r="H386" s="252"/>
      <c r="I386" s="252"/>
      <c r="J386" s="304"/>
      <c r="K386" s="304"/>
      <c r="L386" s="200"/>
      <c r="M386" s="200"/>
      <c r="N386" s="210"/>
      <c r="O386" s="210"/>
      <c r="P386" s="200"/>
      <c r="Q386" s="200"/>
      <c r="R386" s="200"/>
      <c r="T386" s="154"/>
      <c r="V386" s="252"/>
      <c r="Y386" s="252"/>
      <c r="Z386" s="304"/>
      <c r="AA386" s="200"/>
      <c r="AB386" s="200"/>
      <c r="AC386" s="210"/>
      <c r="AD386" s="210"/>
      <c r="AE386" s="200"/>
      <c r="AF386" s="200"/>
      <c r="AG386" s="209"/>
      <c r="AH386" s="201"/>
      <c r="AI386" s="200"/>
      <c r="AJ386" s="200"/>
      <c r="AK386" s="209"/>
      <c r="AL386" s="200"/>
      <c r="AM386" s="210"/>
      <c r="AN386" s="210"/>
    </row>
    <row r="387" spans="1:40" x14ac:dyDescent="0.25">
      <c r="F387" s="102"/>
      <c r="H387" s="102"/>
      <c r="I387" s="102"/>
      <c r="L387" s="102"/>
      <c r="M387" s="102"/>
      <c r="N387" s="102"/>
      <c r="O387" s="102"/>
      <c r="P387" s="102"/>
      <c r="Q387" s="102"/>
      <c r="R387" s="102"/>
      <c r="V387" s="102"/>
      <c r="Y387" s="102"/>
      <c r="AA387" s="102"/>
      <c r="AB387" s="102"/>
      <c r="AC387" s="102"/>
      <c r="AD387" s="102"/>
      <c r="AE387" s="102"/>
      <c r="AF387" s="102"/>
      <c r="AG387" s="208"/>
      <c r="AH387" s="102"/>
      <c r="AI387" s="102"/>
      <c r="AJ387" s="102"/>
      <c r="AK387" s="208"/>
      <c r="AL387" s="102"/>
      <c r="AM387" s="102"/>
      <c r="AN387" s="102"/>
    </row>
    <row r="388" spans="1:40" x14ac:dyDescent="0.25">
      <c r="A388" s="202"/>
      <c r="C388" s="103"/>
      <c r="F388" s="252"/>
      <c r="H388" s="252"/>
      <c r="I388" s="252"/>
      <c r="J388" s="300"/>
      <c r="K388" s="300"/>
      <c r="L388" s="252"/>
      <c r="M388" s="252"/>
      <c r="N388" s="210"/>
      <c r="O388" s="210"/>
      <c r="P388" s="252"/>
      <c r="Q388" s="252"/>
      <c r="R388" s="252"/>
      <c r="T388" s="103"/>
      <c r="V388" s="200"/>
      <c r="Y388" s="200"/>
      <c r="Z388" s="213"/>
      <c r="AA388" s="200"/>
      <c r="AB388" s="200"/>
      <c r="AC388" s="210"/>
      <c r="AD388" s="210"/>
      <c r="AE388" s="202"/>
      <c r="AF388" s="202"/>
      <c r="AG388" s="209"/>
      <c r="AH388" s="201"/>
      <c r="AI388" s="200"/>
      <c r="AJ388" s="200"/>
      <c r="AK388" s="209"/>
      <c r="AL388" s="200"/>
      <c r="AM388" s="210"/>
      <c r="AN388" s="210"/>
    </row>
    <row r="389" spans="1:40" x14ac:dyDescent="0.25">
      <c r="F389" s="331"/>
      <c r="H389" s="331"/>
      <c r="I389" s="331"/>
      <c r="J389" s="305"/>
      <c r="K389" s="305"/>
      <c r="L389" s="331"/>
      <c r="M389" s="331"/>
      <c r="N389" s="331"/>
      <c r="O389" s="331"/>
      <c r="P389" s="331"/>
      <c r="Q389" s="331"/>
      <c r="R389" s="331"/>
      <c r="V389" s="102"/>
      <c r="Y389" s="102"/>
      <c r="AA389" s="102"/>
      <c r="AB389" s="102"/>
      <c r="AC389" s="102"/>
      <c r="AD389" s="102"/>
      <c r="AE389" s="102"/>
      <c r="AF389" s="102"/>
      <c r="AG389" s="208"/>
      <c r="AH389" s="102"/>
      <c r="AI389" s="102"/>
      <c r="AJ389" s="102"/>
      <c r="AK389" s="208"/>
      <c r="AL389" s="102"/>
      <c r="AM389" s="102"/>
      <c r="AN389" s="102"/>
    </row>
    <row r="390" spans="1:40" x14ac:dyDescent="0.25">
      <c r="F390" s="252"/>
      <c r="H390" s="252"/>
      <c r="I390" s="252"/>
      <c r="J390" s="328"/>
      <c r="K390" s="328"/>
      <c r="L390" s="200"/>
      <c r="M390" s="200"/>
      <c r="N390" s="210"/>
      <c r="O390" s="210"/>
      <c r="P390" s="200"/>
      <c r="Q390" s="200"/>
      <c r="R390" s="200"/>
    </row>
    <row r="391" spans="1:40" x14ac:dyDescent="0.25">
      <c r="A391" s="154"/>
      <c r="F391" s="252"/>
      <c r="H391" s="252"/>
      <c r="I391" s="252"/>
      <c r="J391" s="300"/>
      <c r="K391" s="300"/>
      <c r="L391" s="200"/>
      <c r="M391" s="200"/>
      <c r="N391" s="210"/>
      <c r="O391" s="210"/>
      <c r="P391" s="200"/>
      <c r="Q391" s="200"/>
      <c r="R391" s="200"/>
    </row>
    <row r="392" spans="1:40" x14ac:dyDescent="0.25">
      <c r="F392" s="252"/>
      <c r="H392" s="252"/>
      <c r="I392" s="252"/>
      <c r="J392" s="300"/>
      <c r="K392" s="300"/>
      <c r="L392" s="200"/>
      <c r="M392" s="200"/>
      <c r="N392" s="210"/>
      <c r="O392" s="210"/>
      <c r="P392" s="200"/>
      <c r="Q392" s="200"/>
      <c r="R392" s="200"/>
    </row>
    <row r="393" spans="1:40" x14ac:dyDescent="0.25">
      <c r="A393" s="154"/>
    </row>
    <row r="395" spans="1:40" x14ac:dyDescent="0.25">
      <c r="J395" s="202"/>
      <c r="K395" s="202"/>
      <c r="Z395" s="202"/>
    </row>
    <row r="396" spans="1:40" x14ac:dyDescent="0.25">
      <c r="H396" s="154"/>
      <c r="I396" s="154"/>
      <c r="Y396" s="154"/>
    </row>
    <row r="397" spans="1:40" x14ac:dyDescent="0.25">
      <c r="J397" s="202"/>
      <c r="K397" s="202"/>
      <c r="Z397" s="202"/>
    </row>
    <row r="398" spans="1:40" x14ac:dyDescent="0.25">
      <c r="L398" s="154"/>
      <c r="M398" s="154"/>
      <c r="AA398" s="154"/>
      <c r="AB398" s="154"/>
    </row>
    <row r="399" spans="1:40" x14ac:dyDescent="0.25">
      <c r="A399" s="202"/>
      <c r="R399" s="154"/>
      <c r="AK399" s="297"/>
      <c r="AL399" s="154"/>
    </row>
    <row r="400" spans="1:40" x14ac:dyDescent="0.25">
      <c r="A400" s="202"/>
      <c r="R400" s="154"/>
      <c r="AK400" s="297"/>
      <c r="AL400" s="154"/>
    </row>
    <row r="401" spans="1:40" x14ac:dyDescent="0.25">
      <c r="A401" s="154"/>
      <c r="R401" s="154"/>
      <c r="AK401" s="297"/>
      <c r="AL401" s="154"/>
    </row>
    <row r="402" spans="1:40" x14ac:dyDescent="0.25">
      <c r="L402" s="154"/>
      <c r="M402" s="154"/>
      <c r="R402" s="202"/>
      <c r="AA402" s="154"/>
      <c r="AB402" s="154"/>
      <c r="AK402" s="209"/>
      <c r="AL402" s="202"/>
    </row>
    <row r="403" spans="1:40" x14ac:dyDescent="0.2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208"/>
      <c r="AH403" s="102"/>
      <c r="AI403" s="102"/>
      <c r="AJ403" s="102"/>
      <c r="AK403" s="208"/>
      <c r="AL403" s="102"/>
      <c r="AM403" s="102"/>
      <c r="AN403" s="102"/>
    </row>
    <row r="404" spans="1:40" x14ac:dyDescent="0.25">
      <c r="L404" s="103"/>
      <c r="M404" s="103"/>
      <c r="N404" s="103"/>
      <c r="O404" s="103"/>
      <c r="R404" s="103"/>
      <c r="AA404" s="103"/>
      <c r="AB404" s="103"/>
      <c r="AC404" s="103"/>
      <c r="AD404" s="103"/>
      <c r="AE404" s="103"/>
      <c r="AF404" s="103"/>
      <c r="AG404" s="185"/>
      <c r="AH404" s="103"/>
      <c r="AK404" s="185"/>
      <c r="AL404" s="103"/>
      <c r="AM404" s="103"/>
      <c r="AN404" s="103"/>
    </row>
    <row r="405" spans="1:40" x14ac:dyDescent="0.25">
      <c r="L405" s="103"/>
      <c r="M405" s="103"/>
      <c r="N405" s="103"/>
      <c r="O405" s="103"/>
      <c r="R405" s="103"/>
      <c r="Z405" s="103"/>
      <c r="AA405" s="103"/>
      <c r="AB405" s="103"/>
      <c r="AC405" s="103"/>
      <c r="AD405" s="103"/>
      <c r="AE405" s="103"/>
      <c r="AF405" s="103"/>
      <c r="AG405" s="185"/>
      <c r="AH405" s="103"/>
      <c r="AK405" s="185"/>
      <c r="AL405" s="103"/>
      <c r="AM405" s="103"/>
      <c r="AN405" s="103"/>
    </row>
    <row r="406" spans="1:40" x14ac:dyDescent="0.25">
      <c r="A406" s="103"/>
      <c r="C406" s="103"/>
      <c r="D406" s="103"/>
      <c r="E406" s="103"/>
      <c r="F406" s="103"/>
      <c r="J406" s="103"/>
      <c r="K406" s="103"/>
      <c r="L406" s="103"/>
      <c r="M406" s="103"/>
      <c r="N406" s="103"/>
      <c r="O406" s="103"/>
      <c r="P406" s="103"/>
      <c r="Q406" s="103"/>
      <c r="R406" s="103"/>
      <c r="T406" s="103"/>
      <c r="U406" s="103"/>
      <c r="V406" s="103"/>
      <c r="Z406" s="103"/>
      <c r="AA406" s="103"/>
      <c r="AB406" s="103"/>
      <c r="AC406" s="103"/>
      <c r="AD406" s="103"/>
      <c r="AE406" s="103"/>
      <c r="AF406" s="103"/>
      <c r="AG406" s="185"/>
      <c r="AH406" s="103"/>
      <c r="AI406" s="103"/>
      <c r="AJ406" s="103"/>
      <c r="AK406" s="185"/>
      <c r="AL406" s="103"/>
      <c r="AM406" s="103"/>
      <c r="AN406" s="103"/>
    </row>
    <row r="407" spans="1:40" x14ac:dyDescent="0.25">
      <c r="A407" s="103"/>
      <c r="C407" s="103"/>
      <c r="D407" s="103"/>
      <c r="E407" s="103"/>
      <c r="F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T407" s="103"/>
      <c r="U407" s="103"/>
      <c r="V407" s="103"/>
      <c r="Y407" s="103"/>
      <c r="Z407" s="103"/>
      <c r="AA407" s="103"/>
      <c r="AB407" s="103"/>
      <c r="AC407" s="103"/>
      <c r="AD407" s="103"/>
      <c r="AE407" s="103"/>
      <c r="AF407" s="103"/>
      <c r="AG407" s="185"/>
      <c r="AH407" s="103"/>
      <c r="AI407" s="103"/>
      <c r="AJ407" s="103"/>
      <c r="AK407" s="185"/>
      <c r="AL407" s="103"/>
      <c r="AM407" s="103"/>
      <c r="AN407" s="103"/>
    </row>
    <row r="408" spans="1:40" x14ac:dyDescent="0.25">
      <c r="C408" s="103"/>
      <c r="D408" s="103"/>
      <c r="E408" s="103"/>
      <c r="F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T408" s="103"/>
      <c r="U408" s="103"/>
      <c r="V408" s="103"/>
      <c r="Y408" s="103"/>
      <c r="Z408" s="103"/>
      <c r="AA408" s="103"/>
      <c r="AB408" s="103"/>
      <c r="AC408" s="103"/>
      <c r="AD408" s="103"/>
      <c r="AE408" s="103"/>
      <c r="AF408" s="103"/>
      <c r="AG408" s="185"/>
      <c r="AH408" s="103"/>
      <c r="AI408" s="103"/>
      <c r="AJ408" s="103"/>
      <c r="AK408" s="185"/>
      <c r="AL408" s="103"/>
      <c r="AM408" s="103"/>
      <c r="AN408" s="103"/>
    </row>
    <row r="409" spans="1:40" x14ac:dyDescent="0.25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208"/>
      <c r="AH409" s="102"/>
      <c r="AI409" s="102"/>
      <c r="AJ409" s="102"/>
      <c r="AK409" s="208"/>
      <c r="AL409" s="102"/>
      <c r="AM409" s="102"/>
      <c r="AN409" s="102"/>
    </row>
    <row r="410" spans="1:40" x14ac:dyDescent="0.25"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Y410" s="103"/>
      <c r="Z410" s="103"/>
      <c r="AA410" s="103"/>
      <c r="AB410" s="103"/>
      <c r="AC410" s="103"/>
      <c r="AD410" s="103"/>
      <c r="AE410" s="103"/>
      <c r="AF410" s="103"/>
      <c r="AG410" s="185"/>
      <c r="AH410" s="103"/>
      <c r="AI410" s="103"/>
      <c r="AJ410" s="103"/>
      <c r="AK410" s="185"/>
      <c r="AL410" s="103"/>
      <c r="AM410" s="103"/>
      <c r="AN410" s="103"/>
    </row>
    <row r="411" spans="1:40" x14ac:dyDescent="0.25">
      <c r="A411" s="202"/>
      <c r="C411" s="154"/>
      <c r="D411" s="154"/>
      <c r="E411" s="154"/>
      <c r="T411" s="154"/>
      <c r="U411" s="154"/>
    </row>
    <row r="413" spans="1:40" x14ac:dyDescent="0.25">
      <c r="A413" s="202"/>
      <c r="C413" s="154"/>
      <c r="T413" s="154"/>
    </row>
    <row r="414" spans="1:40" x14ac:dyDescent="0.25">
      <c r="A414" s="202"/>
      <c r="C414" s="154"/>
      <c r="F414" s="252"/>
      <c r="H414" s="252"/>
      <c r="I414" s="252"/>
      <c r="J414" s="305"/>
      <c r="K414" s="305"/>
      <c r="L414" s="200"/>
      <c r="M414" s="200"/>
      <c r="N414" s="210"/>
      <c r="O414" s="210"/>
      <c r="P414" s="200"/>
      <c r="Q414" s="200"/>
      <c r="R414" s="200"/>
      <c r="T414" s="154"/>
      <c r="V414" s="252"/>
      <c r="Y414" s="252"/>
      <c r="Z414" s="305"/>
      <c r="AA414" s="200"/>
      <c r="AB414" s="200"/>
      <c r="AC414" s="210"/>
      <c r="AD414" s="210"/>
      <c r="AE414" s="200"/>
      <c r="AF414" s="200"/>
      <c r="AG414" s="209"/>
      <c r="AH414" s="201"/>
      <c r="AI414" s="200"/>
      <c r="AJ414" s="200"/>
      <c r="AK414" s="209"/>
      <c r="AL414" s="200"/>
      <c r="AM414" s="210"/>
      <c r="AN414" s="210"/>
    </row>
    <row r="415" spans="1:40" x14ac:dyDescent="0.25">
      <c r="A415" s="202"/>
      <c r="C415" s="154"/>
      <c r="T415" s="154"/>
    </row>
    <row r="416" spans="1:40" x14ac:dyDescent="0.25">
      <c r="A416" s="202"/>
      <c r="C416" s="154"/>
      <c r="F416" s="252"/>
      <c r="H416" s="252"/>
      <c r="I416" s="252"/>
      <c r="J416" s="329"/>
      <c r="K416" s="329"/>
      <c r="L416" s="200"/>
      <c r="M416" s="200"/>
      <c r="N416" s="210"/>
      <c r="O416" s="210"/>
      <c r="P416" s="200"/>
      <c r="Q416" s="200"/>
      <c r="R416" s="200"/>
      <c r="T416" s="154"/>
      <c r="V416" s="200"/>
      <c r="Y416" s="200"/>
      <c r="Z416" s="329"/>
      <c r="AA416" s="200"/>
      <c r="AB416" s="200"/>
      <c r="AC416" s="210"/>
      <c r="AD416" s="210"/>
      <c r="AE416" s="200"/>
      <c r="AF416" s="200"/>
      <c r="AG416" s="209"/>
      <c r="AH416" s="201"/>
      <c r="AI416" s="200"/>
      <c r="AJ416" s="200"/>
      <c r="AK416" s="209"/>
      <c r="AL416" s="200"/>
      <c r="AM416" s="210"/>
      <c r="AN416" s="210"/>
    </row>
    <row r="417" spans="1:40" x14ac:dyDescent="0.25">
      <c r="A417" s="202"/>
      <c r="C417" s="154"/>
      <c r="F417" s="252"/>
      <c r="H417" s="252"/>
      <c r="I417" s="252"/>
      <c r="J417" s="329"/>
      <c r="K417" s="329"/>
      <c r="L417" s="200"/>
      <c r="M417" s="200"/>
      <c r="N417" s="210"/>
      <c r="O417" s="210"/>
      <c r="P417" s="200"/>
      <c r="Q417" s="200"/>
      <c r="R417" s="200"/>
      <c r="T417" s="154"/>
      <c r="V417" s="200"/>
      <c r="Y417" s="200"/>
      <c r="Z417" s="329"/>
      <c r="AA417" s="200"/>
      <c r="AB417" s="200"/>
      <c r="AC417" s="210"/>
      <c r="AD417" s="210"/>
      <c r="AE417" s="200"/>
      <c r="AF417" s="200"/>
      <c r="AG417" s="209"/>
      <c r="AH417" s="201"/>
      <c r="AI417" s="200"/>
      <c r="AJ417" s="200"/>
      <c r="AK417" s="209"/>
      <c r="AL417" s="200"/>
      <c r="AM417" s="210"/>
      <c r="AN417" s="210"/>
    </row>
    <row r="418" spans="1:40" x14ac:dyDescent="0.25">
      <c r="A418" s="202"/>
      <c r="C418" s="154"/>
      <c r="F418" s="252"/>
      <c r="H418" s="252"/>
      <c r="I418" s="252"/>
      <c r="J418" s="329"/>
      <c r="K418" s="329"/>
      <c r="L418" s="200"/>
      <c r="M418" s="200"/>
      <c r="N418" s="210"/>
      <c r="O418" s="210"/>
      <c r="P418" s="200"/>
      <c r="Q418" s="200"/>
      <c r="R418" s="200"/>
      <c r="T418" s="154"/>
      <c r="V418" s="200"/>
      <c r="Y418" s="200"/>
      <c r="Z418" s="329"/>
      <c r="AA418" s="200"/>
      <c r="AB418" s="200"/>
      <c r="AC418" s="210"/>
      <c r="AD418" s="210"/>
      <c r="AE418" s="200"/>
      <c r="AF418" s="200"/>
      <c r="AG418" s="209"/>
      <c r="AH418" s="201"/>
      <c r="AI418" s="200"/>
      <c r="AJ418" s="200"/>
      <c r="AK418" s="209"/>
      <c r="AL418" s="200"/>
      <c r="AM418" s="210"/>
      <c r="AN418" s="210"/>
    </row>
    <row r="419" spans="1:40" x14ac:dyDescent="0.25">
      <c r="A419" s="202"/>
      <c r="C419" s="154"/>
      <c r="F419" s="252"/>
      <c r="H419" s="252"/>
      <c r="I419" s="252"/>
      <c r="J419" s="329"/>
      <c r="K419" s="329"/>
      <c r="L419" s="200"/>
      <c r="M419" s="200"/>
      <c r="N419" s="210"/>
      <c r="O419" s="210"/>
      <c r="P419" s="200"/>
      <c r="Q419" s="200"/>
      <c r="R419" s="200"/>
      <c r="T419" s="154"/>
      <c r="V419" s="200"/>
      <c r="Y419" s="200"/>
      <c r="Z419" s="329"/>
      <c r="AA419" s="200"/>
      <c r="AB419" s="200"/>
      <c r="AC419" s="210"/>
      <c r="AD419" s="210"/>
      <c r="AE419" s="200"/>
      <c r="AF419" s="200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A420" s="202"/>
      <c r="C420" s="154"/>
      <c r="J420" s="334"/>
      <c r="K420" s="334"/>
      <c r="T420" s="154"/>
      <c r="Z420" s="334"/>
    </row>
    <row r="421" spans="1:40" x14ac:dyDescent="0.25">
      <c r="A421" s="202"/>
      <c r="C421" s="154"/>
      <c r="F421" s="252"/>
      <c r="H421" s="252"/>
      <c r="I421" s="252"/>
      <c r="J421" s="329"/>
      <c r="K421" s="329"/>
      <c r="L421" s="200"/>
      <c r="M421" s="200"/>
      <c r="N421" s="210"/>
      <c r="O421" s="210"/>
      <c r="P421" s="200"/>
      <c r="Q421" s="200"/>
      <c r="R421" s="200"/>
      <c r="T421" s="154"/>
      <c r="V421" s="200"/>
      <c r="Y421" s="200"/>
      <c r="Z421" s="329"/>
      <c r="AA421" s="200"/>
      <c r="AB421" s="200"/>
      <c r="AC421" s="210"/>
      <c r="AD421" s="210"/>
      <c r="AE421" s="200"/>
      <c r="AF421" s="200"/>
      <c r="AG421" s="209"/>
      <c r="AH421" s="201"/>
      <c r="AI421" s="200"/>
      <c r="AJ421" s="200"/>
      <c r="AK421" s="209"/>
      <c r="AL421" s="200"/>
      <c r="AM421" s="210"/>
      <c r="AN421" s="210"/>
    </row>
    <row r="422" spans="1:40" x14ac:dyDescent="0.25">
      <c r="A422" s="202"/>
      <c r="C422" s="154"/>
      <c r="F422" s="252"/>
      <c r="H422" s="252"/>
      <c r="I422" s="252"/>
      <c r="J422" s="329"/>
      <c r="K422" s="329"/>
      <c r="L422" s="200"/>
      <c r="M422" s="200"/>
      <c r="N422" s="210"/>
      <c r="O422" s="210"/>
      <c r="P422" s="200"/>
      <c r="Q422" s="200"/>
      <c r="R422" s="200"/>
      <c r="T422" s="154"/>
      <c r="V422" s="200"/>
      <c r="Y422" s="200"/>
      <c r="Z422" s="329"/>
      <c r="AA422" s="200"/>
      <c r="AB422" s="200"/>
      <c r="AC422" s="210"/>
      <c r="AD422" s="210"/>
      <c r="AE422" s="200"/>
      <c r="AF422" s="200"/>
      <c r="AG422" s="209"/>
      <c r="AH422" s="201"/>
      <c r="AI422" s="200"/>
      <c r="AJ422" s="200"/>
      <c r="AK422" s="209"/>
      <c r="AL422" s="200"/>
      <c r="AM422" s="210"/>
      <c r="AN422" s="210"/>
    </row>
    <row r="423" spans="1:40" x14ac:dyDescent="0.25">
      <c r="A423" s="202"/>
      <c r="C423" s="154"/>
      <c r="F423" s="252"/>
      <c r="H423" s="252"/>
      <c r="I423" s="252"/>
      <c r="J423" s="329"/>
      <c r="K423" s="329"/>
      <c r="L423" s="200"/>
      <c r="M423" s="200"/>
      <c r="N423" s="210"/>
      <c r="O423" s="210"/>
      <c r="P423" s="200"/>
      <c r="Q423" s="200"/>
      <c r="R423" s="200"/>
      <c r="T423" s="154"/>
      <c r="V423" s="200"/>
      <c r="Y423" s="200"/>
      <c r="Z423" s="329"/>
      <c r="AA423" s="200"/>
      <c r="AB423" s="200"/>
      <c r="AC423" s="210"/>
      <c r="AD423" s="210"/>
      <c r="AE423" s="200"/>
      <c r="AF423" s="200"/>
      <c r="AG423" s="209"/>
      <c r="AH423" s="201"/>
      <c r="AI423" s="200"/>
      <c r="AJ423" s="200"/>
      <c r="AK423" s="209"/>
      <c r="AL423" s="200"/>
      <c r="AM423" s="210"/>
      <c r="AN423" s="210"/>
    </row>
    <row r="424" spans="1:40" x14ac:dyDescent="0.25">
      <c r="A424" s="202"/>
      <c r="C424" s="154"/>
      <c r="J424" s="334"/>
      <c r="K424" s="334"/>
      <c r="T424" s="154"/>
      <c r="Z424" s="334"/>
    </row>
    <row r="425" spans="1:40" x14ac:dyDescent="0.25">
      <c r="A425" s="202"/>
      <c r="C425" s="154"/>
      <c r="F425" s="252"/>
      <c r="H425" s="252"/>
      <c r="I425" s="252"/>
      <c r="J425" s="329"/>
      <c r="K425" s="329"/>
      <c r="L425" s="200"/>
      <c r="M425" s="200"/>
      <c r="N425" s="210"/>
      <c r="O425" s="210"/>
      <c r="P425" s="200"/>
      <c r="Q425" s="200"/>
      <c r="R425" s="200"/>
      <c r="T425" s="154"/>
      <c r="V425" s="200"/>
      <c r="Y425" s="200"/>
      <c r="Z425" s="329"/>
      <c r="AA425" s="200"/>
      <c r="AB425" s="200"/>
      <c r="AC425" s="210"/>
      <c r="AD425" s="210"/>
      <c r="AE425" s="200"/>
      <c r="AF425" s="200"/>
      <c r="AG425" s="209"/>
      <c r="AH425" s="201"/>
      <c r="AI425" s="200"/>
      <c r="AJ425" s="200"/>
      <c r="AK425" s="209"/>
      <c r="AL425" s="200"/>
      <c r="AM425" s="210"/>
      <c r="AN425" s="210"/>
    </row>
    <row r="426" spans="1:40" x14ac:dyDescent="0.25">
      <c r="A426" s="202"/>
      <c r="C426" s="154"/>
      <c r="F426" s="252"/>
      <c r="H426" s="252"/>
      <c r="I426" s="252"/>
      <c r="J426" s="329"/>
      <c r="K426" s="329"/>
      <c r="L426" s="200"/>
      <c r="M426" s="200"/>
      <c r="N426" s="210"/>
      <c r="O426" s="210"/>
      <c r="P426" s="200"/>
      <c r="Q426" s="200"/>
      <c r="R426" s="200"/>
      <c r="T426" s="154"/>
      <c r="V426" s="200"/>
      <c r="Y426" s="200"/>
      <c r="Z426" s="329"/>
      <c r="AA426" s="200"/>
      <c r="AB426" s="200"/>
      <c r="AC426" s="210"/>
      <c r="AD426" s="210"/>
      <c r="AE426" s="200"/>
      <c r="AF426" s="200"/>
      <c r="AG426" s="209"/>
      <c r="AH426" s="201"/>
      <c r="AI426" s="200"/>
      <c r="AJ426" s="200"/>
      <c r="AK426" s="209"/>
      <c r="AL426" s="200"/>
      <c r="AM426" s="210"/>
      <c r="AN426" s="210"/>
    </row>
    <row r="427" spans="1:40" x14ac:dyDescent="0.25">
      <c r="A427" s="202"/>
      <c r="C427" s="154"/>
      <c r="J427" s="334"/>
      <c r="K427" s="334"/>
      <c r="T427" s="154"/>
      <c r="Z427" s="334"/>
    </row>
    <row r="428" spans="1:40" x14ac:dyDescent="0.25">
      <c r="A428" s="202"/>
      <c r="C428" s="154"/>
      <c r="F428" s="252"/>
      <c r="H428" s="252"/>
      <c r="I428" s="252"/>
      <c r="J428" s="329"/>
      <c r="K428" s="329"/>
      <c r="L428" s="200"/>
      <c r="M428" s="200"/>
      <c r="N428" s="210"/>
      <c r="O428" s="210"/>
      <c r="P428" s="200"/>
      <c r="Q428" s="200"/>
      <c r="R428" s="200"/>
      <c r="T428" s="154"/>
      <c r="V428" s="200"/>
      <c r="Y428" s="200"/>
      <c r="Z428" s="329"/>
      <c r="AA428" s="200"/>
      <c r="AB428" s="200"/>
      <c r="AC428" s="210"/>
      <c r="AD428" s="210"/>
      <c r="AE428" s="200"/>
      <c r="AF428" s="200"/>
      <c r="AG428" s="209"/>
      <c r="AH428" s="201"/>
      <c r="AI428" s="200"/>
      <c r="AJ428" s="200"/>
      <c r="AK428" s="209"/>
      <c r="AL428" s="200"/>
      <c r="AM428" s="210"/>
      <c r="AN428" s="210"/>
    </row>
    <row r="429" spans="1:40" x14ac:dyDescent="0.25">
      <c r="A429" s="202"/>
      <c r="C429" s="154"/>
      <c r="F429" s="252"/>
      <c r="H429" s="252"/>
      <c r="I429" s="252"/>
      <c r="J429" s="329"/>
      <c r="K429" s="329"/>
      <c r="L429" s="200"/>
      <c r="M429" s="200"/>
      <c r="N429" s="210"/>
      <c r="O429" s="210"/>
      <c r="P429" s="200"/>
      <c r="Q429" s="200"/>
      <c r="R429" s="200"/>
      <c r="T429" s="154"/>
      <c r="V429" s="200"/>
      <c r="Y429" s="200"/>
      <c r="Z429" s="329"/>
      <c r="AA429" s="200"/>
      <c r="AB429" s="200"/>
      <c r="AC429" s="210"/>
      <c r="AD429" s="210"/>
      <c r="AE429" s="200"/>
      <c r="AF429" s="200"/>
      <c r="AG429" s="209"/>
      <c r="AH429" s="201"/>
      <c r="AI429" s="200"/>
      <c r="AJ429" s="200"/>
      <c r="AK429" s="209"/>
      <c r="AL429" s="200"/>
      <c r="AM429" s="210"/>
      <c r="AN429" s="210"/>
    </row>
    <row r="430" spans="1:40" x14ac:dyDescent="0.25">
      <c r="A430" s="202"/>
      <c r="C430" s="154"/>
      <c r="F430" s="252"/>
      <c r="H430" s="252"/>
      <c r="I430" s="252"/>
      <c r="J430" s="329"/>
      <c r="K430" s="329"/>
      <c r="L430" s="200"/>
      <c r="M430" s="200"/>
      <c r="N430" s="210"/>
      <c r="O430" s="210"/>
      <c r="P430" s="200"/>
      <c r="Q430" s="200"/>
      <c r="R430" s="200"/>
      <c r="T430" s="154"/>
      <c r="V430" s="200"/>
      <c r="Y430" s="200"/>
      <c r="Z430" s="329"/>
      <c r="AA430" s="200"/>
      <c r="AB430" s="200"/>
      <c r="AC430" s="210"/>
      <c r="AD430" s="210"/>
      <c r="AE430" s="200"/>
      <c r="AF430" s="200"/>
      <c r="AG430" s="209"/>
      <c r="AH430" s="201"/>
      <c r="AI430" s="200"/>
      <c r="AJ430" s="200"/>
      <c r="AK430" s="209"/>
      <c r="AL430" s="200"/>
      <c r="AM430" s="210"/>
      <c r="AN430" s="210"/>
    </row>
    <row r="431" spans="1:40" x14ac:dyDescent="0.25">
      <c r="F431" s="211"/>
      <c r="H431" s="211"/>
      <c r="I431" s="211"/>
      <c r="J431" s="329"/>
      <c r="K431" s="329"/>
      <c r="L431" s="211"/>
      <c r="M431" s="211"/>
      <c r="N431" s="211"/>
      <c r="O431" s="211"/>
      <c r="P431" s="211"/>
      <c r="Q431" s="211"/>
      <c r="R431" s="211"/>
      <c r="V431" s="211"/>
      <c r="Y431" s="211"/>
      <c r="Z431" s="329"/>
      <c r="AA431" s="211"/>
      <c r="AB431" s="211"/>
      <c r="AC431" s="211"/>
      <c r="AD431" s="211"/>
      <c r="AE431" s="211"/>
      <c r="AF431" s="211"/>
      <c r="AI431" s="211"/>
      <c r="AJ431" s="211"/>
      <c r="AK431" s="212"/>
      <c r="AL431" s="211"/>
    </row>
    <row r="432" spans="1:40" x14ac:dyDescent="0.25">
      <c r="A432" s="202"/>
      <c r="C432" s="103"/>
      <c r="F432" s="200"/>
      <c r="H432" s="200"/>
      <c r="I432" s="200"/>
      <c r="J432" s="334"/>
      <c r="K432" s="334"/>
      <c r="L432" s="200"/>
      <c r="M432" s="200"/>
      <c r="N432" s="201"/>
      <c r="O432" s="201"/>
      <c r="P432" s="200"/>
      <c r="Q432" s="200"/>
      <c r="R432" s="200"/>
      <c r="T432" s="103"/>
      <c r="V432" s="200"/>
      <c r="Y432" s="200"/>
      <c r="Z432" s="334"/>
      <c r="AA432" s="200"/>
      <c r="AB432" s="200"/>
      <c r="AC432" s="200"/>
      <c r="AD432" s="200"/>
      <c r="AE432" s="200"/>
      <c r="AF432" s="200"/>
      <c r="AG432" s="209"/>
      <c r="AH432" s="201"/>
      <c r="AI432" s="200"/>
      <c r="AJ432" s="200"/>
      <c r="AK432" s="209"/>
      <c r="AL432" s="200"/>
      <c r="AM432" s="210"/>
      <c r="AN432" s="210"/>
    </row>
    <row r="433" spans="1:40" x14ac:dyDescent="0.25">
      <c r="F433" s="211"/>
      <c r="H433" s="211"/>
      <c r="I433" s="211"/>
      <c r="J433" s="329"/>
      <c r="K433" s="329"/>
      <c r="L433" s="211"/>
      <c r="M433" s="211"/>
      <c r="N433" s="211"/>
      <c r="O433" s="211"/>
      <c r="P433" s="211"/>
      <c r="Q433" s="211"/>
      <c r="R433" s="211"/>
      <c r="V433" s="211"/>
      <c r="Y433" s="211"/>
      <c r="Z433" s="329"/>
      <c r="AA433" s="211"/>
      <c r="AB433" s="211"/>
      <c r="AC433" s="211"/>
      <c r="AD433" s="211"/>
      <c r="AE433" s="211"/>
      <c r="AF433" s="211"/>
      <c r="AI433" s="211"/>
      <c r="AJ433" s="211"/>
      <c r="AK433" s="212"/>
      <c r="AL433" s="211"/>
    </row>
    <row r="434" spans="1:40" x14ac:dyDescent="0.25">
      <c r="A434" s="202"/>
      <c r="C434" s="154"/>
      <c r="J434" s="334"/>
      <c r="K434" s="334"/>
      <c r="T434" s="154"/>
      <c r="Z434" s="334"/>
    </row>
    <row r="435" spans="1:40" x14ac:dyDescent="0.25">
      <c r="A435" s="202"/>
      <c r="C435" s="154"/>
      <c r="J435" s="334"/>
      <c r="K435" s="334"/>
      <c r="T435" s="154"/>
      <c r="Z435" s="334"/>
    </row>
    <row r="436" spans="1:40" x14ac:dyDescent="0.25">
      <c r="A436" s="202"/>
      <c r="C436" s="154"/>
      <c r="F436" s="252"/>
      <c r="H436" s="252"/>
      <c r="I436" s="252"/>
      <c r="J436" s="329"/>
      <c r="K436" s="329"/>
      <c r="L436" s="200"/>
      <c r="M436" s="200"/>
      <c r="N436" s="210"/>
      <c r="O436" s="210"/>
      <c r="P436" s="200"/>
      <c r="Q436" s="200"/>
      <c r="R436" s="200"/>
      <c r="T436" s="154"/>
      <c r="V436" s="200"/>
      <c r="Y436" s="200"/>
      <c r="Z436" s="329"/>
      <c r="AA436" s="200"/>
      <c r="AB436" s="200"/>
      <c r="AC436" s="210"/>
      <c r="AD436" s="210"/>
      <c r="AE436" s="200"/>
      <c r="AF436" s="200"/>
      <c r="AG436" s="209"/>
      <c r="AH436" s="201"/>
      <c r="AI436" s="200"/>
      <c r="AJ436" s="200"/>
      <c r="AK436" s="209"/>
      <c r="AL436" s="200"/>
      <c r="AM436" s="210"/>
      <c r="AN436" s="210"/>
    </row>
    <row r="437" spans="1:40" x14ac:dyDescent="0.25">
      <c r="A437" s="202"/>
      <c r="C437" s="154"/>
      <c r="F437" s="252"/>
      <c r="H437" s="252"/>
      <c r="I437" s="252"/>
      <c r="J437" s="329"/>
      <c r="K437" s="329"/>
      <c r="L437" s="200"/>
      <c r="M437" s="200"/>
      <c r="N437" s="210"/>
      <c r="O437" s="210"/>
      <c r="P437" s="200"/>
      <c r="Q437" s="200"/>
      <c r="R437" s="200"/>
      <c r="T437" s="154"/>
      <c r="V437" s="200"/>
      <c r="Y437" s="200"/>
      <c r="Z437" s="329"/>
      <c r="AA437" s="200"/>
      <c r="AB437" s="200"/>
      <c r="AC437" s="210"/>
      <c r="AD437" s="210"/>
      <c r="AE437" s="200"/>
      <c r="AF437" s="200"/>
      <c r="AG437" s="209"/>
      <c r="AH437" s="201"/>
      <c r="AI437" s="200"/>
      <c r="AJ437" s="200"/>
      <c r="AK437" s="209"/>
      <c r="AL437" s="200"/>
      <c r="AM437" s="210"/>
      <c r="AN437" s="210"/>
    </row>
    <row r="438" spans="1:40" x14ac:dyDescent="0.25">
      <c r="A438" s="202"/>
      <c r="C438" s="154"/>
      <c r="F438" s="252"/>
      <c r="H438" s="252"/>
      <c r="I438" s="252"/>
      <c r="J438" s="329"/>
      <c r="K438" s="329"/>
      <c r="L438" s="200"/>
      <c r="M438" s="200"/>
      <c r="N438" s="210"/>
      <c r="O438" s="210"/>
      <c r="P438" s="200"/>
      <c r="Q438" s="200"/>
      <c r="R438" s="200"/>
      <c r="T438" s="154"/>
      <c r="V438" s="200"/>
      <c r="Y438" s="200"/>
      <c r="Z438" s="329"/>
      <c r="AA438" s="200"/>
      <c r="AB438" s="200"/>
      <c r="AC438" s="210"/>
      <c r="AD438" s="210"/>
      <c r="AE438" s="200"/>
      <c r="AF438" s="200"/>
      <c r="AG438" s="209"/>
      <c r="AH438" s="201"/>
      <c r="AI438" s="200"/>
      <c r="AJ438" s="200"/>
      <c r="AK438" s="209"/>
      <c r="AL438" s="200"/>
      <c r="AM438" s="210"/>
      <c r="AN438" s="210"/>
    </row>
    <row r="439" spans="1:40" x14ac:dyDescent="0.25">
      <c r="A439" s="202"/>
      <c r="C439" s="154"/>
      <c r="F439" s="252"/>
      <c r="H439" s="252"/>
      <c r="I439" s="252"/>
      <c r="J439" s="329"/>
      <c r="K439" s="329"/>
      <c r="L439" s="200"/>
      <c r="M439" s="200"/>
      <c r="N439" s="210"/>
      <c r="O439" s="210"/>
      <c r="P439" s="200"/>
      <c r="Q439" s="200"/>
      <c r="R439" s="200"/>
      <c r="T439" s="154"/>
      <c r="V439" s="200"/>
      <c r="Y439" s="200"/>
      <c r="Z439" s="329"/>
      <c r="AA439" s="200"/>
      <c r="AB439" s="200"/>
      <c r="AC439" s="210"/>
      <c r="AD439" s="210"/>
      <c r="AE439" s="200"/>
      <c r="AF439" s="200"/>
      <c r="AG439" s="209"/>
      <c r="AH439" s="201"/>
      <c r="AI439" s="200"/>
      <c r="AJ439" s="200"/>
      <c r="AK439" s="209"/>
      <c r="AL439" s="200"/>
      <c r="AM439" s="210"/>
      <c r="AN439" s="210"/>
    </row>
    <row r="440" spans="1:40" x14ac:dyDescent="0.25">
      <c r="A440" s="202"/>
      <c r="C440" s="154"/>
      <c r="F440" s="252"/>
      <c r="H440" s="252"/>
      <c r="I440" s="252"/>
      <c r="J440" s="329"/>
      <c r="K440" s="329"/>
      <c r="L440" s="200"/>
      <c r="M440" s="200"/>
      <c r="N440" s="210"/>
      <c r="O440" s="210"/>
      <c r="P440" s="200"/>
      <c r="Q440" s="200"/>
      <c r="R440" s="200"/>
      <c r="T440" s="154"/>
      <c r="V440" s="200"/>
      <c r="Y440" s="200"/>
      <c r="Z440" s="329"/>
      <c r="AA440" s="200"/>
      <c r="AB440" s="200"/>
      <c r="AC440" s="210"/>
      <c r="AD440" s="210"/>
      <c r="AE440" s="200"/>
      <c r="AF440" s="200"/>
      <c r="AG440" s="209"/>
      <c r="AH440" s="201"/>
      <c r="AI440" s="200"/>
      <c r="AJ440" s="200"/>
      <c r="AK440" s="209"/>
      <c r="AL440" s="200"/>
      <c r="AM440" s="210"/>
      <c r="AN440" s="210"/>
    </row>
    <row r="441" spans="1:40" x14ac:dyDescent="0.25">
      <c r="A441" s="202"/>
      <c r="C441" s="154"/>
      <c r="F441" s="252"/>
      <c r="H441" s="252"/>
      <c r="I441" s="252"/>
      <c r="J441" s="329"/>
      <c r="K441" s="329"/>
      <c r="L441" s="200"/>
      <c r="M441" s="200"/>
      <c r="N441" s="210"/>
      <c r="O441" s="210"/>
      <c r="P441" s="200"/>
      <c r="Q441" s="200"/>
      <c r="R441" s="200"/>
      <c r="T441" s="154"/>
      <c r="V441" s="200"/>
      <c r="Y441" s="200"/>
      <c r="Z441" s="329"/>
      <c r="AA441" s="200"/>
      <c r="AB441" s="200"/>
      <c r="AC441" s="210"/>
      <c r="AD441" s="210"/>
      <c r="AE441" s="200"/>
      <c r="AF441" s="200"/>
      <c r="AG441" s="209"/>
      <c r="AH441" s="201"/>
      <c r="AI441" s="200"/>
      <c r="AJ441" s="200"/>
      <c r="AK441" s="209"/>
      <c r="AL441" s="200"/>
      <c r="AM441" s="210"/>
      <c r="AN441" s="210"/>
    </row>
    <row r="442" spans="1:40" x14ac:dyDescent="0.25">
      <c r="A442" s="202"/>
      <c r="C442" s="154"/>
      <c r="F442" s="252"/>
      <c r="H442" s="252"/>
      <c r="I442" s="252"/>
      <c r="J442" s="329"/>
      <c r="K442" s="329"/>
      <c r="L442" s="200"/>
      <c r="M442" s="200"/>
      <c r="N442" s="210"/>
      <c r="O442" s="210"/>
      <c r="P442" s="200"/>
      <c r="Q442" s="200"/>
      <c r="R442" s="200"/>
      <c r="T442" s="154"/>
      <c r="V442" s="200"/>
      <c r="Y442" s="200"/>
      <c r="Z442" s="329"/>
      <c r="AA442" s="200"/>
      <c r="AB442" s="200"/>
      <c r="AC442" s="210"/>
      <c r="AD442" s="210"/>
      <c r="AE442" s="200"/>
      <c r="AF442" s="200"/>
      <c r="AG442" s="209"/>
      <c r="AH442" s="201"/>
      <c r="AI442" s="200"/>
      <c r="AJ442" s="200"/>
      <c r="AK442" s="209"/>
      <c r="AL442" s="200"/>
      <c r="AM442" s="210"/>
      <c r="AN442" s="210"/>
    </row>
    <row r="443" spans="1:40" x14ac:dyDescent="0.25">
      <c r="A443" s="202"/>
      <c r="C443" s="154"/>
      <c r="J443" s="334"/>
      <c r="K443" s="334"/>
      <c r="T443" s="154"/>
      <c r="Z443" s="334"/>
    </row>
    <row r="444" spans="1:40" x14ac:dyDescent="0.25">
      <c r="A444" s="202"/>
      <c r="C444" s="154"/>
      <c r="F444" s="252"/>
      <c r="H444" s="252"/>
      <c r="I444" s="252"/>
      <c r="J444" s="329"/>
      <c r="K444" s="329"/>
      <c r="L444" s="200"/>
      <c r="M444" s="200"/>
      <c r="N444" s="210"/>
      <c r="O444" s="210"/>
      <c r="P444" s="200"/>
      <c r="Q444" s="200"/>
      <c r="R444" s="200"/>
      <c r="T444" s="154"/>
      <c r="V444" s="200"/>
      <c r="Y444" s="200"/>
      <c r="Z444" s="329"/>
      <c r="AA444" s="200"/>
      <c r="AB444" s="200"/>
      <c r="AC444" s="210"/>
      <c r="AD444" s="210"/>
      <c r="AE444" s="200"/>
      <c r="AF444" s="200"/>
      <c r="AG444" s="209"/>
      <c r="AH444" s="201"/>
      <c r="AI444" s="200"/>
      <c r="AJ444" s="200"/>
      <c r="AK444" s="209"/>
      <c r="AL444" s="200"/>
      <c r="AM444" s="210"/>
      <c r="AN444" s="210"/>
    </row>
    <row r="445" spans="1:40" x14ac:dyDescent="0.25">
      <c r="A445" s="202"/>
      <c r="C445" s="154"/>
      <c r="F445" s="252"/>
      <c r="H445" s="252"/>
      <c r="I445" s="252"/>
      <c r="J445" s="329"/>
      <c r="K445" s="329"/>
      <c r="L445" s="200"/>
      <c r="M445" s="200"/>
      <c r="N445" s="210"/>
      <c r="O445" s="210"/>
      <c r="P445" s="200"/>
      <c r="Q445" s="200"/>
      <c r="R445" s="200"/>
      <c r="T445" s="154"/>
      <c r="V445" s="200"/>
      <c r="Y445" s="200"/>
      <c r="Z445" s="329"/>
      <c r="AA445" s="200"/>
      <c r="AB445" s="200"/>
      <c r="AC445" s="210"/>
      <c r="AD445" s="210"/>
      <c r="AE445" s="200"/>
      <c r="AF445" s="200"/>
      <c r="AG445" s="209"/>
      <c r="AH445" s="201"/>
      <c r="AI445" s="200"/>
      <c r="AJ445" s="200"/>
      <c r="AK445" s="209"/>
      <c r="AL445" s="200"/>
      <c r="AM445" s="210"/>
      <c r="AN445" s="210"/>
    </row>
    <row r="446" spans="1:40" x14ac:dyDescent="0.25">
      <c r="A446" s="202"/>
      <c r="C446" s="154"/>
      <c r="F446" s="252"/>
      <c r="H446" s="252"/>
      <c r="I446" s="252"/>
      <c r="J446" s="329"/>
      <c r="K446" s="329"/>
      <c r="L446" s="200"/>
      <c r="M446" s="200"/>
      <c r="N446" s="210"/>
      <c r="O446" s="210"/>
      <c r="P446" s="200"/>
      <c r="Q446" s="200"/>
      <c r="R446" s="200"/>
      <c r="T446" s="154"/>
      <c r="V446" s="200"/>
      <c r="Y446" s="200"/>
      <c r="Z446" s="329"/>
      <c r="AA446" s="200"/>
      <c r="AB446" s="200"/>
      <c r="AC446" s="210"/>
      <c r="AD446" s="210"/>
      <c r="AE446" s="200"/>
      <c r="AF446" s="200"/>
      <c r="AG446" s="209"/>
      <c r="AH446" s="201"/>
      <c r="AI446" s="200"/>
      <c r="AJ446" s="200"/>
      <c r="AK446" s="209"/>
      <c r="AL446" s="200"/>
      <c r="AM446" s="210"/>
      <c r="AN446" s="210"/>
    </row>
    <row r="447" spans="1:40" x14ac:dyDescent="0.25">
      <c r="A447" s="202"/>
      <c r="C447" s="154"/>
      <c r="F447" s="252"/>
      <c r="H447" s="252"/>
      <c r="I447" s="252"/>
      <c r="J447" s="329"/>
      <c r="K447" s="329"/>
      <c r="L447" s="200"/>
      <c r="M447" s="200"/>
      <c r="N447" s="210"/>
      <c r="O447" s="210"/>
      <c r="P447" s="200"/>
      <c r="Q447" s="200"/>
      <c r="R447" s="200"/>
      <c r="T447" s="154"/>
      <c r="V447" s="200"/>
      <c r="Y447" s="200"/>
      <c r="Z447" s="329"/>
      <c r="AA447" s="200"/>
      <c r="AB447" s="200"/>
      <c r="AC447" s="210"/>
      <c r="AD447" s="210"/>
      <c r="AE447" s="200"/>
      <c r="AF447" s="200"/>
      <c r="AG447" s="209"/>
      <c r="AH447" s="201"/>
      <c r="AI447" s="200"/>
      <c r="AJ447" s="200"/>
      <c r="AK447" s="209"/>
      <c r="AL447" s="200"/>
      <c r="AM447" s="210"/>
      <c r="AN447" s="210"/>
    </row>
    <row r="448" spans="1:40" x14ac:dyDescent="0.25">
      <c r="A448" s="202"/>
      <c r="C448" s="154"/>
      <c r="J448" s="334"/>
      <c r="K448" s="334"/>
      <c r="T448" s="154"/>
      <c r="Z448" s="334"/>
    </row>
    <row r="449" spans="1:40" x14ac:dyDescent="0.25">
      <c r="A449" s="202"/>
      <c r="C449" s="154"/>
      <c r="F449" s="252"/>
      <c r="H449" s="252"/>
      <c r="I449" s="252"/>
      <c r="J449" s="329"/>
      <c r="K449" s="329"/>
      <c r="L449" s="200"/>
      <c r="M449" s="200"/>
      <c r="N449" s="210"/>
      <c r="O449" s="210"/>
      <c r="P449" s="200"/>
      <c r="Q449" s="200"/>
      <c r="R449" s="200"/>
      <c r="T449" s="154"/>
      <c r="V449" s="200"/>
      <c r="Y449" s="200"/>
      <c r="Z449" s="329"/>
      <c r="AA449" s="200"/>
      <c r="AB449" s="200"/>
      <c r="AC449" s="210"/>
      <c r="AD449" s="210"/>
      <c r="AE449" s="200"/>
      <c r="AF449" s="200"/>
      <c r="AG449" s="209"/>
      <c r="AH449" s="201"/>
      <c r="AI449" s="200"/>
      <c r="AJ449" s="200"/>
      <c r="AK449" s="209"/>
      <c r="AL449" s="200"/>
      <c r="AM449" s="210"/>
      <c r="AN449" s="210"/>
    </row>
    <row r="450" spans="1:40" x14ac:dyDescent="0.25">
      <c r="A450" s="202"/>
      <c r="C450" s="154"/>
      <c r="F450" s="252"/>
      <c r="H450" s="252"/>
      <c r="I450" s="252"/>
      <c r="J450" s="329"/>
      <c r="K450" s="329"/>
      <c r="L450" s="200"/>
      <c r="M450" s="200"/>
      <c r="N450" s="210"/>
      <c r="O450" s="210"/>
      <c r="P450" s="200"/>
      <c r="Q450" s="200"/>
      <c r="R450" s="200"/>
      <c r="T450" s="154"/>
      <c r="V450" s="200"/>
      <c r="Y450" s="200"/>
      <c r="Z450" s="329"/>
      <c r="AA450" s="200"/>
      <c r="AB450" s="200"/>
      <c r="AC450" s="210"/>
      <c r="AD450" s="210"/>
      <c r="AE450" s="200"/>
      <c r="AF450" s="200"/>
      <c r="AG450" s="209"/>
      <c r="AH450" s="201"/>
      <c r="AI450" s="200"/>
      <c r="AJ450" s="200"/>
      <c r="AK450" s="209"/>
      <c r="AL450" s="200"/>
      <c r="AM450" s="210"/>
      <c r="AN450" s="210"/>
    </row>
    <row r="451" spans="1:40" x14ac:dyDescent="0.25">
      <c r="A451" s="202"/>
      <c r="C451" s="154"/>
      <c r="F451" s="252"/>
      <c r="H451" s="252"/>
      <c r="I451" s="252"/>
      <c r="J451" s="329"/>
      <c r="K451" s="329"/>
      <c r="L451" s="200"/>
      <c r="M451" s="200"/>
      <c r="N451" s="210"/>
      <c r="O451" s="210"/>
      <c r="P451" s="200"/>
      <c r="Q451" s="200"/>
      <c r="R451" s="200"/>
      <c r="T451" s="154"/>
      <c r="V451" s="200"/>
      <c r="Y451" s="200"/>
      <c r="Z451" s="329"/>
      <c r="AA451" s="200"/>
      <c r="AB451" s="200"/>
      <c r="AC451" s="210"/>
      <c r="AD451" s="210"/>
      <c r="AE451" s="200"/>
      <c r="AF451" s="200"/>
      <c r="AG451" s="209"/>
      <c r="AH451" s="201"/>
      <c r="AI451" s="200"/>
      <c r="AJ451" s="200"/>
      <c r="AK451" s="209"/>
      <c r="AL451" s="200"/>
      <c r="AM451" s="210"/>
      <c r="AN451" s="210"/>
    </row>
    <row r="452" spans="1:40" x14ac:dyDescent="0.25">
      <c r="A452" s="202"/>
      <c r="C452" s="154"/>
      <c r="F452" s="252"/>
      <c r="H452" s="252"/>
      <c r="I452" s="252"/>
      <c r="J452" s="329"/>
      <c r="K452" s="329"/>
      <c r="L452" s="200"/>
      <c r="M452" s="200"/>
      <c r="N452" s="210"/>
      <c r="O452" s="210"/>
      <c r="P452" s="200"/>
      <c r="Q452" s="200"/>
      <c r="R452" s="200"/>
      <c r="T452" s="154"/>
      <c r="V452" s="200"/>
      <c r="Y452" s="200"/>
      <c r="Z452" s="329"/>
      <c r="AA452" s="200"/>
      <c r="AB452" s="200"/>
      <c r="AC452" s="210"/>
      <c r="AD452" s="210"/>
      <c r="AE452" s="200"/>
      <c r="AF452" s="200"/>
      <c r="AG452" s="209"/>
      <c r="AH452" s="201"/>
      <c r="AI452" s="200"/>
      <c r="AJ452" s="200"/>
      <c r="AK452" s="209"/>
      <c r="AL452" s="200"/>
      <c r="AM452" s="210"/>
      <c r="AN452" s="210"/>
    </row>
    <row r="453" spans="1:40" x14ac:dyDescent="0.25">
      <c r="A453" s="202"/>
      <c r="C453" s="154"/>
      <c r="F453" s="252"/>
      <c r="H453" s="252"/>
      <c r="I453" s="252"/>
      <c r="J453" s="329"/>
      <c r="K453" s="329"/>
      <c r="L453" s="200"/>
      <c r="M453" s="200"/>
      <c r="N453" s="210"/>
      <c r="O453" s="210"/>
      <c r="P453" s="200"/>
      <c r="Q453" s="200"/>
      <c r="R453" s="200"/>
      <c r="T453" s="154"/>
      <c r="V453" s="200"/>
      <c r="Y453" s="200"/>
      <c r="Z453" s="329"/>
      <c r="AA453" s="200"/>
      <c r="AB453" s="200"/>
      <c r="AC453" s="210"/>
      <c r="AD453" s="210"/>
      <c r="AE453" s="200"/>
      <c r="AF453" s="200"/>
      <c r="AG453" s="209"/>
      <c r="AH453" s="201"/>
      <c r="AI453" s="200"/>
      <c r="AJ453" s="200"/>
      <c r="AK453" s="209"/>
      <c r="AL453" s="200"/>
      <c r="AM453" s="210"/>
      <c r="AN453" s="210"/>
    </row>
    <row r="454" spans="1:40" x14ac:dyDescent="0.25">
      <c r="F454" s="211"/>
      <c r="H454" s="211"/>
      <c r="I454" s="211"/>
      <c r="J454" s="305"/>
      <c r="K454" s="305"/>
      <c r="L454" s="211"/>
      <c r="M454" s="211"/>
      <c r="N454" s="211"/>
      <c r="O454" s="211"/>
      <c r="P454" s="211"/>
      <c r="Q454" s="211"/>
      <c r="R454" s="211"/>
      <c r="V454" s="211"/>
      <c r="Y454" s="211"/>
      <c r="Z454" s="329"/>
      <c r="AA454" s="211"/>
      <c r="AB454" s="211"/>
      <c r="AC454" s="211"/>
      <c r="AD454" s="211"/>
      <c r="AE454" s="211"/>
      <c r="AF454" s="211"/>
      <c r="AI454" s="211"/>
      <c r="AJ454" s="211"/>
      <c r="AK454" s="212"/>
      <c r="AL454" s="211"/>
    </row>
    <row r="455" spans="1:40" x14ac:dyDescent="0.25">
      <c r="A455" s="202"/>
      <c r="C455" s="154"/>
      <c r="F455" s="200"/>
      <c r="H455" s="200"/>
      <c r="I455" s="200"/>
      <c r="L455" s="200"/>
      <c r="M455" s="200"/>
      <c r="N455" s="201"/>
      <c r="O455" s="201"/>
      <c r="P455" s="200"/>
      <c r="Q455" s="200"/>
      <c r="R455" s="200"/>
      <c r="T455" s="154"/>
      <c r="V455" s="200"/>
      <c r="Y455" s="200"/>
      <c r="AA455" s="200"/>
      <c r="AB455" s="200"/>
      <c r="AC455" s="210"/>
      <c r="AD455" s="210"/>
      <c r="AE455" s="200"/>
      <c r="AF455" s="200"/>
      <c r="AG455" s="209"/>
      <c r="AH455" s="201"/>
      <c r="AI455" s="200"/>
      <c r="AJ455" s="200"/>
      <c r="AK455" s="209"/>
      <c r="AL455" s="200"/>
      <c r="AM455" s="210"/>
      <c r="AN455" s="210"/>
    </row>
    <row r="456" spans="1:40" x14ac:dyDescent="0.25">
      <c r="F456" s="211"/>
      <c r="H456" s="211"/>
      <c r="I456" s="211"/>
      <c r="J456" s="305"/>
      <c r="K456" s="305"/>
      <c r="L456" s="211"/>
      <c r="M456" s="211"/>
      <c r="N456" s="211"/>
      <c r="O456" s="211"/>
      <c r="P456" s="211"/>
      <c r="Q456" s="211"/>
      <c r="R456" s="211"/>
      <c r="V456" s="211"/>
      <c r="Y456" s="211"/>
      <c r="Z456" s="305"/>
      <c r="AA456" s="211"/>
      <c r="AB456" s="211"/>
      <c r="AC456" s="211"/>
      <c r="AD456" s="211"/>
      <c r="AE456" s="211"/>
      <c r="AF456" s="211"/>
      <c r="AI456" s="211"/>
      <c r="AJ456" s="211"/>
      <c r="AK456" s="212"/>
      <c r="AL456" s="211"/>
    </row>
    <row r="457" spans="1:40" x14ac:dyDescent="0.25">
      <c r="A457" s="202"/>
      <c r="C457" s="154"/>
      <c r="T457" s="154"/>
    </row>
    <row r="458" spans="1:40" x14ac:dyDescent="0.25">
      <c r="A458" s="202"/>
      <c r="C458" s="154"/>
      <c r="F458" s="252"/>
      <c r="H458" s="252"/>
      <c r="I458" s="252"/>
      <c r="J458" s="300"/>
      <c r="K458" s="300"/>
      <c r="L458" s="200"/>
      <c r="M458" s="200"/>
      <c r="N458" s="210"/>
      <c r="O458" s="210"/>
      <c r="P458" s="200"/>
      <c r="Q458" s="200"/>
      <c r="R458" s="200"/>
      <c r="T458" s="154"/>
      <c r="V458" s="200"/>
      <c r="Y458" s="200"/>
      <c r="Z458" s="300"/>
      <c r="AA458" s="200"/>
      <c r="AB458" s="200"/>
      <c r="AC458" s="210"/>
      <c r="AD458" s="210"/>
      <c r="AE458" s="200"/>
      <c r="AF458" s="200"/>
      <c r="AG458" s="209"/>
      <c r="AH458" s="201"/>
      <c r="AI458" s="200"/>
      <c r="AJ458" s="200"/>
      <c r="AK458" s="209"/>
      <c r="AL458" s="200"/>
      <c r="AM458" s="210"/>
      <c r="AN458" s="210"/>
    </row>
    <row r="459" spans="1:40" x14ac:dyDescent="0.25">
      <c r="A459" s="202"/>
      <c r="C459" s="154"/>
      <c r="F459" s="252"/>
      <c r="H459" s="252"/>
      <c r="I459" s="252"/>
      <c r="J459" s="300"/>
      <c r="K459" s="300"/>
      <c r="L459" s="200"/>
      <c r="M459" s="200"/>
      <c r="N459" s="210"/>
      <c r="O459" s="210"/>
      <c r="P459" s="200"/>
      <c r="Q459" s="200"/>
      <c r="R459" s="200"/>
      <c r="T459" s="154"/>
      <c r="V459" s="200"/>
      <c r="Y459" s="200"/>
      <c r="Z459" s="300"/>
      <c r="AA459" s="200"/>
      <c r="AB459" s="200"/>
      <c r="AC459" s="210"/>
      <c r="AD459" s="210"/>
      <c r="AE459" s="200"/>
      <c r="AF459" s="200"/>
      <c r="AG459" s="209"/>
      <c r="AH459" s="201"/>
      <c r="AI459" s="200"/>
      <c r="AJ459" s="200"/>
      <c r="AK459" s="209"/>
      <c r="AL459" s="200"/>
      <c r="AM459" s="210"/>
      <c r="AN459" s="210"/>
    </row>
    <row r="460" spans="1:40" x14ac:dyDescent="0.25">
      <c r="F460" s="211"/>
      <c r="H460" s="200"/>
      <c r="I460" s="200"/>
      <c r="J460" s="305"/>
      <c r="K460" s="305"/>
      <c r="L460" s="211"/>
      <c r="M460" s="211"/>
      <c r="N460" s="211"/>
      <c r="O460" s="211"/>
      <c r="P460" s="211"/>
      <c r="Q460" s="211"/>
      <c r="R460" s="211"/>
      <c r="V460" s="211"/>
      <c r="Y460" s="200"/>
      <c r="Z460" s="305"/>
      <c r="AA460" s="211"/>
      <c r="AB460" s="211"/>
      <c r="AC460" s="211"/>
      <c r="AD460" s="211"/>
      <c r="AE460" s="211"/>
      <c r="AF460" s="211"/>
      <c r="AI460" s="211"/>
      <c r="AJ460" s="211"/>
      <c r="AK460" s="212"/>
      <c r="AL460" s="211"/>
    </row>
    <row r="461" spans="1:40" x14ac:dyDescent="0.25">
      <c r="F461" s="200"/>
      <c r="H461" s="200"/>
      <c r="I461" s="200"/>
      <c r="J461" s="305"/>
      <c r="K461" s="305"/>
      <c r="L461" s="200"/>
      <c r="M461" s="200"/>
      <c r="N461" s="200"/>
      <c r="O461" s="200"/>
      <c r="P461" s="200"/>
      <c r="Q461" s="200"/>
      <c r="R461" s="200"/>
      <c r="V461" s="200"/>
      <c r="Y461" s="200"/>
      <c r="Z461" s="305"/>
      <c r="AA461" s="200"/>
      <c r="AB461" s="200"/>
      <c r="AC461" s="200"/>
      <c r="AD461" s="200"/>
      <c r="AE461" s="200"/>
      <c r="AF461" s="200"/>
      <c r="AI461" s="200"/>
      <c r="AJ461" s="200"/>
      <c r="AK461" s="209"/>
      <c r="AL461" s="200"/>
    </row>
    <row r="462" spans="1:40" x14ac:dyDescent="0.25">
      <c r="A462" s="202"/>
      <c r="C462" s="154"/>
      <c r="F462" s="200"/>
      <c r="H462" s="200"/>
      <c r="I462" s="200"/>
      <c r="L462" s="200"/>
      <c r="M462" s="200"/>
      <c r="N462" s="210"/>
      <c r="O462" s="210"/>
      <c r="P462" s="200"/>
      <c r="Q462" s="200"/>
      <c r="R462" s="200"/>
      <c r="T462" s="154"/>
      <c r="V462" s="200"/>
      <c r="Y462" s="200"/>
      <c r="AA462" s="200"/>
      <c r="AB462" s="200"/>
      <c r="AC462" s="210"/>
      <c r="AD462" s="210"/>
      <c r="AE462" s="200"/>
      <c r="AF462" s="200"/>
      <c r="AG462" s="209"/>
      <c r="AH462" s="201"/>
      <c r="AI462" s="252"/>
      <c r="AJ462" s="252"/>
      <c r="AK462" s="209"/>
      <c r="AL462" s="200"/>
      <c r="AM462" s="210"/>
      <c r="AN462" s="210"/>
    </row>
    <row r="463" spans="1:40" x14ac:dyDescent="0.25">
      <c r="F463" s="211"/>
      <c r="H463" s="211"/>
      <c r="I463" s="211"/>
      <c r="J463" s="305"/>
      <c r="K463" s="305"/>
      <c r="L463" s="211"/>
      <c r="M463" s="211"/>
      <c r="N463" s="211"/>
      <c r="O463" s="211"/>
      <c r="P463" s="211"/>
      <c r="Q463" s="211"/>
      <c r="R463" s="211"/>
      <c r="V463" s="211"/>
      <c r="Y463" s="211"/>
      <c r="Z463" s="305"/>
      <c r="AA463" s="211"/>
      <c r="AB463" s="211"/>
      <c r="AC463" s="211"/>
      <c r="AD463" s="211"/>
      <c r="AE463" s="211"/>
      <c r="AF463" s="211"/>
      <c r="AI463" s="211"/>
      <c r="AJ463" s="211"/>
      <c r="AK463" s="212"/>
      <c r="AL463" s="211"/>
    </row>
    <row r="465" spans="1:38" x14ac:dyDescent="0.25">
      <c r="A465" s="154"/>
      <c r="T465" s="154"/>
    </row>
    <row r="466" spans="1:38" x14ac:dyDescent="0.25">
      <c r="A466" s="154"/>
      <c r="T466" s="154"/>
    </row>
    <row r="467" spans="1:38" x14ac:dyDescent="0.25">
      <c r="A467" s="154"/>
      <c r="T467" s="154"/>
    </row>
    <row r="468" spans="1:38" x14ac:dyDescent="0.25">
      <c r="A468" s="154"/>
      <c r="T468" s="154"/>
    </row>
    <row r="469" spans="1:38" x14ac:dyDescent="0.25">
      <c r="A469" s="154"/>
      <c r="T469" s="154"/>
    </row>
    <row r="470" spans="1:38" x14ac:dyDescent="0.25">
      <c r="A470" s="154"/>
      <c r="T470" s="154"/>
    </row>
    <row r="471" spans="1:38" x14ac:dyDescent="0.25">
      <c r="A471" s="154"/>
      <c r="T471" s="154"/>
    </row>
    <row r="472" spans="1:38" x14ac:dyDescent="0.25">
      <c r="A472" s="154"/>
      <c r="T472" s="154"/>
    </row>
    <row r="473" spans="1:38" x14ac:dyDescent="0.25">
      <c r="A473" s="154"/>
      <c r="T473" s="154"/>
    </row>
    <row r="475" spans="1:38" x14ac:dyDescent="0.25">
      <c r="A475" s="154"/>
    </row>
    <row r="476" spans="1:38" x14ac:dyDescent="0.25">
      <c r="J476" s="202"/>
      <c r="K476" s="202"/>
      <c r="Z476" s="202"/>
    </row>
    <row r="477" spans="1:38" x14ac:dyDescent="0.25">
      <c r="H477" s="154"/>
      <c r="I477" s="154"/>
      <c r="Y477" s="154"/>
    </row>
    <row r="478" spans="1:38" x14ac:dyDescent="0.25">
      <c r="J478" s="202"/>
      <c r="K478" s="202"/>
      <c r="Z478" s="202"/>
    </row>
    <row r="479" spans="1:38" x14ac:dyDescent="0.25">
      <c r="L479" s="154"/>
      <c r="M479" s="154"/>
      <c r="AA479" s="154"/>
      <c r="AB479" s="154"/>
    </row>
    <row r="480" spans="1:38" x14ac:dyDescent="0.25">
      <c r="A480" s="202"/>
      <c r="R480" s="154"/>
      <c r="AK480" s="297"/>
      <c r="AL480" s="154"/>
    </row>
    <row r="481" spans="1:40" x14ac:dyDescent="0.25">
      <c r="A481" s="202"/>
      <c r="R481" s="154"/>
      <c r="AK481" s="297"/>
      <c r="AL481" s="154"/>
    </row>
    <row r="482" spans="1:40" x14ac:dyDescent="0.25">
      <c r="A482" s="154"/>
      <c r="R482" s="154"/>
      <c r="AK482" s="297"/>
      <c r="AL482" s="154"/>
    </row>
    <row r="483" spans="1:40" x14ac:dyDescent="0.25">
      <c r="L483" s="154"/>
      <c r="M483" s="154"/>
      <c r="R483" s="202"/>
      <c r="AA483" s="154"/>
      <c r="AB483" s="154"/>
      <c r="AK483" s="209"/>
      <c r="AL483" s="202"/>
    </row>
    <row r="484" spans="1:40" x14ac:dyDescent="0.2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208"/>
      <c r="AH484" s="102"/>
      <c r="AI484" s="102"/>
      <c r="AJ484" s="102"/>
      <c r="AK484" s="208"/>
      <c r="AL484" s="102"/>
      <c r="AM484" s="102"/>
      <c r="AN484" s="102"/>
    </row>
    <row r="485" spans="1:40" x14ac:dyDescent="0.25">
      <c r="L485" s="103"/>
      <c r="M485" s="103"/>
      <c r="N485" s="103"/>
      <c r="O485" s="103"/>
      <c r="R485" s="103"/>
      <c r="AA485" s="103"/>
      <c r="AB485" s="103"/>
      <c r="AC485" s="103"/>
      <c r="AD485" s="103"/>
      <c r="AE485" s="103"/>
      <c r="AF485" s="103"/>
      <c r="AG485" s="185"/>
      <c r="AH485" s="103"/>
      <c r="AK485" s="185"/>
      <c r="AL485" s="103"/>
      <c r="AM485" s="103"/>
      <c r="AN485" s="103"/>
    </row>
    <row r="486" spans="1:40" x14ac:dyDescent="0.25">
      <c r="L486" s="103"/>
      <c r="M486" s="103"/>
      <c r="N486" s="103"/>
      <c r="O486" s="103"/>
      <c r="R486" s="103"/>
      <c r="Z486" s="103"/>
      <c r="AA486" s="103"/>
      <c r="AB486" s="103"/>
      <c r="AC486" s="103"/>
      <c r="AD486" s="103"/>
      <c r="AE486" s="103"/>
      <c r="AF486" s="103"/>
      <c r="AG486" s="185"/>
      <c r="AH486" s="103"/>
      <c r="AK486" s="185"/>
      <c r="AL486" s="103"/>
      <c r="AM486" s="103"/>
      <c r="AN486" s="103"/>
    </row>
    <row r="487" spans="1:40" x14ac:dyDescent="0.25">
      <c r="A487" s="103"/>
      <c r="C487" s="103"/>
      <c r="D487" s="103"/>
      <c r="E487" s="103"/>
      <c r="F487" s="103"/>
      <c r="J487" s="103"/>
      <c r="K487" s="103"/>
      <c r="L487" s="103"/>
      <c r="M487" s="103"/>
      <c r="N487" s="103"/>
      <c r="O487" s="103"/>
      <c r="P487" s="103"/>
      <c r="Q487" s="103"/>
      <c r="R487" s="103"/>
      <c r="T487" s="103"/>
      <c r="U487" s="103"/>
      <c r="V487" s="103"/>
      <c r="Z487" s="103"/>
      <c r="AA487" s="103"/>
      <c r="AB487" s="103"/>
      <c r="AC487" s="103"/>
      <c r="AD487" s="103"/>
      <c r="AE487" s="103"/>
      <c r="AF487" s="103"/>
      <c r="AG487" s="185"/>
      <c r="AH487" s="103"/>
      <c r="AI487" s="103"/>
      <c r="AJ487" s="103"/>
      <c r="AK487" s="185"/>
      <c r="AL487" s="103"/>
      <c r="AM487" s="103"/>
      <c r="AN487" s="103"/>
    </row>
    <row r="488" spans="1:40" x14ac:dyDescent="0.25">
      <c r="A488" s="103"/>
      <c r="C488" s="103"/>
      <c r="D488" s="103"/>
      <c r="E488" s="103"/>
      <c r="F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T488" s="103"/>
      <c r="U488" s="103"/>
      <c r="V488" s="103"/>
      <c r="Y488" s="103"/>
      <c r="Z488" s="103"/>
      <c r="AA488" s="103"/>
      <c r="AB488" s="103"/>
      <c r="AC488" s="103"/>
      <c r="AD488" s="103"/>
      <c r="AE488" s="103"/>
      <c r="AF488" s="103"/>
      <c r="AG488" s="185"/>
      <c r="AH488" s="103"/>
      <c r="AI488" s="103"/>
      <c r="AJ488" s="103"/>
      <c r="AK488" s="185"/>
      <c r="AL488" s="103"/>
      <c r="AM488" s="103"/>
      <c r="AN488" s="103"/>
    </row>
    <row r="489" spans="1:40" x14ac:dyDescent="0.25">
      <c r="C489" s="103"/>
      <c r="D489" s="103"/>
      <c r="E489" s="103"/>
      <c r="F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T489" s="103"/>
      <c r="U489" s="103"/>
      <c r="V489" s="103"/>
      <c r="Y489" s="103"/>
      <c r="Z489" s="103"/>
      <c r="AA489" s="103"/>
      <c r="AB489" s="103"/>
      <c r="AC489" s="103"/>
      <c r="AD489" s="103"/>
      <c r="AE489" s="103"/>
      <c r="AF489" s="103"/>
      <c r="AG489" s="185"/>
      <c r="AH489" s="103"/>
      <c r="AI489" s="103"/>
      <c r="AJ489" s="103"/>
      <c r="AK489" s="185"/>
      <c r="AL489" s="103"/>
      <c r="AM489" s="103"/>
      <c r="AN489" s="103"/>
    </row>
    <row r="490" spans="1:40" x14ac:dyDescent="0.25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208"/>
      <c r="AH490" s="102"/>
      <c r="AI490" s="102"/>
      <c r="AJ490" s="102"/>
      <c r="AK490" s="208"/>
      <c r="AL490" s="102"/>
      <c r="AM490" s="102"/>
      <c r="AN490" s="102"/>
    </row>
    <row r="491" spans="1:40" x14ac:dyDescent="0.25"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Y491" s="103"/>
      <c r="Z491" s="103"/>
      <c r="AA491" s="103"/>
      <c r="AB491" s="103"/>
      <c r="AC491" s="103"/>
      <c r="AD491" s="103"/>
      <c r="AE491" s="103"/>
      <c r="AF491" s="103"/>
      <c r="AG491" s="185"/>
      <c r="AH491" s="103"/>
      <c r="AI491" s="103"/>
      <c r="AJ491" s="103"/>
      <c r="AK491" s="185"/>
      <c r="AL491" s="103"/>
      <c r="AM491" s="103"/>
      <c r="AN491" s="103"/>
    </row>
    <row r="492" spans="1:40" x14ac:dyDescent="0.25">
      <c r="A492" s="202"/>
      <c r="C492" s="154"/>
      <c r="D492" s="154"/>
      <c r="E492" s="154"/>
      <c r="T492" s="154"/>
      <c r="U492" s="154"/>
    </row>
    <row r="493" spans="1:40" x14ac:dyDescent="0.25">
      <c r="A493" s="202"/>
      <c r="D493" s="154"/>
      <c r="E493" s="154"/>
      <c r="U493" s="154"/>
    </row>
    <row r="495" spans="1:40" x14ac:dyDescent="0.25">
      <c r="A495" s="202"/>
      <c r="C495" s="154"/>
      <c r="F495" s="200"/>
      <c r="J495" s="215"/>
      <c r="K495" s="215"/>
      <c r="L495" s="200"/>
      <c r="M495" s="200"/>
      <c r="R495" s="200"/>
      <c r="T495" s="154"/>
      <c r="V495" s="200"/>
      <c r="Z495" s="215"/>
      <c r="AA495" s="200"/>
      <c r="AB495" s="200"/>
      <c r="AG495" s="209"/>
      <c r="AH495" s="200"/>
      <c r="AK495" s="209"/>
      <c r="AL495" s="200"/>
    </row>
    <row r="496" spans="1:40" x14ac:dyDescent="0.25">
      <c r="A496" s="202"/>
      <c r="C496" s="154"/>
      <c r="F496" s="200"/>
      <c r="R496" s="200"/>
      <c r="T496" s="154"/>
      <c r="V496" s="200"/>
      <c r="AG496" s="209"/>
      <c r="AH496" s="200"/>
      <c r="AK496" s="209"/>
      <c r="AL496" s="200"/>
    </row>
    <row r="497" spans="1:40" x14ac:dyDescent="0.25">
      <c r="AI497" s="200"/>
      <c r="AJ497" s="200"/>
      <c r="AK497" s="209"/>
      <c r="AL497" s="200"/>
      <c r="AM497" s="210"/>
      <c r="AN497" s="210"/>
    </row>
    <row r="498" spans="1:40" x14ac:dyDescent="0.25">
      <c r="A498" s="202"/>
      <c r="C498" s="154"/>
      <c r="F498" s="252"/>
      <c r="H498" s="252"/>
      <c r="I498" s="252"/>
      <c r="J498" s="328"/>
      <c r="K498" s="328"/>
      <c r="L498" s="200"/>
      <c r="M498" s="200"/>
      <c r="N498" s="210"/>
      <c r="O498" s="210"/>
      <c r="P498" s="200"/>
      <c r="Q498" s="200"/>
      <c r="R498" s="200"/>
      <c r="T498" s="154"/>
      <c r="V498" s="200"/>
      <c r="Y498" s="200"/>
      <c r="Z498" s="328"/>
      <c r="AA498" s="200"/>
      <c r="AB498" s="200"/>
      <c r="AC498" s="210"/>
      <c r="AD498" s="210"/>
      <c r="AE498" s="200"/>
      <c r="AF498" s="200"/>
      <c r="AG498" s="209"/>
      <c r="AH498" s="201"/>
      <c r="AI498" s="200"/>
      <c r="AJ498" s="200"/>
      <c r="AK498" s="209"/>
      <c r="AL498" s="200"/>
      <c r="AM498" s="210"/>
      <c r="AN498" s="210"/>
    </row>
    <row r="499" spans="1:40" x14ac:dyDescent="0.25">
      <c r="F499" s="200"/>
      <c r="H499" s="200"/>
      <c r="I499" s="200"/>
      <c r="J499" s="213"/>
      <c r="K499" s="213"/>
      <c r="L499" s="200"/>
      <c r="M499" s="200"/>
      <c r="P499" s="200"/>
      <c r="Q499" s="200"/>
      <c r="R499" s="200"/>
      <c r="V499" s="200"/>
      <c r="Y499" s="200"/>
      <c r="Z499" s="213"/>
      <c r="AA499" s="200"/>
      <c r="AB499" s="200"/>
      <c r="AI499" s="200"/>
      <c r="AJ499" s="200"/>
      <c r="AK499" s="209"/>
      <c r="AL499" s="200"/>
      <c r="AM499" s="210"/>
      <c r="AN499" s="210"/>
    </row>
    <row r="500" spans="1:40" x14ac:dyDescent="0.25">
      <c r="F500" s="200"/>
      <c r="R500" s="200"/>
      <c r="V500" s="200"/>
      <c r="AK500" s="209"/>
      <c r="AL500" s="200"/>
      <c r="AM500" s="210"/>
      <c r="AN500" s="210"/>
    </row>
    <row r="501" spans="1:40" x14ac:dyDescent="0.25">
      <c r="A501" s="202"/>
      <c r="C501" s="154"/>
      <c r="F501" s="200"/>
      <c r="J501" s="215"/>
      <c r="K501" s="215"/>
      <c r="L501" s="200"/>
      <c r="M501" s="200"/>
      <c r="N501" s="210"/>
      <c r="O501" s="210"/>
      <c r="R501" s="200"/>
      <c r="T501" s="154"/>
      <c r="V501" s="200"/>
      <c r="Z501" s="215"/>
      <c r="AA501" s="200"/>
      <c r="AB501" s="200"/>
      <c r="AC501" s="210"/>
      <c r="AD501" s="210"/>
      <c r="AK501" s="209"/>
      <c r="AL501" s="200"/>
      <c r="AM501" s="210"/>
      <c r="AN501" s="210"/>
    </row>
    <row r="502" spans="1:40" x14ac:dyDescent="0.25">
      <c r="A502" s="202"/>
      <c r="C502" s="154"/>
      <c r="F502" s="200"/>
      <c r="H502" s="200"/>
      <c r="I502" s="200"/>
      <c r="J502" s="215"/>
      <c r="K502" s="215"/>
      <c r="L502" s="200"/>
      <c r="M502" s="200"/>
      <c r="N502" s="210"/>
      <c r="O502" s="210"/>
      <c r="P502" s="200"/>
      <c r="Q502" s="200"/>
      <c r="R502" s="200"/>
      <c r="T502" s="154"/>
      <c r="V502" s="200"/>
      <c r="Y502" s="200"/>
      <c r="Z502" s="215"/>
      <c r="AA502" s="200"/>
      <c r="AB502" s="200"/>
      <c r="AC502" s="210"/>
      <c r="AD502" s="210"/>
      <c r="AI502" s="200"/>
      <c r="AJ502" s="200"/>
      <c r="AK502" s="209"/>
      <c r="AL502" s="200"/>
      <c r="AM502" s="210"/>
      <c r="AN502" s="210"/>
    </row>
    <row r="503" spans="1:40" x14ac:dyDescent="0.25">
      <c r="A503" s="202"/>
      <c r="C503" s="154"/>
      <c r="T503" s="154"/>
      <c r="AM503" s="210"/>
      <c r="AN503" s="210"/>
    </row>
    <row r="504" spans="1:40" x14ac:dyDescent="0.25">
      <c r="A504" s="202"/>
      <c r="C504" s="154"/>
      <c r="T504" s="154"/>
      <c r="AM504" s="210"/>
      <c r="AN504" s="210"/>
    </row>
    <row r="505" spans="1:40" x14ac:dyDescent="0.25">
      <c r="AM505" s="210"/>
      <c r="AN505" s="210"/>
    </row>
    <row r="506" spans="1:40" x14ac:dyDescent="0.25">
      <c r="A506" s="202"/>
      <c r="C506" s="154"/>
      <c r="F506" s="252"/>
      <c r="H506" s="252"/>
      <c r="I506" s="252"/>
      <c r="J506" s="328"/>
      <c r="K506" s="328"/>
      <c r="L506" s="200"/>
      <c r="M506" s="200"/>
      <c r="N506" s="210"/>
      <c r="O506" s="210"/>
      <c r="P506" s="200"/>
      <c r="Q506" s="200"/>
      <c r="R506" s="200"/>
      <c r="T506" s="154"/>
      <c r="V506" s="200"/>
      <c r="Y506" s="200"/>
      <c r="Z506" s="328"/>
      <c r="AA506" s="200"/>
      <c r="AB506" s="200"/>
      <c r="AC506" s="210"/>
      <c r="AD506" s="210"/>
      <c r="AE506" s="200"/>
      <c r="AF506" s="200"/>
      <c r="AG506" s="209"/>
      <c r="AH506" s="201"/>
      <c r="AI506" s="200"/>
      <c r="AJ506" s="200"/>
      <c r="AK506" s="209"/>
      <c r="AL506" s="200"/>
      <c r="AM506" s="210"/>
      <c r="AN506" s="210"/>
    </row>
    <row r="507" spans="1:40" x14ac:dyDescent="0.25">
      <c r="F507" s="211"/>
      <c r="H507" s="211"/>
      <c r="I507" s="211"/>
      <c r="J507" s="305"/>
      <c r="K507" s="305"/>
      <c r="L507" s="211"/>
      <c r="M507" s="211"/>
      <c r="N507" s="211"/>
      <c r="O507" s="211"/>
      <c r="P507" s="211"/>
      <c r="Q507" s="211"/>
      <c r="R507" s="211"/>
      <c r="V507" s="211"/>
      <c r="Y507" s="211"/>
      <c r="Z507" s="305"/>
      <c r="AA507" s="211"/>
      <c r="AB507" s="211"/>
      <c r="AC507" s="211"/>
      <c r="AD507" s="211"/>
      <c r="AE507" s="211"/>
      <c r="AF507" s="211"/>
      <c r="AI507" s="211"/>
      <c r="AJ507" s="211"/>
      <c r="AK507" s="212"/>
      <c r="AL507" s="211"/>
      <c r="AM507" s="210"/>
      <c r="AN507" s="210"/>
    </row>
    <row r="508" spans="1:40" x14ac:dyDescent="0.25">
      <c r="H508" s="200"/>
      <c r="I508" s="200"/>
      <c r="Y508" s="200"/>
      <c r="AM508" s="210"/>
      <c r="AN508" s="210"/>
    </row>
    <row r="509" spans="1:40" x14ac:dyDescent="0.25">
      <c r="A509" s="202"/>
      <c r="C509" s="154"/>
      <c r="F509" s="200"/>
      <c r="H509" s="200"/>
      <c r="I509" s="200"/>
      <c r="L509" s="200"/>
      <c r="M509" s="200"/>
      <c r="N509" s="210"/>
      <c r="O509" s="210"/>
      <c r="P509" s="252"/>
      <c r="Q509" s="252"/>
      <c r="R509" s="200"/>
      <c r="T509" s="154"/>
      <c r="V509" s="200"/>
      <c r="Y509" s="200"/>
      <c r="AA509" s="200"/>
      <c r="AB509" s="200"/>
      <c r="AC509" s="210"/>
      <c r="AD509" s="210"/>
      <c r="AE509" s="200"/>
      <c r="AF509" s="200"/>
      <c r="AG509" s="209"/>
      <c r="AH509" s="201"/>
      <c r="AI509" s="252"/>
      <c r="AJ509" s="252"/>
      <c r="AK509" s="209"/>
      <c r="AL509" s="200"/>
      <c r="AM509" s="210"/>
      <c r="AN509" s="210"/>
    </row>
    <row r="510" spans="1:40" x14ac:dyDescent="0.25">
      <c r="F510" s="211"/>
      <c r="H510" s="211"/>
      <c r="I510" s="211"/>
      <c r="J510" s="305"/>
      <c r="K510" s="305"/>
      <c r="L510" s="211"/>
      <c r="M510" s="211"/>
      <c r="N510" s="211"/>
      <c r="O510" s="211"/>
      <c r="P510" s="211"/>
      <c r="Q510" s="211"/>
      <c r="R510" s="211"/>
      <c r="V510" s="211"/>
      <c r="Y510" s="211"/>
      <c r="Z510" s="305"/>
      <c r="AA510" s="211"/>
      <c r="AB510" s="211"/>
      <c r="AC510" s="211"/>
      <c r="AD510" s="211"/>
      <c r="AE510" s="211"/>
      <c r="AF510" s="211"/>
      <c r="AI510" s="211"/>
      <c r="AJ510" s="211"/>
      <c r="AK510" s="212"/>
      <c r="AL510" s="211"/>
      <c r="AM510" s="210"/>
      <c r="AN510" s="210"/>
    </row>
    <row r="512" spans="1:40" x14ac:dyDescent="0.25">
      <c r="F512" s="200"/>
      <c r="H512" s="200"/>
      <c r="I512" s="200"/>
      <c r="J512" s="213"/>
      <c r="K512" s="213"/>
      <c r="L512" s="200"/>
      <c r="M512" s="200"/>
      <c r="N512" s="200"/>
      <c r="O512" s="200"/>
      <c r="P512" s="200"/>
      <c r="Q512" s="200"/>
      <c r="R512" s="200"/>
      <c r="V512" s="200"/>
      <c r="Y512" s="200"/>
      <c r="Z512" s="213"/>
      <c r="AA512" s="200"/>
      <c r="AB512" s="200"/>
      <c r="AC512" s="200"/>
      <c r="AD512" s="200"/>
      <c r="AE512" s="200"/>
      <c r="AF512" s="200"/>
      <c r="AG512" s="209"/>
      <c r="AH512" s="200"/>
      <c r="AI512" s="200"/>
      <c r="AJ512" s="200"/>
      <c r="AK512" s="209"/>
      <c r="AL512" s="200"/>
    </row>
    <row r="513" spans="1:40" x14ac:dyDescent="0.25">
      <c r="A513" s="154"/>
    </row>
    <row r="514" spans="1:40" x14ac:dyDescent="0.25">
      <c r="J514" s="202"/>
      <c r="K514" s="202"/>
      <c r="Z514" s="202"/>
    </row>
    <row r="515" spans="1:40" x14ac:dyDescent="0.25">
      <c r="H515" s="154"/>
      <c r="I515" s="154"/>
      <c r="Y515" s="154"/>
    </row>
    <row r="516" spans="1:40" x14ac:dyDescent="0.25">
      <c r="J516" s="202"/>
      <c r="K516" s="202"/>
      <c r="Z516" s="202"/>
    </row>
    <row r="517" spans="1:40" x14ac:dyDescent="0.25">
      <c r="L517" s="154"/>
      <c r="M517" s="154"/>
      <c r="AA517" s="154"/>
      <c r="AB517" s="154"/>
    </row>
    <row r="518" spans="1:40" x14ac:dyDescent="0.25">
      <c r="A518" s="202"/>
      <c r="R518" s="154"/>
      <c r="AK518" s="297"/>
      <c r="AL518" s="154"/>
    </row>
    <row r="519" spans="1:40" x14ac:dyDescent="0.25">
      <c r="A519" s="202"/>
      <c r="R519" s="154"/>
      <c r="AK519" s="297"/>
      <c r="AL519" s="154"/>
    </row>
    <row r="520" spans="1:40" x14ac:dyDescent="0.25">
      <c r="A520" s="154"/>
      <c r="R520" s="154"/>
      <c r="AK520" s="297"/>
      <c r="AL520" s="154"/>
    </row>
    <row r="521" spans="1:40" x14ac:dyDescent="0.25">
      <c r="L521" s="154"/>
      <c r="M521" s="154"/>
      <c r="R521" s="202"/>
      <c r="AA521" s="154"/>
      <c r="AB521" s="154"/>
      <c r="AK521" s="209"/>
      <c r="AL521" s="202"/>
    </row>
    <row r="522" spans="1:40" x14ac:dyDescent="0.2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208"/>
      <c r="AH522" s="102"/>
      <c r="AI522" s="102"/>
      <c r="AJ522" s="102"/>
      <c r="AK522" s="208"/>
      <c r="AL522" s="102"/>
      <c r="AM522" s="102"/>
      <c r="AN522" s="102"/>
    </row>
    <row r="523" spans="1:40" x14ac:dyDescent="0.25">
      <c r="L523" s="103"/>
      <c r="M523" s="103"/>
      <c r="N523" s="103"/>
      <c r="O523" s="103"/>
      <c r="R523" s="103"/>
      <c r="AA523" s="103"/>
      <c r="AB523" s="103"/>
      <c r="AC523" s="103"/>
      <c r="AD523" s="103"/>
      <c r="AE523" s="103"/>
      <c r="AF523" s="103"/>
      <c r="AG523" s="185"/>
      <c r="AH523" s="103"/>
      <c r="AK523" s="185"/>
      <c r="AL523" s="103"/>
      <c r="AM523" s="103"/>
      <c r="AN523" s="103"/>
    </row>
    <row r="524" spans="1:40" x14ac:dyDescent="0.25">
      <c r="L524" s="103"/>
      <c r="M524" s="103"/>
      <c r="N524" s="103"/>
      <c r="O524" s="103"/>
      <c r="R524" s="103"/>
      <c r="Z524" s="103"/>
      <c r="AA524" s="103"/>
      <c r="AB524" s="103"/>
      <c r="AC524" s="103"/>
      <c r="AD524" s="103"/>
      <c r="AE524" s="103"/>
      <c r="AF524" s="103"/>
      <c r="AG524" s="185"/>
      <c r="AH524" s="103"/>
      <c r="AK524" s="185"/>
      <c r="AL524" s="103"/>
      <c r="AM524" s="103"/>
      <c r="AN524" s="103"/>
    </row>
    <row r="525" spans="1:40" x14ac:dyDescent="0.25">
      <c r="A525" s="103"/>
      <c r="C525" s="103"/>
      <c r="D525" s="103"/>
      <c r="E525" s="103"/>
      <c r="F525" s="103"/>
      <c r="J525" s="103"/>
      <c r="K525" s="103"/>
      <c r="L525" s="103"/>
      <c r="M525" s="103"/>
      <c r="N525" s="103"/>
      <c r="O525" s="103"/>
      <c r="P525" s="103"/>
      <c r="Q525" s="103"/>
      <c r="R525" s="103"/>
      <c r="T525" s="103"/>
      <c r="U525" s="103"/>
      <c r="V525" s="103"/>
      <c r="Z525" s="103"/>
      <c r="AA525" s="103"/>
      <c r="AB525" s="103"/>
      <c r="AC525" s="103"/>
      <c r="AD525" s="103"/>
      <c r="AE525" s="103"/>
      <c r="AF525" s="103"/>
      <c r="AG525" s="185"/>
      <c r="AH525" s="103"/>
      <c r="AI525" s="103"/>
      <c r="AJ525" s="103"/>
      <c r="AK525" s="185"/>
      <c r="AL525" s="103"/>
      <c r="AM525" s="103"/>
      <c r="AN525" s="103"/>
    </row>
    <row r="526" spans="1:40" x14ac:dyDescent="0.25">
      <c r="A526" s="103"/>
      <c r="C526" s="103"/>
      <c r="D526" s="103"/>
      <c r="E526" s="103"/>
      <c r="F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T526" s="103"/>
      <c r="U526" s="103"/>
      <c r="V526" s="103"/>
      <c r="Y526" s="103"/>
      <c r="Z526" s="103"/>
      <c r="AA526" s="103"/>
      <c r="AB526" s="103"/>
      <c r="AC526" s="103"/>
      <c r="AD526" s="103"/>
      <c r="AE526" s="103"/>
      <c r="AF526" s="103"/>
      <c r="AG526" s="185"/>
      <c r="AH526" s="103"/>
      <c r="AI526" s="103"/>
      <c r="AJ526" s="103"/>
      <c r="AK526" s="185"/>
      <c r="AL526" s="103"/>
      <c r="AM526" s="103"/>
      <c r="AN526" s="103"/>
    </row>
    <row r="527" spans="1:40" x14ac:dyDescent="0.25">
      <c r="C527" s="103"/>
      <c r="D527" s="103"/>
      <c r="E527" s="103"/>
      <c r="F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T527" s="103"/>
      <c r="U527" s="103"/>
      <c r="V527" s="103"/>
      <c r="Y527" s="103"/>
      <c r="Z527" s="103"/>
      <c r="AA527" s="103"/>
      <c r="AB527" s="103"/>
      <c r="AC527" s="103"/>
      <c r="AD527" s="103"/>
      <c r="AE527" s="103"/>
      <c r="AF527" s="103"/>
      <c r="AG527" s="185"/>
      <c r="AH527" s="103"/>
      <c r="AI527" s="103"/>
      <c r="AJ527" s="103"/>
      <c r="AK527" s="185"/>
      <c r="AL527" s="103"/>
      <c r="AM527" s="103"/>
      <c r="AN527" s="103"/>
    </row>
    <row r="528" spans="1:40" x14ac:dyDescent="0.25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208"/>
      <c r="AH528" s="102"/>
      <c r="AI528" s="102"/>
      <c r="AJ528" s="102"/>
      <c r="AK528" s="208"/>
      <c r="AL528" s="102"/>
      <c r="AM528" s="102"/>
      <c r="AN528" s="102"/>
    </row>
    <row r="529" spans="1:40" x14ac:dyDescent="0.25"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Y529" s="103"/>
      <c r="Z529" s="103"/>
      <c r="AA529" s="103"/>
      <c r="AB529" s="103"/>
      <c r="AC529" s="103"/>
      <c r="AD529" s="103"/>
      <c r="AE529" s="103"/>
      <c r="AF529" s="103"/>
      <c r="AG529" s="185"/>
      <c r="AH529" s="103"/>
      <c r="AI529" s="103"/>
      <c r="AJ529" s="103"/>
      <c r="AK529" s="185"/>
      <c r="AL529" s="103"/>
      <c r="AM529" s="103"/>
      <c r="AN529" s="103"/>
    </row>
    <row r="530" spans="1:40" x14ac:dyDescent="0.25">
      <c r="A530" s="202"/>
      <c r="C530" s="154"/>
      <c r="D530" s="154"/>
      <c r="E530" s="154"/>
      <c r="T530" s="154"/>
      <c r="U530" s="154"/>
      <c r="V530" s="200"/>
      <c r="W530" s="200"/>
      <c r="X530" s="200"/>
      <c r="Y530" s="200"/>
      <c r="Z530" s="328"/>
    </row>
    <row r="532" spans="1:40" x14ac:dyDescent="0.25">
      <c r="A532" s="202"/>
      <c r="C532" s="154"/>
      <c r="T532" s="154"/>
      <c r="V532" s="200"/>
      <c r="W532" s="200"/>
      <c r="X532" s="200"/>
      <c r="Y532" s="200"/>
      <c r="Z532" s="328"/>
    </row>
    <row r="533" spans="1:40" x14ac:dyDescent="0.25">
      <c r="A533" s="202"/>
      <c r="C533" s="154"/>
      <c r="F533" s="252"/>
      <c r="H533" s="252"/>
      <c r="I533" s="252"/>
      <c r="J533" s="329"/>
      <c r="K533" s="329"/>
      <c r="L533" s="200"/>
      <c r="M533" s="200"/>
      <c r="N533" s="210"/>
      <c r="O533" s="210"/>
      <c r="P533" s="200"/>
      <c r="Q533" s="200"/>
      <c r="R533" s="200"/>
      <c r="T533" s="154"/>
      <c r="V533" s="200"/>
      <c r="W533" s="200"/>
      <c r="X533" s="200"/>
      <c r="Y533" s="200"/>
      <c r="Z533" s="329"/>
      <c r="AA533" s="200"/>
      <c r="AB533" s="200"/>
      <c r="AC533" s="210"/>
      <c r="AD533" s="210"/>
      <c r="AE533" s="200"/>
      <c r="AF533" s="200"/>
      <c r="AG533" s="209"/>
      <c r="AH533" s="201"/>
      <c r="AI533" s="200"/>
      <c r="AJ533" s="200"/>
      <c r="AK533" s="209"/>
      <c r="AL533" s="200"/>
      <c r="AM533" s="210"/>
      <c r="AN533" s="210"/>
    </row>
    <row r="534" spans="1:40" x14ac:dyDescent="0.25">
      <c r="A534" s="202"/>
      <c r="C534" s="154"/>
      <c r="F534" s="252"/>
      <c r="H534" s="252"/>
      <c r="I534" s="252"/>
      <c r="J534" s="329"/>
      <c r="K534" s="329"/>
      <c r="L534" s="200"/>
      <c r="M534" s="200"/>
      <c r="N534" s="210"/>
      <c r="O534" s="210"/>
      <c r="P534" s="200"/>
      <c r="Q534" s="200"/>
      <c r="R534" s="200"/>
      <c r="T534" s="154"/>
      <c r="V534" s="200"/>
      <c r="W534" s="200"/>
      <c r="X534" s="200"/>
      <c r="Y534" s="200"/>
      <c r="Z534" s="329"/>
      <c r="AA534" s="200"/>
      <c r="AB534" s="200"/>
      <c r="AC534" s="210"/>
      <c r="AD534" s="210"/>
      <c r="AE534" s="200"/>
      <c r="AF534" s="200"/>
      <c r="AG534" s="209"/>
      <c r="AH534" s="201"/>
      <c r="AI534" s="200"/>
      <c r="AJ534" s="200"/>
      <c r="AK534" s="209"/>
      <c r="AL534" s="200"/>
      <c r="AM534" s="210"/>
      <c r="AN534" s="210"/>
    </row>
    <row r="535" spans="1:40" x14ac:dyDescent="0.25">
      <c r="A535" s="202"/>
      <c r="C535" s="154"/>
      <c r="F535" s="252"/>
      <c r="H535" s="252"/>
      <c r="I535" s="252"/>
      <c r="J535" s="329"/>
      <c r="K535" s="329"/>
      <c r="L535" s="200"/>
      <c r="M535" s="200"/>
      <c r="N535" s="210"/>
      <c r="O535" s="210"/>
      <c r="P535" s="200"/>
      <c r="Q535" s="200"/>
      <c r="R535" s="200"/>
      <c r="T535" s="154"/>
      <c r="V535" s="200"/>
      <c r="W535" s="200"/>
      <c r="X535" s="200"/>
      <c r="Y535" s="200"/>
      <c r="Z535" s="329"/>
      <c r="AA535" s="200"/>
      <c r="AB535" s="200"/>
      <c r="AC535" s="210"/>
      <c r="AD535" s="210"/>
      <c r="AE535" s="200"/>
      <c r="AF535" s="200"/>
      <c r="AG535" s="209"/>
      <c r="AH535" s="201"/>
      <c r="AI535" s="200"/>
      <c r="AJ535" s="200"/>
      <c r="AK535" s="209"/>
      <c r="AL535" s="200"/>
      <c r="AM535" s="210"/>
      <c r="AN535" s="210"/>
    </row>
    <row r="536" spans="1:40" x14ac:dyDescent="0.25">
      <c r="A536" s="202"/>
      <c r="C536" s="154"/>
      <c r="F536" s="252"/>
      <c r="H536" s="252"/>
      <c r="I536" s="252"/>
      <c r="J536" s="329"/>
      <c r="K536" s="329"/>
      <c r="L536" s="200"/>
      <c r="M536" s="200"/>
      <c r="N536" s="210"/>
      <c r="O536" s="210"/>
      <c r="P536" s="200"/>
      <c r="Q536" s="200"/>
      <c r="R536" s="200"/>
      <c r="T536" s="154"/>
      <c r="V536" s="200"/>
      <c r="W536" s="200"/>
      <c r="X536" s="200"/>
      <c r="Y536" s="200"/>
      <c r="Z536" s="329"/>
      <c r="AA536" s="200"/>
      <c r="AB536" s="200"/>
      <c r="AC536" s="210"/>
      <c r="AD536" s="210"/>
      <c r="AE536" s="200"/>
      <c r="AF536" s="200"/>
      <c r="AG536" s="209"/>
      <c r="AH536" s="201"/>
      <c r="AI536" s="200"/>
      <c r="AJ536" s="200"/>
      <c r="AK536" s="209"/>
      <c r="AL536" s="200"/>
      <c r="AM536" s="210"/>
      <c r="AN536" s="210"/>
    </row>
    <row r="537" spans="1:40" x14ac:dyDescent="0.25">
      <c r="J537" s="334"/>
      <c r="K537" s="334"/>
      <c r="V537" s="200"/>
      <c r="W537" s="200"/>
      <c r="X537" s="200"/>
      <c r="Y537" s="200"/>
      <c r="Z537" s="329"/>
    </row>
    <row r="538" spans="1:40" x14ac:dyDescent="0.25">
      <c r="A538" s="202"/>
      <c r="C538" s="154"/>
      <c r="F538" s="252"/>
      <c r="H538" s="252"/>
      <c r="I538" s="252"/>
      <c r="J538" s="329"/>
      <c r="K538" s="329"/>
      <c r="L538" s="200"/>
      <c r="M538" s="200"/>
      <c r="N538" s="210"/>
      <c r="O538" s="210"/>
      <c r="P538" s="200"/>
      <c r="Q538" s="200"/>
      <c r="R538" s="200"/>
      <c r="T538" s="154"/>
      <c r="V538" s="200"/>
      <c r="W538" s="200"/>
      <c r="X538" s="200"/>
      <c r="Y538" s="200"/>
      <c r="Z538" s="329"/>
      <c r="AA538" s="200"/>
      <c r="AB538" s="200"/>
      <c r="AC538" s="210"/>
      <c r="AD538" s="210"/>
      <c r="AE538" s="200"/>
      <c r="AF538" s="200"/>
      <c r="AG538" s="209"/>
      <c r="AH538" s="201"/>
      <c r="AI538" s="200"/>
      <c r="AJ538" s="200"/>
      <c r="AK538" s="209"/>
      <c r="AL538" s="200"/>
      <c r="AM538" s="201"/>
      <c r="AN538" s="201"/>
    </row>
    <row r="539" spans="1:40" x14ac:dyDescent="0.25">
      <c r="A539" s="202"/>
      <c r="C539" s="154"/>
      <c r="J539" s="334"/>
      <c r="K539" s="334"/>
      <c r="T539" s="154"/>
      <c r="V539" s="200"/>
      <c r="W539" s="200"/>
      <c r="X539" s="200"/>
      <c r="Y539" s="200"/>
      <c r="Z539" s="329"/>
    </row>
    <row r="540" spans="1:40" x14ac:dyDescent="0.25">
      <c r="A540" s="202"/>
      <c r="C540" s="154"/>
      <c r="F540" s="252"/>
      <c r="H540" s="252"/>
      <c r="I540" s="252"/>
      <c r="J540" s="329"/>
      <c r="K540" s="329"/>
      <c r="L540" s="200"/>
      <c r="M540" s="200"/>
      <c r="N540" s="210"/>
      <c r="O540" s="210"/>
      <c r="P540" s="200"/>
      <c r="Q540" s="200"/>
      <c r="R540" s="200"/>
      <c r="T540" s="154"/>
      <c r="V540" s="200"/>
      <c r="W540" s="200"/>
      <c r="X540" s="200"/>
      <c r="Y540" s="200"/>
      <c r="Z540" s="329"/>
      <c r="AA540" s="200"/>
      <c r="AB540" s="200"/>
      <c r="AC540" s="210"/>
      <c r="AD540" s="210"/>
      <c r="AE540" s="200"/>
      <c r="AF540" s="200"/>
      <c r="AG540" s="209"/>
      <c r="AH540" s="201"/>
      <c r="AI540" s="200"/>
      <c r="AJ540" s="200"/>
      <c r="AK540" s="209"/>
      <c r="AL540" s="200"/>
      <c r="AM540" s="201"/>
      <c r="AN540" s="201"/>
    </row>
    <row r="541" spans="1:40" x14ac:dyDescent="0.25">
      <c r="J541" s="334"/>
      <c r="K541" s="334"/>
      <c r="Z541" s="334"/>
    </row>
    <row r="542" spans="1:40" x14ac:dyDescent="0.25">
      <c r="A542" s="202"/>
      <c r="C542" s="154"/>
      <c r="J542" s="334"/>
      <c r="K542" s="334"/>
      <c r="T542" s="154"/>
      <c r="V542" s="200"/>
      <c r="W542" s="200"/>
      <c r="X542" s="200"/>
      <c r="Y542" s="200"/>
      <c r="Z542" s="329"/>
    </row>
    <row r="543" spans="1:40" x14ac:dyDescent="0.25">
      <c r="A543" s="202"/>
      <c r="C543" s="154"/>
      <c r="F543" s="252"/>
      <c r="H543" s="252"/>
      <c r="I543" s="252"/>
      <c r="J543" s="329"/>
      <c r="K543" s="329"/>
      <c r="L543" s="200"/>
      <c r="M543" s="200"/>
      <c r="N543" s="210"/>
      <c r="O543" s="210"/>
      <c r="P543" s="200"/>
      <c r="Q543" s="200"/>
      <c r="R543" s="200"/>
      <c r="T543" s="154"/>
      <c r="V543" s="200"/>
      <c r="W543" s="200"/>
      <c r="X543" s="200"/>
      <c r="Y543" s="200"/>
      <c r="Z543" s="329"/>
      <c r="AA543" s="200"/>
      <c r="AB543" s="200"/>
      <c r="AC543" s="210"/>
      <c r="AD543" s="210"/>
      <c r="AE543" s="200"/>
      <c r="AF543" s="200"/>
      <c r="AG543" s="209"/>
      <c r="AH543" s="201"/>
      <c r="AI543" s="200"/>
      <c r="AJ543" s="200"/>
      <c r="AK543" s="209"/>
      <c r="AL543" s="200"/>
      <c r="AM543" s="201"/>
      <c r="AN543" s="201"/>
    </row>
    <row r="544" spans="1:40" x14ac:dyDescent="0.25">
      <c r="A544" s="202"/>
      <c r="C544" s="154"/>
      <c r="F544" s="252"/>
      <c r="H544" s="252"/>
      <c r="I544" s="252"/>
      <c r="J544" s="329"/>
      <c r="K544" s="329"/>
      <c r="L544" s="200"/>
      <c r="M544" s="200"/>
      <c r="N544" s="210"/>
      <c r="O544" s="210"/>
      <c r="P544" s="200"/>
      <c r="Q544" s="200"/>
      <c r="R544" s="200"/>
      <c r="T544" s="154"/>
      <c r="V544" s="200"/>
      <c r="W544" s="200"/>
      <c r="X544" s="200"/>
      <c r="Y544" s="200"/>
      <c r="Z544" s="329"/>
      <c r="AA544" s="200"/>
      <c r="AB544" s="200"/>
      <c r="AC544" s="210"/>
      <c r="AD544" s="210"/>
      <c r="AE544" s="200"/>
      <c r="AF544" s="200"/>
      <c r="AG544" s="209"/>
      <c r="AH544" s="201"/>
      <c r="AI544" s="200"/>
      <c r="AJ544" s="200"/>
      <c r="AK544" s="209"/>
      <c r="AL544" s="200"/>
      <c r="AM544" s="201"/>
      <c r="AN544" s="201"/>
    </row>
    <row r="545" spans="1:40" x14ac:dyDescent="0.25">
      <c r="F545" s="211"/>
      <c r="H545" s="211"/>
      <c r="I545" s="211"/>
      <c r="J545" s="329"/>
      <c r="K545" s="329"/>
      <c r="L545" s="211"/>
      <c r="M545" s="211"/>
      <c r="N545" s="211"/>
      <c r="O545" s="211"/>
      <c r="P545" s="211"/>
      <c r="Q545" s="211"/>
      <c r="R545" s="211"/>
      <c r="V545" s="211"/>
      <c r="Y545" s="211"/>
      <c r="Z545" s="305"/>
      <c r="AA545" s="211"/>
      <c r="AB545" s="211"/>
      <c r="AC545" s="211"/>
      <c r="AD545" s="211"/>
      <c r="AE545" s="211"/>
      <c r="AF545" s="211"/>
      <c r="AI545" s="211"/>
      <c r="AJ545" s="211"/>
      <c r="AK545" s="212"/>
      <c r="AL545" s="211"/>
    </row>
    <row r="546" spans="1:40" x14ac:dyDescent="0.25">
      <c r="A546" s="202"/>
      <c r="C546" s="154"/>
      <c r="F546" s="200"/>
      <c r="H546" s="200"/>
      <c r="I546" s="200"/>
      <c r="L546" s="200"/>
      <c r="M546" s="200"/>
      <c r="N546" s="210"/>
      <c r="O546" s="210"/>
      <c r="P546" s="252"/>
      <c r="Q546" s="252"/>
      <c r="R546" s="200"/>
      <c r="T546" s="154"/>
      <c r="V546" s="200"/>
      <c r="W546" s="200"/>
      <c r="X546" s="200"/>
      <c r="Y546" s="200"/>
      <c r="Z546" s="328"/>
      <c r="AA546" s="200"/>
      <c r="AB546" s="200"/>
      <c r="AC546" s="210"/>
      <c r="AD546" s="210"/>
      <c r="AE546" s="200"/>
      <c r="AF546" s="200"/>
      <c r="AG546" s="209"/>
      <c r="AH546" s="201"/>
      <c r="AI546" s="252"/>
      <c r="AJ546" s="252"/>
      <c r="AK546" s="209"/>
      <c r="AL546" s="200"/>
      <c r="AM546" s="201"/>
      <c r="AN546" s="201"/>
    </row>
    <row r="547" spans="1:40" x14ac:dyDescent="0.25">
      <c r="F547" s="211"/>
      <c r="H547" s="211"/>
      <c r="I547" s="211"/>
      <c r="J547" s="305"/>
      <c r="K547" s="305"/>
      <c r="L547" s="211"/>
      <c r="M547" s="211"/>
      <c r="N547" s="211"/>
      <c r="O547" s="211"/>
      <c r="P547" s="211"/>
      <c r="Q547" s="211"/>
      <c r="R547" s="211"/>
      <c r="V547" s="211"/>
      <c r="Y547" s="211"/>
      <c r="Z547" s="305"/>
      <c r="AA547" s="211"/>
      <c r="AB547" s="211"/>
      <c r="AC547" s="211"/>
      <c r="AD547" s="211"/>
      <c r="AE547" s="211"/>
      <c r="AF547" s="211"/>
      <c r="AI547" s="211"/>
      <c r="AJ547" s="211"/>
      <c r="AK547" s="212"/>
      <c r="AL547" s="211"/>
    </row>
    <row r="549" spans="1:40" x14ac:dyDescent="0.25">
      <c r="C549" s="202"/>
      <c r="T549" s="202"/>
    </row>
    <row r="550" spans="1:40" x14ac:dyDescent="0.25">
      <c r="A550" s="154"/>
    </row>
    <row r="551" spans="1:40" x14ac:dyDescent="0.25">
      <c r="J551" s="202"/>
      <c r="K551" s="202"/>
      <c r="Z551" s="202"/>
    </row>
    <row r="552" spans="1:40" x14ac:dyDescent="0.25">
      <c r="H552" s="154"/>
      <c r="I552" s="154"/>
      <c r="Y552" s="154"/>
    </row>
    <row r="553" spans="1:40" x14ac:dyDescent="0.25">
      <c r="J553" s="202"/>
      <c r="K553" s="202"/>
      <c r="Z553" s="202"/>
    </row>
    <row r="554" spans="1:40" x14ac:dyDescent="0.25">
      <c r="L554" s="154"/>
      <c r="M554" s="154"/>
      <c r="AA554" s="154"/>
      <c r="AB554" s="154"/>
    </row>
    <row r="555" spans="1:40" x14ac:dyDescent="0.25">
      <c r="A555" s="202"/>
      <c r="R555" s="154"/>
      <c r="AK555" s="297"/>
      <c r="AL555" s="154"/>
    </row>
    <row r="556" spans="1:40" x14ac:dyDescent="0.25">
      <c r="A556" s="202"/>
      <c r="R556" s="154"/>
      <c r="AK556" s="297"/>
      <c r="AL556" s="154"/>
    </row>
    <row r="557" spans="1:40" x14ac:dyDescent="0.25">
      <c r="A557" s="154"/>
      <c r="R557" s="154"/>
      <c r="AK557" s="297"/>
      <c r="AL557" s="154"/>
    </row>
    <row r="558" spans="1:40" x14ac:dyDescent="0.25">
      <c r="L558" s="154"/>
      <c r="M558" s="154"/>
      <c r="R558" s="202"/>
      <c r="AA558" s="154"/>
      <c r="AB558" s="154"/>
      <c r="AK558" s="209"/>
      <c r="AL558" s="202"/>
    </row>
    <row r="559" spans="1:40" x14ac:dyDescent="0.2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208"/>
      <c r="AH559" s="102"/>
      <c r="AI559" s="102"/>
      <c r="AJ559" s="102"/>
      <c r="AK559" s="208"/>
      <c r="AL559" s="102"/>
      <c r="AM559" s="102"/>
      <c r="AN559" s="102"/>
    </row>
    <row r="560" spans="1:40" x14ac:dyDescent="0.25">
      <c r="L560" s="103"/>
      <c r="M560" s="103"/>
      <c r="N560" s="103"/>
      <c r="O560" s="103"/>
      <c r="R560" s="103"/>
      <c r="AA560" s="103"/>
      <c r="AB560" s="103"/>
      <c r="AC560" s="103"/>
      <c r="AD560" s="103"/>
      <c r="AE560" s="103"/>
      <c r="AF560" s="103"/>
      <c r="AG560" s="185"/>
      <c r="AH560" s="103"/>
      <c r="AK560" s="185"/>
      <c r="AL560" s="103"/>
      <c r="AM560" s="103"/>
      <c r="AN560" s="103"/>
    </row>
    <row r="561" spans="1:40" x14ac:dyDescent="0.25">
      <c r="L561" s="103"/>
      <c r="M561" s="103"/>
      <c r="N561" s="103"/>
      <c r="O561" s="103"/>
      <c r="R561" s="103"/>
      <c r="Z561" s="103"/>
      <c r="AA561" s="103"/>
      <c r="AB561" s="103"/>
      <c r="AC561" s="103"/>
      <c r="AD561" s="103"/>
      <c r="AE561" s="103"/>
      <c r="AF561" s="103"/>
      <c r="AG561" s="185"/>
      <c r="AH561" s="103"/>
      <c r="AK561" s="185"/>
      <c r="AL561" s="103"/>
      <c r="AM561" s="103"/>
      <c r="AN561" s="103"/>
    </row>
    <row r="562" spans="1:40" x14ac:dyDescent="0.25">
      <c r="A562" s="103"/>
      <c r="C562" s="103"/>
      <c r="D562" s="103"/>
      <c r="E562" s="103"/>
      <c r="F562" s="103"/>
      <c r="J562" s="103"/>
      <c r="K562" s="103"/>
      <c r="L562" s="103"/>
      <c r="M562" s="103"/>
      <c r="N562" s="103"/>
      <c r="O562" s="103"/>
      <c r="P562" s="103"/>
      <c r="Q562" s="103"/>
      <c r="R562" s="103"/>
      <c r="T562" s="103"/>
      <c r="U562" s="103"/>
      <c r="V562" s="103"/>
      <c r="Z562" s="103"/>
      <c r="AA562" s="103"/>
      <c r="AB562" s="103"/>
      <c r="AC562" s="103"/>
      <c r="AD562" s="103"/>
      <c r="AE562" s="103"/>
      <c r="AF562" s="103"/>
      <c r="AG562" s="185"/>
      <c r="AH562" s="103"/>
      <c r="AI562" s="103"/>
      <c r="AJ562" s="103"/>
      <c r="AK562" s="185"/>
      <c r="AL562" s="103"/>
      <c r="AM562" s="103"/>
      <c r="AN562" s="103"/>
    </row>
    <row r="563" spans="1:40" x14ac:dyDescent="0.25">
      <c r="A563" s="103"/>
      <c r="C563" s="103"/>
      <c r="D563" s="103"/>
      <c r="E563" s="103"/>
      <c r="F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T563" s="103"/>
      <c r="U563" s="103"/>
      <c r="V563" s="103"/>
      <c r="Y563" s="103"/>
      <c r="Z563" s="103"/>
      <c r="AA563" s="103"/>
      <c r="AB563" s="103"/>
      <c r="AC563" s="103"/>
      <c r="AD563" s="103"/>
      <c r="AE563" s="103"/>
      <c r="AF563" s="103"/>
      <c r="AG563" s="185"/>
      <c r="AH563" s="103"/>
      <c r="AI563" s="103"/>
      <c r="AJ563" s="103"/>
      <c r="AK563" s="185"/>
      <c r="AL563" s="103"/>
      <c r="AM563" s="103"/>
      <c r="AN563" s="103"/>
    </row>
    <row r="564" spans="1:40" x14ac:dyDescent="0.25">
      <c r="C564" s="103"/>
      <c r="D564" s="103"/>
      <c r="E564" s="103"/>
      <c r="F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T564" s="103"/>
      <c r="U564" s="103"/>
      <c r="V564" s="103"/>
      <c r="Y564" s="103"/>
      <c r="Z564" s="103"/>
      <c r="AA564" s="103"/>
      <c r="AB564" s="103"/>
      <c r="AC564" s="103"/>
      <c r="AD564" s="103"/>
      <c r="AE564" s="103"/>
      <c r="AF564" s="103"/>
      <c r="AG564" s="185"/>
      <c r="AH564" s="103"/>
      <c r="AI564" s="103"/>
      <c r="AJ564" s="103"/>
      <c r="AK564" s="185"/>
      <c r="AL564" s="103"/>
      <c r="AM564" s="103"/>
      <c r="AN564" s="103"/>
    </row>
    <row r="565" spans="1:40" x14ac:dyDescent="0.25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208"/>
      <c r="AH565" s="102"/>
      <c r="AI565" s="102"/>
      <c r="AJ565" s="102"/>
      <c r="AK565" s="208"/>
      <c r="AL565" s="102"/>
      <c r="AM565" s="102"/>
      <c r="AN565" s="102"/>
    </row>
    <row r="566" spans="1:40" x14ac:dyDescent="0.25"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Y566" s="103"/>
      <c r="Z566" s="103"/>
      <c r="AA566" s="103"/>
      <c r="AB566" s="103"/>
      <c r="AC566" s="103"/>
      <c r="AD566" s="103"/>
      <c r="AE566" s="103"/>
      <c r="AF566" s="103"/>
      <c r="AG566" s="185"/>
      <c r="AH566" s="103"/>
      <c r="AI566" s="103"/>
      <c r="AJ566" s="103"/>
      <c r="AK566" s="185"/>
      <c r="AL566" s="103"/>
      <c r="AM566" s="103"/>
      <c r="AN566" s="103"/>
    </row>
    <row r="567" spans="1:40" x14ac:dyDescent="0.25">
      <c r="A567" s="202"/>
      <c r="C567" s="154"/>
      <c r="D567" s="154"/>
      <c r="E567" s="154"/>
      <c r="T567" s="154"/>
      <c r="U567" s="154"/>
    </row>
    <row r="569" spans="1:40" x14ac:dyDescent="0.25">
      <c r="A569" s="202"/>
      <c r="C569" s="154"/>
      <c r="T569" s="154"/>
    </row>
    <row r="570" spans="1:40" x14ac:dyDescent="0.25">
      <c r="A570" s="202"/>
      <c r="C570" s="154"/>
      <c r="T570" s="154"/>
    </row>
    <row r="571" spans="1:40" x14ac:dyDescent="0.25">
      <c r="A571" s="202"/>
      <c r="C571" s="154"/>
      <c r="F571" s="252"/>
      <c r="H571" s="252"/>
      <c r="I571" s="252"/>
      <c r="J571" s="329"/>
      <c r="K571" s="329"/>
      <c r="L571" s="200"/>
      <c r="M571" s="200"/>
      <c r="N571" s="210"/>
      <c r="O571" s="210"/>
      <c r="P571" s="200"/>
      <c r="Q571" s="200"/>
      <c r="R571" s="200"/>
      <c r="T571" s="154"/>
      <c r="V571" s="200"/>
      <c r="W571" s="200"/>
      <c r="X571" s="200"/>
      <c r="Y571" s="200"/>
      <c r="Z571" s="329"/>
      <c r="AA571" s="200"/>
      <c r="AB571" s="200"/>
      <c r="AC571" s="210"/>
      <c r="AD571" s="210"/>
      <c r="AE571" s="200"/>
      <c r="AF571" s="200"/>
      <c r="AG571" s="209"/>
      <c r="AH571" s="201"/>
      <c r="AI571" s="200"/>
      <c r="AJ571" s="200"/>
      <c r="AK571" s="209"/>
      <c r="AL571" s="200"/>
      <c r="AM571" s="201"/>
      <c r="AN571" s="201"/>
    </row>
    <row r="572" spans="1:40" x14ac:dyDescent="0.25">
      <c r="A572" s="202"/>
      <c r="C572" s="154"/>
      <c r="F572" s="200"/>
      <c r="H572" s="200"/>
      <c r="I572" s="200"/>
      <c r="J572" s="334"/>
      <c r="K572" s="334"/>
      <c r="L572" s="200"/>
      <c r="M572" s="200"/>
      <c r="N572" s="210"/>
      <c r="O572" s="210"/>
      <c r="P572" s="200"/>
      <c r="Q572" s="200"/>
      <c r="R572" s="200"/>
      <c r="T572" s="154"/>
      <c r="V572" s="200"/>
      <c r="W572" s="200"/>
      <c r="X572" s="200"/>
      <c r="Y572" s="200"/>
      <c r="Z572" s="334"/>
      <c r="AA572" s="200"/>
      <c r="AB572" s="200"/>
      <c r="AC572" s="210"/>
      <c r="AD572" s="210"/>
      <c r="AE572" s="200"/>
      <c r="AF572" s="200"/>
      <c r="AG572" s="209"/>
      <c r="AH572" s="201"/>
      <c r="AI572" s="200"/>
      <c r="AJ572" s="200"/>
      <c r="AK572" s="209"/>
      <c r="AL572" s="200"/>
      <c r="AM572" s="201"/>
      <c r="AN572" s="201"/>
    </row>
    <row r="573" spans="1:40" x14ac:dyDescent="0.25">
      <c r="A573" s="202"/>
      <c r="C573" s="154"/>
      <c r="F573" s="200"/>
      <c r="H573" s="200"/>
      <c r="I573" s="200"/>
      <c r="J573" s="334"/>
      <c r="K573" s="334"/>
      <c r="L573" s="200"/>
      <c r="M573" s="200"/>
      <c r="N573" s="210"/>
      <c r="O573" s="210"/>
      <c r="P573" s="200"/>
      <c r="Q573" s="200"/>
      <c r="R573" s="200"/>
      <c r="T573" s="154"/>
      <c r="V573" s="200"/>
      <c r="W573" s="200"/>
      <c r="X573" s="200"/>
      <c r="Y573" s="200"/>
      <c r="Z573" s="334"/>
      <c r="AA573" s="200"/>
      <c r="AB573" s="200"/>
      <c r="AC573" s="210"/>
      <c r="AD573" s="210"/>
      <c r="AE573" s="200"/>
      <c r="AF573" s="200"/>
      <c r="AG573" s="209"/>
      <c r="AH573" s="201"/>
      <c r="AI573" s="200"/>
      <c r="AJ573" s="200"/>
      <c r="AK573" s="209"/>
      <c r="AL573" s="200"/>
      <c r="AM573" s="201"/>
      <c r="AN573" s="201"/>
    </row>
    <row r="574" spans="1:40" x14ac:dyDescent="0.25">
      <c r="A574" s="202"/>
      <c r="C574" s="154"/>
      <c r="F574" s="200"/>
      <c r="H574" s="200"/>
      <c r="I574" s="200"/>
      <c r="J574" s="334"/>
      <c r="K574" s="334"/>
      <c r="T574" s="154"/>
      <c r="V574" s="200"/>
      <c r="Z574" s="334"/>
    </row>
    <row r="575" spans="1:40" x14ac:dyDescent="0.25">
      <c r="A575" s="202"/>
      <c r="C575" s="154"/>
      <c r="F575" s="252"/>
      <c r="H575" s="252"/>
      <c r="I575" s="252"/>
      <c r="J575" s="329"/>
      <c r="K575" s="329"/>
      <c r="L575" s="200"/>
      <c r="M575" s="200"/>
      <c r="N575" s="210"/>
      <c r="O575" s="210"/>
      <c r="P575" s="200"/>
      <c r="Q575" s="200"/>
      <c r="R575" s="200"/>
      <c r="T575" s="154"/>
      <c r="V575" s="200"/>
      <c r="W575" s="200"/>
      <c r="X575" s="200"/>
      <c r="Y575" s="200"/>
      <c r="Z575" s="329"/>
      <c r="AA575" s="200"/>
      <c r="AB575" s="200"/>
      <c r="AC575" s="210"/>
      <c r="AD575" s="210"/>
      <c r="AE575" s="200"/>
      <c r="AF575" s="200"/>
      <c r="AG575" s="209"/>
      <c r="AH575" s="201"/>
      <c r="AI575" s="200"/>
      <c r="AJ575" s="200"/>
      <c r="AK575" s="209"/>
      <c r="AL575" s="200"/>
      <c r="AM575" s="201"/>
      <c r="AN575" s="201"/>
    </row>
    <row r="576" spans="1:40" x14ac:dyDescent="0.25">
      <c r="A576" s="202"/>
      <c r="C576" s="154"/>
      <c r="F576" s="200"/>
      <c r="H576" s="200"/>
      <c r="I576" s="200"/>
      <c r="J576" s="334"/>
      <c r="K576" s="334"/>
      <c r="T576" s="154"/>
      <c r="V576" s="200"/>
      <c r="W576" s="200"/>
      <c r="X576" s="200"/>
      <c r="Y576" s="200"/>
      <c r="Z576" s="334"/>
      <c r="AC576" s="210"/>
      <c r="AD576" s="210"/>
      <c r="AE576" s="200"/>
      <c r="AF576" s="200"/>
      <c r="AG576" s="209"/>
      <c r="AH576" s="201"/>
      <c r="AI576" s="200"/>
      <c r="AJ576" s="200"/>
      <c r="AK576" s="209"/>
      <c r="AL576" s="200"/>
      <c r="AM576" s="201"/>
      <c r="AN576" s="201"/>
    </row>
    <row r="577" spans="1:40" x14ac:dyDescent="0.25">
      <c r="A577" s="202"/>
      <c r="C577" s="154"/>
      <c r="F577" s="252"/>
      <c r="H577" s="252"/>
      <c r="I577" s="252"/>
      <c r="J577" s="329"/>
      <c r="K577" s="329"/>
      <c r="L577" s="200"/>
      <c r="M577" s="200"/>
      <c r="N577" s="210"/>
      <c r="O577" s="210"/>
      <c r="P577" s="200"/>
      <c r="Q577" s="200"/>
      <c r="R577" s="200"/>
      <c r="T577" s="154"/>
      <c r="V577" s="200"/>
      <c r="W577" s="200"/>
      <c r="X577" s="200"/>
      <c r="Y577" s="200"/>
      <c r="Z577" s="329"/>
      <c r="AA577" s="200"/>
      <c r="AB577" s="200"/>
      <c r="AC577" s="210"/>
      <c r="AD577" s="210"/>
      <c r="AE577" s="200"/>
      <c r="AF577" s="200"/>
      <c r="AG577" s="209"/>
      <c r="AH577" s="201"/>
      <c r="AI577" s="200"/>
      <c r="AJ577" s="200"/>
      <c r="AK577" s="209"/>
      <c r="AL577" s="200"/>
      <c r="AM577" s="201"/>
      <c r="AN577" s="201"/>
    </row>
    <row r="578" spans="1:40" x14ac:dyDescent="0.25">
      <c r="A578" s="202"/>
      <c r="C578" s="154"/>
      <c r="F578" s="200"/>
      <c r="H578" s="200"/>
      <c r="I578" s="200"/>
      <c r="J578" s="334"/>
      <c r="K578" s="334"/>
      <c r="L578" s="200"/>
      <c r="M578" s="200"/>
      <c r="N578" s="210"/>
      <c r="O578" s="210"/>
      <c r="P578" s="200"/>
      <c r="Q578" s="200"/>
      <c r="R578" s="200"/>
      <c r="T578" s="154"/>
      <c r="V578" s="200"/>
      <c r="W578" s="200"/>
      <c r="X578" s="200"/>
      <c r="Y578" s="200"/>
      <c r="Z578" s="334"/>
      <c r="AA578" s="200"/>
      <c r="AB578" s="200"/>
      <c r="AC578" s="210"/>
      <c r="AD578" s="210"/>
      <c r="AE578" s="200"/>
      <c r="AF578" s="200"/>
      <c r="AG578" s="209"/>
      <c r="AH578" s="201"/>
      <c r="AI578" s="200"/>
      <c r="AJ578" s="200"/>
      <c r="AK578" s="209"/>
      <c r="AL578" s="200"/>
      <c r="AM578" s="201"/>
      <c r="AN578" s="201"/>
    </row>
    <row r="579" spans="1:40" x14ac:dyDescent="0.25">
      <c r="F579" s="200"/>
      <c r="H579" s="200"/>
      <c r="I579" s="200"/>
      <c r="J579" s="334"/>
      <c r="K579" s="334"/>
      <c r="Z579" s="334"/>
    </row>
    <row r="580" spans="1:40" x14ac:dyDescent="0.25">
      <c r="A580" s="202"/>
      <c r="C580" s="154"/>
      <c r="F580" s="200"/>
      <c r="H580" s="252"/>
      <c r="I580" s="252"/>
      <c r="J580" s="329"/>
      <c r="K580" s="329"/>
      <c r="L580" s="200"/>
      <c r="M580" s="200"/>
      <c r="N580" s="210"/>
      <c r="O580" s="210"/>
      <c r="P580" s="200"/>
      <c r="Q580" s="200"/>
      <c r="R580" s="200"/>
      <c r="T580" s="154"/>
      <c r="V580" s="200"/>
      <c r="W580" s="200"/>
      <c r="X580" s="200"/>
      <c r="Y580" s="200"/>
      <c r="Z580" s="329"/>
      <c r="AA580" s="200"/>
      <c r="AB580" s="200"/>
      <c r="AC580" s="210"/>
      <c r="AD580" s="210"/>
      <c r="AE580" s="200"/>
      <c r="AF580" s="200"/>
      <c r="AG580" s="209"/>
      <c r="AH580" s="201"/>
      <c r="AI580" s="200"/>
      <c r="AJ580" s="200"/>
      <c r="AK580" s="209"/>
      <c r="AL580" s="200"/>
      <c r="AM580" s="201"/>
      <c r="AN580" s="201"/>
    </row>
    <row r="581" spans="1:40" x14ac:dyDescent="0.25">
      <c r="F581" s="211"/>
      <c r="H581" s="211"/>
      <c r="I581" s="211"/>
      <c r="J581" s="329"/>
      <c r="K581" s="329"/>
      <c r="L581" s="211"/>
      <c r="M581" s="211"/>
      <c r="N581" s="211"/>
      <c r="O581" s="211"/>
      <c r="P581" s="211"/>
      <c r="Q581" s="211"/>
      <c r="R581" s="211"/>
      <c r="V581" s="211"/>
      <c r="Y581" s="211"/>
      <c r="Z581" s="329"/>
      <c r="AA581" s="211"/>
      <c r="AB581" s="211"/>
      <c r="AC581" s="211"/>
      <c r="AD581" s="211"/>
      <c r="AE581" s="211"/>
      <c r="AF581" s="211"/>
      <c r="AI581" s="211"/>
      <c r="AJ581" s="211"/>
      <c r="AK581" s="212"/>
      <c r="AL581" s="211"/>
    </row>
    <row r="582" spans="1:40" x14ac:dyDescent="0.25">
      <c r="A582" s="202"/>
      <c r="C582" s="154"/>
      <c r="F582" s="200"/>
      <c r="H582" s="200"/>
      <c r="I582" s="200"/>
      <c r="J582" s="334"/>
      <c r="K582" s="334"/>
      <c r="L582" s="200"/>
      <c r="M582" s="200"/>
      <c r="N582" s="202"/>
      <c r="O582" s="202"/>
      <c r="P582" s="200"/>
      <c r="Q582" s="200"/>
      <c r="R582" s="200"/>
      <c r="T582" s="154"/>
      <c r="V582" s="200"/>
      <c r="Y582" s="200"/>
      <c r="Z582" s="334"/>
      <c r="AA582" s="200"/>
      <c r="AB582" s="200"/>
      <c r="AC582" s="201"/>
      <c r="AD582" s="201"/>
      <c r="AE582" s="200"/>
      <c r="AF582" s="200"/>
      <c r="AG582" s="209"/>
      <c r="AH582" s="201"/>
      <c r="AI582" s="200"/>
      <c r="AJ582" s="200"/>
      <c r="AK582" s="209"/>
      <c r="AL582" s="200"/>
      <c r="AM582" s="201"/>
      <c r="AN582" s="201"/>
    </row>
    <row r="583" spans="1:40" x14ac:dyDescent="0.25">
      <c r="F583" s="211"/>
      <c r="H583" s="211"/>
      <c r="I583" s="211"/>
      <c r="J583" s="329"/>
      <c r="K583" s="329"/>
      <c r="L583" s="211"/>
      <c r="M583" s="211"/>
      <c r="N583" s="211"/>
      <c r="O583" s="211"/>
      <c r="P583" s="211"/>
      <c r="Q583" s="211"/>
      <c r="R583" s="211"/>
      <c r="V583" s="211"/>
      <c r="Y583" s="211"/>
      <c r="Z583" s="329"/>
      <c r="AA583" s="211"/>
      <c r="AB583" s="211"/>
      <c r="AC583" s="211"/>
      <c r="AD583" s="211"/>
      <c r="AE583" s="211"/>
      <c r="AF583" s="211"/>
      <c r="AI583" s="211"/>
      <c r="AJ583" s="211"/>
      <c r="AK583" s="212"/>
      <c r="AL583" s="211"/>
    </row>
    <row r="584" spans="1:40" x14ac:dyDescent="0.25">
      <c r="J584" s="334"/>
      <c r="K584" s="334"/>
      <c r="Z584" s="334"/>
    </row>
    <row r="585" spans="1:40" x14ac:dyDescent="0.25">
      <c r="A585" s="202"/>
      <c r="C585" s="154"/>
      <c r="J585" s="334"/>
      <c r="K585" s="334"/>
      <c r="T585" s="154"/>
      <c r="Z585" s="334"/>
    </row>
    <row r="586" spans="1:40" x14ac:dyDescent="0.25">
      <c r="A586" s="202"/>
      <c r="C586" s="154"/>
      <c r="J586" s="334"/>
      <c r="K586" s="334"/>
      <c r="T586" s="154"/>
      <c r="Z586" s="334"/>
    </row>
    <row r="587" spans="1:40" x14ac:dyDescent="0.25">
      <c r="A587" s="202"/>
      <c r="C587" s="154"/>
      <c r="F587" s="252"/>
      <c r="H587" s="252"/>
      <c r="I587" s="252"/>
      <c r="J587" s="329"/>
      <c r="K587" s="329"/>
      <c r="L587" s="200"/>
      <c r="M587" s="200"/>
      <c r="N587" s="210"/>
      <c r="O587" s="210"/>
      <c r="P587" s="200"/>
      <c r="Q587" s="200"/>
      <c r="R587" s="200"/>
      <c r="T587" s="154"/>
      <c r="V587" s="200"/>
      <c r="W587" s="200"/>
      <c r="X587" s="200"/>
      <c r="Y587" s="200"/>
      <c r="Z587" s="329"/>
      <c r="AA587" s="200"/>
      <c r="AB587" s="200"/>
      <c r="AC587" s="210"/>
      <c r="AD587" s="210"/>
      <c r="AE587" s="200"/>
      <c r="AF587" s="200"/>
      <c r="AG587" s="209"/>
      <c r="AH587" s="201"/>
      <c r="AI587" s="200"/>
      <c r="AJ587" s="200"/>
      <c r="AK587" s="209"/>
      <c r="AL587" s="200"/>
      <c r="AM587" s="201"/>
      <c r="AN587" s="201"/>
    </row>
    <row r="588" spans="1:40" x14ac:dyDescent="0.25">
      <c r="A588" s="202"/>
      <c r="C588" s="154"/>
      <c r="J588" s="334"/>
      <c r="K588" s="334"/>
      <c r="T588" s="154"/>
      <c r="Z588" s="334"/>
    </row>
    <row r="589" spans="1:40" x14ac:dyDescent="0.25">
      <c r="A589" s="202"/>
      <c r="C589" s="154"/>
      <c r="F589" s="252"/>
      <c r="H589" s="252"/>
      <c r="I589" s="252"/>
      <c r="J589" s="329"/>
      <c r="K589" s="329"/>
      <c r="L589" s="200"/>
      <c r="M589" s="200"/>
      <c r="N589" s="210"/>
      <c r="O589" s="210"/>
      <c r="P589" s="200"/>
      <c r="Q589" s="200"/>
      <c r="R589" s="200"/>
      <c r="T589" s="154"/>
      <c r="V589" s="200"/>
      <c r="W589" s="200"/>
      <c r="X589" s="200"/>
      <c r="Y589" s="200"/>
      <c r="Z589" s="329"/>
      <c r="AA589" s="200"/>
      <c r="AB589" s="200"/>
      <c r="AC589" s="210"/>
      <c r="AD589" s="210"/>
      <c r="AE589" s="200"/>
      <c r="AF589" s="200"/>
      <c r="AG589" s="209"/>
      <c r="AH589" s="201"/>
      <c r="AI589" s="200"/>
      <c r="AJ589" s="200"/>
      <c r="AK589" s="209"/>
      <c r="AL589" s="200"/>
      <c r="AM589" s="201"/>
      <c r="AN589" s="201"/>
    </row>
    <row r="590" spans="1:40" x14ac:dyDescent="0.25">
      <c r="F590" s="211"/>
      <c r="H590" s="211"/>
      <c r="I590" s="211"/>
      <c r="J590" s="329"/>
      <c r="K590" s="329"/>
      <c r="L590" s="211"/>
      <c r="M590" s="211"/>
      <c r="N590" s="211"/>
      <c r="O590" s="211"/>
      <c r="P590" s="211"/>
      <c r="Q590" s="211"/>
      <c r="R590" s="211"/>
      <c r="V590" s="211"/>
      <c r="Y590" s="211"/>
      <c r="Z590" s="329"/>
      <c r="AA590" s="211"/>
      <c r="AB590" s="211"/>
      <c r="AC590" s="211"/>
      <c r="AD590" s="211"/>
      <c r="AE590" s="211"/>
      <c r="AF590" s="211"/>
      <c r="AI590" s="211"/>
      <c r="AJ590" s="211"/>
      <c r="AK590" s="212"/>
      <c r="AL590" s="211"/>
    </row>
    <row r="591" spans="1:40" x14ac:dyDescent="0.25">
      <c r="A591" s="202"/>
      <c r="C591" s="154"/>
      <c r="F591" s="200"/>
      <c r="H591" s="200"/>
      <c r="I591" s="200"/>
      <c r="J591" s="334"/>
      <c r="K591" s="334"/>
      <c r="L591" s="200"/>
      <c r="M591" s="200"/>
      <c r="N591" s="201"/>
      <c r="O591" s="201"/>
      <c r="P591" s="200"/>
      <c r="Q591" s="200"/>
      <c r="R591" s="200"/>
      <c r="T591" s="154"/>
      <c r="V591" s="200"/>
      <c r="Y591" s="200"/>
      <c r="Z591" s="334"/>
      <c r="AA591" s="200"/>
      <c r="AB591" s="200"/>
      <c r="AC591" s="201"/>
      <c r="AD591" s="201"/>
      <c r="AE591" s="200"/>
      <c r="AF591" s="200"/>
      <c r="AG591" s="209"/>
      <c r="AH591" s="201"/>
      <c r="AI591" s="200"/>
      <c r="AJ591" s="200"/>
      <c r="AK591" s="209"/>
      <c r="AL591" s="200"/>
      <c r="AM591" s="201"/>
      <c r="AN591" s="201"/>
    </row>
    <row r="592" spans="1:40" x14ac:dyDescent="0.25">
      <c r="F592" s="211"/>
      <c r="H592" s="211"/>
      <c r="I592" s="211"/>
      <c r="J592" s="329"/>
      <c r="K592" s="329"/>
      <c r="L592" s="211"/>
      <c r="M592" s="211"/>
      <c r="N592" s="211"/>
      <c r="O592" s="211"/>
      <c r="P592" s="211"/>
      <c r="Q592" s="211"/>
      <c r="R592" s="211"/>
      <c r="V592" s="211"/>
      <c r="Y592" s="211"/>
      <c r="Z592" s="305"/>
      <c r="AA592" s="211"/>
      <c r="AB592" s="211"/>
      <c r="AC592" s="211"/>
      <c r="AD592" s="211"/>
      <c r="AE592" s="211"/>
      <c r="AF592" s="211"/>
      <c r="AI592" s="211"/>
      <c r="AJ592" s="211"/>
      <c r="AK592" s="212"/>
      <c r="AL592" s="211"/>
    </row>
    <row r="593" spans="1:40" x14ac:dyDescent="0.25">
      <c r="J593" s="334"/>
      <c r="K593" s="334"/>
    </row>
    <row r="594" spans="1:40" x14ac:dyDescent="0.25">
      <c r="A594" s="202"/>
      <c r="C594" s="154"/>
      <c r="F594" s="200"/>
      <c r="H594" s="200"/>
      <c r="I594" s="200"/>
      <c r="J594" s="334"/>
      <c r="K594" s="334"/>
      <c r="L594" s="200"/>
      <c r="M594" s="200"/>
      <c r="N594" s="210"/>
      <c r="O594" s="210"/>
      <c r="P594" s="252"/>
      <c r="Q594" s="252"/>
      <c r="R594" s="200"/>
      <c r="T594" s="154"/>
      <c r="V594" s="200"/>
      <c r="Y594" s="200"/>
      <c r="AA594" s="200"/>
      <c r="AB594" s="200"/>
      <c r="AC594" s="201"/>
      <c r="AD594" s="201"/>
      <c r="AE594" s="200"/>
      <c r="AF594" s="200"/>
      <c r="AG594" s="209"/>
      <c r="AH594" s="201"/>
      <c r="AI594" s="252"/>
      <c r="AJ594" s="252"/>
      <c r="AK594" s="209"/>
      <c r="AL594" s="200"/>
      <c r="AM594" s="201"/>
      <c r="AN594" s="201"/>
    </row>
    <row r="595" spans="1:40" x14ac:dyDescent="0.25">
      <c r="F595" s="211"/>
      <c r="H595" s="211"/>
      <c r="I595" s="211"/>
      <c r="J595" s="329"/>
      <c r="K595" s="329"/>
      <c r="L595" s="211"/>
      <c r="M595" s="211"/>
      <c r="N595" s="211"/>
      <c r="O595" s="211"/>
      <c r="P595" s="211"/>
      <c r="Q595" s="211"/>
      <c r="R595" s="211"/>
      <c r="V595" s="211"/>
      <c r="Y595" s="211"/>
      <c r="Z595" s="305"/>
      <c r="AA595" s="211"/>
      <c r="AB595" s="211"/>
      <c r="AC595" s="211"/>
      <c r="AD595" s="211"/>
      <c r="AE595" s="211"/>
      <c r="AF595" s="211"/>
      <c r="AI595" s="211"/>
      <c r="AJ595" s="211"/>
      <c r="AK595" s="212"/>
      <c r="AL595" s="211"/>
    </row>
    <row r="597" spans="1:40" x14ac:dyDescent="0.25">
      <c r="C597" s="202"/>
      <c r="T597" s="202"/>
    </row>
    <row r="598" spans="1:40" x14ac:dyDescent="0.25">
      <c r="A598" s="154"/>
    </row>
    <row r="599" spans="1:40" x14ac:dyDescent="0.25">
      <c r="J599" s="202"/>
      <c r="K599" s="202"/>
      <c r="Z599" s="202"/>
    </row>
    <row r="600" spans="1:40" x14ac:dyDescent="0.25">
      <c r="H600" s="154"/>
      <c r="I600" s="154"/>
      <c r="Y600" s="154"/>
    </row>
    <row r="601" spans="1:40" x14ac:dyDescent="0.25">
      <c r="J601" s="202"/>
      <c r="K601" s="202"/>
      <c r="Z601" s="202"/>
    </row>
    <row r="602" spans="1:40" x14ac:dyDescent="0.25">
      <c r="L602" s="154"/>
      <c r="M602" s="154"/>
      <c r="AA602" s="154"/>
      <c r="AB602" s="154"/>
    </row>
    <row r="603" spans="1:40" x14ac:dyDescent="0.25">
      <c r="A603" s="202"/>
      <c r="R603" s="154"/>
      <c r="AK603" s="297"/>
      <c r="AL603" s="154"/>
    </row>
    <row r="604" spans="1:40" x14ac:dyDescent="0.25">
      <c r="A604" s="202"/>
      <c r="R604" s="154"/>
      <c r="AK604" s="297"/>
      <c r="AL604" s="154"/>
    </row>
    <row r="605" spans="1:40" x14ac:dyDescent="0.25">
      <c r="A605" s="154"/>
      <c r="R605" s="154"/>
      <c r="AK605" s="297"/>
      <c r="AL605" s="154"/>
    </row>
    <row r="606" spans="1:40" x14ac:dyDescent="0.25">
      <c r="L606" s="154"/>
      <c r="M606" s="154"/>
      <c r="R606" s="202"/>
      <c r="AA606" s="154"/>
      <c r="AB606" s="154"/>
      <c r="AK606" s="209"/>
      <c r="AL606" s="202"/>
    </row>
    <row r="607" spans="1:40" x14ac:dyDescent="0.2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208"/>
      <c r="AH607" s="102"/>
      <c r="AI607" s="102"/>
      <c r="AJ607" s="102"/>
      <c r="AK607" s="208"/>
      <c r="AL607" s="102"/>
      <c r="AM607" s="102"/>
      <c r="AN607" s="102"/>
    </row>
    <row r="608" spans="1:40" x14ac:dyDescent="0.25">
      <c r="L608" s="103"/>
      <c r="M608" s="103"/>
      <c r="N608" s="103"/>
      <c r="O608" s="103"/>
      <c r="R608" s="103"/>
      <c r="AA608" s="103"/>
      <c r="AB608" s="103"/>
      <c r="AC608" s="103"/>
      <c r="AD608" s="103"/>
      <c r="AE608" s="103"/>
      <c r="AF608" s="103"/>
      <c r="AG608" s="185"/>
      <c r="AH608" s="103"/>
      <c r="AK608" s="185"/>
      <c r="AL608" s="103"/>
      <c r="AM608" s="103"/>
      <c r="AN608" s="103"/>
    </row>
    <row r="609" spans="1:40" x14ac:dyDescent="0.25">
      <c r="L609" s="103"/>
      <c r="M609" s="103"/>
      <c r="N609" s="103"/>
      <c r="O609" s="103"/>
      <c r="R609" s="103"/>
      <c r="Z609" s="103"/>
      <c r="AA609" s="103"/>
      <c r="AB609" s="103"/>
      <c r="AC609" s="103"/>
      <c r="AD609" s="103"/>
      <c r="AE609" s="103"/>
      <c r="AF609" s="103"/>
      <c r="AG609" s="185"/>
      <c r="AH609" s="103"/>
      <c r="AK609" s="185"/>
      <c r="AL609" s="103"/>
      <c r="AM609" s="103"/>
      <c r="AN609" s="103"/>
    </row>
    <row r="610" spans="1:40" x14ac:dyDescent="0.25">
      <c r="A610" s="103"/>
      <c r="C610" s="103"/>
      <c r="D610" s="103"/>
      <c r="E610" s="103"/>
      <c r="F610" s="103"/>
      <c r="J610" s="103"/>
      <c r="K610" s="103"/>
      <c r="L610" s="103"/>
      <c r="M610" s="103"/>
      <c r="N610" s="103"/>
      <c r="O610" s="103"/>
      <c r="P610" s="103"/>
      <c r="Q610" s="103"/>
      <c r="R610" s="103"/>
      <c r="T610" s="103"/>
      <c r="U610" s="103"/>
      <c r="V610" s="103"/>
      <c r="Z610" s="103"/>
      <c r="AA610" s="103"/>
      <c r="AB610" s="103"/>
      <c r="AC610" s="103"/>
      <c r="AD610" s="103"/>
      <c r="AE610" s="103"/>
      <c r="AF610" s="103"/>
      <c r="AG610" s="185"/>
      <c r="AH610" s="103"/>
      <c r="AI610" s="103"/>
      <c r="AJ610" s="103"/>
      <c r="AK610" s="185"/>
      <c r="AL610" s="103"/>
      <c r="AM610" s="103"/>
      <c r="AN610" s="103"/>
    </row>
    <row r="611" spans="1:40" x14ac:dyDescent="0.25">
      <c r="A611" s="103"/>
      <c r="C611" s="103"/>
      <c r="D611" s="103"/>
      <c r="E611" s="103"/>
      <c r="F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T611" s="103"/>
      <c r="U611" s="103"/>
      <c r="V611" s="103"/>
      <c r="Y611" s="103"/>
      <c r="Z611" s="103"/>
      <c r="AA611" s="103"/>
      <c r="AB611" s="103"/>
      <c r="AC611" s="103"/>
      <c r="AD611" s="103"/>
      <c r="AE611" s="103"/>
      <c r="AF611" s="103"/>
      <c r="AG611" s="185"/>
      <c r="AH611" s="103"/>
      <c r="AI611" s="103"/>
      <c r="AJ611" s="103"/>
      <c r="AK611" s="185"/>
      <c r="AL611" s="103"/>
      <c r="AM611" s="103"/>
      <c r="AN611" s="103"/>
    </row>
    <row r="612" spans="1:40" x14ac:dyDescent="0.25">
      <c r="C612" s="103"/>
      <c r="D612" s="103"/>
      <c r="E612" s="103"/>
      <c r="F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T612" s="103"/>
      <c r="U612" s="103"/>
      <c r="V612" s="103"/>
      <c r="Y612" s="103"/>
      <c r="Z612" s="103"/>
      <c r="AA612" s="103"/>
      <c r="AB612" s="103"/>
      <c r="AC612" s="103"/>
      <c r="AD612" s="103"/>
      <c r="AE612" s="103"/>
      <c r="AF612" s="103"/>
      <c r="AG612" s="185"/>
      <c r="AH612" s="103"/>
      <c r="AI612" s="103"/>
      <c r="AJ612" s="103"/>
      <c r="AK612" s="185"/>
      <c r="AL612" s="103"/>
      <c r="AM612" s="103"/>
      <c r="AN612" s="103"/>
    </row>
    <row r="613" spans="1:40" x14ac:dyDescent="0.25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208"/>
      <c r="AH613" s="102"/>
      <c r="AI613" s="102"/>
      <c r="AJ613" s="102"/>
      <c r="AK613" s="208"/>
      <c r="AL613" s="102"/>
      <c r="AM613" s="102"/>
      <c r="AN613" s="102"/>
    </row>
    <row r="614" spans="1:40" x14ac:dyDescent="0.25"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Y614" s="103"/>
      <c r="Z614" s="103"/>
      <c r="AA614" s="103"/>
      <c r="AB614" s="103"/>
      <c r="AC614" s="103"/>
      <c r="AD614" s="103"/>
      <c r="AE614" s="103"/>
      <c r="AF614" s="103"/>
      <c r="AG614" s="185"/>
      <c r="AH614" s="103"/>
      <c r="AI614" s="103"/>
      <c r="AJ614" s="103"/>
      <c r="AK614" s="185"/>
      <c r="AL614" s="103"/>
      <c r="AM614" s="103"/>
      <c r="AN614" s="103"/>
    </row>
    <row r="615" spans="1:40" x14ac:dyDescent="0.25">
      <c r="A615" s="202"/>
      <c r="C615" s="154"/>
      <c r="D615" s="154"/>
      <c r="E615" s="154"/>
      <c r="T615" s="154"/>
      <c r="U615" s="154"/>
    </row>
    <row r="617" spans="1:40" x14ac:dyDescent="0.25">
      <c r="A617" s="202"/>
      <c r="C617" s="154"/>
      <c r="D617" s="154"/>
      <c r="E617" s="154"/>
      <c r="T617" s="154"/>
      <c r="U617" s="154"/>
    </row>
    <row r="618" spans="1:40" x14ac:dyDescent="0.25">
      <c r="A618" s="202"/>
      <c r="C618" s="154"/>
      <c r="T618" s="154"/>
    </row>
    <row r="619" spans="1:40" x14ac:dyDescent="0.25">
      <c r="A619" s="202"/>
      <c r="C619" s="154"/>
      <c r="T619" s="154"/>
    </row>
    <row r="620" spans="1:40" x14ac:dyDescent="0.25">
      <c r="A620" s="202"/>
      <c r="C620" s="154"/>
      <c r="F620" s="252"/>
      <c r="H620" s="252"/>
      <c r="I620" s="252"/>
      <c r="J620" s="329"/>
      <c r="K620" s="329"/>
      <c r="L620" s="200"/>
      <c r="M620" s="200"/>
      <c r="N620" s="210"/>
      <c r="O620" s="210"/>
      <c r="P620" s="200"/>
      <c r="Q620" s="200"/>
      <c r="R620" s="200"/>
      <c r="T620" s="154"/>
      <c r="V620" s="200"/>
      <c r="W620" s="200"/>
      <c r="X620" s="200"/>
      <c r="Y620" s="200"/>
      <c r="Z620" s="329"/>
      <c r="AA620" s="200"/>
      <c r="AB620" s="200"/>
      <c r="AC620" s="210"/>
      <c r="AD620" s="210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A621" s="202"/>
      <c r="C621" s="154"/>
      <c r="J621" s="334"/>
      <c r="K621" s="334"/>
      <c r="T621" s="154"/>
      <c r="V621" s="200"/>
      <c r="W621" s="200"/>
      <c r="X621" s="200"/>
      <c r="Y621" s="200"/>
      <c r="Z621" s="329"/>
    </row>
    <row r="622" spans="1:40" x14ac:dyDescent="0.25">
      <c r="A622" s="202"/>
      <c r="C622" s="154"/>
      <c r="F622" s="252"/>
      <c r="H622" s="252"/>
      <c r="I622" s="252"/>
      <c r="J622" s="329"/>
      <c r="K622" s="329"/>
      <c r="L622" s="200"/>
      <c r="M622" s="200"/>
      <c r="N622" s="210"/>
      <c r="O622" s="210"/>
      <c r="P622" s="200"/>
      <c r="Q622" s="200"/>
      <c r="R622" s="200"/>
      <c r="T622" s="154"/>
      <c r="V622" s="200"/>
      <c r="W622" s="200"/>
      <c r="X622" s="200"/>
      <c r="Y622" s="200"/>
      <c r="Z622" s="329"/>
      <c r="AA622" s="200"/>
      <c r="AB622" s="200"/>
      <c r="AC622" s="210"/>
      <c r="AD622" s="210"/>
      <c r="AE622" s="200"/>
      <c r="AF622" s="200"/>
      <c r="AG622" s="209"/>
      <c r="AH622" s="201"/>
      <c r="AI622" s="200"/>
      <c r="AJ622" s="200"/>
      <c r="AK622" s="209"/>
      <c r="AL622" s="200"/>
      <c r="AM622" s="210"/>
      <c r="AN622" s="210"/>
    </row>
    <row r="623" spans="1:40" x14ac:dyDescent="0.25">
      <c r="A623" s="202"/>
      <c r="C623" s="154"/>
      <c r="J623" s="334"/>
      <c r="K623" s="334"/>
      <c r="T623" s="154"/>
      <c r="V623" s="200"/>
      <c r="W623" s="200"/>
      <c r="X623" s="200"/>
      <c r="Y623" s="200"/>
      <c r="Z623" s="329"/>
    </row>
    <row r="624" spans="1:40" x14ac:dyDescent="0.25">
      <c r="A624" s="202"/>
      <c r="C624" s="154"/>
      <c r="F624" s="252"/>
      <c r="H624" s="252"/>
      <c r="I624" s="252"/>
      <c r="J624" s="329"/>
      <c r="K624" s="329"/>
      <c r="L624" s="200"/>
      <c r="M624" s="200"/>
      <c r="N624" s="210"/>
      <c r="O624" s="210"/>
      <c r="P624" s="200"/>
      <c r="Q624" s="200"/>
      <c r="R624" s="200"/>
      <c r="T624" s="154"/>
      <c r="V624" s="200"/>
      <c r="W624" s="200"/>
      <c r="X624" s="200"/>
      <c r="Y624" s="200"/>
      <c r="Z624" s="329"/>
      <c r="AA624" s="200"/>
      <c r="AB624" s="200"/>
      <c r="AC624" s="210"/>
      <c r="AD624" s="210"/>
      <c r="AE624" s="200"/>
      <c r="AF624" s="200"/>
      <c r="AG624" s="209"/>
      <c r="AH624" s="201"/>
      <c r="AI624" s="200"/>
      <c r="AJ624" s="200"/>
      <c r="AK624" s="209"/>
      <c r="AL624" s="200"/>
      <c r="AM624" s="210"/>
      <c r="AN624" s="210"/>
    </row>
    <row r="625" spans="1:40" x14ac:dyDescent="0.25">
      <c r="A625" s="202"/>
      <c r="C625" s="154"/>
      <c r="J625" s="334"/>
      <c r="K625" s="334"/>
      <c r="T625" s="154"/>
      <c r="V625" s="200"/>
      <c r="W625" s="200"/>
      <c r="X625" s="200"/>
      <c r="Y625" s="200"/>
      <c r="Z625" s="329"/>
    </row>
    <row r="626" spans="1:40" x14ac:dyDescent="0.25">
      <c r="A626" s="202"/>
      <c r="C626" s="154"/>
      <c r="F626" s="252"/>
      <c r="H626" s="252"/>
      <c r="I626" s="252"/>
      <c r="J626" s="329"/>
      <c r="K626" s="329"/>
      <c r="L626" s="200"/>
      <c r="M626" s="200"/>
      <c r="N626" s="210"/>
      <c r="O626" s="210"/>
      <c r="P626" s="200"/>
      <c r="Q626" s="200"/>
      <c r="R626" s="200"/>
      <c r="T626" s="154"/>
      <c r="V626" s="200"/>
      <c r="W626" s="200"/>
      <c r="X626" s="200"/>
      <c r="Y626" s="200"/>
      <c r="Z626" s="329"/>
      <c r="AA626" s="200"/>
      <c r="AB626" s="200"/>
      <c r="AC626" s="210"/>
      <c r="AD626" s="210"/>
      <c r="AE626" s="200"/>
      <c r="AF626" s="200"/>
      <c r="AG626" s="209"/>
      <c r="AH626" s="201"/>
      <c r="AI626" s="200"/>
      <c r="AJ626" s="200"/>
      <c r="AK626" s="209"/>
      <c r="AL626" s="200"/>
      <c r="AM626" s="210"/>
      <c r="AN626" s="210"/>
    </row>
    <row r="627" spans="1:40" x14ac:dyDescent="0.25">
      <c r="A627" s="202"/>
      <c r="C627" s="154"/>
      <c r="J627" s="334"/>
      <c r="K627" s="334"/>
      <c r="T627" s="154"/>
      <c r="V627" s="200"/>
      <c r="W627" s="200"/>
      <c r="X627" s="200"/>
      <c r="Y627" s="200"/>
      <c r="Z627" s="329"/>
    </row>
    <row r="628" spans="1:40" x14ac:dyDescent="0.25">
      <c r="A628" s="202"/>
      <c r="C628" s="154"/>
      <c r="F628" s="252"/>
      <c r="H628" s="252"/>
      <c r="I628" s="252"/>
      <c r="J628" s="329"/>
      <c r="K628" s="329"/>
      <c r="L628" s="200"/>
      <c r="M628" s="200"/>
      <c r="N628" s="210"/>
      <c r="O628" s="210"/>
      <c r="P628" s="200"/>
      <c r="Q628" s="200"/>
      <c r="R628" s="200"/>
      <c r="T628" s="154"/>
      <c r="V628" s="200"/>
      <c r="W628" s="200"/>
      <c r="X628" s="200"/>
      <c r="Y628" s="200"/>
      <c r="Z628" s="329"/>
      <c r="AA628" s="200"/>
      <c r="AB628" s="200"/>
      <c r="AC628" s="210"/>
      <c r="AD628" s="210"/>
      <c r="AE628" s="200"/>
      <c r="AF628" s="200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A629" s="202"/>
      <c r="C629" s="154"/>
      <c r="J629" s="334"/>
      <c r="K629" s="334"/>
      <c r="T629" s="154"/>
      <c r="V629" s="200"/>
      <c r="W629" s="200"/>
      <c r="X629" s="200"/>
      <c r="Y629" s="200"/>
      <c r="Z629" s="329"/>
    </row>
    <row r="630" spans="1:40" x14ac:dyDescent="0.25">
      <c r="A630" s="202"/>
      <c r="C630" s="154"/>
      <c r="F630" s="252"/>
      <c r="H630" s="252"/>
      <c r="I630" s="252"/>
      <c r="J630" s="329"/>
      <c r="K630" s="329"/>
      <c r="L630" s="200"/>
      <c r="M630" s="200"/>
      <c r="N630" s="210"/>
      <c r="O630" s="210"/>
      <c r="P630" s="200"/>
      <c r="Q630" s="200"/>
      <c r="R630" s="200"/>
      <c r="T630" s="154"/>
      <c r="V630" s="200"/>
      <c r="W630" s="200"/>
      <c r="X630" s="200"/>
      <c r="Y630" s="200"/>
      <c r="Z630" s="329"/>
      <c r="AA630" s="200"/>
      <c r="AB630" s="200"/>
      <c r="AC630" s="210"/>
      <c r="AD630" s="210"/>
      <c r="AE630" s="200"/>
      <c r="AF630" s="200"/>
      <c r="AG630" s="209"/>
      <c r="AH630" s="201"/>
      <c r="AI630" s="200"/>
      <c r="AJ630" s="200"/>
      <c r="AK630" s="209"/>
      <c r="AL630" s="200"/>
      <c r="AM630" s="210"/>
      <c r="AN630" s="210"/>
    </row>
    <row r="631" spans="1:40" x14ac:dyDescent="0.25">
      <c r="F631" s="211"/>
      <c r="H631" s="211"/>
      <c r="I631" s="211"/>
      <c r="J631" s="329"/>
      <c r="K631" s="329"/>
      <c r="L631" s="211"/>
      <c r="M631" s="211"/>
      <c r="N631" s="211"/>
      <c r="O631" s="211"/>
      <c r="P631" s="211"/>
      <c r="Q631" s="211"/>
      <c r="R631" s="211"/>
      <c r="V631" s="211"/>
      <c r="Y631" s="211"/>
      <c r="Z631" s="329"/>
      <c r="AA631" s="211"/>
      <c r="AB631" s="211"/>
      <c r="AC631" s="211"/>
      <c r="AD631" s="211"/>
      <c r="AE631" s="211"/>
      <c r="AF631" s="211"/>
      <c r="AI631" s="211"/>
      <c r="AJ631" s="211"/>
      <c r="AK631" s="212"/>
      <c r="AL631" s="211"/>
      <c r="AM631" s="210"/>
      <c r="AN631" s="210"/>
    </row>
    <row r="632" spans="1:40" x14ac:dyDescent="0.25">
      <c r="A632" s="202"/>
      <c r="C632" s="154"/>
      <c r="F632" s="200"/>
      <c r="H632" s="200"/>
      <c r="I632" s="200"/>
      <c r="J632" s="334"/>
      <c r="K632" s="334"/>
      <c r="L632" s="200"/>
      <c r="M632" s="200"/>
      <c r="N632" s="210"/>
      <c r="O632" s="210"/>
      <c r="P632" s="252"/>
      <c r="Q632" s="252"/>
      <c r="R632" s="200"/>
      <c r="T632" s="154"/>
      <c r="V632" s="200"/>
      <c r="W632" s="200"/>
      <c r="X632" s="200"/>
      <c r="Y632" s="200"/>
      <c r="Z632" s="329"/>
      <c r="AA632" s="200"/>
      <c r="AB632" s="200"/>
      <c r="AC632" s="210"/>
      <c r="AD632" s="210"/>
      <c r="AE632" s="200"/>
      <c r="AF632" s="200"/>
      <c r="AG632" s="209"/>
      <c r="AH632" s="201"/>
      <c r="AI632" s="252"/>
      <c r="AJ632" s="252"/>
      <c r="AK632" s="209"/>
      <c r="AL632" s="200"/>
      <c r="AM632" s="210"/>
      <c r="AN632" s="210"/>
    </row>
    <row r="633" spans="1:40" x14ac:dyDescent="0.25">
      <c r="F633" s="211"/>
      <c r="H633" s="211"/>
      <c r="I633" s="211"/>
      <c r="J633" s="329"/>
      <c r="K633" s="329"/>
      <c r="L633" s="211"/>
      <c r="M633" s="211"/>
      <c r="N633" s="211"/>
      <c r="O633" s="211"/>
      <c r="P633" s="211"/>
      <c r="Q633" s="211"/>
      <c r="R633" s="211"/>
      <c r="V633" s="211"/>
      <c r="Y633" s="211"/>
      <c r="Z633" s="329"/>
      <c r="AA633" s="211"/>
      <c r="AB633" s="211"/>
      <c r="AC633" s="211"/>
      <c r="AD633" s="211"/>
      <c r="AE633" s="211"/>
      <c r="AF633" s="211"/>
      <c r="AI633" s="211"/>
      <c r="AJ633" s="211"/>
      <c r="AK633" s="212"/>
      <c r="AL633" s="211"/>
    </row>
    <row r="634" spans="1:40" x14ac:dyDescent="0.25">
      <c r="A634" s="202"/>
      <c r="C634" s="154"/>
      <c r="D634" s="154"/>
      <c r="E634" s="154"/>
      <c r="J634" s="334"/>
      <c r="K634" s="334"/>
      <c r="T634" s="154"/>
      <c r="U634" s="154"/>
      <c r="V634" s="200"/>
      <c r="W634" s="200"/>
      <c r="X634" s="200"/>
      <c r="Y634" s="200"/>
      <c r="Z634" s="329"/>
    </row>
    <row r="635" spans="1:40" x14ac:dyDescent="0.25">
      <c r="A635" s="202"/>
      <c r="C635" s="154"/>
      <c r="J635" s="334"/>
      <c r="K635" s="334"/>
      <c r="T635" s="154"/>
      <c r="V635" s="200"/>
      <c r="W635" s="200"/>
      <c r="X635" s="200"/>
      <c r="Y635" s="200"/>
      <c r="Z635" s="329"/>
    </row>
    <row r="636" spans="1:40" x14ac:dyDescent="0.25">
      <c r="A636" s="202"/>
      <c r="C636" s="154"/>
      <c r="J636" s="334"/>
      <c r="K636" s="334"/>
      <c r="T636" s="154"/>
      <c r="V636" s="200"/>
      <c r="W636" s="200"/>
      <c r="X636" s="200"/>
      <c r="Y636" s="200"/>
      <c r="Z636" s="329"/>
    </row>
    <row r="637" spans="1:40" x14ac:dyDescent="0.25">
      <c r="A637" s="202"/>
      <c r="C637" s="154"/>
      <c r="F637" s="252"/>
      <c r="H637" s="252"/>
      <c r="I637" s="252"/>
      <c r="J637" s="329"/>
      <c r="K637" s="329"/>
      <c r="L637" s="200"/>
      <c r="M637" s="200"/>
      <c r="N637" s="210"/>
      <c r="O637" s="210"/>
      <c r="P637" s="200"/>
      <c r="Q637" s="200"/>
      <c r="R637" s="200"/>
      <c r="T637" s="154"/>
      <c r="V637" s="200"/>
      <c r="W637" s="200"/>
      <c r="X637" s="200"/>
      <c r="Y637" s="200"/>
      <c r="Z637" s="329"/>
      <c r="AA637" s="200"/>
      <c r="AB637" s="200"/>
      <c r="AC637" s="210"/>
      <c r="AD637" s="210"/>
      <c r="AE637" s="200"/>
      <c r="AF637" s="200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A638" s="202"/>
      <c r="C638" s="154"/>
      <c r="J638" s="334"/>
      <c r="K638" s="334"/>
      <c r="T638" s="154"/>
      <c r="V638" s="200"/>
      <c r="W638" s="200"/>
      <c r="X638" s="200"/>
      <c r="Y638" s="200"/>
      <c r="Z638" s="329"/>
    </row>
    <row r="639" spans="1:40" x14ac:dyDescent="0.25">
      <c r="A639" s="202"/>
      <c r="C639" s="154"/>
      <c r="F639" s="252"/>
      <c r="H639" s="252"/>
      <c r="I639" s="252"/>
      <c r="J639" s="329"/>
      <c r="K639" s="329"/>
      <c r="L639" s="200"/>
      <c r="M639" s="200"/>
      <c r="N639" s="210"/>
      <c r="O639" s="210"/>
      <c r="P639" s="200"/>
      <c r="Q639" s="200"/>
      <c r="R639" s="200"/>
      <c r="T639" s="154"/>
      <c r="V639" s="200"/>
      <c r="W639" s="200"/>
      <c r="X639" s="200"/>
      <c r="Y639" s="200"/>
      <c r="Z639" s="329"/>
      <c r="AA639" s="200"/>
      <c r="AB639" s="200"/>
      <c r="AC639" s="210"/>
      <c r="AD639" s="210"/>
      <c r="AE639" s="200"/>
      <c r="AF639" s="200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F640" s="211"/>
      <c r="H640" s="211"/>
      <c r="I640" s="211"/>
      <c r="J640" s="329"/>
      <c r="K640" s="329"/>
      <c r="L640" s="211"/>
      <c r="M640" s="211"/>
      <c r="N640" s="211"/>
      <c r="O640" s="211"/>
      <c r="P640" s="211"/>
      <c r="Q640" s="211"/>
      <c r="R640" s="211"/>
      <c r="V640" s="211"/>
      <c r="Y640" s="211"/>
      <c r="Z640" s="305"/>
      <c r="AA640" s="211"/>
      <c r="AB640" s="211"/>
      <c r="AC640" s="211"/>
      <c r="AD640" s="211"/>
      <c r="AE640" s="211"/>
      <c r="AF640" s="211"/>
      <c r="AI640" s="211"/>
      <c r="AJ640" s="211"/>
      <c r="AK640" s="212"/>
      <c r="AL640" s="211"/>
    </row>
    <row r="641" spans="1:40" x14ac:dyDescent="0.25">
      <c r="A641" s="202"/>
      <c r="C641" s="154"/>
      <c r="F641" s="200"/>
      <c r="H641" s="200"/>
      <c r="I641" s="200"/>
      <c r="L641" s="200"/>
      <c r="M641" s="200"/>
      <c r="N641" s="210"/>
      <c r="O641" s="210"/>
      <c r="P641" s="252"/>
      <c r="Q641" s="252"/>
      <c r="R641" s="200"/>
      <c r="T641" s="154"/>
      <c r="V641" s="200"/>
      <c r="W641" s="200"/>
      <c r="X641" s="200"/>
      <c r="Y641" s="200"/>
      <c r="Z641" s="328"/>
      <c r="AA641" s="200"/>
      <c r="AB641" s="200"/>
      <c r="AC641" s="210"/>
      <c r="AD641" s="210"/>
      <c r="AE641" s="200"/>
      <c r="AF641" s="200"/>
      <c r="AG641" s="209"/>
      <c r="AH641" s="201"/>
      <c r="AI641" s="252"/>
      <c r="AJ641" s="252"/>
      <c r="AK641" s="209"/>
      <c r="AL641" s="200"/>
      <c r="AM641" s="210"/>
      <c r="AN641" s="210"/>
    </row>
    <row r="642" spans="1:40" x14ac:dyDescent="0.25">
      <c r="F642" s="211"/>
      <c r="H642" s="211"/>
      <c r="I642" s="211"/>
      <c r="J642" s="305"/>
      <c r="K642" s="305"/>
      <c r="L642" s="211"/>
      <c r="M642" s="211"/>
      <c r="N642" s="211"/>
      <c r="O642" s="211"/>
      <c r="P642" s="211"/>
      <c r="Q642" s="211"/>
      <c r="R642" s="211"/>
      <c r="V642" s="211"/>
      <c r="Y642" s="211"/>
      <c r="Z642" s="305"/>
      <c r="AA642" s="211"/>
      <c r="AB642" s="211"/>
      <c r="AC642" s="211"/>
      <c r="AD642" s="211"/>
      <c r="AE642" s="211"/>
      <c r="AF642" s="211"/>
      <c r="AI642" s="211"/>
      <c r="AJ642" s="211"/>
      <c r="AK642" s="212"/>
      <c r="AL642" s="211"/>
    </row>
    <row r="643" spans="1:40" x14ac:dyDescent="0.25">
      <c r="A643" s="202"/>
      <c r="C643" s="154"/>
      <c r="D643" s="154"/>
      <c r="E643" s="154"/>
      <c r="T643" s="154"/>
      <c r="U643" s="154"/>
      <c r="V643" s="200"/>
      <c r="W643" s="200"/>
      <c r="X643" s="200"/>
      <c r="Y643" s="200"/>
      <c r="Z643" s="328"/>
    </row>
    <row r="644" spans="1:40" x14ac:dyDescent="0.25">
      <c r="A644" s="202"/>
      <c r="C644" s="154"/>
      <c r="T644" s="154"/>
      <c r="V644" s="200"/>
      <c r="W644" s="200"/>
      <c r="X644" s="200"/>
      <c r="Y644" s="200"/>
      <c r="Z644" s="328"/>
    </row>
    <row r="645" spans="1:40" x14ac:dyDescent="0.25">
      <c r="A645" s="202"/>
      <c r="C645" s="154"/>
      <c r="F645" s="252"/>
      <c r="H645" s="252"/>
      <c r="I645" s="252"/>
      <c r="J645" s="328"/>
      <c r="K645" s="328"/>
      <c r="L645" s="200"/>
      <c r="M645" s="200"/>
      <c r="N645" s="210"/>
      <c r="O645" s="210"/>
      <c r="P645" s="200"/>
      <c r="Q645" s="200"/>
      <c r="R645" s="200"/>
      <c r="T645" s="154"/>
      <c r="V645" s="200"/>
      <c r="W645" s="200"/>
      <c r="X645" s="200"/>
      <c r="Y645" s="200"/>
      <c r="Z645" s="328"/>
      <c r="AA645" s="200"/>
      <c r="AB645" s="200"/>
      <c r="AC645" s="210"/>
      <c r="AD645" s="210"/>
      <c r="AE645" s="200"/>
      <c r="AF645" s="200"/>
      <c r="AG645" s="209"/>
      <c r="AH645" s="201"/>
      <c r="AI645" s="200"/>
      <c r="AJ645" s="200"/>
      <c r="AK645" s="209"/>
      <c r="AL645" s="200"/>
      <c r="AM645" s="210"/>
      <c r="AN645" s="210"/>
    </row>
    <row r="646" spans="1:40" x14ac:dyDescent="0.25">
      <c r="A646" s="202"/>
      <c r="C646" s="154"/>
      <c r="T646" s="154"/>
      <c r="V646" s="200"/>
      <c r="W646" s="200"/>
      <c r="X646" s="200"/>
      <c r="Y646" s="200"/>
      <c r="Z646" s="328"/>
    </row>
    <row r="647" spans="1:40" x14ac:dyDescent="0.25">
      <c r="A647" s="202"/>
      <c r="C647" s="154"/>
      <c r="F647" s="252"/>
      <c r="H647" s="252"/>
      <c r="I647" s="252"/>
      <c r="J647" s="328"/>
      <c r="K647" s="328"/>
      <c r="L647" s="200"/>
      <c r="M647" s="200"/>
      <c r="N647" s="210"/>
      <c r="O647" s="210"/>
      <c r="P647" s="200"/>
      <c r="Q647" s="200"/>
      <c r="R647" s="200"/>
      <c r="T647" s="154"/>
      <c r="V647" s="200"/>
      <c r="W647" s="200"/>
      <c r="X647" s="200"/>
      <c r="Y647" s="200"/>
      <c r="Z647" s="328"/>
      <c r="AA647" s="200"/>
      <c r="AB647" s="200"/>
      <c r="AC647" s="210"/>
      <c r="AD647" s="210"/>
      <c r="AE647" s="200"/>
      <c r="AF647" s="200"/>
      <c r="AG647" s="209"/>
      <c r="AH647" s="201"/>
      <c r="AI647" s="200"/>
      <c r="AJ647" s="200"/>
      <c r="AK647" s="209"/>
      <c r="AL647" s="200"/>
      <c r="AM647" s="210"/>
      <c r="AN647" s="210"/>
    </row>
    <row r="648" spans="1:40" x14ac:dyDescent="0.25">
      <c r="A648" s="202"/>
      <c r="C648" s="154"/>
      <c r="T648" s="154"/>
      <c r="V648" s="200"/>
      <c r="W648" s="200"/>
      <c r="X648" s="200"/>
      <c r="Y648" s="200"/>
      <c r="Z648" s="328"/>
    </row>
    <row r="649" spans="1:40" x14ac:dyDescent="0.25">
      <c r="A649" s="202"/>
      <c r="C649" s="154"/>
      <c r="F649" s="252"/>
      <c r="H649" s="252"/>
      <c r="I649" s="252"/>
      <c r="J649" s="328"/>
      <c r="K649" s="328"/>
      <c r="L649" s="200"/>
      <c r="M649" s="200"/>
      <c r="N649" s="210"/>
      <c r="O649" s="210"/>
      <c r="P649" s="200"/>
      <c r="Q649" s="200"/>
      <c r="R649" s="200"/>
      <c r="T649" s="154"/>
      <c r="V649" s="200"/>
      <c r="W649" s="200"/>
      <c r="X649" s="200"/>
      <c r="Y649" s="200"/>
      <c r="Z649" s="328"/>
      <c r="AA649" s="200"/>
      <c r="AB649" s="200"/>
      <c r="AC649" s="210"/>
      <c r="AD649" s="210"/>
      <c r="AE649" s="200"/>
      <c r="AF649" s="200"/>
      <c r="AG649" s="209"/>
      <c r="AH649" s="201"/>
      <c r="AI649" s="200"/>
      <c r="AJ649" s="200"/>
      <c r="AK649" s="209"/>
      <c r="AL649" s="200"/>
      <c r="AM649" s="210"/>
      <c r="AN649" s="210"/>
    </row>
    <row r="650" spans="1:40" x14ac:dyDescent="0.25">
      <c r="A650" s="202"/>
      <c r="C650" s="154"/>
      <c r="T650" s="154"/>
      <c r="V650" s="200"/>
      <c r="W650" s="200"/>
      <c r="X650" s="200"/>
      <c r="Y650" s="200"/>
      <c r="Z650" s="328"/>
    </row>
    <row r="651" spans="1:40" x14ac:dyDescent="0.25">
      <c r="A651" s="202"/>
      <c r="C651" s="154"/>
      <c r="F651" s="252"/>
      <c r="H651" s="252"/>
      <c r="I651" s="252"/>
      <c r="J651" s="328"/>
      <c r="K651" s="328"/>
      <c r="L651" s="200"/>
      <c r="M651" s="200"/>
      <c r="N651" s="210"/>
      <c r="O651" s="210"/>
      <c r="P651" s="200"/>
      <c r="Q651" s="200"/>
      <c r="R651" s="200"/>
      <c r="T651" s="154"/>
      <c r="V651" s="200"/>
      <c r="W651" s="200"/>
      <c r="X651" s="200"/>
      <c r="Y651" s="200"/>
      <c r="Z651" s="328"/>
      <c r="AA651" s="200"/>
      <c r="AB651" s="200"/>
      <c r="AC651" s="210"/>
      <c r="AD651" s="210"/>
      <c r="AE651" s="200"/>
      <c r="AF651" s="200"/>
      <c r="AG651" s="209"/>
      <c r="AH651" s="201"/>
      <c r="AI651" s="200"/>
      <c r="AJ651" s="200"/>
      <c r="AK651" s="209"/>
      <c r="AL651" s="200"/>
      <c r="AM651" s="210"/>
      <c r="AN651" s="210"/>
    </row>
    <row r="652" spans="1:40" x14ac:dyDescent="0.25">
      <c r="F652" s="211"/>
      <c r="H652" s="211"/>
      <c r="I652" s="211"/>
      <c r="J652" s="305"/>
      <c r="K652" s="305"/>
      <c r="L652" s="211"/>
      <c r="M652" s="211"/>
      <c r="N652" s="211"/>
      <c r="O652" s="211"/>
      <c r="P652" s="211"/>
      <c r="Q652" s="211"/>
      <c r="R652" s="211"/>
      <c r="V652" s="211"/>
      <c r="Y652" s="211"/>
      <c r="Z652" s="305"/>
      <c r="AA652" s="211"/>
      <c r="AB652" s="211"/>
      <c r="AC652" s="211"/>
      <c r="AD652" s="211"/>
      <c r="AE652" s="211"/>
      <c r="AF652" s="211"/>
      <c r="AI652" s="211"/>
      <c r="AJ652" s="211"/>
      <c r="AK652" s="212"/>
      <c r="AL652" s="211"/>
    </row>
    <row r="653" spans="1:40" x14ac:dyDescent="0.25">
      <c r="A653" s="202"/>
      <c r="C653" s="154"/>
      <c r="F653" s="200"/>
      <c r="H653" s="200"/>
      <c r="I653" s="200"/>
      <c r="L653" s="200"/>
      <c r="M653" s="200"/>
      <c r="N653" s="210"/>
      <c r="O653" s="210"/>
      <c r="P653" s="252"/>
      <c r="Q653" s="252"/>
      <c r="R653" s="200"/>
      <c r="T653" s="154"/>
      <c r="V653" s="200"/>
      <c r="W653" s="200"/>
      <c r="X653" s="200"/>
      <c r="Y653" s="200"/>
      <c r="Z653" s="328"/>
      <c r="AA653" s="200"/>
      <c r="AB653" s="200"/>
      <c r="AC653" s="210"/>
      <c r="AD653" s="210"/>
      <c r="AE653" s="200"/>
      <c r="AF653" s="200"/>
      <c r="AG653" s="209"/>
      <c r="AH653" s="201"/>
      <c r="AI653" s="252"/>
      <c r="AJ653" s="252"/>
      <c r="AK653" s="209"/>
      <c r="AL653" s="200"/>
      <c r="AM653" s="210"/>
      <c r="AN653" s="210"/>
    </row>
    <row r="654" spans="1:40" x14ac:dyDescent="0.25">
      <c r="F654" s="211"/>
      <c r="H654" s="211"/>
      <c r="I654" s="211"/>
      <c r="J654" s="305"/>
      <c r="K654" s="305"/>
      <c r="L654" s="211"/>
      <c r="M654" s="211"/>
      <c r="N654" s="211"/>
      <c r="O654" s="211"/>
      <c r="P654" s="211"/>
      <c r="Q654" s="211"/>
      <c r="R654" s="211"/>
      <c r="V654" s="211"/>
      <c r="Y654" s="211"/>
      <c r="Z654" s="305"/>
      <c r="AA654" s="211"/>
      <c r="AB654" s="211"/>
      <c r="AC654" s="211"/>
      <c r="AD654" s="211"/>
      <c r="AE654" s="211"/>
      <c r="AF654" s="211"/>
      <c r="AI654" s="211"/>
      <c r="AJ654" s="211"/>
      <c r="AK654" s="212"/>
      <c r="AL654" s="211"/>
    </row>
    <row r="655" spans="1:40" x14ac:dyDescent="0.25">
      <c r="A655" s="202"/>
      <c r="C655" s="154"/>
      <c r="F655" s="200"/>
      <c r="H655" s="200"/>
      <c r="I655" s="200"/>
      <c r="L655" s="200"/>
      <c r="M655" s="200"/>
      <c r="N655" s="210"/>
      <c r="O655" s="210"/>
      <c r="P655" s="200"/>
      <c r="Q655" s="200"/>
      <c r="R655" s="200"/>
      <c r="T655" s="154"/>
      <c r="V655" s="200"/>
      <c r="W655" s="200"/>
      <c r="X655" s="200"/>
      <c r="Y655" s="200"/>
      <c r="AA655" s="200"/>
      <c r="AB655" s="200"/>
      <c r="AC655" s="210"/>
      <c r="AD655" s="210"/>
      <c r="AE655" s="200"/>
      <c r="AF655" s="200"/>
      <c r="AG655" s="209"/>
      <c r="AH655" s="201"/>
      <c r="AI655" s="200"/>
      <c r="AJ655" s="200"/>
      <c r="AK655" s="209"/>
      <c r="AL655" s="200"/>
      <c r="AM655" s="201"/>
      <c r="AN655" s="201"/>
    </row>
    <row r="656" spans="1:40" x14ac:dyDescent="0.25">
      <c r="F656" s="211"/>
      <c r="H656" s="211"/>
      <c r="I656" s="211"/>
      <c r="J656" s="305"/>
      <c r="K656" s="305"/>
      <c r="L656" s="211"/>
      <c r="M656" s="211"/>
      <c r="N656" s="211"/>
      <c r="O656" s="211"/>
      <c r="P656" s="211"/>
      <c r="Q656" s="211"/>
      <c r="R656" s="211"/>
      <c r="V656" s="211"/>
      <c r="Y656" s="211"/>
      <c r="Z656" s="305"/>
      <c r="AA656" s="211"/>
      <c r="AB656" s="211"/>
      <c r="AC656" s="211"/>
      <c r="AD656" s="211"/>
      <c r="AE656" s="211"/>
      <c r="AF656" s="211"/>
      <c r="AI656" s="211"/>
      <c r="AJ656" s="211"/>
      <c r="AK656" s="212"/>
      <c r="AL656" s="211"/>
    </row>
    <row r="658" spans="1:40" x14ac:dyDescent="0.25">
      <c r="C658" s="202"/>
      <c r="T658" s="202"/>
    </row>
    <row r="659" spans="1:40" x14ac:dyDescent="0.25">
      <c r="A659" s="154"/>
    </row>
    <row r="660" spans="1:40" x14ac:dyDescent="0.25">
      <c r="J660" s="202"/>
      <c r="K660" s="202"/>
      <c r="Z660" s="202"/>
    </row>
    <row r="661" spans="1:40" x14ac:dyDescent="0.25">
      <c r="H661" s="154"/>
      <c r="I661" s="154"/>
      <c r="Y661" s="154"/>
    </row>
    <row r="662" spans="1:40" x14ac:dyDescent="0.25">
      <c r="J662" s="202"/>
      <c r="K662" s="202"/>
      <c r="Z662" s="202"/>
    </row>
    <row r="663" spans="1:40" x14ac:dyDescent="0.25">
      <c r="L663" s="154"/>
      <c r="M663" s="154"/>
      <c r="AA663" s="154"/>
      <c r="AB663" s="154"/>
    </row>
    <row r="664" spans="1:40" x14ac:dyDescent="0.25">
      <c r="A664" s="202"/>
      <c r="R664" s="154"/>
      <c r="AK664" s="297"/>
      <c r="AL664" s="154"/>
    </row>
    <row r="665" spans="1:40" x14ac:dyDescent="0.25">
      <c r="A665" s="202"/>
      <c r="R665" s="154"/>
      <c r="AK665" s="297"/>
      <c r="AL665" s="154"/>
    </row>
    <row r="666" spans="1:40" x14ac:dyDescent="0.25">
      <c r="A666" s="154"/>
      <c r="R666" s="154"/>
      <c r="AK666" s="297"/>
      <c r="AL666" s="154"/>
    </row>
    <row r="667" spans="1:40" x14ac:dyDescent="0.25">
      <c r="L667" s="154"/>
      <c r="M667" s="154"/>
      <c r="R667" s="202"/>
      <c r="AA667" s="154"/>
      <c r="AB667" s="154"/>
      <c r="AK667" s="209"/>
      <c r="AL667" s="202"/>
    </row>
    <row r="668" spans="1:40" x14ac:dyDescent="0.2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208"/>
      <c r="AH668" s="102"/>
      <c r="AI668" s="102"/>
      <c r="AJ668" s="102"/>
      <c r="AK668" s="208"/>
      <c r="AL668" s="102"/>
      <c r="AM668" s="102"/>
      <c r="AN668" s="102"/>
    </row>
    <row r="669" spans="1:40" x14ac:dyDescent="0.25">
      <c r="L669" s="103"/>
      <c r="M669" s="103"/>
      <c r="N669" s="103"/>
      <c r="O669" s="103"/>
      <c r="R669" s="103"/>
      <c r="AA669" s="103"/>
      <c r="AB669" s="103"/>
      <c r="AC669" s="103"/>
      <c r="AD669" s="103"/>
      <c r="AE669" s="103"/>
      <c r="AF669" s="103"/>
      <c r="AG669" s="185"/>
      <c r="AH669" s="103"/>
      <c r="AK669" s="185"/>
      <c r="AL669" s="103"/>
      <c r="AM669" s="103"/>
      <c r="AN669" s="103"/>
    </row>
    <row r="670" spans="1:40" x14ac:dyDescent="0.25">
      <c r="L670" s="103"/>
      <c r="M670" s="103"/>
      <c r="N670" s="103"/>
      <c r="O670" s="103"/>
      <c r="R670" s="103"/>
      <c r="Z670" s="103"/>
      <c r="AA670" s="103"/>
      <c r="AB670" s="103"/>
      <c r="AC670" s="103"/>
      <c r="AD670" s="103"/>
      <c r="AE670" s="103"/>
      <c r="AF670" s="103"/>
      <c r="AG670" s="185"/>
      <c r="AH670" s="103"/>
      <c r="AK670" s="185"/>
      <c r="AL670" s="103"/>
      <c r="AM670" s="103"/>
      <c r="AN670" s="103"/>
    </row>
    <row r="671" spans="1:40" x14ac:dyDescent="0.25">
      <c r="A671" s="103"/>
      <c r="C671" s="103"/>
      <c r="D671" s="103"/>
      <c r="E671" s="103"/>
      <c r="F671" s="103"/>
      <c r="J671" s="103"/>
      <c r="K671" s="103"/>
      <c r="L671" s="103"/>
      <c r="M671" s="103"/>
      <c r="N671" s="103"/>
      <c r="O671" s="103"/>
      <c r="P671" s="103"/>
      <c r="Q671" s="103"/>
      <c r="R671" s="103"/>
      <c r="T671" s="103"/>
      <c r="U671" s="103"/>
      <c r="V671" s="103"/>
      <c r="Z671" s="103"/>
      <c r="AA671" s="103"/>
      <c r="AB671" s="103"/>
      <c r="AC671" s="103"/>
      <c r="AD671" s="103"/>
      <c r="AE671" s="103"/>
      <c r="AF671" s="103"/>
      <c r="AG671" s="185"/>
      <c r="AH671" s="103"/>
      <c r="AI671" s="103"/>
      <c r="AJ671" s="103"/>
      <c r="AK671" s="185"/>
      <c r="AL671" s="103"/>
      <c r="AM671" s="103"/>
      <c r="AN671" s="103"/>
    </row>
    <row r="672" spans="1:40" x14ac:dyDescent="0.25">
      <c r="A672" s="103"/>
      <c r="C672" s="103"/>
      <c r="D672" s="103"/>
      <c r="E672" s="103"/>
      <c r="F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T672" s="103"/>
      <c r="U672" s="103"/>
      <c r="V672" s="103"/>
      <c r="Y672" s="103"/>
      <c r="Z672" s="103"/>
      <c r="AA672" s="103"/>
      <c r="AB672" s="103"/>
      <c r="AC672" s="103"/>
      <c r="AD672" s="103"/>
      <c r="AE672" s="103"/>
      <c r="AF672" s="103"/>
      <c r="AG672" s="185"/>
      <c r="AH672" s="103"/>
      <c r="AI672" s="103"/>
      <c r="AJ672" s="103"/>
      <c r="AK672" s="185"/>
      <c r="AL672" s="103"/>
      <c r="AM672" s="103"/>
      <c r="AN672" s="103"/>
    </row>
    <row r="673" spans="1:40" x14ac:dyDescent="0.25">
      <c r="C673" s="103"/>
      <c r="D673" s="103"/>
      <c r="E673" s="103"/>
      <c r="F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T673" s="103"/>
      <c r="U673" s="103"/>
      <c r="V673" s="103"/>
      <c r="Y673" s="103"/>
      <c r="Z673" s="103"/>
      <c r="AA673" s="103"/>
      <c r="AB673" s="103"/>
      <c r="AC673" s="103"/>
      <c r="AD673" s="103"/>
      <c r="AE673" s="103"/>
      <c r="AF673" s="103"/>
      <c r="AG673" s="185"/>
      <c r="AH673" s="103"/>
      <c r="AI673" s="103"/>
      <c r="AJ673" s="103"/>
      <c r="AK673" s="185"/>
      <c r="AL673" s="103"/>
      <c r="AM673" s="103"/>
      <c r="AN673" s="103"/>
    </row>
    <row r="674" spans="1:40" x14ac:dyDescent="0.25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208"/>
      <c r="AH674" s="102"/>
      <c r="AI674" s="102"/>
      <c r="AJ674" s="102"/>
      <c r="AK674" s="208"/>
      <c r="AL674" s="102"/>
      <c r="AM674" s="102"/>
      <c r="AN674" s="102"/>
    </row>
    <row r="675" spans="1:40" x14ac:dyDescent="0.25"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Y675" s="103"/>
      <c r="Z675" s="103"/>
      <c r="AA675" s="103"/>
      <c r="AB675" s="103"/>
      <c r="AC675" s="103"/>
      <c r="AD675" s="103"/>
      <c r="AE675" s="103"/>
      <c r="AF675" s="103"/>
      <c r="AG675" s="185"/>
      <c r="AH675" s="103"/>
      <c r="AI675" s="103"/>
      <c r="AJ675" s="103"/>
      <c r="AK675" s="185"/>
      <c r="AL675" s="103"/>
      <c r="AM675" s="103"/>
      <c r="AN675" s="103"/>
    </row>
    <row r="676" spans="1:40" x14ac:dyDescent="0.25">
      <c r="A676" s="202"/>
      <c r="C676" s="154"/>
      <c r="D676" s="154"/>
      <c r="E676" s="154"/>
      <c r="F676" s="200"/>
      <c r="H676" s="200"/>
      <c r="I676" s="200"/>
      <c r="J676" s="213"/>
      <c r="K676" s="213"/>
      <c r="L676" s="200"/>
      <c r="M676" s="200"/>
      <c r="N676" s="213"/>
      <c r="O676" s="213"/>
      <c r="P676" s="200"/>
      <c r="Q676" s="200"/>
      <c r="R676" s="200"/>
      <c r="T676" s="154"/>
      <c r="U676" s="154"/>
      <c r="V676" s="200"/>
      <c r="Y676" s="200"/>
      <c r="Z676" s="213"/>
      <c r="AA676" s="200"/>
      <c r="AB676" s="200"/>
      <c r="AC676" s="213"/>
      <c r="AD676" s="213"/>
      <c r="AE676" s="200"/>
      <c r="AF676" s="200"/>
      <c r="AG676" s="209"/>
      <c r="AH676" s="201"/>
      <c r="AI676" s="200"/>
      <c r="AJ676" s="200"/>
      <c r="AK676" s="209"/>
      <c r="AL676" s="200"/>
      <c r="AM676" s="210"/>
      <c r="AN676" s="210"/>
    </row>
    <row r="677" spans="1:40" x14ac:dyDescent="0.25">
      <c r="F677" s="211"/>
      <c r="H677" s="211"/>
      <c r="I677" s="211"/>
      <c r="J677" s="305"/>
      <c r="K677" s="305"/>
      <c r="L677" s="211"/>
      <c r="M677" s="211"/>
      <c r="N677" s="211"/>
      <c r="O677" s="211"/>
      <c r="P677" s="211"/>
      <c r="Q677" s="211"/>
      <c r="R677" s="211"/>
      <c r="V677" s="211"/>
      <c r="Y677" s="211"/>
      <c r="Z677" s="305"/>
      <c r="AA677" s="211"/>
      <c r="AB677" s="211"/>
      <c r="AC677" s="211"/>
      <c r="AD677" s="211"/>
      <c r="AE677" s="211"/>
      <c r="AF677" s="211"/>
      <c r="AI677" s="211"/>
      <c r="AJ677" s="211"/>
      <c r="AK677" s="212"/>
      <c r="AL677" s="211"/>
      <c r="AM677" s="210"/>
      <c r="AN677" s="210"/>
    </row>
    <row r="678" spans="1:40" x14ac:dyDescent="0.25">
      <c r="A678" s="202"/>
      <c r="C678" s="154"/>
      <c r="F678" s="200"/>
      <c r="H678" s="200"/>
      <c r="I678" s="200"/>
      <c r="J678" s="213"/>
      <c r="K678" s="213"/>
      <c r="L678" s="200"/>
      <c r="M678" s="200"/>
      <c r="N678" s="213"/>
      <c r="O678" s="213"/>
      <c r="P678" s="200"/>
      <c r="Q678" s="200"/>
      <c r="R678" s="200"/>
      <c r="T678" s="154"/>
      <c r="V678" s="200"/>
      <c r="Y678" s="200"/>
      <c r="Z678" s="213"/>
      <c r="AA678" s="200"/>
      <c r="AB678" s="200"/>
      <c r="AC678" s="213"/>
      <c r="AD678" s="213"/>
      <c r="AE678" s="200"/>
      <c r="AF678" s="200"/>
      <c r="AG678" s="209"/>
      <c r="AH678" s="201"/>
      <c r="AI678" s="200"/>
      <c r="AJ678" s="200"/>
      <c r="AK678" s="209"/>
      <c r="AL678" s="200"/>
      <c r="AM678" s="210"/>
      <c r="AN678" s="210"/>
    </row>
    <row r="679" spans="1:40" x14ac:dyDescent="0.25">
      <c r="F679" s="200"/>
      <c r="H679" s="200"/>
      <c r="I679" s="200"/>
      <c r="J679" s="213"/>
      <c r="K679" s="213"/>
      <c r="L679" s="200"/>
      <c r="M679" s="200"/>
      <c r="N679" s="213"/>
      <c r="O679" s="213"/>
      <c r="P679" s="200"/>
      <c r="Q679" s="200"/>
      <c r="R679" s="200"/>
      <c r="V679" s="200"/>
      <c r="Y679" s="200"/>
      <c r="Z679" s="213"/>
      <c r="AA679" s="200"/>
      <c r="AB679" s="200"/>
      <c r="AC679" s="213"/>
      <c r="AD679" s="213"/>
      <c r="AG679" s="209"/>
      <c r="AH679" s="201"/>
      <c r="AI679" s="200"/>
      <c r="AJ679" s="200"/>
      <c r="AK679" s="209"/>
      <c r="AL679" s="200"/>
      <c r="AM679" s="210"/>
      <c r="AN679" s="210"/>
    </row>
    <row r="680" spans="1:40" x14ac:dyDescent="0.25">
      <c r="A680" s="202"/>
      <c r="C680" s="154"/>
      <c r="D680" s="154"/>
      <c r="E680" s="154"/>
      <c r="F680" s="200"/>
      <c r="H680" s="200"/>
      <c r="I680" s="200"/>
      <c r="J680" s="213"/>
      <c r="K680" s="213"/>
      <c r="L680" s="200"/>
      <c r="M680" s="200"/>
      <c r="N680" s="213"/>
      <c r="O680" s="213"/>
      <c r="P680" s="200"/>
      <c r="Q680" s="200"/>
      <c r="R680" s="200"/>
      <c r="T680" s="154"/>
      <c r="U680" s="154"/>
      <c r="V680" s="200"/>
      <c r="Y680" s="200"/>
      <c r="Z680" s="213"/>
      <c r="AA680" s="200"/>
      <c r="AB680" s="200"/>
      <c r="AC680" s="213"/>
      <c r="AD680" s="213"/>
      <c r="AE680" s="200"/>
      <c r="AF680" s="200"/>
      <c r="AG680" s="209"/>
      <c r="AH680" s="201"/>
      <c r="AI680" s="200"/>
      <c r="AJ680" s="200"/>
      <c r="AK680" s="209"/>
      <c r="AL680" s="200"/>
      <c r="AM680" s="210"/>
      <c r="AN680" s="210"/>
    </row>
    <row r="681" spans="1:40" x14ac:dyDescent="0.25">
      <c r="A681" s="202"/>
      <c r="C681" s="154"/>
      <c r="D681" s="154"/>
      <c r="E681" s="154"/>
      <c r="F681" s="200"/>
      <c r="H681" s="200"/>
      <c r="I681" s="200"/>
      <c r="J681" s="213"/>
      <c r="K681" s="213"/>
      <c r="L681" s="200"/>
      <c r="M681" s="200"/>
      <c r="N681" s="213"/>
      <c r="O681" s="213"/>
      <c r="P681" s="200"/>
      <c r="Q681" s="200"/>
      <c r="R681" s="200"/>
      <c r="T681" s="154"/>
      <c r="U681" s="154"/>
      <c r="V681" s="200"/>
      <c r="Y681" s="200"/>
      <c r="Z681" s="213"/>
      <c r="AA681" s="200"/>
      <c r="AB681" s="200"/>
      <c r="AC681" s="213"/>
      <c r="AD681" s="213"/>
      <c r="AE681" s="200"/>
      <c r="AF681" s="200"/>
      <c r="AG681" s="209"/>
      <c r="AH681" s="201"/>
      <c r="AI681" s="200"/>
      <c r="AJ681" s="200"/>
      <c r="AK681" s="209"/>
      <c r="AL681" s="200"/>
      <c r="AM681" s="210"/>
      <c r="AN681" s="210"/>
    </row>
    <row r="682" spans="1:40" x14ac:dyDescent="0.25">
      <c r="A682" s="202"/>
      <c r="C682" s="154"/>
      <c r="D682" s="154"/>
      <c r="E682" s="154"/>
      <c r="F682" s="200"/>
      <c r="H682" s="200"/>
      <c r="I682" s="200"/>
      <c r="J682" s="213"/>
      <c r="K682" s="213"/>
      <c r="L682" s="200"/>
      <c r="M682" s="200"/>
      <c r="N682" s="213"/>
      <c r="O682" s="213"/>
      <c r="P682" s="200"/>
      <c r="Q682" s="200"/>
      <c r="R682" s="200"/>
      <c r="T682" s="154"/>
      <c r="U682" s="154"/>
      <c r="V682" s="200"/>
      <c r="Y682" s="200"/>
      <c r="Z682" s="213"/>
      <c r="AA682" s="200"/>
      <c r="AB682" s="200"/>
      <c r="AC682" s="213"/>
      <c r="AD682" s="213"/>
      <c r="AE682" s="200"/>
      <c r="AF682" s="200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A683" s="202"/>
      <c r="C683" s="154"/>
      <c r="D683" s="154"/>
      <c r="E683" s="154"/>
      <c r="F683" s="200"/>
      <c r="H683" s="200"/>
      <c r="I683" s="200"/>
      <c r="J683" s="213"/>
      <c r="K683" s="213"/>
      <c r="L683" s="200"/>
      <c r="M683" s="200"/>
      <c r="N683" s="213"/>
      <c r="O683" s="213"/>
      <c r="P683" s="200"/>
      <c r="Q683" s="200"/>
      <c r="R683" s="200"/>
      <c r="T683" s="154"/>
      <c r="U683" s="154"/>
      <c r="V683" s="200"/>
      <c r="Y683" s="200"/>
      <c r="Z683" s="213"/>
      <c r="AA683" s="200"/>
      <c r="AB683" s="200"/>
      <c r="AC683" s="213"/>
      <c r="AD683" s="213"/>
      <c r="AE683" s="200"/>
      <c r="AF683" s="200"/>
      <c r="AG683" s="209"/>
      <c r="AH683" s="201"/>
      <c r="AI683" s="200"/>
      <c r="AJ683" s="200"/>
      <c r="AK683" s="209"/>
      <c r="AL683" s="200"/>
      <c r="AM683" s="210"/>
      <c r="AN683" s="210"/>
    </row>
    <row r="684" spans="1:40" x14ac:dyDescent="0.25">
      <c r="A684" s="202"/>
      <c r="C684" s="154"/>
      <c r="D684" s="154"/>
      <c r="E684" s="154"/>
      <c r="F684" s="200"/>
      <c r="H684" s="200"/>
      <c r="I684" s="200"/>
      <c r="J684" s="213"/>
      <c r="K684" s="213"/>
      <c r="L684" s="200"/>
      <c r="M684" s="200"/>
      <c r="N684" s="213"/>
      <c r="O684" s="213"/>
      <c r="P684" s="200"/>
      <c r="Q684" s="200"/>
      <c r="R684" s="200"/>
      <c r="T684" s="154"/>
      <c r="U684" s="154"/>
      <c r="V684" s="200"/>
      <c r="Y684" s="200"/>
      <c r="Z684" s="213"/>
      <c r="AA684" s="200"/>
      <c r="AB684" s="200"/>
      <c r="AC684" s="213"/>
      <c r="AD684" s="213"/>
      <c r="AE684" s="200"/>
      <c r="AF684" s="200"/>
      <c r="AG684" s="209"/>
      <c r="AH684" s="201"/>
      <c r="AI684" s="200"/>
      <c r="AJ684" s="200"/>
      <c r="AK684" s="209"/>
      <c r="AL684" s="200"/>
      <c r="AM684" s="210"/>
      <c r="AN684" s="210"/>
    </row>
    <row r="685" spans="1:40" x14ac:dyDescent="0.25">
      <c r="A685" s="202"/>
      <c r="C685" s="154"/>
      <c r="D685" s="154"/>
      <c r="E685" s="154"/>
      <c r="F685" s="200"/>
      <c r="H685" s="200"/>
      <c r="I685" s="200"/>
      <c r="J685" s="213"/>
      <c r="K685" s="213"/>
      <c r="L685" s="200"/>
      <c r="M685" s="200"/>
      <c r="N685" s="213"/>
      <c r="O685" s="213"/>
      <c r="P685" s="200"/>
      <c r="Q685" s="200"/>
      <c r="R685" s="200"/>
      <c r="T685" s="154"/>
      <c r="U685" s="154"/>
      <c r="V685" s="200"/>
      <c r="Y685" s="200"/>
      <c r="Z685" s="213"/>
      <c r="AA685" s="200"/>
      <c r="AB685" s="200"/>
      <c r="AC685" s="213"/>
      <c r="AD685" s="213"/>
      <c r="AE685" s="200"/>
      <c r="AF685" s="200"/>
      <c r="AG685" s="209"/>
      <c r="AH685" s="201"/>
      <c r="AI685" s="200"/>
      <c r="AJ685" s="200"/>
      <c r="AK685" s="209"/>
      <c r="AL685" s="200"/>
      <c r="AM685" s="210"/>
      <c r="AN685" s="210"/>
    </row>
    <row r="686" spans="1:40" x14ac:dyDescent="0.25">
      <c r="F686" s="211"/>
      <c r="H686" s="211"/>
      <c r="I686" s="211"/>
      <c r="J686" s="305"/>
      <c r="K686" s="305"/>
      <c r="L686" s="211"/>
      <c r="M686" s="211"/>
      <c r="N686" s="211"/>
      <c r="O686" s="211"/>
      <c r="P686" s="211"/>
      <c r="Q686" s="211"/>
      <c r="R686" s="211"/>
      <c r="V686" s="211"/>
      <c r="Y686" s="211"/>
      <c r="Z686" s="305"/>
      <c r="AA686" s="211"/>
      <c r="AB686" s="211"/>
      <c r="AC686" s="211"/>
      <c r="AD686" s="211"/>
      <c r="AE686" s="211"/>
      <c r="AF686" s="211"/>
      <c r="AI686" s="211"/>
      <c r="AJ686" s="211"/>
      <c r="AK686" s="212"/>
      <c r="AL686" s="211"/>
      <c r="AM686" s="210"/>
      <c r="AN686" s="210"/>
    </row>
    <row r="687" spans="1:40" x14ac:dyDescent="0.25">
      <c r="A687" s="202"/>
      <c r="C687" s="154"/>
      <c r="F687" s="200"/>
      <c r="H687" s="200"/>
      <c r="I687" s="200"/>
      <c r="J687" s="213"/>
      <c r="K687" s="213"/>
      <c r="L687" s="200"/>
      <c r="M687" s="200"/>
      <c r="N687" s="213"/>
      <c r="O687" s="213"/>
      <c r="P687" s="200"/>
      <c r="Q687" s="200"/>
      <c r="R687" s="200"/>
      <c r="T687" s="154"/>
      <c r="V687" s="200"/>
      <c r="Y687" s="200"/>
      <c r="Z687" s="213"/>
      <c r="AA687" s="200"/>
      <c r="AB687" s="200"/>
      <c r="AC687" s="213"/>
      <c r="AD687" s="213"/>
      <c r="AE687" s="200"/>
      <c r="AF687" s="200"/>
      <c r="AG687" s="209"/>
      <c r="AH687" s="201"/>
      <c r="AI687" s="200"/>
      <c r="AJ687" s="200"/>
      <c r="AK687" s="209"/>
      <c r="AL687" s="200"/>
      <c r="AM687" s="210"/>
      <c r="AN687" s="210"/>
    </row>
    <row r="688" spans="1:40" x14ac:dyDescent="0.25">
      <c r="F688" s="200"/>
      <c r="H688" s="200"/>
      <c r="I688" s="200"/>
      <c r="J688" s="213"/>
      <c r="K688" s="213"/>
      <c r="L688" s="200"/>
      <c r="M688" s="200"/>
      <c r="N688" s="213"/>
      <c r="O688" s="213"/>
      <c r="P688" s="200"/>
      <c r="Q688" s="200"/>
      <c r="R688" s="200"/>
      <c r="V688" s="200"/>
      <c r="Y688" s="200"/>
      <c r="Z688" s="213"/>
      <c r="AA688" s="200"/>
      <c r="AB688" s="200"/>
      <c r="AC688" s="213"/>
      <c r="AD688" s="213"/>
      <c r="AG688" s="209"/>
      <c r="AH688" s="201"/>
      <c r="AI688" s="200"/>
      <c r="AJ688" s="200"/>
      <c r="AK688" s="209"/>
      <c r="AL688" s="200"/>
      <c r="AM688" s="210"/>
      <c r="AN688" s="210"/>
    </row>
    <row r="689" spans="1:40" x14ac:dyDescent="0.25">
      <c r="A689" s="202"/>
      <c r="C689" s="154"/>
      <c r="D689" s="154"/>
      <c r="E689" s="154"/>
      <c r="F689" s="200"/>
      <c r="H689" s="200"/>
      <c r="I689" s="200"/>
      <c r="J689" s="213"/>
      <c r="K689" s="213"/>
      <c r="L689" s="200"/>
      <c r="M689" s="200"/>
      <c r="N689" s="213"/>
      <c r="O689" s="213"/>
      <c r="P689" s="200"/>
      <c r="Q689" s="200"/>
      <c r="R689" s="200"/>
      <c r="T689" s="154"/>
      <c r="U689" s="154"/>
      <c r="V689" s="200"/>
      <c r="Y689" s="200"/>
      <c r="Z689" s="213"/>
      <c r="AA689" s="200"/>
      <c r="AB689" s="200"/>
      <c r="AC689" s="213"/>
      <c r="AD689" s="213"/>
      <c r="AE689" s="200"/>
      <c r="AF689" s="200"/>
      <c r="AG689" s="209"/>
      <c r="AH689" s="201"/>
      <c r="AI689" s="200"/>
      <c r="AJ689" s="200"/>
      <c r="AK689" s="209"/>
      <c r="AL689" s="200"/>
      <c r="AM689" s="210"/>
      <c r="AN689" s="210"/>
    </row>
    <row r="690" spans="1:40" x14ac:dyDescent="0.25">
      <c r="F690" s="211"/>
      <c r="H690" s="211"/>
      <c r="I690" s="211"/>
      <c r="J690" s="305"/>
      <c r="K690" s="305"/>
      <c r="L690" s="211"/>
      <c r="M690" s="211"/>
      <c r="N690" s="211"/>
      <c r="O690" s="211"/>
      <c r="P690" s="211"/>
      <c r="Q690" s="211"/>
      <c r="R690" s="211"/>
      <c r="V690" s="211"/>
      <c r="Y690" s="211"/>
      <c r="Z690" s="305"/>
      <c r="AA690" s="211"/>
      <c r="AB690" s="211"/>
      <c r="AC690" s="211"/>
      <c r="AD690" s="211"/>
      <c r="AE690" s="211"/>
      <c r="AF690" s="211"/>
      <c r="AI690" s="211"/>
      <c r="AJ690" s="211"/>
      <c r="AK690" s="212"/>
      <c r="AL690" s="211"/>
      <c r="AM690" s="210"/>
      <c r="AN690" s="210"/>
    </row>
    <row r="691" spans="1:40" x14ac:dyDescent="0.25">
      <c r="A691" s="202"/>
      <c r="C691" s="154"/>
      <c r="F691" s="200"/>
      <c r="H691" s="200"/>
      <c r="I691" s="200"/>
      <c r="J691" s="213"/>
      <c r="K691" s="213"/>
      <c r="L691" s="200"/>
      <c r="M691" s="200"/>
      <c r="N691" s="213"/>
      <c r="O691" s="213"/>
      <c r="P691" s="200"/>
      <c r="Q691" s="200"/>
      <c r="R691" s="200"/>
      <c r="T691" s="154"/>
      <c r="V691" s="200"/>
      <c r="Y691" s="200"/>
      <c r="Z691" s="213"/>
      <c r="AA691" s="200"/>
      <c r="AB691" s="200"/>
      <c r="AC691" s="213"/>
      <c r="AD691" s="213"/>
      <c r="AE691" s="200"/>
      <c r="AF691" s="200"/>
      <c r="AG691" s="209"/>
      <c r="AH691" s="201"/>
      <c r="AI691" s="200"/>
      <c r="AJ691" s="200"/>
      <c r="AK691" s="209"/>
      <c r="AL691" s="200"/>
      <c r="AM691" s="210"/>
      <c r="AN691" s="210"/>
    </row>
    <row r="692" spans="1:40" x14ac:dyDescent="0.25">
      <c r="F692" s="200"/>
      <c r="H692" s="200"/>
      <c r="I692" s="200"/>
      <c r="J692" s="213"/>
      <c r="K692" s="213"/>
      <c r="L692" s="200"/>
      <c r="M692" s="200"/>
      <c r="N692" s="213"/>
      <c r="O692" s="213"/>
      <c r="P692" s="200"/>
      <c r="Q692" s="200"/>
      <c r="R692" s="200"/>
      <c r="V692" s="200"/>
      <c r="Y692" s="200"/>
      <c r="Z692" s="213"/>
      <c r="AA692" s="200"/>
      <c r="AB692" s="200"/>
      <c r="AC692" s="213"/>
      <c r="AD692" s="213"/>
      <c r="AG692" s="209"/>
      <c r="AH692" s="201"/>
      <c r="AI692" s="200"/>
      <c r="AJ692" s="200"/>
      <c r="AK692" s="209"/>
      <c r="AL692" s="200"/>
      <c r="AM692" s="210"/>
      <c r="AN692" s="210"/>
    </row>
    <row r="693" spans="1:40" x14ac:dyDescent="0.25">
      <c r="A693" s="202"/>
      <c r="C693" s="154"/>
      <c r="D693" s="154"/>
      <c r="E693" s="154"/>
      <c r="F693" s="200"/>
      <c r="H693" s="200"/>
      <c r="I693" s="200"/>
      <c r="J693" s="213"/>
      <c r="K693" s="213"/>
      <c r="L693" s="200"/>
      <c r="M693" s="200"/>
      <c r="N693" s="213"/>
      <c r="O693" s="213"/>
      <c r="P693" s="200"/>
      <c r="Q693" s="200"/>
      <c r="R693" s="200"/>
      <c r="T693" s="154"/>
      <c r="U693" s="154"/>
      <c r="V693" s="200"/>
      <c r="Y693" s="200"/>
      <c r="Z693" s="213"/>
      <c r="AA693" s="200"/>
      <c r="AB693" s="200"/>
      <c r="AC693" s="213"/>
      <c r="AD693" s="213"/>
      <c r="AE693" s="200"/>
      <c r="AF693" s="200"/>
      <c r="AG693" s="209"/>
      <c r="AH693" s="201"/>
      <c r="AI693" s="200"/>
      <c r="AJ693" s="200"/>
      <c r="AK693" s="209"/>
      <c r="AL693" s="200"/>
      <c r="AM693" s="210"/>
      <c r="AN693" s="210"/>
    </row>
    <row r="694" spans="1:40" x14ac:dyDescent="0.25">
      <c r="A694" s="202"/>
      <c r="C694" s="154"/>
      <c r="D694" s="154"/>
      <c r="E694" s="154"/>
      <c r="F694" s="200"/>
      <c r="G694" s="200"/>
      <c r="H694" s="200"/>
      <c r="I694" s="200"/>
      <c r="J694" s="213"/>
      <c r="K694" s="213"/>
      <c r="L694" s="200"/>
      <c r="M694" s="200"/>
      <c r="N694" s="213"/>
      <c r="O694" s="213"/>
      <c r="P694" s="200"/>
      <c r="Q694" s="200"/>
      <c r="R694" s="200"/>
      <c r="T694" s="154"/>
      <c r="U694" s="154"/>
      <c r="V694" s="200"/>
      <c r="W694" s="200"/>
      <c r="X694" s="200"/>
      <c r="Y694" s="200"/>
      <c r="Z694" s="213"/>
      <c r="AA694" s="200"/>
      <c r="AB694" s="200"/>
      <c r="AC694" s="213"/>
      <c r="AD694" s="213"/>
      <c r="AE694" s="200"/>
      <c r="AF694" s="200"/>
      <c r="AG694" s="209"/>
      <c r="AH694" s="201"/>
      <c r="AI694" s="200"/>
      <c r="AJ694" s="200"/>
      <c r="AK694" s="209"/>
      <c r="AL694" s="200"/>
      <c r="AM694" s="210"/>
      <c r="AN694" s="210"/>
    </row>
    <row r="695" spans="1:40" x14ac:dyDescent="0.25">
      <c r="A695" s="202"/>
      <c r="C695" s="154"/>
      <c r="D695" s="154"/>
      <c r="E695" s="154"/>
      <c r="F695" s="200"/>
      <c r="G695" s="200"/>
      <c r="H695" s="200"/>
      <c r="I695" s="200"/>
      <c r="J695" s="213"/>
      <c r="K695" s="213"/>
      <c r="L695" s="200"/>
      <c r="M695" s="200"/>
      <c r="N695" s="213"/>
      <c r="O695" s="213"/>
      <c r="P695" s="200"/>
      <c r="Q695" s="200"/>
      <c r="R695" s="200"/>
      <c r="T695" s="154"/>
      <c r="U695" s="154"/>
      <c r="V695" s="200"/>
      <c r="W695" s="200"/>
      <c r="X695" s="200"/>
      <c r="Y695" s="200"/>
      <c r="Z695" s="213"/>
      <c r="AA695" s="200"/>
      <c r="AB695" s="200"/>
      <c r="AC695" s="213"/>
      <c r="AD695" s="213"/>
      <c r="AE695" s="200"/>
      <c r="AF695" s="200"/>
      <c r="AG695" s="209"/>
      <c r="AH695" s="201"/>
      <c r="AI695" s="200"/>
      <c r="AJ695" s="200"/>
      <c r="AK695" s="209"/>
      <c r="AL695" s="200"/>
      <c r="AM695" s="210"/>
      <c r="AN695" s="210"/>
    </row>
    <row r="696" spans="1:40" x14ac:dyDescent="0.25">
      <c r="A696" s="202"/>
      <c r="C696" s="154"/>
      <c r="D696" s="154"/>
      <c r="E696" s="154"/>
      <c r="F696" s="200"/>
      <c r="H696" s="200"/>
      <c r="I696" s="200"/>
      <c r="J696" s="213"/>
      <c r="K696" s="213"/>
      <c r="L696" s="200"/>
      <c r="M696" s="200"/>
      <c r="N696" s="213"/>
      <c r="O696" s="213"/>
      <c r="P696" s="200"/>
      <c r="Q696" s="200"/>
      <c r="R696" s="200"/>
      <c r="T696" s="154"/>
      <c r="U696" s="154"/>
      <c r="V696" s="200"/>
      <c r="Y696" s="200"/>
      <c r="Z696" s="213"/>
      <c r="AA696" s="200"/>
      <c r="AB696" s="200"/>
      <c r="AC696" s="213"/>
      <c r="AD696" s="213"/>
      <c r="AE696" s="200"/>
      <c r="AF696" s="200"/>
      <c r="AG696" s="209"/>
      <c r="AH696" s="201"/>
      <c r="AI696" s="200"/>
      <c r="AJ696" s="200"/>
      <c r="AK696" s="209"/>
      <c r="AL696" s="200"/>
      <c r="AM696" s="210"/>
      <c r="AN696" s="210"/>
    </row>
    <row r="697" spans="1:40" x14ac:dyDescent="0.25">
      <c r="A697" s="202"/>
      <c r="C697" s="154"/>
      <c r="D697" s="154"/>
      <c r="E697" s="154"/>
      <c r="F697" s="200"/>
      <c r="H697" s="200"/>
      <c r="I697" s="200"/>
      <c r="J697" s="213"/>
      <c r="K697" s="213"/>
      <c r="L697" s="200"/>
      <c r="M697" s="200"/>
      <c r="N697" s="213"/>
      <c r="O697" s="213"/>
      <c r="P697" s="200"/>
      <c r="Q697" s="200"/>
      <c r="R697" s="200"/>
      <c r="T697" s="154"/>
      <c r="U697" s="154"/>
      <c r="V697" s="200"/>
      <c r="Y697" s="200"/>
      <c r="Z697" s="213"/>
      <c r="AA697" s="200"/>
      <c r="AB697" s="200"/>
      <c r="AC697" s="213"/>
      <c r="AD697" s="213"/>
      <c r="AE697" s="200"/>
      <c r="AF697" s="200"/>
      <c r="AG697" s="209"/>
      <c r="AH697" s="201"/>
      <c r="AI697" s="200"/>
      <c r="AJ697" s="200"/>
      <c r="AK697" s="209"/>
      <c r="AL697" s="200"/>
      <c r="AM697" s="210"/>
      <c r="AN697" s="210"/>
    </row>
    <row r="698" spans="1:40" x14ac:dyDescent="0.25">
      <c r="A698" s="202"/>
      <c r="C698" s="154"/>
      <c r="D698" s="154"/>
      <c r="E698" s="154"/>
      <c r="F698" s="200"/>
      <c r="H698" s="200"/>
      <c r="I698" s="200"/>
      <c r="J698" s="213"/>
      <c r="K698" s="213"/>
      <c r="L698" s="200"/>
      <c r="M698" s="200"/>
      <c r="N698" s="213"/>
      <c r="O698" s="213"/>
      <c r="P698" s="200"/>
      <c r="Q698" s="200"/>
      <c r="R698" s="200"/>
      <c r="T698" s="154"/>
      <c r="U698" s="154"/>
      <c r="V698" s="200"/>
      <c r="Y698" s="200"/>
      <c r="Z698" s="213"/>
      <c r="AA698" s="200"/>
      <c r="AB698" s="200"/>
      <c r="AC698" s="213"/>
      <c r="AD698" s="213"/>
      <c r="AE698" s="200"/>
      <c r="AF698" s="200"/>
      <c r="AG698" s="209"/>
      <c r="AH698" s="201"/>
      <c r="AI698" s="200"/>
      <c r="AJ698" s="200"/>
      <c r="AK698" s="209"/>
      <c r="AL698" s="200"/>
      <c r="AM698" s="210"/>
      <c r="AN698" s="210"/>
    </row>
    <row r="699" spans="1:40" x14ac:dyDescent="0.25">
      <c r="A699" s="202"/>
      <c r="C699" s="154"/>
      <c r="D699" s="154"/>
      <c r="E699" s="154"/>
      <c r="F699" s="200"/>
      <c r="H699" s="200"/>
      <c r="I699" s="200"/>
      <c r="J699" s="213"/>
      <c r="K699" s="213"/>
      <c r="L699" s="200"/>
      <c r="M699" s="200"/>
      <c r="N699" s="213"/>
      <c r="O699" s="213"/>
      <c r="P699" s="200"/>
      <c r="Q699" s="200"/>
      <c r="R699" s="200"/>
      <c r="T699" s="154"/>
      <c r="U699" s="154"/>
      <c r="V699" s="200"/>
      <c r="Y699" s="200"/>
      <c r="Z699" s="213"/>
      <c r="AA699" s="200"/>
      <c r="AB699" s="200"/>
      <c r="AC699" s="213"/>
      <c r="AD699" s="213"/>
      <c r="AE699" s="200"/>
      <c r="AF699" s="200"/>
      <c r="AG699" s="209"/>
      <c r="AH699" s="201"/>
      <c r="AI699" s="200"/>
      <c r="AJ699" s="200"/>
      <c r="AK699" s="209"/>
      <c r="AL699" s="200"/>
      <c r="AM699" s="210"/>
      <c r="AN699" s="210"/>
    </row>
    <row r="700" spans="1:40" x14ac:dyDescent="0.25">
      <c r="F700" s="211"/>
      <c r="H700" s="211"/>
      <c r="I700" s="211"/>
      <c r="J700" s="305"/>
      <c r="K700" s="305"/>
      <c r="L700" s="211"/>
      <c r="M700" s="211"/>
      <c r="N700" s="211"/>
      <c r="O700" s="211"/>
      <c r="P700" s="211"/>
      <c r="Q700" s="211"/>
      <c r="R700" s="211"/>
      <c r="V700" s="211"/>
      <c r="Y700" s="211"/>
      <c r="Z700" s="305"/>
      <c r="AA700" s="211"/>
      <c r="AB700" s="211"/>
      <c r="AC700" s="211"/>
      <c r="AD700" s="211"/>
      <c r="AE700" s="211"/>
      <c r="AF700" s="211"/>
      <c r="AI700" s="211"/>
      <c r="AJ700" s="211"/>
      <c r="AK700" s="212"/>
      <c r="AL700" s="211"/>
      <c r="AM700" s="210"/>
      <c r="AN700" s="210"/>
    </row>
    <row r="701" spans="1:40" x14ac:dyDescent="0.25">
      <c r="A701" s="202"/>
      <c r="C701" s="154"/>
      <c r="F701" s="200"/>
      <c r="H701" s="200"/>
      <c r="I701" s="200"/>
      <c r="J701" s="213"/>
      <c r="K701" s="213"/>
      <c r="L701" s="200"/>
      <c r="M701" s="200"/>
      <c r="N701" s="213"/>
      <c r="O701" s="213"/>
      <c r="P701" s="200"/>
      <c r="Q701" s="200"/>
      <c r="R701" s="200"/>
      <c r="T701" s="154"/>
      <c r="V701" s="200"/>
      <c r="Y701" s="200"/>
      <c r="Z701" s="213"/>
      <c r="AA701" s="200"/>
      <c r="AB701" s="200"/>
      <c r="AC701" s="213"/>
      <c r="AD701" s="213"/>
      <c r="AE701" s="200"/>
      <c r="AF701" s="200"/>
      <c r="AG701" s="209"/>
      <c r="AH701" s="201"/>
      <c r="AI701" s="200"/>
      <c r="AJ701" s="200"/>
      <c r="AK701" s="209"/>
      <c r="AL701" s="200"/>
      <c r="AM701" s="210"/>
      <c r="AN701" s="210"/>
    </row>
    <row r="702" spans="1:40" x14ac:dyDescent="0.25">
      <c r="V702" s="200"/>
      <c r="Y702" s="200"/>
      <c r="Z702" s="305"/>
      <c r="AA702" s="200"/>
      <c r="AB702" s="200"/>
      <c r="AC702" s="200"/>
      <c r="AD702" s="200"/>
      <c r="AE702" s="200"/>
      <c r="AF702" s="200"/>
      <c r="AI702" s="200"/>
      <c r="AJ702" s="200"/>
      <c r="AK702" s="209"/>
      <c r="AL702" s="200"/>
      <c r="AM702" s="210"/>
      <c r="AN702" s="210"/>
    </row>
    <row r="703" spans="1:40" x14ac:dyDescent="0.25">
      <c r="A703" s="202"/>
      <c r="C703" s="154"/>
      <c r="D703" s="154"/>
      <c r="E703" s="154"/>
      <c r="L703" s="200"/>
      <c r="M703" s="200"/>
      <c r="N703" s="213"/>
      <c r="O703" s="213"/>
      <c r="P703" s="202"/>
      <c r="Q703" s="202"/>
      <c r="R703" s="200"/>
      <c r="T703" s="154"/>
      <c r="U703" s="154"/>
      <c r="AA703" s="200"/>
      <c r="AB703" s="200"/>
      <c r="AC703" s="213"/>
      <c r="AD703" s="213"/>
      <c r="AE703" s="200"/>
      <c r="AF703" s="200"/>
      <c r="AG703" s="209"/>
      <c r="AH703" s="201"/>
      <c r="AI703" s="202"/>
      <c r="AJ703" s="202"/>
      <c r="AK703" s="209"/>
      <c r="AL703" s="200"/>
      <c r="AM703" s="210"/>
      <c r="AN703" s="210"/>
    </row>
    <row r="704" spans="1:40" x14ac:dyDescent="0.25">
      <c r="A704" s="202"/>
      <c r="D704" s="154"/>
      <c r="E704" s="154"/>
      <c r="F704" s="252"/>
      <c r="H704" s="252"/>
      <c r="I704" s="252"/>
      <c r="J704" s="213"/>
      <c r="K704" s="213"/>
      <c r="L704" s="200"/>
      <c r="M704" s="200"/>
      <c r="N704" s="213"/>
      <c r="O704" s="213"/>
      <c r="P704" s="252"/>
      <c r="Q704" s="252"/>
      <c r="R704" s="200"/>
      <c r="U704" s="154"/>
      <c r="V704" s="200"/>
      <c r="Y704" s="200"/>
      <c r="Z704" s="213"/>
      <c r="AA704" s="200"/>
      <c r="AB704" s="200"/>
      <c r="AC704" s="213"/>
      <c r="AD704" s="213"/>
      <c r="AE704" s="200"/>
      <c r="AF704" s="200"/>
      <c r="AG704" s="209"/>
      <c r="AH704" s="201"/>
      <c r="AI704" s="200"/>
      <c r="AJ704" s="200"/>
      <c r="AK704" s="209"/>
      <c r="AL704" s="200"/>
      <c r="AM704" s="210"/>
      <c r="AN704" s="210"/>
    </row>
    <row r="705" spans="1:40" x14ac:dyDescent="0.25">
      <c r="F705" s="211"/>
      <c r="H705" s="211"/>
      <c r="I705" s="211"/>
      <c r="J705" s="305"/>
      <c r="K705" s="305"/>
      <c r="L705" s="211"/>
      <c r="M705" s="211"/>
      <c r="N705" s="211"/>
      <c r="O705" s="211"/>
      <c r="P705" s="211"/>
      <c r="Q705" s="211"/>
      <c r="R705" s="211"/>
      <c r="V705" s="211"/>
      <c r="Y705" s="211"/>
      <c r="Z705" s="305"/>
      <c r="AA705" s="211"/>
      <c r="AB705" s="211"/>
      <c r="AC705" s="211"/>
      <c r="AD705" s="211"/>
      <c r="AE705" s="211"/>
      <c r="AF705" s="211"/>
      <c r="AI705" s="211"/>
      <c r="AJ705" s="211"/>
      <c r="AK705" s="212"/>
      <c r="AL705" s="211"/>
      <c r="AM705" s="210"/>
      <c r="AN705" s="210"/>
    </row>
    <row r="706" spans="1:40" x14ac:dyDescent="0.25">
      <c r="A706" s="202"/>
      <c r="C706" s="154"/>
      <c r="F706" s="200"/>
      <c r="H706" s="200"/>
      <c r="I706" s="200"/>
      <c r="J706" s="213"/>
      <c r="K706" s="213"/>
      <c r="L706" s="200"/>
      <c r="M706" s="200"/>
      <c r="N706" s="213"/>
      <c r="O706" s="213"/>
      <c r="P706" s="200"/>
      <c r="Q706" s="200"/>
      <c r="R706" s="200"/>
      <c r="T706" s="154"/>
      <c r="V706" s="200"/>
      <c r="Y706" s="200"/>
      <c r="Z706" s="213"/>
      <c r="AA706" s="200"/>
      <c r="AB706" s="200"/>
      <c r="AC706" s="213"/>
      <c r="AD706" s="213"/>
      <c r="AE706" s="200"/>
      <c r="AF706" s="200"/>
      <c r="AG706" s="209"/>
      <c r="AH706" s="201"/>
      <c r="AI706" s="200"/>
      <c r="AJ706" s="200"/>
      <c r="AK706" s="209"/>
      <c r="AL706" s="200"/>
      <c r="AM706" s="210"/>
      <c r="AN706" s="210"/>
    </row>
    <row r="707" spans="1:40" x14ac:dyDescent="0.25">
      <c r="F707" s="200"/>
      <c r="H707" s="200"/>
      <c r="I707" s="200"/>
      <c r="J707" s="213"/>
      <c r="K707" s="213"/>
      <c r="L707" s="200"/>
      <c r="M707" s="200"/>
      <c r="N707" s="213"/>
      <c r="O707" s="213"/>
      <c r="P707" s="200"/>
      <c r="Q707" s="200"/>
      <c r="R707" s="200"/>
      <c r="V707" s="200"/>
      <c r="Y707" s="200"/>
      <c r="Z707" s="213"/>
      <c r="AA707" s="200"/>
      <c r="AB707" s="200"/>
      <c r="AC707" s="213"/>
      <c r="AD707" s="213"/>
      <c r="AG707" s="209"/>
      <c r="AH707" s="201"/>
      <c r="AI707" s="200"/>
      <c r="AJ707" s="200"/>
      <c r="AK707" s="209"/>
      <c r="AL707" s="200"/>
      <c r="AM707" s="210"/>
      <c r="AN707" s="210"/>
    </row>
    <row r="708" spans="1:40" x14ac:dyDescent="0.25">
      <c r="A708" s="202"/>
      <c r="D708" s="154"/>
      <c r="E708" s="154"/>
      <c r="F708" s="200"/>
      <c r="H708" s="200"/>
      <c r="I708" s="200"/>
      <c r="J708" s="213"/>
      <c r="K708" s="213"/>
      <c r="L708" s="252"/>
      <c r="M708" s="252"/>
      <c r="N708" s="213"/>
      <c r="O708" s="213"/>
      <c r="P708" s="200"/>
      <c r="Q708" s="200"/>
      <c r="R708" s="200"/>
      <c r="U708" s="154"/>
      <c r="V708" s="200"/>
      <c r="Y708" s="200"/>
      <c r="Z708" s="213"/>
      <c r="AA708" s="252"/>
      <c r="AB708" s="252"/>
      <c r="AC708" s="213"/>
      <c r="AD708" s="213"/>
      <c r="AE708" s="200"/>
      <c r="AF708" s="200"/>
      <c r="AG708" s="209"/>
      <c r="AH708" s="201"/>
      <c r="AI708" s="200"/>
      <c r="AJ708" s="200"/>
      <c r="AK708" s="209"/>
      <c r="AL708" s="200"/>
      <c r="AM708" s="210"/>
      <c r="AN708" s="210"/>
    </row>
    <row r="709" spans="1:40" x14ac:dyDescent="0.25">
      <c r="A709" s="202"/>
      <c r="D709" s="154"/>
      <c r="E709" s="154"/>
      <c r="F709" s="200"/>
      <c r="H709" s="200"/>
      <c r="I709" s="200"/>
      <c r="J709" s="213"/>
      <c r="K709" s="213"/>
      <c r="L709" s="252"/>
      <c r="M709" s="252"/>
      <c r="N709" s="213"/>
      <c r="O709" s="213"/>
      <c r="P709" s="200"/>
      <c r="Q709" s="200"/>
      <c r="R709" s="200"/>
      <c r="U709" s="154"/>
      <c r="V709" s="200"/>
      <c r="Y709" s="200"/>
      <c r="Z709" s="213"/>
      <c r="AA709" s="252"/>
      <c r="AB709" s="252"/>
      <c r="AC709" s="213"/>
      <c r="AD709" s="213"/>
      <c r="AE709" s="200"/>
      <c r="AF709" s="200"/>
      <c r="AG709" s="209"/>
      <c r="AH709" s="201"/>
      <c r="AI709" s="200"/>
      <c r="AJ709" s="200"/>
      <c r="AK709" s="209"/>
      <c r="AL709" s="200"/>
      <c r="AM709" s="210"/>
      <c r="AN709" s="210"/>
    </row>
    <row r="710" spans="1:40" x14ac:dyDescent="0.25">
      <c r="A710" s="202"/>
      <c r="D710" s="154"/>
      <c r="E710" s="154"/>
      <c r="F710" s="200"/>
      <c r="H710" s="200"/>
      <c r="I710" s="200"/>
      <c r="J710" s="213"/>
      <c r="K710" s="213"/>
      <c r="L710" s="252"/>
      <c r="M710" s="252"/>
      <c r="N710" s="213"/>
      <c r="O710" s="213"/>
      <c r="P710" s="200"/>
      <c r="Q710" s="200"/>
      <c r="R710" s="200"/>
      <c r="U710" s="154"/>
      <c r="V710" s="200"/>
      <c r="Y710" s="200"/>
      <c r="Z710" s="213"/>
      <c r="AA710" s="252"/>
      <c r="AB710" s="252"/>
      <c r="AC710" s="213"/>
      <c r="AD710" s="213"/>
      <c r="AE710" s="200"/>
      <c r="AF710" s="200"/>
      <c r="AG710" s="209"/>
      <c r="AH710" s="201"/>
      <c r="AI710" s="200"/>
      <c r="AJ710" s="200"/>
      <c r="AK710" s="209"/>
      <c r="AL710" s="200"/>
      <c r="AM710" s="210"/>
      <c r="AN710" s="210"/>
    </row>
    <row r="711" spans="1:40" x14ac:dyDescent="0.25">
      <c r="F711" s="211"/>
      <c r="H711" s="211"/>
      <c r="I711" s="211"/>
      <c r="J711" s="305"/>
      <c r="K711" s="305"/>
      <c r="L711" s="211"/>
      <c r="M711" s="211"/>
      <c r="N711" s="211"/>
      <c r="O711" s="211"/>
      <c r="P711" s="211"/>
      <c r="Q711" s="211"/>
      <c r="R711" s="211"/>
      <c r="V711" s="211"/>
      <c r="Y711" s="211"/>
      <c r="Z711" s="305"/>
      <c r="AA711" s="211"/>
      <c r="AB711" s="211"/>
      <c r="AC711" s="211"/>
      <c r="AD711" s="211"/>
      <c r="AE711" s="211"/>
      <c r="AF711" s="211"/>
      <c r="AI711" s="211"/>
      <c r="AJ711" s="211"/>
      <c r="AK711" s="212"/>
      <c r="AL711" s="211"/>
      <c r="AM711" s="210"/>
      <c r="AN711" s="210"/>
    </row>
    <row r="712" spans="1:40" x14ac:dyDescent="0.25">
      <c r="A712" s="202"/>
      <c r="C712" s="154"/>
      <c r="F712" s="200"/>
      <c r="H712" s="200"/>
      <c r="I712" s="200"/>
      <c r="J712" s="213"/>
      <c r="K712" s="213"/>
      <c r="L712" s="200"/>
      <c r="M712" s="200"/>
      <c r="N712" s="213"/>
      <c r="O712" s="213"/>
      <c r="P712" s="200"/>
      <c r="Q712" s="200"/>
      <c r="R712" s="200"/>
      <c r="T712" s="154"/>
      <c r="V712" s="200"/>
      <c r="Y712" s="200"/>
      <c r="Z712" s="213"/>
      <c r="AA712" s="200"/>
      <c r="AB712" s="200"/>
      <c r="AC712" s="213"/>
      <c r="AD712" s="213"/>
      <c r="AE712" s="200"/>
      <c r="AF712" s="200"/>
      <c r="AG712" s="209"/>
      <c r="AH712" s="201"/>
      <c r="AI712" s="200"/>
      <c r="AJ712" s="200"/>
      <c r="AK712" s="209"/>
      <c r="AL712" s="200"/>
      <c r="AM712" s="210"/>
      <c r="AN712" s="210"/>
    </row>
    <row r="713" spans="1:40" x14ac:dyDescent="0.25">
      <c r="F713" s="200"/>
      <c r="H713" s="200"/>
      <c r="I713" s="200"/>
      <c r="J713" s="213"/>
      <c r="K713" s="213"/>
      <c r="L713" s="200"/>
      <c r="M713" s="200"/>
      <c r="N713" s="213"/>
      <c r="O713" s="213"/>
      <c r="P713" s="200"/>
      <c r="Q713" s="200"/>
      <c r="R713" s="200"/>
      <c r="V713" s="200"/>
      <c r="Y713" s="200"/>
      <c r="Z713" s="213"/>
      <c r="AA713" s="200"/>
      <c r="AB713" s="200"/>
      <c r="AC713" s="213"/>
      <c r="AD713" s="213"/>
      <c r="AG713" s="209"/>
      <c r="AH713" s="201"/>
      <c r="AI713" s="200"/>
      <c r="AJ713" s="200"/>
      <c r="AK713" s="209"/>
      <c r="AL713" s="200"/>
      <c r="AM713" s="210"/>
      <c r="AN713" s="210"/>
    </row>
    <row r="714" spans="1:40" x14ac:dyDescent="0.25">
      <c r="A714" s="202"/>
      <c r="C714" s="154"/>
      <c r="F714" s="200"/>
      <c r="H714" s="200"/>
      <c r="I714" s="200"/>
      <c r="J714" s="213"/>
      <c r="K714" s="213"/>
      <c r="L714" s="200"/>
      <c r="M714" s="200"/>
      <c r="N714" s="213"/>
      <c r="O714" s="213"/>
      <c r="P714" s="200"/>
      <c r="Q714" s="200"/>
      <c r="R714" s="200"/>
      <c r="T714" s="154"/>
      <c r="V714" s="200"/>
      <c r="Y714" s="200"/>
      <c r="Z714" s="213"/>
      <c r="AA714" s="200"/>
      <c r="AB714" s="200"/>
      <c r="AC714" s="213"/>
      <c r="AD714" s="213"/>
      <c r="AE714" s="200"/>
      <c r="AF714" s="200"/>
      <c r="AG714" s="209"/>
      <c r="AH714" s="201"/>
      <c r="AI714" s="200"/>
      <c r="AJ714" s="200"/>
      <c r="AK714" s="209"/>
      <c r="AL714" s="200"/>
      <c r="AM714" s="210"/>
      <c r="AN714" s="210"/>
    </row>
    <row r="715" spans="1:40" x14ac:dyDescent="0.25">
      <c r="F715" s="211"/>
      <c r="H715" s="211"/>
      <c r="I715" s="211"/>
      <c r="J715" s="305"/>
      <c r="K715" s="305"/>
      <c r="L715" s="211"/>
      <c r="M715" s="211"/>
      <c r="N715" s="211"/>
      <c r="O715" s="211"/>
      <c r="P715" s="211"/>
      <c r="Q715" s="211"/>
      <c r="R715" s="211"/>
      <c r="V715" s="211"/>
      <c r="Y715" s="211"/>
      <c r="Z715" s="305"/>
      <c r="AA715" s="211"/>
      <c r="AB715" s="211"/>
      <c r="AC715" s="211"/>
      <c r="AD715" s="211"/>
      <c r="AE715" s="211"/>
      <c r="AF715" s="211"/>
      <c r="AI715" s="211"/>
      <c r="AJ715" s="211"/>
      <c r="AK715" s="212"/>
      <c r="AL715" s="211"/>
    </row>
    <row r="717" spans="1:40" x14ac:dyDescent="0.25">
      <c r="C717" s="154"/>
      <c r="L717" s="200"/>
      <c r="M717" s="200"/>
      <c r="P717" s="200"/>
      <c r="Q717" s="200"/>
      <c r="R717" s="200"/>
      <c r="T717" s="154"/>
    </row>
    <row r="718" spans="1:40" x14ac:dyDescent="0.25">
      <c r="A718" s="154"/>
      <c r="L718" s="200"/>
      <c r="M718" s="200"/>
      <c r="P718" s="200"/>
      <c r="Q718" s="200"/>
      <c r="R718" s="200"/>
    </row>
    <row r="719" spans="1:40" x14ac:dyDescent="0.25">
      <c r="L719" s="200"/>
      <c r="M719" s="200"/>
      <c r="P719" s="200"/>
      <c r="Q719" s="200"/>
      <c r="R719" s="200"/>
    </row>
    <row r="720" spans="1:40" x14ac:dyDescent="0.25">
      <c r="L720" s="200"/>
      <c r="M720" s="200"/>
      <c r="P720" s="200"/>
      <c r="Q720" s="200"/>
      <c r="R720" s="200"/>
    </row>
    <row r="721" spans="12:18" x14ac:dyDescent="0.25">
      <c r="L721" s="200"/>
      <c r="M721" s="200"/>
      <c r="P721" s="200"/>
      <c r="Q721" s="200"/>
      <c r="R721" s="200"/>
    </row>
    <row r="722" spans="12:18" x14ac:dyDescent="0.25">
      <c r="L722" s="200"/>
      <c r="M722" s="200"/>
      <c r="P722" s="200"/>
      <c r="Q722" s="200"/>
      <c r="R722" s="200"/>
    </row>
    <row r="723" spans="12:18" x14ac:dyDescent="0.25">
      <c r="L723" s="200"/>
      <c r="M723" s="200"/>
      <c r="P723" s="200"/>
      <c r="Q723" s="200"/>
      <c r="R723" s="200"/>
    </row>
    <row r="756" spans="49:49" x14ac:dyDescent="0.25">
      <c r="AW756" s="200"/>
    </row>
    <row r="757" spans="49:49" x14ac:dyDescent="0.25">
      <c r="AW757" s="200"/>
    </row>
    <row r="758" spans="49:49" x14ac:dyDescent="0.25">
      <c r="AW758" s="200"/>
    </row>
    <row r="759" spans="49:49" x14ac:dyDescent="0.25">
      <c r="AW759" s="200"/>
    </row>
    <row r="760" spans="49:49" x14ac:dyDescent="0.25">
      <c r="AW760" s="200"/>
    </row>
    <row r="761" spans="49:49" x14ac:dyDescent="0.25">
      <c r="AW761" s="200"/>
    </row>
    <row r="764" spans="49:49" x14ac:dyDescent="0.25">
      <c r="AW764" s="200"/>
    </row>
    <row r="765" spans="49:49" x14ac:dyDescent="0.25">
      <c r="AW765" s="200"/>
    </row>
    <row r="766" spans="49:49" x14ac:dyDescent="0.25">
      <c r="AW766" s="200"/>
    </row>
    <row r="767" spans="49:49" x14ac:dyDescent="0.25">
      <c r="AW767" s="200"/>
    </row>
    <row r="768" spans="49:49" x14ac:dyDescent="0.25">
      <c r="AW768" s="200"/>
    </row>
    <row r="769" spans="49:49" x14ac:dyDescent="0.25">
      <c r="AW769" s="200"/>
    </row>
    <row r="770" spans="49:49" x14ac:dyDescent="0.25">
      <c r="AW770" s="200"/>
    </row>
    <row r="771" spans="49:49" x14ac:dyDescent="0.25">
      <c r="AW771" s="200"/>
    </row>
    <row r="774" spans="49:49" x14ac:dyDescent="0.25">
      <c r="AW774" s="200"/>
    </row>
    <row r="775" spans="49:49" x14ac:dyDescent="0.25">
      <c r="AW775" s="200"/>
    </row>
    <row r="778" spans="49:49" x14ac:dyDescent="0.25">
      <c r="AW778" s="200"/>
    </row>
    <row r="779" spans="49:49" x14ac:dyDescent="0.25">
      <c r="AW779" s="200"/>
    </row>
    <row r="780" spans="49:49" x14ac:dyDescent="0.25">
      <c r="AW780" s="200"/>
    </row>
    <row r="781" spans="49:49" x14ac:dyDescent="0.25">
      <c r="AW781" s="200"/>
    </row>
    <row r="787" spans="45:69" x14ac:dyDescent="0.25">
      <c r="AY787" s="202"/>
    </row>
    <row r="788" spans="45:69" x14ac:dyDescent="0.25">
      <c r="AY788" s="202"/>
    </row>
    <row r="789" spans="45:69" x14ac:dyDescent="0.25">
      <c r="AY789" s="154"/>
    </row>
    <row r="790" spans="45:69" x14ac:dyDescent="0.25">
      <c r="AY790" s="154"/>
    </row>
    <row r="791" spans="45:69" x14ac:dyDescent="0.25">
      <c r="AS791" s="202"/>
      <c r="BD791" s="154"/>
    </row>
    <row r="792" spans="45:69" x14ac:dyDescent="0.25">
      <c r="AS792" s="202"/>
      <c r="BD792" s="154"/>
    </row>
    <row r="793" spans="45:69" x14ac:dyDescent="0.25">
      <c r="AS793" s="154"/>
      <c r="BD793" s="154"/>
    </row>
    <row r="794" spans="45:69" x14ac:dyDescent="0.25">
      <c r="BD794" s="202"/>
    </row>
    <row r="795" spans="45:69" x14ac:dyDescent="0.25"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</row>
    <row r="796" spans="45:69" x14ac:dyDescent="0.25">
      <c r="AX796" s="154"/>
    </row>
    <row r="797" spans="45:69" x14ac:dyDescent="0.25">
      <c r="AX797" s="102"/>
      <c r="AY797" s="102"/>
      <c r="AZ797" s="102"/>
      <c r="BA797" s="102"/>
      <c r="BC797" s="103"/>
      <c r="BD797" s="103"/>
    </row>
    <row r="798" spans="45:69" x14ac:dyDescent="0.25">
      <c r="AV798" s="103"/>
      <c r="AW798" s="103"/>
      <c r="AZ798" s="103"/>
      <c r="BA798" s="103"/>
      <c r="BC798" s="103"/>
      <c r="BD798" s="103"/>
      <c r="BE798" s="103"/>
      <c r="BG798" s="102"/>
      <c r="BH798" s="154"/>
      <c r="BK798" s="102"/>
      <c r="BM798" s="102"/>
      <c r="BN798" s="154"/>
      <c r="BQ798" s="102"/>
    </row>
    <row r="799" spans="45:69" x14ac:dyDescent="0.25"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H799" s="103"/>
      <c r="BI799" s="103"/>
      <c r="BJ799" s="103"/>
      <c r="BN799" s="103"/>
      <c r="BO799" s="103"/>
      <c r="BP799" s="103"/>
    </row>
    <row r="800" spans="45:69" x14ac:dyDescent="0.25">
      <c r="AS800" s="103"/>
      <c r="AU800" s="154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G800" s="103"/>
      <c r="BH800" s="103"/>
      <c r="BI800" s="103"/>
      <c r="BJ800" s="103"/>
      <c r="BK800" s="103"/>
      <c r="BM800" s="103"/>
      <c r="BN800" s="103"/>
      <c r="BO800" s="103"/>
      <c r="BP800" s="103"/>
      <c r="BQ800" s="103"/>
    </row>
    <row r="801" spans="45:69" x14ac:dyDescent="0.25">
      <c r="AS801" s="103"/>
      <c r="AU801" s="154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G801" s="103"/>
      <c r="BH801" s="103"/>
      <c r="BI801" s="103"/>
      <c r="BJ801" s="103"/>
      <c r="BK801" s="103"/>
      <c r="BM801" s="103"/>
      <c r="BN801" s="103"/>
      <c r="BO801" s="103"/>
      <c r="BP801" s="103"/>
      <c r="BQ801" s="103"/>
    </row>
    <row r="802" spans="45:69" x14ac:dyDescent="0.25"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G802" s="102"/>
      <c r="BH802" s="102"/>
      <c r="BI802" s="102"/>
      <c r="BJ802" s="102"/>
      <c r="BK802" s="102"/>
      <c r="BM802" s="102"/>
      <c r="BN802" s="102"/>
      <c r="BO802" s="102"/>
      <c r="BP802" s="102"/>
      <c r="BQ802" s="102"/>
    </row>
    <row r="803" spans="45:69" x14ac:dyDescent="0.25"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</row>
    <row r="804" spans="45:69" x14ac:dyDescent="0.25">
      <c r="AS804" s="202"/>
      <c r="AU804" s="154"/>
      <c r="AV804" s="103"/>
      <c r="AY804" s="213"/>
    </row>
    <row r="805" spans="45:69" x14ac:dyDescent="0.25">
      <c r="AS805" s="202"/>
      <c r="AV805" s="103"/>
      <c r="AW805" s="200"/>
      <c r="AX805" s="334"/>
      <c r="AY805" s="334"/>
      <c r="AZ805" s="334"/>
      <c r="BA805" s="210"/>
      <c r="BB805" s="334"/>
      <c r="BC805" s="213"/>
      <c r="BD805" s="213"/>
      <c r="BE805" s="210"/>
      <c r="BG805" s="334"/>
      <c r="BH805" s="334"/>
      <c r="BI805" s="334"/>
      <c r="BJ805" s="334"/>
      <c r="BK805" s="334"/>
      <c r="BM805" s="334"/>
      <c r="BN805" s="334"/>
      <c r="BO805" s="334"/>
      <c r="BP805" s="334"/>
      <c r="BQ805" s="334"/>
    </row>
    <row r="806" spans="45:69" x14ac:dyDescent="0.25">
      <c r="AS806" s="202"/>
      <c r="AV806" s="103"/>
      <c r="AW806" s="200"/>
      <c r="AX806" s="334"/>
      <c r="AY806" s="334"/>
      <c r="AZ806" s="334"/>
      <c r="BA806" s="210"/>
      <c r="BB806" s="334"/>
      <c r="BC806" s="213"/>
      <c r="BD806" s="213"/>
      <c r="BE806" s="210"/>
      <c r="BG806" s="334"/>
      <c r="BH806" s="334"/>
      <c r="BI806" s="334"/>
      <c r="BJ806" s="334"/>
      <c r="BK806" s="334"/>
      <c r="BM806" s="334"/>
      <c r="BN806" s="334"/>
      <c r="BO806" s="334"/>
      <c r="BP806" s="334"/>
      <c r="BQ806" s="334"/>
    </row>
    <row r="807" spans="45:69" x14ac:dyDescent="0.25">
      <c r="AS807" s="202"/>
      <c r="AV807" s="103"/>
      <c r="AW807" s="200"/>
      <c r="AX807" s="334"/>
      <c r="AY807" s="334"/>
      <c r="AZ807" s="334"/>
      <c r="BA807" s="210"/>
      <c r="BB807" s="334"/>
      <c r="BC807" s="213"/>
      <c r="BD807" s="213"/>
      <c r="BE807" s="210"/>
      <c r="BG807" s="334"/>
      <c r="BH807" s="334"/>
      <c r="BI807" s="334"/>
      <c r="BJ807" s="334"/>
      <c r="BK807" s="334"/>
      <c r="BM807" s="334"/>
      <c r="BN807" s="334"/>
      <c r="BO807" s="334"/>
      <c r="BP807" s="334"/>
      <c r="BQ807" s="334"/>
    </row>
    <row r="808" spans="45:69" x14ac:dyDescent="0.25">
      <c r="AS808" s="202"/>
      <c r="AV808" s="103"/>
      <c r="AW808" s="200"/>
      <c r="AX808" s="334"/>
      <c r="AY808" s="334"/>
      <c r="AZ808" s="334"/>
      <c r="BA808" s="210"/>
      <c r="BB808" s="334"/>
      <c r="BC808" s="213"/>
      <c r="BD808" s="213"/>
      <c r="BE808" s="210"/>
      <c r="BG808" s="334"/>
      <c r="BH808" s="334"/>
      <c r="BI808" s="334"/>
      <c r="BJ808" s="334"/>
      <c r="BK808" s="334"/>
      <c r="BM808" s="334"/>
      <c r="BN808" s="334"/>
      <c r="BO808" s="334"/>
      <c r="BP808" s="334"/>
      <c r="BQ808" s="334"/>
    </row>
    <row r="809" spans="45:69" x14ac:dyDescent="0.25">
      <c r="AS809" s="202"/>
      <c r="AV809" s="103"/>
      <c r="AW809" s="200"/>
      <c r="AX809" s="334"/>
      <c r="AY809" s="334"/>
      <c r="AZ809" s="334"/>
      <c r="BA809" s="210"/>
      <c r="BB809" s="334"/>
      <c r="BC809" s="213"/>
      <c r="BD809" s="213"/>
      <c r="BE809" s="210"/>
      <c r="BG809" s="334"/>
      <c r="BH809" s="334"/>
      <c r="BI809" s="334"/>
      <c r="BJ809" s="334"/>
      <c r="BK809" s="334"/>
      <c r="BM809" s="334"/>
      <c r="BN809" s="334"/>
      <c r="BO809" s="334"/>
      <c r="BP809" s="334"/>
      <c r="BQ809" s="334"/>
    </row>
    <row r="810" spans="45:69" x14ac:dyDescent="0.25">
      <c r="AS810" s="202"/>
      <c r="AV810" s="103"/>
      <c r="AW810" s="200"/>
      <c r="AX810" s="334"/>
      <c r="AY810" s="334"/>
      <c r="AZ810" s="334"/>
      <c r="BA810" s="210"/>
      <c r="BB810" s="334"/>
      <c r="BC810" s="213"/>
      <c r="BD810" s="213"/>
      <c r="BE810" s="210"/>
      <c r="BG810" s="334"/>
      <c r="BH810" s="334"/>
      <c r="BI810" s="334"/>
      <c r="BJ810" s="334"/>
      <c r="BK810" s="334"/>
      <c r="BM810" s="334"/>
      <c r="BN810" s="334"/>
      <c r="BO810" s="334"/>
      <c r="BP810" s="334"/>
      <c r="BQ810" s="334"/>
    </row>
    <row r="811" spans="45:69" x14ac:dyDescent="0.25">
      <c r="AS811" s="202"/>
      <c r="AV811" s="103"/>
      <c r="AW811" s="200"/>
      <c r="AX811" s="334"/>
      <c r="AY811" s="334"/>
      <c r="AZ811" s="334"/>
      <c r="BA811" s="210"/>
      <c r="BB811" s="334"/>
      <c r="BC811" s="213"/>
      <c r="BD811" s="213"/>
      <c r="BE811" s="210"/>
      <c r="BG811" s="334"/>
      <c r="BH811" s="334"/>
      <c r="BI811" s="334"/>
      <c r="BJ811" s="334"/>
      <c r="BK811" s="334"/>
      <c r="BM811" s="334"/>
      <c r="BN811" s="334"/>
      <c r="BO811" s="334"/>
      <c r="BP811" s="334"/>
      <c r="BQ811" s="334"/>
    </row>
    <row r="812" spans="45:69" x14ac:dyDescent="0.25">
      <c r="AY812" s="213"/>
      <c r="AZ812" s="334"/>
      <c r="BA812" s="210"/>
      <c r="BB812" s="334"/>
      <c r="BC812" s="213"/>
      <c r="BD812" s="213"/>
      <c r="BE812" s="210"/>
      <c r="BK812" s="334"/>
      <c r="BQ812" s="334"/>
    </row>
    <row r="813" spans="45:69" x14ac:dyDescent="0.25">
      <c r="AS813" s="202"/>
      <c r="AV813" s="103"/>
      <c r="AY813" s="213"/>
      <c r="AZ813" s="334"/>
      <c r="BA813" s="210"/>
      <c r="BB813" s="334"/>
      <c r="BC813" s="213"/>
      <c r="BD813" s="213"/>
      <c r="BE813" s="210"/>
      <c r="BK813" s="334"/>
      <c r="BQ813" s="334"/>
    </row>
    <row r="814" spans="45:69" x14ac:dyDescent="0.25">
      <c r="AS814" s="202"/>
      <c r="AV814" s="103"/>
      <c r="AW814" s="200"/>
      <c r="AX814" s="334"/>
      <c r="AY814" s="334"/>
      <c r="AZ814" s="334"/>
      <c r="BA814" s="210"/>
      <c r="BB814" s="334"/>
      <c r="BC814" s="213"/>
      <c r="BD814" s="213"/>
      <c r="BE814" s="210"/>
      <c r="BG814" s="334"/>
      <c r="BH814" s="334"/>
      <c r="BI814" s="334"/>
      <c r="BJ814" s="334"/>
      <c r="BK814" s="334"/>
      <c r="BM814" s="334"/>
      <c r="BN814" s="334"/>
      <c r="BO814" s="334"/>
      <c r="BP814" s="334"/>
      <c r="BQ814" s="334"/>
    </row>
    <row r="815" spans="45:69" x14ac:dyDescent="0.25">
      <c r="AS815" s="202"/>
      <c r="AV815" s="103"/>
      <c r="AW815" s="200"/>
      <c r="AX815" s="334"/>
      <c r="AY815" s="334"/>
      <c r="AZ815" s="334"/>
      <c r="BA815" s="210"/>
      <c r="BB815" s="334"/>
      <c r="BC815" s="213"/>
      <c r="BD815" s="213"/>
      <c r="BE815" s="210"/>
      <c r="BG815" s="334"/>
      <c r="BH815" s="334"/>
      <c r="BI815" s="334"/>
      <c r="BJ815" s="334"/>
      <c r="BK815" s="334"/>
      <c r="BM815" s="334"/>
      <c r="BN815" s="334"/>
      <c r="BO815" s="334"/>
      <c r="BP815" s="334"/>
      <c r="BQ815" s="334"/>
    </row>
    <row r="816" spans="45:69" x14ac:dyDescent="0.25">
      <c r="AS816" s="202"/>
      <c r="AV816" s="103"/>
      <c r="AW816" s="200"/>
      <c r="AX816" s="334"/>
      <c r="AY816" s="334"/>
      <c r="AZ816" s="334"/>
      <c r="BA816" s="210"/>
      <c r="BB816" s="334"/>
      <c r="BC816" s="213"/>
      <c r="BD816" s="213"/>
      <c r="BE816" s="210"/>
      <c r="BG816" s="334"/>
      <c r="BH816" s="334"/>
      <c r="BI816" s="334"/>
      <c r="BJ816" s="334"/>
      <c r="BK816" s="334"/>
      <c r="BM816" s="334"/>
      <c r="BN816" s="334"/>
      <c r="BO816" s="334"/>
      <c r="BP816" s="334"/>
      <c r="BQ816" s="334"/>
    </row>
    <row r="817" spans="45:69" x14ac:dyDescent="0.25">
      <c r="AS817" s="202"/>
      <c r="AV817" s="103"/>
      <c r="AW817" s="200"/>
      <c r="AX817" s="334"/>
      <c r="AY817" s="334"/>
      <c r="AZ817" s="334"/>
      <c r="BA817" s="210"/>
      <c r="BB817" s="334"/>
      <c r="BC817" s="213"/>
      <c r="BD817" s="213"/>
      <c r="BE817" s="210"/>
      <c r="BG817" s="334"/>
      <c r="BH817" s="334"/>
      <c r="BI817" s="334"/>
      <c r="BJ817" s="334"/>
      <c r="BK817" s="334"/>
      <c r="BM817" s="334"/>
      <c r="BN817" s="334"/>
      <c r="BO817" s="334"/>
      <c r="BP817" s="334"/>
      <c r="BQ817" s="334"/>
    </row>
    <row r="818" spans="45:69" x14ac:dyDescent="0.25">
      <c r="AS818" s="202"/>
      <c r="AV818" s="103"/>
      <c r="AW818" s="200"/>
      <c r="AX818" s="334"/>
      <c r="AY818" s="334"/>
      <c r="AZ818" s="334"/>
      <c r="BA818" s="210"/>
      <c r="BB818" s="334"/>
      <c r="BC818" s="213"/>
      <c r="BD818" s="213"/>
      <c r="BE818" s="210"/>
      <c r="BG818" s="334"/>
      <c r="BH818" s="334"/>
      <c r="BI818" s="334"/>
      <c r="BJ818" s="334"/>
      <c r="BK818" s="334"/>
      <c r="BM818" s="334"/>
      <c r="BN818" s="334"/>
      <c r="BO818" s="334"/>
      <c r="BP818" s="334"/>
      <c r="BQ818" s="334"/>
    </row>
    <row r="819" spans="45:69" x14ac:dyDescent="0.25">
      <c r="AS819" s="202"/>
      <c r="AV819" s="103"/>
      <c r="AW819" s="200"/>
      <c r="AX819" s="334"/>
      <c r="AY819" s="334"/>
      <c r="AZ819" s="334"/>
      <c r="BA819" s="210"/>
      <c r="BB819" s="334"/>
      <c r="BC819" s="213"/>
      <c r="BD819" s="213"/>
      <c r="BE819" s="210"/>
      <c r="BG819" s="334"/>
      <c r="BH819" s="334"/>
      <c r="BI819" s="334"/>
      <c r="BJ819" s="334"/>
      <c r="BK819" s="334"/>
      <c r="BM819" s="334"/>
      <c r="BN819" s="334"/>
      <c r="BO819" s="334"/>
      <c r="BP819" s="334"/>
      <c r="BQ819" s="334"/>
    </row>
    <row r="820" spans="45:69" x14ac:dyDescent="0.25">
      <c r="AS820" s="202"/>
      <c r="AV820" s="103"/>
      <c r="AW820" s="200"/>
      <c r="AX820" s="334"/>
      <c r="AY820" s="334"/>
      <c r="AZ820" s="334"/>
      <c r="BA820" s="210"/>
      <c r="BB820" s="334"/>
      <c r="BC820" s="213"/>
      <c r="BD820" s="213"/>
      <c r="BE820" s="210"/>
      <c r="BG820" s="334"/>
      <c r="BH820" s="334"/>
      <c r="BI820" s="334"/>
      <c r="BJ820" s="334"/>
      <c r="BK820" s="334"/>
      <c r="BM820" s="334"/>
      <c r="BN820" s="334"/>
      <c r="BO820" s="334"/>
      <c r="BP820" s="334"/>
      <c r="BQ820" s="334"/>
    </row>
    <row r="821" spans="45:69" x14ac:dyDescent="0.25">
      <c r="AS821" s="202"/>
      <c r="AV821" s="103"/>
      <c r="AW821" s="200"/>
      <c r="AX821" s="334"/>
      <c r="AY821" s="334"/>
      <c r="AZ821" s="334"/>
      <c r="BA821" s="210"/>
      <c r="BB821" s="334"/>
      <c r="BC821" s="213"/>
      <c r="BD821" s="213"/>
      <c r="BE821" s="210"/>
      <c r="BG821" s="334"/>
      <c r="BH821" s="334"/>
      <c r="BI821" s="334"/>
      <c r="BJ821" s="334"/>
      <c r="BK821" s="334"/>
      <c r="BM821" s="334"/>
      <c r="BN821" s="334"/>
      <c r="BO821" s="334"/>
      <c r="BP821" s="334"/>
      <c r="BQ821" s="334"/>
    </row>
    <row r="822" spans="45:69" x14ac:dyDescent="0.25">
      <c r="AY822" s="213"/>
      <c r="AZ822" s="334"/>
      <c r="BA822" s="210"/>
      <c r="BB822" s="334"/>
      <c r="BC822" s="213"/>
      <c r="BD822" s="213"/>
      <c r="BE822" s="210"/>
      <c r="BK822" s="334"/>
      <c r="BQ822" s="334"/>
    </row>
    <row r="823" spans="45:69" x14ac:dyDescent="0.25">
      <c r="AU823" s="154"/>
      <c r="AZ823" s="334"/>
      <c r="BB823" s="334"/>
      <c r="BG823" s="334"/>
      <c r="BH823" s="334"/>
      <c r="BJ823" s="334"/>
      <c r="BK823" s="334"/>
    </row>
    <row r="824" spans="45:69" x14ac:dyDescent="0.25">
      <c r="AZ824" s="334"/>
      <c r="BB824" s="334"/>
    </row>
    <row r="825" spans="45:69" x14ac:dyDescent="0.25">
      <c r="AS825" s="154"/>
      <c r="AZ825" s="334"/>
      <c r="BB825" s="334"/>
      <c r="BI825" s="334"/>
    </row>
    <row r="826" spans="45:69" x14ac:dyDescent="0.25">
      <c r="AY826" s="202"/>
      <c r="AZ826" s="334"/>
      <c r="BB826" s="334"/>
    </row>
    <row r="827" spans="45:69" x14ac:dyDescent="0.25">
      <c r="AY827" s="334"/>
      <c r="BB827" s="334"/>
    </row>
    <row r="828" spans="45:69" x14ac:dyDescent="0.25">
      <c r="AY828" s="154"/>
      <c r="AZ828" s="334"/>
      <c r="BB828" s="334"/>
    </row>
    <row r="829" spans="45:69" x14ac:dyDescent="0.25">
      <c r="AY829" s="154"/>
      <c r="AZ829" s="334"/>
      <c r="BB829" s="334"/>
    </row>
    <row r="830" spans="45:69" x14ac:dyDescent="0.25">
      <c r="AS830" s="202"/>
      <c r="AZ830" s="334"/>
      <c r="BB830" s="334"/>
      <c r="BD830" s="154"/>
    </row>
    <row r="831" spans="45:69" x14ac:dyDescent="0.25">
      <c r="AS831" s="202"/>
      <c r="AZ831" s="334"/>
      <c r="BB831" s="334"/>
      <c r="BD831" s="154"/>
    </row>
    <row r="832" spans="45:69" x14ac:dyDescent="0.25">
      <c r="AS832" s="154"/>
      <c r="AZ832" s="334"/>
      <c r="BB832" s="334"/>
      <c r="BD832" s="154"/>
    </row>
    <row r="833" spans="45:75" x14ac:dyDescent="0.25">
      <c r="AZ833" s="334"/>
      <c r="BB833" s="334"/>
      <c r="BD833" s="202"/>
    </row>
    <row r="834" spans="45:75" x14ac:dyDescent="0.25">
      <c r="AS834" s="102"/>
      <c r="AT834" s="102"/>
      <c r="AU834" s="102"/>
      <c r="AV834" s="102"/>
      <c r="AW834" s="102"/>
      <c r="AX834" s="102"/>
      <c r="AY834" s="102"/>
      <c r="AZ834" s="335"/>
      <c r="BA834" s="102"/>
      <c r="BB834" s="335"/>
      <c r="BC834" s="102"/>
      <c r="BD834" s="102"/>
      <c r="BE834" s="102"/>
    </row>
    <row r="835" spans="45:75" x14ac:dyDescent="0.25">
      <c r="AX835" s="154"/>
      <c r="AZ835" s="334"/>
      <c r="BB835" s="334"/>
    </row>
    <row r="836" spans="45:75" x14ac:dyDescent="0.25">
      <c r="AX836" s="102"/>
      <c r="AY836" s="102"/>
      <c r="AZ836" s="335"/>
      <c r="BA836" s="102"/>
      <c r="BB836" s="334"/>
      <c r="BC836" s="103"/>
      <c r="BD836" s="103"/>
    </row>
    <row r="837" spans="45:75" x14ac:dyDescent="0.25">
      <c r="AV837" s="103"/>
      <c r="AW837" s="103"/>
      <c r="AZ837" s="336"/>
      <c r="BA837" s="103"/>
      <c r="BB837" s="334"/>
      <c r="BC837" s="103"/>
      <c r="BD837" s="103"/>
      <c r="BE837" s="103"/>
      <c r="BG837" s="102"/>
      <c r="BH837" s="102"/>
      <c r="BI837" s="154"/>
      <c r="BM837" s="102"/>
      <c r="BN837" s="102"/>
      <c r="BP837" s="102"/>
      <c r="BQ837" s="102"/>
      <c r="BR837" s="154"/>
      <c r="BV837" s="102"/>
      <c r="BW837" s="102"/>
    </row>
    <row r="838" spans="45:75" x14ac:dyDescent="0.25">
      <c r="AV838" s="103"/>
      <c r="AW838" s="103"/>
      <c r="AX838" s="103"/>
      <c r="AY838" s="103"/>
      <c r="AZ838" s="336"/>
      <c r="BA838" s="103"/>
      <c r="BB838" s="336"/>
      <c r="BC838" s="103"/>
      <c r="BD838" s="103"/>
      <c r="BE838" s="103"/>
      <c r="BH838" s="103"/>
      <c r="BI838" s="103"/>
      <c r="BJ838" s="103"/>
      <c r="BK838" s="103"/>
      <c r="BL838" s="103"/>
      <c r="BM838" s="103"/>
      <c r="BQ838" s="103"/>
      <c r="BR838" s="103"/>
      <c r="BS838" s="103"/>
      <c r="BT838" s="103"/>
      <c r="BU838" s="103"/>
      <c r="BV838" s="103"/>
    </row>
    <row r="839" spans="45:75" x14ac:dyDescent="0.25">
      <c r="AS839" s="103"/>
      <c r="AU839" s="154"/>
      <c r="AV839" s="103"/>
      <c r="AW839" s="103"/>
      <c r="AX839" s="103"/>
      <c r="AY839" s="103"/>
      <c r="AZ839" s="336"/>
      <c r="BA839" s="103"/>
      <c r="BB839" s="336"/>
      <c r="BC839" s="103"/>
      <c r="BD839" s="103"/>
      <c r="BE839" s="103"/>
      <c r="BG839" s="103"/>
      <c r="BH839" s="103"/>
      <c r="BI839" s="103"/>
      <c r="BJ839" s="103"/>
      <c r="BK839" s="103"/>
      <c r="BL839" s="103"/>
      <c r="BM839" s="103"/>
      <c r="BN839" s="103"/>
      <c r="BP839" s="103"/>
      <c r="BQ839" s="103"/>
      <c r="BR839" s="103"/>
      <c r="BS839" s="103"/>
      <c r="BT839" s="103"/>
      <c r="BU839" s="103"/>
      <c r="BV839" s="103"/>
      <c r="BW839" s="103"/>
    </row>
    <row r="840" spans="45:75" x14ac:dyDescent="0.25">
      <c r="AS840" s="103"/>
      <c r="AU840" s="154"/>
      <c r="AV840" s="103"/>
      <c r="AW840" s="103"/>
      <c r="AX840" s="103"/>
      <c r="AY840" s="103"/>
      <c r="AZ840" s="336"/>
      <c r="BA840" s="103"/>
      <c r="BB840" s="336"/>
      <c r="BC840" s="103"/>
      <c r="BD840" s="103"/>
      <c r="BE840" s="103"/>
      <c r="BG840" s="103"/>
      <c r="BH840" s="103"/>
      <c r="BI840" s="103"/>
      <c r="BJ840" s="103"/>
      <c r="BK840" s="103"/>
      <c r="BL840" s="103"/>
      <c r="BM840" s="103"/>
      <c r="BN840" s="103"/>
      <c r="BP840" s="103"/>
      <c r="BQ840" s="103"/>
      <c r="BR840" s="103"/>
      <c r="BS840" s="103"/>
      <c r="BT840" s="103"/>
      <c r="BU840" s="103"/>
      <c r="BV840" s="103"/>
      <c r="BW840" s="103"/>
    </row>
    <row r="841" spans="45:75" x14ac:dyDescent="0.25">
      <c r="AS841" s="102"/>
      <c r="AT841" s="102"/>
      <c r="AU841" s="102"/>
      <c r="AV841" s="102"/>
      <c r="AW841" s="102"/>
      <c r="AX841" s="102"/>
      <c r="AY841" s="102"/>
      <c r="AZ841" s="335"/>
      <c r="BA841" s="102"/>
      <c r="BB841" s="335"/>
      <c r="BC841" s="102"/>
      <c r="BD841" s="102"/>
      <c r="BE841" s="102"/>
      <c r="BG841" s="102"/>
      <c r="BH841" s="102"/>
      <c r="BI841" s="102"/>
      <c r="BJ841" s="102"/>
      <c r="BK841" s="102"/>
      <c r="BL841" s="102"/>
      <c r="BM841" s="102"/>
      <c r="BN841" s="102"/>
      <c r="BP841" s="102"/>
      <c r="BQ841" s="102"/>
      <c r="BR841" s="102"/>
      <c r="BS841" s="102"/>
      <c r="BT841" s="102"/>
      <c r="BU841" s="102"/>
      <c r="BV841" s="102"/>
      <c r="BW841" s="102"/>
    </row>
    <row r="842" spans="45:75" x14ac:dyDescent="0.25">
      <c r="AV842" s="103"/>
      <c r="AW842" s="103"/>
      <c r="AX842" s="103"/>
      <c r="AY842" s="103"/>
      <c r="AZ842" s="336"/>
      <c r="BA842" s="103"/>
      <c r="BB842" s="336"/>
      <c r="BC842" s="103"/>
      <c r="BD842" s="103"/>
      <c r="BE842" s="103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  <c r="BT842" s="334"/>
      <c r="BU842" s="334"/>
      <c r="BV842" s="334"/>
      <c r="BW842" s="334"/>
    </row>
    <row r="843" spans="45:75" x14ac:dyDescent="0.25">
      <c r="AS843" s="202"/>
      <c r="AU843" s="154"/>
      <c r="AV843" s="202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  <c r="BT843" s="334"/>
      <c r="BU843" s="334"/>
      <c r="BV843" s="334"/>
      <c r="BW843" s="334"/>
    </row>
    <row r="844" spans="45:75" x14ac:dyDescent="0.25">
      <c r="AS844" s="202"/>
      <c r="AV844" s="202"/>
      <c r="AW844" s="200"/>
      <c r="AX844" s="334"/>
      <c r="AY844" s="334"/>
      <c r="AZ844" s="334"/>
      <c r="BA844" s="201"/>
      <c r="BB844" s="334"/>
      <c r="BC844" s="334"/>
      <c r="BD844" s="334"/>
      <c r="BE844" s="201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  <c r="BT844" s="334"/>
      <c r="BU844" s="334"/>
      <c r="BV844" s="334"/>
      <c r="BW844" s="334"/>
    </row>
    <row r="845" spans="45:75" x14ac:dyDescent="0.25">
      <c r="AS845" s="202"/>
      <c r="AV845" s="202"/>
      <c r="AW845" s="200"/>
      <c r="AX845" s="334"/>
      <c r="AY845" s="33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  <c r="BT845" s="334"/>
      <c r="BU845" s="334"/>
      <c r="BV845" s="334"/>
      <c r="BW845" s="334"/>
    </row>
    <row r="846" spans="45:75" x14ac:dyDescent="0.25">
      <c r="AS846" s="202"/>
      <c r="AV846" s="202"/>
      <c r="AW846" s="200"/>
      <c r="AX846" s="334"/>
      <c r="AY846" s="334"/>
      <c r="AZ846" s="334"/>
      <c r="BA846" s="201"/>
      <c r="BB846" s="334"/>
      <c r="BC846" s="334"/>
      <c r="BD846" s="334"/>
      <c r="BE846" s="201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  <c r="BT846" s="334"/>
      <c r="BU846" s="334"/>
      <c r="BV846" s="334"/>
      <c r="BW846" s="334"/>
    </row>
    <row r="847" spans="45:75" x14ac:dyDescent="0.25">
      <c r="AS847" s="202"/>
      <c r="AV847" s="202"/>
      <c r="AW847" s="200"/>
      <c r="AX847" s="334"/>
      <c r="AY847" s="334"/>
      <c r="AZ847" s="334"/>
      <c r="BA847" s="201"/>
      <c r="BB847" s="334"/>
      <c r="BC847" s="334"/>
      <c r="BD847" s="334"/>
      <c r="BE847" s="201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  <c r="BT847" s="334"/>
      <c r="BU847" s="334"/>
      <c r="BV847" s="334"/>
      <c r="BW847" s="334"/>
    </row>
    <row r="848" spans="45:75" x14ac:dyDescent="0.25">
      <c r="AS848" s="202"/>
      <c r="AV848" s="202"/>
      <c r="AW848" s="200"/>
      <c r="AX848" s="334"/>
      <c r="AY848" s="334"/>
      <c r="AZ848" s="334"/>
      <c r="BA848" s="201"/>
      <c r="BB848" s="334"/>
      <c r="BC848" s="334"/>
      <c r="BD848" s="334"/>
      <c r="BE848" s="201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  <c r="BT848" s="334"/>
      <c r="BU848" s="334"/>
      <c r="BV848" s="334"/>
      <c r="BW848" s="334"/>
    </row>
    <row r="849" spans="45:75" x14ac:dyDescent="0.25">
      <c r="AS849" s="202"/>
      <c r="AV849" s="202"/>
      <c r="AW849" s="200"/>
      <c r="AX849" s="334"/>
      <c r="AY849" s="334"/>
      <c r="AZ849" s="334"/>
      <c r="BA849" s="201"/>
      <c r="BB849" s="334"/>
      <c r="BC849" s="334"/>
      <c r="BD849" s="334"/>
      <c r="BE849" s="201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  <c r="BR849" s="334"/>
      <c r="BS849" s="334"/>
      <c r="BT849" s="334"/>
      <c r="BU849" s="334"/>
      <c r="BV849" s="334"/>
      <c r="BW849" s="334"/>
    </row>
    <row r="850" spans="45:75" x14ac:dyDescent="0.25">
      <c r="AS850" s="202"/>
      <c r="AV850" s="202"/>
      <c r="AW850" s="200"/>
      <c r="AX850" s="334"/>
      <c r="AY850" s="334"/>
      <c r="AZ850" s="334"/>
      <c r="BA850" s="201"/>
      <c r="BB850" s="334"/>
      <c r="BC850" s="334"/>
      <c r="BD850" s="334"/>
      <c r="BE850" s="201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  <c r="BT850" s="334"/>
      <c r="BU850" s="334"/>
      <c r="BV850" s="334"/>
      <c r="BW850" s="334"/>
    </row>
    <row r="851" spans="45:75" x14ac:dyDescent="0.25">
      <c r="AS851" s="202"/>
      <c r="AV851" s="202"/>
      <c r="AW851" s="200"/>
      <c r="AX851" s="334"/>
      <c r="AY851" s="334"/>
      <c r="AZ851" s="334"/>
      <c r="BA851" s="201"/>
      <c r="BB851" s="334"/>
      <c r="BC851" s="334"/>
      <c r="BD851" s="334"/>
      <c r="BE851" s="201"/>
      <c r="BG851" s="334"/>
      <c r="BH851" s="334"/>
      <c r="BI851" s="334"/>
      <c r="BJ851" s="334"/>
      <c r="BK851" s="334"/>
      <c r="BL851" s="334"/>
      <c r="BM851" s="334"/>
      <c r="BN851" s="334"/>
      <c r="BO851" s="334"/>
      <c r="BP851" s="334"/>
      <c r="BQ851" s="334"/>
      <c r="BR851" s="334"/>
      <c r="BS851" s="334"/>
      <c r="BT851" s="334"/>
      <c r="BU851" s="334"/>
      <c r="BV851" s="334"/>
      <c r="BW851" s="334"/>
    </row>
    <row r="852" spans="45:75" x14ac:dyDescent="0.25">
      <c r="AS852" s="202"/>
      <c r="AV852" s="202"/>
      <c r="AW852" s="200"/>
      <c r="AX852" s="334"/>
      <c r="AY852" s="334"/>
      <c r="AZ852" s="334"/>
      <c r="BA852" s="201"/>
      <c r="BB852" s="334"/>
      <c r="BC852" s="334"/>
      <c r="BD852" s="334"/>
      <c r="BE852" s="201"/>
      <c r="BG852" s="334"/>
      <c r="BH852" s="334"/>
      <c r="BI852" s="334"/>
      <c r="BJ852" s="334"/>
      <c r="BK852" s="334"/>
      <c r="BL852" s="334"/>
      <c r="BM852" s="334"/>
      <c r="BN852" s="334"/>
      <c r="BO852" s="334"/>
      <c r="BP852" s="334"/>
      <c r="BQ852" s="334"/>
      <c r="BR852" s="334"/>
      <c r="BS852" s="334"/>
      <c r="BT852" s="334"/>
      <c r="BU852" s="334"/>
      <c r="BV852" s="334"/>
      <c r="BW852" s="334"/>
    </row>
    <row r="853" spans="45:75" x14ac:dyDescent="0.25">
      <c r="AS853" s="202"/>
      <c r="AV853" s="202"/>
      <c r="AW853" s="200"/>
      <c r="AX853" s="334"/>
      <c r="AY853" s="334"/>
      <c r="AZ853" s="334"/>
      <c r="BA853" s="201"/>
      <c r="BB853" s="334"/>
      <c r="BC853" s="334"/>
      <c r="BD853" s="334"/>
      <c r="BE853" s="201"/>
      <c r="BG853" s="334"/>
      <c r="BH853" s="334"/>
      <c r="BI853" s="334"/>
      <c r="BJ853" s="334"/>
      <c r="BK853" s="334"/>
      <c r="BL853" s="334"/>
      <c r="BM853" s="334"/>
      <c r="BN853" s="334"/>
      <c r="BO853" s="334"/>
      <c r="BP853" s="334"/>
      <c r="BQ853" s="334"/>
      <c r="BR853" s="334"/>
      <c r="BS853" s="334"/>
      <c r="BT853" s="334"/>
      <c r="BU853" s="334"/>
      <c r="BV853" s="334"/>
      <c r="BW853" s="334"/>
    </row>
    <row r="854" spans="45:75" x14ac:dyDescent="0.25">
      <c r="AS854" s="202"/>
      <c r="AV854" s="202"/>
      <c r="AW854" s="200"/>
      <c r="AX854" s="334"/>
      <c r="AY854" s="334"/>
      <c r="AZ854" s="334"/>
      <c r="BA854" s="201"/>
      <c r="BB854" s="334"/>
      <c r="BC854" s="334"/>
      <c r="BD854" s="334"/>
      <c r="BE854" s="201"/>
      <c r="BG854" s="334"/>
      <c r="BH854" s="334"/>
      <c r="BI854" s="334"/>
      <c r="BJ854" s="334"/>
      <c r="BK854" s="334"/>
      <c r="BL854" s="334"/>
      <c r="BM854" s="334"/>
      <c r="BN854" s="334"/>
      <c r="BO854" s="334"/>
      <c r="BP854" s="334"/>
      <c r="BQ854" s="334"/>
      <c r="BR854" s="334"/>
      <c r="BS854" s="334"/>
      <c r="BT854" s="334"/>
      <c r="BU854" s="334"/>
      <c r="BV854" s="334"/>
      <c r="BW854" s="334"/>
    </row>
    <row r="855" spans="45:75" x14ac:dyDescent="0.25">
      <c r="AS855" s="202"/>
      <c r="AV855" s="202"/>
      <c r="AW855" s="200"/>
      <c r="AX855" s="334"/>
      <c r="AY855" s="334"/>
      <c r="AZ855" s="334"/>
      <c r="BA855" s="201"/>
      <c r="BB855" s="334"/>
      <c r="BC855" s="334"/>
      <c r="BD855" s="334"/>
      <c r="BE855" s="201"/>
      <c r="BG855" s="334"/>
      <c r="BH855" s="334"/>
      <c r="BI855" s="334"/>
      <c r="BJ855" s="334"/>
      <c r="BK855" s="334"/>
      <c r="BL855" s="334"/>
      <c r="BM855" s="334"/>
      <c r="BN855" s="334"/>
      <c r="BO855" s="334"/>
      <c r="BP855" s="334"/>
      <c r="BQ855" s="334"/>
      <c r="BR855" s="334"/>
      <c r="BS855" s="334"/>
      <c r="BT855" s="334"/>
      <c r="BU855" s="334"/>
      <c r="BV855" s="334"/>
      <c r="BW855" s="334"/>
    </row>
    <row r="856" spans="45:75" x14ac:dyDescent="0.25">
      <c r="AS856" s="202"/>
      <c r="AV856" s="202"/>
      <c r="AW856" s="200"/>
      <c r="AX856" s="334"/>
      <c r="AY856" s="334"/>
      <c r="AZ856" s="334"/>
      <c r="BA856" s="201"/>
      <c r="BB856" s="334"/>
      <c r="BC856" s="334"/>
      <c r="BD856" s="334"/>
      <c r="BE856" s="201"/>
      <c r="BG856" s="334"/>
      <c r="BH856" s="334"/>
      <c r="BI856" s="334"/>
      <c r="BJ856" s="334"/>
      <c r="BK856" s="334"/>
      <c r="BL856" s="334"/>
      <c r="BM856" s="334"/>
      <c r="BN856" s="334"/>
      <c r="BO856" s="334"/>
      <c r="BP856" s="334"/>
      <c r="BQ856" s="334"/>
      <c r="BR856" s="334"/>
      <c r="BS856" s="334"/>
      <c r="BT856" s="334"/>
      <c r="BU856" s="334"/>
      <c r="BV856" s="334"/>
      <c r="BW856" s="334"/>
    </row>
    <row r="857" spans="45:75" x14ac:dyDescent="0.25">
      <c r="AS857" s="202"/>
      <c r="AV857" s="202"/>
      <c r="AW857" s="200"/>
      <c r="AX857" s="334"/>
      <c r="AY857" s="334"/>
      <c r="AZ857" s="334"/>
      <c r="BA857" s="201"/>
      <c r="BB857" s="334"/>
      <c r="BC857" s="334"/>
      <c r="BD857" s="334"/>
      <c r="BE857" s="201"/>
      <c r="BG857" s="334"/>
      <c r="BH857" s="334"/>
      <c r="BI857" s="334"/>
      <c r="BJ857" s="334"/>
      <c r="BK857" s="334"/>
      <c r="BL857" s="334"/>
      <c r="BM857" s="334"/>
      <c r="BN857" s="334"/>
      <c r="BO857" s="334"/>
      <c r="BP857" s="334"/>
      <c r="BQ857" s="334"/>
      <c r="BR857" s="334"/>
      <c r="BS857" s="334"/>
      <c r="BT857" s="334"/>
      <c r="BU857" s="334"/>
      <c r="BV857" s="334"/>
      <c r="BW857" s="334"/>
    </row>
    <row r="858" spans="45:75" x14ac:dyDescent="0.25">
      <c r="AS858" s="202"/>
      <c r="AV858" s="202"/>
      <c r="AW858" s="200"/>
      <c r="AX858" s="334"/>
      <c r="AY858" s="334"/>
      <c r="AZ858" s="334"/>
      <c r="BA858" s="201"/>
      <c r="BB858" s="334"/>
      <c r="BC858" s="334"/>
      <c r="BD858" s="334"/>
      <c r="BE858" s="201"/>
      <c r="BG858" s="334"/>
      <c r="BH858" s="334"/>
      <c r="BI858" s="334"/>
      <c r="BJ858" s="334"/>
      <c r="BK858" s="334"/>
      <c r="BL858" s="334"/>
      <c r="BM858" s="334"/>
      <c r="BN858" s="334"/>
      <c r="BO858" s="334"/>
      <c r="BP858" s="334"/>
      <c r="BQ858" s="334"/>
      <c r="BR858" s="334"/>
      <c r="BS858" s="334"/>
      <c r="BT858" s="334"/>
      <c r="BU858" s="334"/>
      <c r="BV858" s="334"/>
      <c r="BW858" s="334"/>
    </row>
    <row r="859" spans="45:75" x14ac:dyDescent="0.25">
      <c r="AS859" s="202"/>
      <c r="AV859" s="202"/>
      <c r="AW859" s="200"/>
      <c r="AX859" s="334"/>
      <c r="AY859" s="334"/>
      <c r="AZ859" s="334"/>
      <c r="BA859" s="201"/>
      <c r="BB859" s="334"/>
      <c r="BC859" s="334"/>
      <c r="BD859" s="334"/>
      <c r="BE859" s="201"/>
      <c r="BG859" s="334"/>
      <c r="BH859" s="334"/>
      <c r="BI859" s="334"/>
      <c r="BJ859" s="334"/>
      <c r="BK859" s="334"/>
      <c r="BL859" s="334"/>
      <c r="BM859" s="334"/>
      <c r="BN859" s="334"/>
      <c r="BO859" s="334"/>
      <c r="BP859" s="334"/>
      <c r="BQ859" s="334"/>
      <c r="BR859" s="334"/>
      <c r="BS859" s="334"/>
      <c r="BT859" s="334"/>
      <c r="BU859" s="334"/>
      <c r="BV859" s="334"/>
      <c r="BW859" s="334"/>
    </row>
    <row r="860" spans="45:75" x14ac:dyDescent="0.25">
      <c r="AS860" s="202"/>
      <c r="AV860" s="202"/>
      <c r="AW860" s="200"/>
      <c r="AX860" s="334"/>
      <c r="AY860" s="334"/>
      <c r="AZ860" s="334"/>
      <c r="BA860" s="201"/>
      <c r="BB860" s="334"/>
      <c r="BC860" s="334"/>
      <c r="BD860" s="334"/>
      <c r="BE860" s="201"/>
      <c r="BG860" s="334"/>
      <c r="BH860" s="334"/>
      <c r="BI860" s="334"/>
      <c r="BJ860" s="334"/>
      <c r="BK860" s="334"/>
      <c r="BL860" s="334"/>
      <c r="BM860" s="334"/>
      <c r="BN860" s="334"/>
      <c r="BO860" s="334"/>
      <c r="BP860" s="334"/>
      <c r="BQ860" s="334"/>
      <c r="BR860" s="334"/>
      <c r="BS860" s="334"/>
      <c r="BT860" s="334"/>
      <c r="BU860" s="334"/>
      <c r="BV860" s="334"/>
      <c r="BW860" s="334"/>
    </row>
    <row r="861" spans="45:75" x14ac:dyDescent="0.25">
      <c r="AS861" s="202"/>
      <c r="AV861" s="202"/>
      <c r="AW861" s="200"/>
      <c r="AX861" s="334"/>
      <c r="AY861" s="334"/>
      <c r="AZ861" s="334"/>
      <c r="BA861" s="201"/>
      <c r="BB861" s="334"/>
      <c r="BC861" s="334"/>
      <c r="BD861" s="334"/>
      <c r="BE861" s="201"/>
      <c r="BG861" s="334"/>
      <c r="BH861" s="334"/>
      <c r="BI861" s="334"/>
      <c r="BJ861" s="334"/>
      <c r="BK861" s="334"/>
      <c r="BL861" s="334"/>
      <c r="BM861" s="334"/>
      <c r="BN861" s="334"/>
      <c r="BO861" s="334"/>
      <c r="BP861" s="334"/>
      <c r="BQ861" s="334"/>
      <c r="BR861" s="334"/>
      <c r="BS861" s="334"/>
      <c r="BT861" s="334"/>
      <c r="BU861" s="334"/>
      <c r="BV861" s="334"/>
      <c r="BW861" s="334"/>
    </row>
    <row r="862" spans="45:75" x14ac:dyDescent="0.25">
      <c r="AS862" s="202"/>
      <c r="AV862" s="202"/>
      <c r="AW862" s="200"/>
      <c r="AX862" s="334"/>
      <c r="AY862" s="334"/>
      <c r="AZ862" s="334"/>
      <c r="BA862" s="201"/>
      <c r="BB862" s="334"/>
      <c r="BC862" s="334"/>
      <c r="BD862" s="334"/>
      <c r="BE862" s="201"/>
      <c r="BG862" s="334"/>
      <c r="BH862" s="334"/>
      <c r="BI862" s="334"/>
      <c r="BJ862" s="334"/>
      <c r="BK862" s="334"/>
      <c r="BL862" s="334"/>
      <c r="BM862" s="334"/>
      <c r="BN862" s="334"/>
      <c r="BO862" s="334"/>
      <c r="BP862" s="334"/>
      <c r="BQ862" s="334"/>
      <c r="BR862" s="334"/>
      <c r="BS862" s="334"/>
      <c r="BT862" s="334"/>
      <c r="BU862" s="334"/>
      <c r="BV862" s="334"/>
      <c r="BW862" s="334"/>
    </row>
    <row r="863" spans="45:75" x14ac:dyDescent="0.25">
      <c r="AS863" s="202"/>
      <c r="AV863" s="202"/>
      <c r="AW863" s="200"/>
      <c r="AX863" s="334"/>
      <c r="AY863" s="334"/>
      <c r="AZ863" s="334"/>
      <c r="BA863" s="201"/>
      <c r="BB863" s="334"/>
      <c r="BC863" s="334"/>
      <c r="BD863" s="334"/>
      <c r="BE863" s="201"/>
      <c r="BG863" s="334"/>
      <c r="BH863" s="334"/>
      <c r="BI863" s="334"/>
      <c r="BJ863" s="334"/>
      <c r="BK863" s="334"/>
      <c r="BL863" s="334"/>
      <c r="BM863" s="334"/>
      <c r="BN863" s="334"/>
      <c r="BO863" s="334"/>
      <c r="BP863" s="334"/>
      <c r="BQ863" s="334"/>
      <c r="BR863" s="334"/>
      <c r="BS863" s="334"/>
      <c r="BT863" s="334"/>
      <c r="BU863" s="334"/>
      <c r="BV863" s="334"/>
      <c r="BW863" s="334"/>
    </row>
    <row r="864" spans="45:75" x14ac:dyDescent="0.25">
      <c r="AW864" s="200"/>
      <c r="AX864" s="334"/>
      <c r="AY864" s="334"/>
      <c r="AZ864" s="334"/>
      <c r="BA864" s="201"/>
      <c r="BB864" s="334"/>
      <c r="BC864" s="334"/>
      <c r="BD864" s="334"/>
      <c r="BE864" s="201"/>
      <c r="BG864" s="102"/>
      <c r="BH864" s="102"/>
      <c r="BI864" s="154"/>
      <c r="BM864" s="102"/>
      <c r="BN864" s="102"/>
      <c r="BO864" s="334"/>
      <c r="BP864" s="102"/>
      <c r="BQ864" s="102"/>
      <c r="BR864" s="154"/>
      <c r="BV864" s="102"/>
      <c r="BW864" s="102"/>
    </row>
    <row r="865" spans="45:75" x14ac:dyDescent="0.25">
      <c r="AS865" s="202"/>
      <c r="AU865" s="154"/>
      <c r="AV865" s="103"/>
      <c r="AW865" s="200"/>
      <c r="AX865" s="334"/>
      <c r="AY865" s="334"/>
      <c r="AZ865" s="334"/>
      <c r="BA865" s="201"/>
      <c r="BB865" s="334"/>
      <c r="BC865" s="334"/>
      <c r="BD865" s="334"/>
      <c r="BE865" s="201"/>
      <c r="BG865" s="336"/>
      <c r="BH865" s="334"/>
      <c r="BI865" s="334"/>
      <c r="BJ865" s="334"/>
      <c r="BK865" s="336"/>
      <c r="BL865" s="337"/>
      <c r="BM865" s="334"/>
      <c r="BN865" s="336"/>
      <c r="BO865" s="334"/>
      <c r="BP865" s="336"/>
      <c r="BQ865" s="334"/>
      <c r="BR865" s="334"/>
      <c r="BS865" s="334"/>
      <c r="BT865" s="336"/>
      <c r="BU865" s="337"/>
      <c r="BV865" s="334"/>
      <c r="BW865" s="336"/>
    </row>
    <row r="866" spans="45:75" x14ac:dyDescent="0.25">
      <c r="AS866" s="202"/>
      <c r="AV866" s="103"/>
      <c r="AW866" s="200"/>
      <c r="AX866" s="334"/>
      <c r="AY866" s="334"/>
      <c r="AZ866" s="334"/>
      <c r="BA866" s="201"/>
      <c r="BB866" s="334"/>
      <c r="BC866" s="334"/>
      <c r="BD866" s="334"/>
      <c r="BE866" s="201"/>
      <c r="BG866" s="334"/>
      <c r="BH866" s="334"/>
      <c r="BI866" s="334"/>
      <c r="BJ866" s="334"/>
      <c r="BK866" s="334"/>
      <c r="BL866" s="337"/>
      <c r="BM866" s="334"/>
      <c r="BN866" s="334"/>
      <c r="BO866" s="334"/>
      <c r="BP866" s="334"/>
      <c r="BQ866" s="334"/>
      <c r="BR866" s="334"/>
      <c r="BS866" s="334"/>
      <c r="BT866" s="334"/>
      <c r="BU866" s="337"/>
      <c r="BV866" s="334"/>
      <c r="BW866" s="334"/>
    </row>
    <row r="867" spans="45:75" x14ac:dyDescent="0.25">
      <c r="AS867" s="202"/>
      <c r="AV867" s="103"/>
      <c r="AW867" s="200"/>
      <c r="AX867" s="334"/>
      <c r="AY867" s="334"/>
      <c r="AZ867" s="334"/>
      <c r="BA867" s="201"/>
      <c r="BB867" s="334"/>
      <c r="BC867" s="334"/>
      <c r="BD867" s="334"/>
      <c r="BE867" s="201"/>
      <c r="BG867" s="334"/>
      <c r="BH867" s="334"/>
      <c r="BI867" s="334"/>
      <c r="BJ867" s="334"/>
      <c r="BK867" s="334"/>
      <c r="BL867" s="337"/>
      <c r="BM867" s="334"/>
      <c r="BN867" s="334"/>
      <c r="BO867" s="334"/>
      <c r="BP867" s="334"/>
      <c r="BQ867" s="334"/>
      <c r="BR867" s="334"/>
      <c r="BS867" s="334"/>
      <c r="BT867" s="334"/>
      <c r="BU867" s="337"/>
      <c r="BV867" s="334"/>
      <c r="BW867" s="334"/>
    </row>
    <row r="868" spans="45:75" x14ac:dyDescent="0.25">
      <c r="AS868" s="202"/>
      <c r="AV868" s="103"/>
      <c r="AW868" s="200"/>
      <c r="AX868" s="334"/>
      <c r="AY868" s="334"/>
      <c r="AZ868" s="334"/>
      <c r="BA868" s="201"/>
      <c r="BB868" s="334"/>
      <c r="BC868" s="334"/>
      <c r="BD868" s="334"/>
      <c r="BE868" s="201"/>
      <c r="BG868" s="334"/>
      <c r="BH868" s="334"/>
      <c r="BI868" s="334"/>
      <c r="BJ868" s="334"/>
      <c r="BK868" s="334"/>
      <c r="BL868" s="337"/>
      <c r="BM868" s="334"/>
      <c r="BN868" s="334"/>
      <c r="BO868" s="334"/>
      <c r="BP868" s="334"/>
      <c r="BQ868" s="334"/>
      <c r="BR868" s="334"/>
      <c r="BS868" s="334"/>
      <c r="BT868" s="334"/>
      <c r="BU868" s="337"/>
      <c r="BV868" s="334"/>
      <c r="BW868" s="334"/>
    </row>
    <row r="869" spans="45:75" x14ac:dyDescent="0.25">
      <c r="AX869" s="334"/>
      <c r="AY869" s="334"/>
      <c r="AZ869" s="334"/>
      <c r="BA869" s="201"/>
      <c r="BB869" s="334"/>
      <c r="BC869" s="334"/>
      <c r="BD869" s="334"/>
      <c r="BE869" s="201"/>
      <c r="BG869" s="334"/>
      <c r="BH869" s="334"/>
      <c r="BI869" s="334"/>
      <c r="BJ869" s="334"/>
      <c r="BK869" s="334"/>
      <c r="BL869" s="334"/>
      <c r="BM869" s="334"/>
      <c r="BN869" s="334"/>
      <c r="BO869" s="334"/>
      <c r="BP869" s="334"/>
      <c r="BQ869" s="334"/>
      <c r="BR869" s="334"/>
      <c r="BS869" s="334"/>
      <c r="BT869" s="334"/>
      <c r="BU869" s="334"/>
      <c r="BV869" s="334"/>
    </row>
    <row r="870" spans="45:75" x14ac:dyDescent="0.25">
      <c r="AU870" s="154"/>
    </row>
    <row r="871" spans="45:75" x14ac:dyDescent="0.25">
      <c r="AU871" s="154"/>
      <c r="AZ871" s="334"/>
      <c r="BA871" s="201"/>
      <c r="BB871" s="334"/>
      <c r="BC871" s="334"/>
      <c r="BD871" s="334"/>
      <c r="BE871" s="201"/>
      <c r="BG871" s="334"/>
      <c r="BH871" s="334"/>
      <c r="BI871" s="334"/>
      <c r="BJ871" s="334"/>
      <c r="BK871" s="334"/>
      <c r="BL871" s="334"/>
      <c r="BM871" s="334"/>
      <c r="BN871" s="334"/>
      <c r="BO871" s="334"/>
      <c r="BP871" s="334"/>
      <c r="BQ871" s="334"/>
      <c r="BR871" s="334"/>
      <c r="BS871" s="334"/>
      <c r="BT871" s="334"/>
      <c r="BU871" s="334"/>
      <c r="BV871" s="334"/>
    </row>
    <row r="872" spans="45:75" x14ac:dyDescent="0.25">
      <c r="AS872" s="154"/>
      <c r="AZ872" s="334"/>
      <c r="BB872" s="334"/>
    </row>
    <row r="873" spans="45:75" x14ac:dyDescent="0.25">
      <c r="AY873" s="202"/>
      <c r="AZ873" s="334"/>
      <c r="BB873" s="334"/>
      <c r="BO873" s="334"/>
      <c r="BP873" s="334"/>
      <c r="BQ873" s="334"/>
      <c r="BR873" s="334"/>
      <c r="BS873" s="334"/>
      <c r="BT873" s="334"/>
      <c r="BU873" s="334"/>
      <c r="BV873" s="334"/>
    </row>
    <row r="874" spans="45:75" x14ac:dyDescent="0.25">
      <c r="AY874" s="334"/>
      <c r="AZ874" s="334"/>
      <c r="BB874" s="334"/>
      <c r="BO874" s="334"/>
      <c r="BP874" s="334"/>
      <c r="BQ874" s="334"/>
      <c r="BR874" s="334"/>
      <c r="BS874" s="334"/>
      <c r="BT874" s="334"/>
      <c r="BU874" s="334"/>
      <c r="BV874" s="334"/>
    </row>
    <row r="875" spans="45:75" x14ac:dyDescent="0.25">
      <c r="AY875" s="154"/>
      <c r="AZ875" s="334"/>
      <c r="BB875" s="334"/>
      <c r="BO875" s="334"/>
      <c r="BP875" s="334"/>
      <c r="BQ875" s="334"/>
      <c r="BR875" s="334"/>
      <c r="BS875" s="334"/>
      <c r="BT875" s="334"/>
      <c r="BU875" s="334"/>
      <c r="BV875" s="334"/>
    </row>
    <row r="876" spans="45:75" x14ac:dyDescent="0.25">
      <c r="AY876" s="154"/>
      <c r="AZ876" s="334"/>
      <c r="BB876" s="334"/>
      <c r="BO876" s="334"/>
      <c r="BP876" s="334"/>
      <c r="BQ876" s="334"/>
      <c r="BR876" s="334"/>
      <c r="BS876" s="334"/>
      <c r="BT876" s="334"/>
      <c r="BU876" s="334"/>
      <c r="BV876" s="334"/>
    </row>
    <row r="877" spans="45:75" x14ac:dyDescent="0.25">
      <c r="AS877" s="202"/>
      <c r="AZ877" s="334"/>
      <c r="BB877" s="334"/>
      <c r="BD877" s="154"/>
      <c r="BO877" s="334"/>
      <c r="BP877" s="334"/>
      <c r="BQ877" s="334"/>
      <c r="BR877" s="334"/>
      <c r="BS877" s="334"/>
      <c r="BT877" s="334"/>
      <c r="BU877" s="334"/>
      <c r="BV877" s="334"/>
    </row>
    <row r="878" spans="45:75" x14ac:dyDescent="0.25">
      <c r="AS878" s="202"/>
      <c r="AZ878" s="334"/>
      <c r="BB878" s="334"/>
      <c r="BD878" s="154"/>
      <c r="BO878" s="334"/>
      <c r="BP878" s="334"/>
      <c r="BQ878" s="334"/>
      <c r="BR878" s="334"/>
      <c r="BS878" s="334"/>
      <c r="BT878" s="334"/>
      <c r="BU878" s="334"/>
      <c r="BV878" s="334"/>
    </row>
    <row r="879" spans="45:75" x14ac:dyDescent="0.25">
      <c r="AS879" s="154"/>
      <c r="AZ879" s="334"/>
      <c r="BB879" s="334"/>
      <c r="BD879" s="154"/>
      <c r="BO879" s="334"/>
      <c r="BP879" s="334"/>
      <c r="BQ879" s="334"/>
      <c r="BR879" s="334"/>
      <c r="BS879" s="334"/>
      <c r="BT879" s="334"/>
      <c r="BU879" s="334"/>
      <c r="BV879" s="334"/>
    </row>
    <row r="880" spans="45:75" x14ac:dyDescent="0.25">
      <c r="AZ880" s="334"/>
      <c r="BB880" s="334"/>
      <c r="BD880" s="202"/>
      <c r="BO880" s="334"/>
      <c r="BP880" s="334"/>
      <c r="BQ880" s="334"/>
      <c r="BR880" s="334"/>
      <c r="BS880" s="334"/>
      <c r="BT880" s="334"/>
      <c r="BU880" s="334"/>
      <c r="BV880" s="334"/>
    </row>
    <row r="881" spans="45:74" x14ac:dyDescent="0.25">
      <c r="AS881" s="102"/>
      <c r="AT881" s="102"/>
      <c r="AU881" s="102"/>
      <c r="AV881" s="102"/>
      <c r="AW881" s="102"/>
      <c r="AX881" s="102"/>
      <c r="AY881" s="102"/>
      <c r="AZ881" s="335"/>
      <c r="BA881" s="102"/>
      <c r="BB881" s="335"/>
      <c r="BC881" s="102"/>
      <c r="BD881" s="102"/>
      <c r="BE881" s="102"/>
      <c r="BO881" s="334"/>
      <c r="BP881" s="334"/>
      <c r="BQ881" s="334"/>
      <c r="BR881" s="334"/>
      <c r="BS881" s="334"/>
      <c r="BT881" s="334"/>
      <c r="BU881" s="334"/>
      <c r="BV881" s="334"/>
    </row>
    <row r="882" spans="45:74" x14ac:dyDescent="0.25">
      <c r="AX882" s="154"/>
      <c r="AZ882" s="334"/>
      <c r="BB882" s="334"/>
      <c r="BO882" s="334"/>
      <c r="BP882" s="334"/>
      <c r="BQ882" s="334"/>
      <c r="BR882" s="334"/>
      <c r="BS882" s="334"/>
      <c r="BT882" s="334"/>
      <c r="BU882" s="334"/>
      <c r="BV882" s="334"/>
    </row>
    <row r="883" spans="45:74" x14ac:dyDescent="0.25">
      <c r="AX883" s="102"/>
      <c r="AY883" s="102"/>
      <c r="AZ883" s="335"/>
      <c r="BA883" s="102"/>
      <c r="BB883" s="334"/>
      <c r="BC883" s="103"/>
      <c r="BD883" s="103"/>
      <c r="BO883" s="334"/>
      <c r="BP883" s="334"/>
      <c r="BQ883" s="334"/>
      <c r="BR883" s="334"/>
      <c r="BS883" s="334"/>
      <c r="BT883" s="334"/>
      <c r="BU883" s="334"/>
      <c r="BV883" s="334"/>
    </row>
    <row r="884" spans="45:74" x14ac:dyDescent="0.25">
      <c r="AV884" s="103"/>
      <c r="AW884" s="103"/>
      <c r="AZ884" s="336"/>
      <c r="BA884" s="103"/>
      <c r="BB884" s="334"/>
      <c r="BC884" s="103"/>
      <c r="BD884" s="103"/>
      <c r="BE884" s="103"/>
      <c r="BG884" s="102"/>
      <c r="BH884" s="154"/>
      <c r="BK884" s="102"/>
      <c r="BM884" s="102"/>
      <c r="BN884" s="154"/>
      <c r="BQ884" s="102"/>
    </row>
    <row r="885" spans="45:74" x14ac:dyDescent="0.25">
      <c r="AV885" s="103"/>
      <c r="AW885" s="103"/>
      <c r="AX885" s="103"/>
      <c r="AY885" s="103"/>
      <c r="AZ885" s="336"/>
      <c r="BA885" s="103"/>
      <c r="BB885" s="336"/>
      <c r="BC885" s="103"/>
      <c r="BD885" s="103"/>
      <c r="BE885" s="103"/>
      <c r="BH885" s="103"/>
      <c r="BI885" s="103"/>
      <c r="BN885" s="103"/>
      <c r="BO885" s="103"/>
    </row>
    <row r="886" spans="45:74" x14ac:dyDescent="0.25">
      <c r="AS886" s="103"/>
      <c r="AU886" s="154"/>
      <c r="AV886" s="103"/>
      <c r="AW886" s="103"/>
      <c r="AX886" s="103"/>
      <c r="AY886" s="103"/>
      <c r="AZ886" s="336"/>
      <c r="BA886" s="103"/>
      <c r="BB886" s="336"/>
      <c r="BC886" s="103"/>
      <c r="BD886" s="103"/>
      <c r="BE886" s="103"/>
      <c r="BG886" s="103"/>
      <c r="BH886" s="103"/>
      <c r="BI886" s="103"/>
      <c r="BJ886" s="103"/>
      <c r="BK886" s="103"/>
      <c r="BM886" s="103"/>
      <c r="BN886" s="103"/>
      <c r="BO886" s="103"/>
      <c r="BP886" s="103"/>
      <c r="BQ886" s="103"/>
    </row>
    <row r="887" spans="45:74" x14ac:dyDescent="0.25">
      <c r="AS887" s="103"/>
      <c r="AU887" s="154"/>
      <c r="AV887" s="103"/>
      <c r="AW887" s="103"/>
      <c r="AX887" s="103"/>
      <c r="AY887" s="103"/>
      <c r="AZ887" s="336"/>
      <c r="BA887" s="103"/>
      <c r="BB887" s="336"/>
      <c r="BC887" s="103"/>
      <c r="BD887" s="103"/>
      <c r="BE887" s="103"/>
      <c r="BG887" s="103"/>
      <c r="BH887" s="103"/>
      <c r="BI887" s="103"/>
      <c r="BJ887" s="103"/>
      <c r="BK887" s="103"/>
      <c r="BM887" s="103"/>
      <c r="BN887" s="103"/>
      <c r="BO887" s="103"/>
      <c r="BP887" s="103"/>
      <c r="BQ887" s="103"/>
    </row>
    <row r="888" spans="45:74" x14ac:dyDescent="0.25">
      <c r="AS888" s="102"/>
      <c r="AT888" s="102"/>
      <c r="AU888" s="102"/>
      <c r="AV888" s="102"/>
      <c r="AW888" s="102"/>
      <c r="AX888" s="102"/>
      <c r="AY888" s="102"/>
      <c r="AZ888" s="335"/>
      <c r="BA888" s="102"/>
      <c r="BB888" s="335"/>
      <c r="BC888" s="102"/>
      <c r="BD888" s="102"/>
      <c r="BE888" s="102"/>
      <c r="BG888" s="102"/>
      <c r="BH888" s="102"/>
      <c r="BI888" s="102"/>
      <c r="BJ888" s="102"/>
      <c r="BK888" s="102"/>
      <c r="BM888" s="102"/>
      <c r="BN888" s="102"/>
      <c r="BO888" s="102"/>
      <c r="BP888" s="102"/>
      <c r="BQ888" s="102"/>
    </row>
    <row r="889" spans="45:74" x14ac:dyDescent="0.25">
      <c r="AV889" s="103"/>
      <c r="AW889" s="103"/>
      <c r="AX889" s="103"/>
      <c r="AY889" s="103"/>
      <c r="AZ889" s="336"/>
      <c r="BA889" s="103"/>
      <c r="BB889" s="336"/>
      <c r="BC889" s="103"/>
      <c r="BD889" s="103"/>
      <c r="BE889" s="103"/>
      <c r="BG889" s="334"/>
      <c r="BH889" s="334"/>
      <c r="BI889" s="334"/>
      <c r="BJ889" s="334"/>
      <c r="BK889" s="334"/>
      <c r="BL889" s="334"/>
      <c r="BM889" s="334"/>
      <c r="BN889" s="334"/>
      <c r="BO889" s="334"/>
      <c r="BP889" s="334"/>
      <c r="BQ889" s="334"/>
    </row>
    <row r="890" spans="45:74" x14ac:dyDescent="0.25">
      <c r="AS890" s="202"/>
      <c r="AT890" s="154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  <c r="BG890" s="334"/>
      <c r="BH890" s="334"/>
      <c r="BI890" s="334"/>
      <c r="BJ890" s="334"/>
      <c r="BK890" s="334"/>
      <c r="BL890" s="334"/>
      <c r="BM890" s="334"/>
      <c r="BN890" s="334"/>
      <c r="BO890" s="334"/>
      <c r="BP890" s="334"/>
      <c r="BQ890" s="334"/>
      <c r="BR890" s="334"/>
      <c r="BS890" s="334"/>
    </row>
    <row r="891" spans="45:74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  <c r="BG891" s="334"/>
      <c r="BH891" s="334"/>
      <c r="BI891" s="334"/>
      <c r="BJ891" s="334"/>
      <c r="BK891" s="334"/>
      <c r="BL891" s="334"/>
      <c r="BM891" s="334"/>
      <c r="BN891" s="334"/>
      <c r="BO891" s="334"/>
      <c r="BP891" s="334"/>
      <c r="BQ891" s="334"/>
      <c r="BR891" s="334"/>
      <c r="BS891" s="334"/>
    </row>
    <row r="892" spans="45:74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  <c r="BG892" s="334"/>
      <c r="BH892" s="334"/>
      <c r="BI892" s="334"/>
      <c r="BJ892" s="334"/>
      <c r="BK892" s="334"/>
      <c r="BL892" s="334"/>
      <c r="BM892" s="334"/>
      <c r="BN892" s="334"/>
      <c r="BO892" s="334"/>
      <c r="BP892" s="334"/>
      <c r="BQ892" s="334"/>
      <c r="BR892" s="334"/>
      <c r="BS892" s="334"/>
    </row>
    <row r="893" spans="45:74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  <c r="BG893" s="334"/>
      <c r="BH893" s="334"/>
      <c r="BI893" s="334"/>
      <c r="BJ893" s="334"/>
      <c r="BK893" s="334"/>
      <c r="BL893" s="334"/>
      <c r="BM893" s="334"/>
      <c r="BN893" s="334"/>
      <c r="BO893" s="334"/>
      <c r="BP893" s="334"/>
      <c r="BQ893" s="334"/>
      <c r="BR893" s="334"/>
      <c r="BS893" s="334"/>
    </row>
    <row r="894" spans="45:74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  <c r="BG894" s="334"/>
      <c r="BH894" s="334"/>
      <c r="BI894" s="334"/>
      <c r="BJ894" s="334"/>
      <c r="BK894" s="334"/>
      <c r="BL894" s="334"/>
      <c r="BM894" s="334"/>
      <c r="BN894" s="334"/>
      <c r="BO894" s="334"/>
      <c r="BP894" s="334"/>
      <c r="BQ894" s="334"/>
      <c r="BR894" s="334"/>
      <c r="BS894" s="334"/>
    </row>
    <row r="895" spans="45:74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  <c r="BG895" s="334"/>
      <c r="BH895" s="334"/>
      <c r="BI895" s="334"/>
      <c r="BJ895" s="334"/>
      <c r="BK895" s="334"/>
      <c r="BL895" s="334"/>
      <c r="BM895" s="334"/>
      <c r="BN895" s="334"/>
      <c r="BO895" s="334"/>
      <c r="BP895" s="334"/>
      <c r="BQ895" s="334"/>
      <c r="BR895" s="334"/>
      <c r="BS895" s="334"/>
    </row>
    <row r="896" spans="45:74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  <c r="BG896" s="334"/>
      <c r="BH896" s="334"/>
      <c r="BI896" s="334"/>
      <c r="BJ896" s="334"/>
      <c r="BK896" s="334"/>
      <c r="BL896" s="334"/>
      <c r="BM896" s="334"/>
      <c r="BN896" s="334"/>
      <c r="BO896" s="334"/>
      <c r="BP896" s="334"/>
      <c r="BQ896" s="334"/>
      <c r="BR896" s="334"/>
      <c r="BS896" s="334"/>
    </row>
    <row r="897" spans="45:71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  <c r="BG897" s="334"/>
      <c r="BH897" s="334"/>
      <c r="BI897" s="334"/>
      <c r="BJ897" s="334"/>
      <c r="BK897" s="334"/>
      <c r="BL897" s="334"/>
      <c r="BM897" s="334"/>
      <c r="BN897" s="334"/>
      <c r="BO897" s="334"/>
      <c r="BP897" s="334"/>
      <c r="BQ897" s="334"/>
      <c r="BR897" s="334"/>
      <c r="BS897" s="334"/>
    </row>
    <row r="898" spans="45:71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  <c r="BG898" s="334"/>
      <c r="BH898" s="334"/>
      <c r="BI898" s="334"/>
      <c r="BJ898" s="334"/>
      <c r="BK898" s="334"/>
      <c r="BL898" s="334"/>
      <c r="BM898" s="334"/>
      <c r="BN898" s="334"/>
      <c r="BO898" s="334"/>
      <c r="BP898" s="334"/>
      <c r="BQ898" s="334"/>
      <c r="BR898" s="334"/>
      <c r="BS898" s="334"/>
    </row>
    <row r="899" spans="45:71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  <c r="BG899" s="334"/>
      <c r="BH899" s="334"/>
      <c r="BI899" s="334"/>
      <c r="BJ899" s="334"/>
      <c r="BK899" s="334"/>
      <c r="BL899" s="334"/>
      <c r="BM899" s="334"/>
      <c r="BN899" s="334"/>
      <c r="BO899" s="334"/>
      <c r="BP899" s="334"/>
      <c r="BQ899" s="334"/>
      <c r="BR899" s="334"/>
      <c r="BS899" s="334"/>
    </row>
    <row r="900" spans="45:71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  <c r="BG900" s="334"/>
      <c r="BH900" s="334"/>
      <c r="BI900" s="334"/>
      <c r="BJ900" s="334"/>
      <c r="BK900" s="334"/>
      <c r="BL900" s="334"/>
      <c r="BM900" s="334"/>
      <c r="BN900" s="334"/>
      <c r="BO900" s="334"/>
      <c r="BP900" s="334"/>
      <c r="BQ900" s="334"/>
      <c r="BR900" s="334"/>
      <c r="BS900" s="334"/>
    </row>
    <row r="901" spans="45:71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  <c r="BG901" s="334"/>
      <c r="BH901" s="334"/>
      <c r="BI901" s="334"/>
      <c r="BJ901" s="334"/>
      <c r="BK901" s="334"/>
      <c r="BL901" s="334"/>
      <c r="BM901" s="334"/>
      <c r="BN901" s="334"/>
      <c r="BO901" s="334"/>
      <c r="BP901" s="334"/>
      <c r="BQ901" s="334"/>
      <c r="BR901" s="334"/>
      <c r="BS901" s="334"/>
    </row>
    <row r="902" spans="45:71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  <c r="BG902" s="334"/>
      <c r="BH902" s="334"/>
      <c r="BI902" s="334"/>
      <c r="BJ902" s="334"/>
      <c r="BK902" s="334"/>
      <c r="BL902" s="334"/>
      <c r="BM902" s="334"/>
      <c r="BN902" s="334"/>
      <c r="BO902" s="334"/>
      <c r="BP902" s="334"/>
      <c r="BQ902" s="334"/>
      <c r="BR902" s="334"/>
      <c r="BS902" s="334"/>
    </row>
    <row r="903" spans="45:71" x14ac:dyDescent="0.25">
      <c r="AS903" s="202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  <c r="BG903" s="334"/>
      <c r="BH903" s="334"/>
      <c r="BI903" s="334"/>
      <c r="BJ903" s="334"/>
      <c r="BK903" s="334"/>
      <c r="BL903" s="334"/>
      <c r="BM903" s="334"/>
      <c r="BN903" s="334"/>
      <c r="BO903" s="334"/>
      <c r="BP903" s="334"/>
      <c r="BQ903" s="334"/>
      <c r="BR903" s="334"/>
      <c r="BS903" s="334"/>
    </row>
    <row r="904" spans="45:71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  <c r="BG904" s="334"/>
      <c r="BH904" s="334"/>
      <c r="BI904" s="334"/>
      <c r="BJ904" s="334"/>
      <c r="BK904" s="334"/>
      <c r="BL904" s="334"/>
      <c r="BM904" s="334"/>
      <c r="BN904" s="334"/>
      <c r="BO904" s="334"/>
      <c r="BP904" s="334"/>
      <c r="BQ904" s="334"/>
      <c r="BR904" s="334"/>
      <c r="BS904" s="334"/>
    </row>
    <row r="905" spans="45:71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  <c r="BG905" s="334"/>
      <c r="BH905" s="334"/>
      <c r="BI905" s="334"/>
      <c r="BJ905" s="334"/>
      <c r="BK905" s="334"/>
      <c r="BL905" s="334"/>
      <c r="BM905" s="334"/>
      <c r="BN905" s="334"/>
      <c r="BO905" s="334"/>
      <c r="BP905" s="334"/>
      <c r="BQ905" s="334"/>
      <c r="BR905" s="334"/>
      <c r="BS905" s="334"/>
    </row>
    <row r="906" spans="45:71" x14ac:dyDescent="0.25">
      <c r="AS906" s="202"/>
      <c r="AV906" s="200"/>
      <c r="AW906" s="200"/>
      <c r="AX906" s="334"/>
      <c r="AY906" s="334"/>
      <c r="AZ906" s="334"/>
      <c r="BA906" s="201"/>
      <c r="BB906" s="334"/>
      <c r="BC906" s="334"/>
      <c r="BD906" s="334"/>
      <c r="BE906" s="201"/>
      <c r="BG906" s="334"/>
      <c r="BH906" s="334"/>
      <c r="BI906" s="334"/>
      <c r="BJ906" s="334"/>
      <c r="BK906" s="334"/>
      <c r="BL906" s="334"/>
      <c r="BM906" s="334"/>
      <c r="BN906" s="334"/>
      <c r="BO906" s="334"/>
      <c r="BP906" s="334"/>
      <c r="BQ906" s="334"/>
      <c r="BR906" s="334"/>
      <c r="BS906" s="334"/>
    </row>
    <row r="907" spans="45:71" x14ac:dyDescent="0.25">
      <c r="AS907" s="202"/>
      <c r="AV907" s="200"/>
      <c r="AW907" s="200"/>
      <c r="AX907" s="334"/>
      <c r="AY907" s="334"/>
      <c r="AZ907" s="334"/>
      <c r="BA907" s="201"/>
      <c r="BB907" s="334"/>
      <c r="BC907" s="334"/>
      <c r="BD907" s="334"/>
      <c r="BE907" s="201"/>
      <c r="BG907" s="334"/>
      <c r="BH907" s="334"/>
      <c r="BI907" s="334"/>
      <c r="BJ907" s="334"/>
      <c r="BK907" s="334"/>
      <c r="BL907" s="334"/>
      <c r="BM907" s="334"/>
      <c r="BN907" s="334"/>
      <c r="BO907" s="334"/>
      <c r="BP907" s="334"/>
      <c r="BQ907" s="334"/>
      <c r="BR907" s="334"/>
      <c r="BS907" s="334"/>
    </row>
    <row r="908" spans="45:71" x14ac:dyDescent="0.25">
      <c r="AZ908" s="334"/>
      <c r="BB908" s="334"/>
      <c r="BC908" s="334"/>
      <c r="BD908" s="334"/>
      <c r="BG908" s="334"/>
      <c r="BH908" s="334"/>
      <c r="BI908" s="334"/>
      <c r="BJ908" s="334"/>
      <c r="BK908" s="334"/>
      <c r="BL908" s="334"/>
      <c r="BM908" s="334"/>
      <c r="BN908" s="334"/>
      <c r="BO908" s="334"/>
      <c r="BP908" s="334"/>
      <c r="BQ908" s="334"/>
      <c r="BR908" s="334"/>
      <c r="BS908" s="334"/>
    </row>
    <row r="909" spans="45:71" x14ac:dyDescent="0.25">
      <c r="AS909" s="202"/>
      <c r="AT909" s="154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</row>
    <row r="910" spans="45:71" x14ac:dyDescent="0.25">
      <c r="AS910" s="202"/>
      <c r="AV910" s="200"/>
      <c r="AW910" s="200"/>
      <c r="AX910" s="334"/>
      <c r="AY910" s="334"/>
      <c r="AZ910" s="334"/>
      <c r="BA910" s="201"/>
      <c r="BB910" s="334"/>
      <c r="BC910" s="334"/>
      <c r="BD910" s="334"/>
      <c r="BE910" s="201"/>
    </row>
    <row r="911" spans="45:71" x14ac:dyDescent="0.25">
      <c r="AS911" s="202"/>
      <c r="AV911" s="200"/>
      <c r="AW911" s="200"/>
      <c r="AX911" s="334"/>
      <c r="AY911" s="334"/>
      <c r="AZ911" s="334"/>
      <c r="BA911" s="201"/>
      <c r="BB911" s="334"/>
      <c r="BC911" s="334"/>
      <c r="BD911" s="334"/>
      <c r="BE911" s="201"/>
    </row>
    <row r="912" spans="45:71" x14ac:dyDescent="0.25">
      <c r="AS912" s="202"/>
      <c r="AV912" s="200"/>
      <c r="AW912" s="200"/>
      <c r="AX912" s="334"/>
      <c r="AY912" s="334"/>
      <c r="AZ912" s="334"/>
      <c r="BA912" s="201"/>
      <c r="BB912" s="334"/>
      <c r="BC912" s="334"/>
      <c r="BD912" s="334"/>
      <c r="BE912" s="201"/>
    </row>
    <row r="913" spans="45:57" x14ac:dyDescent="0.25">
      <c r="AS913" s="202"/>
      <c r="AV913" s="200"/>
      <c r="AW913" s="200"/>
      <c r="AX913" s="334"/>
      <c r="AY913" s="334"/>
      <c r="AZ913" s="334"/>
      <c r="BA913" s="201"/>
      <c r="BB913" s="334"/>
      <c r="BC913" s="334"/>
      <c r="BD913" s="334"/>
      <c r="BE913" s="201"/>
    </row>
    <row r="914" spans="45:57" x14ac:dyDescent="0.25">
      <c r="AS914" s="202"/>
      <c r="AV914" s="200"/>
      <c r="AW914" s="200"/>
      <c r="AX914" s="334"/>
      <c r="AY914" s="334"/>
      <c r="AZ914" s="334"/>
      <c r="BA914" s="201"/>
      <c r="BB914" s="334"/>
      <c r="BC914" s="334"/>
      <c r="BD914" s="334"/>
      <c r="BE914" s="201"/>
    </row>
    <row r="915" spans="45:57" x14ac:dyDescent="0.25">
      <c r="AS915" s="202"/>
      <c r="AV915" s="200"/>
      <c r="AW915" s="200"/>
      <c r="AX915" s="334"/>
      <c r="AY915" s="334"/>
      <c r="AZ915" s="334"/>
      <c r="BA915" s="201"/>
      <c r="BB915" s="334"/>
      <c r="BC915" s="334"/>
      <c r="BD915" s="334"/>
      <c r="BE915" s="201"/>
    </row>
    <row r="916" spans="45:57" x14ac:dyDescent="0.25">
      <c r="AS916" s="202"/>
      <c r="AV916" s="200"/>
      <c r="AW916" s="200"/>
      <c r="AX916" s="334"/>
      <c r="AY916" s="334"/>
      <c r="AZ916" s="334"/>
      <c r="BA916" s="201"/>
      <c r="BB916" s="334"/>
      <c r="BC916" s="334"/>
      <c r="BD916" s="334"/>
      <c r="BE916" s="201"/>
    </row>
    <row r="917" spans="45:57" x14ac:dyDescent="0.25">
      <c r="AS917" s="202"/>
      <c r="AV917" s="200"/>
      <c r="AW917" s="200"/>
      <c r="AX917" s="334"/>
      <c r="AY917" s="334"/>
      <c r="AZ917" s="334"/>
      <c r="BA917" s="201"/>
      <c r="BB917" s="334"/>
      <c r="BC917" s="334"/>
      <c r="BD917" s="334"/>
      <c r="BE917" s="201"/>
    </row>
    <row r="918" spans="45:57" x14ac:dyDescent="0.25">
      <c r="AS918" s="202"/>
      <c r="AV918" s="200"/>
      <c r="AW918" s="200"/>
      <c r="AX918" s="334"/>
      <c r="AY918" s="334"/>
      <c r="AZ918" s="334"/>
      <c r="BA918" s="201"/>
      <c r="BB918" s="334"/>
      <c r="BC918" s="334"/>
      <c r="BD918" s="334"/>
      <c r="BE918" s="201"/>
    </row>
    <row r="919" spans="45:57" x14ac:dyDescent="0.25">
      <c r="AS919" s="202"/>
      <c r="AV919" s="200"/>
      <c r="AW919" s="200"/>
      <c r="AX919" s="334"/>
      <c r="AY919" s="334"/>
      <c r="AZ919" s="334"/>
      <c r="BA919" s="201"/>
      <c r="BB919" s="334"/>
      <c r="BC919" s="334"/>
      <c r="BD919" s="334"/>
      <c r="BE919" s="201"/>
    </row>
    <row r="920" spans="45:57" x14ac:dyDescent="0.25">
      <c r="AS920" s="202"/>
      <c r="AV920" s="200"/>
      <c r="AW920" s="200"/>
      <c r="AX920" s="334"/>
      <c r="AY920" s="334"/>
      <c r="AZ920" s="334"/>
      <c r="BA920" s="201"/>
      <c r="BB920" s="334"/>
      <c r="BC920" s="334"/>
      <c r="BD920" s="334"/>
      <c r="BE920" s="201"/>
    </row>
    <row r="921" spans="45:57" x14ac:dyDescent="0.25">
      <c r="AS921" s="202"/>
      <c r="AV921" s="200"/>
      <c r="AW921" s="200"/>
      <c r="AX921" s="334"/>
      <c r="AY921" s="334"/>
      <c r="AZ921" s="334"/>
      <c r="BA921" s="201"/>
      <c r="BB921" s="334"/>
      <c r="BC921" s="334"/>
      <c r="BD921" s="334"/>
      <c r="BE921" s="201"/>
    </row>
    <row r="922" spans="45:57" x14ac:dyDescent="0.25">
      <c r="AS922" s="202"/>
      <c r="AV922" s="200"/>
      <c r="AW922" s="200"/>
      <c r="AX922" s="334"/>
      <c r="AY922" s="334"/>
      <c r="AZ922" s="334"/>
      <c r="BA922" s="201"/>
      <c r="BB922" s="334"/>
      <c r="BC922" s="334"/>
      <c r="BD922" s="334"/>
      <c r="BE922" s="201"/>
    </row>
    <row r="923" spans="45:57" x14ac:dyDescent="0.25">
      <c r="AS923" s="202"/>
      <c r="AV923" s="200"/>
      <c r="AW923" s="200"/>
      <c r="AX923" s="334"/>
      <c r="AY923" s="334"/>
      <c r="AZ923" s="334"/>
      <c r="BA923" s="201"/>
      <c r="BB923" s="334"/>
      <c r="BC923" s="334"/>
      <c r="BD923" s="334"/>
      <c r="BE923" s="201"/>
    </row>
    <row r="924" spans="45:57" x14ac:dyDescent="0.25">
      <c r="AS924" s="202"/>
      <c r="AV924" s="200"/>
      <c r="AW924" s="200"/>
      <c r="AX924" s="334"/>
      <c r="AY924" s="334"/>
      <c r="AZ924" s="334"/>
      <c r="BA924" s="201"/>
      <c r="BB924" s="334"/>
      <c r="BC924" s="334"/>
      <c r="BD924" s="334"/>
      <c r="BE924" s="201"/>
    </row>
    <row r="925" spans="45:57" x14ac:dyDescent="0.25">
      <c r="AS925" s="202"/>
      <c r="AV925" s="200"/>
      <c r="AW925" s="200"/>
      <c r="AX925" s="334"/>
      <c r="AY925" s="334"/>
      <c r="AZ925" s="334"/>
      <c r="BA925" s="201"/>
      <c r="BB925" s="334"/>
      <c r="BC925" s="334"/>
      <c r="BD925" s="334"/>
      <c r="BE925" s="201"/>
    </row>
    <row r="926" spans="45:57" x14ac:dyDescent="0.25">
      <c r="AS926" s="202"/>
      <c r="AV926" s="200"/>
      <c r="AW926" s="200"/>
      <c r="AX926" s="334"/>
      <c r="AY926" s="334"/>
      <c r="AZ926" s="334"/>
      <c r="BA926" s="201"/>
      <c r="BB926" s="334"/>
      <c r="BC926" s="334"/>
      <c r="BD926" s="334"/>
      <c r="BE926" s="201"/>
    </row>
    <row r="927" spans="45:57" x14ac:dyDescent="0.25">
      <c r="BB927" s="334"/>
    </row>
    <row r="928" spans="45:57" x14ac:dyDescent="0.25">
      <c r="AU928" s="154"/>
      <c r="BB928" s="334"/>
    </row>
    <row r="929" spans="45:57" x14ac:dyDescent="0.25">
      <c r="AU929" s="154"/>
    </row>
    <row r="930" spans="45:57" x14ac:dyDescent="0.25">
      <c r="AU930" s="154"/>
      <c r="BB930" s="334"/>
    </row>
    <row r="931" spans="45:57" x14ac:dyDescent="0.25">
      <c r="AS931" s="154"/>
      <c r="AZ931" s="334"/>
      <c r="BB931" s="334"/>
    </row>
    <row r="932" spans="45:57" x14ac:dyDescent="0.25">
      <c r="AY932" s="202"/>
      <c r="AZ932" s="334"/>
      <c r="BB932" s="334"/>
    </row>
    <row r="933" spans="45:57" x14ac:dyDescent="0.25">
      <c r="AY933" s="334"/>
      <c r="AZ933" s="334"/>
      <c r="BB933" s="334"/>
    </row>
    <row r="934" spans="45:57" x14ac:dyDescent="0.25">
      <c r="AY934" s="154"/>
      <c r="AZ934" s="334"/>
      <c r="BB934" s="334"/>
    </row>
    <row r="935" spans="45:57" x14ac:dyDescent="0.25">
      <c r="AY935" s="154"/>
      <c r="AZ935" s="334"/>
      <c r="BB935" s="334"/>
    </row>
    <row r="936" spans="45:57" x14ac:dyDescent="0.25">
      <c r="AS936" s="202"/>
      <c r="AZ936" s="334"/>
      <c r="BB936" s="334"/>
      <c r="BD936" s="154"/>
    </row>
    <row r="937" spans="45:57" x14ac:dyDescent="0.25">
      <c r="AS937" s="202"/>
      <c r="AZ937" s="334"/>
      <c r="BB937" s="334"/>
      <c r="BD937" s="154"/>
    </row>
    <row r="938" spans="45:57" x14ac:dyDescent="0.25">
      <c r="AS938" s="154"/>
      <c r="AZ938" s="334"/>
      <c r="BB938" s="334"/>
      <c r="BD938" s="154"/>
    </row>
    <row r="939" spans="45:57" x14ac:dyDescent="0.25">
      <c r="AZ939" s="334"/>
      <c r="BB939" s="334"/>
      <c r="BD939" s="202"/>
    </row>
    <row r="940" spans="45:57" x14ac:dyDescent="0.25">
      <c r="AS940" s="102"/>
      <c r="AT940" s="102"/>
      <c r="AU940" s="102"/>
      <c r="AV940" s="102"/>
      <c r="AW940" s="102"/>
      <c r="AX940" s="102"/>
      <c r="AY940" s="102"/>
      <c r="AZ940" s="335"/>
      <c r="BA940" s="102"/>
      <c r="BB940" s="335"/>
      <c r="BC940" s="102"/>
      <c r="BD940" s="102"/>
      <c r="BE940" s="102"/>
    </row>
    <row r="941" spans="45:57" x14ac:dyDescent="0.25">
      <c r="AX941" s="154"/>
      <c r="AZ941" s="334"/>
      <c r="BB941" s="334"/>
    </row>
    <row r="942" spans="45:57" x14ac:dyDescent="0.25">
      <c r="AX942" s="102"/>
      <c r="AY942" s="102"/>
      <c r="AZ942" s="335"/>
      <c r="BA942" s="102"/>
      <c r="BB942" s="334"/>
      <c r="BC942" s="103"/>
      <c r="BD942" s="103"/>
    </row>
    <row r="943" spans="45:57" x14ac:dyDescent="0.25">
      <c r="AV943" s="103"/>
      <c r="AW943" s="103"/>
      <c r="AZ943" s="336"/>
      <c r="BA943" s="103"/>
      <c r="BB943" s="334"/>
      <c r="BC943" s="103"/>
      <c r="BD943" s="103"/>
      <c r="BE943" s="103"/>
    </row>
    <row r="944" spans="45:57" x14ac:dyDescent="0.25">
      <c r="AV944" s="103"/>
      <c r="AW944" s="103"/>
      <c r="AX944" s="103"/>
      <c r="AY944" s="103"/>
      <c r="AZ944" s="336"/>
      <c r="BA944" s="103"/>
      <c r="BB944" s="336"/>
      <c r="BC944" s="103"/>
      <c r="BD944" s="103"/>
      <c r="BE944" s="103"/>
    </row>
    <row r="945" spans="45:57" x14ac:dyDescent="0.25">
      <c r="AS945" s="103"/>
      <c r="AU945" s="154"/>
      <c r="AV945" s="103"/>
      <c r="AW945" s="103"/>
      <c r="AX945" s="103"/>
      <c r="AY945" s="103"/>
      <c r="AZ945" s="336"/>
      <c r="BA945" s="103"/>
      <c r="BB945" s="336"/>
      <c r="BC945" s="103"/>
      <c r="BD945" s="103"/>
      <c r="BE945" s="103"/>
    </row>
    <row r="946" spans="45:57" x14ac:dyDescent="0.25">
      <c r="AS946" s="103"/>
      <c r="AU946" s="154"/>
      <c r="AV946" s="103"/>
      <c r="AW946" s="103"/>
      <c r="AX946" s="103"/>
      <c r="AY946" s="103"/>
      <c r="AZ946" s="336"/>
      <c r="BA946" s="103"/>
      <c r="BB946" s="336"/>
      <c r="BC946" s="103"/>
      <c r="BD946" s="103"/>
      <c r="BE946" s="103"/>
    </row>
    <row r="947" spans="45:57" x14ac:dyDescent="0.25">
      <c r="AS947" s="102"/>
      <c r="AT947" s="102"/>
      <c r="AU947" s="102"/>
      <c r="AV947" s="102"/>
      <c r="AW947" s="102"/>
      <c r="AX947" s="102"/>
      <c r="AY947" s="102"/>
      <c r="AZ947" s="335"/>
      <c r="BA947" s="102"/>
      <c r="BB947" s="335"/>
      <c r="BC947" s="102"/>
      <c r="BD947" s="102"/>
      <c r="BE947" s="102"/>
    </row>
    <row r="948" spans="45:57" x14ac:dyDescent="0.25">
      <c r="AV948" s="103"/>
      <c r="AW948" s="103"/>
      <c r="AX948" s="103"/>
      <c r="AY948" s="103"/>
      <c r="AZ948" s="336"/>
      <c r="BA948" s="103"/>
      <c r="BB948" s="336"/>
      <c r="BC948" s="103"/>
      <c r="BD948" s="103"/>
      <c r="BE948" s="103"/>
    </row>
    <row r="949" spans="45:57" x14ac:dyDescent="0.25">
      <c r="AS949" s="202"/>
      <c r="AT949" s="154"/>
      <c r="AV949" s="200"/>
      <c r="AW949" s="200"/>
      <c r="AX949" s="334"/>
      <c r="AY949" s="334"/>
      <c r="AZ949" s="334"/>
      <c r="BA949" s="201"/>
      <c r="BB949" s="334"/>
      <c r="BC949" s="334"/>
      <c r="BD949" s="334"/>
      <c r="BE949" s="201"/>
    </row>
    <row r="950" spans="45:57" x14ac:dyDescent="0.25">
      <c r="AS950" s="202"/>
      <c r="AV950" s="200"/>
      <c r="AW950" s="200"/>
      <c r="AX950" s="334"/>
      <c r="AY950" s="334"/>
      <c r="AZ950" s="334"/>
      <c r="BA950" s="201"/>
      <c r="BB950" s="334"/>
      <c r="BC950" s="334"/>
      <c r="BD950" s="334"/>
      <c r="BE950" s="201"/>
    </row>
    <row r="951" spans="45:57" x14ac:dyDescent="0.25">
      <c r="AS951" s="202"/>
      <c r="AV951" s="200"/>
      <c r="AW951" s="200"/>
      <c r="AX951" s="334"/>
      <c r="AY951" s="334"/>
      <c r="AZ951" s="334"/>
      <c r="BA951" s="201"/>
      <c r="BB951" s="334"/>
      <c r="BC951" s="334"/>
      <c r="BD951" s="334"/>
      <c r="BE951" s="201"/>
    </row>
    <row r="952" spans="45:57" x14ac:dyDescent="0.25">
      <c r="AS952" s="202"/>
      <c r="AV952" s="200"/>
      <c r="AW952" s="200"/>
      <c r="AX952" s="334"/>
      <c r="AY952" s="334"/>
      <c r="AZ952" s="334"/>
      <c r="BA952" s="201"/>
      <c r="BB952" s="334"/>
      <c r="BC952" s="334"/>
      <c r="BD952" s="334"/>
      <c r="BE952" s="201"/>
    </row>
    <row r="953" spans="45:57" x14ac:dyDescent="0.25">
      <c r="AS953" s="202"/>
      <c r="AV953" s="200"/>
      <c r="AW953" s="200"/>
      <c r="AX953" s="334"/>
      <c r="AY953" s="334"/>
      <c r="AZ953" s="334"/>
      <c r="BA953" s="201"/>
      <c r="BB953" s="334"/>
      <c r="BC953" s="334"/>
      <c r="BD953" s="334"/>
      <c r="BE953" s="201"/>
    </row>
    <row r="954" spans="45:57" x14ac:dyDescent="0.25">
      <c r="AS954" s="202"/>
      <c r="AV954" s="200"/>
      <c r="AW954" s="200"/>
      <c r="AX954" s="334"/>
      <c r="AY954" s="334"/>
      <c r="AZ954" s="334"/>
      <c r="BA954" s="201"/>
      <c r="BB954" s="334"/>
      <c r="BC954" s="334"/>
      <c r="BD954" s="334"/>
      <c r="BE954" s="201"/>
    </row>
    <row r="955" spans="45:57" x14ac:dyDescent="0.25">
      <c r="AS955" s="202"/>
      <c r="AV955" s="200"/>
      <c r="AW955" s="200"/>
      <c r="AX955" s="334"/>
      <c r="AY955" s="334"/>
      <c r="AZ955" s="334"/>
      <c r="BA955" s="201"/>
      <c r="BB955" s="334"/>
      <c r="BC955" s="334"/>
      <c r="BD955" s="334"/>
      <c r="BE955" s="201"/>
    </row>
    <row r="956" spans="45:57" x14ac:dyDescent="0.25">
      <c r="AS956" s="202"/>
      <c r="AV956" s="200"/>
      <c r="AW956" s="200"/>
      <c r="AX956" s="334"/>
      <c r="AY956" s="334"/>
      <c r="AZ956" s="334"/>
      <c r="BA956" s="201"/>
      <c r="BB956" s="334"/>
      <c r="BC956" s="334"/>
      <c r="BD956" s="334"/>
      <c r="BE956" s="201"/>
    </row>
    <row r="957" spans="45:57" x14ac:dyDescent="0.25">
      <c r="AS957" s="202"/>
      <c r="AV957" s="200"/>
      <c r="AW957" s="200"/>
      <c r="AX957" s="334"/>
      <c r="AY957" s="334"/>
      <c r="AZ957" s="334"/>
      <c r="BA957" s="201"/>
      <c r="BB957" s="334"/>
      <c r="BC957" s="334"/>
      <c r="BD957" s="334"/>
      <c r="BE957" s="201"/>
    </row>
    <row r="958" spans="45:57" x14ac:dyDescent="0.25">
      <c r="AS958" s="202"/>
      <c r="AV958" s="200"/>
      <c r="AW958" s="200"/>
      <c r="AX958" s="334"/>
      <c r="AY958" s="334"/>
      <c r="AZ958" s="334"/>
      <c r="BA958" s="201"/>
      <c r="BB958" s="334"/>
      <c r="BC958" s="334"/>
      <c r="BD958" s="334"/>
      <c r="BE958" s="201"/>
    </row>
    <row r="959" spans="45:57" x14ac:dyDescent="0.25">
      <c r="AV959" s="200"/>
      <c r="AW959" s="200"/>
      <c r="BB959" s="334"/>
    </row>
    <row r="960" spans="45:57" x14ac:dyDescent="0.25">
      <c r="AS960" s="202"/>
      <c r="AT960" s="154"/>
      <c r="AV960" s="200"/>
      <c r="AW960" s="200"/>
      <c r="AX960" s="334"/>
      <c r="AY960" s="334"/>
      <c r="AZ960" s="334"/>
      <c r="BA960" s="201"/>
      <c r="BB960" s="334"/>
      <c r="BC960" s="334"/>
      <c r="BD960" s="334"/>
      <c r="BE960" s="201"/>
    </row>
    <row r="961" spans="45:57" x14ac:dyDescent="0.25">
      <c r="AS961" s="202"/>
      <c r="AV961" s="200"/>
      <c r="AW961" s="200"/>
      <c r="AX961" s="334"/>
      <c r="AY961" s="334"/>
      <c r="AZ961" s="334"/>
      <c r="BA961" s="201"/>
      <c r="BB961" s="334"/>
      <c r="BC961" s="334"/>
      <c r="BD961" s="334"/>
      <c r="BE961" s="201"/>
    </row>
    <row r="962" spans="45:57" x14ac:dyDescent="0.25">
      <c r="AS962" s="202"/>
      <c r="AV962" s="200"/>
      <c r="AW962" s="200"/>
      <c r="AX962" s="334"/>
      <c r="AY962" s="334"/>
      <c r="AZ962" s="334"/>
      <c r="BA962" s="201"/>
      <c r="BB962" s="334"/>
      <c r="BC962" s="334"/>
      <c r="BD962" s="334"/>
      <c r="BE962" s="201"/>
    </row>
    <row r="963" spans="45:57" x14ac:dyDescent="0.25">
      <c r="AS963" s="202"/>
      <c r="AV963" s="200"/>
      <c r="AW963" s="200"/>
      <c r="AX963" s="334"/>
      <c r="AY963" s="334"/>
      <c r="AZ963" s="334"/>
      <c r="BA963" s="201"/>
      <c r="BB963" s="334"/>
      <c r="BC963" s="334"/>
      <c r="BD963" s="334"/>
      <c r="BE963" s="201"/>
    </row>
    <row r="964" spans="45:57" x14ac:dyDescent="0.25">
      <c r="AS964" s="202"/>
      <c r="AV964" s="200"/>
      <c r="AW964" s="200"/>
      <c r="AX964" s="334"/>
      <c r="AY964" s="334"/>
      <c r="AZ964" s="334"/>
      <c r="BA964" s="201"/>
      <c r="BB964" s="334"/>
      <c r="BC964" s="334"/>
      <c r="BD964" s="334"/>
      <c r="BE964" s="201"/>
    </row>
    <row r="965" spans="45:57" x14ac:dyDescent="0.25">
      <c r="AS965" s="202"/>
      <c r="AV965" s="200"/>
      <c r="AW965" s="200"/>
      <c r="AX965" s="334"/>
      <c r="AY965" s="334"/>
      <c r="AZ965" s="334"/>
      <c r="BA965" s="201"/>
      <c r="BB965" s="334"/>
      <c r="BC965" s="334"/>
      <c r="BD965" s="334"/>
      <c r="BE965" s="201"/>
    </row>
    <row r="966" spans="45:57" x14ac:dyDescent="0.25">
      <c r="AS966" s="202"/>
      <c r="AV966" s="200"/>
      <c r="AW966" s="200"/>
      <c r="AX966" s="334"/>
      <c r="AY966" s="334"/>
      <c r="AZ966" s="334"/>
      <c r="BA966" s="201"/>
      <c r="BB966" s="334"/>
      <c r="BC966" s="334"/>
      <c r="BD966" s="334"/>
      <c r="BE966" s="201"/>
    </row>
    <row r="967" spans="45:57" x14ac:dyDescent="0.25">
      <c r="AS967" s="202"/>
      <c r="AV967" s="200"/>
      <c r="AW967" s="200"/>
      <c r="AX967" s="334"/>
      <c r="AY967" s="334"/>
      <c r="AZ967" s="334"/>
      <c r="BA967" s="201"/>
      <c r="BB967" s="334"/>
      <c r="BC967" s="334"/>
      <c r="BD967" s="334"/>
      <c r="BE967" s="201"/>
    </row>
    <row r="968" spans="45:57" x14ac:dyDescent="0.25">
      <c r="AS968" s="202"/>
      <c r="AV968" s="200"/>
      <c r="AW968" s="200"/>
      <c r="AX968" s="334"/>
      <c r="AY968" s="334"/>
      <c r="AZ968" s="334"/>
      <c r="BA968" s="201"/>
      <c r="BB968" s="334"/>
      <c r="BC968" s="334"/>
      <c r="BD968" s="334"/>
      <c r="BE968" s="201"/>
    </row>
    <row r="969" spans="45:57" x14ac:dyDescent="0.25">
      <c r="AS969" s="202"/>
      <c r="AV969" s="200"/>
      <c r="AW969" s="200"/>
      <c r="AX969" s="334"/>
      <c r="AY969" s="334"/>
      <c r="AZ969" s="334"/>
      <c r="BA969" s="201"/>
      <c r="BB969" s="334"/>
      <c r="BC969" s="334"/>
      <c r="BD969" s="334"/>
      <c r="BE969" s="201"/>
    </row>
    <row r="971" spans="45:57" x14ac:dyDescent="0.25">
      <c r="AU971" s="154"/>
    </row>
    <row r="972" spans="45:57" x14ac:dyDescent="0.25">
      <c r="AU972" s="154"/>
    </row>
    <row r="973" spans="45:57" x14ac:dyDescent="0.25">
      <c r="AU973" s="154"/>
    </row>
    <row r="974" spans="45:57" x14ac:dyDescent="0.25">
      <c r="AS974" s="154"/>
    </row>
    <row r="995" spans="52:71" x14ac:dyDescent="0.25">
      <c r="AZ995" s="334"/>
      <c r="BB995" s="334"/>
      <c r="BC995" s="334"/>
      <c r="BD995" s="334"/>
      <c r="BG995" s="334"/>
      <c r="BH995" s="334"/>
      <c r="BI995" s="334"/>
      <c r="BJ995" s="334"/>
      <c r="BK995" s="334"/>
      <c r="BL995" s="334"/>
      <c r="BM995" s="334"/>
      <c r="BN995" s="334"/>
      <c r="BO995" s="334"/>
      <c r="BP995" s="334"/>
      <c r="BQ995" s="334"/>
      <c r="BR995" s="334"/>
      <c r="BS995" s="334"/>
    </row>
    <row r="996" spans="52:71" x14ac:dyDescent="0.25">
      <c r="AZ996" s="334"/>
      <c r="BB996" s="334"/>
      <c r="BC996" s="334"/>
      <c r="BD996" s="334"/>
      <c r="BG996" s="334"/>
      <c r="BH996" s="334"/>
      <c r="BI996" s="334"/>
      <c r="BJ996" s="334"/>
      <c r="BK996" s="334"/>
      <c r="BL996" s="334"/>
      <c r="BM996" s="334"/>
      <c r="BN996" s="334"/>
      <c r="BO996" s="334"/>
      <c r="BP996" s="334"/>
      <c r="BQ996" s="334"/>
      <c r="BR996" s="334"/>
      <c r="BS996" s="334"/>
    </row>
    <row r="997" spans="52:71" x14ac:dyDescent="0.25">
      <c r="AZ997" s="334"/>
      <c r="BB997" s="334"/>
      <c r="BC997" s="334"/>
      <c r="BD997" s="334"/>
      <c r="BG997" s="334"/>
      <c r="BH997" s="334"/>
      <c r="BI997" s="334"/>
      <c r="BJ997" s="334"/>
      <c r="BK997" s="334"/>
      <c r="BL997" s="334"/>
      <c r="BM997" s="334"/>
      <c r="BN997" s="334"/>
      <c r="BO997" s="334"/>
      <c r="BP997" s="334"/>
      <c r="BQ997" s="334"/>
      <c r="BR997" s="334"/>
      <c r="BS997" s="334"/>
    </row>
    <row r="998" spans="52:71" x14ac:dyDescent="0.25">
      <c r="AZ998" s="334"/>
      <c r="BB998" s="334"/>
      <c r="BC998" s="334"/>
      <c r="BD998" s="334"/>
      <c r="BG998" s="334"/>
      <c r="BH998" s="334"/>
      <c r="BI998" s="334"/>
      <c r="BJ998" s="334"/>
      <c r="BK998" s="334"/>
      <c r="BL998" s="334"/>
      <c r="BM998" s="334"/>
      <c r="BN998" s="334"/>
      <c r="BO998" s="334"/>
      <c r="BP998" s="334"/>
      <c r="BQ998" s="334"/>
      <c r="BR998" s="334"/>
      <c r="BS998" s="334"/>
    </row>
    <row r="999" spans="52:71" x14ac:dyDescent="0.25">
      <c r="AZ999" s="334"/>
      <c r="BB999" s="334"/>
      <c r="BC999" s="334"/>
      <c r="BD999" s="334"/>
      <c r="BG999" s="334"/>
      <c r="BH999" s="334"/>
      <c r="BI999" s="334"/>
      <c r="BJ999" s="334"/>
      <c r="BK999" s="334"/>
      <c r="BL999" s="334"/>
      <c r="BM999" s="334"/>
      <c r="BN999" s="334"/>
      <c r="BO999" s="334"/>
      <c r="BP999" s="334"/>
      <c r="BQ999" s="334"/>
      <c r="BR999" s="334"/>
      <c r="BS999" s="334"/>
    </row>
    <row r="1000" spans="52:71" x14ac:dyDescent="0.25">
      <c r="AZ1000" s="334"/>
      <c r="BB1000" s="334"/>
      <c r="BC1000" s="334"/>
      <c r="BD1000" s="334"/>
      <c r="BG1000" s="334"/>
      <c r="BH1000" s="334"/>
      <c r="BI1000" s="334"/>
      <c r="BJ1000" s="334"/>
      <c r="BK1000" s="334"/>
      <c r="BL1000" s="334"/>
      <c r="BM1000" s="334"/>
      <c r="BN1000" s="334"/>
      <c r="BO1000" s="334"/>
      <c r="BP1000" s="334"/>
      <c r="BQ1000" s="334"/>
      <c r="BR1000" s="334"/>
      <c r="BS1000" s="334"/>
    </row>
    <row r="1001" spans="52:71" x14ac:dyDescent="0.25">
      <c r="AZ1001" s="334"/>
      <c r="BB1001" s="334"/>
      <c r="BC1001" s="334"/>
      <c r="BD1001" s="334"/>
      <c r="BG1001" s="334"/>
      <c r="BH1001" s="334"/>
      <c r="BI1001" s="334"/>
      <c r="BJ1001" s="334"/>
      <c r="BK1001" s="334"/>
      <c r="BL1001" s="334"/>
      <c r="BM1001" s="334"/>
      <c r="BN1001" s="334"/>
      <c r="BO1001" s="334"/>
      <c r="BP1001" s="334"/>
      <c r="BQ1001" s="334"/>
      <c r="BR1001" s="334"/>
      <c r="BS1001" s="334"/>
    </row>
    <row r="1002" spans="52:71" x14ac:dyDescent="0.25">
      <c r="AZ1002" s="334"/>
      <c r="BB1002" s="334"/>
      <c r="BC1002" s="334"/>
      <c r="BD1002" s="334"/>
      <c r="BG1002" s="334"/>
      <c r="BH1002" s="334"/>
      <c r="BI1002" s="334"/>
      <c r="BJ1002" s="334"/>
      <c r="BK1002" s="334"/>
      <c r="BL1002" s="334"/>
      <c r="BM1002" s="334"/>
      <c r="BN1002" s="334"/>
      <c r="BO1002" s="334"/>
      <c r="BP1002" s="334"/>
      <c r="BQ1002" s="334"/>
      <c r="BR1002" s="334"/>
      <c r="BS1002" s="334"/>
    </row>
    <row r="1003" spans="52:71" x14ac:dyDescent="0.25">
      <c r="AZ1003" s="334"/>
      <c r="BB1003" s="334"/>
      <c r="BC1003" s="334"/>
      <c r="BD1003" s="334"/>
      <c r="BG1003" s="334"/>
      <c r="BH1003" s="334"/>
      <c r="BI1003" s="334"/>
      <c r="BJ1003" s="334"/>
      <c r="BK1003" s="334"/>
      <c r="BL1003" s="334"/>
      <c r="BM1003" s="334"/>
      <c r="BN1003" s="334"/>
      <c r="BO1003" s="334"/>
      <c r="BP1003" s="334"/>
      <c r="BQ1003" s="334"/>
      <c r="BR1003" s="334"/>
      <c r="BS1003" s="334"/>
    </row>
    <row r="1004" spans="52:71" x14ac:dyDescent="0.25">
      <c r="AZ1004" s="334"/>
      <c r="BB1004" s="334"/>
      <c r="BC1004" s="334"/>
      <c r="BD1004" s="334"/>
      <c r="BG1004" s="334"/>
      <c r="BH1004" s="334"/>
      <c r="BI1004" s="334"/>
      <c r="BJ1004" s="334"/>
      <c r="BK1004" s="334"/>
      <c r="BL1004" s="334"/>
      <c r="BM1004" s="334"/>
      <c r="BN1004" s="334"/>
      <c r="BO1004" s="334"/>
      <c r="BP1004" s="334"/>
      <c r="BQ1004" s="334"/>
      <c r="BR1004" s="334"/>
      <c r="BS1004" s="334"/>
    </row>
    <row r="1005" spans="52:71" x14ac:dyDescent="0.25">
      <c r="AZ1005" s="334"/>
      <c r="BB1005" s="334"/>
      <c r="BC1005" s="334"/>
      <c r="BD1005" s="334"/>
      <c r="BG1005" s="334"/>
      <c r="BH1005" s="334"/>
      <c r="BI1005" s="334"/>
      <c r="BJ1005" s="334"/>
      <c r="BK1005" s="334"/>
      <c r="BL1005" s="334"/>
      <c r="BM1005" s="334"/>
      <c r="BN1005" s="334"/>
      <c r="BO1005" s="334"/>
      <c r="BP1005" s="334"/>
      <c r="BQ1005" s="334"/>
      <c r="BR1005" s="334"/>
      <c r="BS1005" s="334"/>
    </row>
    <row r="1006" spans="52:71" x14ac:dyDescent="0.25">
      <c r="AZ1006" s="334"/>
      <c r="BB1006" s="334"/>
      <c r="BC1006" s="334"/>
      <c r="BD1006" s="334"/>
      <c r="BG1006" s="334"/>
      <c r="BH1006" s="334"/>
      <c r="BI1006" s="334"/>
      <c r="BJ1006" s="334"/>
      <c r="BK1006" s="334"/>
      <c r="BL1006" s="334"/>
      <c r="BM1006" s="334"/>
      <c r="BN1006" s="334"/>
      <c r="BO1006" s="334"/>
      <c r="BP1006" s="334"/>
      <c r="BQ1006" s="334"/>
      <c r="BR1006" s="334"/>
      <c r="BS1006" s="334"/>
    </row>
    <row r="1007" spans="52:71" x14ac:dyDescent="0.25">
      <c r="AZ1007" s="334"/>
      <c r="BG1007" s="334"/>
      <c r="BH1007" s="334"/>
      <c r="BI1007" s="334"/>
      <c r="BJ1007" s="334"/>
      <c r="BK1007" s="334"/>
      <c r="BL1007" s="334"/>
      <c r="BM1007" s="334"/>
      <c r="BN1007" s="334"/>
      <c r="BO1007" s="334"/>
      <c r="BP1007" s="334"/>
      <c r="BQ1007" s="334"/>
      <c r="BR1007" s="334"/>
      <c r="BS1007" s="334"/>
    </row>
    <row r="1008" spans="52:71" x14ac:dyDescent="0.25">
      <c r="AZ1008" s="334"/>
      <c r="BG1008" s="334"/>
      <c r="BH1008" s="334"/>
      <c r="BI1008" s="334"/>
      <c r="BJ1008" s="334"/>
      <c r="BK1008" s="334"/>
      <c r="BL1008" s="334"/>
      <c r="BM1008" s="334"/>
      <c r="BN1008" s="334"/>
      <c r="BO1008" s="334"/>
      <c r="BP1008" s="334"/>
      <c r="BQ1008" s="334"/>
      <c r="BR1008" s="334"/>
      <c r="BS1008" s="334"/>
    </row>
    <row r="1009" spans="52:71" x14ac:dyDescent="0.25">
      <c r="AZ1009" s="334"/>
      <c r="BG1009" s="334"/>
      <c r="BH1009" s="334"/>
      <c r="BI1009" s="334"/>
      <c r="BJ1009" s="334"/>
      <c r="BK1009" s="334"/>
      <c r="BL1009" s="334"/>
      <c r="BM1009" s="334"/>
      <c r="BN1009" s="334"/>
      <c r="BO1009" s="334"/>
      <c r="BP1009" s="334"/>
      <c r="BQ1009" s="334"/>
      <c r="BR1009" s="334"/>
      <c r="BS1009" s="334"/>
    </row>
    <row r="1010" spans="52:71" x14ac:dyDescent="0.25">
      <c r="AZ1010" s="334"/>
      <c r="BG1010" s="334"/>
      <c r="BH1010" s="334"/>
      <c r="BI1010" s="334"/>
      <c r="BJ1010" s="334"/>
      <c r="BK1010" s="334"/>
      <c r="BL1010" s="334"/>
      <c r="BM1010" s="334"/>
      <c r="BN1010" s="334"/>
      <c r="BO1010" s="334"/>
      <c r="BP1010" s="334"/>
      <c r="BQ1010" s="334"/>
      <c r="BR1010" s="334"/>
      <c r="BS1010" s="334"/>
    </row>
    <row r="1011" spans="52:71" x14ac:dyDescent="0.25">
      <c r="AZ1011" s="334"/>
      <c r="BG1011" s="334"/>
      <c r="BH1011" s="334"/>
      <c r="BI1011" s="334"/>
      <c r="BJ1011" s="334"/>
      <c r="BK1011" s="334"/>
      <c r="BL1011" s="334"/>
      <c r="BM1011" s="334"/>
      <c r="BN1011" s="334"/>
      <c r="BO1011" s="334"/>
      <c r="BP1011" s="334"/>
      <c r="BQ1011" s="334"/>
      <c r="BR1011" s="334"/>
      <c r="BS1011" s="334"/>
    </row>
    <row r="1012" spans="52:71" x14ac:dyDescent="0.25">
      <c r="AZ1012" s="334"/>
      <c r="BG1012" s="334"/>
      <c r="BH1012" s="334"/>
      <c r="BI1012" s="334"/>
      <c r="BJ1012" s="334"/>
      <c r="BK1012" s="334"/>
      <c r="BL1012" s="334"/>
      <c r="BM1012" s="334"/>
      <c r="BN1012" s="334"/>
      <c r="BO1012" s="334"/>
      <c r="BP1012" s="334"/>
      <c r="BQ1012" s="334"/>
      <c r="BR1012" s="334"/>
      <c r="BS1012" s="334"/>
    </row>
    <row r="1013" spans="52:71" x14ac:dyDescent="0.25">
      <c r="AZ1013" s="334"/>
      <c r="BG1013" s="334"/>
      <c r="BH1013" s="334"/>
      <c r="BI1013" s="334"/>
      <c r="BJ1013" s="334"/>
      <c r="BK1013" s="334"/>
      <c r="BL1013" s="334"/>
      <c r="BM1013" s="334"/>
      <c r="BN1013" s="334"/>
      <c r="BO1013" s="334"/>
      <c r="BP1013" s="334"/>
      <c r="BQ1013" s="334"/>
      <c r="BR1013" s="334"/>
      <c r="BS1013" s="334"/>
    </row>
    <row r="1014" spans="52:71" x14ac:dyDescent="0.25">
      <c r="AZ1014" s="334"/>
    </row>
    <row r="1015" spans="52:71" x14ac:dyDescent="0.25">
      <c r="AZ1015" s="334"/>
    </row>
    <row r="1029" spans="1:28" x14ac:dyDescent="0.25">
      <c r="A1029" s="154"/>
    </row>
    <row r="1032" spans="1:28" x14ac:dyDescent="0.25">
      <c r="Y1032" s="154"/>
    </row>
    <row r="1033" spans="1:28" x14ac:dyDescent="0.25">
      <c r="A1033" s="154"/>
      <c r="H1033" s="154"/>
      <c r="I1033" s="154"/>
    </row>
    <row r="1034" spans="1:28" x14ac:dyDescent="0.25">
      <c r="A1034" s="154"/>
      <c r="V1034" s="103"/>
      <c r="AA1034" s="103"/>
      <c r="AB1034" s="103"/>
    </row>
    <row r="1035" spans="1:28" x14ac:dyDescent="0.25">
      <c r="A1035" s="154"/>
      <c r="V1035" s="102"/>
      <c r="AA1035" s="102"/>
      <c r="AB1035" s="102"/>
    </row>
    <row r="1036" spans="1:28" x14ac:dyDescent="0.25">
      <c r="A1036" s="154"/>
      <c r="U1036" s="154"/>
      <c r="AA1036" s="103"/>
      <c r="AB1036" s="103"/>
    </row>
    <row r="1037" spans="1:28" x14ac:dyDescent="0.25">
      <c r="A1037" s="154"/>
    </row>
    <row r="1038" spans="1:28" x14ac:dyDescent="0.25">
      <c r="A1038" s="154"/>
      <c r="U1038" s="154"/>
      <c r="AA1038" s="103"/>
      <c r="AB1038" s="103"/>
    </row>
    <row r="1039" spans="1:28" x14ac:dyDescent="0.25">
      <c r="A1039" s="154"/>
    </row>
    <row r="1040" spans="1:28" x14ac:dyDescent="0.25">
      <c r="A1040" s="154"/>
      <c r="U1040" s="154"/>
      <c r="V1040" s="338"/>
      <c r="AA1040" s="103"/>
      <c r="AB1040" s="103"/>
    </row>
    <row r="1041" spans="1:28" x14ac:dyDescent="0.25">
      <c r="A1041" s="154"/>
    </row>
    <row r="1042" spans="1:28" x14ac:dyDescent="0.25">
      <c r="A1042" s="154"/>
      <c r="U1042" s="154"/>
      <c r="AA1042" s="103"/>
      <c r="AB1042" s="103"/>
    </row>
    <row r="1043" spans="1:28" x14ac:dyDescent="0.25">
      <c r="A1043" s="154"/>
    </row>
    <row r="1044" spans="1:28" x14ac:dyDescent="0.25">
      <c r="A1044" s="154"/>
      <c r="U1044" s="154"/>
      <c r="AA1044" s="103"/>
      <c r="AB1044" s="103"/>
    </row>
    <row r="1045" spans="1:28" x14ac:dyDescent="0.25">
      <c r="A1045" s="154"/>
    </row>
    <row r="1046" spans="1:28" x14ac:dyDescent="0.25">
      <c r="A1046" s="154"/>
    </row>
    <row r="1047" spans="1:28" x14ac:dyDescent="0.25">
      <c r="A1047" s="154"/>
    </row>
    <row r="1048" spans="1:28" x14ac:dyDescent="0.25">
      <c r="A1048" s="154"/>
    </row>
    <row r="1049" spans="1:28" x14ac:dyDescent="0.25">
      <c r="A1049" s="154"/>
    </row>
    <row r="1050" spans="1:28" x14ac:dyDescent="0.25">
      <c r="A1050" s="154"/>
    </row>
    <row r="1051" spans="1:28" x14ac:dyDescent="0.25">
      <c r="A1051" s="154"/>
    </row>
    <row r="1052" spans="1:28" x14ac:dyDescent="0.25">
      <c r="A1052" s="154"/>
    </row>
    <row r="1053" spans="1:28" x14ac:dyDescent="0.25">
      <c r="A1053" s="154"/>
    </row>
    <row r="1054" spans="1:28" x14ac:dyDescent="0.25">
      <c r="A1054" s="154"/>
    </row>
    <row r="1055" spans="1:28" x14ac:dyDescent="0.25">
      <c r="A1055" s="154"/>
      <c r="H1055" s="154"/>
      <c r="I1055" s="154"/>
    </row>
    <row r="1058" spans="1:1" x14ac:dyDescent="0.25">
      <c r="A1058" s="154"/>
    </row>
    <row r="1061" spans="1:1" x14ac:dyDescent="0.25">
      <c r="A1061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  <row r="1068" spans="1:1" x14ac:dyDescent="0.25">
      <c r="A1068" s="154"/>
    </row>
    <row r="1069" spans="1:1" x14ac:dyDescent="0.25">
      <c r="A1069" s="154"/>
    </row>
    <row r="1070" spans="1:1" x14ac:dyDescent="0.25">
      <c r="A1070" s="154"/>
    </row>
    <row r="1071" spans="1:1" x14ac:dyDescent="0.25">
      <c r="A1071" s="154"/>
    </row>
    <row r="1072" spans="1:1" x14ac:dyDescent="0.25">
      <c r="A1072" s="154"/>
    </row>
    <row r="1073" spans="1:1" x14ac:dyDescent="0.25">
      <c r="A1073" s="154"/>
    </row>
    <row r="1074" spans="1:1" x14ac:dyDescent="0.25">
      <c r="A1074" s="154"/>
    </row>
    <row r="1075" spans="1:1" x14ac:dyDescent="0.25">
      <c r="A1075" s="154"/>
    </row>
    <row r="1076" spans="1:1" x14ac:dyDescent="0.25">
      <c r="A1076" s="154"/>
    </row>
    <row r="1077" spans="1:1" x14ac:dyDescent="0.25">
      <c r="A1077" s="154"/>
    </row>
    <row r="1078" spans="1:1" x14ac:dyDescent="0.25">
      <c r="A1078" s="154"/>
    </row>
    <row r="1079" spans="1:1" x14ac:dyDescent="0.25">
      <c r="A1079" s="154"/>
    </row>
    <row r="1080" spans="1:1" x14ac:dyDescent="0.25">
      <c r="A1080" s="154"/>
    </row>
    <row r="1081" spans="1:1" x14ac:dyDescent="0.25">
      <c r="A1081" s="154"/>
    </row>
    <row r="1082" spans="1:1" x14ac:dyDescent="0.25">
      <c r="A1082" s="154"/>
    </row>
    <row r="1083" spans="1:1" x14ac:dyDescent="0.25">
      <c r="A1083" s="154"/>
    </row>
    <row r="1084" spans="1:1" x14ac:dyDescent="0.25">
      <c r="A1084" s="154"/>
    </row>
    <row r="1085" spans="1:1" x14ac:dyDescent="0.25">
      <c r="A1085" s="154"/>
    </row>
    <row r="1086" spans="1:1" x14ac:dyDescent="0.25">
      <c r="A1086" s="154"/>
    </row>
    <row r="1087" spans="1:1" x14ac:dyDescent="0.25">
      <c r="A1087" s="154"/>
    </row>
    <row r="1088" spans="1:1" x14ac:dyDescent="0.25">
      <c r="A1088" s="154"/>
    </row>
    <row r="1089" spans="1:1" x14ac:dyDescent="0.25">
      <c r="A1089" s="154"/>
    </row>
    <row r="1090" spans="1:1" x14ac:dyDescent="0.25">
      <c r="A1090" s="154"/>
    </row>
    <row r="1091" spans="1:1" x14ac:dyDescent="0.25">
      <c r="A1091" s="154"/>
    </row>
    <row r="1092" spans="1:1" x14ac:dyDescent="0.25">
      <c r="A1092" s="154"/>
    </row>
    <row r="1093" spans="1:1" x14ac:dyDescent="0.25">
      <c r="A1093" s="154"/>
    </row>
    <row r="1094" spans="1:1" x14ac:dyDescent="0.25">
      <c r="A1094" s="154"/>
    </row>
    <row r="1095" spans="1:1" x14ac:dyDescent="0.25">
      <c r="A1095" s="154"/>
    </row>
    <row r="1096" spans="1:1" x14ac:dyDescent="0.25">
      <c r="A1096" s="154"/>
    </row>
    <row r="1097" spans="1:1" x14ac:dyDescent="0.25">
      <c r="A1097" s="154"/>
    </row>
    <row r="1098" spans="1:1" x14ac:dyDescent="0.25">
      <c r="A1098" s="154"/>
    </row>
    <row r="1103" spans="1:1" x14ac:dyDescent="0.25">
      <c r="A1103" s="154"/>
    </row>
    <row r="1104" spans="1:1" x14ac:dyDescent="0.25">
      <c r="A1104" s="154"/>
    </row>
    <row r="1107" spans="1:1" x14ac:dyDescent="0.25">
      <c r="A1107" s="154"/>
    </row>
    <row r="1109" spans="1:1" x14ac:dyDescent="0.25">
      <c r="A1109" s="154"/>
    </row>
    <row r="1111" spans="1:1" x14ac:dyDescent="0.25">
      <c r="A1111" s="154"/>
    </row>
    <row r="1113" spans="1:1" x14ac:dyDescent="0.25">
      <c r="A1113" s="154"/>
    </row>
    <row r="1116" spans="1:1" x14ac:dyDescent="0.25">
      <c r="A1116" s="154"/>
    </row>
    <row r="1117" spans="1:1" x14ac:dyDescent="0.25">
      <c r="A1117" s="154"/>
    </row>
    <row r="1118" spans="1:1" x14ac:dyDescent="0.25">
      <c r="A1118" s="154"/>
    </row>
    <row r="1119" spans="1:1" x14ac:dyDescent="0.25">
      <c r="A1119" s="154"/>
    </row>
    <row r="1120" spans="1:1" x14ac:dyDescent="0.25">
      <c r="A1120" s="154"/>
    </row>
    <row r="1121" spans="1:1" x14ac:dyDescent="0.25">
      <c r="A1121" s="154"/>
    </row>
    <row r="1122" spans="1:1" x14ac:dyDescent="0.25">
      <c r="A1122" s="154"/>
    </row>
    <row r="1123" spans="1:1" x14ac:dyDescent="0.25">
      <c r="A1123" s="154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21"/>
  <dimension ref="A1:BW1059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7.6640625" style="101" customWidth="1"/>
    <col min="4" max="4" width="38.109375" style="101" customWidth="1"/>
    <col min="5" max="5" width="0.66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1.218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19.3320312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8.109375" style="101" customWidth="1"/>
    <col min="23" max="23" width="38.109375" style="101" customWidth="1"/>
    <col min="24" max="24" width="0.664062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3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758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M9" s="82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8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M10" s="82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87"/>
      <c r="M11" s="187"/>
      <c r="N11" s="150"/>
      <c r="O11" s="150"/>
      <c r="P11" s="150"/>
      <c r="Q11" s="150"/>
      <c r="R11" s="187"/>
      <c r="AK11" s="297"/>
      <c r="AL11" s="154"/>
    </row>
    <row r="12" spans="1:40" x14ac:dyDescent="0.25">
      <c r="A12" s="151"/>
      <c r="B12" s="151"/>
      <c r="C12" s="151"/>
      <c r="D12" s="151"/>
      <c r="E12" s="151"/>
      <c r="F12" s="80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AA12" s="154"/>
      <c r="AB12" s="154"/>
      <c r="AK12" s="209"/>
      <c r="AL12" s="202"/>
    </row>
    <row r="13" spans="1:40" ht="18" customHeight="1" x14ac:dyDescent="0.25">
      <c r="A13" s="152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93" t="s">
        <v>6</v>
      </c>
      <c r="M13" s="193"/>
      <c r="N13" s="193" t="s">
        <v>7</v>
      </c>
      <c r="O13" s="193"/>
      <c r="P13" s="152"/>
      <c r="Q13" s="152"/>
      <c r="R13" s="193" t="s">
        <v>6</v>
      </c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208"/>
      <c r="AH13" s="102"/>
      <c r="AI13" s="102"/>
      <c r="AJ13" s="102"/>
      <c r="AK13" s="208"/>
      <c r="AL13" s="102"/>
      <c r="AM13" s="102"/>
      <c r="AN13" s="102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Z15" s="103"/>
      <c r="AA15" s="103"/>
      <c r="AB15" s="103"/>
      <c r="AC15" s="103"/>
      <c r="AD15" s="103"/>
      <c r="AE15" s="103"/>
      <c r="AF15" s="103"/>
      <c r="AG15" s="185"/>
      <c r="AH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475</v>
      </c>
      <c r="Q16" s="83"/>
      <c r="R16" s="256" t="s">
        <v>30</v>
      </c>
      <c r="T16" s="103"/>
      <c r="U16" s="103"/>
      <c r="V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H18" s="390"/>
      <c r="I18" s="390"/>
      <c r="J18" s="390"/>
      <c r="T18" s="103"/>
      <c r="U18" s="103"/>
      <c r="V18" s="103"/>
      <c r="Y18" s="103"/>
      <c r="Z18" s="103"/>
      <c r="AA18" s="103"/>
      <c r="AB18" s="103"/>
      <c r="AC18" s="103"/>
      <c r="AD18" s="103"/>
      <c r="AE18" s="103"/>
      <c r="AF18" s="103"/>
      <c r="AG18" s="185"/>
      <c r="AH18" s="103"/>
      <c r="AI18" s="103"/>
      <c r="AJ18" s="103"/>
      <c r="AK18" s="185"/>
      <c r="AL18" s="103"/>
      <c r="AM18" s="103"/>
      <c r="AN18" s="103"/>
    </row>
    <row r="19" spans="1:40" ht="17.100000000000001" customHeight="1" x14ac:dyDescent="0.25">
      <c r="A19" s="152"/>
      <c r="B19" s="152"/>
      <c r="C19" s="152"/>
      <c r="D19" s="152"/>
      <c r="E19" s="152"/>
      <c r="F19" s="152"/>
      <c r="G19" s="152"/>
      <c r="H19" s="260" t="s">
        <v>51</v>
      </c>
      <c r="I19" s="259"/>
      <c r="J19" s="260" t="s">
        <v>418</v>
      </c>
      <c r="K19" s="376"/>
      <c r="L19" s="376" t="s">
        <v>52</v>
      </c>
      <c r="M19" s="376"/>
      <c r="N19" s="376" t="s">
        <v>53</v>
      </c>
      <c r="O19" s="376"/>
      <c r="P19" s="376" t="s">
        <v>52</v>
      </c>
      <c r="Q19" s="376"/>
      <c r="R19" s="376" t="s">
        <v>52</v>
      </c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208"/>
      <c r="AH19" s="102"/>
      <c r="AI19" s="102"/>
      <c r="AJ19" s="102"/>
      <c r="AK19" s="208"/>
      <c r="AL19" s="102"/>
      <c r="AM19" s="102"/>
      <c r="AN19" s="102"/>
    </row>
    <row r="20" spans="1:40" x14ac:dyDescent="0.25">
      <c r="A20" s="159">
        <v>1</v>
      </c>
      <c r="B20" s="80"/>
      <c r="C20" s="253" t="s">
        <v>411</v>
      </c>
      <c r="D20" s="387" t="s">
        <v>415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Y20" s="103"/>
      <c r="Z20" s="103"/>
      <c r="AA20" s="103"/>
      <c r="AB20" s="103"/>
      <c r="AC20" s="103"/>
      <c r="AD20" s="103"/>
      <c r="AE20" s="103"/>
      <c r="AF20" s="103"/>
      <c r="AG20" s="185"/>
      <c r="AH20" s="103"/>
      <c r="AI20" s="103"/>
      <c r="AJ20" s="103"/>
      <c r="AK20" s="185"/>
      <c r="AL20" s="103"/>
      <c r="AM20" s="103"/>
      <c r="AN20" s="103"/>
    </row>
    <row r="21" spans="1:40" x14ac:dyDescent="0.25">
      <c r="A21" s="159">
        <v>2</v>
      </c>
      <c r="B21" s="80"/>
      <c r="C21" s="253"/>
      <c r="D21" s="258" t="s">
        <v>416</v>
      </c>
      <c r="E21" s="8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154"/>
      <c r="U21" s="154"/>
    </row>
    <row r="22" spans="1:40" ht="22.5" customHeight="1" x14ac:dyDescent="0.25">
      <c r="A22" s="159"/>
      <c r="B22" s="80"/>
      <c r="C22" s="82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T22" s="154"/>
      <c r="U22" s="154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T23" s="154"/>
      <c r="U23" s="154"/>
    </row>
    <row r="24" spans="1:40" x14ac:dyDescent="0.25">
      <c r="A24" s="159">
        <v>4</v>
      </c>
      <c r="B24" s="80"/>
      <c r="C24" s="82" t="s">
        <v>417</v>
      </c>
      <c r="D24" s="80"/>
      <c r="E24" s="80"/>
      <c r="F24" s="252">
        <v>0</v>
      </c>
      <c r="G24" s="70"/>
      <c r="H24" s="78"/>
      <c r="I24" s="78"/>
      <c r="J24" s="283">
        <f>INPUT!D137</f>
        <v>0</v>
      </c>
      <c r="K24" s="284"/>
      <c r="L24" s="167">
        <f>ROUND(F24*J24,0)</f>
        <v>0</v>
      </c>
      <c r="M24" s="79"/>
      <c r="N24" s="341">
        <v>0</v>
      </c>
      <c r="O24" s="156"/>
      <c r="P24" s="167"/>
      <c r="Q24" s="302"/>
      <c r="R24" s="167">
        <f>L24+P24</f>
        <v>0</v>
      </c>
    </row>
    <row r="25" spans="1:40" ht="20.100000000000001" customHeight="1" x14ac:dyDescent="0.25">
      <c r="A25" s="159">
        <v>5</v>
      </c>
      <c r="B25" s="80"/>
      <c r="C25" s="253" t="s">
        <v>158</v>
      </c>
      <c r="D25" s="80"/>
      <c r="E25" s="80"/>
      <c r="F25" s="230"/>
      <c r="G25" s="70"/>
      <c r="H25" s="78"/>
      <c r="I25" s="78"/>
      <c r="J25" s="283"/>
      <c r="K25" s="284"/>
      <c r="L25" s="169">
        <f>SUM(L24)</f>
        <v>0</v>
      </c>
      <c r="M25" s="79"/>
      <c r="N25" s="341">
        <v>0</v>
      </c>
      <c r="O25" s="156"/>
      <c r="P25" s="169"/>
      <c r="Q25" s="302"/>
      <c r="R25" s="169">
        <f>SUM(R24)</f>
        <v>0</v>
      </c>
    </row>
    <row r="26" spans="1:40" ht="25.5" customHeight="1" x14ac:dyDescent="0.25">
      <c r="A26" s="159"/>
      <c r="B26" s="80"/>
      <c r="C26" s="82"/>
      <c r="D26" s="80"/>
      <c r="E26" s="80"/>
      <c r="F26" s="230"/>
      <c r="G26" s="70"/>
      <c r="H26" s="78"/>
      <c r="I26" s="78"/>
      <c r="J26" s="283"/>
      <c r="K26" s="284"/>
      <c r="L26" s="163"/>
      <c r="M26" s="79"/>
      <c r="N26" s="198"/>
      <c r="O26" s="156"/>
      <c r="P26" s="163"/>
      <c r="Q26" s="302"/>
      <c r="R26" s="163"/>
    </row>
    <row r="27" spans="1:40" x14ac:dyDescent="0.25">
      <c r="A27" s="159">
        <v>6</v>
      </c>
      <c r="B27" s="80"/>
      <c r="C27" s="253" t="s">
        <v>69</v>
      </c>
      <c r="D27" s="80"/>
      <c r="E27" s="80"/>
      <c r="F27" s="163"/>
      <c r="G27" s="70"/>
      <c r="H27" s="79"/>
      <c r="I27" s="79"/>
      <c r="J27" s="310"/>
      <c r="K27" s="263"/>
      <c r="L27" s="79"/>
      <c r="M27" s="79"/>
      <c r="N27" s="156"/>
      <c r="O27" s="156"/>
      <c r="P27" s="79"/>
      <c r="Q27" s="79"/>
      <c r="R27" s="79"/>
      <c r="S27" s="200"/>
      <c r="T27" s="154"/>
      <c r="AA27" s="200"/>
      <c r="AB27" s="200"/>
      <c r="AC27" s="200"/>
      <c r="AD27" s="200"/>
      <c r="AI27" s="200"/>
      <c r="AJ27" s="200"/>
      <c r="AK27" s="209"/>
      <c r="AL27" s="200"/>
    </row>
    <row r="28" spans="1:40" x14ac:dyDescent="0.25">
      <c r="A28" s="159">
        <v>7</v>
      </c>
      <c r="B28" s="80"/>
      <c r="C28" s="82" t="s">
        <v>494</v>
      </c>
      <c r="D28" s="80"/>
      <c r="E28" s="80"/>
      <c r="F28" s="163"/>
      <c r="G28" s="70"/>
      <c r="H28" s="225">
        <v>0</v>
      </c>
      <c r="I28" s="79"/>
      <c r="J28" s="308">
        <f>INPUT!D141</f>
        <v>0</v>
      </c>
      <c r="K28" s="263"/>
      <c r="L28" s="163">
        <f>ROUND((H28*J28),0)</f>
        <v>0</v>
      </c>
      <c r="M28" s="163"/>
      <c r="N28" s="198">
        <v>0</v>
      </c>
      <c r="O28" s="198"/>
      <c r="P28" s="163"/>
      <c r="Q28" s="163"/>
      <c r="R28" s="163">
        <f>L28+P28</f>
        <v>0</v>
      </c>
      <c r="S28" s="200"/>
      <c r="T28" s="154"/>
      <c r="AA28" s="200"/>
      <c r="AB28" s="200"/>
      <c r="AC28" s="200"/>
      <c r="AD28" s="200"/>
      <c r="AI28" s="200"/>
      <c r="AJ28" s="200"/>
      <c r="AK28" s="209"/>
      <c r="AL28" s="200"/>
    </row>
    <row r="29" spans="1:40" x14ac:dyDescent="0.25">
      <c r="A29" s="159">
        <v>8</v>
      </c>
      <c r="B29" s="80"/>
      <c r="C29" s="82" t="s">
        <v>419</v>
      </c>
      <c r="D29" s="80"/>
      <c r="E29" s="80"/>
      <c r="F29" s="163"/>
      <c r="G29" s="70"/>
      <c r="H29" s="230">
        <f>H28</f>
        <v>0</v>
      </c>
      <c r="I29" s="230"/>
      <c r="J29" s="393">
        <f>INPUT!D145</f>
        <v>0</v>
      </c>
      <c r="K29" s="357"/>
      <c r="L29" s="163">
        <f>ROUND((H29*J29),0)</f>
        <v>0</v>
      </c>
      <c r="M29" s="163"/>
      <c r="N29" s="198">
        <v>0</v>
      </c>
      <c r="O29" s="198"/>
      <c r="P29" s="163"/>
      <c r="Q29" s="163"/>
      <c r="R29" s="163">
        <f>L29+P29</f>
        <v>0</v>
      </c>
      <c r="Z29" s="202"/>
    </row>
    <row r="30" spans="1:40" x14ac:dyDescent="0.25">
      <c r="A30" s="159">
        <v>9</v>
      </c>
      <c r="B30" s="80"/>
      <c r="C30" s="82" t="s">
        <v>480</v>
      </c>
      <c r="D30" s="80"/>
      <c r="E30" s="80"/>
      <c r="F30" s="163"/>
      <c r="G30" s="70"/>
      <c r="H30" s="230">
        <f>H29</f>
        <v>0</v>
      </c>
      <c r="I30" s="230"/>
      <c r="J30" s="393">
        <f>INPUT!D149</f>
        <v>0</v>
      </c>
      <c r="K30" s="357"/>
      <c r="L30" s="163">
        <f>ROUND((H30*J30),0)</f>
        <v>0</v>
      </c>
      <c r="M30" s="163"/>
      <c r="N30" s="341">
        <v>0</v>
      </c>
      <c r="O30" s="198"/>
      <c r="P30" s="200">
        <f>ROUND(-H30*(CUR_FAC+CUR_BASE_FUEL),0)</f>
        <v>0</v>
      </c>
      <c r="Q30" s="163"/>
      <c r="R30" s="163">
        <f>L30+P30</f>
        <v>0</v>
      </c>
      <c r="Z30" s="202"/>
    </row>
    <row r="31" spans="1:40" ht="20.100000000000001" customHeight="1" x14ac:dyDescent="0.25">
      <c r="A31" s="159">
        <v>10</v>
      </c>
      <c r="B31" s="80"/>
      <c r="C31" s="253" t="s">
        <v>164</v>
      </c>
      <c r="D31" s="80"/>
      <c r="E31" s="80"/>
      <c r="F31" s="167"/>
      <c r="G31" s="70"/>
      <c r="H31" s="169">
        <f>H29</f>
        <v>0</v>
      </c>
      <c r="I31" s="79"/>
      <c r="J31" s="347"/>
      <c r="K31" s="268"/>
      <c r="L31" s="169">
        <f>SUM(L28:L30)</f>
        <v>0</v>
      </c>
      <c r="M31" s="79"/>
      <c r="N31" s="341">
        <v>0</v>
      </c>
      <c r="O31" s="156"/>
      <c r="P31" s="169">
        <f>P30</f>
        <v>0</v>
      </c>
      <c r="Q31" s="79"/>
      <c r="R31" s="169">
        <f>SUM(R28:R30)</f>
        <v>0</v>
      </c>
    </row>
    <row r="32" spans="1:40" ht="20.100000000000001" customHeight="1" x14ac:dyDescent="0.25">
      <c r="A32" s="159">
        <v>11</v>
      </c>
      <c r="B32" s="80"/>
      <c r="C32" s="265" t="s">
        <v>583</v>
      </c>
      <c r="D32" s="80"/>
      <c r="E32" s="80"/>
      <c r="F32" s="169">
        <f>F24</f>
        <v>0</v>
      </c>
      <c r="G32" s="70"/>
      <c r="H32" s="169">
        <f>H31</f>
        <v>0</v>
      </c>
      <c r="I32" s="79"/>
      <c r="J32" s="347"/>
      <c r="K32" s="268"/>
      <c r="L32" s="169">
        <f>L31+L25</f>
        <v>0</v>
      </c>
      <c r="M32" s="79"/>
      <c r="N32" s="303">
        <v>0</v>
      </c>
      <c r="O32" s="156"/>
      <c r="P32" s="169">
        <f>SUM(P31+P25)</f>
        <v>0</v>
      </c>
      <c r="Q32" s="79"/>
      <c r="R32" s="169">
        <f>R31+R25</f>
        <v>0</v>
      </c>
    </row>
    <row r="33" spans="1:47" ht="15.75" customHeight="1" x14ac:dyDescent="0.25">
      <c r="A33" s="159"/>
      <c r="B33" s="80"/>
      <c r="C33" s="82"/>
      <c r="D33" s="80"/>
      <c r="E33" s="80"/>
      <c r="F33" s="163"/>
      <c r="G33" s="70"/>
      <c r="H33" s="163"/>
      <c r="I33" s="79"/>
      <c r="J33" s="347"/>
      <c r="K33" s="268"/>
      <c r="L33" s="163"/>
      <c r="M33" s="79"/>
      <c r="N33" s="198"/>
      <c r="O33" s="156"/>
      <c r="P33" s="163"/>
      <c r="Q33" s="79"/>
      <c r="R33" s="163"/>
    </row>
    <row r="34" spans="1:47" ht="15.75" customHeight="1" x14ac:dyDescent="0.25">
      <c r="A34" s="159">
        <v>12</v>
      </c>
      <c r="B34" s="80"/>
      <c r="C34" s="253" t="s">
        <v>553</v>
      </c>
      <c r="D34" s="80"/>
      <c r="E34" s="80"/>
      <c r="F34" s="163"/>
      <c r="G34" s="70"/>
      <c r="H34" s="163"/>
      <c r="I34" s="79"/>
      <c r="J34" s="347"/>
      <c r="K34" s="268"/>
      <c r="L34" s="163"/>
      <c r="M34" s="79"/>
      <c r="N34" s="198"/>
      <c r="O34" s="156"/>
      <c r="P34" s="163"/>
      <c r="Q34" s="79"/>
      <c r="R34" s="163"/>
    </row>
    <row r="35" spans="1:47" ht="15.75" customHeight="1" x14ac:dyDescent="0.25">
      <c r="A35" s="159">
        <v>13</v>
      </c>
      <c r="B35" s="80"/>
      <c r="C35" s="153" t="s">
        <v>556</v>
      </c>
      <c r="D35" s="80"/>
      <c r="E35" s="80"/>
      <c r="F35" s="163"/>
      <c r="G35" s="70"/>
      <c r="H35" s="163"/>
      <c r="I35" s="79"/>
      <c r="J35" s="295">
        <f>PRO_DSM_TRANS</f>
        <v>1.83E-4</v>
      </c>
      <c r="K35" s="268"/>
      <c r="L35" s="163">
        <f>ROUND(H32*PRO_DSM_TRANS,0)</f>
        <v>0</v>
      </c>
      <c r="M35" s="79"/>
      <c r="N35" s="197">
        <v>0</v>
      </c>
      <c r="O35" s="156"/>
      <c r="P35" s="163"/>
      <c r="Q35" s="79"/>
      <c r="R35" s="163">
        <f t="shared" ref="R35:R36" si="0">L35+P35</f>
        <v>0</v>
      </c>
    </row>
    <row r="36" spans="1:47" ht="15.75" customHeight="1" x14ac:dyDescent="0.25">
      <c r="A36" s="159">
        <v>14</v>
      </c>
      <c r="B36" s="80"/>
      <c r="C36" s="153" t="s">
        <v>555</v>
      </c>
      <c r="D36" s="80"/>
      <c r="E36" s="80"/>
      <c r="F36" s="163"/>
      <c r="G36" s="70"/>
      <c r="H36" s="163"/>
      <c r="I36" s="79"/>
      <c r="J36" s="295">
        <f>PRO_PSM</f>
        <v>-4.5600000000000003E-4</v>
      </c>
      <c r="K36" s="268"/>
      <c r="L36" s="167">
        <f>ROUND(H32*PRO_PSM,0)</f>
        <v>0</v>
      </c>
      <c r="M36" s="79"/>
      <c r="N36" s="166">
        <v>0</v>
      </c>
      <c r="O36" s="156"/>
      <c r="P36" s="167"/>
      <c r="Q36" s="79"/>
      <c r="R36" s="167">
        <f t="shared" si="0"/>
        <v>0</v>
      </c>
    </row>
    <row r="37" spans="1:47" ht="20.100000000000001" customHeight="1" x14ac:dyDescent="0.25">
      <c r="A37" s="159">
        <v>15</v>
      </c>
      <c r="B37" s="80"/>
      <c r="C37" s="253" t="s">
        <v>557</v>
      </c>
      <c r="D37" s="80"/>
      <c r="E37" s="80"/>
      <c r="F37" s="167"/>
      <c r="G37" s="70"/>
      <c r="H37" s="167"/>
      <c r="I37" s="79"/>
      <c r="J37" s="290"/>
      <c r="K37" s="268"/>
      <c r="L37" s="169">
        <f>SUM(L35:L36)</f>
        <v>0</v>
      </c>
      <c r="M37" s="79"/>
      <c r="N37" s="170">
        <v>0</v>
      </c>
      <c r="O37" s="156"/>
      <c r="P37" s="169"/>
      <c r="Q37" s="79"/>
      <c r="R37" s="169">
        <f>SUM(R35:R36)</f>
        <v>0</v>
      </c>
    </row>
    <row r="38" spans="1:47" ht="15.75" customHeight="1" x14ac:dyDescent="0.25">
      <c r="A38" s="159"/>
      <c r="B38" s="80"/>
      <c r="C38" s="253"/>
      <c r="D38" s="80"/>
      <c r="E38" s="80"/>
      <c r="F38" s="163"/>
      <c r="G38" s="70"/>
      <c r="H38" s="163"/>
      <c r="I38" s="79"/>
      <c r="J38" s="268"/>
      <c r="K38" s="268"/>
      <c r="L38" s="163"/>
      <c r="M38" s="79"/>
      <c r="N38" s="198"/>
      <c r="O38" s="156"/>
      <c r="P38" s="163"/>
      <c r="Q38" s="79"/>
      <c r="R38" s="163"/>
    </row>
    <row r="39" spans="1:47" ht="20.100000000000001" customHeight="1" thickBot="1" x14ac:dyDescent="0.3">
      <c r="A39" s="159">
        <v>16</v>
      </c>
      <c r="B39" s="80"/>
      <c r="C39" s="265" t="s">
        <v>584</v>
      </c>
      <c r="D39" s="80"/>
      <c r="E39" s="80"/>
      <c r="F39" s="275">
        <f>F32</f>
        <v>0</v>
      </c>
      <c r="G39" s="70"/>
      <c r="H39" s="275">
        <f>H32</f>
        <v>0</v>
      </c>
      <c r="I39" s="79"/>
      <c r="J39" s="70"/>
      <c r="K39" s="70"/>
      <c r="L39" s="275">
        <f>L37+L32</f>
        <v>0</v>
      </c>
      <c r="M39" s="79"/>
      <c r="N39" s="309">
        <v>100</v>
      </c>
      <c r="O39" s="156"/>
      <c r="P39" s="275">
        <f>P37+P32</f>
        <v>0</v>
      </c>
      <c r="Q39" s="78"/>
      <c r="R39" s="275">
        <f>R37+R32</f>
        <v>0</v>
      </c>
      <c r="V39" s="103"/>
      <c r="W39" s="103"/>
      <c r="X39" s="103"/>
      <c r="Y39" s="103"/>
      <c r="AA39" s="103"/>
      <c r="AB39" s="103"/>
      <c r="AC39" s="103"/>
      <c r="AD39" s="103"/>
      <c r="AE39" s="103"/>
      <c r="AF39" s="103"/>
      <c r="AG39" s="185"/>
      <c r="AH39" s="103"/>
      <c r="AI39" s="103"/>
      <c r="AJ39" s="103"/>
      <c r="AK39" s="185"/>
      <c r="AL39" s="103"/>
      <c r="AM39" s="103"/>
      <c r="AN39" s="103"/>
      <c r="AO39" s="103"/>
      <c r="AP39" s="103"/>
      <c r="AQ39" s="185"/>
      <c r="AS39" s="200"/>
      <c r="AT39" s="200"/>
      <c r="AU39" s="210"/>
    </row>
    <row r="40" spans="1:47" ht="18.75" customHeight="1" thickTop="1" x14ac:dyDescent="0.25">
      <c r="A40" s="80"/>
      <c r="B40" s="80"/>
      <c r="C40" s="80"/>
      <c r="D40" s="80"/>
      <c r="E40" s="8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AA40" s="103"/>
      <c r="AB40" s="103"/>
      <c r="AC40" s="103"/>
      <c r="AD40" s="103"/>
      <c r="AE40" s="103"/>
      <c r="AF40" s="103"/>
      <c r="AG40" s="185"/>
      <c r="AH40" s="103"/>
      <c r="AI40" s="103"/>
      <c r="AJ40" s="103"/>
      <c r="AK40" s="185"/>
      <c r="AL40" s="103"/>
      <c r="AM40" s="103"/>
      <c r="AN40" s="103"/>
      <c r="AO40" s="103"/>
      <c r="AP40" s="103"/>
      <c r="AQ40" s="185"/>
      <c r="AS40" s="200"/>
      <c r="AT40" s="200"/>
      <c r="AU40" s="327"/>
    </row>
    <row r="41" spans="1:47" x14ac:dyDescent="0.25">
      <c r="A41" s="80"/>
      <c r="B41" s="80"/>
      <c r="C41" s="173" t="s">
        <v>61</v>
      </c>
      <c r="D41" s="80"/>
      <c r="E41" s="80"/>
      <c r="F41" s="70"/>
      <c r="G41" s="70"/>
      <c r="H41" s="70"/>
      <c r="I41" s="70"/>
      <c r="J41" s="70"/>
      <c r="K41" s="70"/>
      <c r="L41" s="79"/>
      <c r="M41" s="79"/>
      <c r="N41" s="79"/>
      <c r="O41" s="79"/>
      <c r="P41" s="79"/>
      <c r="Q41" s="79"/>
      <c r="R41" s="79"/>
      <c r="T41" s="202"/>
      <c r="V41" s="154"/>
      <c r="W41" s="154"/>
      <c r="X41" s="154"/>
      <c r="AS41" s="200"/>
      <c r="AT41" s="200"/>
      <c r="AU41" s="210"/>
    </row>
    <row r="42" spans="1:47" ht="18" customHeight="1" x14ac:dyDescent="0.25">
      <c r="A42" s="82"/>
      <c r="B42" s="80"/>
      <c r="C42" s="82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T42" s="202"/>
      <c r="W42" s="154"/>
      <c r="X42" s="154"/>
      <c r="AS42" s="200"/>
      <c r="AT42" s="200"/>
      <c r="AU42" s="210"/>
    </row>
    <row r="43" spans="1:47" x14ac:dyDescent="0.25">
      <c r="A43" s="202"/>
      <c r="C43" s="154"/>
      <c r="F43" s="200"/>
      <c r="H43" s="200"/>
      <c r="I43" s="200"/>
      <c r="J43" s="213"/>
      <c r="K43" s="213"/>
      <c r="L43" s="200"/>
      <c r="M43" s="200"/>
      <c r="N43" s="210"/>
      <c r="O43" s="210"/>
      <c r="P43" s="200"/>
      <c r="Q43" s="200"/>
      <c r="R43" s="200"/>
      <c r="AS43" s="200"/>
      <c r="AT43" s="200"/>
      <c r="AU43" s="210"/>
    </row>
    <row r="44" spans="1:47" x14ac:dyDescent="0.25">
      <c r="F44" s="211"/>
      <c r="H44" s="211"/>
      <c r="I44" s="211"/>
      <c r="J44" s="305"/>
      <c r="K44" s="305"/>
      <c r="L44" s="211"/>
      <c r="M44" s="211"/>
      <c r="N44" s="211"/>
      <c r="O44" s="211"/>
      <c r="P44" s="211"/>
      <c r="Q44" s="211"/>
      <c r="R44" s="211"/>
      <c r="T44" s="202"/>
      <c r="V44" s="154"/>
      <c r="Y44" s="200"/>
      <c r="AC44" s="215"/>
      <c r="AD44" s="215"/>
      <c r="AE44" s="200"/>
      <c r="AF44" s="200"/>
      <c r="AO44" s="200"/>
      <c r="AP44" s="200"/>
      <c r="AS44" s="200"/>
      <c r="AT44" s="200"/>
      <c r="AU44" s="210"/>
    </row>
    <row r="45" spans="1:47" x14ac:dyDescent="0.25">
      <c r="A45" s="202"/>
      <c r="C45" s="154"/>
      <c r="F45" s="200"/>
      <c r="H45" s="200"/>
      <c r="I45" s="200"/>
      <c r="J45" s="213"/>
      <c r="K45" s="213"/>
      <c r="L45" s="200"/>
      <c r="M45" s="200"/>
      <c r="N45" s="210"/>
      <c r="O45" s="210"/>
      <c r="P45" s="200"/>
      <c r="Q45" s="200"/>
      <c r="R45" s="200"/>
      <c r="Y45" s="200"/>
      <c r="AO45" s="200"/>
      <c r="AP45" s="200"/>
      <c r="AR45" s="202"/>
      <c r="AS45" s="200"/>
      <c r="AT45" s="200"/>
      <c r="AU45" s="210"/>
    </row>
    <row r="46" spans="1:47" x14ac:dyDescent="0.25">
      <c r="A46" s="154"/>
      <c r="F46" s="200"/>
      <c r="H46" s="200"/>
      <c r="I46" s="200"/>
      <c r="J46" s="213"/>
      <c r="K46" s="213"/>
      <c r="L46" s="200"/>
      <c r="M46" s="200"/>
      <c r="N46" s="200"/>
      <c r="O46" s="200"/>
      <c r="P46" s="200"/>
      <c r="Q46" s="200"/>
      <c r="R46" s="200"/>
      <c r="T46" s="202"/>
      <c r="V46" s="154"/>
      <c r="Y46" s="200"/>
      <c r="AA46" s="200"/>
      <c r="AB46" s="200"/>
      <c r="AC46" s="300"/>
      <c r="AD46" s="300"/>
      <c r="AE46" s="200"/>
      <c r="AF46" s="200"/>
      <c r="AG46" s="209"/>
      <c r="AH46" s="210"/>
      <c r="AI46" s="200"/>
      <c r="AJ46" s="200"/>
      <c r="AK46" s="209"/>
      <c r="AL46" s="201"/>
      <c r="AM46" s="200"/>
      <c r="AN46" s="200"/>
      <c r="AO46" s="200"/>
      <c r="AP46" s="200"/>
      <c r="AQ46" s="209"/>
      <c r="AR46" s="200"/>
      <c r="AS46" s="200"/>
      <c r="AT46" s="200"/>
      <c r="AU46" s="210"/>
    </row>
    <row r="47" spans="1:47" x14ac:dyDescent="0.25">
      <c r="L47" s="200"/>
      <c r="M47" s="200"/>
      <c r="N47" s="200"/>
      <c r="O47" s="200"/>
      <c r="P47" s="200"/>
      <c r="Q47" s="200"/>
      <c r="R47" s="200"/>
      <c r="T47" s="150" t="str">
        <f>NAME</f>
        <v>DUKE ENERGY KENTUCKY, INC.</v>
      </c>
      <c r="U47" s="150"/>
      <c r="V47" s="150"/>
      <c r="W47" s="150"/>
      <c r="X47" s="150"/>
      <c r="Y47" s="150"/>
      <c r="Z47" s="150"/>
      <c r="AA47" s="150"/>
      <c r="AB47" s="150"/>
      <c r="AC47" s="187"/>
      <c r="AD47" s="187"/>
      <c r="AE47" s="150"/>
      <c r="AF47" s="100"/>
      <c r="AG47" s="190"/>
      <c r="AH47" s="100"/>
      <c r="AI47" s="150"/>
      <c r="AJ47" s="150"/>
      <c r="AK47" s="190"/>
      <c r="AL47" s="150"/>
      <c r="AM47" s="150"/>
      <c r="AN47" s="100"/>
      <c r="AO47" s="150"/>
      <c r="AP47" s="150"/>
      <c r="AQ47" s="190"/>
      <c r="AR47" s="200"/>
      <c r="AS47" s="200"/>
      <c r="AT47" s="200"/>
      <c r="AU47" s="210"/>
    </row>
    <row r="48" spans="1:47" x14ac:dyDescent="0.25">
      <c r="L48" s="200"/>
      <c r="M48" s="200"/>
      <c r="N48" s="200"/>
      <c r="O48" s="200"/>
      <c r="P48" s="200"/>
      <c r="Q48" s="200"/>
      <c r="R48" s="200"/>
      <c r="T48" s="150" t="str">
        <f>CASE_NO</f>
        <v>CASE NO.   2017-00321</v>
      </c>
      <c r="U48" s="150"/>
      <c r="V48" s="150"/>
      <c r="W48" s="150"/>
      <c r="X48" s="150"/>
      <c r="Y48" s="150"/>
      <c r="Z48" s="150"/>
      <c r="AA48" s="150"/>
      <c r="AB48" s="150"/>
      <c r="AC48" s="187"/>
      <c r="AD48" s="187"/>
      <c r="AE48" s="150"/>
      <c r="AF48" s="100"/>
      <c r="AG48" s="190"/>
      <c r="AH48" s="100"/>
      <c r="AI48" s="150"/>
      <c r="AJ48" s="150"/>
      <c r="AK48" s="190"/>
      <c r="AL48" s="150"/>
      <c r="AM48" s="150"/>
      <c r="AN48" s="100"/>
      <c r="AO48" s="150"/>
      <c r="AP48" s="150"/>
      <c r="AQ48" s="190"/>
      <c r="AR48" s="200"/>
      <c r="AS48" s="200"/>
      <c r="AT48" s="200"/>
      <c r="AU48" s="210"/>
    </row>
    <row r="49" spans="1:44" x14ac:dyDescent="0.25">
      <c r="H49" s="154"/>
      <c r="I49" s="154"/>
      <c r="T49" s="187" t="str">
        <f>TITLE</f>
        <v>ANNUALIZED BASE YEAR REVENUES AT PROPOSED VS. MOST CURRENT RATES</v>
      </c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00"/>
      <c r="AG49" s="190"/>
      <c r="AH49" s="100"/>
      <c r="AI49" s="150"/>
      <c r="AJ49" s="150"/>
      <c r="AK49" s="190"/>
      <c r="AL49" s="150"/>
      <c r="AM49" s="150"/>
      <c r="AN49" s="100"/>
      <c r="AO49" s="150"/>
      <c r="AP49" s="150"/>
      <c r="AQ49" s="190"/>
      <c r="AR49" s="200"/>
    </row>
    <row r="50" spans="1:44" x14ac:dyDescent="0.25">
      <c r="L50" s="154"/>
      <c r="M50" s="154"/>
      <c r="T50" s="150" t="str">
        <f>DATE</f>
        <v>FOR THE TWELVE MONTHS ENDED November 30, 2017</v>
      </c>
      <c r="U50" s="150"/>
      <c r="V50" s="150"/>
      <c r="W50" s="150"/>
      <c r="X50" s="150"/>
      <c r="Y50" s="150"/>
      <c r="Z50" s="150"/>
      <c r="AA50" s="150"/>
      <c r="AB50" s="150"/>
      <c r="AC50" s="187"/>
      <c r="AD50" s="187"/>
      <c r="AE50" s="150"/>
      <c r="AF50" s="100"/>
      <c r="AG50" s="190"/>
      <c r="AH50" s="100"/>
      <c r="AI50" s="150"/>
      <c r="AJ50" s="150"/>
      <c r="AK50" s="190"/>
      <c r="AL50" s="150"/>
      <c r="AM50" s="150"/>
      <c r="AN50" s="100"/>
      <c r="AO50" s="150"/>
      <c r="AP50" s="150"/>
      <c r="AQ50" s="190"/>
      <c r="AR50" s="252"/>
    </row>
    <row r="51" spans="1:44" x14ac:dyDescent="0.25">
      <c r="A51" s="202"/>
      <c r="R51" s="154"/>
      <c r="T51" s="150" t="str">
        <f>SERVICE</f>
        <v>(ELECTRIC SERVICE)</v>
      </c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87"/>
      <c r="AF51" s="312"/>
      <c r="AG51" s="190"/>
      <c r="AH51" s="100"/>
      <c r="AI51" s="150"/>
      <c r="AJ51" s="150"/>
      <c r="AK51" s="190"/>
      <c r="AL51" s="150"/>
      <c r="AM51" s="150"/>
      <c r="AN51" s="100"/>
      <c r="AO51" s="150"/>
      <c r="AP51" s="150"/>
      <c r="AQ51" s="190"/>
      <c r="AR51" s="252"/>
    </row>
    <row r="52" spans="1:44" x14ac:dyDescent="0.25">
      <c r="A52" s="202"/>
      <c r="R52" s="154"/>
      <c r="T52" s="159" t="str">
        <f>DATA_PERIOD</f>
        <v>DATA: __X__ BASE PERIOD   ____FORECASTED PERIOD</v>
      </c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G52" s="188"/>
      <c r="AI52" s="80"/>
      <c r="AJ52" s="80"/>
      <c r="AK52" s="188"/>
      <c r="AL52" s="80"/>
      <c r="AM52" s="80"/>
      <c r="AO52" s="82" t="s">
        <v>179</v>
      </c>
      <c r="AP52" s="82"/>
      <c r="AQ52" s="188"/>
      <c r="AR52" s="200"/>
    </row>
    <row r="53" spans="1:44" x14ac:dyDescent="0.25">
      <c r="A53" s="154"/>
      <c r="R53" s="154"/>
      <c r="T53" s="159" t="str">
        <f>TYPE</f>
        <v>TYPE OF FILING: _X_ ORIGINAL   ___UPDATED  ___ REVISED</v>
      </c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G53" s="188"/>
      <c r="AI53" s="80"/>
      <c r="AJ53" s="80"/>
      <c r="AK53" s="188"/>
      <c r="AL53" s="80"/>
      <c r="AM53" s="80"/>
      <c r="AO53" s="81" t="str">
        <f>R7</f>
        <v>PAGE  xx  OF  22</v>
      </c>
      <c r="AP53" s="82"/>
      <c r="AQ53" s="188"/>
      <c r="AR53" s="200"/>
    </row>
    <row r="54" spans="1:44" x14ac:dyDescent="0.25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T54" s="82" t="s">
        <v>192</v>
      </c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188"/>
      <c r="AH54" s="80"/>
      <c r="AI54" s="80"/>
      <c r="AJ54" s="80"/>
      <c r="AK54" s="188"/>
      <c r="AL54" s="80"/>
      <c r="AM54" s="80"/>
      <c r="AN54" s="80"/>
      <c r="AO54" s="82" t="s">
        <v>3</v>
      </c>
      <c r="AP54" s="82"/>
      <c r="AQ54" s="188"/>
    </row>
    <row r="55" spans="1:44" x14ac:dyDescent="0.25">
      <c r="L55" s="103"/>
      <c r="M55" s="103"/>
      <c r="N55" s="103"/>
      <c r="O55" s="103"/>
      <c r="R55" s="103"/>
      <c r="T55" s="258" t="str">
        <f>TIME</f>
        <v>6 Months Actual and 6 Months Projected</v>
      </c>
      <c r="U55" s="80"/>
      <c r="V55" s="80"/>
      <c r="W55" s="80"/>
      <c r="X55" s="80"/>
      <c r="Y55" s="80"/>
      <c r="Z55" s="80"/>
      <c r="AA55" s="80"/>
      <c r="AB55" s="80"/>
      <c r="AC55" s="80"/>
      <c r="AD55" s="80"/>
      <c r="AF55" s="82"/>
      <c r="AG55" s="188"/>
      <c r="AH55" s="80"/>
      <c r="AI55" s="80"/>
      <c r="AJ55" s="80"/>
      <c r="AK55" s="188"/>
      <c r="AL55" s="80"/>
      <c r="AM55" s="80"/>
      <c r="AN55" s="80"/>
      <c r="AO55" s="159" t="str">
        <f>WIT</f>
        <v>B. L. SAILERS</v>
      </c>
      <c r="AP55" s="159"/>
      <c r="AQ55" s="188"/>
    </row>
    <row r="56" spans="1:44" x14ac:dyDescent="0.25">
      <c r="L56" s="103"/>
      <c r="M56" s="103"/>
      <c r="N56" s="103"/>
      <c r="O56" s="103"/>
      <c r="R56" s="103"/>
      <c r="T56" s="258" t="str">
        <f>INPUT!B5</f>
        <v>6 Months Actual Ending May 31, 2017</v>
      </c>
      <c r="U56" s="80"/>
      <c r="V56" s="80"/>
      <c r="W56" s="80"/>
      <c r="X56" s="80"/>
      <c r="Y56" s="80"/>
      <c r="Z56" s="80"/>
      <c r="AA56" s="80"/>
      <c r="AB56" s="80"/>
      <c r="AC56" s="80"/>
      <c r="AD56" s="80"/>
      <c r="AF56" s="82"/>
      <c r="AG56" s="188"/>
      <c r="AH56" s="80"/>
      <c r="AI56" s="80"/>
      <c r="AJ56" s="80"/>
      <c r="AK56" s="188"/>
      <c r="AL56" s="80"/>
      <c r="AM56" s="80"/>
      <c r="AN56" s="80"/>
      <c r="AO56" s="159"/>
      <c r="AP56" s="159"/>
      <c r="AQ56" s="188"/>
    </row>
    <row r="57" spans="1:44" x14ac:dyDescent="0.25">
      <c r="L57" s="103"/>
      <c r="M57" s="103"/>
      <c r="N57" s="103"/>
      <c r="O57" s="103"/>
      <c r="R57" s="103"/>
      <c r="T57" s="187" t="s">
        <v>152</v>
      </c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87"/>
      <c r="AF57" s="187"/>
      <c r="AG57" s="190"/>
      <c r="AH57" s="150"/>
      <c r="AI57" s="150"/>
      <c r="AJ57" s="150"/>
      <c r="AK57" s="190"/>
      <c r="AL57" s="150"/>
      <c r="AM57" s="150"/>
      <c r="AN57" s="150"/>
      <c r="AO57" s="187"/>
      <c r="AP57" s="187"/>
      <c r="AQ57" s="190"/>
    </row>
    <row r="58" spans="1:44" x14ac:dyDescent="0.25">
      <c r="C58" s="103"/>
      <c r="D58" s="103"/>
      <c r="E58" s="103"/>
      <c r="F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91"/>
      <c r="AH58" s="151"/>
      <c r="AI58" s="151"/>
      <c r="AJ58" s="151"/>
      <c r="AK58" s="191"/>
      <c r="AL58" s="151"/>
      <c r="AM58" s="151"/>
      <c r="AN58" s="151"/>
      <c r="AO58" s="151"/>
      <c r="AP58" s="151"/>
      <c r="AQ58" s="191"/>
    </row>
    <row r="59" spans="1:44" ht="18" customHeight="1" x14ac:dyDescent="0.2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93" t="s">
        <v>8</v>
      </c>
      <c r="AF59" s="193"/>
      <c r="AG59" s="194" t="s">
        <v>7</v>
      </c>
      <c r="AH59" s="193"/>
      <c r="AI59" s="193" t="s">
        <v>9</v>
      </c>
      <c r="AJ59" s="193"/>
      <c r="AK59" s="194" t="s">
        <v>10</v>
      </c>
      <c r="AL59" s="193"/>
      <c r="AM59" s="152"/>
      <c r="AN59" s="152"/>
      <c r="AO59" s="193" t="s">
        <v>8</v>
      </c>
      <c r="AP59" s="193"/>
      <c r="AQ59" s="194" t="s">
        <v>11</v>
      </c>
    </row>
    <row r="60" spans="1:44" x14ac:dyDescent="0.25"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T60" s="80"/>
      <c r="U60" s="80"/>
      <c r="V60" s="80"/>
      <c r="W60" s="80"/>
      <c r="X60" s="80"/>
      <c r="Y60" s="80"/>
      <c r="Z60" s="80"/>
      <c r="AA60" s="80"/>
      <c r="AB60" s="80"/>
      <c r="AC60" s="83" t="s">
        <v>14</v>
      </c>
      <c r="AD60" s="83"/>
      <c r="AE60" s="83" t="s">
        <v>12</v>
      </c>
      <c r="AF60" s="83"/>
      <c r="AG60" s="195" t="s">
        <v>13</v>
      </c>
      <c r="AH60" s="83"/>
      <c r="AI60" s="83" t="s">
        <v>15</v>
      </c>
      <c r="AJ60" s="83"/>
      <c r="AK60" s="195" t="s">
        <v>16</v>
      </c>
      <c r="AL60" s="83"/>
      <c r="AM60" s="80"/>
      <c r="AN60" s="80"/>
      <c r="AO60" s="83" t="s">
        <v>11</v>
      </c>
      <c r="AP60" s="83"/>
      <c r="AQ60" s="195" t="s">
        <v>9</v>
      </c>
    </row>
    <row r="61" spans="1:44" x14ac:dyDescent="0.25">
      <c r="A61" s="202"/>
      <c r="C61" s="154"/>
      <c r="D61" s="154"/>
      <c r="E61" s="154"/>
      <c r="T61" s="83" t="s">
        <v>17</v>
      </c>
      <c r="U61" s="80"/>
      <c r="V61" s="83" t="s">
        <v>18</v>
      </c>
      <c r="W61" s="83" t="s">
        <v>19</v>
      </c>
      <c r="X61" s="83"/>
      <c r="Y61" s="83" t="s">
        <v>20</v>
      </c>
      <c r="Z61" s="80"/>
      <c r="AA61" s="80"/>
      <c r="AB61" s="80"/>
      <c r="AC61" s="83" t="s">
        <v>8</v>
      </c>
      <c r="AD61" s="83"/>
      <c r="AE61" s="83" t="s">
        <v>21</v>
      </c>
      <c r="AF61" s="83"/>
      <c r="AG61" s="195" t="s">
        <v>21</v>
      </c>
      <c r="AH61" s="83"/>
      <c r="AI61" s="83" t="s">
        <v>22</v>
      </c>
      <c r="AJ61" s="83"/>
      <c r="AK61" s="195" t="s">
        <v>22</v>
      </c>
      <c r="AL61" s="83"/>
      <c r="AM61" s="83" t="s">
        <v>21</v>
      </c>
      <c r="AN61" s="83"/>
      <c r="AO61" s="83" t="s">
        <v>9</v>
      </c>
      <c r="AP61" s="83"/>
      <c r="AQ61" s="195" t="s">
        <v>23</v>
      </c>
    </row>
    <row r="62" spans="1:44" x14ac:dyDescent="0.25">
      <c r="A62" s="202"/>
      <c r="C62" s="154"/>
      <c r="T62" s="83" t="s">
        <v>24</v>
      </c>
      <c r="U62" s="80"/>
      <c r="V62" s="83" t="s">
        <v>25</v>
      </c>
      <c r="W62" s="83" t="s">
        <v>26</v>
      </c>
      <c r="X62" s="83"/>
      <c r="Y62" s="83" t="s">
        <v>27</v>
      </c>
      <c r="Z62" s="80"/>
      <c r="AA62" s="83" t="s">
        <v>28</v>
      </c>
      <c r="AB62" s="83"/>
      <c r="AC62" s="83" t="s">
        <v>29</v>
      </c>
      <c r="AD62" s="83"/>
      <c r="AE62" s="83" t="s">
        <v>9</v>
      </c>
      <c r="AF62" s="83"/>
      <c r="AG62" s="195" t="s">
        <v>9</v>
      </c>
      <c r="AH62" s="83"/>
      <c r="AI62" s="256" t="s">
        <v>31</v>
      </c>
      <c r="AJ62" s="256"/>
      <c r="AK62" s="257" t="s">
        <v>32</v>
      </c>
      <c r="AL62" s="83"/>
      <c r="AM62" s="83" t="s">
        <v>475</v>
      </c>
      <c r="AN62" s="83"/>
      <c r="AO62" s="256" t="s">
        <v>33</v>
      </c>
      <c r="AP62" s="256"/>
      <c r="AQ62" s="257" t="s">
        <v>34</v>
      </c>
    </row>
    <row r="63" spans="1:44" x14ac:dyDescent="0.25">
      <c r="T63" s="80"/>
      <c r="U63" s="80"/>
      <c r="V63" s="256" t="s">
        <v>35</v>
      </c>
      <c r="W63" s="256" t="s">
        <v>36</v>
      </c>
      <c r="X63" s="256"/>
      <c r="Y63" s="256" t="s">
        <v>37</v>
      </c>
      <c r="Z63" s="258"/>
      <c r="AA63" s="256" t="s">
        <v>38</v>
      </c>
      <c r="AB63" s="256"/>
      <c r="AC63" s="256" t="s">
        <v>44</v>
      </c>
      <c r="AD63" s="256"/>
      <c r="AE63" s="256" t="s">
        <v>45</v>
      </c>
      <c r="AF63" s="256"/>
      <c r="AG63" s="257" t="s">
        <v>46</v>
      </c>
      <c r="AH63" s="256"/>
      <c r="AI63" s="256" t="s">
        <v>47</v>
      </c>
      <c r="AJ63" s="256"/>
      <c r="AK63" s="257" t="s">
        <v>48</v>
      </c>
      <c r="AL63" s="256"/>
      <c r="AM63" s="256" t="s">
        <v>42</v>
      </c>
      <c r="AN63" s="256"/>
      <c r="AO63" s="256" t="s">
        <v>49</v>
      </c>
      <c r="AP63" s="256"/>
      <c r="AQ63" s="257" t="s">
        <v>50</v>
      </c>
    </row>
    <row r="64" spans="1:44" x14ac:dyDescent="0.25">
      <c r="T64" s="80"/>
      <c r="U64" s="80"/>
      <c r="V64" s="83"/>
      <c r="W64" s="83"/>
      <c r="X64" s="83"/>
      <c r="Y64" s="83"/>
      <c r="Z64" s="80"/>
      <c r="AA64" s="391"/>
      <c r="AB64" s="391"/>
      <c r="AC64" s="391"/>
      <c r="AD64" s="83"/>
      <c r="AE64" s="83"/>
      <c r="AF64" s="83"/>
      <c r="AG64" s="195"/>
      <c r="AH64" s="83"/>
      <c r="AI64" s="83"/>
      <c r="AJ64" s="83"/>
      <c r="AK64" s="195"/>
      <c r="AL64" s="83"/>
      <c r="AM64" s="83"/>
      <c r="AN64" s="83"/>
      <c r="AO64" s="83"/>
      <c r="AP64" s="83"/>
      <c r="AQ64" s="195"/>
    </row>
    <row r="65" spans="1:43" ht="17.100000000000001" customHeight="1" x14ac:dyDescent="0.25">
      <c r="A65" s="202"/>
      <c r="C65" s="154"/>
      <c r="F65" s="252"/>
      <c r="H65" s="252"/>
      <c r="I65" s="252"/>
      <c r="J65" s="300"/>
      <c r="K65" s="300"/>
      <c r="L65" s="200"/>
      <c r="M65" s="200"/>
      <c r="N65" s="210"/>
      <c r="O65" s="210"/>
      <c r="P65" s="202"/>
      <c r="Q65" s="202"/>
      <c r="R65" s="200"/>
      <c r="T65" s="152"/>
      <c r="U65" s="152"/>
      <c r="V65" s="152"/>
      <c r="W65" s="152"/>
      <c r="X65" s="152"/>
      <c r="Y65" s="152"/>
      <c r="Z65" s="152"/>
      <c r="AA65" s="260" t="s">
        <v>51</v>
      </c>
      <c r="AB65" s="259"/>
      <c r="AC65" s="260" t="s">
        <v>418</v>
      </c>
      <c r="AD65" s="376"/>
      <c r="AE65" s="376" t="s">
        <v>52</v>
      </c>
      <c r="AF65" s="376"/>
      <c r="AG65" s="381" t="s">
        <v>53</v>
      </c>
      <c r="AH65" s="376"/>
      <c r="AI65" s="376" t="s">
        <v>52</v>
      </c>
      <c r="AJ65" s="376"/>
      <c r="AK65" s="381" t="s">
        <v>53</v>
      </c>
      <c r="AL65" s="376"/>
      <c r="AM65" s="376" t="s">
        <v>52</v>
      </c>
      <c r="AN65" s="376"/>
      <c r="AO65" s="376" t="s">
        <v>52</v>
      </c>
      <c r="AP65" s="376"/>
      <c r="AQ65" s="381" t="s">
        <v>53</v>
      </c>
    </row>
    <row r="66" spans="1:43" x14ac:dyDescent="0.25">
      <c r="A66" s="202"/>
      <c r="C66" s="154"/>
      <c r="F66" s="252"/>
      <c r="H66" s="252"/>
      <c r="I66" s="252"/>
      <c r="J66" s="300"/>
      <c r="K66" s="300"/>
      <c r="L66" s="200"/>
      <c r="M66" s="200"/>
      <c r="N66" s="210"/>
      <c r="O66" s="210"/>
      <c r="P66" s="202"/>
      <c r="Q66" s="202"/>
      <c r="R66" s="200"/>
      <c r="T66" s="159">
        <v>1</v>
      </c>
      <c r="U66" s="80"/>
      <c r="V66" s="253" t="s">
        <v>411</v>
      </c>
      <c r="W66" s="387" t="s">
        <v>415</v>
      </c>
      <c r="X66" s="82"/>
      <c r="Y66" s="70"/>
      <c r="Z66" s="70"/>
      <c r="AA66" s="70"/>
      <c r="AB66" s="70"/>
      <c r="AC66" s="70"/>
      <c r="AD66" s="70"/>
      <c r="AE66" s="70"/>
      <c r="AF66" s="70"/>
      <c r="AG66" s="164"/>
      <c r="AH66" s="70"/>
      <c r="AI66" s="70"/>
      <c r="AJ66" s="70"/>
      <c r="AK66" s="164"/>
      <c r="AL66" s="70"/>
      <c r="AM66" s="70"/>
      <c r="AN66" s="70"/>
      <c r="AO66" s="70"/>
      <c r="AP66" s="70"/>
      <c r="AQ66" s="164"/>
    </row>
    <row r="67" spans="1:43" x14ac:dyDescent="0.25">
      <c r="A67" s="202"/>
      <c r="C67" s="154"/>
      <c r="F67" s="252"/>
      <c r="H67" s="252"/>
      <c r="I67" s="252"/>
      <c r="J67" s="300"/>
      <c r="K67" s="300"/>
      <c r="L67" s="200"/>
      <c r="M67" s="200"/>
      <c r="N67" s="210"/>
      <c r="O67" s="210"/>
      <c r="P67" s="202"/>
      <c r="Q67" s="202"/>
      <c r="R67" s="200"/>
      <c r="T67" s="159">
        <v>2</v>
      </c>
      <c r="U67" s="80"/>
      <c r="V67" s="253"/>
      <c r="W67" s="258" t="s">
        <v>416</v>
      </c>
      <c r="X67" s="80"/>
      <c r="Y67" s="70"/>
      <c r="Z67" s="70"/>
      <c r="AA67" s="70"/>
      <c r="AB67" s="70"/>
      <c r="AC67" s="70"/>
      <c r="AD67" s="70"/>
      <c r="AE67" s="70"/>
      <c r="AF67" s="70"/>
      <c r="AG67" s="164"/>
      <c r="AH67" s="70"/>
      <c r="AI67" s="70"/>
      <c r="AJ67" s="70"/>
      <c r="AK67" s="164"/>
      <c r="AL67" s="70"/>
      <c r="AM67" s="70"/>
      <c r="AN67" s="70"/>
      <c r="AO67" s="70"/>
      <c r="AP67" s="70"/>
      <c r="AQ67" s="164"/>
    </row>
    <row r="68" spans="1:43" ht="19.5" customHeight="1" x14ac:dyDescent="0.25">
      <c r="A68" s="202"/>
      <c r="C68" s="154"/>
      <c r="F68" s="252"/>
      <c r="H68" s="252"/>
      <c r="I68" s="252"/>
      <c r="J68" s="300"/>
      <c r="K68" s="300"/>
      <c r="L68" s="200"/>
      <c r="M68" s="200"/>
      <c r="N68" s="210"/>
      <c r="O68" s="210"/>
      <c r="P68" s="202"/>
      <c r="Q68" s="202"/>
      <c r="R68" s="200"/>
      <c r="T68" s="159"/>
      <c r="U68" s="80"/>
      <c r="V68" s="82"/>
      <c r="W68" s="80"/>
      <c r="X68" s="80"/>
      <c r="Y68" s="70"/>
      <c r="Z68" s="70"/>
      <c r="AA68" s="70"/>
      <c r="AB68" s="70"/>
      <c r="AC68" s="70"/>
      <c r="AD68" s="70"/>
      <c r="AE68" s="70"/>
      <c r="AF68" s="70"/>
      <c r="AG68" s="164"/>
      <c r="AH68" s="70"/>
      <c r="AI68" s="70"/>
      <c r="AJ68" s="70"/>
      <c r="AK68" s="164"/>
      <c r="AL68" s="70"/>
      <c r="AM68" s="70"/>
      <c r="AN68" s="70"/>
      <c r="AO68" s="70"/>
      <c r="AP68" s="70"/>
      <c r="AQ68" s="164"/>
    </row>
    <row r="69" spans="1:43" x14ac:dyDescent="0.25">
      <c r="A69" s="202"/>
      <c r="C69" s="154"/>
      <c r="F69" s="252"/>
      <c r="H69" s="252"/>
      <c r="I69" s="252"/>
      <c r="J69" s="300"/>
      <c r="K69" s="300"/>
      <c r="L69" s="200"/>
      <c r="M69" s="200"/>
      <c r="N69" s="210"/>
      <c r="O69" s="210"/>
      <c r="P69" s="202"/>
      <c r="Q69" s="202"/>
      <c r="R69" s="200"/>
      <c r="T69" s="159">
        <v>3</v>
      </c>
      <c r="U69" s="80"/>
      <c r="V69" s="253" t="s">
        <v>155</v>
      </c>
      <c r="W69" s="80"/>
      <c r="X69" s="80"/>
      <c r="Y69" s="70"/>
      <c r="Z69" s="70"/>
      <c r="AA69" s="70"/>
      <c r="AB69" s="70"/>
      <c r="AC69" s="70"/>
      <c r="AD69" s="70"/>
      <c r="AE69" s="70"/>
      <c r="AF69" s="70"/>
      <c r="AG69" s="164"/>
      <c r="AH69" s="70"/>
      <c r="AI69" s="70"/>
      <c r="AJ69" s="70"/>
      <c r="AK69" s="164"/>
      <c r="AL69" s="70"/>
      <c r="AM69" s="70"/>
      <c r="AN69" s="70"/>
      <c r="AO69" s="70"/>
      <c r="AP69" s="70"/>
      <c r="AQ69" s="164"/>
    </row>
    <row r="70" spans="1:43" x14ac:dyDescent="0.25">
      <c r="A70" s="202"/>
      <c r="C70" s="154"/>
      <c r="F70" s="252"/>
      <c r="H70" s="252"/>
      <c r="I70" s="252"/>
      <c r="J70" s="300"/>
      <c r="K70" s="300"/>
      <c r="L70" s="200"/>
      <c r="M70" s="200"/>
      <c r="N70" s="210"/>
      <c r="O70" s="210"/>
      <c r="P70" s="202"/>
      <c r="Q70" s="202"/>
      <c r="R70" s="200"/>
      <c r="T70" s="159">
        <v>4</v>
      </c>
      <c r="U70" s="80"/>
      <c r="V70" s="82" t="s">
        <v>417</v>
      </c>
      <c r="W70" s="80"/>
      <c r="X70" s="80"/>
      <c r="Y70" s="110">
        <f>F24</f>
        <v>0</v>
      </c>
      <c r="Z70" s="70"/>
      <c r="AA70" s="70"/>
      <c r="AB70" s="70"/>
      <c r="AC70" s="301">
        <f>INPUT!C137</f>
        <v>683</v>
      </c>
      <c r="AD70" s="70"/>
      <c r="AE70" s="167">
        <f>ROUND(Y70*AC70,0)</f>
        <v>0</v>
      </c>
      <c r="AF70" s="79"/>
      <c r="AG70" s="166" t="e">
        <f>ROUND((AE70/AE$85)*100,1)</f>
        <v>#DIV/0!</v>
      </c>
      <c r="AH70" s="156"/>
      <c r="AI70" s="167">
        <f>L24-AE70</f>
        <v>0</v>
      </c>
      <c r="AJ70" s="79"/>
      <c r="AK70" s="168" t="str">
        <f>IF(AE70=0,"0.0 ",ROUND((AI70/AE70)*100,1))</f>
        <v xml:space="preserve">0.0 </v>
      </c>
      <c r="AL70" s="158"/>
      <c r="AM70" s="379"/>
      <c r="AN70" s="302"/>
      <c r="AO70" s="167">
        <f>AE70+AM70</f>
        <v>0</v>
      </c>
      <c r="AP70" s="79"/>
      <c r="AQ70" s="157" t="str">
        <f>IF(AO70=0,"0.0 ",ROUND((AI70/AO70)*100,1))</f>
        <v xml:space="preserve">0.0 </v>
      </c>
    </row>
    <row r="71" spans="1:43" ht="20.100000000000001" customHeight="1" x14ac:dyDescent="0.25">
      <c r="A71" s="202"/>
      <c r="C71" s="154"/>
      <c r="F71" s="200"/>
      <c r="H71" s="200"/>
      <c r="I71" s="200"/>
      <c r="J71" s="305"/>
      <c r="K71" s="305"/>
      <c r="L71" s="200"/>
      <c r="M71" s="200"/>
      <c r="N71" s="210"/>
      <c r="O71" s="210"/>
      <c r="P71" s="200"/>
      <c r="Q71" s="200"/>
      <c r="R71" s="200"/>
      <c r="T71" s="159">
        <v>5</v>
      </c>
      <c r="U71" s="80"/>
      <c r="V71" s="82" t="s">
        <v>158</v>
      </c>
      <c r="W71" s="80"/>
      <c r="X71" s="80"/>
      <c r="Y71" s="163"/>
      <c r="Z71" s="70"/>
      <c r="AA71" s="78"/>
      <c r="AB71" s="78"/>
      <c r="AC71" s="283"/>
      <c r="AD71" s="284"/>
      <c r="AE71" s="384">
        <f>SUM(AE70)</f>
        <v>0</v>
      </c>
      <c r="AG71" s="170" t="e">
        <f>ROUND((AE71/AE$85)*100,1)</f>
        <v>#DIV/0!</v>
      </c>
      <c r="AI71" s="169">
        <f>L25-AE71</f>
        <v>0</v>
      </c>
      <c r="AK71" s="171" t="str">
        <f>IF(AE71=0,"0.0 ",ROUND((AI71/AE71)*100,1))</f>
        <v xml:space="preserve">0.0 </v>
      </c>
      <c r="AM71" s="392"/>
      <c r="AO71" s="167">
        <f>AE71+AM71</f>
        <v>0</v>
      </c>
      <c r="AQ71" s="157" t="str">
        <f>IF(AO71=0,"0.0 ",ROUND((AI71/AO71)*100,1))</f>
        <v xml:space="preserve">0.0 </v>
      </c>
    </row>
    <row r="72" spans="1:43" ht="24.75" customHeight="1" x14ac:dyDescent="0.25">
      <c r="A72" s="202"/>
      <c r="C72" s="154"/>
      <c r="F72" s="200"/>
      <c r="H72" s="200"/>
      <c r="I72" s="200"/>
      <c r="J72" s="305"/>
      <c r="K72" s="305"/>
      <c r="L72" s="200"/>
      <c r="M72" s="200"/>
      <c r="N72" s="210"/>
      <c r="O72" s="210"/>
      <c r="P72" s="200"/>
      <c r="Q72" s="200"/>
      <c r="R72" s="200"/>
      <c r="T72" s="159"/>
      <c r="U72" s="80"/>
      <c r="V72" s="82"/>
      <c r="W72" s="80"/>
      <c r="X72" s="80"/>
      <c r="Y72" s="163"/>
      <c r="Z72" s="70"/>
      <c r="AA72" s="78"/>
      <c r="AB72" s="78"/>
      <c r="AC72" s="283"/>
      <c r="AD72" s="284"/>
      <c r="AE72" s="163"/>
      <c r="AF72" s="79"/>
      <c r="AG72" s="197"/>
      <c r="AH72" s="156"/>
      <c r="AI72" s="163"/>
      <c r="AJ72" s="79"/>
      <c r="AK72" s="155"/>
      <c r="AL72" s="158"/>
      <c r="AM72" s="271"/>
      <c r="AN72" s="302"/>
      <c r="AO72" s="163"/>
      <c r="AP72" s="79"/>
      <c r="AQ72" s="155"/>
    </row>
    <row r="73" spans="1:43" x14ac:dyDescent="0.25">
      <c r="A73" s="202"/>
      <c r="C73" s="154"/>
      <c r="F73" s="200"/>
      <c r="H73" s="200"/>
      <c r="I73" s="200"/>
      <c r="J73" s="305"/>
      <c r="K73" s="305"/>
      <c r="L73" s="200"/>
      <c r="M73" s="200"/>
      <c r="N73" s="200"/>
      <c r="O73" s="200"/>
      <c r="P73" s="200"/>
      <c r="Q73" s="200"/>
      <c r="R73" s="200"/>
      <c r="T73" s="159">
        <v>6</v>
      </c>
      <c r="U73" s="80"/>
      <c r="V73" s="253" t="s">
        <v>69</v>
      </c>
      <c r="W73" s="80"/>
      <c r="X73" s="80"/>
      <c r="Y73" s="163"/>
      <c r="Z73" s="70"/>
      <c r="AA73" s="79"/>
      <c r="AB73" s="79"/>
      <c r="AC73" s="310"/>
      <c r="AD73" s="263"/>
      <c r="AE73" s="79"/>
      <c r="AF73" s="79"/>
      <c r="AG73" s="155"/>
      <c r="AH73" s="156"/>
      <c r="AI73" s="79"/>
      <c r="AJ73" s="79"/>
      <c r="AK73" s="155"/>
      <c r="AL73" s="158"/>
      <c r="AM73" s="79"/>
      <c r="AN73" s="79"/>
      <c r="AO73" s="79"/>
      <c r="AP73" s="79"/>
      <c r="AQ73" s="155"/>
    </row>
    <row r="74" spans="1:43" x14ac:dyDescent="0.25">
      <c r="A74" s="202"/>
      <c r="C74" s="154"/>
      <c r="F74" s="200"/>
      <c r="H74" s="200"/>
      <c r="I74" s="200"/>
      <c r="J74" s="305"/>
      <c r="K74" s="305"/>
      <c r="L74" s="200"/>
      <c r="M74" s="200"/>
      <c r="N74" s="200"/>
      <c r="O74" s="200"/>
      <c r="P74" s="200"/>
      <c r="Q74" s="200"/>
      <c r="R74" s="200"/>
      <c r="T74" s="159">
        <v>7</v>
      </c>
      <c r="U74" s="80"/>
      <c r="V74" s="82" t="s">
        <v>494</v>
      </c>
      <c r="W74" s="80"/>
      <c r="X74" s="80"/>
      <c r="Y74" s="163"/>
      <c r="Z74" s="70"/>
      <c r="AA74" s="79">
        <f>H28</f>
        <v>0</v>
      </c>
      <c r="AB74" s="79"/>
      <c r="AC74" s="308">
        <f>INPUT!C141</f>
        <v>2.0079999999999998E-3</v>
      </c>
      <c r="AD74" s="263"/>
      <c r="AE74" s="163">
        <f>ROUND((AA74*AC74),0)</f>
        <v>0</v>
      </c>
      <c r="AF74" s="163"/>
      <c r="AG74" s="197" t="e">
        <f>ROUND((AE74/AE$85)*100,1)</f>
        <v>#DIV/0!</v>
      </c>
      <c r="AH74" s="198"/>
      <c r="AI74" s="163">
        <f>L28-AE74</f>
        <v>0</v>
      </c>
      <c r="AJ74" s="163"/>
      <c r="AK74" s="172" t="str">
        <f>IF(AE74=0,"0.0 ",ROUND((AI74/AE74)*100,1))</f>
        <v xml:space="preserve">0.0 </v>
      </c>
      <c r="AL74" s="199"/>
      <c r="AM74" s="163"/>
      <c r="AN74" s="163"/>
      <c r="AO74" s="163">
        <f>AE74+AM74</f>
        <v>0</v>
      </c>
      <c r="AP74" s="79"/>
      <c r="AQ74" s="157" t="str">
        <f>IF(AO74=0,"0.0 ",ROUND((AI74/AO74)*100,1))</f>
        <v xml:space="preserve">0.0 </v>
      </c>
    </row>
    <row r="75" spans="1:43" x14ac:dyDescent="0.25">
      <c r="A75" s="202"/>
      <c r="C75" s="154"/>
      <c r="F75" s="200"/>
      <c r="H75" s="252"/>
      <c r="I75" s="252"/>
      <c r="J75" s="329"/>
      <c r="K75" s="329"/>
      <c r="L75" s="200"/>
      <c r="M75" s="200"/>
      <c r="N75" s="210"/>
      <c r="O75" s="210"/>
      <c r="P75" s="200"/>
      <c r="Q75" s="200"/>
      <c r="R75" s="200"/>
      <c r="T75" s="159">
        <v>8</v>
      </c>
      <c r="U75" s="80"/>
      <c r="V75" s="82" t="s">
        <v>419</v>
      </c>
      <c r="W75" s="80"/>
      <c r="X75" s="80"/>
      <c r="Y75" s="163"/>
      <c r="Z75" s="70"/>
      <c r="AA75" s="163">
        <f>H29</f>
        <v>0</v>
      </c>
      <c r="AB75" s="163"/>
      <c r="AC75" s="393">
        <f>INPUT!C145</f>
        <v>7.2099999999999996E-4</v>
      </c>
      <c r="AD75" s="383"/>
      <c r="AE75" s="163">
        <f>ROUND((AA75*AC75),0)</f>
        <v>0</v>
      </c>
      <c r="AF75" s="163"/>
      <c r="AG75" s="197" t="e">
        <f>ROUND((AE75/AE$85)*100,1)</f>
        <v>#DIV/0!</v>
      </c>
      <c r="AH75" s="198"/>
      <c r="AI75" s="163">
        <f>L29-AE75</f>
        <v>0</v>
      </c>
      <c r="AJ75" s="163"/>
      <c r="AK75" s="172" t="str">
        <f>IF(AE75=0,"0.0 ",ROUND((AI75/AE75)*100,1))</f>
        <v xml:space="preserve">0.0 </v>
      </c>
      <c r="AL75" s="199"/>
      <c r="AM75" s="163"/>
      <c r="AN75" s="163"/>
      <c r="AO75" s="163">
        <f>AE75+AM75</f>
        <v>0</v>
      </c>
      <c r="AP75" s="163"/>
      <c r="AQ75" s="172" t="str">
        <f>IF(AO75=0,"0.0 ",ROUND((AI75/AO75)*100,1))</f>
        <v xml:space="preserve">0.0 </v>
      </c>
    </row>
    <row r="76" spans="1:43" x14ac:dyDescent="0.25">
      <c r="A76" s="202"/>
      <c r="C76" s="154"/>
      <c r="F76" s="200"/>
      <c r="H76" s="252"/>
      <c r="I76" s="252"/>
      <c r="J76" s="329"/>
      <c r="K76" s="329"/>
      <c r="L76" s="200"/>
      <c r="M76" s="200"/>
      <c r="N76" s="210"/>
      <c r="O76" s="210"/>
      <c r="P76" s="200"/>
      <c r="Q76" s="200"/>
      <c r="R76" s="200"/>
      <c r="T76" s="159">
        <v>9</v>
      </c>
      <c r="U76" s="80"/>
      <c r="V76" s="82" t="s">
        <v>480</v>
      </c>
      <c r="W76" s="80"/>
      <c r="X76" s="80"/>
      <c r="Y76" s="163"/>
      <c r="Z76" s="70"/>
      <c r="AA76" s="163">
        <f>H30</f>
        <v>0</v>
      </c>
      <c r="AB76" s="163"/>
      <c r="AC76" s="393">
        <f>INPUT!C149</f>
        <v>4.9195574999999998E-2</v>
      </c>
      <c r="AD76" s="383"/>
      <c r="AE76" s="163">
        <f>ROUND((AA76*AC76),0)</f>
        <v>0</v>
      </c>
      <c r="AF76" s="163"/>
      <c r="AG76" s="197" t="e">
        <f>ROUND((AE76/AE$85)*100,1)-0.1</f>
        <v>#DIV/0!</v>
      </c>
      <c r="AH76" s="198"/>
      <c r="AI76" s="163">
        <f>L30-AE76</f>
        <v>0</v>
      </c>
      <c r="AJ76" s="163"/>
      <c r="AK76" s="172" t="str">
        <f>IF(AE76=0,"0.0 ",ROUND((AI76/AE76)*100,1))</f>
        <v xml:space="preserve">0.0 </v>
      </c>
      <c r="AL76" s="199"/>
      <c r="AM76" s="200">
        <f>ROUND(-AA76*(CUR_FAC+CUR_BASE_FUEL),0)</f>
        <v>0</v>
      </c>
      <c r="AN76" s="163"/>
      <c r="AO76" s="163">
        <f>AE76+AM76</f>
        <v>0</v>
      </c>
      <c r="AP76" s="163"/>
      <c r="AQ76" s="172" t="str">
        <f>IF(AO76=0,"0.0 ",ROUND((AI76/AO76)*100,1))</f>
        <v xml:space="preserve">0.0 </v>
      </c>
    </row>
    <row r="77" spans="1:43" ht="20.100000000000001" customHeight="1" x14ac:dyDescent="0.25">
      <c r="A77" s="202"/>
      <c r="C77" s="154"/>
      <c r="F77" s="200"/>
      <c r="H77" s="200"/>
      <c r="I77" s="200"/>
      <c r="J77" s="213"/>
      <c r="K77" s="213"/>
      <c r="L77" s="200"/>
      <c r="M77" s="200"/>
      <c r="N77" s="210"/>
      <c r="O77" s="210"/>
      <c r="P77" s="200"/>
      <c r="Q77" s="200"/>
      <c r="R77" s="200"/>
      <c r="T77" s="159">
        <v>10</v>
      </c>
      <c r="U77" s="80"/>
      <c r="V77" s="253" t="s">
        <v>164</v>
      </c>
      <c r="W77" s="80"/>
      <c r="X77" s="80"/>
      <c r="Y77" s="167"/>
      <c r="Z77" s="70"/>
      <c r="AA77" s="169">
        <f>H31</f>
        <v>0</v>
      </c>
      <c r="AB77" s="79"/>
      <c r="AC77" s="347"/>
      <c r="AD77" s="268"/>
      <c r="AE77" s="169">
        <f>SUM(AE74:AE76)</f>
        <v>0</v>
      </c>
      <c r="AF77" s="79"/>
      <c r="AG77" s="170" t="e">
        <f>ROUND((AE77/AE$85)*100,1)</f>
        <v>#DIV/0!</v>
      </c>
      <c r="AH77" s="156"/>
      <c r="AI77" s="169">
        <f>SUM(AI74:AI76)</f>
        <v>0</v>
      </c>
      <c r="AJ77" s="79"/>
      <c r="AK77" s="171" t="str">
        <f>IF(AE77=0,"0.0 ",ROUND((AI77/AE77)*100,1))</f>
        <v xml:space="preserve">0.0 </v>
      </c>
      <c r="AL77" s="156"/>
      <c r="AM77" s="169">
        <f>AM76</f>
        <v>0</v>
      </c>
      <c r="AN77" s="79"/>
      <c r="AO77" s="169">
        <f>SUM(AO74:AO76)</f>
        <v>0</v>
      </c>
      <c r="AP77" s="79"/>
      <c r="AQ77" s="157" t="str">
        <f>IF(AO77=0,"0.0 ",ROUND((AI77/AO77)*100,1))</f>
        <v xml:space="preserve">0.0 </v>
      </c>
    </row>
    <row r="78" spans="1:43" ht="20.100000000000001" customHeight="1" x14ac:dyDescent="0.25">
      <c r="A78" s="202"/>
      <c r="C78" s="154"/>
      <c r="F78" s="200"/>
      <c r="H78" s="200"/>
      <c r="I78" s="200"/>
      <c r="J78" s="213"/>
      <c r="K78" s="213"/>
      <c r="L78" s="200"/>
      <c r="M78" s="200"/>
      <c r="N78" s="210"/>
      <c r="O78" s="210"/>
      <c r="P78" s="200"/>
      <c r="Q78" s="200"/>
      <c r="R78" s="200"/>
      <c r="T78" s="159">
        <v>11</v>
      </c>
      <c r="U78" s="80"/>
      <c r="V78" s="265" t="s">
        <v>583</v>
      </c>
      <c r="W78" s="80"/>
      <c r="X78" s="80"/>
      <c r="Y78" s="169">
        <f>Y70</f>
        <v>0</v>
      </c>
      <c r="Z78" s="70"/>
      <c r="AA78" s="169">
        <f>AA77</f>
        <v>0</v>
      </c>
      <c r="AB78" s="79"/>
      <c r="AC78" s="347"/>
      <c r="AD78" s="268"/>
      <c r="AE78" s="169">
        <f>AE77+AE71</f>
        <v>0</v>
      </c>
      <c r="AF78" s="79"/>
      <c r="AG78" s="170" t="e">
        <f>ROUND((AE78/AE$85)*100,1)</f>
        <v>#DIV/0!</v>
      </c>
      <c r="AH78" s="156"/>
      <c r="AI78" s="169">
        <f>AI77+AI71</f>
        <v>0</v>
      </c>
      <c r="AJ78" s="79"/>
      <c r="AK78" s="171" t="str">
        <f>IF(AE78=0,"0.0 ",ROUND((AI78/AE78)*100,1))</f>
        <v xml:space="preserve">0.0 </v>
      </c>
      <c r="AL78" s="156"/>
      <c r="AM78" s="169">
        <f>AM77+AM71</f>
        <v>0</v>
      </c>
      <c r="AN78" s="79"/>
      <c r="AO78" s="169">
        <f>AO77+AO71</f>
        <v>0</v>
      </c>
      <c r="AP78" s="79"/>
      <c r="AQ78" s="157" t="str">
        <f>IF(AO78=0,"0.0 ",ROUND((AI78/AO78)*100,1))</f>
        <v xml:space="preserve">0.0 </v>
      </c>
    </row>
    <row r="79" spans="1:43" ht="15.75" customHeight="1" x14ac:dyDescent="0.25">
      <c r="A79" s="202"/>
      <c r="C79" s="154"/>
      <c r="F79" s="200"/>
      <c r="H79" s="200"/>
      <c r="I79" s="200"/>
      <c r="J79" s="213"/>
      <c r="K79" s="213"/>
      <c r="L79" s="200"/>
      <c r="M79" s="200"/>
      <c r="N79" s="210"/>
      <c r="O79" s="210"/>
      <c r="P79" s="200"/>
      <c r="Q79" s="200"/>
      <c r="R79" s="200"/>
      <c r="T79" s="159"/>
      <c r="U79" s="80"/>
      <c r="V79" s="82"/>
      <c r="W79" s="80"/>
      <c r="X79" s="80"/>
      <c r="Y79" s="163"/>
      <c r="Z79" s="70"/>
      <c r="AA79" s="163"/>
      <c r="AB79" s="79"/>
      <c r="AC79" s="347"/>
      <c r="AD79" s="268"/>
      <c r="AE79" s="163"/>
      <c r="AF79" s="79"/>
      <c r="AG79" s="197"/>
      <c r="AH79" s="156"/>
      <c r="AI79" s="163"/>
      <c r="AJ79" s="79"/>
      <c r="AK79" s="172"/>
      <c r="AL79" s="156"/>
      <c r="AM79" s="163"/>
      <c r="AN79" s="79"/>
      <c r="AO79" s="163"/>
      <c r="AP79" s="79"/>
      <c r="AQ79" s="157"/>
    </row>
    <row r="80" spans="1:43" ht="15.75" customHeight="1" x14ac:dyDescent="0.25">
      <c r="A80" s="202"/>
      <c r="C80" s="154"/>
      <c r="F80" s="200"/>
      <c r="H80" s="200"/>
      <c r="I80" s="200"/>
      <c r="J80" s="213"/>
      <c r="K80" s="213"/>
      <c r="L80" s="200"/>
      <c r="M80" s="200"/>
      <c r="N80" s="210"/>
      <c r="O80" s="210"/>
      <c r="P80" s="200"/>
      <c r="Q80" s="200"/>
      <c r="R80" s="200"/>
      <c r="T80" s="159">
        <v>12</v>
      </c>
      <c r="U80" s="80"/>
      <c r="V80" s="253" t="s">
        <v>553</v>
      </c>
      <c r="W80" s="80"/>
      <c r="X80" s="80"/>
      <c r="Y80" s="163"/>
      <c r="Z80" s="70"/>
      <c r="AA80" s="163"/>
      <c r="AB80" s="79"/>
      <c r="AC80" s="347"/>
      <c r="AD80" s="268"/>
      <c r="AE80" s="163"/>
      <c r="AF80" s="79"/>
      <c r="AG80" s="197"/>
      <c r="AH80" s="156"/>
      <c r="AI80" s="163">
        <f>L34-AE80</f>
        <v>0</v>
      </c>
      <c r="AJ80" s="79"/>
      <c r="AK80" s="172"/>
      <c r="AL80" s="156"/>
      <c r="AM80" s="163"/>
      <c r="AN80" s="79"/>
      <c r="AO80" s="163"/>
      <c r="AP80" s="79"/>
      <c r="AQ80" s="157"/>
    </row>
    <row r="81" spans="1:43" ht="15.75" customHeight="1" x14ac:dyDescent="0.25">
      <c r="A81" s="202"/>
      <c r="C81" s="154"/>
      <c r="F81" s="200"/>
      <c r="H81" s="200"/>
      <c r="I81" s="200"/>
      <c r="J81" s="213"/>
      <c r="K81" s="213"/>
      <c r="L81" s="200"/>
      <c r="M81" s="200"/>
      <c r="N81" s="210"/>
      <c r="O81" s="210"/>
      <c r="P81" s="200"/>
      <c r="Q81" s="200"/>
      <c r="R81" s="200"/>
      <c r="T81" s="159">
        <v>13</v>
      </c>
      <c r="U81" s="80"/>
      <c r="V81" s="153" t="s">
        <v>556</v>
      </c>
      <c r="W81" s="80"/>
      <c r="X81" s="80"/>
      <c r="Y81" s="163"/>
      <c r="Z81" s="70"/>
      <c r="AA81" s="163"/>
      <c r="AB81" s="79"/>
      <c r="AC81" s="295">
        <f>DSM_TRANS</f>
        <v>1.83E-4</v>
      </c>
      <c r="AD81" s="268"/>
      <c r="AE81" s="163">
        <f>ROUND(AA78*DSM_TRANS,0)</f>
        <v>0</v>
      </c>
      <c r="AF81" s="79"/>
      <c r="AG81" s="197" t="e">
        <f>ROUND((AE81/AE$85)*100,1)</f>
        <v>#DIV/0!</v>
      </c>
      <c r="AH81" s="156"/>
      <c r="AI81" s="163">
        <f>L35-AE81</f>
        <v>0</v>
      </c>
      <c r="AJ81" s="79"/>
      <c r="AK81" s="172" t="str">
        <f t="shared" ref="AK81:AK83" si="1">IF(AE81=0,"0.0 ",ROUND((AI81/AE81)*100,1))</f>
        <v xml:space="preserve">0.0 </v>
      </c>
      <c r="AL81" s="156"/>
      <c r="AM81" s="163"/>
      <c r="AN81" s="79"/>
      <c r="AO81" s="163">
        <f t="shared" ref="AO81:AO82" si="2">AE81+AM81</f>
        <v>0</v>
      </c>
      <c r="AP81" s="79"/>
      <c r="AQ81" s="157" t="str">
        <f t="shared" ref="AQ81:AQ83" si="3">IF(AO81=0,"0.0 ",ROUND((AI81/AO81)*100,1))</f>
        <v xml:space="preserve">0.0 </v>
      </c>
    </row>
    <row r="82" spans="1:43" ht="15.75" customHeight="1" x14ac:dyDescent="0.25">
      <c r="A82" s="202"/>
      <c r="C82" s="154"/>
      <c r="F82" s="200"/>
      <c r="H82" s="200"/>
      <c r="I82" s="200"/>
      <c r="J82" s="213"/>
      <c r="K82" s="213"/>
      <c r="L82" s="200"/>
      <c r="M82" s="200"/>
      <c r="N82" s="210"/>
      <c r="O82" s="210"/>
      <c r="P82" s="200"/>
      <c r="Q82" s="200"/>
      <c r="R82" s="200"/>
      <c r="T82" s="159">
        <v>14</v>
      </c>
      <c r="U82" s="80"/>
      <c r="V82" s="153" t="s">
        <v>555</v>
      </c>
      <c r="W82" s="80"/>
      <c r="X82" s="80"/>
      <c r="Y82" s="163"/>
      <c r="Z82" s="70"/>
      <c r="AA82" s="163"/>
      <c r="AB82" s="79"/>
      <c r="AC82" s="295">
        <f>RS_PSM</f>
        <v>-4.5600000000000003E-4</v>
      </c>
      <c r="AD82" s="268"/>
      <c r="AE82" s="167">
        <f>ROUND(AA78*RS_PSM,0)</f>
        <v>0</v>
      </c>
      <c r="AF82" s="79"/>
      <c r="AG82" s="166" t="e">
        <f>ROUND((AE82/AE$85)*100,1)</f>
        <v>#DIV/0!</v>
      </c>
      <c r="AH82" s="156"/>
      <c r="AI82" s="167">
        <f>L36-AE82</f>
        <v>0</v>
      </c>
      <c r="AJ82" s="79"/>
      <c r="AK82" s="168" t="str">
        <f t="shared" si="1"/>
        <v xml:space="preserve">0.0 </v>
      </c>
      <c r="AL82" s="156"/>
      <c r="AM82" s="163"/>
      <c r="AN82" s="79"/>
      <c r="AO82" s="163">
        <f t="shared" si="2"/>
        <v>0</v>
      </c>
      <c r="AP82" s="79"/>
      <c r="AQ82" s="157" t="str">
        <f t="shared" si="3"/>
        <v xml:space="preserve">0.0 </v>
      </c>
    </row>
    <row r="83" spans="1:43" ht="20.100000000000001" customHeight="1" x14ac:dyDescent="0.25">
      <c r="A83" s="202"/>
      <c r="C83" s="154"/>
      <c r="F83" s="200"/>
      <c r="H83" s="200"/>
      <c r="I83" s="200"/>
      <c r="J83" s="213"/>
      <c r="K83" s="213"/>
      <c r="L83" s="200"/>
      <c r="M83" s="200"/>
      <c r="N83" s="210"/>
      <c r="O83" s="210"/>
      <c r="P83" s="200"/>
      <c r="Q83" s="200"/>
      <c r="R83" s="200"/>
      <c r="T83" s="159">
        <v>15</v>
      </c>
      <c r="U83" s="80"/>
      <c r="V83" s="253" t="s">
        <v>557</v>
      </c>
      <c r="W83" s="80"/>
      <c r="X83" s="80"/>
      <c r="Y83" s="167"/>
      <c r="Z83" s="70"/>
      <c r="AA83" s="167"/>
      <c r="AB83" s="79"/>
      <c r="AC83" s="268"/>
      <c r="AD83" s="268"/>
      <c r="AE83" s="169">
        <f>SUM(AE81:AE82)</f>
        <v>0</v>
      </c>
      <c r="AF83" s="79"/>
      <c r="AG83" s="170" t="e">
        <f>ROUND((AE83/AE$85)*100,1)</f>
        <v>#DIV/0!</v>
      </c>
      <c r="AH83" s="156"/>
      <c r="AI83" s="169">
        <f>SUM(AI81:AI82)</f>
        <v>0</v>
      </c>
      <c r="AJ83" s="79"/>
      <c r="AK83" s="171" t="str">
        <f t="shared" si="1"/>
        <v xml:space="preserve">0.0 </v>
      </c>
      <c r="AL83" s="156"/>
      <c r="AM83" s="169">
        <f>SUM(AM81:AM82)</f>
        <v>0</v>
      </c>
      <c r="AN83" s="79"/>
      <c r="AO83" s="169">
        <f>SUM(AO81:AO82)</f>
        <v>0</v>
      </c>
      <c r="AP83" s="79"/>
      <c r="AQ83" s="157" t="str">
        <f t="shared" si="3"/>
        <v xml:space="preserve">0.0 </v>
      </c>
    </row>
    <row r="84" spans="1:43" ht="15.75" customHeight="1" x14ac:dyDescent="0.25">
      <c r="A84" s="202"/>
      <c r="C84" s="154"/>
      <c r="F84" s="200"/>
      <c r="H84" s="200"/>
      <c r="I84" s="200"/>
      <c r="J84" s="213"/>
      <c r="K84" s="213"/>
      <c r="L84" s="200"/>
      <c r="M84" s="200"/>
      <c r="N84" s="210"/>
      <c r="O84" s="210"/>
      <c r="P84" s="200"/>
      <c r="Q84" s="200"/>
      <c r="R84" s="200"/>
      <c r="T84" s="159"/>
      <c r="U84" s="80"/>
      <c r="V84" s="253"/>
      <c r="W84" s="80"/>
      <c r="X84" s="80"/>
      <c r="Y84" s="163"/>
      <c r="Z84" s="70"/>
      <c r="AA84" s="163"/>
      <c r="AB84" s="79"/>
      <c r="AC84" s="268"/>
      <c r="AD84" s="268"/>
      <c r="AE84" s="163"/>
      <c r="AF84" s="79"/>
      <c r="AG84" s="197"/>
      <c r="AH84" s="156"/>
      <c r="AI84" s="163"/>
      <c r="AJ84" s="79"/>
      <c r="AK84" s="172"/>
      <c r="AL84" s="156"/>
      <c r="AM84" s="163"/>
      <c r="AN84" s="79"/>
      <c r="AO84" s="163"/>
      <c r="AP84" s="79"/>
      <c r="AQ84" s="157"/>
    </row>
    <row r="85" spans="1:43" ht="20.100000000000001" customHeight="1" thickBot="1" x14ac:dyDescent="0.3">
      <c r="F85" s="200"/>
      <c r="H85" s="211"/>
      <c r="I85" s="211"/>
      <c r="J85" s="305"/>
      <c r="K85" s="305"/>
      <c r="L85" s="211"/>
      <c r="M85" s="211"/>
      <c r="N85" s="211"/>
      <c r="O85" s="211"/>
      <c r="P85" s="211"/>
      <c r="Q85" s="211"/>
      <c r="R85" s="211"/>
      <c r="T85" s="159">
        <v>16</v>
      </c>
      <c r="U85" s="80"/>
      <c r="V85" s="265" t="s">
        <v>584</v>
      </c>
      <c r="W85" s="80"/>
      <c r="X85" s="80"/>
      <c r="Y85" s="275">
        <f>Y78</f>
        <v>0</v>
      </c>
      <c r="Z85" s="70"/>
      <c r="AA85" s="275">
        <f>AA78</f>
        <v>0</v>
      </c>
      <c r="AB85" s="79"/>
      <c r="AC85" s="70"/>
      <c r="AD85" s="70"/>
      <c r="AE85" s="275">
        <f>AE83+AE78</f>
        <v>0</v>
      </c>
      <c r="AF85" s="79"/>
      <c r="AG85" s="291">
        <v>100</v>
      </c>
      <c r="AH85" s="156"/>
      <c r="AI85" s="275">
        <f>AI83+AI78</f>
        <v>0</v>
      </c>
      <c r="AJ85" s="79"/>
      <c r="AK85" s="364" t="str">
        <f>IF(AE85=0,"0.0 ",ROUND((AI85/AE85)*100,1))</f>
        <v xml:space="preserve">0.0 </v>
      </c>
      <c r="AL85" s="156"/>
      <c r="AM85" s="275">
        <f>AM83+AM78</f>
        <v>0</v>
      </c>
      <c r="AN85" s="78"/>
      <c r="AO85" s="275">
        <f>AO83+AO78</f>
        <v>0</v>
      </c>
      <c r="AP85" s="79"/>
      <c r="AQ85" s="157" t="str">
        <f>IF(AO85=0,"0.0 ",ROUND((AI85/AO85)*100,1))</f>
        <v xml:space="preserve">0.0 </v>
      </c>
    </row>
    <row r="86" spans="1:43" ht="16.5" thickTop="1" x14ac:dyDescent="0.25">
      <c r="F86" s="200"/>
      <c r="H86" s="211"/>
      <c r="I86" s="211"/>
      <c r="J86" s="305"/>
      <c r="K86" s="305"/>
      <c r="L86" s="211"/>
      <c r="M86" s="211"/>
      <c r="N86" s="211"/>
      <c r="O86" s="211"/>
      <c r="P86" s="211"/>
      <c r="Q86" s="211"/>
      <c r="R86" s="211"/>
      <c r="T86" s="80"/>
      <c r="U86" s="80"/>
      <c r="V86" s="80"/>
      <c r="W86" s="80"/>
      <c r="X86" s="80"/>
      <c r="Y86" s="70"/>
      <c r="Z86" s="70"/>
      <c r="AA86" s="70"/>
      <c r="AB86" s="70"/>
      <c r="AC86" s="70"/>
      <c r="AD86" s="70"/>
      <c r="AE86" s="70"/>
      <c r="AF86" s="70"/>
      <c r="AG86" s="164"/>
      <c r="AH86" s="70"/>
      <c r="AI86" s="70"/>
      <c r="AJ86" s="70"/>
      <c r="AK86" s="164"/>
      <c r="AL86" s="70"/>
      <c r="AM86" s="70"/>
      <c r="AN86" s="70"/>
      <c r="AO86" s="70"/>
      <c r="AP86" s="70"/>
      <c r="AQ86" s="164"/>
    </row>
    <row r="87" spans="1:43" x14ac:dyDescent="0.25">
      <c r="A87" s="202"/>
      <c r="C87" s="154"/>
      <c r="F87" s="200"/>
      <c r="H87" s="200"/>
      <c r="I87" s="200"/>
      <c r="J87" s="305"/>
      <c r="K87" s="305"/>
      <c r="L87" s="200"/>
      <c r="M87" s="200"/>
      <c r="N87" s="200"/>
      <c r="O87" s="200"/>
      <c r="P87" s="200"/>
      <c r="Q87" s="200"/>
      <c r="R87" s="200"/>
      <c r="T87" s="80"/>
      <c r="U87" s="80"/>
      <c r="V87" s="173" t="s">
        <v>61</v>
      </c>
      <c r="W87" s="80"/>
      <c r="X87" s="80"/>
      <c r="Y87" s="80"/>
      <c r="Z87" s="80"/>
      <c r="AA87" s="80"/>
      <c r="AB87" s="80"/>
      <c r="AC87" s="80"/>
      <c r="AD87" s="80"/>
      <c r="AE87" s="189"/>
      <c r="AF87" s="189"/>
      <c r="AG87" s="296"/>
      <c r="AH87" s="189"/>
      <c r="AI87" s="80"/>
      <c r="AJ87" s="80"/>
      <c r="AK87" s="188"/>
      <c r="AL87" s="80"/>
      <c r="AM87" s="189"/>
      <c r="AN87" s="189"/>
      <c r="AO87" s="189"/>
      <c r="AP87" s="189"/>
      <c r="AQ87" s="188"/>
    </row>
    <row r="88" spans="1:43" x14ac:dyDescent="0.25">
      <c r="A88" s="202"/>
      <c r="C88" s="154"/>
      <c r="F88" s="200"/>
      <c r="H88" s="252"/>
      <c r="I88" s="252"/>
      <c r="J88" s="329"/>
      <c r="K88" s="329"/>
      <c r="L88" s="200"/>
      <c r="M88" s="200"/>
      <c r="N88" s="210"/>
      <c r="O88" s="210"/>
      <c r="P88" s="200"/>
      <c r="Q88" s="200"/>
      <c r="R88" s="200"/>
      <c r="T88" s="82"/>
      <c r="U88" s="80"/>
      <c r="V88" s="82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188"/>
      <c r="AH88" s="80"/>
      <c r="AI88" s="80"/>
      <c r="AJ88" s="80"/>
      <c r="AK88" s="188"/>
      <c r="AL88" s="80"/>
      <c r="AM88" s="80"/>
      <c r="AN88" s="80"/>
      <c r="AO88" s="80"/>
      <c r="AP88" s="80"/>
      <c r="AQ88" s="188"/>
    </row>
    <row r="89" spans="1:43" x14ac:dyDescent="0.25">
      <c r="A89" s="202"/>
      <c r="C89" s="154"/>
      <c r="H89" s="252"/>
      <c r="I89" s="252"/>
      <c r="J89" s="329"/>
      <c r="K89" s="329"/>
      <c r="L89" s="200"/>
      <c r="M89" s="200"/>
      <c r="N89" s="210"/>
      <c r="O89" s="210"/>
      <c r="P89" s="200"/>
      <c r="Q89" s="200"/>
      <c r="R89" s="200"/>
      <c r="T89" s="154"/>
      <c r="V89" s="252"/>
      <c r="Y89" s="252"/>
      <c r="Z89" s="328"/>
      <c r="AA89" s="200"/>
      <c r="AB89" s="200"/>
      <c r="AC89" s="210"/>
      <c r="AD89" s="210"/>
      <c r="AE89" s="200"/>
      <c r="AF89" s="200"/>
      <c r="AG89" s="209"/>
      <c r="AH89" s="210"/>
      <c r="AI89" s="200"/>
      <c r="AJ89" s="200"/>
      <c r="AK89" s="209"/>
      <c r="AL89" s="200"/>
      <c r="AM89" s="210"/>
      <c r="AN89" s="210"/>
    </row>
    <row r="90" spans="1:43" x14ac:dyDescent="0.25">
      <c r="F90" s="200"/>
      <c r="H90" s="200"/>
      <c r="I90" s="200"/>
      <c r="J90" s="305"/>
      <c r="K90" s="305"/>
      <c r="L90" s="211"/>
      <c r="M90" s="211"/>
      <c r="N90" s="211"/>
      <c r="O90" s="211"/>
      <c r="P90" s="211"/>
      <c r="Q90" s="211"/>
      <c r="R90" s="211"/>
      <c r="T90" s="154"/>
      <c r="V90" s="252"/>
      <c r="Y90" s="200"/>
      <c r="Z90" s="300"/>
      <c r="AA90" s="200"/>
      <c r="AB90" s="200"/>
      <c r="AC90" s="210"/>
      <c r="AD90" s="210"/>
      <c r="AE90" s="200"/>
      <c r="AF90" s="200"/>
      <c r="AG90" s="209"/>
      <c r="AH90" s="201"/>
      <c r="AI90" s="200"/>
      <c r="AJ90" s="200"/>
      <c r="AK90" s="209"/>
      <c r="AL90" s="200"/>
      <c r="AM90" s="210"/>
      <c r="AN90" s="210"/>
    </row>
    <row r="91" spans="1:43" x14ac:dyDescent="0.25">
      <c r="A91" s="202"/>
      <c r="C91" s="154"/>
      <c r="F91" s="200"/>
      <c r="H91" s="200"/>
      <c r="I91" s="200"/>
      <c r="J91" s="213"/>
      <c r="K91" s="213"/>
      <c r="L91" s="200"/>
      <c r="M91" s="200"/>
      <c r="N91" s="210"/>
      <c r="O91" s="210"/>
      <c r="P91" s="200"/>
      <c r="Q91" s="200"/>
      <c r="R91" s="200"/>
      <c r="T91" s="154"/>
      <c r="V91" s="252"/>
      <c r="Y91" s="200"/>
      <c r="Z91" s="300"/>
      <c r="AA91" s="200"/>
      <c r="AB91" s="200"/>
      <c r="AC91" s="210"/>
      <c r="AD91" s="210"/>
      <c r="AE91" s="200"/>
      <c r="AF91" s="200"/>
      <c r="AG91" s="209"/>
      <c r="AH91" s="201"/>
      <c r="AI91" s="200"/>
      <c r="AJ91" s="200"/>
      <c r="AK91" s="209"/>
      <c r="AL91" s="200"/>
      <c r="AM91" s="210"/>
      <c r="AN91" s="210"/>
    </row>
    <row r="92" spans="1:43" x14ac:dyDescent="0.25">
      <c r="F92" s="200"/>
      <c r="H92" s="200"/>
      <c r="I92" s="200"/>
      <c r="J92" s="305"/>
      <c r="K92" s="305"/>
      <c r="L92" s="211"/>
      <c r="M92" s="211"/>
      <c r="N92" s="211"/>
      <c r="O92" s="211"/>
      <c r="P92" s="211"/>
      <c r="Q92" s="211"/>
      <c r="R92" s="211"/>
      <c r="V92" s="200"/>
      <c r="Y92" s="211"/>
      <c r="Z92" s="305"/>
      <c r="AA92" s="211"/>
      <c r="AB92" s="211"/>
      <c r="AC92" s="211"/>
      <c r="AD92" s="211"/>
      <c r="AE92" s="211"/>
      <c r="AF92" s="211"/>
      <c r="AI92" s="211"/>
      <c r="AJ92" s="211"/>
      <c r="AK92" s="212"/>
      <c r="AL92" s="211"/>
      <c r="AM92" s="210"/>
      <c r="AN92" s="210"/>
    </row>
    <row r="93" spans="1:43" x14ac:dyDescent="0.25">
      <c r="A93" s="202"/>
      <c r="C93" s="154"/>
      <c r="F93" s="200"/>
      <c r="H93" s="200"/>
      <c r="I93" s="200"/>
      <c r="J93" s="213"/>
      <c r="K93" s="213"/>
      <c r="L93" s="200"/>
      <c r="M93" s="200"/>
      <c r="N93" s="210"/>
      <c r="O93" s="210"/>
      <c r="P93" s="200"/>
      <c r="Q93" s="200"/>
      <c r="R93" s="200"/>
      <c r="T93" s="154"/>
      <c r="V93" s="200"/>
      <c r="Y93" s="200"/>
      <c r="Z93" s="305"/>
      <c r="AA93" s="200"/>
      <c r="AB93" s="200"/>
      <c r="AC93" s="210"/>
      <c r="AD93" s="210"/>
      <c r="AE93" s="200"/>
      <c r="AF93" s="200"/>
      <c r="AG93" s="209"/>
      <c r="AH93" s="201"/>
      <c r="AI93" s="200"/>
      <c r="AJ93" s="200"/>
      <c r="AK93" s="209"/>
      <c r="AL93" s="200"/>
      <c r="AM93" s="210"/>
      <c r="AN93" s="210"/>
    </row>
    <row r="94" spans="1:43" x14ac:dyDescent="0.25">
      <c r="A94" s="202"/>
      <c r="C94" s="154"/>
      <c r="F94" s="252"/>
      <c r="H94" s="252"/>
      <c r="I94" s="252"/>
      <c r="J94" s="320"/>
      <c r="K94" s="320"/>
      <c r="L94" s="200"/>
      <c r="M94" s="200"/>
      <c r="N94" s="210"/>
      <c r="O94" s="210"/>
      <c r="P94" s="200"/>
      <c r="Q94" s="200"/>
      <c r="R94" s="200"/>
      <c r="V94" s="200"/>
      <c r="Y94" s="211"/>
      <c r="Z94" s="305"/>
      <c r="AA94" s="211"/>
      <c r="AB94" s="211"/>
      <c r="AC94" s="211"/>
      <c r="AD94" s="211"/>
      <c r="AE94" s="211"/>
      <c r="AF94" s="211"/>
      <c r="AI94" s="211"/>
      <c r="AJ94" s="211"/>
      <c r="AK94" s="212"/>
      <c r="AL94" s="211"/>
      <c r="AM94" s="210"/>
      <c r="AN94" s="210"/>
    </row>
    <row r="95" spans="1:43" x14ac:dyDescent="0.25">
      <c r="F95" s="211"/>
      <c r="H95" s="211"/>
      <c r="I95" s="211"/>
      <c r="J95" s="305"/>
      <c r="K95" s="305"/>
      <c r="L95" s="211"/>
      <c r="M95" s="211"/>
      <c r="N95" s="211"/>
      <c r="O95" s="211"/>
      <c r="P95" s="211"/>
      <c r="Q95" s="211"/>
      <c r="R95" s="211"/>
      <c r="T95" s="154"/>
      <c r="V95" s="200"/>
      <c r="Y95" s="200"/>
      <c r="Z95" s="305"/>
      <c r="AA95" s="200"/>
      <c r="AB95" s="200"/>
      <c r="AC95" s="200"/>
      <c r="AD95" s="200"/>
      <c r="AE95" s="200"/>
      <c r="AF95" s="200"/>
      <c r="AG95" s="209"/>
      <c r="AH95" s="201"/>
      <c r="AI95" s="200"/>
      <c r="AJ95" s="200"/>
      <c r="AK95" s="209"/>
      <c r="AL95" s="200"/>
      <c r="AM95" s="210"/>
      <c r="AN95" s="210"/>
    </row>
    <row r="96" spans="1:43" x14ac:dyDescent="0.25">
      <c r="A96" s="202"/>
      <c r="C96" s="154"/>
      <c r="F96" s="200"/>
      <c r="H96" s="200"/>
      <c r="I96" s="200"/>
      <c r="J96" s="305"/>
      <c r="K96" s="305"/>
      <c r="L96" s="200"/>
      <c r="M96" s="200"/>
      <c r="N96" s="210"/>
      <c r="O96" s="210"/>
      <c r="P96" s="200"/>
      <c r="Q96" s="200"/>
      <c r="R96" s="200"/>
      <c r="S96" s="200"/>
      <c r="T96" s="154"/>
      <c r="V96" s="200"/>
      <c r="Y96" s="200"/>
      <c r="Z96" s="329"/>
      <c r="AA96" s="200"/>
      <c r="AB96" s="200"/>
      <c r="AC96" s="210"/>
      <c r="AD96" s="210"/>
      <c r="AE96" s="200"/>
      <c r="AF96" s="200"/>
      <c r="AG96" s="209"/>
      <c r="AH96" s="201"/>
      <c r="AI96" s="200"/>
      <c r="AJ96" s="200"/>
      <c r="AK96" s="209"/>
      <c r="AL96" s="200"/>
      <c r="AM96" s="210"/>
      <c r="AN96" s="210"/>
    </row>
    <row r="97" spans="1:40" x14ac:dyDescent="0.25">
      <c r="F97" s="211"/>
      <c r="H97" s="211"/>
      <c r="I97" s="211"/>
      <c r="J97" s="305"/>
      <c r="K97" s="305"/>
      <c r="L97" s="211"/>
      <c r="M97" s="211"/>
      <c r="N97" s="211"/>
      <c r="O97" s="211"/>
      <c r="P97" s="211"/>
      <c r="Q97" s="211"/>
      <c r="R97" s="211"/>
      <c r="S97" s="200"/>
      <c r="T97" s="154"/>
      <c r="Y97" s="200"/>
      <c r="Z97" s="329"/>
      <c r="AA97" s="200"/>
      <c r="AB97" s="200"/>
      <c r="AC97" s="210"/>
      <c r="AD97" s="210"/>
      <c r="AE97" s="200"/>
      <c r="AF97" s="200"/>
      <c r="AG97" s="209"/>
      <c r="AH97" s="201"/>
      <c r="AI97" s="200"/>
      <c r="AJ97" s="200"/>
      <c r="AK97" s="209"/>
      <c r="AL97" s="200"/>
      <c r="AM97" s="210"/>
      <c r="AN97" s="210"/>
    </row>
    <row r="98" spans="1:40" x14ac:dyDescent="0.25">
      <c r="A98" s="202"/>
      <c r="C98" s="154"/>
      <c r="V98" s="200"/>
      <c r="Y98" s="200"/>
      <c r="Z98" s="305"/>
      <c r="AA98" s="211"/>
      <c r="AB98" s="211"/>
      <c r="AC98" s="211"/>
      <c r="AD98" s="211"/>
      <c r="AE98" s="211"/>
      <c r="AF98" s="211"/>
      <c r="AI98" s="211"/>
      <c r="AJ98" s="211"/>
      <c r="AK98" s="212"/>
      <c r="AL98" s="211"/>
      <c r="AM98" s="210"/>
      <c r="AN98" s="210"/>
    </row>
    <row r="99" spans="1:40" x14ac:dyDescent="0.25">
      <c r="A99" s="202"/>
      <c r="C99" s="154"/>
      <c r="F99" s="200"/>
      <c r="H99" s="200"/>
      <c r="I99" s="200"/>
      <c r="L99" s="200"/>
      <c r="M99" s="200"/>
      <c r="N99" s="210"/>
      <c r="O99" s="210"/>
      <c r="P99" s="252"/>
      <c r="Q99" s="252"/>
      <c r="R99" s="200"/>
      <c r="T99" s="154"/>
      <c r="V99" s="200"/>
      <c r="Y99" s="200"/>
      <c r="Z99" s="213"/>
      <c r="AA99" s="200"/>
      <c r="AB99" s="200"/>
      <c r="AC99" s="210"/>
      <c r="AD99" s="210"/>
      <c r="AE99" s="200"/>
      <c r="AF99" s="200"/>
      <c r="AG99" s="209"/>
      <c r="AH99" s="201"/>
      <c r="AI99" s="200"/>
      <c r="AJ99" s="200"/>
      <c r="AK99" s="209"/>
      <c r="AL99" s="200"/>
      <c r="AM99" s="210"/>
      <c r="AN99" s="210"/>
    </row>
    <row r="100" spans="1:40" x14ac:dyDescent="0.25">
      <c r="F100" s="211"/>
      <c r="H100" s="211"/>
      <c r="I100" s="211"/>
      <c r="J100" s="305"/>
      <c r="K100" s="305"/>
      <c r="L100" s="211"/>
      <c r="M100" s="211"/>
      <c r="N100" s="211"/>
      <c r="O100" s="211"/>
      <c r="P100" s="211"/>
      <c r="Q100" s="211"/>
      <c r="R100" s="211"/>
      <c r="V100" s="200"/>
      <c r="Y100" s="200"/>
      <c r="Z100" s="305"/>
      <c r="AA100" s="211"/>
      <c r="AB100" s="211"/>
      <c r="AC100" s="211"/>
      <c r="AD100" s="211"/>
      <c r="AE100" s="211"/>
      <c r="AF100" s="211"/>
      <c r="AI100" s="211"/>
      <c r="AJ100" s="211"/>
      <c r="AK100" s="212"/>
      <c r="AL100" s="211"/>
      <c r="AM100" s="210"/>
      <c r="AN100" s="210"/>
    </row>
    <row r="101" spans="1:40" x14ac:dyDescent="0.25">
      <c r="T101" s="154"/>
      <c r="V101" s="200"/>
      <c r="Y101" s="200"/>
      <c r="Z101" s="213"/>
      <c r="AA101" s="200"/>
      <c r="AB101" s="200"/>
      <c r="AC101" s="210"/>
      <c r="AD101" s="210"/>
      <c r="AE101" s="200"/>
      <c r="AF101" s="200"/>
      <c r="AG101" s="209"/>
      <c r="AH101" s="201"/>
      <c r="AI101" s="200"/>
      <c r="AJ101" s="200"/>
      <c r="AK101" s="209"/>
      <c r="AL101" s="200"/>
      <c r="AM101" s="210"/>
      <c r="AN101" s="210"/>
    </row>
    <row r="102" spans="1:40" x14ac:dyDescent="0.25">
      <c r="C102" s="154"/>
      <c r="L102" s="200"/>
      <c r="M102" s="200"/>
      <c r="N102" s="200"/>
      <c r="O102" s="200"/>
      <c r="P102" s="200"/>
      <c r="Q102" s="200"/>
      <c r="R102" s="200"/>
      <c r="S102" s="200"/>
      <c r="T102" s="154"/>
      <c r="V102" s="252"/>
      <c r="Y102" s="200"/>
      <c r="Z102" s="320"/>
      <c r="AA102" s="200"/>
      <c r="AB102" s="200"/>
      <c r="AC102" s="210"/>
      <c r="AD102" s="210"/>
      <c r="AE102" s="200"/>
      <c r="AF102" s="200"/>
      <c r="AG102" s="209"/>
      <c r="AH102" s="201"/>
      <c r="AI102" s="200"/>
      <c r="AJ102" s="200"/>
      <c r="AK102" s="209"/>
      <c r="AL102" s="200"/>
      <c r="AM102" s="210"/>
      <c r="AN102" s="210"/>
    </row>
    <row r="103" spans="1:40" x14ac:dyDescent="0.25">
      <c r="A103" s="154"/>
      <c r="V103" s="211"/>
      <c r="Y103" s="211"/>
      <c r="Z103" s="305"/>
      <c r="AA103" s="211"/>
      <c r="AB103" s="211"/>
      <c r="AC103" s="211"/>
      <c r="AD103" s="211"/>
      <c r="AE103" s="211"/>
      <c r="AF103" s="211"/>
      <c r="AI103" s="211"/>
      <c r="AJ103" s="211"/>
      <c r="AK103" s="212"/>
      <c r="AL103" s="211"/>
      <c r="AM103" s="210"/>
      <c r="AN103" s="210"/>
    </row>
    <row r="104" spans="1:40" x14ac:dyDescent="0.25">
      <c r="J104" s="202"/>
      <c r="K104" s="202"/>
      <c r="T104" s="154"/>
      <c r="V104" s="200"/>
      <c r="Y104" s="200"/>
      <c r="Z104" s="305"/>
      <c r="AA104" s="200"/>
      <c r="AB104" s="200"/>
      <c r="AC104" s="210"/>
      <c r="AD104" s="210"/>
      <c r="AE104" s="200"/>
      <c r="AF104" s="200"/>
      <c r="AG104" s="209"/>
      <c r="AH104" s="210"/>
      <c r="AI104" s="200"/>
      <c r="AJ104" s="200"/>
      <c r="AK104" s="209"/>
      <c r="AL104" s="200"/>
      <c r="AM104" s="210"/>
      <c r="AN104" s="210"/>
    </row>
    <row r="105" spans="1:40" x14ac:dyDescent="0.25">
      <c r="H105" s="154"/>
      <c r="I105" s="154"/>
      <c r="V105" s="211"/>
      <c r="Y105" s="211"/>
      <c r="Z105" s="305"/>
      <c r="AA105" s="211"/>
      <c r="AB105" s="211"/>
      <c r="AC105" s="211"/>
      <c r="AD105" s="211"/>
      <c r="AE105" s="211"/>
      <c r="AF105" s="211"/>
      <c r="AI105" s="211"/>
      <c r="AJ105" s="211"/>
      <c r="AK105" s="212"/>
      <c r="AL105" s="211"/>
      <c r="AM105" s="210"/>
      <c r="AN105" s="210"/>
    </row>
    <row r="106" spans="1:40" x14ac:dyDescent="0.25">
      <c r="J106" s="202"/>
      <c r="K106" s="202"/>
      <c r="T106" s="154"/>
    </row>
    <row r="107" spans="1:40" x14ac:dyDescent="0.25">
      <c r="L107" s="154"/>
      <c r="M107" s="154"/>
      <c r="AA107" s="154"/>
      <c r="AB107" s="154"/>
    </row>
    <row r="108" spans="1:40" x14ac:dyDescent="0.25">
      <c r="A108" s="202"/>
      <c r="R108" s="154"/>
      <c r="AK108" s="297"/>
      <c r="AL108" s="154"/>
    </row>
    <row r="109" spans="1:40" x14ac:dyDescent="0.25">
      <c r="A109" s="202"/>
      <c r="R109" s="154"/>
      <c r="AK109" s="297"/>
      <c r="AL109" s="154"/>
    </row>
    <row r="110" spans="1:40" x14ac:dyDescent="0.25">
      <c r="A110" s="154"/>
      <c r="R110" s="154"/>
      <c r="AK110" s="297"/>
      <c r="AL110" s="154"/>
    </row>
    <row r="111" spans="1:40" x14ac:dyDescent="0.25">
      <c r="L111" s="154"/>
      <c r="M111" s="154"/>
      <c r="R111" s="202"/>
      <c r="AA111" s="154"/>
      <c r="AB111" s="154"/>
      <c r="AK111" s="209"/>
      <c r="AL111" s="202"/>
    </row>
    <row r="112" spans="1:40" x14ac:dyDescent="0.2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208"/>
      <c r="AH112" s="102"/>
      <c r="AI112" s="102"/>
      <c r="AJ112" s="102"/>
      <c r="AK112" s="208"/>
      <c r="AL112" s="102"/>
      <c r="AM112" s="102"/>
      <c r="AN112" s="102"/>
    </row>
    <row r="113" spans="1:40" x14ac:dyDescent="0.25">
      <c r="L113" s="103"/>
      <c r="M113" s="103"/>
      <c r="N113" s="103"/>
      <c r="O113" s="103"/>
      <c r="R113" s="103"/>
      <c r="AA113" s="103"/>
      <c r="AB113" s="103"/>
      <c r="AC113" s="103"/>
      <c r="AD113" s="103"/>
      <c r="AE113" s="103"/>
      <c r="AF113" s="103"/>
      <c r="AG113" s="185"/>
      <c r="AH113" s="103"/>
      <c r="AK113" s="185"/>
      <c r="AL113" s="103"/>
      <c r="AM113" s="103"/>
      <c r="AN113" s="103"/>
    </row>
    <row r="114" spans="1:40" x14ac:dyDescent="0.25">
      <c r="L114" s="103"/>
      <c r="M114" s="103"/>
      <c r="N114" s="103"/>
      <c r="O114" s="103"/>
      <c r="R114" s="103"/>
      <c r="Z114" s="103"/>
      <c r="AA114" s="103"/>
      <c r="AB114" s="103"/>
      <c r="AC114" s="103"/>
      <c r="AD114" s="103"/>
      <c r="AE114" s="103"/>
      <c r="AF114" s="103"/>
      <c r="AG114" s="185"/>
      <c r="AH114" s="103"/>
      <c r="AK114" s="185"/>
      <c r="AL114" s="103"/>
      <c r="AM114" s="103"/>
      <c r="AN114" s="103"/>
    </row>
    <row r="115" spans="1:40" x14ac:dyDescent="0.25">
      <c r="A115" s="103"/>
      <c r="C115" s="103"/>
      <c r="D115" s="103"/>
      <c r="E115" s="103"/>
      <c r="F115" s="103"/>
      <c r="J115" s="103"/>
      <c r="K115" s="103"/>
      <c r="L115" s="103"/>
      <c r="M115" s="103"/>
      <c r="N115" s="103"/>
      <c r="O115" s="103"/>
      <c r="P115" s="103"/>
      <c r="Q115" s="103"/>
      <c r="R115" s="103"/>
      <c r="T115" s="103"/>
      <c r="U115" s="103"/>
      <c r="V115" s="103"/>
      <c r="Z115" s="103"/>
      <c r="AA115" s="103"/>
      <c r="AB115" s="103"/>
      <c r="AC115" s="103"/>
      <c r="AD115" s="103"/>
      <c r="AE115" s="103"/>
      <c r="AF115" s="103"/>
      <c r="AG115" s="185"/>
      <c r="AH115" s="103"/>
      <c r="AI115" s="103"/>
      <c r="AJ115" s="103"/>
      <c r="AK115" s="185"/>
      <c r="AL115" s="103"/>
      <c r="AM115" s="103"/>
      <c r="AN115" s="103"/>
    </row>
    <row r="116" spans="1:40" x14ac:dyDescent="0.25">
      <c r="A116" s="103"/>
      <c r="C116" s="103"/>
      <c r="D116" s="103"/>
      <c r="E116" s="103"/>
      <c r="F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T116" s="103"/>
      <c r="U116" s="103"/>
      <c r="V116" s="103"/>
      <c r="Y116" s="103"/>
      <c r="Z116" s="103"/>
      <c r="AA116" s="103"/>
      <c r="AB116" s="103"/>
      <c r="AC116" s="103"/>
      <c r="AD116" s="103"/>
      <c r="AE116" s="103"/>
      <c r="AF116" s="103"/>
      <c r="AG116" s="185"/>
      <c r="AH116" s="103"/>
      <c r="AI116" s="103"/>
      <c r="AJ116" s="103"/>
      <c r="AK116" s="185"/>
      <c r="AL116" s="103"/>
      <c r="AM116" s="103"/>
      <c r="AN116" s="103"/>
    </row>
    <row r="117" spans="1:40" x14ac:dyDescent="0.25">
      <c r="C117" s="103"/>
      <c r="D117" s="103"/>
      <c r="E117" s="103"/>
      <c r="F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T117" s="103"/>
      <c r="U117" s="103"/>
      <c r="V117" s="103"/>
      <c r="Y117" s="103"/>
      <c r="Z117" s="103"/>
      <c r="AA117" s="103"/>
      <c r="AB117" s="103"/>
      <c r="AC117" s="103"/>
      <c r="AD117" s="103"/>
      <c r="AE117" s="103"/>
      <c r="AF117" s="103"/>
      <c r="AG117" s="185"/>
      <c r="AH117" s="103"/>
      <c r="AI117" s="103"/>
      <c r="AJ117" s="103"/>
      <c r="AK117" s="185"/>
      <c r="AL117" s="103"/>
      <c r="AM117" s="103"/>
      <c r="AN117" s="103"/>
    </row>
    <row r="118" spans="1:40" x14ac:dyDescent="0.2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208"/>
      <c r="AH118" s="102"/>
      <c r="AI118" s="102"/>
      <c r="AJ118" s="102"/>
      <c r="AK118" s="208"/>
      <c r="AL118" s="102"/>
      <c r="AM118" s="102"/>
      <c r="AN118" s="102"/>
    </row>
    <row r="119" spans="1:40" x14ac:dyDescent="0.25"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Y119" s="103"/>
      <c r="Z119" s="103"/>
      <c r="AA119" s="103"/>
      <c r="AB119" s="103"/>
      <c r="AC119" s="103"/>
      <c r="AD119" s="103"/>
      <c r="AE119" s="103"/>
      <c r="AF119" s="103"/>
      <c r="AG119" s="185"/>
      <c r="AH119" s="103"/>
      <c r="AI119" s="103"/>
      <c r="AJ119" s="103"/>
      <c r="AK119" s="185"/>
      <c r="AL119" s="103"/>
      <c r="AM119" s="103"/>
      <c r="AN119" s="103"/>
    </row>
    <row r="120" spans="1:40" x14ac:dyDescent="0.25">
      <c r="A120" s="202"/>
      <c r="C120" s="154"/>
      <c r="D120" s="154"/>
      <c r="E120" s="154"/>
      <c r="T120" s="154"/>
      <c r="U120" s="154"/>
    </row>
    <row r="121" spans="1:40" x14ac:dyDescent="0.25">
      <c r="A121" s="202"/>
      <c r="D121" s="154"/>
      <c r="E121" s="154"/>
      <c r="U121" s="154"/>
    </row>
    <row r="123" spans="1:40" x14ac:dyDescent="0.25">
      <c r="A123" s="202"/>
      <c r="C123" s="154"/>
      <c r="F123" s="252"/>
      <c r="H123" s="252"/>
      <c r="I123" s="252"/>
      <c r="J123" s="300"/>
      <c r="K123" s="300"/>
      <c r="L123" s="200"/>
      <c r="M123" s="200"/>
      <c r="N123" s="210"/>
      <c r="O123" s="210"/>
      <c r="R123" s="200"/>
      <c r="T123" s="154"/>
      <c r="V123" s="200"/>
      <c r="Y123" s="252"/>
      <c r="Z123" s="300"/>
      <c r="AA123" s="200"/>
      <c r="AB123" s="200"/>
      <c r="AC123" s="210"/>
      <c r="AD123" s="210"/>
      <c r="AE123" s="200"/>
      <c r="AF123" s="200"/>
      <c r="AG123" s="325"/>
      <c r="AH123" s="326"/>
      <c r="AK123" s="209"/>
      <c r="AL123" s="200"/>
      <c r="AM123" s="327"/>
      <c r="AN123" s="327"/>
    </row>
    <row r="124" spans="1:40" x14ac:dyDescent="0.25">
      <c r="A124" s="202"/>
      <c r="C124" s="154"/>
      <c r="F124" s="252"/>
      <c r="H124" s="252"/>
      <c r="I124" s="252"/>
      <c r="J124" s="300"/>
      <c r="K124" s="300"/>
      <c r="L124" s="200"/>
      <c r="M124" s="200"/>
      <c r="N124" s="210"/>
      <c r="O124" s="210"/>
      <c r="P124" s="202"/>
      <c r="Q124" s="202"/>
      <c r="R124" s="200"/>
      <c r="T124" s="154"/>
      <c r="V124" s="200"/>
      <c r="Y124" s="252"/>
      <c r="Z124" s="300"/>
      <c r="AA124" s="200"/>
      <c r="AB124" s="200"/>
      <c r="AC124" s="210"/>
      <c r="AD124" s="210"/>
      <c r="AE124" s="200"/>
      <c r="AF124" s="200"/>
      <c r="AG124" s="209"/>
      <c r="AH124" s="201"/>
      <c r="AI124" s="202"/>
      <c r="AJ124" s="202"/>
      <c r="AK124" s="209"/>
      <c r="AL124" s="200"/>
      <c r="AM124" s="210"/>
      <c r="AN124" s="210"/>
    </row>
    <row r="125" spans="1:40" x14ac:dyDescent="0.25">
      <c r="F125" s="211"/>
      <c r="H125" s="200"/>
      <c r="I125" s="200"/>
      <c r="J125" s="305"/>
      <c r="K125" s="305"/>
      <c r="L125" s="211"/>
      <c r="M125" s="211"/>
      <c r="N125" s="211"/>
      <c r="O125" s="211"/>
      <c r="P125" s="211"/>
      <c r="Q125" s="211"/>
      <c r="R125" s="211"/>
      <c r="V125" s="211"/>
      <c r="Y125" s="200"/>
      <c r="Z125" s="305"/>
      <c r="AA125" s="211"/>
      <c r="AB125" s="211"/>
      <c r="AC125" s="211"/>
      <c r="AD125" s="211"/>
      <c r="AE125" s="211"/>
      <c r="AF125" s="211"/>
      <c r="AI125" s="211"/>
      <c r="AJ125" s="211"/>
      <c r="AK125" s="212"/>
      <c r="AL125" s="211"/>
      <c r="AM125" s="210"/>
      <c r="AN125" s="210"/>
    </row>
    <row r="126" spans="1:40" x14ac:dyDescent="0.25">
      <c r="A126" s="202"/>
      <c r="C126" s="154"/>
      <c r="F126" s="200"/>
      <c r="H126" s="200"/>
      <c r="I126" s="200"/>
      <c r="J126" s="305"/>
      <c r="K126" s="305"/>
      <c r="L126" s="200"/>
      <c r="M126" s="200"/>
      <c r="N126" s="210"/>
      <c r="O126" s="210"/>
      <c r="P126" s="200"/>
      <c r="Q126" s="200"/>
      <c r="R126" s="200"/>
      <c r="T126" s="154"/>
      <c r="V126" s="200"/>
      <c r="Y126" s="200"/>
      <c r="Z126" s="213"/>
      <c r="AA126" s="200"/>
      <c r="AB126" s="200"/>
      <c r="AC126" s="210"/>
      <c r="AD126" s="210"/>
      <c r="AE126" s="200"/>
      <c r="AF126" s="200"/>
      <c r="AG126" s="209"/>
      <c r="AH126" s="201"/>
      <c r="AI126" s="200"/>
      <c r="AJ126" s="200"/>
      <c r="AK126" s="209"/>
      <c r="AL126" s="200"/>
      <c r="AM126" s="210"/>
      <c r="AN126" s="210"/>
    </row>
    <row r="127" spans="1:40" x14ac:dyDescent="0.25">
      <c r="F127" s="211"/>
      <c r="H127" s="200"/>
      <c r="I127" s="200"/>
      <c r="J127" s="305"/>
      <c r="K127" s="305"/>
      <c r="L127" s="211"/>
      <c r="M127" s="211"/>
      <c r="N127" s="211"/>
      <c r="O127" s="211"/>
      <c r="P127" s="211"/>
      <c r="Q127" s="211"/>
      <c r="R127" s="211"/>
      <c r="V127" s="211"/>
      <c r="Y127" s="200"/>
      <c r="Z127" s="305"/>
      <c r="AA127" s="211"/>
      <c r="AB127" s="211"/>
      <c r="AC127" s="211"/>
      <c r="AD127" s="211"/>
      <c r="AE127" s="211"/>
      <c r="AF127" s="211"/>
      <c r="AI127" s="211"/>
      <c r="AJ127" s="211"/>
      <c r="AK127" s="212"/>
      <c r="AL127" s="211"/>
      <c r="AM127" s="210"/>
      <c r="AN127" s="210"/>
    </row>
    <row r="128" spans="1:40" x14ac:dyDescent="0.25">
      <c r="F128" s="200"/>
      <c r="H128" s="200"/>
      <c r="I128" s="200"/>
      <c r="J128" s="305"/>
      <c r="K128" s="305"/>
      <c r="L128" s="200"/>
      <c r="M128" s="200"/>
      <c r="N128" s="210"/>
      <c r="O128" s="210"/>
      <c r="P128" s="200"/>
      <c r="Q128" s="200"/>
      <c r="R128" s="200"/>
      <c r="V128" s="200"/>
      <c r="Y128" s="200"/>
      <c r="Z128" s="213"/>
      <c r="AA128" s="200"/>
      <c r="AB128" s="200"/>
      <c r="AC128" s="210"/>
      <c r="AD128" s="210"/>
      <c r="AE128" s="200"/>
      <c r="AF128" s="200"/>
      <c r="AG128" s="209"/>
      <c r="AH128" s="201"/>
      <c r="AI128" s="200"/>
      <c r="AJ128" s="200"/>
      <c r="AK128" s="209"/>
      <c r="AL128" s="200"/>
      <c r="AM128" s="210"/>
      <c r="AN128" s="210"/>
    </row>
    <row r="129" spans="1:40" x14ac:dyDescent="0.25">
      <c r="A129" s="202"/>
      <c r="C129" s="154"/>
      <c r="F129" s="252"/>
      <c r="H129" s="252"/>
      <c r="I129" s="252"/>
      <c r="J129" s="300"/>
      <c r="K129" s="300"/>
      <c r="L129" s="200"/>
      <c r="M129" s="200"/>
      <c r="N129" s="210"/>
      <c r="O129" s="210"/>
      <c r="P129" s="200"/>
      <c r="Q129" s="200"/>
      <c r="R129" s="200"/>
      <c r="T129" s="154"/>
      <c r="V129" s="252"/>
      <c r="Y129" s="200"/>
      <c r="Z129" s="300"/>
      <c r="AA129" s="200"/>
      <c r="AB129" s="200"/>
      <c r="AC129" s="210"/>
      <c r="AD129" s="210"/>
      <c r="AE129" s="200"/>
      <c r="AF129" s="200"/>
      <c r="AG129" s="325"/>
      <c r="AH129" s="326"/>
      <c r="AI129" s="200"/>
      <c r="AJ129" s="200"/>
      <c r="AK129" s="209"/>
      <c r="AL129" s="200"/>
      <c r="AM129" s="327"/>
      <c r="AN129" s="327"/>
    </row>
    <row r="130" spans="1:40" x14ac:dyDescent="0.25">
      <c r="A130" s="202"/>
      <c r="C130" s="154"/>
      <c r="F130" s="252"/>
      <c r="H130" s="252"/>
      <c r="I130" s="252"/>
      <c r="J130" s="300"/>
      <c r="K130" s="300"/>
      <c r="L130" s="200"/>
      <c r="M130" s="200"/>
      <c r="N130" s="210"/>
      <c r="O130" s="210"/>
      <c r="P130" s="200"/>
      <c r="Q130" s="200"/>
      <c r="R130" s="200"/>
      <c r="T130" s="154"/>
      <c r="V130" s="252"/>
      <c r="Y130" s="200"/>
      <c r="Z130" s="300"/>
      <c r="AA130" s="200"/>
      <c r="AB130" s="200"/>
      <c r="AC130" s="210"/>
      <c r="AD130" s="210"/>
      <c r="AE130" s="200"/>
      <c r="AF130" s="200"/>
      <c r="AG130" s="209"/>
      <c r="AH130" s="201"/>
      <c r="AI130" s="200"/>
      <c r="AJ130" s="200"/>
      <c r="AK130" s="209"/>
      <c r="AL130" s="200"/>
      <c r="AM130" s="210"/>
      <c r="AN130" s="210"/>
    </row>
    <row r="131" spans="1:40" x14ac:dyDescent="0.25">
      <c r="F131" s="200"/>
      <c r="H131" s="211"/>
      <c r="I131" s="211"/>
      <c r="J131" s="305"/>
      <c r="K131" s="305"/>
      <c r="L131" s="211"/>
      <c r="M131" s="211"/>
      <c r="N131" s="211"/>
      <c r="O131" s="211"/>
      <c r="P131" s="211"/>
      <c r="Q131" s="211"/>
      <c r="R131" s="211"/>
      <c r="V131" s="200"/>
      <c r="Y131" s="211"/>
      <c r="Z131" s="305"/>
      <c r="AA131" s="211"/>
      <c r="AB131" s="211"/>
      <c r="AC131" s="211"/>
      <c r="AD131" s="211"/>
      <c r="AE131" s="211"/>
      <c r="AF131" s="211"/>
      <c r="AI131" s="211"/>
      <c r="AJ131" s="211"/>
      <c r="AK131" s="212"/>
      <c r="AL131" s="211"/>
      <c r="AM131" s="210"/>
      <c r="AN131" s="210"/>
    </row>
    <row r="132" spans="1:40" x14ac:dyDescent="0.25">
      <c r="A132" s="202"/>
      <c r="C132" s="154"/>
      <c r="F132" s="200"/>
      <c r="H132" s="200"/>
      <c r="I132" s="200"/>
      <c r="J132" s="305"/>
      <c r="K132" s="305"/>
      <c r="L132" s="200"/>
      <c r="M132" s="200"/>
      <c r="N132" s="210"/>
      <c r="O132" s="210"/>
      <c r="P132" s="200"/>
      <c r="Q132" s="200"/>
      <c r="R132" s="200"/>
      <c r="T132" s="154"/>
      <c r="V132" s="200"/>
      <c r="Y132" s="200"/>
      <c r="Z132" s="305"/>
      <c r="AA132" s="200"/>
      <c r="AB132" s="200"/>
      <c r="AC132" s="210"/>
      <c r="AD132" s="210"/>
      <c r="AE132" s="200"/>
      <c r="AF132" s="200"/>
      <c r="AG132" s="209"/>
      <c r="AH132" s="201"/>
      <c r="AI132" s="200"/>
      <c r="AJ132" s="200"/>
      <c r="AK132" s="209"/>
      <c r="AL132" s="200"/>
      <c r="AM132" s="210"/>
      <c r="AN132" s="210"/>
    </row>
    <row r="133" spans="1:40" x14ac:dyDescent="0.25">
      <c r="F133" s="200"/>
      <c r="H133" s="211"/>
      <c r="I133" s="211"/>
      <c r="J133" s="305"/>
      <c r="K133" s="305"/>
      <c r="L133" s="211"/>
      <c r="M133" s="211"/>
      <c r="N133" s="211"/>
      <c r="O133" s="211"/>
      <c r="P133" s="211"/>
      <c r="Q133" s="211"/>
      <c r="R133" s="211"/>
      <c r="V133" s="200"/>
      <c r="Y133" s="211"/>
      <c r="Z133" s="305"/>
      <c r="AA133" s="211"/>
      <c r="AB133" s="211"/>
      <c r="AC133" s="211"/>
      <c r="AD133" s="211"/>
      <c r="AE133" s="211"/>
      <c r="AF133" s="211"/>
      <c r="AI133" s="211"/>
      <c r="AJ133" s="211"/>
      <c r="AK133" s="212"/>
      <c r="AL133" s="211"/>
      <c r="AM133" s="210"/>
      <c r="AN133" s="210"/>
    </row>
    <row r="134" spans="1:40" x14ac:dyDescent="0.25">
      <c r="F134" s="200"/>
      <c r="H134" s="200"/>
      <c r="I134" s="200"/>
      <c r="J134" s="305"/>
      <c r="K134" s="305"/>
      <c r="L134" s="200"/>
      <c r="M134" s="200"/>
      <c r="N134" s="200"/>
      <c r="O134" s="200"/>
      <c r="P134" s="200"/>
      <c r="Q134" s="200"/>
      <c r="R134" s="200"/>
      <c r="V134" s="200"/>
      <c r="Y134" s="200"/>
      <c r="Z134" s="305"/>
      <c r="AA134" s="200"/>
      <c r="AB134" s="200"/>
      <c r="AC134" s="200"/>
      <c r="AD134" s="200"/>
      <c r="AE134" s="200"/>
      <c r="AF134" s="200"/>
      <c r="AG134" s="209"/>
      <c r="AH134" s="201"/>
      <c r="AI134" s="200"/>
      <c r="AJ134" s="200"/>
      <c r="AK134" s="209"/>
      <c r="AL134" s="200"/>
      <c r="AM134" s="210"/>
      <c r="AN134" s="210"/>
    </row>
    <row r="135" spans="1:40" x14ac:dyDescent="0.25">
      <c r="A135" s="202"/>
      <c r="C135" s="154"/>
      <c r="F135" s="252"/>
      <c r="H135" s="252"/>
      <c r="I135" s="252"/>
      <c r="J135" s="320"/>
      <c r="K135" s="320"/>
      <c r="L135" s="200"/>
      <c r="M135" s="200"/>
      <c r="N135" s="210"/>
      <c r="O135" s="210"/>
      <c r="P135" s="252"/>
      <c r="Q135" s="252"/>
      <c r="R135" s="200"/>
      <c r="T135" s="154"/>
      <c r="V135" s="252"/>
      <c r="Y135" s="252"/>
      <c r="Z135" s="328"/>
      <c r="AA135" s="200"/>
      <c r="AB135" s="200"/>
      <c r="AC135" s="210"/>
      <c r="AD135" s="210"/>
      <c r="AE135" s="200"/>
      <c r="AF135" s="200"/>
      <c r="AG135" s="209"/>
      <c r="AH135" s="201"/>
      <c r="AI135" s="252"/>
      <c r="AJ135" s="252"/>
      <c r="AK135" s="209"/>
      <c r="AL135" s="200"/>
      <c r="AM135" s="210"/>
      <c r="AN135" s="210"/>
    </row>
    <row r="136" spans="1:40" x14ac:dyDescent="0.25">
      <c r="A136" s="202"/>
      <c r="C136" s="154"/>
      <c r="F136" s="252"/>
      <c r="H136" s="252"/>
      <c r="I136" s="252"/>
      <c r="J136" s="320"/>
      <c r="K136" s="320"/>
      <c r="L136" s="200"/>
      <c r="M136" s="200"/>
      <c r="N136" s="210"/>
      <c r="O136" s="210"/>
      <c r="P136" s="252"/>
      <c r="Q136" s="252"/>
      <c r="R136" s="200"/>
      <c r="T136" s="154"/>
      <c r="V136" s="252"/>
      <c r="Y136" s="200"/>
      <c r="Z136" s="304"/>
      <c r="AA136" s="200"/>
      <c r="AB136" s="200"/>
      <c r="AC136" s="210"/>
      <c r="AD136" s="210"/>
      <c r="AE136" s="200"/>
      <c r="AF136" s="200"/>
      <c r="AG136" s="209"/>
      <c r="AH136" s="201"/>
      <c r="AI136" s="252"/>
      <c r="AJ136" s="252"/>
      <c r="AK136" s="209"/>
      <c r="AL136" s="200"/>
      <c r="AM136" s="210"/>
      <c r="AN136" s="210"/>
    </row>
    <row r="137" spans="1:40" x14ac:dyDescent="0.25">
      <c r="A137" s="202"/>
      <c r="C137" s="154"/>
      <c r="F137" s="252"/>
      <c r="H137" s="252"/>
      <c r="I137" s="252"/>
      <c r="J137" s="320"/>
      <c r="K137" s="320"/>
      <c r="L137" s="200"/>
      <c r="M137" s="200"/>
      <c r="N137" s="210"/>
      <c r="O137" s="210"/>
      <c r="P137" s="252"/>
      <c r="Q137" s="252"/>
      <c r="R137" s="200"/>
      <c r="T137" s="154"/>
      <c r="V137" s="252"/>
      <c r="Y137" s="200"/>
      <c r="Z137" s="304"/>
      <c r="AA137" s="200"/>
      <c r="AB137" s="200"/>
      <c r="AC137" s="210"/>
      <c r="AD137" s="210"/>
      <c r="AE137" s="200"/>
      <c r="AF137" s="200"/>
      <c r="AG137" s="209"/>
      <c r="AH137" s="201"/>
      <c r="AI137" s="252"/>
      <c r="AJ137" s="252"/>
      <c r="AK137" s="209"/>
      <c r="AL137" s="200"/>
      <c r="AM137" s="210"/>
      <c r="AN137" s="210"/>
    </row>
    <row r="138" spans="1:40" x14ac:dyDescent="0.25">
      <c r="F138" s="211"/>
      <c r="H138" s="211"/>
      <c r="I138" s="211"/>
      <c r="J138" s="305"/>
      <c r="K138" s="305"/>
      <c r="L138" s="211"/>
      <c r="M138" s="211"/>
      <c r="N138" s="211"/>
      <c r="O138" s="211"/>
      <c r="P138" s="211"/>
      <c r="Q138" s="211"/>
      <c r="R138" s="211"/>
      <c r="V138" s="211"/>
      <c r="Y138" s="211"/>
      <c r="Z138" s="305"/>
      <c r="AA138" s="211"/>
      <c r="AB138" s="211"/>
      <c r="AC138" s="211"/>
      <c r="AD138" s="211"/>
      <c r="AE138" s="211"/>
      <c r="AF138" s="211"/>
      <c r="AI138" s="211"/>
      <c r="AJ138" s="211"/>
      <c r="AK138" s="212"/>
      <c r="AL138" s="211"/>
      <c r="AM138" s="210"/>
      <c r="AN138" s="210"/>
    </row>
    <row r="139" spans="1:40" x14ac:dyDescent="0.25">
      <c r="A139" s="202"/>
      <c r="C139" s="154"/>
      <c r="F139" s="200"/>
      <c r="H139" s="200"/>
      <c r="I139" s="200"/>
      <c r="J139" s="213"/>
      <c r="K139" s="213"/>
      <c r="L139" s="200"/>
      <c r="M139" s="200"/>
      <c r="N139" s="210"/>
      <c r="O139" s="210"/>
      <c r="P139" s="200"/>
      <c r="Q139" s="200"/>
      <c r="R139" s="200"/>
      <c r="T139" s="154"/>
      <c r="V139" s="200"/>
      <c r="Y139" s="200"/>
      <c r="Z139" s="213"/>
      <c r="AA139" s="200"/>
      <c r="AB139" s="200"/>
      <c r="AC139" s="210"/>
      <c r="AD139" s="210"/>
      <c r="AE139" s="200"/>
      <c r="AF139" s="200"/>
      <c r="AG139" s="209"/>
      <c r="AH139" s="201"/>
      <c r="AI139" s="200"/>
      <c r="AJ139" s="200"/>
      <c r="AK139" s="209"/>
      <c r="AL139" s="200"/>
      <c r="AM139" s="210"/>
      <c r="AN139" s="210"/>
    </row>
    <row r="140" spans="1:40" x14ac:dyDescent="0.25">
      <c r="F140" s="211"/>
      <c r="H140" s="211"/>
      <c r="I140" s="211"/>
      <c r="J140" s="305"/>
      <c r="K140" s="305"/>
      <c r="L140" s="211"/>
      <c r="M140" s="211"/>
      <c r="N140" s="211"/>
      <c r="O140" s="211"/>
      <c r="P140" s="211"/>
      <c r="Q140" s="211"/>
      <c r="R140" s="211"/>
      <c r="V140" s="211"/>
      <c r="Y140" s="211"/>
      <c r="Z140" s="305"/>
      <c r="AA140" s="211"/>
      <c r="AB140" s="211"/>
      <c r="AC140" s="211"/>
      <c r="AD140" s="211"/>
      <c r="AE140" s="211"/>
      <c r="AF140" s="211"/>
      <c r="AI140" s="211"/>
      <c r="AJ140" s="211"/>
      <c r="AK140" s="212"/>
      <c r="AL140" s="211"/>
      <c r="AM140" s="210"/>
      <c r="AN140" s="210"/>
    </row>
    <row r="141" spans="1:40" x14ac:dyDescent="0.25">
      <c r="A141" s="202"/>
      <c r="C141" s="154"/>
      <c r="F141" s="200"/>
      <c r="H141" s="200"/>
      <c r="I141" s="200"/>
      <c r="J141" s="213"/>
      <c r="K141" s="213"/>
      <c r="L141" s="200"/>
      <c r="M141" s="200"/>
      <c r="N141" s="210"/>
      <c r="O141" s="210"/>
      <c r="P141" s="200"/>
      <c r="Q141" s="200"/>
      <c r="R141" s="200"/>
      <c r="T141" s="154"/>
      <c r="V141" s="200"/>
      <c r="Y141" s="200"/>
      <c r="Z141" s="213"/>
      <c r="AA141" s="200"/>
      <c r="AB141" s="200"/>
      <c r="AC141" s="210"/>
      <c r="AD141" s="210"/>
      <c r="AE141" s="200"/>
      <c r="AF141" s="200"/>
      <c r="AG141" s="209"/>
      <c r="AH141" s="201"/>
      <c r="AI141" s="200"/>
      <c r="AJ141" s="200"/>
      <c r="AK141" s="209"/>
      <c r="AL141" s="200"/>
      <c r="AM141" s="210"/>
      <c r="AN141" s="210"/>
    </row>
    <row r="142" spans="1:40" x14ac:dyDescent="0.25">
      <c r="A142" s="202"/>
      <c r="C142" s="154"/>
      <c r="F142" s="200"/>
      <c r="H142" s="200"/>
      <c r="I142" s="200"/>
      <c r="J142" s="213"/>
      <c r="K142" s="213"/>
      <c r="L142" s="200"/>
      <c r="M142" s="200"/>
      <c r="N142" s="210"/>
      <c r="O142" s="210"/>
      <c r="P142" s="200"/>
      <c r="Q142" s="200"/>
      <c r="R142" s="200"/>
      <c r="T142" s="154"/>
      <c r="V142" s="200"/>
      <c r="Y142" s="200"/>
      <c r="Z142" s="213"/>
      <c r="AA142" s="200"/>
      <c r="AB142" s="200"/>
      <c r="AC142" s="210"/>
      <c r="AD142" s="210"/>
      <c r="AE142" s="200"/>
      <c r="AF142" s="200"/>
      <c r="AG142" s="209"/>
      <c r="AH142" s="201"/>
      <c r="AI142" s="200"/>
      <c r="AJ142" s="200"/>
      <c r="AK142" s="209"/>
      <c r="AL142" s="200"/>
      <c r="AM142" s="210"/>
      <c r="AN142" s="210"/>
    </row>
    <row r="143" spans="1:40" x14ac:dyDescent="0.25">
      <c r="F143" s="211"/>
      <c r="H143" s="211"/>
      <c r="I143" s="211"/>
      <c r="J143" s="305"/>
      <c r="K143" s="305"/>
      <c r="L143" s="211"/>
      <c r="M143" s="211"/>
      <c r="N143" s="211"/>
      <c r="O143" s="211"/>
      <c r="P143" s="211"/>
      <c r="Q143" s="211"/>
      <c r="R143" s="211"/>
      <c r="V143" s="211"/>
      <c r="Y143" s="211"/>
      <c r="Z143" s="305"/>
      <c r="AA143" s="211"/>
      <c r="AB143" s="211"/>
      <c r="AC143" s="211"/>
      <c r="AD143" s="211"/>
      <c r="AE143" s="211"/>
      <c r="AF143" s="211"/>
      <c r="AI143" s="211"/>
      <c r="AJ143" s="211"/>
      <c r="AK143" s="212"/>
      <c r="AL143" s="211"/>
      <c r="AM143" s="200"/>
      <c r="AN143" s="200"/>
    </row>
    <row r="144" spans="1:40" x14ac:dyDescent="0.25">
      <c r="F144" s="200"/>
      <c r="H144" s="200"/>
      <c r="I144" s="200"/>
      <c r="J144" s="213"/>
      <c r="K144" s="213"/>
      <c r="L144" s="200"/>
      <c r="M144" s="200"/>
      <c r="N144" s="200"/>
      <c r="O144" s="200"/>
      <c r="P144" s="200"/>
      <c r="Q144" s="200"/>
      <c r="R144" s="200"/>
      <c r="V144" s="200"/>
      <c r="Y144" s="200"/>
      <c r="Z144" s="213"/>
      <c r="AA144" s="200"/>
      <c r="AB144" s="200"/>
      <c r="AC144" s="200"/>
      <c r="AD144" s="200"/>
    </row>
    <row r="145" spans="1:40" x14ac:dyDescent="0.25">
      <c r="C145" s="154"/>
      <c r="F145" s="200"/>
      <c r="H145" s="200"/>
      <c r="I145" s="200"/>
      <c r="J145" s="213"/>
      <c r="K145" s="213"/>
      <c r="L145" s="200"/>
      <c r="M145" s="200"/>
      <c r="N145" s="200"/>
      <c r="O145" s="200"/>
      <c r="P145" s="200"/>
      <c r="Q145" s="200"/>
      <c r="R145" s="200"/>
      <c r="T145" s="154"/>
      <c r="V145" s="200"/>
      <c r="Y145" s="200"/>
      <c r="Z145" s="213"/>
      <c r="AA145" s="200"/>
      <c r="AB145" s="200"/>
      <c r="AC145" s="200"/>
      <c r="AD145" s="200"/>
    </row>
    <row r="146" spans="1:40" x14ac:dyDescent="0.25">
      <c r="A146" s="154"/>
    </row>
    <row r="147" spans="1:40" x14ac:dyDescent="0.25">
      <c r="J147" s="202"/>
      <c r="K147" s="202"/>
      <c r="Z147" s="202"/>
    </row>
    <row r="148" spans="1:40" x14ac:dyDescent="0.25">
      <c r="H148" s="154"/>
      <c r="I148" s="154"/>
      <c r="Y148" s="154"/>
    </row>
    <row r="149" spans="1:40" x14ac:dyDescent="0.25">
      <c r="J149" s="202"/>
      <c r="K149" s="202"/>
      <c r="Z149" s="202"/>
    </row>
    <row r="150" spans="1:40" x14ac:dyDescent="0.25">
      <c r="L150" s="154"/>
      <c r="M150" s="154"/>
      <c r="AA150" s="154"/>
      <c r="AB150" s="154"/>
    </row>
    <row r="151" spans="1:40" x14ac:dyDescent="0.25">
      <c r="A151" s="202"/>
      <c r="R151" s="154"/>
      <c r="AK151" s="297"/>
      <c r="AL151" s="154"/>
    </row>
    <row r="152" spans="1:40" x14ac:dyDescent="0.25">
      <c r="A152" s="202"/>
      <c r="R152" s="154"/>
      <c r="AK152" s="297"/>
      <c r="AL152" s="154"/>
    </row>
    <row r="153" spans="1:40" x14ac:dyDescent="0.25">
      <c r="A153" s="154"/>
      <c r="R153" s="154"/>
      <c r="AK153" s="297"/>
      <c r="AL153" s="154"/>
    </row>
    <row r="154" spans="1:40" x14ac:dyDescent="0.25">
      <c r="L154" s="154"/>
      <c r="M154" s="154"/>
      <c r="R154" s="202"/>
      <c r="AA154" s="154"/>
      <c r="AB154" s="154"/>
      <c r="AK154" s="209"/>
      <c r="AL154" s="202"/>
    </row>
    <row r="155" spans="1:40" x14ac:dyDescent="0.2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208"/>
      <c r="AH155" s="102"/>
      <c r="AI155" s="102"/>
      <c r="AJ155" s="102"/>
      <c r="AK155" s="208"/>
      <c r="AL155" s="102"/>
      <c r="AM155" s="102"/>
      <c r="AN155" s="102"/>
    </row>
    <row r="156" spans="1:40" x14ac:dyDescent="0.25">
      <c r="L156" s="103"/>
      <c r="M156" s="103"/>
      <c r="N156" s="103"/>
      <c r="O156" s="103"/>
      <c r="R156" s="103"/>
      <c r="AA156" s="103"/>
      <c r="AB156" s="103"/>
      <c r="AC156" s="103"/>
      <c r="AD156" s="103"/>
      <c r="AE156" s="103"/>
      <c r="AF156" s="103"/>
      <c r="AG156" s="185"/>
      <c r="AH156" s="103"/>
      <c r="AK156" s="185"/>
      <c r="AL156" s="103"/>
      <c r="AM156" s="103"/>
      <c r="AN156" s="103"/>
    </row>
    <row r="157" spans="1:40" x14ac:dyDescent="0.25">
      <c r="L157" s="103"/>
      <c r="M157" s="103"/>
      <c r="N157" s="103"/>
      <c r="O157" s="103"/>
      <c r="R157" s="103"/>
      <c r="Z157" s="103"/>
      <c r="AA157" s="103"/>
      <c r="AB157" s="103"/>
      <c r="AC157" s="103"/>
      <c r="AD157" s="103"/>
      <c r="AE157" s="103"/>
      <c r="AF157" s="103"/>
      <c r="AG157" s="185"/>
      <c r="AH157" s="103"/>
      <c r="AK157" s="185"/>
      <c r="AL157" s="103"/>
      <c r="AM157" s="103"/>
      <c r="AN157" s="103"/>
    </row>
    <row r="158" spans="1:40" x14ac:dyDescent="0.25">
      <c r="A158" s="103"/>
      <c r="C158" s="103"/>
      <c r="D158" s="103"/>
      <c r="E158" s="103"/>
      <c r="F158" s="103"/>
      <c r="J158" s="103"/>
      <c r="K158" s="103"/>
      <c r="L158" s="103"/>
      <c r="M158" s="103"/>
      <c r="N158" s="103"/>
      <c r="O158" s="103"/>
      <c r="P158" s="103"/>
      <c r="Q158" s="103"/>
      <c r="R158" s="103"/>
      <c r="T158" s="103"/>
      <c r="U158" s="103"/>
      <c r="V158" s="103"/>
      <c r="Z158" s="103"/>
      <c r="AA158" s="103"/>
      <c r="AB158" s="103"/>
      <c r="AC158" s="103"/>
      <c r="AD158" s="103"/>
      <c r="AE158" s="103"/>
      <c r="AF158" s="103"/>
      <c r="AG158" s="185"/>
      <c r="AH158" s="103"/>
      <c r="AI158" s="103"/>
      <c r="AJ158" s="103"/>
      <c r="AK158" s="185"/>
      <c r="AL158" s="103"/>
      <c r="AM158" s="103"/>
      <c r="AN158" s="103"/>
    </row>
    <row r="159" spans="1:40" x14ac:dyDescent="0.25">
      <c r="A159" s="103"/>
      <c r="C159" s="103"/>
      <c r="D159" s="103"/>
      <c r="E159" s="103"/>
      <c r="F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T159" s="103"/>
      <c r="U159" s="103"/>
      <c r="V159" s="103"/>
      <c r="Y159" s="103"/>
      <c r="Z159" s="103"/>
      <c r="AA159" s="103"/>
      <c r="AB159" s="103"/>
      <c r="AC159" s="103"/>
      <c r="AD159" s="103"/>
      <c r="AE159" s="103"/>
      <c r="AF159" s="103"/>
      <c r="AG159" s="185"/>
      <c r="AH159" s="103"/>
      <c r="AI159" s="103"/>
      <c r="AJ159" s="103"/>
      <c r="AK159" s="185"/>
      <c r="AL159" s="103"/>
      <c r="AM159" s="103"/>
      <c r="AN159" s="103"/>
    </row>
    <row r="160" spans="1:40" x14ac:dyDescent="0.25">
      <c r="C160" s="103"/>
      <c r="D160" s="103"/>
      <c r="E160" s="103"/>
      <c r="F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T160" s="103"/>
      <c r="U160" s="103"/>
      <c r="V160" s="103"/>
      <c r="Y160" s="103"/>
      <c r="Z160" s="103"/>
      <c r="AA160" s="103"/>
      <c r="AB160" s="103"/>
      <c r="AC160" s="103"/>
      <c r="AD160" s="103"/>
      <c r="AE160" s="103"/>
      <c r="AF160" s="103"/>
      <c r="AG160" s="185"/>
      <c r="AH160" s="103"/>
      <c r="AI160" s="103"/>
      <c r="AJ160" s="103"/>
      <c r="AK160" s="185"/>
      <c r="AL160" s="103"/>
      <c r="AM160" s="103"/>
      <c r="AN160" s="103"/>
    </row>
    <row r="161" spans="1:40" x14ac:dyDescent="0.25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208"/>
      <c r="AH161" s="102"/>
      <c r="AI161" s="102"/>
      <c r="AJ161" s="102"/>
      <c r="AK161" s="208"/>
      <c r="AL161" s="102"/>
      <c r="AM161" s="102"/>
      <c r="AN161" s="102"/>
    </row>
    <row r="162" spans="1:40" x14ac:dyDescent="0.25"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Y162" s="103"/>
      <c r="Z162" s="103"/>
      <c r="AA162" s="103"/>
      <c r="AB162" s="103"/>
      <c r="AC162" s="103"/>
      <c r="AD162" s="103"/>
      <c r="AE162" s="103"/>
      <c r="AF162" s="103"/>
      <c r="AG162" s="185"/>
      <c r="AH162" s="103"/>
      <c r="AI162" s="103"/>
      <c r="AJ162" s="103"/>
      <c r="AK162" s="185"/>
      <c r="AL162" s="103"/>
      <c r="AM162" s="103"/>
      <c r="AN162" s="103"/>
    </row>
    <row r="163" spans="1:40" x14ac:dyDescent="0.25">
      <c r="A163" s="202"/>
      <c r="C163" s="154"/>
      <c r="D163" s="154"/>
      <c r="E163" s="154"/>
      <c r="T163" s="154"/>
      <c r="U163" s="154"/>
    </row>
    <row r="165" spans="1:40" x14ac:dyDescent="0.25">
      <c r="A165" s="202"/>
      <c r="C165" s="154"/>
      <c r="F165" s="252"/>
      <c r="H165" s="317"/>
      <c r="I165" s="317"/>
      <c r="J165" s="300"/>
      <c r="K165" s="300"/>
      <c r="L165" s="200"/>
      <c r="M165" s="200"/>
      <c r="N165" s="202"/>
      <c r="O165" s="202"/>
      <c r="P165" s="202"/>
      <c r="Q165" s="202"/>
      <c r="R165" s="200"/>
      <c r="T165" s="154"/>
      <c r="V165" s="200"/>
      <c r="Y165" s="202"/>
      <c r="Z165" s="300"/>
      <c r="AA165" s="200"/>
      <c r="AB165" s="200"/>
      <c r="AC165" s="202"/>
      <c r="AD165" s="202"/>
      <c r="AE165" s="200"/>
      <c r="AF165" s="200"/>
      <c r="AG165" s="325"/>
      <c r="AH165" s="326"/>
      <c r="AI165" s="200"/>
      <c r="AJ165" s="200"/>
      <c r="AK165" s="209"/>
      <c r="AL165" s="200"/>
      <c r="AM165" s="327"/>
      <c r="AN165" s="327"/>
    </row>
    <row r="166" spans="1:40" x14ac:dyDescent="0.25">
      <c r="F166" s="252"/>
      <c r="H166" s="317"/>
      <c r="I166" s="317"/>
      <c r="J166" s="317"/>
      <c r="K166" s="317"/>
      <c r="R166" s="200"/>
      <c r="V166" s="200"/>
      <c r="Z166" s="317"/>
    </row>
    <row r="167" spans="1:40" x14ac:dyDescent="0.25">
      <c r="A167" s="202"/>
      <c r="C167" s="154"/>
      <c r="F167" s="252"/>
      <c r="H167" s="252"/>
      <c r="I167" s="252"/>
      <c r="J167" s="320"/>
      <c r="K167" s="320"/>
      <c r="L167" s="200"/>
      <c r="M167" s="200"/>
      <c r="N167" s="210"/>
      <c r="O167" s="210"/>
      <c r="P167" s="252"/>
      <c r="Q167" s="252"/>
      <c r="R167" s="200"/>
      <c r="T167" s="154"/>
      <c r="V167" s="200"/>
      <c r="Y167" s="200"/>
      <c r="Z167" s="304"/>
      <c r="AA167" s="200"/>
      <c r="AB167" s="200"/>
      <c r="AC167" s="210"/>
      <c r="AD167" s="210"/>
      <c r="AE167" s="200"/>
      <c r="AF167" s="200"/>
      <c r="AG167" s="209"/>
      <c r="AH167" s="201"/>
      <c r="AI167" s="252"/>
      <c r="AJ167" s="252"/>
      <c r="AK167" s="209"/>
      <c r="AL167" s="200"/>
      <c r="AM167" s="210"/>
      <c r="AN167" s="210"/>
    </row>
    <row r="168" spans="1:40" x14ac:dyDescent="0.25">
      <c r="F168" s="211"/>
      <c r="H168" s="211"/>
      <c r="I168" s="211"/>
      <c r="J168" s="305"/>
      <c r="K168" s="305"/>
      <c r="L168" s="211"/>
      <c r="M168" s="211"/>
      <c r="N168" s="211"/>
      <c r="O168" s="211"/>
      <c r="P168" s="211"/>
      <c r="Q168" s="211"/>
      <c r="R168" s="211"/>
      <c r="V168" s="211"/>
      <c r="Y168" s="211"/>
      <c r="Z168" s="305"/>
      <c r="AA168" s="211"/>
      <c r="AB168" s="211"/>
      <c r="AC168" s="211"/>
      <c r="AD168" s="211"/>
      <c r="AE168" s="211"/>
      <c r="AF168" s="211"/>
      <c r="AI168" s="211"/>
      <c r="AJ168" s="211"/>
      <c r="AK168" s="212"/>
      <c r="AL168" s="211"/>
    </row>
    <row r="169" spans="1:40" x14ac:dyDescent="0.25">
      <c r="A169" s="202"/>
      <c r="D169" s="154"/>
      <c r="E169" s="154"/>
      <c r="F169" s="200"/>
      <c r="H169" s="200"/>
      <c r="I169" s="200"/>
      <c r="J169" s="213"/>
      <c r="K169" s="213"/>
      <c r="L169" s="200"/>
      <c r="M169" s="200"/>
      <c r="N169" s="210"/>
      <c r="O169" s="210"/>
      <c r="P169" s="200"/>
      <c r="Q169" s="200"/>
      <c r="R169" s="200"/>
      <c r="U169" s="154"/>
      <c r="V169" s="200"/>
      <c r="Y169" s="200"/>
      <c r="Z169" s="213"/>
      <c r="AA169" s="200"/>
      <c r="AB169" s="200"/>
      <c r="AC169" s="210"/>
      <c r="AD169" s="210"/>
      <c r="AE169" s="200"/>
      <c r="AF169" s="200"/>
      <c r="AG169" s="209"/>
      <c r="AH169" s="201"/>
      <c r="AI169" s="200"/>
      <c r="AJ169" s="200"/>
      <c r="AK169" s="209"/>
      <c r="AL169" s="200"/>
      <c r="AM169" s="210"/>
      <c r="AN169" s="210"/>
    </row>
    <row r="170" spans="1:40" x14ac:dyDescent="0.25">
      <c r="F170" s="211"/>
      <c r="H170" s="211"/>
      <c r="I170" s="211"/>
      <c r="J170" s="305"/>
      <c r="K170" s="305"/>
      <c r="L170" s="211"/>
      <c r="M170" s="211"/>
      <c r="N170" s="211"/>
      <c r="O170" s="211"/>
      <c r="P170" s="211"/>
      <c r="Q170" s="211"/>
      <c r="R170" s="211"/>
      <c r="V170" s="211"/>
      <c r="Y170" s="211"/>
      <c r="Z170" s="305"/>
      <c r="AA170" s="211"/>
      <c r="AB170" s="211"/>
      <c r="AC170" s="211"/>
      <c r="AD170" s="211"/>
      <c r="AE170" s="211"/>
      <c r="AF170" s="211"/>
      <c r="AI170" s="211"/>
      <c r="AJ170" s="211"/>
      <c r="AK170" s="212"/>
      <c r="AL170" s="211"/>
    </row>
    <row r="171" spans="1:40" x14ac:dyDescent="0.25">
      <c r="R171" s="200"/>
    </row>
    <row r="172" spans="1:40" x14ac:dyDescent="0.25">
      <c r="R172" s="200"/>
    </row>
    <row r="173" spans="1:40" x14ac:dyDescent="0.25">
      <c r="R173" s="200"/>
    </row>
    <row r="174" spans="1:40" x14ac:dyDescent="0.25">
      <c r="A174" s="202"/>
      <c r="C174" s="154"/>
      <c r="D174" s="154"/>
      <c r="E174" s="154"/>
      <c r="H174" s="200"/>
      <c r="I174" s="200"/>
      <c r="J174" s="213"/>
      <c r="K174" s="213"/>
      <c r="L174" s="200"/>
      <c r="M174" s="200"/>
      <c r="N174" s="210"/>
      <c r="O174" s="210"/>
      <c r="P174" s="200"/>
      <c r="Q174" s="200"/>
      <c r="R174" s="200"/>
      <c r="T174" s="154"/>
      <c r="U174" s="154"/>
      <c r="Y174" s="200"/>
      <c r="Z174" s="213"/>
      <c r="AA174" s="200"/>
      <c r="AB174" s="200"/>
      <c r="AC174" s="210"/>
      <c r="AD174" s="210"/>
    </row>
    <row r="175" spans="1:40" x14ac:dyDescent="0.25">
      <c r="H175" s="200"/>
      <c r="I175" s="200"/>
      <c r="J175" s="213"/>
      <c r="K175" s="213"/>
      <c r="L175" s="200"/>
      <c r="M175" s="200"/>
      <c r="N175" s="210"/>
      <c r="O175" s="210"/>
      <c r="P175" s="200"/>
      <c r="Q175" s="200"/>
      <c r="R175" s="200"/>
      <c r="Y175" s="200"/>
      <c r="Z175" s="213"/>
      <c r="AA175" s="200"/>
      <c r="AB175" s="200"/>
      <c r="AC175" s="210"/>
      <c r="AD175" s="210"/>
    </row>
    <row r="176" spans="1:40" x14ac:dyDescent="0.25">
      <c r="A176" s="202"/>
      <c r="C176" s="154"/>
      <c r="F176" s="252"/>
      <c r="H176" s="252"/>
      <c r="I176" s="252"/>
      <c r="J176" s="214"/>
      <c r="K176" s="214"/>
      <c r="L176" s="252"/>
      <c r="M176" s="252"/>
      <c r="N176" s="210"/>
      <c r="O176" s="210"/>
      <c r="P176" s="200"/>
      <c r="Q176" s="200"/>
      <c r="R176" s="200"/>
      <c r="T176" s="154"/>
      <c r="V176" s="200"/>
      <c r="Y176" s="200"/>
      <c r="Z176" s="214"/>
      <c r="AA176" s="200"/>
      <c r="AB176" s="200"/>
      <c r="AC176" s="210"/>
      <c r="AD176" s="210"/>
      <c r="AE176" s="200"/>
      <c r="AF176" s="200"/>
      <c r="AG176" s="209"/>
      <c r="AH176" s="201"/>
      <c r="AI176" s="200"/>
      <c r="AJ176" s="200"/>
      <c r="AK176" s="209"/>
      <c r="AL176" s="200"/>
      <c r="AM176" s="210"/>
      <c r="AN176" s="210"/>
    </row>
    <row r="177" spans="1:40" x14ac:dyDescent="0.25">
      <c r="F177" s="252"/>
      <c r="H177" s="317"/>
      <c r="I177" s="317"/>
      <c r="J177" s="317"/>
      <c r="K177" s="317"/>
      <c r="R177" s="200"/>
      <c r="V177" s="200"/>
      <c r="Z177" s="317"/>
    </row>
    <row r="178" spans="1:40" x14ac:dyDescent="0.25">
      <c r="A178" s="202"/>
      <c r="C178" s="154"/>
      <c r="F178" s="252"/>
      <c r="H178" s="252"/>
      <c r="I178" s="252"/>
      <c r="J178" s="300"/>
      <c r="K178" s="300"/>
      <c r="L178" s="200"/>
      <c r="M178" s="200"/>
      <c r="N178" s="210"/>
      <c r="O178" s="210"/>
      <c r="P178" s="200"/>
      <c r="Q178" s="200"/>
      <c r="R178" s="200"/>
      <c r="T178" s="154"/>
      <c r="V178" s="200"/>
      <c r="Y178" s="200"/>
      <c r="Z178" s="300"/>
      <c r="AA178" s="200"/>
      <c r="AB178" s="200"/>
      <c r="AC178" s="210"/>
      <c r="AD178" s="210"/>
      <c r="AE178" s="200"/>
      <c r="AF178" s="200"/>
      <c r="AG178" s="209"/>
      <c r="AH178" s="201"/>
      <c r="AI178" s="200"/>
      <c r="AJ178" s="200"/>
      <c r="AK178" s="209"/>
      <c r="AL178" s="200"/>
      <c r="AM178" s="210"/>
      <c r="AN178" s="210"/>
    </row>
    <row r="179" spans="1:40" x14ac:dyDescent="0.25">
      <c r="F179" s="252"/>
      <c r="H179" s="317"/>
      <c r="I179" s="317"/>
      <c r="J179" s="317"/>
      <c r="K179" s="317"/>
      <c r="R179" s="200"/>
      <c r="V179" s="200"/>
      <c r="Z179" s="317"/>
    </row>
    <row r="180" spans="1:40" x14ac:dyDescent="0.25">
      <c r="A180" s="202"/>
      <c r="C180" s="154"/>
      <c r="F180" s="252"/>
      <c r="H180" s="252"/>
      <c r="I180" s="252"/>
      <c r="J180" s="320"/>
      <c r="K180" s="320"/>
      <c r="L180" s="200"/>
      <c r="M180" s="200"/>
      <c r="N180" s="210"/>
      <c r="O180" s="210"/>
      <c r="P180" s="200"/>
      <c r="Q180" s="200"/>
      <c r="R180" s="200"/>
      <c r="T180" s="154"/>
      <c r="V180" s="200"/>
      <c r="Y180" s="200"/>
      <c r="Z180" s="304"/>
      <c r="AA180" s="200"/>
      <c r="AB180" s="200"/>
      <c r="AC180" s="210"/>
      <c r="AD180" s="210"/>
      <c r="AE180" s="200"/>
      <c r="AF180" s="200"/>
      <c r="AG180" s="209"/>
      <c r="AH180" s="201"/>
      <c r="AI180" s="200"/>
      <c r="AJ180" s="200"/>
      <c r="AK180" s="209"/>
      <c r="AL180" s="200"/>
      <c r="AM180" s="210"/>
      <c r="AN180" s="210"/>
    </row>
    <row r="181" spans="1:40" x14ac:dyDescent="0.25">
      <c r="F181" s="211"/>
      <c r="H181" s="211"/>
      <c r="I181" s="211"/>
      <c r="J181" s="305"/>
      <c r="K181" s="305"/>
      <c r="L181" s="211"/>
      <c r="M181" s="211"/>
      <c r="N181" s="211"/>
      <c r="O181" s="211"/>
      <c r="P181" s="211"/>
      <c r="Q181" s="211"/>
      <c r="R181" s="211"/>
      <c r="S181" s="200"/>
      <c r="V181" s="211"/>
      <c r="Y181" s="211"/>
      <c r="Z181" s="305"/>
      <c r="AA181" s="211"/>
      <c r="AB181" s="211"/>
      <c r="AC181" s="211"/>
      <c r="AD181" s="211"/>
      <c r="AE181" s="211"/>
      <c r="AF181" s="211"/>
      <c r="AI181" s="211"/>
      <c r="AJ181" s="211"/>
      <c r="AK181" s="212"/>
      <c r="AL181" s="211"/>
    </row>
    <row r="182" spans="1:40" x14ac:dyDescent="0.25">
      <c r="A182" s="202"/>
      <c r="D182" s="154"/>
      <c r="E182" s="154"/>
      <c r="F182" s="200"/>
      <c r="H182" s="200"/>
      <c r="I182" s="200"/>
      <c r="J182" s="213"/>
      <c r="K182" s="213"/>
      <c r="L182" s="200"/>
      <c r="M182" s="200"/>
      <c r="N182" s="210"/>
      <c r="O182" s="210"/>
      <c r="P182" s="252"/>
      <c r="Q182" s="252"/>
      <c r="R182" s="200"/>
      <c r="S182" s="200"/>
      <c r="U182" s="154"/>
      <c r="V182" s="200"/>
      <c r="Y182" s="200"/>
      <c r="Z182" s="213"/>
      <c r="AA182" s="200"/>
      <c r="AB182" s="200"/>
      <c r="AC182" s="210"/>
      <c r="AD182" s="210"/>
      <c r="AE182" s="200"/>
      <c r="AF182" s="200"/>
      <c r="AG182" s="209"/>
      <c r="AH182" s="201"/>
      <c r="AI182" s="252"/>
      <c r="AJ182" s="252"/>
      <c r="AK182" s="209"/>
      <c r="AL182" s="200"/>
      <c r="AM182" s="210"/>
      <c r="AN182" s="210"/>
    </row>
    <row r="183" spans="1:40" x14ac:dyDescent="0.25">
      <c r="F183" s="211"/>
      <c r="H183" s="211"/>
      <c r="I183" s="211"/>
      <c r="J183" s="305"/>
      <c r="K183" s="305"/>
      <c r="L183" s="211"/>
      <c r="M183" s="211"/>
      <c r="N183" s="211"/>
      <c r="O183" s="211"/>
      <c r="P183" s="211"/>
      <c r="Q183" s="211"/>
      <c r="R183" s="211"/>
      <c r="S183" s="200"/>
      <c r="V183" s="211"/>
      <c r="Y183" s="211"/>
      <c r="Z183" s="305"/>
      <c r="AA183" s="211"/>
      <c r="AB183" s="211"/>
      <c r="AC183" s="211"/>
      <c r="AD183" s="211"/>
      <c r="AE183" s="211"/>
      <c r="AF183" s="211"/>
      <c r="AI183" s="211"/>
      <c r="AJ183" s="211"/>
      <c r="AK183" s="212"/>
      <c r="AL183" s="211"/>
    </row>
    <row r="184" spans="1:40" x14ac:dyDescent="0.25">
      <c r="R184" s="200"/>
    </row>
    <row r="185" spans="1:40" x14ac:dyDescent="0.25">
      <c r="F185" s="200"/>
      <c r="H185" s="200"/>
      <c r="I185" s="200"/>
      <c r="J185" s="213"/>
      <c r="K185" s="213"/>
      <c r="L185" s="200"/>
      <c r="M185" s="200"/>
      <c r="N185" s="200"/>
      <c r="O185" s="200"/>
      <c r="P185" s="200"/>
      <c r="Q185" s="200"/>
      <c r="R185" s="200"/>
      <c r="V185" s="200"/>
      <c r="Y185" s="200"/>
      <c r="Z185" s="213"/>
      <c r="AA185" s="200"/>
      <c r="AB185" s="200"/>
      <c r="AC185" s="200"/>
      <c r="AD185" s="200"/>
    </row>
    <row r="186" spans="1:40" x14ac:dyDescent="0.25">
      <c r="C186" s="154"/>
      <c r="F186" s="200"/>
      <c r="H186" s="200"/>
      <c r="I186" s="200"/>
      <c r="J186" s="213"/>
      <c r="K186" s="213"/>
      <c r="L186" s="200"/>
      <c r="M186" s="200"/>
      <c r="N186" s="200"/>
      <c r="O186" s="200"/>
      <c r="P186" s="200"/>
      <c r="Q186" s="200"/>
      <c r="R186" s="200"/>
      <c r="T186" s="154"/>
      <c r="V186" s="200"/>
      <c r="Y186" s="200"/>
      <c r="Z186" s="213"/>
      <c r="AA186" s="200"/>
      <c r="AB186" s="200"/>
      <c r="AC186" s="200"/>
      <c r="AD186" s="200"/>
    </row>
    <row r="187" spans="1:40" x14ac:dyDescent="0.25">
      <c r="C187" s="154"/>
      <c r="T187" s="154"/>
    </row>
    <row r="188" spans="1:40" x14ac:dyDescent="0.25">
      <c r="A188" s="154"/>
    </row>
    <row r="190" spans="1:40" x14ac:dyDescent="0.25">
      <c r="J190" s="202"/>
      <c r="K190" s="202"/>
      <c r="Z190" s="202"/>
    </row>
    <row r="191" spans="1:40" x14ac:dyDescent="0.25">
      <c r="H191" s="154"/>
      <c r="I191" s="154"/>
      <c r="Y191" s="154"/>
    </row>
    <row r="192" spans="1:40" x14ac:dyDescent="0.25">
      <c r="J192" s="202"/>
      <c r="K192" s="202"/>
      <c r="Z192" s="202"/>
    </row>
    <row r="193" spans="1:40" x14ac:dyDescent="0.25">
      <c r="L193" s="154"/>
      <c r="M193" s="154"/>
      <c r="AA193" s="154"/>
      <c r="AB193" s="154"/>
    </row>
    <row r="194" spans="1:40" x14ac:dyDescent="0.25">
      <c r="A194" s="202"/>
      <c r="R194" s="154"/>
      <c r="AK194" s="297"/>
      <c r="AL194" s="154"/>
    </row>
    <row r="195" spans="1:40" x14ac:dyDescent="0.25">
      <c r="A195" s="202"/>
      <c r="R195" s="154"/>
      <c r="AK195" s="297"/>
      <c r="AL195" s="154"/>
    </row>
    <row r="196" spans="1:40" x14ac:dyDescent="0.25">
      <c r="A196" s="154"/>
      <c r="R196" s="154"/>
      <c r="AK196" s="297"/>
      <c r="AL196" s="154"/>
    </row>
    <row r="197" spans="1:40" x14ac:dyDescent="0.25">
      <c r="L197" s="154"/>
      <c r="M197" s="154"/>
      <c r="R197" s="202"/>
      <c r="AA197" s="154"/>
      <c r="AB197" s="154"/>
      <c r="AK197" s="209"/>
      <c r="AL197" s="202"/>
    </row>
    <row r="198" spans="1:40" x14ac:dyDescent="0.25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208"/>
      <c r="AH198" s="102"/>
      <c r="AI198" s="102"/>
      <c r="AJ198" s="102"/>
      <c r="AK198" s="208"/>
      <c r="AL198" s="102"/>
      <c r="AM198" s="102"/>
      <c r="AN198" s="102"/>
    </row>
    <row r="199" spans="1:40" x14ac:dyDescent="0.25">
      <c r="L199" s="103"/>
      <c r="M199" s="103"/>
      <c r="N199" s="103"/>
      <c r="O199" s="103"/>
      <c r="R199" s="103"/>
      <c r="AA199" s="103"/>
      <c r="AB199" s="103"/>
      <c r="AC199" s="103"/>
      <c r="AD199" s="103"/>
      <c r="AE199" s="103"/>
      <c r="AF199" s="103"/>
      <c r="AG199" s="185"/>
      <c r="AH199" s="103"/>
      <c r="AK199" s="185"/>
      <c r="AL199" s="103"/>
      <c r="AM199" s="103"/>
      <c r="AN199" s="103"/>
    </row>
    <row r="200" spans="1:40" x14ac:dyDescent="0.25">
      <c r="L200" s="103"/>
      <c r="M200" s="103"/>
      <c r="N200" s="103"/>
      <c r="O200" s="103"/>
      <c r="R200" s="103"/>
      <c r="Z200" s="103"/>
      <c r="AA200" s="103"/>
      <c r="AB200" s="103"/>
      <c r="AC200" s="103"/>
      <c r="AD200" s="103"/>
      <c r="AE200" s="103"/>
      <c r="AF200" s="103"/>
      <c r="AG200" s="185"/>
      <c r="AH200" s="103"/>
      <c r="AK200" s="185"/>
      <c r="AL200" s="103"/>
      <c r="AM200" s="103"/>
      <c r="AN200" s="103"/>
    </row>
    <row r="201" spans="1:40" x14ac:dyDescent="0.25">
      <c r="A201" s="103"/>
      <c r="C201" s="103"/>
      <c r="D201" s="103"/>
      <c r="E201" s="103"/>
      <c r="F201" s="103"/>
      <c r="J201" s="103"/>
      <c r="K201" s="103"/>
      <c r="L201" s="103"/>
      <c r="M201" s="103"/>
      <c r="N201" s="103"/>
      <c r="O201" s="103"/>
      <c r="P201" s="103"/>
      <c r="Q201" s="103"/>
      <c r="R201" s="103"/>
      <c r="T201" s="103"/>
      <c r="U201" s="103"/>
      <c r="V201" s="103"/>
      <c r="Z201" s="103"/>
      <c r="AA201" s="103"/>
      <c r="AB201" s="103"/>
      <c r="AC201" s="103"/>
      <c r="AD201" s="103"/>
      <c r="AE201" s="103"/>
      <c r="AF201" s="103"/>
      <c r="AG201" s="185"/>
      <c r="AH201" s="103"/>
      <c r="AI201" s="103"/>
      <c r="AJ201" s="103"/>
      <c r="AK201" s="185"/>
      <c r="AL201" s="103"/>
      <c r="AM201" s="103"/>
      <c r="AN201" s="103"/>
    </row>
    <row r="202" spans="1:40" x14ac:dyDescent="0.25">
      <c r="A202" s="103"/>
      <c r="C202" s="103"/>
      <c r="D202" s="103"/>
      <c r="E202" s="103"/>
      <c r="F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T202" s="103"/>
      <c r="U202" s="103"/>
      <c r="V202" s="103"/>
      <c r="Y202" s="103"/>
      <c r="Z202" s="103"/>
      <c r="AA202" s="103"/>
      <c r="AB202" s="103"/>
      <c r="AC202" s="103"/>
      <c r="AD202" s="103"/>
      <c r="AE202" s="103"/>
      <c r="AF202" s="103"/>
      <c r="AG202" s="185"/>
      <c r="AH202" s="103"/>
      <c r="AI202" s="103"/>
      <c r="AJ202" s="103"/>
      <c r="AK202" s="185"/>
      <c r="AL202" s="103"/>
      <c r="AM202" s="103"/>
      <c r="AN202" s="103"/>
    </row>
    <row r="203" spans="1:40" x14ac:dyDescent="0.25">
      <c r="C203" s="103"/>
      <c r="D203" s="103"/>
      <c r="E203" s="103"/>
      <c r="F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T203" s="103"/>
      <c r="U203" s="103"/>
      <c r="V203" s="103"/>
      <c r="Y203" s="103"/>
      <c r="Z203" s="103"/>
      <c r="AA203" s="103"/>
      <c r="AB203" s="103"/>
      <c r="AC203" s="103"/>
      <c r="AD203" s="103"/>
      <c r="AE203" s="103"/>
      <c r="AF203" s="103"/>
      <c r="AG203" s="185"/>
      <c r="AH203" s="103"/>
      <c r="AI203" s="103"/>
      <c r="AJ203" s="103"/>
      <c r="AK203" s="185"/>
      <c r="AL203" s="103"/>
      <c r="AM203" s="103"/>
      <c r="AN203" s="103"/>
    </row>
    <row r="204" spans="1:40" x14ac:dyDescent="0.25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208"/>
      <c r="AH204" s="102"/>
      <c r="AI204" s="102"/>
      <c r="AJ204" s="102"/>
      <c r="AK204" s="208"/>
      <c r="AL204" s="102"/>
      <c r="AM204" s="102"/>
      <c r="AN204" s="102"/>
    </row>
    <row r="205" spans="1:40" x14ac:dyDescent="0.25"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Y205" s="103"/>
      <c r="Z205" s="103"/>
      <c r="AA205" s="103"/>
      <c r="AB205" s="103"/>
      <c r="AC205" s="103"/>
      <c r="AD205" s="103"/>
      <c r="AE205" s="103"/>
      <c r="AF205" s="103"/>
      <c r="AG205" s="185"/>
      <c r="AH205" s="103"/>
      <c r="AI205" s="103"/>
      <c r="AJ205" s="103"/>
      <c r="AK205" s="185"/>
      <c r="AL205" s="103"/>
      <c r="AM205" s="103"/>
      <c r="AN205" s="103"/>
    </row>
    <row r="206" spans="1:40" x14ac:dyDescent="0.25">
      <c r="A206" s="202"/>
      <c r="C206" s="154"/>
      <c r="D206" s="154"/>
      <c r="E206" s="154"/>
      <c r="T206" s="154"/>
      <c r="U206" s="154"/>
    </row>
    <row r="207" spans="1:40" x14ac:dyDescent="0.25">
      <c r="A207" s="202"/>
      <c r="D207" s="154"/>
      <c r="E207" s="154"/>
      <c r="U207" s="154"/>
    </row>
    <row r="209" spans="1:40" x14ac:dyDescent="0.25">
      <c r="A209" s="202"/>
      <c r="C209" s="154"/>
      <c r="F209" s="200"/>
      <c r="J209" s="215"/>
      <c r="K209" s="215"/>
      <c r="L209" s="200"/>
      <c r="M209" s="200"/>
      <c r="R209" s="200"/>
      <c r="T209" s="154"/>
      <c r="V209" s="200"/>
      <c r="Z209" s="215"/>
      <c r="AA209" s="200"/>
      <c r="AB209" s="200"/>
      <c r="AK209" s="209"/>
      <c r="AL209" s="200"/>
    </row>
    <row r="210" spans="1:40" x14ac:dyDescent="0.25">
      <c r="F210" s="200"/>
      <c r="R210" s="200"/>
      <c r="V210" s="200"/>
      <c r="AK210" s="209"/>
      <c r="AL210" s="200"/>
    </row>
    <row r="211" spans="1:40" x14ac:dyDescent="0.25">
      <c r="A211" s="202"/>
      <c r="C211" s="154"/>
      <c r="F211" s="252"/>
      <c r="H211" s="252"/>
      <c r="I211" s="252"/>
      <c r="J211" s="300"/>
      <c r="K211" s="300"/>
      <c r="L211" s="200"/>
      <c r="M211" s="200"/>
      <c r="N211" s="210"/>
      <c r="O211" s="210"/>
      <c r="P211" s="200"/>
      <c r="Q211" s="200"/>
      <c r="R211" s="200"/>
      <c r="T211" s="154"/>
      <c r="V211" s="200"/>
      <c r="Y211" s="200"/>
      <c r="Z211" s="300"/>
      <c r="AA211" s="200"/>
      <c r="AB211" s="200"/>
      <c r="AC211" s="210"/>
      <c r="AD211" s="210"/>
      <c r="AE211" s="200"/>
      <c r="AF211" s="200"/>
      <c r="AG211" s="209"/>
      <c r="AH211" s="201"/>
      <c r="AI211" s="200"/>
      <c r="AJ211" s="200"/>
      <c r="AK211" s="209"/>
      <c r="AL211" s="200"/>
      <c r="AM211" s="210"/>
      <c r="AN211" s="210"/>
    </row>
    <row r="212" spans="1:40" x14ac:dyDescent="0.25">
      <c r="A212" s="202"/>
      <c r="C212" s="154"/>
      <c r="F212" s="252"/>
      <c r="H212" s="317"/>
      <c r="I212" s="317"/>
      <c r="J212" s="300"/>
      <c r="K212" s="300"/>
      <c r="L212" s="200"/>
      <c r="M212" s="200"/>
      <c r="N212" s="210"/>
      <c r="O212" s="210"/>
      <c r="P212" s="200"/>
      <c r="Q212" s="200"/>
      <c r="R212" s="200"/>
      <c r="T212" s="154"/>
      <c r="V212" s="200"/>
      <c r="Y212" s="200"/>
      <c r="Z212" s="300"/>
      <c r="AA212" s="200"/>
      <c r="AB212" s="200"/>
      <c r="AC212" s="210"/>
      <c r="AD212" s="210"/>
      <c r="AE212" s="200"/>
      <c r="AF212" s="200"/>
      <c r="AG212" s="209"/>
      <c r="AH212" s="201"/>
      <c r="AI212" s="200"/>
      <c r="AJ212" s="200"/>
      <c r="AK212" s="209"/>
      <c r="AL212" s="200"/>
      <c r="AM212" s="210"/>
      <c r="AN212" s="210"/>
    </row>
    <row r="213" spans="1:40" x14ac:dyDescent="0.25">
      <c r="F213" s="211"/>
      <c r="H213" s="200"/>
      <c r="I213" s="200"/>
      <c r="J213" s="305"/>
      <c r="K213" s="305"/>
      <c r="L213" s="211"/>
      <c r="M213" s="211"/>
      <c r="N213" s="211"/>
      <c r="O213" s="211"/>
      <c r="P213" s="211"/>
      <c r="Q213" s="211"/>
      <c r="R213" s="211"/>
      <c r="V213" s="211"/>
      <c r="Y213" s="200"/>
      <c r="Z213" s="305"/>
      <c r="AA213" s="211"/>
      <c r="AB213" s="211"/>
      <c r="AC213" s="211"/>
      <c r="AD213" s="211"/>
      <c r="AE213" s="211"/>
      <c r="AF213" s="211"/>
      <c r="AI213" s="211"/>
      <c r="AJ213" s="211"/>
      <c r="AK213" s="212"/>
      <c r="AL213" s="211"/>
    </row>
    <row r="214" spans="1:40" x14ac:dyDescent="0.25">
      <c r="A214" s="202"/>
      <c r="C214" s="154"/>
      <c r="F214" s="200"/>
      <c r="H214" s="200"/>
      <c r="I214" s="200"/>
      <c r="J214" s="213"/>
      <c r="K214" s="213"/>
      <c r="L214" s="200"/>
      <c r="M214" s="200"/>
      <c r="N214" s="210"/>
      <c r="O214" s="210"/>
      <c r="P214" s="200"/>
      <c r="Q214" s="200"/>
      <c r="R214" s="200"/>
      <c r="T214" s="154"/>
      <c r="V214" s="200"/>
      <c r="Y214" s="200"/>
      <c r="Z214" s="213"/>
      <c r="AA214" s="200"/>
      <c r="AB214" s="200"/>
      <c r="AC214" s="210"/>
      <c r="AD214" s="210"/>
      <c r="AE214" s="200"/>
      <c r="AF214" s="200"/>
      <c r="AG214" s="209"/>
      <c r="AH214" s="201"/>
      <c r="AI214" s="200"/>
      <c r="AJ214" s="200"/>
      <c r="AK214" s="209"/>
      <c r="AL214" s="200"/>
      <c r="AM214" s="210"/>
      <c r="AN214" s="210"/>
    </row>
    <row r="215" spans="1:40" x14ac:dyDescent="0.25">
      <c r="F215" s="211"/>
      <c r="H215" s="200"/>
      <c r="I215" s="200"/>
      <c r="J215" s="305"/>
      <c r="K215" s="305"/>
      <c r="L215" s="211"/>
      <c r="M215" s="211"/>
      <c r="N215" s="211"/>
      <c r="O215" s="211"/>
      <c r="P215" s="211"/>
      <c r="Q215" s="211"/>
      <c r="R215" s="211"/>
      <c r="V215" s="211"/>
      <c r="Y215" s="200"/>
      <c r="Z215" s="305"/>
      <c r="AA215" s="211"/>
      <c r="AB215" s="211"/>
      <c r="AC215" s="211"/>
      <c r="AD215" s="211"/>
      <c r="AE215" s="211"/>
      <c r="AF215" s="211"/>
      <c r="AI215" s="211"/>
      <c r="AJ215" s="211"/>
      <c r="AK215" s="212"/>
      <c r="AL215" s="211"/>
    </row>
    <row r="216" spans="1:40" x14ac:dyDescent="0.25">
      <c r="F216" s="200"/>
      <c r="R216" s="200"/>
      <c r="V216" s="200"/>
      <c r="AK216" s="209"/>
      <c r="AL216" s="200"/>
    </row>
    <row r="217" spans="1:40" x14ac:dyDescent="0.25">
      <c r="A217" s="202"/>
      <c r="C217" s="154"/>
      <c r="F217" s="200"/>
      <c r="R217" s="200"/>
      <c r="T217" s="154"/>
      <c r="V217" s="200"/>
      <c r="AK217" s="209"/>
      <c r="AL217" s="200"/>
    </row>
    <row r="218" spans="1:40" x14ac:dyDescent="0.25">
      <c r="F218" s="200"/>
      <c r="R218" s="200"/>
      <c r="V218" s="200"/>
      <c r="AK218" s="209"/>
      <c r="AL218" s="200"/>
    </row>
    <row r="219" spans="1:40" x14ac:dyDescent="0.25">
      <c r="A219" s="202"/>
      <c r="C219" s="154"/>
      <c r="F219" s="200"/>
      <c r="H219" s="252"/>
      <c r="I219" s="252"/>
      <c r="J219" s="320"/>
      <c r="K219" s="320"/>
      <c r="L219" s="200"/>
      <c r="M219" s="200"/>
      <c r="N219" s="210"/>
      <c r="O219" s="210"/>
      <c r="P219" s="252"/>
      <c r="Q219" s="252"/>
      <c r="R219" s="200"/>
      <c r="T219" s="154"/>
      <c r="V219" s="200"/>
      <c r="Y219" s="200"/>
      <c r="Z219" s="304"/>
      <c r="AA219" s="200"/>
      <c r="AB219" s="200"/>
      <c r="AC219" s="210"/>
      <c r="AD219" s="210"/>
      <c r="AE219" s="200"/>
      <c r="AF219" s="200"/>
      <c r="AG219" s="209"/>
      <c r="AH219" s="201"/>
      <c r="AI219" s="252"/>
      <c r="AJ219" s="252"/>
      <c r="AK219" s="209"/>
      <c r="AL219" s="200"/>
      <c r="AM219" s="210"/>
      <c r="AN219" s="210"/>
    </row>
    <row r="220" spans="1:40" x14ac:dyDescent="0.25">
      <c r="H220" s="211"/>
      <c r="I220" s="211"/>
      <c r="J220" s="305"/>
      <c r="K220" s="305"/>
      <c r="L220" s="211"/>
      <c r="M220" s="211"/>
      <c r="N220" s="211"/>
      <c r="O220" s="211"/>
      <c r="P220" s="211"/>
      <c r="Q220" s="211"/>
      <c r="R220" s="211"/>
      <c r="V220" s="211"/>
      <c r="Y220" s="211"/>
      <c r="Z220" s="305"/>
      <c r="AA220" s="211"/>
      <c r="AB220" s="211"/>
      <c r="AC220" s="211"/>
      <c r="AD220" s="211"/>
      <c r="AE220" s="211"/>
      <c r="AF220" s="211"/>
      <c r="AI220" s="211"/>
      <c r="AJ220" s="211"/>
      <c r="AK220" s="212"/>
      <c r="AL220" s="211"/>
    </row>
    <row r="221" spans="1:40" x14ac:dyDescent="0.25">
      <c r="F221" s="211"/>
    </row>
    <row r="222" spans="1:40" x14ac:dyDescent="0.25">
      <c r="A222" s="202"/>
      <c r="C222" s="154"/>
      <c r="F222" s="200"/>
      <c r="H222" s="200"/>
      <c r="I222" s="200"/>
      <c r="J222" s="215"/>
      <c r="K222" s="215"/>
      <c r="L222" s="200"/>
      <c r="M222" s="200"/>
      <c r="N222" s="210"/>
      <c r="O222" s="210"/>
      <c r="P222" s="200"/>
      <c r="Q222" s="200"/>
      <c r="R222" s="200"/>
      <c r="T222" s="154"/>
      <c r="V222" s="200"/>
      <c r="Y222" s="200"/>
      <c r="Z222" s="215"/>
      <c r="AA222" s="200"/>
      <c r="AB222" s="200"/>
      <c r="AC222" s="210"/>
      <c r="AD222" s="210"/>
      <c r="AE222" s="200"/>
      <c r="AF222" s="200"/>
      <c r="AG222" s="209"/>
      <c r="AH222" s="201"/>
      <c r="AI222" s="200"/>
      <c r="AJ222" s="200"/>
      <c r="AK222" s="209"/>
      <c r="AL222" s="200"/>
      <c r="AM222" s="210"/>
      <c r="AN222" s="210"/>
    </row>
    <row r="223" spans="1:40" x14ac:dyDescent="0.25">
      <c r="F223" s="211"/>
      <c r="H223" s="211"/>
      <c r="I223" s="211"/>
      <c r="J223" s="305"/>
      <c r="K223" s="305"/>
      <c r="L223" s="211"/>
      <c r="M223" s="211"/>
      <c r="N223" s="211"/>
      <c r="O223" s="211"/>
      <c r="P223" s="211"/>
      <c r="Q223" s="211"/>
      <c r="R223" s="211"/>
      <c r="V223" s="211"/>
      <c r="Y223" s="211"/>
      <c r="Z223" s="305"/>
      <c r="AA223" s="211"/>
      <c r="AB223" s="211"/>
      <c r="AC223" s="211"/>
      <c r="AD223" s="211"/>
      <c r="AE223" s="211"/>
      <c r="AF223" s="211"/>
      <c r="AI223" s="211"/>
      <c r="AJ223" s="211"/>
      <c r="AK223" s="212"/>
      <c r="AL223" s="211"/>
    </row>
    <row r="224" spans="1:40" x14ac:dyDescent="0.25">
      <c r="R224" s="200"/>
      <c r="AG224" s="209"/>
      <c r="AH224" s="200"/>
    </row>
    <row r="225" spans="1:40" x14ac:dyDescent="0.25">
      <c r="F225" s="200"/>
      <c r="H225" s="200"/>
      <c r="I225" s="200"/>
      <c r="J225" s="213"/>
      <c r="K225" s="213"/>
      <c r="L225" s="200"/>
      <c r="M225" s="200"/>
      <c r="N225" s="200"/>
      <c r="O225" s="200"/>
      <c r="P225" s="200"/>
      <c r="Q225" s="200"/>
      <c r="R225" s="200"/>
      <c r="V225" s="200"/>
      <c r="Y225" s="200"/>
      <c r="Z225" s="213"/>
      <c r="AA225" s="200"/>
      <c r="AB225" s="200"/>
      <c r="AC225" s="200"/>
      <c r="AD225" s="200"/>
      <c r="AE225" s="200"/>
      <c r="AF225" s="200"/>
      <c r="AG225" s="209"/>
      <c r="AH225" s="200"/>
    </row>
    <row r="226" spans="1:40" x14ac:dyDescent="0.25">
      <c r="C226" s="154"/>
      <c r="F226" s="200"/>
      <c r="H226" s="200"/>
      <c r="I226" s="200"/>
      <c r="J226" s="213"/>
      <c r="K226" s="213"/>
      <c r="L226" s="200"/>
      <c r="M226" s="200"/>
      <c r="N226" s="200"/>
      <c r="O226" s="200"/>
      <c r="P226" s="200"/>
      <c r="Q226" s="200"/>
      <c r="R226" s="200"/>
      <c r="T226" s="154"/>
      <c r="V226" s="200"/>
      <c r="Y226" s="200"/>
      <c r="Z226" s="213"/>
      <c r="AA226" s="200"/>
      <c r="AB226" s="200"/>
      <c r="AC226" s="200"/>
      <c r="AD226" s="200"/>
      <c r="AE226" s="200"/>
      <c r="AF226" s="200"/>
      <c r="AG226" s="209"/>
      <c r="AH226" s="200"/>
    </row>
    <row r="227" spans="1:40" x14ac:dyDescent="0.25">
      <c r="A227" s="154"/>
    </row>
    <row r="229" spans="1:40" x14ac:dyDescent="0.25">
      <c r="J229" s="202"/>
      <c r="K229" s="202"/>
      <c r="Z229" s="202"/>
    </row>
    <row r="230" spans="1:40" x14ac:dyDescent="0.25">
      <c r="H230" s="154"/>
      <c r="I230" s="154"/>
      <c r="Y230" s="154"/>
    </row>
    <row r="231" spans="1:40" x14ac:dyDescent="0.25">
      <c r="J231" s="202"/>
      <c r="K231" s="202"/>
      <c r="Z231" s="202"/>
    </row>
    <row r="232" spans="1:40" x14ac:dyDescent="0.25">
      <c r="L232" s="154"/>
      <c r="M232" s="154"/>
      <c r="AA232" s="154"/>
      <c r="AB232" s="154"/>
    </row>
    <row r="233" spans="1:40" x14ac:dyDescent="0.25">
      <c r="A233" s="202"/>
      <c r="R233" s="154"/>
      <c r="AK233" s="297"/>
      <c r="AL233" s="154"/>
    </row>
    <row r="234" spans="1:40" x14ac:dyDescent="0.25">
      <c r="A234" s="202"/>
      <c r="R234" s="154"/>
      <c r="AK234" s="297"/>
      <c r="AL234" s="154"/>
    </row>
    <row r="235" spans="1:40" x14ac:dyDescent="0.25">
      <c r="A235" s="154"/>
      <c r="R235" s="154"/>
      <c r="AK235" s="297"/>
      <c r="AL235" s="154"/>
    </row>
    <row r="236" spans="1:40" x14ac:dyDescent="0.25">
      <c r="L236" s="154"/>
      <c r="M236" s="154"/>
      <c r="R236" s="202"/>
      <c r="AA236" s="154"/>
      <c r="AB236" s="154"/>
      <c r="AK236" s="209"/>
      <c r="AL236" s="202"/>
    </row>
    <row r="237" spans="1:40" x14ac:dyDescent="0.2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208"/>
      <c r="AH237" s="102"/>
      <c r="AI237" s="102"/>
      <c r="AJ237" s="102"/>
      <c r="AK237" s="208"/>
      <c r="AL237" s="102"/>
      <c r="AM237" s="102"/>
      <c r="AN237" s="102"/>
    </row>
    <row r="238" spans="1:40" x14ac:dyDescent="0.25">
      <c r="L238" s="103"/>
      <c r="M238" s="103"/>
      <c r="N238" s="103"/>
      <c r="O238" s="103"/>
      <c r="R238" s="103"/>
      <c r="AA238" s="103"/>
      <c r="AB238" s="103"/>
      <c r="AC238" s="103"/>
      <c r="AD238" s="103"/>
      <c r="AE238" s="103"/>
      <c r="AF238" s="103"/>
      <c r="AG238" s="185"/>
      <c r="AH238" s="103"/>
      <c r="AK238" s="185"/>
      <c r="AL238" s="103"/>
      <c r="AM238" s="103"/>
      <c r="AN238" s="103"/>
    </row>
    <row r="239" spans="1:40" x14ac:dyDescent="0.25">
      <c r="L239" s="103"/>
      <c r="M239" s="103"/>
      <c r="N239" s="103"/>
      <c r="O239" s="103"/>
      <c r="R239" s="103"/>
      <c r="Z239" s="103"/>
      <c r="AA239" s="103"/>
      <c r="AB239" s="103"/>
      <c r="AC239" s="103"/>
      <c r="AD239" s="103"/>
      <c r="AE239" s="103"/>
      <c r="AF239" s="103"/>
      <c r="AG239" s="185"/>
      <c r="AH239" s="103"/>
      <c r="AK239" s="185"/>
      <c r="AL239" s="103"/>
      <c r="AM239" s="103"/>
      <c r="AN239" s="103"/>
    </row>
    <row r="240" spans="1:40" x14ac:dyDescent="0.25">
      <c r="A240" s="103"/>
      <c r="C240" s="103"/>
      <c r="D240" s="103"/>
      <c r="E240" s="103"/>
      <c r="F240" s="103"/>
      <c r="J240" s="103"/>
      <c r="K240" s="103"/>
      <c r="L240" s="103"/>
      <c r="M240" s="103"/>
      <c r="N240" s="103"/>
      <c r="O240" s="103"/>
      <c r="P240" s="103"/>
      <c r="Q240" s="103"/>
      <c r="R240" s="103"/>
      <c r="T240" s="103"/>
      <c r="U240" s="103"/>
      <c r="V240" s="103"/>
      <c r="Z240" s="103"/>
      <c r="AA240" s="103"/>
      <c r="AB240" s="103"/>
      <c r="AC240" s="103"/>
      <c r="AD240" s="103"/>
      <c r="AE240" s="103"/>
      <c r="AF240" s="103"/>
      <c r="AG240" s="185"/>
      <c r="AH240" s="103"/>
      <c r="AI240" s="103"/>
      <c r="AJ240" s="103"/>
      <c r="AK240" s="185"/>
      <c r="AL240" s="103"/>
      <c r="AM240" s="103"/>
      <c r="AN240" s="103"/>
    </row>
    <row r="241" spans="1:40" x14ac:dyDescent="0.25">
      <c r="A241" s="103"/>
      <c r="C241" s="103"/>
      <c r="D241" s="103"/>
      <c r="E241" s="103"/>
      <c r="F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T241" s="103"/>
      <c r="U241" s="103"/>
      <c r="V241" s="103"/>
      <c r="Y241" s="103"/>
      <c r="Z241" s="103"/>
      <c r="AA241" s="103"/>
      <c r="AB241" s="103"/>
      <c r="AC241" s="103"/>
      <c r="AD241" s="103"/>
      <c r="AE241" s="103"/>
      <c r="AF241" s="103"/>
      <c r="AG241" s="185"/>
      <c r="AH241" s="103"/>
      <c r="AI241" s="103"/>
      <c r="AJ241" s="103"/>
      <c r="AK241" s="185"/>
      <c r="AL241" s="103"/>
      <c r="AM241" s="103"/>
      <c r="AN241" s="103"/>
    </row>
    <row r="242" spans="1:40" x14ac:dyDescent="0.25">
      <c r="C242" s="103"/>
      <c r="D242" s="103"/>
      <c r="E242" s="103"/>
      <c r="F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T242" s="103"/>
      <c r="U242" s="103"/>
      <c r="V242" s="103"/>
      <c r="Y242" s="103"/>
      <c r="Z242" s="103"/>
      <c r="AA242" s="103"/>
      <c r="AB242" s="103"/>
      <c r="AC242" s="103"/>
      <c r="AD242" s="103"/>
      <c r="AE242" s="103"/>
      <c r="AF242" s="103"/>
      <c r="AG242" s="185"/>
      <c r="AH242" s="103"/>
      <c r="AI242" s="103"/>
      <c r="AJ242" s="103"/>
      <c r="AK242" s="185"/>
      <c r="AL242" s="103"/>
      <c r="AM242" s="103"/>
      <c r="AN242" s="103"/>
    </row>
    <row r="243" spans="1:40" x14ac:dyDescent="0.25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208"/>
      <c r="AH243" s="102"/>
      <c r="AI243" s="102"/>
      <c r="AJ243" s="102"/>
      <c r="AK243" s="208"/>
      <c r="AL243" s="102"/>
      <c r="AM243" s="102"/>
      <c r="AN243" s="102"/>
    </row>
    <row r="244" spans="1:40" x14ac:dyDescent="0.25"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Y244" s="103"/>
      <c r="Z244" s="103"/>
      <c r="AA244" s="103"/>
      <c r="AB244" s="103"/>
      <c r="AC244" s="103"/>
      <c r="AD244" s="103"/>
      <c r="AE244" s="103"/>
      <c r="AF244" s="103"/>
      <c r="AG244" s="185"/>
      <c r="AH244" s="103"/>
      <c r="AI244" s="103"/>
      <c r="AJ244" s="103"/>
      <c r="AK244" s="185"/>
      <c r="AL244" s="103"/>
      <c r="AM244" s="103"/>
      <c r="AN244" s="103"/>
    </row>
    <row r="245" spans="1:40" x14ac:dyDescent="0.25">
      <c r="A245" s="202"/>
      <c r="C245" s="154"/>
      <c r="D245" s="154"/>
      <c r="E245" s="154"/>
      <c r="T245" s="154"/>
      <c r="U245" s="154"/>
    </row>
    <row r="246" spans="1:40" x14ac:dyDescent="0.25">
      <c r="A246" s="202"/>
      <c r="C246" s="154"/>
      <c r="T246" s="154"/>
    </row>
    <row r="248" spans="1:40" x14ac:dyDescent="0.25">
      <c r="A248" s="202"/>
      <c r="C248" s="154"/>
      <c r="F248" s="252"/>
      <c r="H248" s="252"/>
      <c r="I248" s="252"/>
      <c r="J248" s="300"/>
      <c r="K248" s="300"/>
      <c r="L248" s="200"/>
      <c r="M248" s="200"/>
      <c r="N248" s="210"/>
      <c r="O248" s="210"/>
      <c r="P248" s="202"/>
      <c r="Q248" s="202"/>
      <c r="R248" s="200"/>
      <c r="T248" s="154"/>
      <c r="V248" s="200"/>
      <c r="Y248" s="252"/>
      <c r="Z248" s="300"/>
      <c r="AA248" s="200"/>
      <c r="AB248" s="200"/>
      <c r="AC248" s="210"/>
      <c r="AD248" s="210"/>
      <c r="AE248" s="200"/>
      <c r="AF248" s="200"/>
      <c r="AG248" s="209"/>
      <c r="AH248" s="201"/>
      <c r="AI248" s="202"/>
      <c r="AJ248" s="202"/>
      <c r="AK248" s="209"/>
      <c r="AL248" s="200"/>
      <c r="AM248" s="210"/>
      <c r="AN248" s="210"/>
    </row>
    <row r="249" spans="1:40" x14ac:dyDescent="0.25">
      <c r="F249" s="211"/>
      <c r="H249" s="200"/>
      <c r="I249" s="200"/>
      <c r="J249" s="305"/>
      <c r="K249" s="305"/>
      <c r="L249" s="211"/>
      <c r="M249" s="211"/>
      <c r="N249" s="211"/>
      <c r="O249" s="211"/>
      <c r="P249" s="211"/>
      <c r="Q249" s="211"/>
      <c r="R249" s="211"/>
      <c r="V249" s="211"/>
      <c r="Y249" s="200"/>
      <c r="Z249" s="305"/>
      <c r="AA249" s="211"/>
      <c r="AB249" s="211"/>
      <c r="AC249" s="211"/>
      <c r="AD249" s="211"/>
      <c r="AE249" s="211"/>
      <c r="AF249" s="211"/>
      <c r="AI249" s="211"/>
      <c r="AJ249" s="211"/>
      <c r="AK249" s="212"/>
      <c r="AL249" s="211"/>
      <c r="AM249" s="210"/>
      <c r="AN249" s="210"/>
    </row>
    <row r="250" spans="1:40" x14ac:dyDescent="0.25">
      <c r="A250" s="202"/>
      <c r="C250" s="154"/>
      <c r="F250" s="252"/>
      <c r="H250" s="252"/>
      <c r="I250" s="252"/>
      <c r="J250" s="328"/>
      <c r="K250" s="328"/>
      <c r="L250" s="200"/>
      <c r="M250" s="200"/>
      <c r="N250" s="210"/>
      <c r="O250" s="210"/>
      <c r="P250" s="200"/>
      <c r="Q250" s="200"/>
      <c r="R250" s="200"/>
      <c r="S250" s="200"/>
      <c r="T250" s="154"/>
      <c r="V250" s="252"/>
      <c r="Y250" s="252"/>
      <c r="Z250" s="328"/>
      <c r="AA250" s="200"/>
      <c r="AB250" s="200"/>
      <c r="AC250" s="210"/>
      <c r="AD250" s="210"/>
      <c r="AE250" s="200"/>
      <c r="AF250" s="200"/>
      <c r="AG250" s="209"/>
      <c r="AH250" s="210"/>
      <c r="AI250" s="200"/>
      <c r="AJ250" s="200"/>
      <c r="AK250" s="209"/>
      <c r="AL250" s="200"/>
      <c r="AM250" s="210"/>
      <c r="AN250" s="210"/>
    </row>
    <row r="251" spans="1:40" x14ac:dyDescent="0.25">
      <c r="A251" s="202"/>
      <c r="C251" s="154"/>
      <c r="F251" s="252"/>
      <c r="H251" s="252"/>
      <c r="I251" s="252"/>
      <c r="J251" s="300"/>
      <c r="K251" s="300"/>
      <c r="L251" s="200"/>
      <c r="M251" s="200"/>
      <c r="N251" s="210"/>
      <c r="O251" s="210"/>
      <c r="P251" s="200"/>
      <c r="Q251" s="200"/>
      <c r="R251" s="200"/>
      <c r="T251" s="154"/>
      <c r="V251" s="252"/>
      <c r="Y251" s="200"/>
      <c r="Z251" s="300"/>
      <c r="AA251" s="200"/>
      <c r="AB251" s="200"/>
      <c r="AC251" s="210"/>
      <c r="AD251" s="210"/>
      <c r="AE251" s="200"/>
      <c r="AF251" s="200"/>
      <c r="AG251" s="209"/>
      <c r="AH251" s="201"/>
      <c r="AI251" s="200"/>
      <c r="AJ251" s="200"/>
      <c r="AK251" s="209"/>
      <c r="AL251" s="200"/>
      <c r="AM251" s="210"/>
      <c r="AN251" s="210"/>
    </row>
    <row r="252" spans="1:40" x14ac:dyDescent="0.25">
      <c r="A252" s="202"/>
      <c r="C252" s="154"/>
      <c r="F252" s="252"/>
      <c r="H252" s="252"/>
      <c r="I252" s="252"/>
      <c r="J252" s="300"/>
      <c r="K252" s="300"/>
      <c r="L252" s="200"/>
      <c r="M252" s="200"/>
      <c r="N252" s="210"/>
      <c r="O252" s="210"/>
      <c r="P252" s="200"/>
      <c r="Q252" s="200"/>
      <c r="R252" s="200"/>
      <c r="T252" s="154"/>
      <c r="V252" s="252"/>
      <c r="Y252" s="200"/>
      <c r="Z252" s="300"/>
      <c r="AA252" s="200"/>
      <c r="AB252" s="200"/>
      <c r="AC252" s="210"/>
      <c r="AD252" s="210"/>
      <c r="AE252" s="200"/>
      <c r="AF252" s="200"/>
      <c r="AG252" s="209"/>
      <c r="AH252" s="201"/>
      <c r="AI252" s="200"/>
      <c r="AJ252" s="200"/>
      <c r="AK252" s="209"/>
      <c r="AL252" s="200"/>
      <c r="AM252" s="210"/>
      <c r="AN252" s="210"/>
    </row>
    <row r="253" spans="1:40" x14ac:dyDescent="0.25">
      <c r="F253" s="211"/>
      <c r="H253" s="211"/>
      <c r="I253" s="211"/>
      <c r="J253" s="305"/>
      <c r="K253" s="305"/>
      <c r="L253" s="211"/>
      <c r="M253" s="211"/>
      <c r="N253" s="211"/>
      <c r="O253" s="211"/>
      <c r="P253" s="211"/>
      <c r="Q253" s="211"/>
      <c r="R253" s="211"/>
      <c r="V253" s="211"/>
      <c r="Y253" s="211"/>
      <c r="Z253" s="305"/>
      <c r="AA253" s="211"/>
      <c r="AB253" s="211"/>
      <c r="AC253" s="211"/>
      <c r="AD253" s="211"/>
      <c r="AE253" s="211"/>
      <c r="AF253" s="211"/>
      <c r="AI253" s="211"/>
      <c r="AJ253" s="211"/>
      <c r="AK253" s="212"/>
      <c r="AL253" s="211"/>
      <c r="AM253" s="210"/>
      <c r="AN253" s="210"/>
    </row>
    <row r="254" spans="1:40" x14ac:dyDescent="0.25">
      <c r="A254" s="202"/>
      <c r="C254" s="154"/>
      <c r="F254" s="200"/>
      <c r="H254" s="200"/>
      <c r="I254" s="200"/>
      <c r="J254" s="213"/>
      <c r="K254" s="213"/>
      <c r="L254" s="200"/>
      <c r="M254" s="200"/>
      <c r="N254" s="210"/>
      <c r="O254" s="210"/>
      <c r="P254" s="200"/>
      <c r="Q254" s="200"/>
      <c r="R254" s="200"/>
      <c r="T254" s="154"/>
      <c r="V254" s="200"/>
      <c r="Y254" s="200"/>
      <c r="Z254" s="213"/>
      <c r="AA254" s="200"/>
      <c r="AB254" s="200"/>
      <c r="AC254" s="210"/>
      <c r="AD254" s="210"/>
      <c r="AE254" s="200"/>
      <c r="AF254" s="200"/>
      <c r="AG254" s="209"/>
      <c r="AH254" s="201"/>
      <c r="AI254" s="200"/>
      <c r="AJ254" s="200"/>
      <c r="AK254" s="209"/>
      <c r="AL254" s="200"/>
      <c r="AM254" s="210"/>
      <c r="AN254" s="210"/>
    </row>
    <row r="255" spans="1:40" x14ac:dyDescent="0.25">
      <c r="F255" s="211"/>
      <c r="H255" s="211"/>
      <c r="I255" s="211"/>
      <c r="J255" s="305"/>
      <c r="K255" s="305"/>
      <c r="L255" s="211"/>
      <c r="M255" s="211"/>
      <c r="N255" s="211"/>
      <c r="O255" s="211"/>
      <c r="P255" s="211"/>
      <c r="Q255" s="211"/>
      <c r="R255" s="211"/>
      <c r="V255" s="211"/>
      <c r="Y255" s="211"/>
      <c r="Z255" s="305"/>
      <c r="AA255" s="211"/>
      <c r="AB255" s="211"/>
      <c r="AC255" s="211"/>
      <c r="AD255" s="211"/>
      <c r="AE255" s="211"/>
      <c r="AF255" s="211"/>
      <c r="AI255" s="211"/>
      <c r="AJ255" s="211"/>
      <c r="AK255" s="212"/>
      <c r="AL255" s="211"/>
      <c r="AM255" s="210"/>
      <c r="AN255" s="210"/>
    </row>
    <row r="256" spans="1:40" x14ac:dyDescent="0.25">
      <c r="A256" s="202"/>
      <c r="C256" s="154"/>
      <c r="F256" s="200"/>
      <c r="H256" s="200"/>
      <c r="I256" s="200"/>
      <c r="J256" s="213"/>
      <c r="K256" s="213"/>
      <c r="L256" s="200"/>
      <c r="M256" s="200"/>
      <c r="N256" s="210"/>
      <c r="O256" s="210"/>
      <c r="P256" s="200"/>
      <c r="Q256" s="200"/>
      <c r="R256" s="200"/>
      <c r="T256" s="154"/>
      <c r="V256" s="200"/>
      <c r="Y256" s="200"/>
      <c r="Z256" s="213"/>
      <c r="AA256" s="200"/>
      <c r="AB256" s="200"/>
      <c r="AC256" s="210"/>
      <c r="AD256" s="210"/>
      <c r="AE256" s="200"/>
      <c r="AF256" s="200"/>
      <c r="AG256" s="209"/>
      <c r="AH256" s="201"/>
      <c r="AI256" s="200"/>
      <c r="AJ256" s="200"/>
      <c r="AK256" s="209"/>
      <c r="AL256" s="200"/>
      <c r="AM256" s="210"/>
      <c r="AN256" s="210"/>
    </row>
    <row r="257" spans="1:40" x14ac:dyDescent="0.25">
      <c r="A257" s="202"/>
      <c r="C257" s="154"/>
      <c r="F257" s="200"/>
      <c r="H257" s="252"/>
      <c r="I257" s="252"/>
      <c r="J257" s="320"/>
      <c r="K257" s="320"/>
      <c r="L257" s="200"/>
      <c r="M257" s="200"/>
      <c r="N257" s="210"/>
      <c r="O257" s="210"/>
      <c r="P257" s="200"/>
      <c r="Q257" s="200"/>
      <c r="R257" s="200"/>
      <c r="T257" s="154"/>
      <c r="V257" s="200"/>
      <c r="Y257" s="200"/>
      <c r="Z257" s="304"/>
      <c r="AA257" s="200"/>
      <c r="AB257" s="200"/>
      <c r="AC257" s="210"/>
      <c r="AD257" s="210"/>
      <c r="AE257" s="200"/>
      <c r="AF257" s="200"/>
      <c r="AG257" s="209"/>
      <c r="AH257" s="201"/>
      <c r="AI257" s="200"/>
      <c r="AJ257" s="200"/>
      <c r="AK257" s="209"/>
      <c r="AL257" s="200"/>
      <c r="AM257" s="210"/>
      <c r="AN257" s="210"/>
    </row>
    <row r="258" spans="1:40" x14ac:dyDescent="0.25">
      <c r="H258" s="211"/>
      <c r="I258" s="211"/>
      <c r="J258" s="305"/>
      <c r="K258" s="305"/>
      <c r="L258" s="211"/>
      <c r="M258" s="211"/>
      <c r="N258" s="211"/>
      <c r="O258" s="211"/>
      <c r="P258" s="211"/>
      <c r="Q258" s="211"/>
      <c r="R258" s="211"/>
      <c r="V258" s="211"/>
      <c r="Y258" s="211"/>
      <c r="Z258" s="305"/>
      <c r="AA258" s="211"/>
      <c r="AB258" s="211"/>
      <c r="AC258" s="211"/>
      <c r="AD258" s="211"/>
      <c r="AE258" s="211"/>
      <c r="AF258" s="211"/>
      <c r="AI258" s="211"/>
      <c r="AJ258" s="211"/>
      <c r="AK258" s="212"/>
      <c r="AL258" s="211"/>
      <c r="AM258" s="210"/>
      <c r="AN258" s="210"/>
    </row>
    <row r="259" spans="1:40" x14ac:dyDescent="0.25">
      <c r="F259" s="211"/>
    </row>
    <row r="260" spans="1:40" x14ac:dyDescent="0.25">
      <c r="A260" s="202"/>
      <c r="C260" s="154"/>
      <c r="F260" s="200"/>
      <c r="H260" s="200"/>
      <c r="I260" s="200"/>
      <c r="J260" s="305"/>
      <c r="K260" s="305"/>
      <c r="L260" s="200"/>
      <c r="M260" s="200"/>
      <c r="N260" s="210"/>
      <c r="O260" s="210"/>
      <c r="P260" s="200"/>
      <c r="Q260" s="200"/>
      <c r="R260" s="200"/>
      <c r="S260" s="200"/>
      <c r="T260" s="154"/>
      <c r="V260" s="200"/>
      <c r="Y260" s="200"/>
      <c r="Z260" s="305"/>
      <c r="AA260" s="200"/>
      <c r="AB260" s="200"/>
      <c r="AC260" s="210"/>
      <c r="AD260" s="210"/>
      <c r="AE260" s="200"/>
      <c r="AF260" s="200"/>
      <c r="AG260" s="209"/>
      <c r="AH260" s="210"/>
      <c r="AI260" s="200"/>
      <c r="AJ260" s="200"/>
      <c r="AK260" s="209"/>
      <c r="AL260" s="200"/>
      <c r="AM260" s="210"/>
      <c r="AN260" s="210"/>
    </row>
    <row r="261" spans="1:40" x14ac:dyDescent="0.25">
      <c r="F261" s="211"/>
      <c r="H261" s="211"/>
      <c r="I261" s="211"/>
      <c r="J261" s="305"/>
      <c r="K261" s="305"/>
      <c r="L261" s="211"/>
      <c r="M261" s="211"/>
      <c r="N261" s="211"/>
      <c r="O261" s="211"/>
      <c r="P261" s="211"/>
      <c r="Q261" s="211"/>
      <c r="R261" s="211"/>
      <c r="S261" s="200"/>
      <c r="V261" s="211"/>
      <c r="Y261" s="211"/>
      <c r="Z261" s="305"/>
      <c r="AA261" s="211"/>
      <c r="AB261" s="211"/>
      <c r="AC261" s="211"/>
      <c r="AD261" s="211"/>
      <c r="AE261" s="211"/>
      <c r="AF261" s="211"/>
      <c r="AI261" s="211"/>
      <c r="AJ261" s="211"/>
      <c r="AK261" s="212"/>
      <c r="AL261" s="211"/>
      <c r="AM261" s="210"/>
      <c r="AN261" s="210"/>
    </row>
    <row r="262" spans="1:40" x14ac:dyDescent="0.25">
      <c r="A262" s="202"/>
      <c r="C262" s="154"/>
      <c r="H262" s="252"/>
      <c r="I262" s="252"/>
      <c r="J262" s="305"/>
      <c r="K262" s="305"/>
      <c r="L262" s="200"/>
      <c r="M262" s="200"/>
      <c r="N262" s="210"/>
      <c r="O262" s="210"/>
      <c r="P262" s="200"/>
      <c r="Q262" s="200"/>
      <c r="R262" s="200"/>
      <c r="S262" s="200"/>
      <c r="T262" s="154"/>
      <c r="V262" s="252"/>
      <c r="Y262" s="252"/>
      <c r="Z262" s="305"/>
      <c r="AA262" s="200"/>
      <c r="AB262" s="200"/>
      <c r="AC262" s="210"/>
      <c r="AD262" s="210"/>
      <c r="AE262" s="200"/>
      <c r="AF262" s="200"/>
      <c r="AI262" s="200"/>
      <c r="AJ262" s="200"/>
      <c r="AK262" s="209"/>
      <c r="AL262" s="200"/>
      <c r="AM262" s="210"/>
      <c r="AN262" s="210"/>
    </row>
    <row r="263" spans="1:40" x14ac:dyDescent="0.25">
      <c r="F263" s="252"/>
    </row>
    <row r="264" spans="1:40" x14ac:dyDescent="0.25">
      <c r="A264" s="202"/>
      <c r="C264" s="154"/>
      <c r="F264" s="252"/>
      <c r="H264" s="252"/>
      <c r="I264" s="252"/>
      <c r="J264" s="300"/>
      <c r="K264" s="300"/>
      <c r="L264" s="200"/>
      <c r="M264" s="200"/>
      <c r="N264" s="210"/>
      <c r="O264" s="210"/>
      <c r="P264" s="202"/>
      <c r="Q264" s="202"/>
      <c r="R264" s="200"/>
      <c r="T264" s="154"/>
      <c r="V264" s="200"/>
      <c r="Y264" s="252"/>
      <c r="Z264" s="300"/>
      <c r="AA264" s="200"/>
      <c r="AB264" s="200"/>
      <c r="AC264" s="210"/>
      <c r="AD264" s="210"/>
      <c r="AE264" s="200"/>
      <c r="AF264" s="200"/>
      <c r="AG264" s="209"/>
      <c r="AH264" s="201"/>
      <c r="AI264" s="202"/>
      <c r="AJ264" s="202"/>
      <c r="AK264" s="209"/>
      <c r="AL264" s="200"/>
      <c r="AM264" s="210"/>
      <c r="AN264" s="210"/>
    </row>
    <row r="265" spans="1:40" x14ac:dyDescent="0.25">
      <c r="F265" s="211"/>
      <c r="H265" s="200"/>
      <c r="I265" s="200"/>
      <c r="J265" s="305"/>
      <c r="K265" s="305"/>
      <c r="L265" s="211"/>
      <c r="M265" s="211"/>
      <c r="N265" s="211"/>
      <c r="O265" s="211"/>
      <c r="P265" s="211"/>
      <c r="Q265" s="211"/>
      <c r="R265" s="211"/>
      <c r="V265" s="211"/>
      <c r="Y265" s="200"/>
      <c r="Z265" s="305"/>
      <c r="AA265" s="211"/>
      <c r="AB265" s="211"/>
      <c r="AC265" s="211"/>
      <c r="AD265" s="211"/>
      <c r="AE265" s="211"/>
      <c r="AF265" s="211"/>
      <c r="AI265" s="211"/>
      <c r="AJ265" s="211"/>
      <c r="AK265" s="212"/>
      <c r="AL265" s="211"/>
      <c r="AM265" s="210"/>
      <c r="AN265" s="210"/>
    </row>
    <row r="266" spans="1:40" x14ac:dyDescent="0.25">
      <c r="A266" s="202"/>
      <c r="C266" s="154"/>
      <c r="F266" s="252"/>
      <c r="H266" s="252"/>
      <c r="I266" s="252"/>
      <c r="J266" s="328"/>
      <c r="K266" s="328"/>
      <c r="L266" s="200"/>
      <c r="M266" s="200"/>
      <c r="N266" s="210"/>
      <c r="O266" s="210"/>
      <c r="P266" s="200"/>
      <c r="Q266" s="200"/>
      <c r="R266" s="200"/>
      <c r="S266" s="200"/>
      <c r="T266" s="154"/>
      <c r="V266" s="252"/>
      <c r="Y266" s="252"/>
      <c r="Z266" s="328"/>
      <c r="AA266" s="200"/>
      <c r="AB266" s="200"/>
      <c r="AC266" s="210"/>
      <c r="AD266" s="210"/>
      <c r="AE266" s="200"/>
      <c r="AF266" s="200"/>
      <c r="AG266" s="209"/>
      <c r="AH266" s="210"/>
      <c r="AI266" s="200"/>
      <c r="AJ266" s="200"/>
      <c r="AK266" s="209"/>
      <c r="AL266" s="200"/>
      <c r="AM266" s="210"/>
      <c r="AN266" s="210"/>
    </row>
    <row r="267" spans="1:40" x14ac:dyDescent="0.25">
      <c r="A267" s="202"/>
      <c r="C267" s="154"/>
      <c r="F267" s="252"/>
      <c r="H267" s="252"/>
      <c r="I267" s="252"/>
      <c r="J267" s="300"/>
      <c r="K267" s="300"/>
      <c r="L267" s="200"/>
      <c r="M267" s="200"/>
      <c r="N267" s="210"/>
      <c r="O267" s="210"/>
      <c r="P267" s="200"/>
      <c r="Q267" s="200"/>
      <c r="R267" s="200"/>
      <c r="T267" s="154"/>
      <c r="V267" s="252"/>
      <c r="Y267" s="200"/>
      <c r="Z267" s="300"/>
      <c r="AA267" s="200"/>
      <c r="AB267" s="200"/>
      <c r="AC267" s="210"/>
      <c r="AD267" s="210"/>
      <c r="AE267" s="200"/>
      <c r="AF267" s="200"/>
      <c r="AG267" s="209"/>
      <c r="AH267" s="201"/>
      <c r="AI267" s="200"/>
      <c r="AJ267" s="200"/>
      <c r="AK267" s="209"/>
      <c r="AL267" s="200"/>
      <c r="AM267" s="210"/>
      <c r="AN267" s="210"/>
    </row>
    <row r="268" spans="1:40" x14ac:dyDescent="0.25">
      <c r="A268" s="202"/>
      <c r="C268" s="154"/>
      <c r="F268" s="252"/>
      <c r="H268" s="252"/>
      <c r="I268" s="252"/>
      <c r="J268" s="300"/>
      <c r="K268" s="300"/>
      <c r="L268" s="200"/>
      <c r="M268" s="200"/>
      <c r="N268" s="210"/>
      <c r="O268" s="210"/>
      <c r="P268" s="200"/>
      <c r="Q268" s="200"/>
      <c r="R268" s="200"/>
      <c r="T268" s="154"/>
      <c r="V268" s="252"/>
      <c r="Y268" s="200"/>
      <c r="Z268" s="300"/>
      <c r="AA268" s="200"/>
      <c r="AB268" s="200"/>
      <c r="AC268" s="210"/>
      <c r="AD268" s="210"/>
      <c r="AE268" s="200"/>
      <c r="AF268" s="200"/>
      <c r="AG268" s="209"/>
      <c r="AH268" s="201"/>
      <c r="AI268" s="200"/>
      <c r="AJ268" s="200"/>
      <c r="AK268" s="209"/>
      <c r="AL268" s="200"/>
      <c r="AM268" s="210"/>
      <c r="AN268" s="210"/>
    </row>
    <row r="269" spans="1:40" x14ac:dyDescent="0.25">
      <c r="F269" s="211"/>
      <c r="H269" s="211"/>
      <c r="I269" s="211"/>
      <c r="J269" s="305"/>
      <c r="K269" s="305"/>
      <c r="L269" s="211"/>
      <c r="M269" s="211"/>
      <c r="N269" s="211"/>
      <c r="O269" s="211"/>
      <c r="P269" s="211"/>
      <c r="Q269" s="211"/>
      <c r="R269" s="211"/>
      <c r="V269" s="211"/>
      <c r="Y269" s="211"/>
      <c r="Z269" s="305"/>
      <c r="AA269" s="211"/>
      <c r="AB269" s="211"/>
      <c r="AC269" s="211"/>
      <c r="AD269" s="211"/>
      <c r="AE269" s="211"/>
      <c r="AF269" s="211"/>
      <c r="AI269" s="211"/>
      <c r="AJ269" s="211"/>
      <c r="AK269" s="212"/>
      <c r="AL269" s="211"/>
      <c r="AM269" s="210"/>
      <c r="AN269" s="210"/>
    </row>
    <row r="270" spans="1:40" x14ac:dyDescent="0.25">
      <c r="A270" s="202"/>
      <c r="C270" s="154"/>
      <c r="F270" s="200"/>
      <c r="H270" s="200"/>
      <c r="I270" s="200"/>
      <c r="J270" s="213"/>
      <c r="K270" s="213"/>
      <c r="L270" s="200"/>
      <c r="M270" s="200"/>
      <c r="N270" s="210"/>
      <c r="O270" s="210"/>
      <c r="P270" s="200"/>
      <c r="Q270" s="200"/>
      <c r="R270" s="200"/>
      <c r="T270" s="154"/>
      <c r="V270" s="200"/>
      <c r="Y270" s="200"/>
      <c r="Z270" s="213"/>
      <c r="AA270" s="200"/>
      <c r="AB270" s="200"/>
      <c r="AC270" s="210"/>
      <c r="AD270" s="210"/>
      <c r="AE270" s="200"/>
      <c r="AF270" s="200"/>
      <c r="AG270" s="209"/>
      <c r="AH270" s="201"/>
      <c r="AI270" s="200"/>
      <c r="AJ270" s="200"/>
      <c r="AK270" s="209"/>
      <c r="AL270" s="200"/>
      <c r="AM270" s="210"/>
      <c r="AN270" s="210"/>
    </row>
    <row r="271" spans="1:40" x14ac:dyDescent="0.25">
      <c r="F271" s="211"/>
      <c r="H271" s="211"/>
      <c r="I271" s="211"/>
      <c r="J271" s="305"/>
      <c r="K271" s="305"/>
      <c r="L271" s="211"/>
      <c r="M271" s="211"/>
      <c r="N271" s="211"/>
      <c r="O271" s="211"/>
      <c r="P271" s="211"/>
      <c r="Q271" s="211"/>
      <c r="R271" s="211"/>
      <c r="V271" s="211"/>
      <c r="Y271" s="211"/>
      <c r="Z271" s="305"/>
      <c r="AA271" s="211"/>
      <c r="AB271" s="211"/>
      <c r="AC271" s="211"/>
      <c r="AD271" s="211"/>
      <c r="AE271" s="211"/>
      <c r="AF271" s="211"/>
      <c r="AI271" s="211"/>
      <c r="AJ271" s="211"/>
      <c r="AK271" s="212"/>
      <c r="AL271" s="211"/>
      <c r="AM271" s="210"/>
      <c r="AN271" s="210"/>
    </row>
    <row r="272" spans="1:40" x14ac:dyDescent="0.25">
      <c r="A272" s="202"/>
      <c r="C272" s="154"/>
      <c r="F272" s="200"/>
      <c r="H272" s="200"/>
      <c r="I272" s="200"/>
      <c r="J272" s="213"/>
      <c r="K272" s="213"/>
      <c r="L272" s="200"/>
      <c r="M272" s="200"/>
      <c r="N272" s="210"/>
      <c r="O272" s="210"/>
      <c r="P272" s="200"/>
      <c r="Q272" s="200"/>
      <c r="R272" s="200"/>
      <c r="T272" s="154"/>
      <c r="V272" s="200"/>
      <c r="Y272" s="200"/>
      <c r="Z272" s="213"/>
      <c r="AA272" s="200"/>
      <c r="AB272" s="200"/>
      <c r="AC272" s="210"/>
      <c r="AD272" s="210"/>
      <c r="AE272" s="200"/>
      <c r="AF272" s="200"/>
      <c r="AG272" s="209"/>
      <c r="AH272" s="201"/>
      <c r="AI272" s="200"/>
      <c r="AJ272" s="200"/>
      <c r="AK272" s="209"/>
      <c r="AL272" s="200"/>
      <c r="AM272" s="210"/>
      <c r="AN272" s="210"/>
    </row>
    <row r="273" spans="1:40" x14ac:dyDescent="0.25">
      <c r="A273" s="202"/>
      <c r="C273" s="154"/>
      <c r="F273" s="200"/>
      <c r="H273" s="252"/>
      <c r="I273" s="252"/>
      <c r="J273" s="320"/>
      <c r="K273" s="320"/>
      <c r="L273" s="200"/>
      <c r="M273" s="200"/>
      <c r="N273" s="210"/>
      <c r="O273" s="210"/>
      <c r="P273" s="200"/>
      <c r="Q273" s="200"/>
      <c r="R273" s="200"/>
      <c r="T273" s="154"/>
      <c r="V273" s="200"/>
      <c r="Y273" s="200"/>
      <c r="Z273" s="304"/>
      <c r="AA273" s="200"/>
      <c r="AB273" s="200"/>
      <c r="AC273" s="210"/>
      <c r="AD273" s="210"/>
      <c r="AE273" s="200"/>
      <c r="AF273" s="200"/>
      <c r="AG273" s="209"/>
      <c r="AH273" s="201"/>
      <c r="AI273" s="200"/>
      <c r="AJ273" s="200"/>
      <c r="AK273" s="209"/>
      <c r="AL273" s="200"/>
      <c r="AM273" s="210"/>
      <c r="AN273" s="210"/>
    </row>
    <row r="274" spans="1:40" x14ac:dyDescent="0.25">
      <c r="H274" s="211"/>
      <c r="I274" s="211"/>
      <c r="J274" s="305"/>
      <c r="K274" s="305"/>
      <c r="L274" s="211"/>
      <c r="M274" s="211"/>
      <c r="N274" s="211"/>
      <c r="O274" s="211"/>
      <c r="P274" s="211"/>
      <c r="Q274" s="211"/>
      <c r="R274" s="211"/>
      <c r="V274" s="211"/>
      <c r="Y274" s="211"/>
      <c r="Z274" s="305"/>
      <c r="AA274" s="211"/>
      <c r="AB274" s="211"/>
      <c r="AC274" s="211"/>
      <c r="AD274" s="211"/>
      <c r="AE274" s="211"/>
      <c r="AF274" s="211"/>
      <c r="AI274" s="211"/>
      <c r="AJ274" s="211"/>
      <c r="AK274" s="212"/>
      <c r="AL274" s="211"/>
      <c r="AM274" s="210"/>
      <c r="AN274" s="210"/>
    </row>
    <row r="275" spans="1:40" x14ac:dyDescent="0.25">
      <c r="F275" s="211"/>
    </row>
    <row r="276" spans="1:40" x14ac:dyDescent="0.25">
      <c r="A276" s="202"/>
      <c r="C276" s="154"/>
      <c r="F276" s="200"/>
      <c r="H276" s="200"/>
      <c r="I276" s="200"/>
      <c r="J276" s="305"/>
      <c r="K276" s="305"/>
      <c r="L276" s="200"/>
      <c r="M276" s="200"/>
      <c r="N276" s="210"/>
      <c r="O276" s="210"/>
      <c r="P276" s="200"/>
      <c r="Q276" s="200"/>
      <c r="R276" s="200"/>
      <c r="S276" s="200"/>
      <c r="T276" s="154"/>
      <c r="V276" s="200"/>
      <c r="Y276" s="200"/>
      <c r="Z276" s="305"/>
      <c r="AA276" s="200"/>
      <c r="AB276" s="200"/>
      <c r="AC276" s="210"/>
      <c r="AD276" s="210"/>
      <c r="AE276" s="200"/>
      <c r="AF276" s="200"/>
      <c r="AG276" s="209"/>
      <c r="AH276" s="210"/>
      <c r="AI276" s="200"/>
      <c r="AJ276" s="200"/>
      <c r="AK276" s="209"/>
      <c r="AL276" s="200"/>
      <c r="AM276" s="210"/>
      <c r="AN276" s="210"/>
    </row>
    <row r="277" spans="1:40" x14ac:dyDescent="0.25">
      <c r="F277" s="211"/>
      <c r="H277" s="211"/>
      <c r="I277" s="211"/>
      <c r="J277" s="305"/>
      <c r="K277" s="305"/>
      <c r="L277" s="211"/>
      <c r="M277" s="211"/>
      <c r="N277" s="211"/>
      <c r="O277" s="211"/>
      <c r="P277" s="211"/>
      <c r="Q277" s="211"/>
      <c r="R277" s="211"/>
      <c r="S277" s="200"/>
      <c r="V277" s="211"/>
      <c r="Y277" s="211"/>
      <c r="Z277" s="305"/>
      <c r="AA277" s="211"/>
      <c r="AB277" s="211"/>
      <c r="AC277" s="211"/>
      <c r="AD277" s="211"/>
      <c r="AE277" s="211"/>
      <c r="AF277" s="211"/>
      <c r="AI277" s="211"/>
      <c r="AJ277" s="211"/>
      <c r="AK277" s="212"/>
      <c r="AL277" s="211"/>
      <c r="AM277" s="210"/>
      <c r="AN277" s="210"/>
    </row>
    <row r="278" spans="1:40" x14ac:dyDescent="0.25">
      <c r="A278" s="202"/>
      <c r="C278" s="154"/>
      <c r="T278" s="154"/>
    </row>
    <row r="279" spans="1:40" x14ac:dyDescent="0.25">
      <c r="A279" s="202"/>
      <c r="C279" s="154"/>
      <c r="F279" s="200"/>
      <c r="H279" s="200"/>
      <c r="I279" s="200"/>
      <c r="L279" s="200"/>
      <c r="M279" s="200"/>
      <c r="N279" s="210"/>
      <c r="O279" s="210"/>
      <c r="P279" s="252"/>
      <c r="Q279" s="252"/>
      <c r="R279" s="200"/>
      <c r="T279" s="154"/>
      <c r="V279" s="200"/>
      <c r="Y279" s="200"/>
      <c r="AA279" s="200"/>
      <c r="AB279" s="200"/>
      <c r="AC279" s="210"/>
      <c r="AD279" s="210"/>
      <c r="AE279" s="200"/>
      <c r="AF279" s="200"/>
      <c r="AG279" s="209"/>
      <c r="AH279" s="210"/>
      <c r="AI279" s="252"/>
      <c r="AJ279" s="252"/>
      <c r="AK279" s="209"/>
      <c r="AL279" s="200"/>
      <c r="AM279" s="210"/>
      <c r="AN279" s="210"/>
    </row>
    <row r="280" spans="1:40" x14ac:dyDescent="0.25">
      <c r="H280" s="211"/>
      <c r="I280" s="211"/>
      <c r="J280" s="305"/>
      <c r="K280" s="305"/>
      <c r="L280" s="211"/>
      <c r="M280" s="211"/>
      <c r="N280" s="211"/>
      <c r="O280" s="211"/>
      <c r="P280" s="211"/>
      <c r="Q280" s="211"/>
      <c r="R280" s="211"/>
      <c r="V280" s="211"/>
      <c r="Y280" s="211"/>
      <c r="Z280" s="305"/>
      <c r="AA280" s="211"/>
      <c r="AB280" s="211"/>
      <c r="AC280" s="211"/>
      <c r="AD280" s="211"/>
      <c r="AE280" s="211"/>
      <c r="AF280" s="211"/>
      <c r="AI280" s="211"/>
      <c r="AJ280" s="211"/>
      <c r="AK280" s="212"/>
      <c r="AL280" s="211"/>
    </row>
    <row r="281" spans="1:40" x14ac:dyDescent="0.25">
      <c r="F281" s="211"/>
    </row>
    <row r="282" spans="1:40" x14ac:dyDescent="0.25">
      <c r="C282" s="154"/>
      <c r="L282" s="200"/>
      <c r="M282" s="200"/>
      <c r="N282" s="200"/>
      <c r="O282" s="200"/>
      <c r="P282" s="200"/>
      <c r="Q282" s="200"/>
      <c r="R282" s="200"/>
      <c r="S282" s="200"/>
      <c r="T282" s="154"/>
      <c r="AA282" s="200"/>
      <c r="AB282" s="200"/>
      <c r="AC282" s="200"/>
      <c r="AD282" s="200"/>
      <c r="AI282" s="200"/>
      <c r="AJ282" s="200"/>
      <c r="AK282" s="209"/>
      <c r="AL282" s="200"/>
    </row>
    <row r="283" spans="1:40" x14ac:dyDescent="0.25">
      <c r="A283" s="154"/>
    </row>
    <row r="284" spans="1:40" x14ac:dyDescent="0.25">
      <c r="J284" s="202"/>
      <c r="K284" s="202"/>
      <c r="Z284" s="202"/>
    </row>
    <row r="285" spans="1:40" x14ac:dyDescent="0.25">
      <c r="H285" s="154"/>
      <c r="I285" s="154"/>
      <c r="Y285" s="154"/>
    </row>
    <row r="286" spans="1:40" x14ac:dyDescent="0.25">
      <c r="J286" s="202"/>
      <c r="K286" s="202"/>
      <c r="Z286" s="202"/>
    </row>
    <row r="287" spans="1:40" x14ac:dyDescent="0.25">
      <c r="L287" s="154"/>
      <c r="M287" s="154"/>
      <c r="AA287" s="154"/>
      <c r="AB287" s="154"/>
    </row>
    <row r="288" spans="1:40" x14ac:dyDescent="0.25">
      <c r="A288" s="202"/>
      <c r="R288" s="154"/>
      <c r="AK288" s="297"/>
      <c r="AL288" s="154"/>
    </row>
    <row r="289" spans="1:40" x14ac:dyDescent="0.25">
      <c r="A289" s="202"/>
      <c r="R289" s="154"/>
      <c r="AK289" s="297"/>
      <c r="AL289" s="154"/>
    </row>
    <row r="290" spans="1:40" x14ac:dyDescent="0.25">
      <c r="A290" s="154"/>
      <c r="R290" s="154"/>
      <c r="AK290" s="297"/>
      <c r="AL290" s="154"/>
    </row>
    <row r="291" spans="1:40" x14ac:dyDescent="0.25">
      <c r="L291" s="154"/>
      <c r="M291" s="154"/>
      <c r="R291" s="202"/>
      <c r="AA291" s="154"/>
      <c r="AB291" s="154"/>
      <c r="AK291" s="209"/>
      <c r="AL291" s="202"/>
    </row>
    <row r="292" spans="1:40" x14ac:dyDescent="0.25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208"/>
      <c r="AH292" s="102"/>
      <c r="AI292" s="102"/>
      <c r="AJ292" s="102"/>
      <c r="AK292" s="208"/>
      <c r="AL292" s="102"/>
      <c r="AM292" s="102"/>
      <c r="AN292" s="102"/>
    </row>
    <row r="293" spans="1:40" x14ac:dyDescent="0.25">
      <c r="L293" s="103"/>
      <c r="M293" s="103"/>
      <c r="N293" s="103"/>
      <c r="O293" s="103"/>
      <c r="R293" s="103"/>
      <c r="AA293" s="103"/>
      <c r="AB293" s="103"/>
      <c r="AC293" s="103"/>
      <c r="AD293" s="103"/>
      <c r="AE293" s="103"/>
      <c r="AF293" s="103"/>
      <c r="AG293" s="185"/>
      <c r="AH293" s="103"/>
      <c r="AK293" s="185"/>
      <c r="AL293" s="103"/>
      <c r="AM293" s="103"/>
      <c r="AN293" s="103"/>
    </row>
    <row r="294" spans="1:40" x14ac:dyDescent="0.25">
      <c r="L294" s="103"/>
      <c r="M294" s="103"/>
      <c r="N294" s="103"/>
      <c r="O294" s="103"/>
      <c r="R294" s="103"/>
      <c r="Z294" s="103"/>
      <c r="AA294" s="103"/>
      <c r="AB294" s="103"/>
      <c r="AC294" s="103"/>
      <c r="AD294" s="103"/>
      <c r="AE294" s="103"/>
      <c r="AF294" s="103"/>
      <c r="AG294" s="185"/>
      <c r="AH294" s="103"/>
      <c r="AK294" s="185"/>
      <c r="AL294" s="103"/>
      <c r="AM294" s="103"/>
      <c r="AN294" s="103"/>
    </row>
    <row r="295" spans="1:40" x14ac:dyDescent="0.25">
      <c r="A295" s="103"/>
      <c r="C295" s="103"/>
      <c r="D295" s="103"/>
      <c r="E295" s="103"/>
      <c r="F295" s="103"/>
      <c r="J295" s="103"/>
      <c r="K295" s="103"/>
      <c r="L295" s="103"/>
      <c r="M295" s="103"/>
      <c r="N295" s="103"/>
      <c r="O295" s="103"/>
      <c r="P295" s="103"/>
      <c r="Q295" s="103"/>
      <c r="R295" s="103"/>
      <c r="T295" s="103"/>
      <c r="U295" s="103"/>
      <c r="V295" s="103"/>
      <c r="Z295" s="103"/>
      <c r="AA295" s="103"/>
      <c r="AB295" s="103"/>
      <c r="AC295" s="103"/>
      <c r="AD295" s="103"/>
      <c r="AE295" s="103"/>
      <c r="AF295" s="103"/>
      <c r="AG295" s="185"/>
      <c r="AH295" s="103"/>
      <c r="AI295" s="103"/>
      <c r="AJ295" s="103"/>
      <c r="AK295" s="185"/>
      <c r="AL295" s="103"/>
      <c r="AM295" s="103"/>
      <c r="AN295" s="103"/>
    </row>
    <row r="296" spans="1:40" x14ac:dyDescent="0.25">
      <c r="A296" s="103"/>
      <c r="C296" s="103"/>
      <c r="D296" s="103"/>
      <c r="E296" s="103"/>
      <c r="F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T296" s="103"/>
      <c r="U296" s="103"/>
      <c r="V296" s="103"/>
      <c r="Y296" s="103"/>
      <c r="Z296" s="103"/>
      <c r="AA296" s="103"/>
      <c r="AB296" s="103"/>
      <c r="AC296" s="103"/>
      <c r="AD296" s="103"/>
      <c r="AE296" s="103"/>
      <c r="AF296" s="103"/>
      <c r="AG296" s="185"/>
      <c r="AH296" s="103"/>
      <c r="AI296" s="103"/>
      <c r="AJ296" s="103"/>
      <c r="AK296" s="185"/>
      <c r="AL296" s="103"/>
      <c r="AM296" s="103"/>
      <c r="AN296" s="103"/>
    </row>
    <row r="297" spans="1:40" x14ac:dyDescent="0.25">
      <c r="C297" s="103"/>
      <c r="D297" s="103"/>
      <c r="E297" s="103"/>
      <c r="F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T297" s="103"/>
      <c r="U297" s="103"/>
      <c r="V297" s="103"/>
      <c r="Y297" s="103"/>
      <c r="Z297" s="103"/>
      <c r="AA297" s="103"/>
      <c r="AB297" s="103"/>
      <c r="AC297" s="103"/>
      <c r="AD297" s="103"/>
      <c r="AE297" s="103"/>
      <c r="AF297" s="103"/>
      <c r="AG297" s="185"/>
      <c r="AH297" s="103"/>
      <c r="AI297" s="103"/>
      <c r="AJ297" s="103"/>
      <c r="AK297" s="185"/>
      <c r="AL297" s="103"/>
      <c r="AM297" s="103"/>
      <c r="AN297" s="103"/>
    </row>
    <row r="298" spans="1:40" x14ac:dyDescent="0.25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208"/>
      <c r="AH298" s="102"/>
      <c r="AI298" s="102"/>
      <c r="AJ298" s="102"/>
      <c r="AK298" s="208"/>
      <c r="AL298" s="102"/>
      <c r="AM298" s="102"/>
      <c r="AN298" s="102"/>
    </row>
    <row r="299" spans="1:40" x14ac:dyDescent="0.25"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Y299" s="103"/>
      <c r="Z299" s="103"/>
      <c r="AA299" s="103"/>
      <c r="AB299" s="103"/>
      <c r="AC299" s="103"/>
      <c r="AD299" s="103"/>
      <c r="AE299" s="103"/>
      <c r="AF299" s="103"/>
      <c r="AG299" s="185"/>
      <c r="AH299" s="103"/>
      <c r="AI299" s="103"/>
      <c r="AJ299" s="103"/>
      <c r="AK299" s="185"/>
      <c r="AL299" s="103"/>
      <c r="AM299" s="103"/>
      <c r="AN299" s="103"/>
    </row>
    <row r="300" spans="1:40" x14ac:dyDescent="0.25">
      <c r="A300" s="202"/>
      <c r="C300" s="154"/>
      <c r="D300" s="154"/>
      <c r="E300" s="154"/>
      <c r="T300" s="154"/>
      <c r="U300" s="154"/>
    </row>
    <row r="301" spans="1:40" x14ac:dyDescent="0.25">
      <c r="D301" s="154"/>
      <c r="E301" s="154"/>
      <c r="U301" s="154"/>
    </row>
    <row r="303" spans="1:40" x14ac:dyDescent="0.25">
      <c r="A303" s="202"/>
      <c r="C303" s="154"/>
      <c r="T303" s="154"/>
    </row>
    <row r="304" spans="1:40" x14ac:dyDescent="0.25">
      <c r="A304" s="202"/>
      <c r="C304" s="154"/>
      <c r="F304" s="252"/>
      <c r="H304" s="252"/>
      <c r="I304" s="252"/>
      <c r="J304" s="329"/>
      <c r="K304" s="329"/>
      <c r="L304" s="200"/>
      <c r="M304" s="200"/>
      <c r="N304" s="210"/>
      <c r="O304" s="210"/>
      <c r="P304" s="200"/>
      <c r="Q304" s="200"/>
      <c r="R304" s="200"/>
      <c r="T304" s="154"/>
      <c r="V304" s="252"/>
      <c r="W304" s="200"/>
      <c r="X304" s="200"/>
      <c r="Y304" s="252"/>
      <c r="Z304" s="329"/>
      <c r="AA304" s="200"/>
      <c r="AB304" s="200"/>
      <c r="AC304" s="210"/>
      <c r="AD304" s="210"/>
      <c r="AE304" s="200"/>
      <c r="AF304" s="200"/>
      <c r="AG304" s="209"/>
      <c r="AH304" s="201"/>
      <c r="AI304" s="200"/>
      <c r="AJ304" s="200"/>
      <c r="AK304" s="209"/>
      <c r="AL304" s="200"/>
      <c r="AM304" s="210"/>
      <c r="AN304" s="210"/>
    </row>
    <row r="305" spans="1:40" x14ac:dyDescent="0.25">
      <c r="A305" s="202"/>
      <c r="C305" s="154"/>
      <c r="F305" s="200"/>
      <c r="H305" s="200"/>
      <c r="I305" s="200"/>
      <c r="J305" s="305"/>
      <c r="K305" s="305"/>
      <c r="L305" s="200"/>
      <c r="M305" s="200"/>
      <c r="N305" s="210"/>
      <c r="O305" s="210"/>
      <c r="P305" s="200"/>
      <c r="Q305" s="200"/>
      <c r="R305" s="200"/>
      <c r="T305" s="154"/>
      <c r="V305" s="252"/>
      <c r="W305" s="200"/>
      <c r="X305" s="200"/>
      <c r="Y305" s="252"/>
      <c r="Z305" s="305"/>
      <c r="AA305" s="200"/>
      <c r="AB305" s="200"/>
      <c r="AC305" s="210"/>
      <c r="AD305" s="210"/>
      <c r="AE305" s="200"/>
      <c r="AF305" s="200"/>
      <c r="AG305" s="209"/>
      <c r="AH305" s="201"/>
      <c r="AI305" s="200"/>
      <c r="AJ305" s="200"/>
      <c r="AK305" s="209"/>
      <c r="AL305" s="200"/>
      <c r="AM305" s="210"/>
      <c r="AN305" s="210"/>
    </row>
    <row r="306" spans="1:40" x14ac:dyDescent="0.25">
      <c r="A306" s="202"/>
      <c r="C306" s="154"/>
      <c r="F306" s="252"/>
      <c r="H306" s="252"/>
      <c r="I306" s="252"/>
      <c r="J306" s="329"/>
      <c r="K306" s="329"/>
      <c r="L306" s="200"/>
      <c r="M306" s="200"/>
      <c r="N306" s="210"/>
      <c r="O306" s="210"/>
      <c r="P306" s="200"/>
      <c r="Q306" s="200"/>
      <c r="R306" s="200"/>
      <c r="T306" s="154"/>
      <c r="V306" s="252"/>
      <c r="W306" s="200"/>
      <c r="X306" s="200"/>
      <c r="Y306" s="252"/>
      <c r="Z306" s="329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A307" s="202"/>
      <c r="C307" s="154"/>
      <c r="F307" s="252"/>
      <c r="H307" s="252"/>
      <c r="I307" s="252"/>
      <c r="J307" s="329"/>
      <c r="K307" s="329"/>
      <c r="L307" s="200"/>
      <c r="M307" s="200"/>
      <c r="N307" s="210"/>
      <c r="O307" s="210"/>
      <c r="P307" s="200"/>
      <c r="Q307" s="200"/>
      <c r="R307" s="200"/>
      <c r="T307" s="154"/>
      <c r="V307" s="252"/>
      <c r="W307" s="200"/>
      <c r="X307" s="200"/>
      <c r="Y307" s="252"/>
      <c r="Z307" s="329"/>
      <c r="AA307" s="200"/>
      <c r="AB307" s="200"/>
      <c r="AC307" s="210"/>
      <c r="AD307" s="210"/>
      <c r="AE307" s="200"/>
      <c r="AF307" s="200"/>
      <c r="AG307" s="209"/>
      <c r="AH307" s="201"/>
      <c r="AI307" s="200"/>
      <c r="AJ307" s="200"/>
      <c r="AK307" s="209"/>
      <c r="AL307" s="200"/>
      <c r="AM307" s="210"/>
      <c r="AN307" s="210"/>
    </row>
    <row r="308" spans="1:40" x14ac:dyDescent="0.25">
      <c r="A308" s="202"/>
      <c r="C308" s="154"/>
      <c r="F308" s="252"/>
      <c r="H308" s="252"/>
      <c r="I308" s="252"/>
      <c r="J308" s="329"/>
      <c r="K308" s="329"/>
      <c r="L308" s="200"/>
      <c r="M308" s="200"/>
      <c r="N308" s="210"/>
      <c r="O308" s="210"/>
      <c r="P308" s="200"/>
      <c r="Q308" s="200"/>
      <c r="R308" s="200"/>
      <c r="T308" s="154"/>
      <c r="V308" s="252"/>
      <c r="W308" s="200"/>
      <c r="X308" s="200"/>
      <c r="Y308" s="252"/>
      <c r="Z308" s="329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A309" s="202"/>
      <c r="C309" s="154"/>
      <c r="F309" s="200"/>
      <c r="H309" s="200"/>
      <c r="I309" s="200"/>
      <c r="J309" s="329"/>
      <c r="K309" s="329"/>
      <c r="L309" s="200"/>
      <c r="M309" s="200"/>
      <c r="N309" s="210"/>
      <c r="O309" s="210"/>
      <c r="P309" s="200"/>
      <c r="Q309" s="200"/>
      <c r="R309" s="200"/>
      <c r="T309" s="154"/>
      <c r="V309" s="252"/>
      <c r="W309" s="200"/>
      <c r="X309" s="200"/>
      <c r="Y309" s="252"/>
      <c r="Z309" s="329"/>
      <c r="AA309" s="200"/>
      <c r="AB309" s="200"/>
      <c r="AC309" s="210"/>
      <c r="AD309" s="210"/>
      <c r="AE309" s="200"/>
      <c r="AF309" s="200"/>
      <c r="AG309" s="209"/>
      <c r="AH309" s="201"/>
      <c r="AI309" s="200"/>
      <c r="AJ309" s="200"/>
      <c r="AK309" s="209"/>
      <c r="AL309" s="200"/>
      <c r="AM309" s="210"/>
      <c r="AN309" s="210"/>
    </row>
    <row r="310" spans="1:40" x14ac:dyDescent="0.25">
      <c r="A310" s="202"/>
      <c r="C310" s="154"/>
      <c r="F310" s="200"/>
      <c r="H310" s="200"/>
      <c r="I310" s="200"/>
      <c r="J310" s="329"/>
      <c r="K310" s="329"/>
      <c r="L310" s="200"/>
      <c r="M310" s="200"/>
      <c r="N310" s="210"/>
      <c r="O310" s="210"/>
      <c r="P310" s="200"/>
      <c r="Q310" s="200"/>
      <c r="R310" s="200"/>
      <c r="T310" s="154"/>
      <c r="V310" s="252"/>
      <c r="W310" s="200"/>
      <c r="X310" s="200"/>
      <c r="Y310" s="252"/>
      <c r="Z310" s="329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F311" s="331"/>
      <c r="H311" s="332"/>
      <c r="I311" s="332"/>
      <c r="J311" s="329"/>
      <c r="K311" s="329"/>
      <c r="L311" s="331"/>
      <c r="M311" s="331"/>
      <c r="N311" s="211"/>
      <c r="O311" s="211"/>
      <c r="P311" s="331"/>
      <c r="Q311" s="331"/>
      <c r="R311" s="331"/>
      <c r="V311" s="331"/>
      <c r="W311" s="200"/>
      <c r="X311" s="200"/>
      <c r="Y311" s="331"/>
      <c r="Z311" s="329"/>
      <c r="AA311" s="331"/>
      <c r="AB311" s="331"/>
      <c r="AC311" s="333"/>
      <c r="AD311" s="333"/>
      <c r="AE311" s="331"/>
      <c r="AF311" s="331"/>
      <c r="AG311" s="209"/>
      <c r="AH311" s="201"/>
      <c r="AI311" s="331"/>
      <c r="AJ311" s="331"/>
      <c r="AK311" s="208"/>
      <c r="AL311" s="331"/>
      <c r="AM311" s="210"/>
      <c r="AN311" s="210"/>
    </row>
    <row r="312" spans="1:40" x14ac:dyDescent="0.25">
      <c r="A312" s="202"/>
      <c r="C312" s="154"/>
      <c r="F312" s="200"/>
      <c r="H312" s="200"/>
      <c r="I312" s="200"/>
      <c r="J312" s="329"/>
      <c r="K312" s="329"/>
      <c r="L312" s="200"/>
      <c r="M312" s="200"/>
      <c r="N312" s="201"/>
      <c r="O312" s="201"/>
      <c r="P312" s="200"/>
      <c r="Q312" s="200"/>
      <c r="R312" s="200"/>
      <c r="T312" s="103"/>
      <c r="V312" s="200"/>
      <c r="W312" s="200"/>
      <c r="X312" s="200"/>
      <c r="Y312" s="200"/>
      <c r="Z312" s="329"/>
      <c r="AA312" s="200"/>
      <c r="AB312" s="200"/>
      <c r="AC312" s="201"/>
      <c r="AD312" s="201"/>
      <c r="AE312" s="200"/>
      <c r="AF312" s="200"/>
      <c r="AG312" s="209"/>
      <c r="AH312" s="201"/>
      <c r="AI312" s="200"/>
      <c r="AJ312" s="200"/>
      <c r="AK312" s="209"/>
      <c r="AL312" s="200"/>
      <c r="AM312" s="210"/>
      <c r="AN312" s="210"/>
    </row>
    <row r="313" spans="1:40" x14ac:dyDescent="0.25">
      <c r="F313" s="102"/>
      <c r="H313" s="102"/>
      <c r="I313" s="102"/>
      <c r="L313" s="102"/>
      <c r="M313" s="102"/>
      <c r="N313" s="333"/>
      <c r="O313" s="333"/>
      <c r="P313" s="331"/>
      <c r="Q313" s="331"/>
      <c r="R313" s="331"/>
      <c r="V313" s="331"/>
      <c r="Y313" s="331"/>
      <c r="Z313" s="305"/>
      <c r="AA313" s="331"/>
      <c r="AB313" s="331"/>
      <c r="AC313" s="331"/>
      <c r="AD313" s="331"/>
      <c r="AE313" s="331"/>
      <c r="AF313" s="331"/>
      <c r="AI313" s="331"/>
      <c r="AJ313" s="331"/>
      <c r="AK313" s="208"/>
      <c r="AL313" s="331"/>
      <c r="AM313" s="333"/>
      <c r="AN313" s="333"/>
    </row>
    <row r="314" spans="1:40" x14ac:dyDescent="0.25">
      <c r="AI314" s="202"/>
      <c r="AJ314" s="202"/>
    </row>
    <row r="318" spans="1:40" x14ac:dyDescent="0.25">
      <c r="N318" s="200"/>
      <c r="O318" s="200"/>
      <c r="P318" s="200"/>
      <c r="Q318" s="200"/>
      <c r="R318" s="200"/>
      <c r="V318" s="200"/>
      <c r="Y318" s="200"/>
      <c r="Z318" s="213"/>
      <c r="AA318" s="200"/>
      <c r="AB318" s="200"/>
      <c r="AC318" s="210"/>
      <c r="AD318" s="210"/>
      <c r="AE318" s="200"/>
      <c r="AF318" s="200"/>
      <c r="AG318" s="209"/>
      <c r="AH318" s="201"/>
      <c r="AI318" s="200"/>
      <c r="AJ318" s="200"/>
      <c r="AK318" s="209"/>
      <c r="AL318" s="200"/>
      <c r="AM318" s="210"/>
      <c r="AN318" s="210"/>
    </row>
    <row r="319" spans="1:40" x14ac:dyDescent="0.25">
      <c r="A319" s="202"/>
      <c r="C319" s="154"/>
      <c r="D319" s="154"/>
      <c r="E319" s="154"/>
      <c r="J319" s="334"/>
      <c r="K319" s="334"/>
      <c r="T319" s="154"/>
      <c r="U319" s="154"/>
      <c r="Z319" s="334"/>
      <c r="AE319" s="200"/>
      <c r="AF319" s="200"/>
      <c r="AI319" s="200"/>
      <c r="AJ319" s="200"/>
      <c r="AK319" s="209"/>
      <c r="AL319" s="200"/>
      <c r="AM319" s="210"/>
      <c r="AN319" s="210"/>
    </row>
    <row r="320" spans="1:40" x14ac:dyDescent="0.25">
      <c r="D320" s="154"/>
      <c r="E320" s="154"/>
      <c r="F320" s="200"/>
      <c r="H320" s="200"/>
      <c r="I320" s="200"/>
      <c r="J320" s="329"/>
      <c r="K320" s="329"/>
      <c r="L320" s="200"/>
      <c r="M320" s="200"/>
      <c r="N320" s="210"/>
      <c r="O320" s="210"/>
      <c r="P320" s="200"/>
      <c r="Q320" s="200"/>
      <c r="R320" s="200"/>
      <c r="U320" s="154"/>
      <c r="V320" s="200"/>
      <c r="Y320" s="200"/>
      <c r="Z320" s="329"/>
      <c r="AA320" s="200"/>
      <c r="AB320" s="200"/>
      <c r="AC320" s="210"/>
      <c r="AD320" s="210"/>
      <c r="AE320" s="200"/>
      <c r="AF320" s="200"/>
      <c r="AG320" s="209"/>
      <c r="AH320" s="201"/>
      <c r="AI320" s="200"/>
      <c r="AJ320" s="200"/>
      <c r="AK320" s="209"/>
      <c r="AL320" s="200"/>
      <c r="AM320" s="210"/>
      <c r="AN320" s="210"/>
    </row>
    <row r="321" spans="1:40" x14ac:dyDescent="0.25">
      <c r="F321" s="200"/>
      <c r="H321" s="200"/>
      <c r="I321" s="200"/>
      <c r="J321" s="305"/>
      <c r="K321" s="305"/>
      <c r="L321" s="200"/>
      <c r="M321" s="200"/>
      <c r="N321" s="200"/>
      <c r="O321" s="200"/>
      <c r="P321" s="200"/>
      <c r="Q321" s="200"/>
      <c r="R321" s="200"/>
      <c r="V321" s="200"/>
      <c r="Y321" s="200"/>
      <c r="Z321" s="305"/>
      <c r="AA321" s="200"/>
      <c r="AB321" s="200"/>
      <c r="AC321" s="200"/>
      <c r="AD321" s="200"/>
      <c r="AE321" s="200"/>
      <c r="AF321" s="200"/>
      <c r="AG321" s="209"/>
      <c r="AH321" s="201"/>
      <c r="AI321" s="252"/>
      <c r="AJ321" s="252"/>
      <c r="AK321" s="209"/>
      <c r="AL321" s="200"/>
      <c r="AM321" s="210"/>
      <c r="AN321" s="210"/>
    </row>
    <row r="322" spans="1:40" x14ac:dyDescent="0.25">
      <c r="A322" s="202"/>
      <c r="C322" s="154"/>
      <c r="F322" s="252"/>
      <c r="H322" s="252"/>
      <c r="I322" s="252"/>
      <c r="J322" s="304"/>
      <c r="K322" s="304"/>
      <c r="L322" s="200"/>
      <c r="M322" s="200"/>
      <c r="N322" s="210"/>
      <c r="O322" s="210"/>
      <c r="P322" s="200"/>
      <c r="Q322" s="200"/>
      <c r="R322" s="200"/>
      <c r="T322" s="154"/>
      <c r="V322" s="252"/>
      <c r="Y322" s="252"/>
      <c r="Z322" s="304"/>
      <c r="AA322" s="200"/>
      <c r="AB322" s="200"/>
      <c r="AC322" s="210"/>
      <c r="AD322" s="210"/>
      <c r="AE322" s="200"/>
      <c r="AF322" s="200"/>
      <c r="AG322" s="209"/>
      <c r="AH322" s="201"/>
      <c r="AI322" s="200"/>
      <c r="AJ322" s="200"/>
      <c r="AK322" s="209"/>
      <c r="AL322" s="200"/>
      <c r="AM322" s="210"/>
      <c r="AN322" s="210"/>
    </row>
    <row r="323" spans="1:40" x14ac:dyDescent="0.25">
      <c r="F323" s="102"/>
      <c r="H323" s="102"/>
      <c r="I323" s="102"/>
      <c r="L323" s="102"/>
      <c r="M323" s="102"/>
      <c r="N323" s="102"/>
      <c r="O323" s="102"/>
      <c r="P323" s="102"/>
      <c r="Q323" s="102"/>
      <c r="R323" s="102"/>
      <c r="V323" s="102"/>
      <c r="Y323" s="102"/>
      <c r="AA323" s="102"/>
      <c r="AB323" s="102"/>
      <c r="AC323" s="102"/>
      <c r="AD323" s="102"/>
      <c r="AE323" s="102"/>
      <c r="AF323" s="102"/>
      <c r="AG323" s="208"/>
      <c r="AH323" s="102"/>
      <c r="AI323" s="102"/>
      <c r="AJ323" s="102"/>
      <c r="AK323" s="208"/>
      <c r="AL323" s="102"/>
      <c r="AM323" s="102"/>
      <c r="AN323" s="102"/>
    </row>
    <row r="324" spans="1:40" x14ac:dyDescent="0.25">
      <c r="A324" s="202"/>
      <c r="C324" s="103"/>
      <c r="F324" s="252"/>
      <c r="H324" s="252"/>
      <c r="I324" s="252"/>
      <c r="J324" s="300"/>
      <c r="K324" s="300"/>
      <c r="L324" s="252"/>
      <c r="M324" s="252"/>
      <c r="N324" s="210"/>
      <c r="O324" s="210"/>
      <c r="P324" s="252"/>
      <c r="Q324" s="252"/>
      <c r="R324" s="252"/>
      <c r="T324" s="103"/>
      <c r="V324" s="200"/>
      <c r="Y324" s="200"/>
      <c r="Z324" s="213"/>
      <c r="AA324" s="200"/>
      <c r="AB324" s="200"/>
      <c r="AC324" s="210"/>
      <c r="AD324" s="210"/>
      <c r="AE324" s="202"/>
      <c r="AF324" s="202"/>
      <c r="AG324" s="209"/>
      <c r="AH324" s="201"/>
      <c r="AI324" s="200"/>
      <c r="AJ324" s="200"/>
      <c r="AK324" s="209"/>
      <c r="AL324" s="200"/>
      <c r="AM324" s="210"/>
      <c r="AN324" s="210"/>
    </row>
    <row r="325" spans="1:40" x14ac:dyDescent="0.25">
      <c r="F325" s="331"/>
      <c r="H325" s="331"/>
      <c r="I325" s="331"/>
      <c r="J325" s="305"/>
      <c r="K325" s="305"/>
      <c r="L325" s="331"/>
      <c r="M325" s="331"/>
      <c r="N325" s="331"/>
      <c r="O325" s="331"/>
      <c r="P325" s="331"/>
      <c r="Q325" s="331"/>
      <c r="R325" s="331"/>
      <c r="V325" s="102"/>
      <c r="Y325" s="102"/>
      <c r="AA325" s="102"/>
      <c r="AB325" s="102"/>
      <c r="AC325" s="102"/>
      <c r="AD325" s="102"/>
      <c r="AE325" s="102"/>
      <c r="AF325" s="102"/>
      <c r="AG325" s="208"/>
      <c r="AH325" s="102"/>
      <c r="AI325" s="102"/>
      <c r="AJ325" s="102"/>
      <c r="AK325" s="208"/>
      <c r="AL325" s="102"/>
      <c r="AM325" s="102"/>
      <c r="AN325" s="102"/>
    </row>
    <row r="326" spans="1:40" x14ac:dyDescent="0.25">
      <c r="F326" s="252"/>
      <c r="H326" s="252"/>
      <c r="I326" s="252"/>
      <c r="J326" s="328"/>
      <c r="K326" s="328"/>
      <c r="L326" s="200"/>
      <c r="M326" s="200"/>
      <c r="N326" s="210"/>
      <c r="O326" s="210"/>
      <c r="P326" s="200"/>
      <c r="Q326" s="200"/>
      <c r="R326" s="200"/>
    </row>
    <row r="327" spans="1:40" x14ac:dyDescent="0.25">
      <c r="A327" s="154"/>
      <c r="F327" s="252"/>
      <c r="H327" s="252"/>
      <c r="I327" s="252"/>
      <c r="J327" s="300"/>
      <c r="K327" s="300"/>
      <c r="L327" s="200"/>
      <c r="M327" s="200"/>
      <c r="N327" s="210"/>
      <c r="O327" s="210"/>
      <c r="P327" s="200"/>
      <c r="Q327" s="200"/>
      <c r="R327" s="200"/>
    </row>
    <row r="328" spans="1:40" x14ac:dyDescent="0.25">
      <c r="F328" s="252"/>
      <c r="H328" s="252"/>
      <c r="I328" s="252"/>
      <c r="J328" s="300"/>
      <c r="K328" s="300"/>
      <c r="L328" s="200"/>
      <c r="M328" s="200"/>
      <c r="N328" s="210"/>
      <c r="O328" s="210"/>
      <c r="P328" s="200"/>
      <c r="Q328" s="200"/>
      <c r="R328" s="200"/>
    </row>
    <row r="329" spans="1:40" x14ac:dyDescent="0.25">
      <c r="A329" s="154"/>
    </row>
    <row r="331" spans="1:40" x14ac:dyDescent="0.25">
      <c r="J331" s="202"/>
      <c r="K331" s="202"/>
      <c r="Z331" s="202"/>
    </row>
    <row r="332" spans="1:40" x14ac:dyDescent="0.25">
      <c r="H332" s="154"/>
      <c r="I332" s="154"/>
      <c r="Y332" s="154"/>
    </row>
    <row r="333" spans="1:40" x14ac:dyDescent="0.25">
      <c r="J333" s="202"/>
      <c r="K333" s="202"/>
      <c r="Z333" s="202"/>
    </row>
    <row r="334" spans="1:40" x14ac:dyDescent="0.25">
      <c r="L334" s="154"/>
      <c r="M334" s="154"/>
      <c r="AA334" s="154"/>
      <c r="AB334" s="154"/>
    </row>
    <row r="335" spans="1:40" x14ac:dyDescent="0.25">
      <c r="A335" s="202"/>
      <c r="R335" s="154"/>
      <c r="AK335" s="297"/>
      <c r="AL335" s="154"/>
    </row>
    <row r="336" spans="1:40" x14ac:dyDescent="0.25">
      <c r="A336" s="202"/>
      <c r="R336" s="154"/>
      <c r="AK336" s="297"/>
      <c r="AL336" s="154"/>
    </row>
    <row r="337" spans="1:40" x14ac:dyDescent="0.25">
      <c r="A337" s="154"/>
      <c r="R337" s="154"/>
      <c r="AK337" s="297"/>
      <c r="AL337" s="154"/>
    </row>
    <row r="338" spans="1:40" x14ac:dyDescent="0.25">
      <c r="L338" s="154"/>
      <c r="M338" s="154"/>
      <c r="R338" s="202"/>
      <c r="AA338" s="154"/>
      <c r="AB338" s="154"/>
      <c r="AK338" s="209"/>
      <c r="AL338" s="202"/>
    </row>
    <row r="339" spans="1:40" x14ac:dyDescent="0.25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208"/>
      <c r="AH339" s="102"/>
      <c r="AI339" s="102"/>
      <c r="AJ339" s="102"/>
      <c r="AK339" s="208"/>
      <c r="AL339" s="102"/>
      <c r="AM339" s="102"/>
      <c r="AN339" s="102"/>
    </row>
    <row r="340" spans="1:40" x14ac:dyDescent="0.25">
      <c r="L340" s="103"/>
      <c r="M340" s="103"/>
      <c r="N340" s="103"/>
      <c r="O340" s="103"/>
      <c r="R340" s="103"/>
      <c r="AA340" s="103"/>
      <c r="AB340" s="103"/>
      <c r="AC340" s="103"/>
      <c r="AD340" s="103"/>
      <c r="AE340" s="103"/>
      <c r="AF340" s="103"/>
      <c r="AG340" s="185"/>
      <c r="AH340" s="103"/>
      <c r="AK340" s="185"/>
      <c r="AL340" s="103"/>
      <c r="AM340" s="103"/>
      <c r="AN340" s="103"/>
    </row>
    <row r="341" spans="1:40" x14ac:dyDescent="0.25">
      <c r="L341" s="103"/>
      <c r="M341" s="103"/>
      <c r="N341" s="103"/>
      <c r="O341" s="103"/>
      <c r="R341" s="103"/>
      <c r="Z341" s="103"/>
      <c r="AA341" s="103"/>
      <c r="AB341" s="103"/>
      <c r="AC341" s="103"/>
      <c r="AD341" s="103"/>
      <c r="AE341" s="103"/>
      <c r="AF341" s="103"/>
      <c r="AG341" s="185"/>
      <c r="AH341" s="103"/>
      <c r="AK341" s="185"/>
      <c r="AL341" s="103"/>
      <c r="AM341" s="103"/>
      <c r="AN341" s="103"/>
    </row>
    <row r="342" spans="1:40" x14ac:dyDescent="0.25">
      <c r="A342" s="103"/>
      <c r="C342" s="103"/>
      <c r="D342" s="103"/>
      <c r="E342" s="103"/>
      <c r="F342" s="103"/>
      <c r="J342" s="103"/>
      <c r="K342" s="103"/>
      <c r="L342" s="103"/>
      <c r="M342" s="103"/>
      <c r="N342" s="103"/>
      <c r="O342" s="103"/>
      <c r="P342" s="103"/>
      <c r="Q342" s="103"/>
      <c r="R342" s="103"/>
      <c r="T342" s="103"/>
      <c r="U342" s="103"/>
      <c r="V342" s="103"/>
      <c r="Z342" s="103"/>
      <c r="AA342" s="103"/>
      <c r="AB342" s="103"/>
      <c r="AC342" s="103"/>
      <c r="AD342" s="103"/>
      <c r="AE342" s="103"/>
      <c r="AF342" s="103"/>
      <c r="AG342" s="185"/>
      <c r="AH342" s="103"/>
      <c r="AI342" s="103"/>
      <c r="AJ342" s="103"/>
      <c r="AK342" s="185"/>
      <c r="AL342" s="103"/>
      <c r="AM342" s="103"/>
      <c r="AN342" s="103"/>
    </row>
    <row r="343" spans="1:40" x14ac:dyDescent="0.25">
      <c r="A343" s="103"/>
      <c r="C343" s="103"/>
      <c r="D343" s="103"/>
      <c r="E343" s="103"/>
      <c r="F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T343" s="103"/>
      <c r="U343" s="103"/>
      <c r="V343" s="103"/>
      <c r="Y343" s="103"/>
      <c r="Z343" s="103"/>
      <c r="AA343" s="103"/>
      <c r="AB343" s="103"/>
      <c r="AC343" s="103"/>
      <c r="AD343" s="103"/>
      <c r="AE343" s="103"/>
      <c r="AF343" s="103"/>
      <c r="AG343" s="185"/>
      <c r="AH343" s="103"/>
      <c r="AI343" s="103"/>
      <c r="AJ343" s="103"/>
      <c r="AK343" s="185"/>
      <c r="AL343" s="103"/>
      <c r="AM343" s="103"/>
      <c r="AN343" s="103"/>
    </row>
    <row r="344" spans="1:40" x14ac:dyDescent="0.25">
      <c r="C344" s="103"/>
      <c r="D344" s="103"/>
      <c r="E344" s="103"/>
      <c r="F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T344" s="103"/>
      <c r="U344" s="103"/>
      <c r="V344" s="103"/>
      <c r="Y344" s="103"/>
      <c r="Z344" s="103"/>
      <c r="AA344" s="103"/>
      <c r="AB344" s="103"/>
      <c r="AC344" s="103"/>
      <c r="AD344" s="103"/>
      <c r="AE344" s="103"/>
      <c r="AF344" s="103"/>
      <c r="AG344" s="185"/>
      <c r="AH344" s="103"/>
      <c r="AI344" s="103"/>
      <c r="AJ344" s="103"/>
      <c r="AK344" s="185"/>
      <c r="AL344" s="103"/>
      <c r="AM344" s="103"/>
      <c r="AN344" s="103"/>
    </row>
    <row r="345" spans="1:40" x14ac:dyDescent="0.25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208"/>
      <c r="AH345" s="102"/>
      <c r="AI345" s="102"/>
      <c r="AJ345" s="102"/>
      <c r="AK345" s="208"/>
      <c r="AL345" s="102"/>
      <c r="AM345" s="102"/>
      <c r="AN345" s="102"/>
    </row>
    <row r="346" spans="1:40" x14ac:dyDescent="0.25"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Y346" s="103"/>
      <c r="Z346" s="103"/>
      <c r="AA346" s="103"/>
      <c r="AB346" s="103"/>
      <c r="AC346" s="103"/>
      <c r="AD346" s="103"/>
      <c r="AE346" s="103"/>
      <c r="AF346" s="103"/>
      <c r="AG346" s="185"/>
      <c r="AH346" s="103"/>
      <c r="AI346" s="103"/>
      <c r="AJ346" s="103"/>
      <c r="AK346" s="185"/>
      <c r="AL346" s="103"/>
      <c r="AM346" s="103"/>
      <c r="AN346" s="103"/>
    </row>
    <row r="347" spans="1:40" x14ac:dyDescent="0.25">
      <c r="A347" s="202"/>
      <c r="C347" s="154"/>
      <c r="D347" s="154"/>
      <c r="E347" s="154"/>
      <c r="T347" s="154"/>
      <c r="U347" s="154"/>
    </row>
    <row r="349" spans="1:40" x14ac:dyDescent="0.25">
      <c r="A349" s="202"/>
      <c r="C349" s="154"/>
      <c r="T349" s="154"/>
    </row>
    <row r="350" spans="1:40" x14ac:dyDescent="0.25">
      <c r="A350" s="202"/>
      <c r="C350" s="154"/>
      <c r="F350" s="252"/>
      <c r="H350" s="252"/>
      <c r="I350" s="252"/>
      <c r="J350" s="305"/>
      <c r="K350" s="305"/>
      <c r="L350" s="200"/>
      <c r="M350" s="200"/>
      <c r="N350" s="210"/>
      <c r="O350" s="210"/>
      <c r="P350" s="200"/>
      <c r="Q350" s="200"/>
      <c r="R350" s="200"/>
      <c r="T350" s="154"/>
      <c r="V350" s="252"/>
      <c r="Y350" s="252"/>
      <c r="Z350" s="305"/>
      <c r="AA350" s="200"/>
      <c r="AB350" s="200"/>
      <c r="AC350" s="210"/>
      <c r="AD350" s="210"/>
      <c r="AE350" s="200"/>
      <c r="AF350" s="200"/>
      <c r="AG350" s="209"/>
      <c r="AH350" s="201"/>
      <c r="AI350" s="200"/>
      <c r="AJ350" s="200"/>
      <c r="AK350" s="209"/>
      <c r="AL350" s="200"/>
      <c r="AM350" s="210"/>
      <c r="AN350" s="210"/>
    </row>
    <row r="351" spans="1:40" x14ac:dyDescent="0.25">
      <c r="A351" s="202"/>
      <c r="C351" s="154"/>
      <c r="T351" s="154"/>
    </row>
    <row r="352" spans="1:40" x14ac:dyDescent="0.25">
      <c r="A352" s="202"/>
      <c r="C352" s="154"/>
      <c r="F352" s="252"/>
      <c r="H352" s="252"/>
      <c r="I352" s="252"/>
      <c r="J352" s="329"/>
      <c r="K352" s="329"/>
      <c r="L352" s="200"/>
      <c r="M352" s="200"/>
      <c r="N352" s="210"/>
      <c r="O352" s="210"/>
      <c r="P352" s="200"/>
      <c r="Q352" s="200"/>
      <c r="R352" s="200"/>
      <c r="T352" s="154"/>
      <c r="V352" s="200"/>
      <c r="Y352" s="200"/>
      <c r="Z352" s="329"/>
      <c r="AA352" s="200"/>
      <c r="AB352" s="200"/>
      <c r="AC352" s="210"/>
      <c r="AD352" s="210"/>
      <c r="AE352" s="200"/>
      <c r="AF352" s="200"/>
      <c r="AG352" s="209"/>
      <c r="AH352" s="201"/>
      <c r="AI352" s="200"/>
      <c r="AJ352" s="200"/>
      <c r="AK352" s="209"/>
      <c r="AL352" s="200"/>
      <c r="AM352" s="210"/>
      <c r="AN352" s="210"/>
    </row>
    <row r="353" spans="1:40" x14ac:dyDescent="0.25">
      <c r="A353" s="202"/>
      <c r="C353" s="154"/>
      <c r="F353" s="252"/>
      <c r="H353" s="252"/>
      <c r="I353" s="252"/>
      <c r="J353" s="329"/>
      <c r="K353" s="329"/>
      <c r="L353" s="200"/>
      <c r="M353" s="200"/>
      <c r="N353" s="210"/>
      <c r="O353" s="210"/>
      <c r="P353" s="200"/>
      <c r="Q353" s="200"/>
      <c r="R353" s="200"/>
      <c r="T353" s="154"/>
      <c r="V353" s="200"/>
      <c r="Y353" s="200"/>
      <c r="Z353" s="329"/>
      <c r="AA353" s="200"/>
      <c r="AB353" s="200"/>
      <c r="AC353" s="210"/>
      <c r="AD353" s="210"/>
      <c r="AE353" s="200"/>
      <c r="AF353" s="200"/>
      <c r="AG353" s="209"/>
      <c r="AH353" s="201"/>
      <c r="AI353" s="200"/>
      <c r="AJ353" s="200"/>
      <c r="AK353" s="209"/>
      <c r="AL353" s="200"/>
      <c r="AM353" s="210"/>
      <c r="AN353" s="210"/>
    </row>
    <row r="354" spans="1:40" x14ac:dyDescent="0.25">
      <c r="A354" s="202"/>
      <c r="C354" s="154"/>
      <c r="F354" s="252"/>
      <c r="H354" s="252"/>
      <c r="I354" s="252"/>
      <c r="J354" s="329"/>
      <c r="K354" s="329"/>
      <c r="L354" s="200"/>
      <c r="M354" s="200"/>
      <c r="N354" s="210"/>
      <c r="O354" s="210"/>
      <c r="P354" s="200"/>
      <c r="Q354" s="200"/>
      <c r="R354" s="200"/>
      <c r="T354" s="154"/>
      <c r="V354" s="200"/>
      <c r="Y354" s="200"/>
      <c r="Z354" s="329"/>
      <c r="AA354" s="200"/>
      <c r="AB354" s="200"/>
      <c r="AC354" s="210"/>
      <c r="AD354" s="210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A355" s="202"/>
      <c r="C355" s="154"/>
      <c r="F355" s="252"/>
      <c r="H355" s="252"/>
      <c r="I355" s="252"/>
      <c r="J355" s="329"/>
      <c r="K355" s="329"/>
      <c r="L355" s="200"/>
      <c r="M355" s="200"/>
      <c r="N355" s="210"/>
      <c r="O355" s="210"/>
      <c r="P355" s="200"/>
      <c r="Q355" s="200"/>
      <c r="R355" s="200"/>
      <c r="T355" s="154"/>
      <c r="V355" s="200"/>
      <c r="Y355" s="200"/>
      <c r="Z355" s="329"/>
      <c r="AA355" s="200"/>
      <c r="AB355" s="200"/>
      <c r="AC355" s="210"/>
      <c r="AD355" s="210"/>
      <c r="AE355" s="200"/>
      <c r="AF355" s="200"/>
      <c r="AG355" s="209"/>
      <c r="AH355" s="201"/>
      <c r="AI355" s="200"/>
      <c r="AJ355" s="200"/>
      <c r="AK355" s="209"/>
      <c r="AL355" s="200"/>
      <c r="AM355" s="210"/>
      <c r="AN355" s="210"/>
    </row>
    <row r="356" spans="1:40" x14ac:dyDescent="0.25">
      <c r="A356" s="202"/>
      <c r="C356" s="154"/>
      <c r="J356" s="334"/>
      <c r="K356" s="334"/>
      <c r="T356" s="154"/>
      <c r="Z356" s="334"/>
    </row>
    <row r="357" spans="1:40" x14ac:dyDescent="0.25">
      <c r="A357" s="202"/>
      <c r="C357" s="154"/>
      <c r="F357" s="252"/>
      <c r="H357" s="252"/>
      <c r="I357" s="252"/>
      <c r="J357" s="329"/>
      <c r="K357" s="329"/>
      <c r="L357" s="200"/>
      <c r="M357" s="200"/>
      <c r="N357" s="210"/>
      <c r="O357" s="210"/>
      <c r="P357" s="200"/>
      <c r="Q357" s="200"/>
      <c r="R357" s="200"/>
      <c r="T357" s="154"/>
      <c r="V357" s="200"/>
      <c r="Y357" s="200"/>
      <c r="Z357" s="329"/>
      <c r="AA357" s="200"/>
      <c r="AB357" s="200"/>
      <c r="AC357" s="210"/>
      <c r="AD357" s="210"/>
      <c r="AE357" s="200"/>
      <c r="AF357" s="200"/>
      <c r="AG357" s="209"/>
      <c r="AH357" s="201"/>
      <c r="AI357" s="200"/>
      <c r="AJ357" s="200"/>
      <c r="AK357" s="209"/>
      <c r="AL357" s="200"/>
      <c r="AM357" s="210"/>
      <c r="AN357" s="210"/>
    </row>
    <row r="358" spans="1:40" x14ac:dyDescent="0.25">
      <c r="A358" s="202"/>
      <c r="C358" s="154"/>
      <c r="F358" s="252"/>
      <c r="H358" s="252"/>
      <c r="I358" s="252"/>
      <c r="J358" s="329"/>
      <c r="K358" s="329"/>
      <c r="L358" s="200"/>
      <c r="M358" s="200"/>
      <c r="N358" s="210"/>
      <c r="O358" s="210"/>
      <c r="P358" s="200"/>
      <c r="Q358" s="200"/>
      <c r="R358" s="200"/>
      <c r="T358" s="154"/>
      <c r="V358" s="200"/>
      <c r="Y358" s="200"/>
      <c r="Z358" s="329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A359" s="202"/>
      <c r="C359" s="154"/>
      <c r="F359" s="252"/>
      <c r="H359" s="252"/>
      <c r="I359" s="252"/>
      <c r="J359" s="329"/>
      <c r="K359" s="329"/>
      <c r="L359" s="200"/>
      <c r="M359" s="200"/>
      <c r="N359" s="210"/>
      <c r="O359" s="210"/>
      <c r="P359" s="200"/>
      <c r="Q359" s="200"/>
      <c r="R359" s="200"/>
      <c r="T359" s="154"/>
      <c r="V359" s="200"/>
      <c r="Y359" s="200"/>
      <c r="Z359" s="329"/>
      <c r="AA359" s="200"/>
      <c r="AB359" s="200"/>
      <c r="AC359" s="210"/>
      <c r="AD359" s="210"/>
      <c r="AE359" s="200"/>
      <c r="AF359" s="200"/>
      <c r="AG359" s="209"/>
      <c r="AH359" s="201"/>
      <c r="AI359" s="200"/>
      <c r="AJ359" s="200"/>
      <c r="AK359" s="209"/>
      <c r="AL359" s="200"/>
      <c r="AM359" s="210"/>
      <c r="AN359" s="210"/>
    </row>
    <row r="360" spans="1:40" x14ac:dyDescent="0.25">
      <c r="A360" s="202"/>
      <c r="C360" s="154"/>
      <c r="J360" s="334"/>
      <c r="K360" s="334"/>
      <c r="T360" s="154"/>
      <c r="Z360" s="334"/>
    </row>
    <row r="361" spans="1:40" x14ac:dyDescent="0.25">
      <c r="A361" s="202"/>
      <c r="C361" s="154"/>
      <c r="F361" s="252"/>
      <c r="H361" s="252"/>
      <c r="I361" s="252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00"/>
      <c r="Y361" s="200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00"/>
      <c r="Y362" s="200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J363" s="334"/>
      <c r="K363" s="334"/>
      <c r="T363" s="154"/>
      <c r="Z363" s="334"/>
    </row>
    <row r="364" spans="1:40" x14ac:dyDescent="0.25">
      <c r="A364" s="202"/>
      <c r="C364" s="154"/>
      <c r="F364" s="252"/>
      <c r="H364" s="252"/>
      <c r="I364" s="252"/>
      <c r="J364" s="329"/>
      <c r="K364" s="329"/>
      <c r="L364" s="200"/>
      <c r="M364" s="200"/>
      <c r="N364" s="210"/>
      <c r="O364" s="210"/>
      <c r="P364" s="200"/>
      <c r="Q364" s="200"/>
      <c r="R364" s="200"/>
      <c r="T364" s="154"/>
      <c r="V364" s="200"/>
      <c r="Y364" s="200"/>
      <c r="Z364" s="329"/>
      <c r="AA364" s="200"/>
      <c r="AB364" s="200"/>
      <c r="AC364" s="210"/>
      <c r="AD364" s="210"/>
      <c r="AE364" s="200"/>
      <c r="AF364" s="200"/>
      <c r="AG364" s="209"/>
      <c r="AH364" s="201"/>
      <c r="AI364" s="200"/>
      <c r="AJ364" s="200"/>
      <c r="AK364" s="209"/>
      <c r="AL364" s="200"/>
      <c r="AM364" s="210"/>
      <c r="AN364" s="210"/>
    </row>
    <row r="365" spans="1:40" x14ac:dyDescent="0.25">
      <c r="A365" s="202"/>
      <c r="C365" s="154"/>
      <c r="F365" s="252"/>
      <c r="H365" s="252"/>
      <c r="I365" s="252"/>
      <c r="J365" s="329"/>
      <c r="K365" s="329"/>
      <c r="L365" s="200"/>
      <c r="M365" s="200"/>
      <c r="N365" s="210"/>
      <c r="O365" s="210"/>
      <c r="P365" s="200"/>
      <c r="Q365" s="200"/>
      <c r="R365" s="200"/>
      <c r="T365" s="154"/>
      <c r="V365" s="200"/>
      <c r="Y365" s="200"/>
      <c r="Z365" s="329"/>
      <c r="AA365" s="200"/>
      <c r="AB365" s="200"/>
      <c r="AC365" s="210"/>
      <c r="AD365" s="21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A366" s="202"/>
      <c r="C366" s="154"/>
      <c r="F366" s="252"/>
      <c r="H366" s="252"/>
      <c r="I366" s="252"/>
      <c r="J366" s="329"/>
      <c r="K366" s="329"/>
      <c r="L366" s="200"/>
      <c r="M366" s="200"/>
      <c r="N366" s="210"/>
      <c r="O366" s="210"/>
      <c r="P366" s="200"/>
      <c r="Q366" s="200"/>
      <c r="R366" s="200"/>
      <c r="T366" s="154"/>
      <c r="V366" s="200"/>
      <c r="Y366" s="200"/>
      <c r="Z366" s="329"/>
      <c r="AA366" s="200"/>
      <c r="AB366" s="200"/>
      <c r="AC366" s="210"/>
      <c r="AD366" s="210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F367" s="211"/>
      <c r="H367" s="211"/>
      <c r="I367" s="211"/>
      <c r="J367" s="329"/>
      <c r="K367" s="329"/>
      <c r="L367" s="211"/>
      <c r="M367" s="211"/>
      <c r="N367" s="211"/>
      <c r="O367" s="211"/>
      <c r="P367" s="211"/>
      <c r="Q367" s="211"/>
      <c r="R367" s="211"/>
      <c r="V367" s="211"/>
      <c r="Y367" s="211"/>
      <c r="Z367" s="329"/>
      <c r="AA367" s="211"/>
      <c r="AB367" s="211"/>
      <c r="AC367" s="211"/>
      <c r="AD367" s="211"/>
      <c r="AE367" s="211"/>
      <c r="AF367" s="211"/>
      <c r="AI367" s="211"/>
      <c r="AJ367" s="211"/>
      <c r="AK367" s="212"/>
      <c r="AL367" s="211"/>
    </row>
    <row r="368" spans="1:40" x14ac:dyDescent="0.25">
      <c r="A368" s="202"/>
      <c r="C368" s="103"/>
      <c r="F368" s="200"/>
      <c r="H368" s="200"/>
      <c r="I368" s="200"/>
      <c r="J368" s="334"/>
      <c r="K368" s="334"/>
      <c r="L368" s="200"/>
      <c r="M368" s="200"/>
      <c r="N368" s="201"/>
      <c r="O368" s="201"/>
      <c r="P368" s="200"/>
      <c r="Q368" s="200"/>
      <c r="R368" s="200"/>
      <c r="T368" s="103"/>
      <c r="V368" s="200"/>
      <c r="Y368" s="200"/>
      <c r="Z368" s="334"/>
      <c r="AA368" s="200"/>
      <c r="AB368" s="200"/>
      <c r="AC368" s="200"/>
      <c r="AD368" s="20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F369" s="211"/>
      <c r="H369" s="211"/>
      <c r="I369" s="211"/>
      <c r="J369" s="329"/>
      <c r="K369" s="329"/>
      <c r="L369" s="211"/>
      <c r="M369" s="211"/>
      <c r="N369" s="211"/>
      <c r="O369" s="211"/>
      <c r="P369" s="211"/>
      <c r="Q369" s="211"/>
      <c r="R369" s="211"/>
      <c r="V369" s="211"/>
      <c r="Y369" s="211"/>
      <c r="Z369" s="329"/>
      <c r="AA369" s="211"/>
      <c r="AB369" s="211"/>
      <c r="AC369" s="211"/>
      <c r="AD369" s="211"/>
      <c r="AE369" s="211"/>
      <c r="AF369" s="211"/>
      <c r="AI369" s="211"/>
      <c r="AJ369" s="211"/>
      <c r="AK369" s="212"/>
      <c r="AL369" s="211"/>
    </row>
    <row r="370" spans="1:40" x14ac:dyDescent="0.25">
      <c r="A370" s="202"/>
      <c r="C370" s="154"/>
      <c r="J370" s="334"/>
      <c r="K370" s="334"/>
      <c r="T370" s="154"/>
      <c r="Z370" s="334"/>
    </row>
    <row r="371" spans="1:40" x14ac:dyDescent="0.25">
      <c r="A371" s="202"/>
      <c r="C371" s="154"/>
      <c r="J371" s="334"/>
      <c r="K371" s="334"/>
      <c r="T371" s="154"/>
      <c r="Z371" s="334"/>
    </row>
    <row r="372" spans="1:40" x14ac:dyDescent="0.25">
      <c r="A372" s="202"/>
      <c r="C372" s="154"/>
      <c r="F372" s="252"/>
      <c r="H372" s="252"/>
      <c r="I372" s="252"/>
      <c r="J372" s="329"/>
      <c r="K372" s="329"/>
      <c r="L372" s="200"/>
      <c r="M372" s="200"/>
      <c r="N372" s="210"/>
      <c r="O372" s="210"/>
      <c r="P372" s="200"/>
      <c r="Q372" s="200"/>
      <c r="R372" s="200"/>
      <c r="T372" s="154"/>
      <c r="V372" s="200"/>
      <c r="Y372" s="200"/>
      <c r="Z372" s="329"/>
      <c r="AA372" s="200"/>
      <c r="AB372" s="200"/>
      <c r="AC372" s="210"/>
      <c r="AD372" s="210"/>
      <c r="AE372" s="200"/>
      <c r="AF372" s="200"/>
      <c r="AG372" s="209"/>
      <c r="AH372" s="201"/>
      <c r="AI372" s="200"/>
      <c r="AJ372" s="200"/>
      <c r="AK372" s="209"/>
      <c r="AL372" s="200"/>
      <c r="AM372" s="210"/>
      <c r="AN372" s="210"/>
    </row>
    <row r="373" spans="1:40" x14ac:dyDescent="0.25">
      <c r="A373" s="202"/>
      <c r="C373" s="154"/>
      <c r="F373" s="252"/>
      <c r="H373" s="252"/>
      <c r="I373" s="252"/>
      <c r="J373" s="329"/>
      <c r="K373" s="329"/>
      <c r="L373" s="200"/>
      <c r="M373" s="200"/>
      <c r="N373" s="210"/>
      <c r="O373" s="210"/>
      <c r="P373" s="200"/>
      <c r="Q373" s="200"/>
      <c r="R373" s="200"/>
      <c r="T373" s="154"/>
      <c r="V373" s="200"/>
      <c r="Y373" s="200"/>
      <c r="Z373" s="329"/>
      <c r="AA373" s="200"/>
      <c r="AB373" s="200"/>
      <c r="AC373" s="210"/>
      <c r="AD373" s="210"/>
      <c r="AE373" s="200"/>
      <c r="AF373" s="200"/>
      <c r="AG373" s="209"/>
      <c r="AH373" s="201"/>
      <c r="AI373" s="200"/>
      <c r="AJ373" s="200"/>
      <c r="AK373" s="209"/>
      <c r="AL373" s="200"/>
      <c r="AM373" s="210"/>
      <c r="AN373" s="210"/>
    </row>
    <row r="374" spans="1:40" x14ac:dyDescent="0.25">
      <c r="A374" s="202"/>
      <c r="C374" s="154"/>
      <c r="F374" s="252"/>
      <c r="H374" s="252"/>
      <c r="I374" s="252"/>
      <c r="J374" s="329"/>
      <c r="K374" s="329"/>
      <c r="L374" s="200"/>
      <c r="M374" s="200"/>
      <c r="N374" s="210"/>
      <c r="O374" s="210"/>
      <c r="P374" s="200"/>
      <c r="Q374" s="200"/>
      <c r="R374" s="200"/>
      <c r="T374" s="154"/>
      <c r="V374" s="200"/>
      <c r="Y374" s="200"/>
      <c r="Z374" s="329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A375" s="202"/>
      <c r="C375" s="154"/>
      <c r="F375" s="252"/>
      <c r="H375" s="252"/>
      <c r="I375" s="252"/>
      <c r="J375" s="329"/>
      <c r="K375" s="329"/>
      <c r="L375" s="200"/>
      <c r="M375" s="200"/>
      <c r="N375" s="210"/>
      <c r="O375" s="210"/>
      <c r="P375" s="200"/>
      <c r="Q375" s="200"/>
      <c r="R375" s="200"/>
      <c r="T375" s="154"/>
      <c r="V375" s="200"/>
      <c r="Y375" s="200"/>
      <c r="Z375" s="329"/>
      <c r="AA375" s="200"/>
      <c r="AB375" s="200"/>
      <c r="AC375" s="210"/>
      <c r="AD375" s="210"/>
      <c r="AE375" s="200"/>
      <c r="AF375" s="200"/>
      <c r="AG375" s="209"/>
      <c r="AH375" s="201"/>
      <c r="AI375" s="200"/>
      <c r="AJ375" s="200"/>
      <c r="AK375" s="209"/>
      <c r="AL375" s="200"/>
      <c r="AM375" s="210"/>
      <c r="AN375" s="210"/>
    </row>
    <row r="376" spans="1:40" x14ac:dyDescent="0.25">
      <c r="A376" s="202"/>
      <c r="C376" s="154"/>
      <c r="F376" s="252"/>
      <c r="H376" s="252"/>
      <c r="I376" s="252"/>
      <c r="J376" s="329"/>
      <c r="K376" s="329"/>
      <c r="L376" s="200"/>
      <c r="M376" s="200"/>
      <c r="N376" s="210"/>
      <c r="O376" s="210"/>
      <c r="P376" s="200"/>
      <c r="Q376" s="200"/>
      <c r="R376" s="200"/>
      <c r="T376" s="154"/>
      <c r="V376" s="200"/>
      <c r="Y376" s="200"/>
      <c r="Z376" s="329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A377" s="202"/>
      <c r="C377" s="154"/>
      <c r="F377" s="252"/>
      <c r="H377" s="252"/>
      <c r="I377" s="252"/>
      <c r="J377" s="329"/>
      <c r="K377" s="329"/>
      <c r="L377" s="200"/>
      <c r="M377" s="200"/>
      <c r="N377" s="210"/>
      <c r="O377" s="210"/>
      <c r="P377" s="200"/>
      <c r="Q377" s="200"/>
      <c r="R377" s="200"/>
      <c r="T377" s="154"/>
      <c r="V377" s="200"/>
      <c r="Y377" s="200"/>
      <c r="Z377" s="329"/>
      <c r="AA377" s="200"/>
      <c r="AB377" s="200"/>
      <c r="AC377" s="210"/>
      <c r="AD377" s="210"/>
      <c r="AE377" s="200"/>
      <c r="AF377" s="200"/>
      <c r="AG377" s="209"/>
      <c r="AH377" s="201"/>
      <c r="AI377" s="200"/>
      <c r="AJ377" s="200"/>
      <c r="AK377" s="209"/>
      <c r="AL377" s="200"/>
      <c r="AM377" s="210"/>
      <c r="AN377" s="210"/>
    </row>
    <row r="378" spans="1:40" x14ac:dyDescent="0.25">
      <c r="A378" s="202"/>
      <c r="C378" s="154"/>
      <c r="F378" s="252"/>
      <c r="H378" s="252"/>
      <c r="I378" s="252"/>
      <c r="J378" s="329"/>
      <c r="K378" s="329"/>
      <c r="L378" s="200"/>
      <c r="M378" s="200"/>
      <c r="N378" s="210"/>
      <c r="O378" s="210"/>
      <c r="P378" s="200"/>
      <c r="Q378" s="200"/>
      <c r="R378" s="200"/>
      <c r="T378" s="154"/>
      <c r="V378" s="200"/>
      <c r="Y378" s="200"/>
      <c r="Z378" s="329"/>
      <c r="AA378" s="200"/>
      <c r="AB378" s="200"/>
      <c r="AC378" s="210"/>
      <c r="AD378" s="210"/>
      <c r="AE378" s="200"/>
      <c r="AF378" s="200"/>
      <c r="AG378" s="209"/>
      <c r="AH378" s="201"/>
      <c r="AI378" s="200"/>
      <c r="AJ378" s="200"/>
      <c r="AK378" s="209"/>
      <c r="AL378" s="200"/>
      <c r="AM378" s="210"/>
      <c r="AN378" s="210"/>
    </row>
    <row r="379" spans="1:40" x14ac:dyDescent="0.25">
      <c r="A379" s="202"/>
      <c r="C379" s="154"/>
      <c r="J379" s="334"/>
      <c r="K379" s="334"/>
      <c r="T379" s="154"/>
      <c r="Z379" s="334"/>
    </row>
    <row r="380" spans="1:40" x14ac:dyDescent="0.25">
      <c r="A380" s="202"/>
      <c r="C380" s="154"/>
      <c r="F380" s="252"/>
      <c r="H380" s="252"/>
      <c r="I380" s="252"/>
      <c r="J380" s="329"/>
      <c r="K380" s="329"/>
      <c r="L380" s="200"/>
      <c r="M380" s="200"/>
      <c r="N380" s="210"/>
      <c r="O380" s="210"/>
      <c r="P380" s="200"/>
      <c r="Q380" s="200"/>
      <c r="R380" s="200"/>
      <c r="T380" s="154"/>
      <c r="V380" s="200"/>
      <c r="Y380" s="200"/>
      <c r="Z380" s="329"/>
      <c r="AA380" s="200"/>
      <c r="AB380" s="200"/>
      <c r="AC380" s="210"/>
      <c r="AD380" s="210"/>
      <c r="AE380" s="200"/>
      <c r="AF380" s="200"/>
      <c r="AG380" s="209"/>
      <c r="AH380" s="201"/>
      <c r="AI380" s="200"/>
      <c r="AJ380" s="200"/>
      <c r="AK380" s="209"/>
      <c r="AL380" s="200"/>
      <c r="AM380" s="210"/>
      <c r="AN380" s="210"/>
    </row>
    <row r="381" spans="1:40" x14ac:dyDescent="0.25">
      <c r="A381" s="202"/>
      <c r="C381" s="154"/>
      <c r="F381" s="252"/>
      <c r="H381" s="252"/>
      <c r="I381" s="252"/>
      <c r="J381" s="329"/>
      <c r="K381" s="329"/>
      <c r="L381" s="200"/>
      <c r="M381" s="200"/>
      <c r="N381" s="210"/>
      <c r="O381" s="210"/>
      <c r="P381" s="200"/>
      <c r="Q381" s="200"/>
      <c r="R381" s="200"/>
      <c r="T381" s="154"/>
      <c r="V381" s="200"/>
      <c r="Y381" s="200"/>
      <c r="Z381" s="329"/>
      <c r="AA381" s="200"/>
      <c r="AB381" s="200"/>
      <c r="AC381" s="210"/>
      <c r="AD381" s="210"/>
      <c r="AE381" s="200"/>
      <c r="AF381" s="200"/>
      <c r="AG381" s="209"/>
      <c r="AH381" s="201"/>
      <c r="AI381" s="200"/>
      <c r="AJ381" s="200"/>
      <c r="AK381" s="209"/>
      <c r="AL381" s="200"/>
      <c r="AM381" s="210"/>
      <c r="AN381" s="210"/>
    </row>
    <row r="382" spans="1:40" x14ac:dyDescent="0.25">
      <c r="A382" s="202"/>
      <c r="C382" s="154"/>
      <c r="F382" s="252"/>
      <c r="H382" s="252"/>
      <c r="I382" s="252"/>
      <c r="J382" s="329"/>
      <c r="K382" s="329"/>
      <c r="L382" s="200"/>
      <c r="M382" s="200"/>
      <c r="N382" s="210"/>
      <c r="O382" s="210"/>
      <c r="P382" s="200"/>
      <c r="Q382" s="200"/>
      <c r="R382" s="200"/>
      <c r="T382" s="154"/>
      <c r="V382" s="200"/>
      <c r="Y382" s="200"/>
      <c r="Z382" s="329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A383" s="202"/>
      <c r="C383" s="154"/>
      <c r="F383" s="252"/>
      <c r="H383" s="252"/>
      <c r="I383" s="252"/>
      <c r="J383" s="329"/>
      <c r="K383" s="329"/>
      <c r="L383" s="200"/>
      <c r="M383" s="200"/>
      <c r="N383" s="210"/>
      <c r="O383" s="210"/>
      <c r="P383" s="200"/>
      <c r="Q383" s="200"/>
      <c r="R383" s="200"/>
      <c r="T383" s="154"/>
      <c r="V383" s="200"/>
      <c r="Y383" s="200"/>
      <c r="Z383" s="329"/>
      <c r="AA383" s="200"/>
      <c r="AB383" s="200"/>
      <c r="AC383" s="210"/>
      <c r="AD383" s="210"/>
      <c r="AE383" s="200"/>
      <c r="AF383" s="200"/>
      <c r="AG383" s="209"/>
      <c r="AH383" s="201"/>
      <c r="AI383" s="200"/>
      <c r="AJ383" s="200"/>
      <c r="AK383" s="209"/>
      <c r="AL383" s="200"/>
      <c r="AM383" s="210"/>
      <c r="AN383" s="210"/>
    </row>
    <row r="384" spans="1:40" x14ac:dyDescent="0.25">
      <c r="A384" s="202"/>
      <c r="C384" s="154"/>
      <c r="J384" s="334"/>
      <c r="K384" s="334"/>
      <c r="T384" s="154"/>
      <c r="Z384" s="334"/>
    </row>
    <row r="385" spans="1:40" x14ac:dyDescent="0.25">
      <c r="A385" s="202"/>
      <c r="C385" s="154"/>
      <c r="F385" s="252"/>
      <c r="H385" s="252"/>
      <c r="I385" s="252"/>
      <c r="J385" s="329"/>
      <c r="K385" s="329"/>
      <c r="L385" s="200"/>
      <c r="M385" s="200"/>
      <c r="N385" s="210"/>
      <c r="O385" s="210"/>
      <c r="P385" s="200"/>
      <c r="Q385" s="200"/>
      <c r="R385" s="200"/>
      <c r="T385" s="154"/>
      <c r="V385" s="200"/>
      <c r="Y385" s="200"/>
      <c r="Z385" s="329"/>
      <c r="AA385" s="200"/>
      <c r="AB385" s="200"/>
      <c r="AC385" s="210"/>
      <c r="AD385" s="210"/>
      <c r="AE385" s="200"/>
      <c r="AF385" s="200"/>
      <c r="AG385" s="209"/>
      <c r="AH385" s="201"/>
      <c r="AI385" s="200"/>
      <c r="AJ385" s="200"/>
      <c r="AK385" s="209"/>
      <c r="AL385" s="200"/>
      <c r="AM385" s="210"/>
      <c r="AN385" s="210"/>
    </row>
    <row r="386" spans="1:40" x14ac:dyDescent="0.25">
      <c r="A386" s="202"/>
      <c r="C386" s="154"/>
      <c r="F386" s="252"/>
      <c r="H386" s="252"/>
      <c r="I386" s="252"/>
      <c r="J386" s="329"/>
      <c r="K386" s="329"/>
      <c r="L386" s="200"/>
      <c r="M386" s="200"/>
      <c r="N386" s="210"/>
      <c r="O386" s="210"/>
      <c r="P386" s="200"/>
      <c r="Q386" s="200"/>
      <c r="R386" s="200"/>
      <c r="T386" s="154"/>
      <c r="V386" s="200"/>
      <c r="Y386" s="200"/>
      <c r="Z386" s="329"/>
      <c r="AA386" s="200"/>
      <c r="AB386" s="200"/>
      <c r="AC386" s="210"/>
      <c r="AD386" s="210"/>
      <c r="AE386" s="200"/>
      <c r="AF386" s="200"/>
      <c r="AG386" s="209"/>
      <c r="AH386" s="201"/>
      <c r="AI386" s="200"/>
      <c r="AJ386" s="200"/>
      <c r="AK386" s="209"/>
      <c r="AL386" s="200"/>
      <c r="AM386" s="210"/>
      <c r="AN386" s="210"/>
    </row>
    <row r="387" spans="1:40" x14ac:dyDescent="0.25">
      <c r="A387" s="202"/>
      <c r="C387" s="154"/>
      <c r="F387" s="252"/>
      <c r="H387" s="252"/>
      <c r="I387" s="252"/>
      <c r="J387" s="329"/>
      <c r="K387" s="329"/>
      <c r="L387" s="200"/>
      <c r="M387" s="200"/>
      <c r="N387" s="210"/>
      <c r="O387" s="210"/>
      <c r="P387" s="200"/>
      <c r="Q387" s="200"/>
      <c r="R387" s="200"/>
      <c r="T387" s="154"/>
      <c r="V387" s="200"/>
      <c r="Y387" s="200"/>
      <c r="Z387" s="329"/>
      <c r="AA387" s="200"/>
      <c r="AB387" s="200"/>
      <c r="AC387" s="210"/>
      <c r="AD387" s="210"/>
      <c r="AE387" s="200"/>
      <c r="AF387" s="200"/>
      <c r="AG387" s="209"/>
      <c r="AH387" s="201"/>
      <c r="AI387" s="200"/>
      <c r="AJ387" s="200"/>
      <c r="AK387" s="209"/>
      <c r="AL387" s="200"/>
      <c r="AM387" s="210"/>
      <c r="AN387" s="210"/>
    </row>
    <row r="388" spans="1:40" x14ac:dyDescent="0.25">
      <c r="A388" s="202"/>
      <c r="C388" s="154"/>
      <c r="F388" s="252"/>
      <c r="H388" s="252"/>
      <c r="I388" s="252"/>
      <c r="J388" s="329"/>
      <c r="K388" s="329"/>
      <c r="L388" s="200"/>
      <c r="M388" s="200"/>
      <c r="N388" s="210"/>
      <c r="O388" s="210"/>
      <c r="P388" s="200"/>
      <c r="Q388" s="200"/>
      <c r="R388" s="200"/>
      <c r="T388" s="154"/>
      <c r="V388" s="200"/>
      <c r="Y388" s="200"/>
      <c r="Z388" s="329"/>
      <c r="AA388" s="200"/>
      <c r="AB388" s="200"/>
      <c r="AC388" s="210"/>
      <c r="AD388" s="210"/>
      <c r="AE388" s="200"/>
      <c r="AF388" s="200"/>
      <c r="AG388" s="209"/>
      <c r="AH388" s="201"/>
      <c r="AI388" s="200"/>
      <c r="AJ388" s="200"/>
      <c r="AK388" s="209"/>
      <c r="AL388" s="200"/>
      <c r="AM388" s="210"/>
      <c r="AN388" s="210"/>
    </row>
    <row r="389" spans="1:40" x14ac:dyDescent="0.25">
      <c r="A389" s="202"/>
      <c r="C389" s="154"/>
      <c r="F389" s="252"/>
      <c r="H389" s="252"/>
      <c r="I389" s="252"/>
      <c r="J389" s="329"/>
      <c r="K389" s="329"/>
      <c r="L389" s="200"/>
      <c r="M389" s="200"/>
      <c r="N389" s="210"/>
      <c r="O389" s="210"/>
      <c r="P389" s="200"/>
      <c r="Q389" s="200"/>
      <c r="R389" s="200"/>
      <c r="T389" s="154"/>
      <c r="V389" s="200"/>
      <c r="Y389" s="200"/>
      <c r="Z389" s="329"/>
      <c r="AA389" s="200"/>
      <c r="AB389" s="200"/>
      <c r="AC389" s="210"/>
      <c r="AD389" s="210"/>
      <c r="AE389" s="200"/>
      <c r="AF389" s="200"/>
      <c r="AG389" s="209"/>
      <c r="AH389" s="201"/>
      <c r="AI389" s="200"/>
      <c r="AJ389" s="200"/>
      <c r="AK389" s="209"/>
      <c r="AL389" s="200"/>
      <c r="AM389" s="210"/>
      <c r="AN389" s="210"/>
    </row>
    <row r="390" spans="1:40" x14ac:dyDescent="0.25">
      <c r="F390" s="211"/>
      <c r="H390" s="211"/>
      <c r="I390" s="211"/>
      <c r="J390" s="305"/>
      <c r="K390" s="305"/>
      <c r="L390" s="211"/>
      <c r="M390" s="211"/>
      <c r="N390" s="211"/>
      <c r="O390" s="211"/>
      <c r="P390" s="211"/>
      <c r="Q390" s="211"/>
      <c r="R390" s="211"/>
      <c r="V390" s="211"/>
      <c r="Y390" s="211"/>
      <c r="Z390" s="329"/>
      <c r="AA390" s="211"/>
      <c r="AB390" s="211"/>
      <c r="AC390" s="211"/>
      <c r="AD390" s="211"/>
      <c r="AE390" s="211"/>
      <c r="AF390" s="211"/>
      <c r="AI390" s="211"/>
      <c r="AJ390" s="211"/>
      <c r="AK390" s="212"/>
      <c r="AL390" s="211"/>
    </row>
    <row r="391" spans="1:40" x14ac:dyDescent="0.25">
      <c r="A391" s="202"/>
      <c r="C391" s="154"/>
      <c r="F391" s="200"/>
      <c r="H391" s="200"/>
      <c r="I391" s="200"/>
      <c r="L391" s="200"/>
      <c r="M391" s="200"/>
      <c r="N391" s="201"/>
      <c r="O391" s="201"/>
      <c r="P391" s="200"/>
      <c r="Q391" s="200"/>
      <c r="R391" s="200"/>
      <c r="T391" s="154"/>
      <c r="V391" s="200"/>
      <c r="Y391" s="200"/>
      <c r="AA391" s="200"/>
      <c r="AB391" s="200"/>
      <c r="AC391" s="210"/>
      <c r="AD391" s="210"/>
      <c r="AE391" s="200"/>
      <c r="AF391" s="200"/>
      <c r="AG391" s="209"/>
      <c r="AH391" s="201"/>
      <c r="AI391" s="200"/>
      <c r="AJ391" s="200"/>
      <c r="AK391" s="209"/>
      <c r="AL391" s="200"/>
      <c r="AM391" s="210"/>
      <c r="AN391" s="210"/>
    </row>
    <row r="392" spans="1:40" x14ac:dyDescent="0.25">
      <c r="F392" s="211"/>
      <c r="H392" s="211"/>
      <c r="I392" s="211"/>
      <c r="J392" s="305"/>
      <c r="K392" s="305"/>
      <c r="L392" s="211"/>
      <c r="M392" s="211"/>
      <c r="N392" s="211"/>
      <c r="O392" s="211"/>
      <c r="P392" s="211"/>
      <c r="Q392" s="211"/>
      <c r="R392" s="211"/>
      <c r="V392" s="211"/>
      <c r="Y392" s="211"/>
      <c r="Z392" s="305"/>
      <c r="AA392" s="211"/>
      <c r="AB392" s="211"/>
      <c r="AC392" s="211"/>
      <c r="AD392" s="211"/>
      <c r="AE392" s="211"/>
      <c r="AF392" s="211"/>
      <c r="AI392" s="211"/>
      <c r="AJ392" s="211"/>
      <c r="AK392" s="212"/>
      <c r="AL392" s="211"/>
    </row>
    <row r="393" spans="1:40" x14ac:dyDescent="0.25">
      <c r="A393" s="202"/>
      <c r="C393" s="154"/>
      <c r="T393" s="154"/>
    </row>
    <row r="394" spans="1:40" x14ac:dyDescent="0.25">
      <c r="A394" s="202"/>
      <c r="C394" s="154"/>
      <c r="F394" s="252"/>
      <c r="H394" s="252"/>
      <c r="I394" s="252"/>
      <c r="J394" s="300"/>
      <c r="K394" s="300"/>
      <c r="L394" s="200"/>
      <c r="M394" s="200"/>
      <c r="N394" s="210"/>
      <c r="O394" s="210"/>
      <c r="P394" s="200"/>
      <c r="Q394" s="200"/>
      <c r="R394" s="200"/>
      <c r="T394" s="154"/>
      <c r="V394" s="200"/>
      <c r="Y394" s="200"/>
      <c r="Z394" s="300"/>
      <c r="AA394" s="200"/>
      <c r="AB394" s="200"/>
      <c r="AC394" s="210"/>
      <c r="AD394" s="210"/>
      <c r="AE394" s="200"/>
      <c r="AF394" s="200"/>
      <c r="AG394" s="209"/>
      <c r="AH394" s="201"/>
      <c r="AI394" s="200"/>
      <c r="AJ394" s="200"/>
      <c r="AK394" s="209"/>
      <c r="AL394" s="200"/>
      <c r="AM394" s="210"/>
      <c r="AN394" s="210"/>
    </row>
    <row r="395" spans="1:40" x14ac:dyDescent="0.25">
      <c r="A395" s="202"/>
      <c r="C395" s="154"/>
      <c r="F395" s="252"/>
      <c r="H395" s="252"/>
      <c r="I395" s="252"/>
      <c r="J395" s="300"/>
      <c r="K395" s="300"/>
      <c r="L395" s="200"/>
      <c r="M395" s="200"/>
      <c r="N395" s="210"/>
      <c r="O395" s="210"/>
      <c r="P395" s="200"/>
      <c r="Q395" s="200"/>
      <c r="R395" s="200"/>
      <c r="T395" s="154"/>
      <c r="V395" s="200"/>
      <c r="Y395" s="200"/>
      <c r="Z395" s="300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F396" s="211"/>
      <c r="H396" s="200"/>
      <c r="I396" s="200"/>
      <c r="J396" s="305"/>
      <c r="K396" s="305"/>
      <c r="L396" s="211"/>
      <c r="M396" s="211"/>
      <c r="N396" s="211"/>
      <c r="O396" s="211"/>
      <c r="P396" s="211"/>
      <c r="Q396" s="211"/>
      <c r="R396" s="211"/>
      <c r="V396" s="211"/>
      <c r="Y396" s="200"/>
      <c r="Z396" s="305"/>
      <c r="AA396" s="211"/>
      <c r="AB396" s="211"/>
      <c r="AC396" s="211"/>
      <c r="AD396" s="211"/>
      <c r="AE396" s="211"/>
      <c r="AF396" s="211"/>
      <c r="AI396" s="211"/>
      <c r="AJ396" s="211"/>
      <c r="AK396" s="212"/>
      <c r="AL396" s="211"/>
    </row>
    <row r="397" spans="1:40" x14ac:dyDescent="0.25">
      <c r="F397" s="200"/>
      <c r="H397" s="200"/>
      <c r="I397" s="200"/>
      <c r="J397" s="305"/>
      <c r="K397" s="305"/>
      <c r="L397" s="200"/>
      <c r="M397" s="200"/>
      <c r="N397" s="200"/>
      <c r="O397" s="200"/>
      <c r="P397" s="200"/>
      <c r="Q397" s="200"/>
      <c r="R397" s="200"/>
      <c r="V397" s="200"/>
      <c r="Y397" s="200"/>
      <c r="Z397" s="305"/>
      <c r="AA397" s="200"/>
      <c r="AB397" s="200"/>
      <c r="AC397" s="200"/>
      <c r="AD397" s="200"/>
      <c r="AE397" s="200"/>
      <c r="AF397" s="200"/>
      <c r="AI397" s="200"/>
      <c r="AJ397" s="200"/>
      <c r="AK397" s="209"/>
      <c r="AL397" s="200"/>
    </row>
    <row r="398" spans="1:40" x14ac:dyDescent="0.25">
      <c r="A398" s="202"/>
      <c r="C398" s="154"/>
      <c r="F398" s="200"/>
      <c r="H398" s="200"/>
      <c r="I398" s="200"/>
      <c r="L398" s="200"/>
      <c r="M398" s="200"/>
      <c r="N398" s="210"/>
      <c r="O398" s="210"/>
      <c r="P398" s="200"/>
      <c r="Q398" s="200"/>
      <c r="R398" s="200"/>
      <c r="T398" s="154"/>
      <c r="V398" s="200"/>
      <c r="Y398" s="200"/>
      <c r="AA398" s="200"/>
      <c r="AB398" s="200"/>
      <c r="AC398" s="210"/>
      <c r="AD398" s="210"/>
      <c r="AE398" s="200"/>
      <c r="AF398" s="200"/>
      <c r="AG398" s="209"/>
      <c r="AH398" s="201"/>
      <c r="AI398" s="252"/>
      <c r="AJ398" s="252"/>
      <c r="AK398" s="209"/>
      <c r="AL398" s="200"/>
      <c r="AM398" s="210"/>
      <c r="AN398" s="210"/>
    </row>
    <row r="399" spans="1:40" x14ac:dyDescent="0.25">
      <c r="H399" s="211"/>
      <c r="I399" s="211"/>
      <c r="J399" s="305"/>
      <c r="K399" s="305"/>
      <c r="L399" s="211"/>
      <c r="M399" s="211"/>
      <c r="N399" s="211"/>
      <c r="O399" s="211"/>
      <c r="P399" s="211"/>
      <c r="Q399" s="211"/>
      <c r="R399" s="211"/>
      <c r="V399" s="211"/>
      <c r="Y399" s="211"/>
      <c r="Z399" s="305"/>
      <c r="AA399" s="211"/>
      <c r="AB399" s="211"/>
      <c r="AC399" s="211"/>
      <c r="AD399" s="211"/>
      <c r="AE399" s="211"/>
      <c r="AF399" s="211"/>
      <c r="AI399" s="211"/>
      <c r="AJ399" s="211"/>
      <c r="AK399" s="212"/>
      <c r="AL399" s="211"/>
    </row>
    <row r="400" spans="1:40" x14ac:dyDescent="0.25">
      <c r="F400" s="211"/>
    </row>
    <row r="401" spans="1:38" x14ac:dyDescent="0.25">
      <c r="A401" s="154"/>
      <c r="T401" s="154"/>
    </row>
    <row r="402" spans="1:38" x14ac:dyDescent="0.25">
      <c r="A402" s="154"/>
      <c r="T402" s="154"/>
    </row>
    <row r="403" spans="1:38" x14ac:dyDescent="0.25">
      <c r="A403" s="154"/>
      <c r="T403" s="154"/>
    </row>
    <row r="404" spans="1:38" x14ac:dyDescent="0.25">
      <c r="A404" s="154"/>
      <c r="T404" s="154"/>
    </row>
    <row r="405" spans="1:38" x14ac:dyDescent="0.25">
      <c r="A405" s="154"/>
      <c r="T405" s="154"/>
    </row>
    <row r="406" spans="1:38" x14ac:dyDescent="0.25">
      <c r="A406" s="154"/>
      <c r="T406" s="154"/>
    </row>
    <row r="407" spans="1:38" x14ac:dyDescent="0.25">
      <c r="A407" s="154"/>
      <c r="T407" s="154"/>
    </row>
    <row r="408" spans="1:38" x14ac:dyDescent="0.25">
      <c r="A408" s="154"/>
      <c r="T408" s="154"/>
    </row>
    <row r="409" spans="1:38" x14ac:dyDescent="0.25">
      <c r="A409" s="154"/>
      <c r="T409" s="154"/>
    </row>
    <row r="411" spans="1:38" x14ac:dyDescent="0.25">
      <c r="A411" s="154"/>
    </row>
    <row r="412" spans="1:38" x14ac:dyDescent="0.25">
      <c r="J412" s="202"/>
      <c r="K412" s="202"/>
      <c r="Z412" s="202"/>
    </row>
    <row r="413" spans="1:38" x14ac:dyDescent="0.25">
      <c r="H413" s="154"/>
      <c r="I413" s="154"/>
      <c r="Y413" s="154"/>
    </row>
    <row r="414" spans="1:38" x14ac:dyDescent="0.25">
      <c r="J414" s="202"/>
      <c r="K414" s="202"/>
      <c r="Z414" s="202"/>
    </row>
    <row r="415" spans="1:38" x14ac:dyDescent="0.25">
      <c r="L415" s="154"/>
      <c r="M415" s="154"/>
      <c r="AA415" s="154"/>
      <c r="AB415" s="154"/>
    </row>
    <row r="416" spans="1:38" x14ac:dyDescent="0.25">
      <c r="A416" s="202"/>
      <c r="R416" s="154"/>
      <c r="AK416" s="297"/>
      <c r="AL416" s="154"/>
    </row>
    <row r="417" spans="1:40" x14ac:dyDescent="0.25">
      <c r="A417" s="202"/>
      <c r="R417" s="154"/>
      <c r="AK417" s="297"/>
      <c r="AL417" s="154"/>
    </row>
    <row r="418" spans="1:40" x14ac:dyDescent="0.25">
      <c r="A418" s="154"/>
      <c r="R418" s="154"/>
      <c r="AK418" s="297"/>
      <c r="AL418" s="154"/>
    </row>
    <row r="419" spans="1:40" x14ac:dyDescent="0.25">
      <c r="L419" s="154"/>
      <c r="M419" s="154"/>
      <c r="R419" s="202"/>
      <c r="AA419" s="154"/>
      <c r="AB419" s="154"/>
      <c r="AK419" s="209"/>
      <c r="AL419" s="202"/>
    </row>
    <row r="420" spans="1:40" x14ac:dyDescent="0.25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208"/>
      <c r="AH420" s="102"/>
      <c r="AI420" s="102"/>
      <c r="AJ420" s="102"/>
      <c r="AK420" s="208"/>
      <c r="AL420" s="102"/>
      <c r="AM420" s="102"/>
      <c r="AN420" s="102"/>
    </row>
    <row r="421" spans="1:40" x14ac:dyDescent="0.25">
      <c r="L421" s="103"/>
      <c r="M421" s="103"/>
      <c r="N421" s="103"/>
      <c r="O421" s="103"/>
      <c r="R421" s="103"/>
      <c r="AA421" s="103"/>
      <c r="AB421" s="103"/>
      <c r="AC421" s="103"/>
      <c r="AD421" s="103"/>
      <c r="AE421" s="103"/>
      <c r="AF421" s="103"/>
      <c r="AG421" s="185"/>
      <c r="AH421" s="103"/>
      <c r="AK421" s="185"/>
      <c r="AL421" s="103"/>
      <c r="AM421" s="103"/>
      <c r="AN421" s="103"/>
    </row>
    <row r="422" spans="1:40" x14ac:dyDescent="0.25">
      <c r="L422" s="103"/>
      <c r="M422" s="103"/>
      <c r="N422" s="103"/>
      <c r="O422" s="103"/>
      <c r="R422" s="103"/>
      <c r="Z422" s="103"/>
      <c r="AA422" s="103"/>
      <c r="AB422" s="103"/>
      <c r="AC422" s="103"/>
      <c r="AD422" s="103"/>
      <c r="AE422" s="103"/>
      <c r="AF422" s="103"/>
      <c r="AG422" s="185"/>
      <c r="AH422" s="103"/>
      <c r="AK422" s="185"/>
      <c r="AL422" s="103"/>
      <c r="AM422" s="103"/>
      <c r="AN422" s="103"/>
    </row>
    <row r="423" spans="1:40" x14ac:dyDescent="0.25">
      <c r="A423" s="103"/>
      <c r="C423" s="103"/>
      <c r="D423" s="103"/>
      <c r="E423" s="103"/>
      <c r="F423" s="103"/>
      <c r="J423" s="103"/>
      <c r="K423" s="103"/>
      <c r="L423" s="103"/>
      <c r="M423" s="103"/>
      <c r="N423" s="103"/>
      <c r="O423" s="103"/>
      <c r="P423" s="103"/>
      <c r="Q423" s="103"/>
      <c r="R423" s="103"/>
      <c r="T423" s="103"/>
      <c r="U423" s="103"/>
      <c r="V423" s="103"/>
      <c r="Z423" s="103"/>
      <c r="AA423" s="103"/>
      <c r="AB423" s="103"/>
      <c r="AC423" s="103"/>
      <c r="AD423" s="103"/>
      <c r="AE423" s="103"/>
      <c r="AF423" s="103"/>
      <c r="AG423" s="185"/>
      <c r="AH423" s="103"/>
      <c r="AI423" s="103"/>
      <c r="AJ423" s="103"/>
      <c r="AK423" s="185"/>
      <c r="AL423" s="103"/>
      <c r="AM423" s="103"/>
      <c r="AN423" s="103"/>
    </row>
    <row r="424" spans="1:40" x14ac:dyDescent="0.25">
      <c r="A424" s="103"/>
      <c r="C424" s="103"/>
      <c r="D424" s="103"/>
      <c r="E424" s="103"/>
      <c r="F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T424" s="103"/>
      <c r="U424" s="103"/>
      <c r="V424" s="103"/>
      <c r="Y424" s="103"/>
      <c r="Z424" s="103"/>
      <c r="AA424" s="103"/>
      <c r="AB424" s="103"/>
      <c r="AC424" s="103"/>
      <c r="AD424" s="103"/>
      <c r="AE424" s="103"/>
      <c r="AF424" s="103"/>
      <c r="AG424" s="185"/>
      <c r="AH424" s="103"/>
      <c r="AI424" s="103"/>
      <c r="AJ424" s="103"/>
      <c r="AK424" s="185"/>
      <c r="AL424" s="103"/>
      <c r="AM424" s="103"/>
      <c r="AN424" s="103"/>
    </row>
    <row r="425" spans="1:40" x14ac:dyDescent="0.25">
      <c r="C425" s="103"/>
      <c r="D425" s="103"/>
      <c r="E425" s="103"/>
      <c r="F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T425" s="103"/>
      <c r="U425" s="103"/>
      <c r="V425" s="103"/>
      <c r="Y425" s="103"/>
      <c r="Z425" s="103"/>
      <c r="AA425" s="103"/>
      <c r="AB425" s="103"/>
      <c r="AC425" s="103"/>
      <c r="AD425" s="103"/>
      <c r="AE425" s="103"/>
      <c r="AF425" s="103"/>
      <c r="AG425" s="185"/>
      <c r="AH425" s="103"/>
      <c r="AI425" s="103"/>
      <c r="AJ425" s="103"/>
      <c r="AK425" s="185"/>
      <c r="AL425" s="103"/>
      <c r="AM425" s="103"/>
      <c r="AN425" s="103"/>
    </row>
    <row r="426" spans="1:40" x14ac:dyDescent="0.25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208"/>
      <c r="AH426" s="102"/>
      <c r="AI426" s="102"/>
      <c r="AJ426" s="102"/>
      <c r="AK426" s="208"/>
      <c r="AL426" s="102"/>
      <c r="AM426" s="102"/>
      <c r="AN426" s="102"/>
    </row>
    <row r="427" spans="1:40" x14ac:dyDescent="0.25"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Y427" s="103"/>
      <c r="Z427" s="103"/>
      <c r="AA427" s="103"/>
      <c r="AB427" s="103"/>
      <c r="AC427" s="103"/>
      <c r="AD427" s="103"/>
      <c r="AE427" s="103"/>
      <c r="AF427" s="103"/>
      <c r="AG427" s="185"/>
      <c r="AH427" s="103"/>
      <c r="AI427" s="103"/>
      <c r="AJ427" s="103"/>
      <c r="AK427" s="185"/>
      <c r="AL427" s="103"/>
      <c r="AM427" s="103"/>
      <c r="AN427" s="103"/>
    </row>
    <row r="428" spans="1:40" x14ac:dyDescent="0.25">
      <c r="A428" s="202"/>
      <c r="C428" s="154"/>
      <c r="D428" s="154"/>
      <c r="E428" s="154"/>
      <c r="T428" s="154"/>
      <c r="U428" s="154"/>
    </row>
    <row r="429" spans="1:40" x14ac:dyDescent="0.25">
      <c r="A429" s="202"/>
      <c r="D429" s="154"/>
      <c r="E429" s="154"/>
      <c r="U429" s="154"/>
    </row>
    <row r="431" spans="1:40" x14ac:dyDescent="0.25">
      <c r="A431" s="202"/>
      <c r="C431" s="154"/>
      <c r="F431" s="200"/>
      <c r="J431" s="215"/>
      <c r="K431" s="215"/>
      <c r="L431" s="200"/>
      <c r="M431" s="200"/>
      <c r="R431" s="200"/>
      <c r="T431" s="154"/>
      <c r="V431" s="200"/>
      <c r="Z431" s="215"/>
      <c r="AA431" s="200"/>
      <c r="AB431" s="200"/>
      <c r="AG431" s="209"/>
      <c r="AH431" s="200"/>
      <c r="AK431" s="209"/>
      <c r="AL431" s="200"/>
    </row>
    <row r="432" spans="1:40" x14ac:dyDescent="0.25">
      <c r="A432" s="202"/>
      <c r="C432" s="154"/>
      <c r="F432" s="200"/>
      <c r="R432" s="200"/>
      <c r="T432" s="154"/>
      <c r="V432" s="200"/>
      <c r="AG432" s="209"/>
      <c r="AH432" s="200"/>
      <c r="AK432" s="209"/>
      <c r="AL432" s="200"/>
    </row>
    <row r="433" spans="1:40" x14ac:dyDescent="0.25">
      <c r="AI433" s="200"/>
      <c r="AJ433" s="200"/>
      <c r="AK433" s="209"/>
      <c r="AL433" s="200"/>
      <c r="AM433" s="210"/>
      <c r="AN433" s="210"/>
    </row>
    <row r="434" spans="1:40" x14ac:dyDescent="0.25">
      <c r="A434" s="202"/>
      <c r="C434" s="154"/>
      <c r="F434" s="252"/>
      <c r="H434" s="252"/>
      <c r="I434" s="252"/>
      <c r="J434" s="328"/>
      <c r="K434" s="328"/>
      <c r="L434" s="200"/>
      <c r="M434" s="200"/>
      <c r="N434" s="210"/>
      <c r="O434" s="210"/>
      <c r="P434" s="200"/>
      <c r="Q434" s="200"/>
      <c r="R434" s="200"/>
      <c r="T434" s="154"/>
      <c r="V434" s="200"/>
      <c r="Y434" s="200"/>
      <c r="Z434" s="328"/>
      <c r="AA434" s="200"/>
      <c r="AB434" s="200"/>
      <c r="AC434" s="210"/>
      <c r="AD434" s="210"/>
      <c r="AE434" s="200"/>
      <c r="AF434" s="200"/>
      <c r="AG434" s="209"/>
      <c r="AH434" s="201"/>
      <c r="AI434" s="200"/>
      <c r="AJ434" s="200"/>
      <c r="AK434" s="209"/>
      <c r="AL434" s="200"/>
      <c r="AM434" s="210"/>
      <c r="AN434" s="210"/>
    </row>
    <row r="435" spans="1:40" x14ac:dyDescent="0.25">
      <c r="F435" s="200"/>
      <c r="H435" s="200"/>
      <c r="I435" s="200"/>
      <c r="J435" s="213"/>
      <c r="K435" s="213"/>
      <c r="L435" s="200"/>
      <c r="M435" s="200"/>
      <c r="P435" s="200"/>
      <c r="Q435" s="200"/>
      <c r="R435" s="200"/>
      <c r="V435" s="200"/>
      <c r="Y435" s="200"/>
      <c r="Z435" s="213"/>
      <c r="AA435" s="200"/>
      <c r="AB435" s="200"/>
      <c r="AI435" s="200"/>
      <c r="AJ435" s="200"/>
      <c r="AK435" s="209"/>
      <c r="AL435" s="200"/>
      <c r="AM435" s="210"/>
      <c r="AN435" s="210"/>
    </row>
    <row r="436" spans="1:40" x14ac:dyDescent="0.25">
      <c r="F436" s="200"/>
      <c r="R436" s="200"/>
      <c r="V436" s="200"/>
      <c r="AK436" s="209"/>
      <c r="AL436" s="200"/>
      <c r="AM436" s="210"/>
      <c r="AN436" s="210"/>
    </row>
    <row r="437" spans="1:40" x14ac:dyDescent="0.25">
      <c r="A437" s="202"/>
      <c r="C437" s="154"/>
      <c r="F437" s="200"/>
      <c r="J437" s="215"/>
      <c r="K437" s="215"/>
      <c r="L437" s="200"/>
      <c r="M437" s="200"/>
      <c r="N437" s="210"/>
      <c r="O437" s="210"/>
      <c r="R437" s="200"/>
      <c r="T437" s="154"/>
      <c r="V437" s="200"/>
      <c r="Z437" s="215"/>
      <c r="AA437" s="200"/>
      <c r="AB437" s="200"/>
      <c r="AC437" s="210"/>
      <c r="AD437" s="210"/>
      <c r="AK437" s="209"/>
      <c r="AL437" s="200"/>
      <c r="AM437" s="210"/>
      <c r="AN437" s="210"/>
    </row>
    <row r="438" spans="1:40" x14ac:dyDescent="0.25">
      <c r="A438" s="202"/>
      <c r="C438" s="154"/>
      <c r="F438" s="200"/>
      <c r="H438" s="200"/>
      <c r="I438" s="200"/>
      <c r="J438" s="215"/>
      <c r="K438" s="215"/>
      <c r="L438" s="200"/>
      <c r="M438" s="200"/>
      <c r="N438" s="210"/>
      <c r="O438" s="210"/>
      <c r="P438" s="200"/>
      <c r="Q438" s="200"/>
      <c r="R438" s="200"/>
      <c r="T438" s="154"/>
      <c r="V438" s="200"/>
      <c r="Y438" s="200"/>
      <c r="Z438" s="215"/>
      <c r="AA438" s="200"/>
      <c r="AB438" s="200"/>
      <c r="AC438" s="210"/>
      <c r="AD438" s="210"/>
      <c r="AI438" s="200"/>
      <c r="AJ438" s="200"/>
      <c r="AK438" s="209"/>
      <c r="AL438" s="200"/>
      <c r="AM438" s="210"/>
      <c r="AN438" s="210"/>
    </row>
    <row r="439" spans="1:40" x14ac:dyDescent="0.25">
      <c r="A439" s="202"/>
      <c r="C439" s="154"/>
      <c r="T439" s="154"/>
      <c r="AM439" s="210"/>
      <c r="AN439" s="210"/>
    </row>
    <row r="440" spans="1:40" x14ac:dyDescent="0.25">
      <c r="A440" s="202"/>
      <c r="C440" s="154"/>
      <c r="T440" s="154"/>
      <c r="AM440" s="210"/>
      <c r="AN440" s="210"/>
    </row>
    <row r="441" spans="1:40" x14ac:dyDescent="0.25">
      <c r="AM441" s="210"/>
      <c r="AN441" s="210"/>
    </row>
    <row r="442" spans="1:40" x14ac:dyDescent="0.25">
      <c r="A442" s="202"/>
      <c r="C442" s="154"/>
      <c r="F442" s="252"/>
      <c r="H442" s="252"/>
      <c r="I442" s="252"/>
      <c r="J442" s="328"/>
      <c r="K442" s="328"/>
      <c r="L442" s="200"/>
      <c r="M442" s="200"/>
      <c r="N442" s="210"/>
      <c r="O442" s="210"/>
      <c r="P442" s="200"/>
      <c r="Q442" s="200"/>
      <c r="R442" s="200"/>
      <c r="T442" s="154"/>
      <c r="V442" s="200"/>
      <c r="Y442" s="200"/>
      <c r="Z442" s="328"/>
      <c r="AA442" s="200"/>
      <c r="AB442" s="200"/>
      <c r="AC442" s="210"/>
      <c r="AD442" s="210"/>
      <c r="AE442" s="200"/>
      <c r="AF442" s="200"/>
      <c r="AG442" s="209"/>
      <c r="AH442" s="201"/>
      <c r="AI442" s="200"/>
      <c r="AJ442" s="200"/>
      <c r="AK442" s="209"/>
      <c r="AL442" s="200"/>
      <c r="AM442" s="210"/>
      <c r="AN442" s="210"/>
    </row>
    <row r="443" spans="1:40" x14ac:dyDescent="0.25">
      <c r="F443" s="211"/>
      <c r="H443" s="211"/>
      <c r="I443" s="211"/>
      <c r="J443" s="305"/>
      <c r="K443" s="305"/>
      <c r="L443" s="211"/>
      <c r="M443" s="211"/>
      <c r="N443" s="211"/>
      <c r="O443" s="211"/>
      <c r="P443" s="211"/>
      <c r="Q443" s="211"/>
      <c r="R443" s="211"/>
      <c r="V443" s="211"/>
      <c r="Y443" s="211"/>
      <c r="Z443" s="305"/>
      <c r="AA443" s="211"/>
      <c r="AB443" s="211"/>
      <c r="AC443" s="211"/>
      <c r="AD443" s="211"/>
      <c r="AE443" s="211"/>
      <c r="AF443" s="211"/>
      <c r="AI443" s="211"/>
      <c r="AJ443" s="211"/>
      <c r="AK443" s="212"/>
      <c r="AL443" s="211"/>
      <c r="AM443" s="210"/>
      <c r="AN443" s="210"/>
    </row>
    <row r="444" spans="1:40" x14ac:dyDescent="0.25">
      <c r="H444" s="200"/>
      <c r="I444" s="200"/>
      <c r="Y444" s="200"/>
      <c r="AM444" s="210"/>
      <c r="AN444" s="210"/>
    </row>
    <row r="445" spans="1:40" x14ac:dyDescent="0.25">
      <c r="A445" s="202"/>
      <c r="C445" s="154"/>
      <c r="F445" s="200"/>
      <c r="H445" s="200"/>
      <c r="I445" s="200"/>
      <c r="L445" s="200"/>
      <c r="M445" s="200"/>
      <c r="N445" s="210"/>
      <c r="O445" s="210"/>
      <c r="P445" s="252"/>
      <c r="Q445" s="252"/>
      <c r="R445" s="200"/>
      <c r="T445" s="154"/>
      <c r="V445" s="200"/>
      <c r="Y445" s="200"/>
      <c r="AA445" s="200"/>
      <c r="AB445" s="200"/>
      <c r="AC445" s="210"/>
      <c r="AD445" s="210"/>
      <c r="AE445" s="200"/>
      <c r="AF445" s="200"/>
      <c r="AG445" s="209"/>
      <c r="AH445" s="201"/>
      <c r="AI445" s="252"/>
      <c r="AJ445" s="252"/>
      <c r="AK445" s="209"/>
      <c r="AL445" s="200"/>
      <c r="AM445" s="210"/>
      <c r="AN445" s="210"/>
    </row>
    <row r="446" spans="1:40" x14ac:dyDescent="0.25">
      <c r="H446" s="211"/>
      <c r="I446" s="211"/>
      <c r="J446" s="305"/>
      <c r="K446" s="305"/>
      <c r="L446" s="211"/>
      <c r="M446" s="211"/>
      <c r="N446" s="211"/>
      <c r="O446" s="211"/>
      <c r="P446" s="211"/>
      <c r="Q446" s="211"/>
      <c r="R446" s="211"/>
      <c r="V446" s="211"/>
      <c r="Y446" s="211"/>
      <c r="Z446" s="305"/>
      <c r="AA446" s="211"/>
      <c r="AB446" s="211"/>
      <c r="AC446" s="211"/>
      <c r="AD446" s="211"/>
      <c r="AE446" s="211"/>
      <c r="AF446" s="211"/>
      <c r="AI446" s="211"/>
      <c r="AJ446" s="211"/>
      <c r="AK446" s="212"/>
      <c r="AL446" s="211"/>
      <c r="AM446" s="210"/>
      <c r="AN446" s="210"/>
    </row>
    <row r="447" spans="1:40" x14ac:dyDescent="0.25">
      <c r="F447" s="211"/>
    </row>
    <row r="448" spans="1:40" x14ac:dyDescent="0.25">
      <c r="F448" s="200"/>
      <c r="H448" s="200"/>
      <c r="I448" s="200"/>
      <c r="J448" s="213"/>
      <c r="K448" s="213"/>
      <c r="L448" s="200"/>
      <c r="M448" s="200"/>
      <c r="N448" s="200"/>
      <c r="O448" s="200"/>
      <c r="P448" s="200"/>
      <c r="Q448" s="200"/>
      <c r="R448" s="200"/>
      <c r="V448" s="200"/>
      <c r="Y448" s="200"/>
      <c r="Z448" s="213"/>
      <c r="AA448" s="200"/>
      <c r="AB448" s="200"/>
      <c r="AC448" s="200"/>
      <c r="AD448" s="200"/>
      <c r="AE448" s="200"/>
      <c r="AF448" s="200"/>
      <c r="AG448" s="209"/>
      <c r="AH448" s="200"/>
      <c r="AI448" s="200"/>
      <c r="AJ448" s="200"/>
      <c r="AK448" s="209"/>
      <c r="AL448" s="200"/>
    </row>
    <row r="449" spans="1:40" x14ac:dyDescent="0.25">
      <c r="A449" s="154"/>
    </row>
    <row r="450" spans="1:40" x14ac:dyDescent="0.25">
      <c r="J450" s="202"/>
      <c r="K450" s="202"/>
      <c r="Z450" s="202"/>
    </row>
    <row r="451" spans="1:40" x14ac:dyDescent="0.25">
      <c r="H451" s="154"/>
      <c r="I451" s="154"/>
      <c r="Y451" s="154"/>
    </row>
    <row r="452" spans="1:40" x14ac:dyDescent="0.25">
      <c r="J452" s="202"/>
      <c r="K452" s="202"/>
      <c r="Z452" s="202"/>
    </row>
    <row r="453" spans="1:40" x14ac:dyDescent="0.25">
      <c r="L453" s="154"/>
      <c r="M453" s="154"/>
      <c r="AA453" s="154"/>
      <c r="AB453" s="154"/>
    </row>
    <row r="454" spans="1:40" x14ac:dyDescent="0.25">
      <c r="A454" s="202"/>
      <c r="R454" s="154"/>
      <c r="AK454" s="297"/>
      <c r="AL454" s="154"/>
    </row>
    <row r="455" spans="1:40" x14ac:dyDescent="0.25">
      <c r="A455" s="202"/>
      <c r="R455" s="154"/>
      <c r="AK455" s="297"/>
      <c r="AL455" s="154"/>
    </row>
    <row r="456" spans="1:40" x14ac:dyDescent="0.25">
      <c r="A456" s="154"/>
      <c r="R456" s="154"/>
      <c r="AK456" s="297"/>
      <c r="AL456" s="154"/>
    </row>
    <row r="457" spans="1:40" x14ac:dyDescent="0.25">
      <c r="L457" s="154"/>
      <c r="M457" s="154"/>
      <c r="R457" s="202"/>
      <c r="AA457" s="154"/>
      <c r="AB457" s="154"/>
      <c r="AK457" s="209"/>
      <c r="AL457" s="202"/>
    </row>
    <row r="458" spans="1:40" x14ac:dyDescent="0.2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208"/>
      <c r="AH458" s="102"/>
      <c r="AI458" s="102"/>
      <c r="AJ458" s="102"/>
      <c r="AK458" s="208"/>
      <c r="AL458" s="102"/>
      <c r="AM458" s="102"/>
      <c r="AN458" s="102"/>
    </row>
    <row r="459" spans="1:40" x14ac:dyDescent="0.25">
      <c r="L459" s="103"/>
      <c r="M459" s="103"/>
      <c r="N459" s="103"/>
      <c r="O459" s="103"/>
      <c r="R459" s="103"/>
      <c r="AA459" s="103"/>
      <c r="AB459" s="103"/>
      <c r="AC459" s="103"/>
      <c r="AD459" s="103"/>
      <c r="AE459" s="103"/>
      <c r="AF459" s="103"/>
      <c r="AG459" s="185"/>
      <c r="AH459" s="103"/>
      <c r="AK459" s="185"/>
      <c r="AL459" s="103"/>
      <c r="AM459" s="103"/>
      <c r="AN459" s="103"/>
    </row>
    <row r="460" spans="1:40" x14ac:dyDescent="0.25">
      <c r="L460" s="103"/>
      <c r="M460" s="103"/>
      <c r="N460" s="103"/>
      <c r="O460" s="103"/>
      <c r="R460" s="103"/>
      <c r="Z460" s="103"/>
      <c r="AA460" s="103"/>
      <c r="AB460" s="103"/>
      <c r="AC460" s="103"/>
      <c r="AD460" s="103"/>
      <c r="AE460" s="103"/>
      <c r="AF460" s="103"/>
      <c r="AG460" s="185"/>
      <c r="AH460" s="103"/>
      <c r="AK460" s="185"/>
      <c r="AL460" s="103"/>
      <c r="AM460" s="103"/>
      <c r="AN460" s="103"/>
    </row>
    <row r="461" spans="1:40" x14ac:dyDescent="0.25">
      <c r="A461" s="103"/>
      <c r="C461" s="103"/>
      <c r="D461" s="103"/>
      <c r="E461" s="103"/>
      <c r="F461" s="103"/>
      <c r="J461" s="103"/>
      <c r="K461" s="103"/>
      <c r="L461" s="103"/>
      <c r="M461" s="103"/>
      <c r="N461" s="103"/>
      <c r="O461" s="103"/>
      <c r="P461" s="103"/>
      <c r="Q461" s="103"/>
      <c r="R461" s="103"/>
      <c r="T461" s="103"/>
      <c r="U461" s="103"/>
      <c r="V461" s="103"/>
      <c r="Z461" s="103"/>
      <c r="AA461" s="103"/>
      <c r="AB461" s="103"/>
      <c r="AC461" s="103"/>
      <c r="AD461" s="103"/>
      <c r="AE461" s="103"/>
      <c r="AF461" s="103"/>
      <c r="AG461" s="185"/>
      <c r="AH461" s="103"/>
      <c r="AI461" s="103"/>
      <c r="AJ461" s="103"/>
      <c r="AK461" s="185"/>
      <c r="AL461" s="103"/>
      <c r="AM461" s="103"/>
      <c r="AN461" s="103"/>
    </row>
    <row r="462" spans="1:40" x14ac:dyDescent="0.25">
      <c r="A462" s="103"/>
      <c r="C462" s="103"/>
      <c r="D462" s="103"/>
      <c r="E462" s="103"/>
      <c r="F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T462" s="103"/>
      <c r="U462" s="103"/>
      <c r="V462" s="103"/>
      <c r="Y462" s="103"/>
      <c r="Z462" s="103"/>
      <c r="AA462" s="103"/>
      <c r="AB462" s="103"/>
      <c r="AC462" s="103"/>
      <c r="AD462" s="103"/>
      <c r="AE462" s="103"/>
      <c r="AF462" s="103"/>
      <c r="AG462" s="185"/>
      <c r="AH462" s="103"/>
      <c r="AI462" s="103"/>
      <c r="AJ462" s="103"/>
      <c r="AK462" s="185"/>
      <c r="AL462" s="103"/>
      <c r="AM462" s="103"/>
      <c r="AN462" s="103"/>
    </row>
    <row r="463" spans="1:40" x14ac:dyDescent="0.25">
      <c r="C463" s="103"/>
      <c r="D463" s="103"/>
      <c r="E463" s="103"/>
      <c r="F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T463" s="103"/>
      <c r="U463" s="103"/>
      <c r="V463" s="103"/>
      <c r="Y463" s="103"/>
      <c r="Z463" s="103"/>
      <c r="AA463" s="103"/>
      <c r="AB463" s="103"/>
      <c r="AC463" s="103"/>
      <c r="AD463" s="103"/>
      <c r="AE463" s="103"/>
      <c r="AF463" s="103"/>
      <c r="AG463" s="185"/>
      <c r="AH463" s="103"/>
      <c r="AI463" s="103"/>
      <c r="AJ463" s="103"/>
      <c r="AK463" s="185"/>
      <c r="AL463" s="103"/>
      <c r="AM463" s="103"/>
      <c r="AN463" s="103"/>
    </row>
    <row r="464" spans="1:40" x14ac:dyDescent="0.2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208"/>
      <c r="AH464" s="102"/>
      <c r="AI464" s="102"/>
      <c r="AJ464" s="102"/>
      <c r="AK464" s="208"/>
      <c r="AL464" s="102"/>
      <c r="AM464" s="102"/>
      <c r="AN464" s="102"/>
    </row>
    <row r="465" spans="1:40" x14ac:dyDescent="0.25"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Y465" s="103"/>
      <c r="Z465" s="103"/>
      <c r="AA465" s="103"/>
      <c r="AB465" s="103"/>
      <c r="AC465" s="103"/>
      <c r="AD465" s="103"/>
      <c r="AE465" s="103"/>
      <c r="AF465" s="103"/>
      <c r="AG465" s="185"/>
      <c r="AH465" s="103"/>
      <c r="AI465" s="103"/>
      <c r="AJ465" s="103"/>
      <c r="AK465" s="185"/>
      <c r="AL465" s="103"/>
      <c r="AM465" s="103"/>
      <c r="AN465" s="103"/>
    </row>
    <row r="466" spans="1:40" x14ac:dyDescent="0.25">
      <c r="A466" s="202"/>
      <c r="C466" s="154"/>
      <c r="D466" s="154"/>
      <c r="E466" s="154"/>
      <c r="T466" s="154"/>
      <c r="U466" s="154"/>
      <c r="V466" s="200"/>
      <c r="W466" s="200"/>
      <c r="X466" s="200"/>
      <c r="Y466" s="200"/>
      <c r="Z466" s="328"/>
    </row>
    <row r="468" spans="1:40" x14ac:dyDescent="0.25">
      <c r="A468" s="202"/>
      <c r="C468" s="154"/>
      <c r="T468" s="154"/>
      <c r="V468" s="200"/>
      <c r="W468" s="200"/>
      <c r="X468" s="200"/>
      <c r="Y468" s="200"/>
      <c r="Z468" s="328"/>
    </row>
    <row r="469" spans="1:40" x14ac:dyDescent="0.25">
      <c r="A469" s="202"/>
      <c r="C469" s="154"/>
      <c r="F469" s="252"/>
      <c r="H469" s="252"/>
      <c r="I469" s="252"/>
      <c r="J469" s="329"/>
      <c r="K469" s="329"/>
      <c r="L469" s="200"/>
      <c r="M469" s="200"/>
      <c r="N469" s="210"/>
      <c r="O469" s="210"/>
      <c r="P469" s="200"/>
      <c r="Q469" s="200"/>
      <c r="R469" s="200"/>
      <c r="T469" s="154"/>
      <c r="V469" s="200"/>
      <c r="W469" s="200"/>
      <c r="X469" s="200"/>
      <c r="Y469" s="200"/>
      <c r="Z469" s="329"/>
      <c r="AA469" s="200"/>
      <c r="AB469" s="200"/>
      <c r="AC469" s="210"/>
      <c r="AD469" s="210"/>
      <c r="AE469" s="200"/>
      <c r="AF469" s="200"/>
      <c r="AG469" s="209"/>
      <c r="AH469" s="201"/>
      <c r="AI469" s="200"/>
      <c r="AJ469" s="200"/>
      <c r="AK469" s="209"/>
      <c r="AL469" s="200"/>
      <c r="AM469" s="210"/>
      <c r="AN469" s="210"/>
    </row>
    <row r="470" spans="1:40" x14ac:dyDescent="0.25">
      <c r="A470" s="202"/>
      <c r="C470" s="154"/>
      <c r="F470" s="252"/>
      <c r="H470" s="252"/>
      <c r="I470" s="252"/>
      <c r="J470" s="329"/>
      <c r="K470" s="329"/>
      <c r="L470" s="200"/>
      <c r="M470" s="200"/>
      <c r="N470" s="210"/>
      <c r="O470" s="210"/>
      <c r="P470" s="200"/>
      <c r="Q470" s="200"/>
      <c r="R470" s="200"/>
      <c r="T470" s="154"/>
      <c r="V470" s="200"/>
      <c r="W470" s="200"/>
      <c r="X470" s="200"/>
      <c r="Y470" s="200"/>
      <c r="Z470" s="329"/>
      <c r="AA470" s="200"/>
      <c r="AB470" s="200"/>
      <c r="AC470" s="210"/>
      <c r="AD470" s="210"/>
      <c r="AE470" s="200"/>
      <c r="AF470" s="200"/>
      <c r="AG470" s="209"/>
      <c r="AH470" s="201"/>
      <c r="AI470" s="200"/>
      <c r="AJ470" s="200"/>
      <c r="AK470" s="209"/>
      <c r="AL470" s="200"/>
      <c r="AM470" s="210"/>
      <c r="AN470" s="210"/>
    </row>
    <row r="471" spans="1:40" x14ac:dyDescent="0.25">
      <c r="A471" s="202"/>
      <c r="C471" s="154"/>
      <c r="F471" s="252"/>
      <c r="H471" s="252"/>
      <c r="I471" s="252"/>
      <c r="J471" s="329"/>
      <c r="K471" s="329"/>
      <c r="L471" s="200"/>
      <c r="M471" s="200"/>
      <c r="N471" s="210"/>
      <c r="O471" s="210"/>
      <c r="P471" s="200"/>
      <c r="Q471" s="200"/>
      <c r="R471" s="200"/>
      <c r="T471" s="154"/>
      <c r="V471" s="200"/>
      <c r="W471" s="200"/>
      <c r="X471" s="200"/>
      <c r="Y471" s="200"/>
      <c r="Z471" s="329"/>
      <c r="AA471" s="200"/>
      <c r="AB471" s="200"/>
      <c r="AC471" s="210"/>
      <c r="AD471" s="210"/>
      <c r="AE471" s="200"/>
      <c r="AF471" s="200"/>
      <c r="AG471" s="209"/>
      <c r="AH471" s="201"/>
      <c r="AI471" s="200"/>
      <c r="AJ471" s="200"/>
      <c r="AK471" s="209"/>
      <c r="AL471" s="200"/>
      <c r="AM471" s="210"/>
      <c r="AN471" s="210"/>
    </row>
    <row r="472" spans="1:40" x14ac:dyDescent="0.25">
      <c r="A472" s="202"/>
      <c r="C472" s="154"/>
      <c r="F472" s="252"/>
      <c r="H472" s="252"/>
      <c r="I472" s="252"/>
      <c r="J472" s="329"/>
      <c r="K472" s="329"/>
      <c r="L472" s="200"/>
      <c r="M472" s="200"/>
      <c r="N472" s="210"/>
      <c r="O472" s="210"/>
      <c r="P472" s="200"/>
      <c r="Q472" s="200"/>
      <c r="R472" s="200"/>
      <c r="T472" s="154"/>
      <c r="V472" s="200"/>
      <c r="W472" s="200"/>
      <c r="X472" s="200"/>
      <c r="Y472" s="200"/>
      <c r="Z472" s="329"/>
      <c r="AA472" s="200"/>
      <c r="AB472" s="200"/>
      <c r="AC472" s="210"/>
      <c r="AD472" s="210"/>
      <c r="AE472" s="200"/>
      <c r="AF472" s="200"/>
      <c r="AG472" s="209"/>
      <c r="AH472" s="201"/>
      <c r="AI472" s="200"/>
      <c r="AJ472" s="200"/>
      <c r="AK472" s="209"/>
      <c r="AL472" s="200"/>
      <c r="AM472" s="210"/>
      <c r="AN472" s="210"/>
    </row>
    <row r="473" spans="1:40" x14ac:dyDescent="0.25">
      <c r="J473" s="334"/>
      <c r="K473" s="334"/>
      <c r="V473" s="200"/>
      <c r="W473" s="200"/>
      <c r="X473" s="200"/>
      <c r="Y473" s="200"/>
      <c r="Z473" s="329"/>
    </row>
    <row r="474" spans="1:40" x14ac:dyDescent="0.25">
      <c r="A474" s="202"/>
      <c r="C474" s="154"/>
      <c r="F474" s="252"/>
      <c r="H474" s="252"/>
      <c r="I474" s="252"/>
      <c r="J474" s="329"/>
      <c r="K474" s="329"/>
      <c r="L474" s="200"/>
      <c r="M474" s="200"/>
      <c r="N474" s="210"/>
      <c r="O474" s="210"/>
      <c r="P474" s="200"/>
      <c r="Q474" s="200"/>
      <c r="R474" s="200"/>
      <c r="T474" s="154"/>
      <c r="V474" s="200"/>
      <c r="W474" s="200"/>
      <c r="X474" s="200"/>
      <c r="Y474" s="200"/>
      <c r="Z474" s="329"/>
      <c r="AA474" s="200"/>
      <c r="AB474" s="200"/>
      <c r="AC474" s="210"/>
      <c r="AD474" s="210"/>
      <c r="AE474" s="200"/>
      <c r="AF474" s="200"/>
      <c r="AG474" s="209"/>
      <c r="AH474" s="201"/>
      <c r="AI474" s="200"/>
      <c r="AJ474" s="200"/>
      <c r="AK474" s="209"/>
      <c r="AL474" s="200"/>
      <c r="AM474" s="201"/>
      <c r="AN474" s="201"/>
    </row>
    <row r="475" spans="1:40" x14ac:dyDescent="0.25">
      <c r="A475" s="202"/>
      <c r="C475" s="154"/>
      <c r="J475" s="334"/>
      <c r="K475" s="334"/>
      <c r="T475" s="154"/>
      <c r="V475" s="200"/>
      <c r="W475" s="200"/>
      <c r="X475" s="200"/>
      <c r="Y475" s="200"/>
      <c r="Z475" s="329"/>
    </row>
    <row r="476" spans="1:40" x14ac:dyDescent="0.25">
      <c r="A476" s="202"/>
      <c r="C476" s="154"/>
      <c r="F476" s="252"/>
      <c r="H476" s="252"/>
      <c r="I476" s="252"/>
      <c r="J476" s="329"/>
      <c r="K476" s="329"/>
      <c r="L476" s="200"/>
      <c r="M476" s="200"/>
      <c r="N476" s="210"/>
      <c r="O476" s="210"/>
      <c r="P476" s="200"/>
      <c r="Q476" s="200"/>
      <c r="R476" s="200"/>
      <c r="T476" s="154"/>
      <c r="V476" s="200"/>
      <c r="W476" s="200"/>
      <c r="X476" s="200"/>
      <c r="Y476" s="200"/>
      <c r="Z476" s="329"/>
      <c r="AA476" s="200"/>
      <c r="AB476" s="200"/>
      <c r="AC476" s="210"/>
      <c r="AD476" s="210"/>
      <c r="AE476" s="200"/>
      <c r="AF476" s="200"/>
      <c r="AG476" s="209"/>
      <c r="AH476" s="201"/>
      <c r="AI476" s="200"/>
      <c r="AJ476" s="200"/>
      <c r="AK476" s="209"/>
      <c r="AL476" s="200"/>
      <c r="AM476" s="201"/>
      <c r="AN476" s="201"/>
    </row>
    <row r="477" spans="1:40" x14ac:dyDescent="0.25">
      <c r="J477" s="334"/>
      <c r="K477" s="334"/>
      <c r="Z477" s="334"/>
    </row>
    <row r="478" spans="1:40" x14ac:dyDescent="0.25">
      <c r="A478" s="202"/>
      <c r="C478" s="154"/>
      <c r="J478" s="334"/>
      <c r="K478" s="334"/>
      <c r="T478" s="154"/>
      <c r="V478" s="200"/>
      <c r="W478" s="200"/>
      <c r="X478" s="200"/>
      <c r="Y478" s="200"/>
      <c r="Z478" s="329"/>
    </row>
    <row r="479" spans="1:40" x14ac:dyDescent="0.25">
      <c r="A479" s="202"/>
      <c r="C479" s="154"/>
      <c r="F479" s="252"/>
      <c r="H479" s="252"/>
      <c r="I479" s="252"/>
      <c r="J479" s="329"/>
      <c r="K479" s="329"/>
      <c r="L479" s="200"/>
      <c r="M479" s="200"/>
      <c r="N479" s="210"/>
      <c r="O479" s="210"/>
      <c r="P479" s="200"/>
      <c r="Q479" s="200"/>
      <c r="R479" s="200"/>
      <c r="T479" s="154"/>
      <c r="V479" s="200"/>
      <c r="W479" s="200"/>
      <c r="X479" s="200"/>
      <c r="Y479" s="200"/>
      <c r="Z479" s="329"/>
      <c r="AA479" s="200"/>
      <c r="AB479" s="200"/>
      <c r="AC479" s="210"/>
      <c r="AD479" s="210"/>
      <c r="AE479" s="200"/>
      <c r="AF479" s="200"/>
      <c r="AG479" s="209"/>
      <c r="AH479" s="201"/>
      <c r="AI479" s="200"/>
      <c r="AJ479" s="200"/>
      <c r="AK479" s="209"/>
      <c r="AL479" s="200"/>
      <c r="AM479" s="201"/>
      <c r="AN479" s="201"/>
    </row>
    <row r="480" spans="1:40" x14ac:dyDescent="0.25">
      <c r="A480" s="202"/>
      <c r="C480" s="154"/>
      <c r="F480" s="252"/>
      <c r="H480" s="252"/>
      <c r="I480" s="252"/>
      <c r="J480" s="329"/>
      <c r="K480" s="329"/>
      <c r="L480" s="200"/>
      <c r="M480" s="200"/>
      <c r="N480" s="210"/>
      <c r="O480" s="210"/>
      <c r="P480" s="200"/>
      <c r="Q480" s="200"/>
      <c r="R480" s="200"/>
      <c r="T480" s="154"/>
      <c r="V480" s="200"/>
      <c r="W480" s="200"/>
      <c r="X480" s="200"/>
      <c r="Y480" s="200"/>
      <c r="Z480" s="329"/>
      <c r="AA480" s="200"/>
      <c r="AB480" s="200"/>
      <c r="AC480" s="210"/>
      <c r="AD480" s="210"/>
      <c r="AE480" s="200"/>
      <c r="AF480" s="200"/>
      <c r="AG480" s="209"/>
      <c r="AH480" s="201"/>
      <c r="AI480" s="200"/>
      <c r="AJ480" s="200"/>
      <c r="AK480" s="209"/>
      <c r="AL480" s="200"/>
      <c r="AM480" s="201"/>
      <c r="AN480" s="201"/>
    </row>
    <row r="481" spans="1:40" x14ac:dyDescent="0.25">
      <c r="F481" s="211"/>
      <c r="H481" s="211"/>
      <c r="I481" s="211"/>
      <c r="J481" s="329"/>
      <c r="K481" s="329"/>
      <c r="L481" s="211"/>
      <c r="M481" s="211"/>
      <c r="N481" s="211"/>
      <c r="O481" s="211"/>
      <c r="P481" s="211"/>
      <c r="Q481" s="211"/>
      <c r="R481" s="211"/>
      <c r="V481" s="211"/>
      <c r="Y481" s="211"/>
      <c r="Z481" s="305"/>
      <c r="AA481" s="211"/>
      <c r="AB481" s="211"/>
      <c r="AC481" s="211"/>
      <c r="AD481" s="211"/>
      <c r="AE481" s="211"/>
      <c r="AF481" s="211"/>
      <c r="AI481" s="211"/>
      <c r="AJ481" s="211"/>
      <c r="AK481" s="212"/>
      <c r="AL481" s="211"/>
    </row>
    <row r="482" spans="1:40" x14ac:dyDescent="0.25">
      <c r="A482" s="202"/>
      <c r="C482" s="154"/>
      <c r="F482" s="200"/>
      <c r="H482" s="200"/>
      <c r="I482" s="200"/>
      <c r="L482" s="200"/>
      <c r="M482" s="200"/>
      <c r="N482" s="210"/>
      <c r="O482" s="210"/>
      <c r="P482" s="252"/>
      <c r="Q482" s="252"/>
      <c r="R482" s="200"/>
      <c r="T482" s="154"/>
      <c r="V482" s="200"/>
      <c r="W482" s="200"/>
      <c r="X482" s="200"/>
      <c r="Y482" s="200"/>
      <c r="Z482" s="328"/>
      <c r="AA482" s="200"/>
      <c r="AB482" s="200"/>
      <c r="AC482" s="210"/>
      <c r="AD482" s="210"/>
      <c r="AE482" s="200"/>
      <c r="AF482" s="200"/>
      <c r="AG482" s="209"/>
      <c r="AH482" s="201"/>
      <c r="AI482" s="252"/>
      <c r="AJ482" s="252"/>
      <c r="AK482" s="209"/>
      <c r="AL482" s="200"/>
      <c r="AM482" s="201"/>
      <c r="AN482" s="201"/>
    </row>
    <row r="483" spans="1:40" x14ac:dyDescent="0.25">
      <c r="H483" s="211"/>
      <c r="I483" s="211"/>
      <c r="J483" s="305"/>
      <c r="K483" s="305"/>
      <c r="L483" s="211"/>
      <c r="M483" s="211"/>
      <c r="N483" s="211"/>
      <c r="O483" s="211"/>
      <c r="P483" s="211"/>
      <c r="Q483" s="211"/>
      <c r="R483" s="211"/>
      <c r="V483" s="211"/>
      <c r="Y483" s="211"/>
      <c r="Z483" s="305"/>
      <c r="AA483" s="211"/>
      <c r="AB483" s="211"/>
      <c r="AC483" s="211"/>
      <c r="AD483" s="211"/>
      <c r="AE483" s="211"/>
      <c r="AF483" s="211"/>
      <c r="AI483" s="211"/>
      <c r="AJ483" s="211"/>
      <c r="AK483" s="212"/>
      <c r="AL483" s="211"/>
    </row>
    <row r="484" spans="1:40" x14ac:dyDescent="0.25">
      <c r="F484" s="211"/>
    </row>
    <row r="485" spans="1:40" x14ac:dyDescent="0.25">
      <c r="C485" s="202"/>
      <c r="T485" s="202"/>
    </row>
    <row r="486" spans="1:40" x14ac:dyDescent="0.25">
      <c r="A486" s="154"/>
    </row>
    <row r="487" spans="1:40" x14ac:dyDescent="0.25">
      <c r="J487" s="202"/>
      <c r="K487" s="202"/>
      <c r="Z487" s="202"/>
    </row>
    <row r="488" spans="1:40" x14ac:dyDescent="0.25">
      <c r="H488" s="154"/>
      <c r="I488" s="154"/>
      <c r="Y488" s="154"/>
    </row>
    <row r="489" spans="1:40" x14ac:dyDescent="0.25">
      <c r="J489" s="202"/>
      <c r="K489" s="202"/>
      <c r="Z489" s="202"/>
    </row>
    <row r="490" spans="1:40" x14ac:dyDescent="0.25">
      <c r="L490" s="154"/>
      <c r="M490" s="154"/>
      <c r="AA490" s="154"/>
      <c r="AB490" s="154"/>
    </row>
    <row r="491" spans="1:40" x14ac:dyDescent="0.25">
      <c r="A491" s="202"/>
      <c r="R491" s="154"/>
      <c r="AK491" s="297"/>
      <c r="AL491" s="154"/>
    </row>
    <row r="492" spans="1:40" x14ac:dyDescent="0.25">
      <c r="A492" s="202"/>
      <c r="R492" s="154"/>
      <c r="AK492" s="297"/>
      <c r="AL492" s="154"/>
    </row>
    <row r="493" spans="1:40" x14ac:dyDescent="0.25">
      <c r="A493" s="154"/>
      <c r="R493" s="154"/>
      <c r="AK493" s="297"/>
      <c r="AL493" s="154"/>
    </row>
    <row r="494" spans="1:40" x14ac:dyDescent="0.25">
      <c r="L494" s="154"/>
      <c r="M494" s="154"/>
      <c r="R494" s="202"/>
      <c r="AA494" s="154"/>
      <c r="AB494" s="154"/>
      <c r="AK494" s="209"/>
      <c r="AL494" s="202"/>
    </row>
    <row r="495" spans="1:40" x14ac:dyDescent="0.25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208"/>
      <c r="AH495" s="102"/>
      <c r="AI495" s="102"/>
      <c r="AJ495" s="102"/>
      <c r="AK495" s="208"/>
      <c r="AL495" s="102"/>
      <c r="AM495" s="102"/>
      <c r="AN495" s="102"/>
    </row>
    <row r="496" spans="1:40" x14ac:dyDescent="0.25">
      <c r="L496" s="103"/>
      <c r="M496" s="103"/>
      <c r="N496" s="103"/>
      <c r="O496" s="103"/>
      <c r="R496" s="103"/>
      <c r="AA496" s="103"/>
      <c r="AB496" s="103"/>
      <c r="AC496" s="103"/>
      <c r="AD496" s="103"/>
      <c r="AE496" s="103"/>
      <c r="AF496" s="103"/>
      <c r="AG496" s="185"/>
      <c r="AH496" s="103"/>
      <c r="AK496" s="185"/>
      <c r="AL496" s="103"/>
      <c r="AM496" s="103"/>
      <c r="AN496" s="103"/>
    </row>
    <row r="497" spans="1:40" x14ac:dyDescent="0.25">
      <c r="L497" s="103"/>
      <c r="M497" s="103"/>
      <c r="N497" s="103"/>
      <c r="O497" s="103"/>
      <c r="R497" s="103"/>
      <c r="Z497" s="103"/>
      <c r="AA497" s="103"/>
      <c r="AB497" s="103"/>
      <c r="AC497" s="103"/>
      <c r="AD497" s="103"/>
      <c r="AE497" s="103"/>
      <c r="AF497" s="103"/>
      <c r="AG497" s="185"/>
      <c r="AH497" s="103"/>
      <c r="AK497" s="185"/>
      <c r="AL497" s="103"/>
      <c r="AM497" s="103"/>
      <c r="AN497" s="103"/>
    </row>
    <row r="498" spans="1:40" x14ac:dyDescent="0.25">
      <c r="A498" s="103"/>
      <c r="C498" s="103"/>
      <c r="D498" s="103"/>
      <c r="E498" s="103"/>
      <c r="F498" s="103"/>
      <c r="J498" s="103"/>
      <c r="K498" s="103"/>
      <c r="L498" s="103"/>
      <c r="M498" s="103"/>
      <c r="N498" s="103"/>
      <c r="O498" s="103"/>
      <c r="P498" s="103"/>
      <c r="Q498" s="103"/>
      <c r="R498" s="103"/>
      <c r="T498" s="103"/>
      <c r="U498" s="103"/>
      <c r="V498" s="103"/>
      <c r="Z498" s="103"/>
      <c r="AA498" s="103"/>
      <c r="AB498" s="103"/>
      <c r="AC498" s="103"/>
      <c r="AD498" s="103"/>
      <c r="AE498" s="103"/>
      <c r="AF498" s="103"/>
      <c r="AG498" s="185"/>
      <c r="AH498" s="103"/>
      <c r="AI498" s="103"/>
      <c r="AJ498" s="103"/>
      <c r="AK498" s="185"/>
      <c r="AL498" s="103"/>
      <c r="AM498" s="103"/>
      <c r="AN498" s="103"/>
    </row>
    <row r="499" spans="1:40" x14ac:dyDescent="0.25">
      <c r="A499" s="103"/>
      <c r="C499" s="103"/>
      <c r="D499" s="103"/>
      <c r="E499" s="103"/>
      <c r="F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T499" s="103"/>
      <c r="U499" s="103"/>
      <c r="V499" s="103"/>
      <c r="Y499" s="103"/>
      <c r="Z499" s="103"/>
      <c r="AA499" s="103"/>
      <c r="AB499" s="103"/>
      <c r="AC499" s="103"/>
      <c r="AD499" s="103"/>
      <c r="AE499" s="103"/>
      <c r="AF499" s="103"/>
      <c r="AG499" s="185"/>
      <c r="AH499" s="103"/>
      <c r="AI499" s="103"/>
      <c r="AJ499" s="103"/>
      <c r="AK499" s="185"/>
      <c r="AL499" s="103"/>
      <c r="AM499" s="103"/>
      <c r="AN499" s="103"/>
    </row>
    <row r="500" spans="1:40" x14ac:dyDescent="0.25">
      <c r="C500" s="103"/>
      <c r="D500" s="103"/>
      <c r="E500" s="103"/>
      <c r="F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T500" s="103"/>
      <c r="U500" s="103"/>
      <c r="V500" s="103"/>
      <c r="Y500" s="103"/>
      <c r="Z500" s="103"/>
      <c r="AA500" s="103"/>
      <c r="AB500" s="103"/>
      <c r="AC500" s="103"/>
      <c r="AD500" s="103"/>
      <c r="AE500" s="103"/>
      <c r="AF500" s="103"/>
      <c r="AG500" s="185"/>
      <c r="AH500" s="103"/>
      <c r="AI500" s="103"/>
      <c r="AJ500" s="103"/>
      <c r="AK500" s="185"/>
      <c r="AL500" s="103"/>
      <c r="AM500" s="103"/>
      <c r="AN500" s="103"/>
    </row>
    <row r="501" spans="1:40" x14ac:dyDescent="0.25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208"/>
      <c r="AH501" s="102"/>
      <c r="AI501" s="102"/>
      <c r="AJ501" s="102"/>
      <c r="AK501" s="208"/>
      <c r="AL501" s="102"/>
      <c r="AM501" s="102"/>
      <c r="AN501" s="102"/>
    </row>
    <row r="502" spans="1:40" x14ac:dyDescent="0.25"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Y502" s="103"/>
      <c r="Z502" s="103"/>
      <c r="AA502" s="103"/>
      <c r="AB502" s="103"/>
      <c r="AC502" s="103"/>
      <c r="AD502" s="103"/>
      <c r="AE502" s="103"/>
      <c r="AF502" s="103"/>
      <c r="AG502" s="185"/>
      <c r="AH502" s="103"/>
      <c r="AI502" s="103"/>
      <c r="AJ502" s="103"/>
      <c r="AK502" s="185"/>
      <c r="AL502" s="103"/>
      <c r="AM502" s="103"/>
      <c r="AN502" s="103"/>
    </row>
    <row r="503" spans="1:40" x14ac:dyDescent="0.25">
      <c r="A503" s="202"/>
      <c r="C503" s="154"/>
      <c r="D503" s="154"/>
      <c r="E503" s="154"/>
      <c r="T503" s="154"/>
      <c r="U503" s="154"/>
    </row>
    <row r="505" spans="1:40" x14ac:dyDescent="0.25">
      <c r="A505" s="202"/>
      <c r="C505" s="154"/>
      <c r="T505" s="154"/>
    </row>
    <row r="506" spans="1:40" x14ac:dyDescent="0.25">
      <c r="A506" s="202"/>
      <c r="C506" s="154"/>
      <c r="T506" s="154"/>
    </row>
    <row r="507" spans="1:40" x14ac:dyDescent="0.25">
      <c r="A507" s="202"/>
      <c r="C507" s="154"/>
      <c r="F507" s="252"/>
      <c r="H507" s="252"/>
      <c r="I507" s="252"/>
      <c r="J507" s="329"/>
      <c r="K507" s="329"/>
      <c r="L507" s="200"/>
      <c r="M507" s="200"/>
      <c r="N507" s="210"/>
      <c r="O507" s="210"/>
      <c r="P507" s="200"/>
      <c r="Q507" s="200"/>
      <c r="R507" s="200"/>
      <c r="T507" s="154"/>
      <c r="V507" s="200"/>
      <c r="W507" s="200"/>
      <c r="X507" s="200"/>
      <c r="Y507" s="200"/>
      <c r="Z507" s="329"/>
      <c r="AA507" s="200"/>
      <c r="AB507" s="200"/>
      <c r="AC507" s="210"/>
      <c r="AD507" s="210"/>
      <c r="AE507" s="200"/>
      <c r="AF507" s="200"/>
      <c r="AG507" s="209"/>
      <c r="AH507" s="201"/>
      <c r="AI507" s="200"/>
      <c r="AJ507" s="200"/>
      <c r="AK507" s="209"/>
      <c r="AL507" s="200"/>
      <c r="AM507" s="201"/>
      <c r="AN507" s="201"/>
    </row>
    <row r="508" spans="1:40" x14ac:dyDescent="0.25">
      <c r="A508" s="202"/>
      <c r="C508" s="154"/>
      <c r="F508" s="200"/>
      <c r="H508" s="200"/>
      <c r="I508" s="200"/>
      <c r="J508" s="334"/>
      <c r="K508" s="334"/>
      <c r="L508" s="200"/>
      <c r="M508" s="200"/>
      <c r="N508" s="210"/>
      <c r="O508" s="210"/>
      <c r="P508" s="200"/>
      <c r="Q508" s="200"/>
      <c r="R508" s="200"/>
      <c r="T508" s="154"/>
      <c r="V508" s="200"/>
      <c r="W508" s="200"/>
      <c r="X508" s="200"/>
      <c r="Y508" s="200"/>
      <c r="Z508" s="334"/>
      <c r="AA508" s="200"/>
      <c r="AB508" s="200"/>
      <c r="AC508" s="210"/>
      <c r="AD508" s="210"/>
      <c r="AE508" s="200"/>
      <c r="AF508" s="200"/>
      <c r="AG508" s="209"/>
      <c r="AH508" s="201"/>
      <c r="AI508" s="200"/>
      <c r="AJ508" s="200"/>
      <c r="AK508" s="209"/>
      <c r="AL508" s="200"/>
      <c r="AM508" s="201"/>
      <c r="AN508" s="201"/>
    </row>
    <row r="509" spans="1:40" x14ac:dyDescent="0.25">
      <c r="A509" s="202"/>
      <c r="C509" s="154"/>
      <c r="F509" s="200"/>
      <c r="H509" s="200"/>
      <c r="I509" s="200"/>
      <c r="J509" s="334"/>
      <c r="K509" s="334"/>
      <c r="L509" s="200"/>
      <c r="M509" s="200"/>
      <c r="N509" s="210"/>
      <c r="O509" s="210"/>
      <c r="P509" s="200"/>
      <c r="Q509" s="200"/>
      <c r="R509" s="200"/>
      <c r="T509" s="154"/>
      <c r="V509" s="200"/>
      <c r="W509" s="200"/>
      <c r="X509" s="200"/>
      <c r="Y509" s="200"/>
      <c r="Z509" s="334"/>
      <c r="AA509" s="200"/>
      <c r="AB509" s="200"/>
      <c r="AC509" s="210"/>
      <c r="AD509" s="210"/>
      <c r="AE509" s="200"/>
      <c r="AF509" s="200"/>
      <c r="AG509" s="209"/>
      <c r="AH509" s="201"/>
      <c r="AI509" s="200"/>
      <c r="AJ509" s="200"/>
      <c r="AK509" s="209"/>
      <c r="AL509" s="200"/>
      <c r="AM509" s="201"/>
      <c r="AN509" s="201"/>
    </row>
    <row r="510" spans="1:40" x14ac:dyDescent="0.25">
      <c r="A510" s="202"/>
      <c r="C510" s="154"/>
      <c r="F510" s="200"/>
      <c r="H510" s="200"/>
      <c r="I510" s="200"/>
      <c r="J510" s="334"/>
      <c r="K510" s="334"/>
      <c r="T510" s="154"/>
      <c r="V510" s="200"/>
      <c r="Z510" s="334"/>
    </row>
    <row r="511" spans="1:40" x14ac:dyDescent="0.25">
      <c r="A511" s="202"/>
      <c r="C511" s="154"/>
      <c r="F511" s="252"/>
      <c r="H511" s="252"/>
      <c r="I511" s="252"/>
      <c r="J511" s="329"/>
      <c r="K511" s="329"/>
      <c r="L511" s="200"/>
      <c r="M511" s="200"/>
      <c r="N511" s="210"/>
      <c r="O511" s="210"/>
      <c r="P511" s="200"/>
      <c r="Q511" s="200"/>
      <c r="R511" s="200"/>
      <c r="T511" s="154"/>
      <c r="V511" s="200"/>
      <c r="W511" s="200"/>
      <c r="X511" s="200"/>
      <c r="Y511" s="200"/>
      <c r="Z511" s="329"/>
      <c r="AA511" s="200"/>
      <c r="AB511" s="200"/>
      <c r="AC511" s="210"/>
      <c r="AD511" s="210"/>
      <c r="AE511" s="200"/>
      <c r="AF511" s="200"/>
      <c r="AG511" s="209"/>
      <c r="AH511" s="201"/>
      <c r="AI511" s="200"/>
      <c r="AJ511" s="200"/>
      <c r="AK511" s="209"/>
      <c r="AL511" s="200"/>
      <c r="AM511" s="201"/>
      <c r="AN511" s="201"/>
    </row>
    <row r="512" spans="1:40" x14ac:dyDescent="0.25">
      <c r="A512" s="202"/>
      <c r="C512" s="154"/>
      <c r="F512" s="200"/>
      <c r="H512" s="200"/>
      <c r="I512" s="200"/>
      <c r="J512" s="334"/>
      <c r="K512" s="334"/>
      <c r="T512" s="154"/>
      <c r="V512" s="200"/>
      <c r="W512" s="200"/>
      <c r="X512" s="200"/>
      <c r="Y512" s="200"/>
      <c r="Z512" s="334"/>
      <c r="AC512" s="210"/>
      <c r="AD512" s="210"/>
      <c r="AE512" s="200"/>
      <c r="AF512" s="200"/>
      <c r="AG512" s="209"/>
      <c r="AH512" s="201"/>
      <c r="AI512" s="200"/>
      <c r="AJ512" s="200"/>
      <c r="AK512" s="209"/>
      <c r="AL512" s="200"/>
      <c r="AM512" s="201"/>
      <c r="AN512" s="201"/>
    </row>
    <row r="513" spans="1:40" x14ac:dyDescent="0.25">
      <c r="A513" s="202"/>
      <c r="C513" s="154"/>
      <c r="F513" s="252"/>
      <c r="H513" s="252"/>
      <c r="I513" s="252"/>
      <c r="J513" s="329"/>
      <c r="K513" s="329"/>
      <c r="L513" s="200"/>
      <c r="M513" s="200"/>
      <c r="N513" s="210"/>
      <c r="O513" s="210"/>
      <c r="P513" s="200"/>
      <c r="Q513" s="200"/>
      <c r="R513" s="200"/>
      <c r="T513" s="154"/>
      <c r="V513" s="200"/>
      <c r="W513" s="200"/>
      <c r="X513" s="200"/>
      <c r="Y513" s="200"/>
      <c r="Z513" s="329"/>
      <c r="AA513" s="200"/>
      <c r="AB513" s="200"/>
      <c r="AC513" s="210"/>
      <c r="AD513" s="210"/>
      <c r="AE513" s="200"/>
      <c r="AF513" s="200"/>
      <c r="AG513" s="209"/>
      <c r="AH513" s="201"/>
      <c r="AI513" s="200"/>
      <c r="AJ513" s="200"/>
      <c r="AK513" s="209"/>
      <c r="AL513" s="200"/>
      <c r="AM513" s="201"/>
      <c r="AN513" s="201"/>
    </row>
    <row r="514" spans="1:40" x14ac:dyDescent="0.25">
      <c r="A514" s="202"/>
      <c r="C514" s="154"/>
      <c r="F514" s="200"/>
      <c r="H514" s="200"/>
      <c r="I514" s="200"/>
      <c r="J514" s="334"/>
      <c r="K514" s="334"/>
      <c r="L514" s="200"/>
      <c r="M514" s="200"/>
      <c r="N514" s="210"/>
      <c r="O514" s="210"/>
      <c r="P514" s="200"/>
      <c r="Q514" s="200"/>
      <c r="R514" s="200"/>
      <c r="T514" s="154"/>
      <c r="V514" s="200"/>
      <c r="W514" s="200"/>
      <c r="X514" s="200"/>
      <c r="Y514" s="200"/>
      <c r="Z514" s="334"/>
      <c r="AA514" s="200"/>
      <c r="AB514" s="200"/>
      <c r="AC514" s="210"/>
      <c r="AD514" s="210"/>
      <c r="AE514" s="200"/>
      <c r="AF514" s="200"/>
      <c r="AG514" s="209"/>
      <c r="AH514" s="201"/>
      <c r="AI514" s="200"/>
      <c r="AJ514" s="200"/>
      <c r="AK514" s="209"/>
      <c r="AL514" s="200"/>
      <c r="AM514" s="201"/>
      <c r="AN514" s="201"/>
    </row>
    <row r="515" spans="1:40" x14ac:dyDescent="0.25">
      <c r="F515" s="200"/>
      <c r="H515" s="200"/>
      <c r="I515" s="200"/>
      <c r="J515" s="334"/>
      <c r="K515" s="334"/>
      <c r="Z515" s="334"/>
    </row>
    <row r="516" spans="1:40" x14ac:dyDescent="0.25">
      <c r="A516" s="202"/>
      <c r="C516" s="154"/>
      <c r="F516" s="200"/>
      <c r="H516" s="252"/>
      <c r="I516" s="252"/>
      <c r="J516" s="329"/>
      <c r="K516" s="329"/>
      <c r="L516" s="200"/>
      <c r="M516" s="200"/>
      <c r="N516" s="210"/>
      <c r="O516" s="210"/>
      <c r="P516" s="200"/>
      <c r="Q516" s="200"/>
      <c r="R516" s="200"/>
      <c r="T516" s="154"/>
      <c r="V516" s="200"/>
      <c r="W516" s="200"/>
      <c r="X516" s="200"/>
      <c r="Y516" s="200"/>
      <c r="Z516" s="329"/>
      <c r="AA516" s="200"/>
      <c r="AB516" s="200"/>
      <c r="AC516" s="210"/>
      <c r="AD516" s="210"/>
      <c r="AE516" s="200"/>
      <c r="AF516" s="200"/>
      <c r="AG516" s="209"/>
      <c r="AH516" s="201"/>
      <c r="AI516" s="200"/>
      <c r="AJ516" s="200"/>
      <c r="AK516" s="209"/>
      <c r="AL516" s="200"/>
      <c r="AM516" s="201"/>
      <c r="AN516" s="201"/>
    </row>
    <row r="517" spans="1:40" x14ac:dyDescent="0.25">
      <c r="F517" s="211"/>
      <c r="H517" s="211"/>
      <c r="I517" s="211"/>
      <c r="J517" s="329"/>
      <c r="K517" s="329"/>
      <c r="L517" s="211"/>
      <c r="M517" s="211"/>
      <c r="N517" s="211"/>
      <c r="O517" s="211"/>
      <c r="P517" s="211"/>
      <c r="Q517" s="211"/>
      <c r="R517" s="211"/>
      <c r="V517" s="211"/>
      <c r="Y517" s="211"/>
      <c r="Z517" s="329"/>
      <c r="AA517" s="211"/>
      <c r="AB517" s="211"/>
      <c r="AC517" s="211"/>
      <c r="AD517" s="211"/>
      <c r="AE517" s="211"/>
      <c r="AF517" s="211"/>
      <c r="AI517" s="211"/>
      <c r="AJ517" s="211"/>
      <c r="AK517" s="212"/>
      <c r="AL517" s="211"/>
    </row>
    <row r="518" spans="1:40" x14ac:dyDescent="0.25">
      <c r="A518" s="202"/>
      <c r="C518" s="154"/>
      <c r="F518" s="200"/>
      <c r="H518" s="200"/>
      <c r="I518" s="200"/>
      <c r="J518" s="334"/>
      <c r="K518" s="334"/>
      <c r="L518" s="200"/>
      <c r="M518" s="200"/>
      <c r="N518" s="202"/>
      <c r="O518" s="202"/>
      <c r="P518" s="200"/>
      <c r="Q518" s="200"/>
      <c r="R518" s="200"/>
      <c r="T518" s="154"/>
      <c r="V518" s="200"/>
      <c r="Y518" s="200"/>
      <c r="Z518" s="334"/>
      <c r="AA518" s="200"/>
      <c r="AB518" s="200"/>
      <c r="AC518" s="201"/>
      <c r="AD518" s="201"/>
      <c r="AE518" s="200"/>
      <c r="AF518" s="200"/>
      <c r="AG518" s="209"/>
      <c r="AH518" s="201"/>
      <c r="AI518" s="200"/>
      <c r="AJ518" s="200"/>
      <c r="AK518" s="209"/>
      <c r="AL518" s="200"/>
      <c r="AM518" s="201"/>
      <c r="AN518" s="201"/>
    </row>
    <row r="519" spans="1:40" x14ac:dyDescent="0.25">
      <c r="F519" s="211"/>
      <c r="H519" s="211"/>
      <c r="I519" s="211"/>
      <c r="J519" s="329"/>
      <c r="K519" s="329"/>
      <c r="L519" s="211"/>
      <c r="M519" s="211"/>
      <c r="N519" s="211"/>
      <c r="O519" s="211"/>
      <c r="P519" s="211"/>
      <c r="Q519" s="211"/>
      <c r="R519" s="211"/>
      <c r="V519" s="211"/>
      <c r="Y519" s="211"/>
      <c r="Z519" s="329"/>
      <c r="AA519" s="211"/>
      <c r="AB519" s="211"/>
      <c r="AC519" s="211"/>
      <c r="AD519" s="211"/>
      <c r="AE519" s="211"/>
      <c r="AF519" s="211"/>
      <c r="AI519" s="211"/>
      <c r="AJ519" s="211"/>
      <c r="AK519" s="212"/>
      <c r="AL519" s="211"/>
    </row>
    <row r="520" spans="1:40" x14ac:dyDescent="0.25">
      <c r="J520" s="334"/>
      <c r="K520" s="334"/>
      <c r="Z520" s="334"/>
    </row>
    <row r="521" spans="1:40" x14ac:dyDescent="0.25">
      <c r="A521" s="202"/>
      <c r="C521" s="154"/>
      <c r="J521" s="334"/>
      <c r="K521" s="334"/>
      <c r="T521" s="154"/>
      <c r="Z521" s="334"/>
    </row>
    <row r="522" spans="1:40" x14ac:dyDescent="0.25">
      <c r="A522" s="202"/>
      <c r="C522" s="154"/>
      <c r="J522" s="334"/>
      <c r="K522" s="334"/>
      <c r="T522" s="154"/>
      <c r="Z522" s="334"/>
    </row>
    <row r="523" spans="1:40" x14ac:dyDescent="0.25">
      <c r="A523" s="202"/>
      <c r="C523" s="154"/>
      <c r="F523" s="252"/>
      <c r="H523" s="252"/>
      <c r="I523" s="252"/>
      <c r="J523" s="329"/>
      <c r="K523" s="329"/>
      <c r="L523" s="200"/>
      <c r="M523" s="200"/>
      <c r="N523" s="210"/>
      <c r="O523" s="210"/>
      <c r="P523" s="200"/>
      <c r="Q523" s="200"/>
      <c r="R523" s="200"/>
      <c r="T523" s="154"/>
      <c r="V523" s="200"/>
      <c r="W523" s="200"/>
      <c r="X523" s="200"/>
      <c r="Y523" s="200"/>
      <c r="Z523" s="329"/>
      <c r="AA523" s="200"/>
      <c r="AB523" s="200"/>
      <c r="AC523" s="210"/>
      <c r="AD523" s="210"/>
      <c r="AE523" s="200"/>
      <c r="AF523" s="200"/>
      <c r="AG523" s="209"/>
      <c r="AH523" s="201"/>
      <c r="AI523" s="200"/>
      <c r="AJ523" s="200"/>
      <c r="AK523" s="209"/>
      <c r="AL523" s="200"/>
      <c r="AM523" s="201"/>
      <c r="AN523" s="201"/>
    </row>
    <row r="524" spans="1:40" x14ac:dyDescent="0.25">
      <c r="A524" s="202"/>
      <c r="C524" s="154"/>
      <c r="J524" s="334"/>
      <c r="K524" s="334"/>
      <c r="T524" s="154"/>
      <c r="Z524" s="334"/>
    </row>
    <row r="525" spans="1:40" x14ac:dyDescent="0.25">
      <c r="A525" s="202"/>
      <c r="C525" s="154"/>
      <c r="F525" s="252"/>
      <c r="H525" s="252"/>
      <c r="I525" s="252"/>
      <c r="J525" s="329"/>
      <c r="K525" s="329"/>
      <c r="L525" s="200"/>
      <c r="M525" s="200"/>
      <c r="N525" s="210"/>
      <c r="O525" s="210"/>
      <c r="P525" s="200"/>
      <c r="Q525" s="200"/>
      <c r="R525" s="200"/>
      <c r="T525" s="154"/>
      <c r="V525" s="200"/>
      <c r="W525" s="200"/>
      <c r="X525" s="200"/>
      <c r="Y525" s="200"/>
      <c r="Z525" s="329"/>
      <c r="AA525" s="200"/>
      <c r="AB525" s="200"/>
      <c r="AC525" s="210"/>
      <c r="AD525" s="210"/>
      <c r="AE525" s="200"/>
      <c r="AF525" s="200"/>
      <c r="AG525" s="209"/>
      <c r="AH525" s="201"/>
      <c r="AI525" s="200"/>
      <c r="AJ525" s="200"/>
      <c r="AK525" s="209"/>
      <c r="AL525" s="200"/>
      <c r="AM525" s="201"/>
      <c r="AN525" s="201"/>
    </row>
    <row r="526" spans="1:40" x14ac:dyDescent="0.25">
      <c r="F526" s="211"/>
      <c r="H526" s="211"/>
      <c r="I526" s="211"/>
      <c r="J526" s="329"/>
      <c r="K526" s="329"/>
      <c r="L526" s="211"/>
      <c r="M526" s="211"/>
      <c r="N526" s="211"/>
      <c r="O526" s="211"/>
      <c r="P526" s="211"/>
      <c r="Q526" s="211"/>
      <c r="R526" s="211"/>
      <c r="V526" s="211"/>
      <c r="Y526" s="211"/>
      <c r="Z526" s="329"/>
      <c r="AA526" s="211"/>
      <c r="AB526" s="211"/>
      <c r="AC526" s="211"/>
      <c r="AD526" s="211"/>
      <c r="AE526" s="211"/>
      <c r="AF526" s="211"/>
      <c r="AI526" s="211"/>
      <c r="AJ526" s="211"/>
      <c r="AK526" s="212"/>
      <c r="AL526" s="211"/>
    </row>
    <row r="527" spans="1:40" x14ac:dyDescent="0.25">
      <c r="A527" s="202"/>
      <c r="C527" s="154"/>
      <c r="F527" s="200"/>
      <c r="H527" s="200"/>
      <c r="I527" s="200"/>
      <c r="J527" s="334"/>
      <c r="K527" s="334"/>
      <c r="L527" s="200"/>
      <c r="M527" s="200"/>
      <c r="N527" s="201"/>
      <c r="O527" s="201"/>
      <c r="P527" s="200"/>
      <c r="Q527" s="200"/>
      <c r="R527" s="200"/>
      <c r="T527" s="154"/>
      <c r="V527" s="200"/>
      <c r="Y527" s="200"/>
      <c r="Z527" s="334"/>
      <c r="AA527" s="200"/>
      <c r="AB527" s="200"/>
      <c r="AC527" s="201"/>
      <c r="AD527" s="201"/>
      <c r="AE527" s="200"/>
      <c r="AF527" s="200"/>
      <c r="AG527" s="209"/>
      <c r="AH527" s="201"/>
      <c r="AI527" s="200"/>
      <c r="AJ527" s="200"/>
      <c r="AK527" s="209"/>
      <c r="AL527" s="200"/>
      <c r="AM527" s="201"/>
      <c r="AN527" s="201"/>
    </row>
    <row r="528" spans="1:40" x14ac:dyDescent="0.25">
      <c r="F528" s="211"/>
      <c r="H528" s="211"/>
      <c r="I528" s="211"/>
      <c r="J528" s="329"/>
      <c r="K528" s="329"/>
      <c r="L528" s="211"/>
      <c r="M528" s="211"/>
      <c r="N528" s="211"/>
      <c r="O528" s="211"/>
      <c r="P528" s="211"/>
      <c r="Q528" s="211"/>
      <c r="R528" s="211"/>
      <c r="V528" s="211"/>
      <c r="Y528" s="211"/>
      <c r="Z528" s="305"/>
      <c r="AA528" s="211"/>
      <c r="AB528" s="211"/>
      <c r="AC528" s="211"/>
      <c r="AD528" s="211"/>
      <c r="AE528" s="211"/>
      <c r="AF528" s="211"/>
      <c r="AI528" s="211"/>
      <c r="AJ528" s="211"/>
      <c r="AK528" s="212"/>
      <c r="AL528" s="211"/>
    </row>
    <row r="529" spans="1:40" x14ac:dyDescent="0.25">
      <c r="J529" s="334"/>
      <c r="K529" s="334"/>
    </row>
    <row r="530" spans="1:40" x14ac:dyDescent="0.25">
      <c r="A530" s="202"/>
      <c r="C530" s="154"/>
      <c r="F530" s="200"/>
      <c r="H530" s="200"/>
      <c r="I530" s="200"/>
      <c r="J530" s="334"/>
      <c r="K530" s="334"/>
      <c r="L530" s="200"/>
      <c r="M530" s="200"/>
      <c r="N530" s="210"/>
      <c r="O530" s="210"/>
      <c r="P530" s="252"/>
      <c r="Q530" s="252"/>
      <c r="R530" s="200"/>
      <c r="T530" s="154"/>
      <c r="V530" s="200"/>
      <c r="Y530" s="200"/>
      <c r="AA530" s="200"/>
      <c r="AB530" s="200"/>
      <c r="AC530" s="201"/>
      <c r="AD530" s="201"/>
      <c r="AE530" s="200"/>
      <c r="AF530" s="200"/>
      <c r="AG530" s="209"/>
      <c r="AH530" s="201"/>
      <c r="AI530" s="252"/>
      <c r="AJ530" s="252"/>
      <c r="AK530" s="209"/>
      <c r="AL530" s="200"/>
      <c r="AM530" s="201"/>
      <c r="AN530" s="201"/>
    </row>
    <row r="531" spans="1:40" x14ac:dyDescent="0.25">
      <c r="H531" s="211"/>
      <c r="I531" s="211"/>
      <c r="J531" s="329"/>
      <c r="K531" s="329"/>
      <c r="L531" s="211"/>
      <c r="M531" s="211"/>
      <c r="N531" s="211"/>
      <c r="O531" s="211"/>
      <c r="P531" s="211"/>
      <c r="Q531" s="211"/>
      <c r="R531" s="211"/>
      <c r="V531" s="211"/>
      <c r="Y531" s="211"/>
      <c r="Z531" s="305"/>
      <c r="AA531" s="211"/>
      <c r="AB531" s="211"/>
      <c r="AC531" s="211"/>
      <c r="AD531" s="211"/>
      <c r="AE531" s="211"/>
      <c r="AF531" s="211"/>
      <c r="AI531" s="211"/>
      <c r="AJ531" s="211"/>
      <c r="AK531" s="212"/>
      <c r="AL531" s="211"/>
    </row>
    <row r="532" spans="1:40" x14ac:dyDescent="0.25">
      <c r="F532" s="211"/>
    </row>
    <row r="533" spans="1:40" x14ac:dyDescent="0.25">
      <c r="C533" s="202"/>
      <c r="T533" s="202"/>
    </row>
    <row r="534" spans="1:40" x14ac:dyDescent="0.25">
      <c r="A534" s="154"/>
    </row>
    <row r="535" spans="1:40" x14ac:dyDescent="0.25">
      <c r="J535" s="202"/>
      <c r="K535" s="202"/>
      <c r="Z535" s="202"/>
    </row>
    <row r="536" spans="1:40" x14ac:dyDescent="0.25">
      <c r="H536" s="154"/>
      <c r="I536" s="154"/>
      <c r="Y536" s="154"/>
    </row>
    <row r="537" spans="1:40" x14ac:dyDescent="0.25">
      <c r="J537" s="202"/>
      <c r="K537" s="202"/>
      <c r="Z537" s="202"/>
    </row>
    <row r="538" spans="1:40" x14ac:dyDescent="0.25">
      <c r="L538" s="154"/>
      <c r="M538" s="154"/>
      <c r="AA538" s="154"/>
      <c r="AB538" s="154"/>
    </row>
    <row r="539" spans="1:40" x14ac:dyDescent="0.25">
      <c r="A539" s="202"/>
      <c r="R539" s="154"/>
      <c r="AK539" s="297"/>
      <c r="AL539" s="154"/>
    </row>
    <row r="540" spans="1:40" x14ac:dyDescent="0.25">
      <c r="A540" s="202"/>
      <c r="R540" s="154"/>
      <c r="AK540" s="297"/>
      <c r="AL540" s="154"/>
    </row>
    <row r="541" spans="1:40" x14ac:dyDescent="0.25">
      <c r="A541" s="154"/>
      <c r="R541" s="154"/>
      <c r="AK541" s="297"/>
      <c r="AL541" s="154"/>
    </row>
    <row r="542" spans="1:40" x14ac:dyDescent="0.25">
      <c r="L542" s="154"/>
      <c r="M542" s="154"/>
      <c r="R542" s="202"/>
      <c r="AA542" s="154"/>
      <c r="AB542" s="154"/>
      <c r="AK542" s="209"/>
      <c r="AL542" s="202"/>
    </row>
    <row r="543" spans="1:40" x14ac:dyDescent="0.25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208"/>
      <c r="AH543" s="102"/>
      <c r="AI543" s="102"/>
      <c r="AJ543" s="102"/>
      <c r="AK543" s="208"/>
      <c r="AL543" s="102"/>
      <c r="AM543" s="102"/>
      <c r="AN543" s="102"/>
    </row>
    <row r="544" spans="1:40" x14ac:dyDescent="0.25">
      <c r="L544" s="103"/>
      <c r="M544" s="103"/>
      <c r="N544" s="103"/>
      <c r="O544" s="103"/>
      <c r="R544" s="103"/>
      <c r="AA544" s="103"/>
      <c r="AB544" s="103"/>
      <c r="AC544" s="103"/>
      <c r="AD544" s="103"/>
      <c r="AE544" s="103"/>
      <c r="AF544" s="103"/>
      <c r="AG544" s="185"/>
      <c r="AH544" s="103"/>
      <c r="AK544" s="185"/>
      <c r="AL544" s="103"/>
      <c r="AM544" s="103"/>
      <c r="AN544" s="103"/>
    </row>
    <row r="545" spans="1:40" x14ac:dyDescent="0.25">
      <c r="L545" s="103"/>
      <c r="M545" s="103"/>
      <c r="N545" s="103"/>
      <c r="O545" s="103"/>
      <c r="R545" s="103"/>
      <c r="Z545" s="103"/>
      <c r="AA545" s="103"/>
      <c r="AB545" s="103"/>
      <c r="AC545" s="103"/>
      <c r="AD545" s="103"/>
      <c r="AE545" s="103"/>
      <c r="AF545" s="103"/>
      <c r="AG545" s="185"/>
      <c r="AH545" s="103"/>
      <c r="AK545" s="185"/>
      <c r="AL545" s="103"/>
      <c r="AM545" s="103"/>
      <c r="AN545" s="103"/>
    </row>
    <row r="546" spans="1:40" x14ac:dyDescent="0.25">
      <c r="A546" s="103"/>
      <c r="C546" s="103"/>
      <c r="D546" s="103"/>
      <c r="E546" s="103"/>
      <c r="F546" s="103"/>
      <c r="J546" s="103"/>
      <c r="K546" s="103"/>
      <c r="L546" s="103"/>
      <c r="M546" s="103"/>
      <c r="N546" s="103"/>
      <c r="O546" s="103"/>
      <c r="P546" s="103"/>
      <c r="Q546" s="103"/>
      <c r="R546" s="103"/>
      <c r="T546" s="103"/>
      <c r="U546" s="103"/>
      <c r="V546" s="103"/>
      <c r="Z546" s="103"/>
      <c r="AA546" s="103"/>
      <c r="AB546" s="103"/>
      <c r="AC546" s="103"/>
      <c r="AD546" s="103"/>
      <c r="AE546" s="103"/>
      <c r="AF546" s="103"/>
      <c r="AG546" s="185"/>
      <c r="AH546" s="103"/>
      <c r="AI546" s="103"/>
      <c r="AJ546" s="103"/>
      <c r="AK546" s="185"/>
      <c r="AL546" s="103"/>
      <c r="AM546" s="103"/>
      <c r="AN546" s="103"/>
    </row>
    <row r="547" spans="1:40" x14ac:dyDescent="0.25">
      <c r="A547" s="103"/>
      <c r="C547" s="103"/>
      <c r="D547" s="103"/>
      <c r="E547" s="103"/>
      <c r="F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T547" s="103"/>
      <c r="U547" s="103"/>
      <c r="V547" s="103"/>
      <c r="Y547" s="103"/>
      <c r="Z547" s="103"/>
      <c r="AA547" s="103"/>
      <c r="AB547" s="103"/>
      <c r="AC547" s="103"/>
      <c r="AD547" s="103"/>
      <c r="AE547" s="103"/>
      <c r="AF547" s="103"/>
      <c r="AG547" s="185"/>
      <c r="AH547" s="103"/>
      <c r="AI547" s="103"/>
      <c r="AJ547" s="103"/>
      <c r="AK547" s="185"/>
      <c r="AL547" s="103"/>
      <c r="AM547" s="103"/>
      <c r="AN547" s="103"/>
    </row>
    <row r="548" spans="1:40" x14ac:dyDescent="0.25">
      <c r="C548" s="103"/>
      <c r="D548" s="103"/>
      <c r="E548" s="103"/>
      <c r="F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T548" s="103"/>
      <c r="U548" s="103"/>
      <c r="V548" s="103"/>
      <c r="Y548" s="103"/>
      <c r="Z548" s="103"/>
      <c r="AA548" s="103"/>
      <c r="AB548" s="103"/>
      <c r="AC548" s="103"/>
      <c r="AD548" s="103"/>
      <c r="AE548" s="103"/>
      <c r="AF548" s="103"/>
      <c r="AG548" s="185"/>
      <c r="AH548" s="103"/>
      <c r="AI548" s="103"/>
      <c r="AJ548" s="103"/>
      <c r="AK548" s="185"/>
      <c r="AL548" s="103"/>
      <c r="AM548" s="103"/>
      <c r="AN548" s="103"/>
    </row>
    <row r="549" spans="1:40" x14ac:dyDescent="0.25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208"/>
      <c r="AH549" s="102"/>
      <c r="AI549" s="102"/>
      <c r="AJ549" s="102"/>
      <c r="AK549" s="208"/>
      <c r="AL549" s="102"/>
      <c r="AM549" s="102"/>
      <c r="AN549" s="102"/>
    </row>
    <row r="550" spans="1:40" x14ac:dyDescent="0.25"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Y550" s="103"/>
      <c r="Z550" s="103"/>
      <c r="AA550" s="103"/>
      <c r="AB550" s="103"/>
      <c r="AC550" s="103"/>
      <c r="AD550" s="103"/>
      <c r="AE550" s="103"/>
      <c r="AF550" s="103"/>
      <c r="AG550" s="185"/>
      <c r="AH550" s="103"/>
      <c r="AI550" s="103"/>
      <c r="AJ550" s="103"/>
      <c r="AK550" s="185"/>
      <c r="AL550" s="103"/>
      <c r="AM550" s="103"/>
      <c r="AN550" s="103"/>
    </row>
    <row r="551" spans="1:40" x14ac:dyDescent="0.25">
      <c r="A551" s="202"/>
      <c r="C551" s="154"/>
      <c r="D551" s="154"/>
      <c r="E551" s="154"/>
      <c r="T551" s="154"/>
      <c r="U551" s="154"/>
    </row>
    <row r="553" spans="1:40" x14ac:dyDescent="0.25">
      <c r="A553" s="202"/>
      <c r="C553" s="154"/>
      <c r="D553" s="154"/>
      <c r="E553" s="154"/>
      <c r="T553" s="154"/>
      <c r="U553" s="154"/>
    </row>
    <row r="554" spans="1:40" x14ac:dyDescent="0.25">
      <c r="A554" s="202"/>
      <c r="C554" s="154"/>
      <c r="T554" s="154"/>
    </row>
    <row r="555" spans="1:40" x14ac:dyDescent="0.25">
      <c r="A555" s="202"/>
      <c r="C555" s="154"/>
      <c r="T555" s="154"/>
    </row>
    <row r="556" spans="1:40" x14ac:dyDescent="0.25">
      <c r="A556" s="202"/>
      <c r="C556" s="154"/>
      <c r="H556" s="252"/>
      <c r="I556" s="252"/>
      <c r="J556" s="329"/>
      <c r="K556" s="329"/>
      <c r="L556" s="200"/>
      <c r="M556" s="200"/>
      <c r="N556" s="210"/>
      <c r="O556" s="210"/>
      <c r="P556" s="200"/>
      <c r="Q556" s="200"/>
      <c r="R556" s="200"/>
      <c r="T556" s="154"/>
      <c r="V556" s="200"/>
      <c r="W556" s="200"/>
      <c r="X556" s="200"/>
      <c r="Y556" s="200"/>
      <c r="Z556" s="329"/>
      <c r="AA556" s="200"/>
      <c r="AB556" s="200"/>
      <c r="AC556" s="210"/>
      <c r="AD556" s="210"/>
      <c r="AE556" s="200"/>
      <c r="AF556" s="200"/>
      <c r="AG556" s="209"/>
      <c r="AH556" s="201"/>
      <c r="AI556" s="200"/>
      <c r="AJ556" s="200"/>
      <c r="AK556" s="209"/>
      <c r="AL556" s="200"/>
      <c r="AM556" s="210"/>
      <c r="AN556" s="210"/>
    </row>
    <row r="557" spans="1:40" x14ac:dyDescent="0.25">
      <c r="A557" s="202"/>
      <c r="C557" s="154"/>
      <c r="F557" s="252"/>
      <c r="J557" s="334"/>
      <c r="K557" s="334"/>
      <c r="T557" s="154"/>
      <c r="V557" s="200"/>
      <c r="W557" s="200"/>
      <c r="X557" s="200"/>
      <c r="Y557" s="200"/>
      <c r="Z557" s="329"/>
    </row>
    <row r="558" spans="1:40" x14ac:dyDescent="0.25">
      <c r="A558" s="202"/>
      <c r="C558" s="154"/>
      <c r="H558" s="252"/>
      <c r="I558" s="252"/>
      <c r="J558" s="329"/>
      <c r="K558" s="329"/>
      <c r="L558" s="200"/>
      <c r="M558" s="200"/>
      <c r="N558" s="210"/>
      <c r="O558" s="210"/>
      <c r="P558" s="200"/>
      <c r="Q558" s="200"/>
      <c r="R558" s="200"/>
      <c r="T558" s="154"/>
      <c r="V558" s="200"/>
      <c r="W558" s="200"/>
      <c r="X558" s="200"/>
      <c r="Y558" s="200"/>
      <c r="Z558" s="329"/>
      <c r="AA558" s="200"/>
      <c r="AB558" s="200"/>
      <c r="AC558" s="210"/>
      <c r="AD558" s="210"/>
      <c r="AE558" s="200"/>
      <c r="AF558" s="200"/>
      <c r="AG558" s="209"/>
      <c r="AH558" s="201"/>
      <c r="AI558" s="200"/>
      <c r="AJ558" s="200"/>
      <c r="AK558" s="209"/>
      <c r="AL558" s="200"/>
      <c r="AM558" s="210"/>
      <c r="AN558" s="210"/>
    </row>
    <row r="559" spans="1:40" x14ac:dyDescent="0.25">
      <c r="A559" s="202"/>
      <c r="C559" s="154"/>
      <c r="F559" s="252"/>
      <c r="J559" s="334"/>
      <c r="K559" s="334"/>
      <c r="T559" s="154"/>
      <c r="V559" s="200"/>
      <c r="W559" s="200"/>
      <c r="X559" s="200"/>
      <c r="Y559" s="200"/>
      <c r="Z559" s="329"/>
    </row>
    <row r="560" spans="1:40" x14ac:dyDescent="0.25">
      <c r="A560" s="202"/>
      <c r="C560" s="154"/>
      <c r="H560" s="252"/>
      <c r="I560" s="252"/>
      <c r="J560" s="329"/>
      <c r="K560" s="329"/>
      <c r="L560" s="200"/>
      <c r="M560" s="200"/>
      <c r="N560" s="210"/>
      <c r="O560" s="210"/>
      <c r="P560" s="200"/>
      <c r="Q560" s="200"/>
      <c r="R560" s="200"/>
      <c r="T560" s="154"/>
      <c r="V560" s="200"/>
      <c r="W560" s="200"/>
      <c r="X560" s="200"/>
      <c r="Y560" s="200"/>
      <c r="Z560" s="329"/>
      <c r="AA560" s="200"/>
      <c r="AB560" s="200"/>
      <c r="AC560" s="210"/>
      <c r="AD560" s="210"/>
      <c r="AE560" s="200"/>
      <c r="AF560" s="200"/>
      <c r="AG560" s="209"/>
      <c r="AH560" s="201"/>
      <c r="AI560" s="200"/>
      <c r="AJ560" s="200"/>
      <c r="AK560" s="209"/>
      <c r="AL560" s="200"/>
      <c r="AM560" s="210"/>
      <c r="AN560" s="210"/>
    </row>
    <row r="561" spans="1:40" x14ac:dyDescent="0.25">
      <c r="A561" s="202"/>
      <c r="C561" s="154"/>
      <c r="F561" s="252"/>
      <c r="J561" s="334"/>
      <c r="K561" s="334"/>
      <c r="T561" s="154"/>
      <c r="V561" s="200"/>
      <c r="W561" s="200"/>
      <c r="X561" s="200"/>
      <c r="Y561" s="200"/>
      <c r="Z561" s="329"/>
    </row>
    <row r="562" spans="1:40" x14ac:dyDescent="0.25">
      <c r="A562" s="202"/>
      <c r="C562" s="154"/>
      <c r="H562" s="252"/>
      <c r="I562" s="252"/>
      <c r="J562" s="329"/>
      <c r="K562" s="329"/>
      <c r="L562" s="200"/>
      <c r="M562" s="200"/>
      <c r="N562" s="210"/>
      <c r="O562" s="210"/>
      <c r="P562" s="200"/>
      <c r="Q562" s="200"/>
      <c r="R562" s="200"/>
      <c r="T562" s="154"/>
      <c r="V562" s="200"/>
      <c r="W562" s="200"/>
      <c r="X562" s="200"/>
      <c r="Y562" s="200"/>
      <c r="Z562" s="329"/>
      <c r="AA562" s="200"/>
      <c r="AB562" s="200"/>
      <c r="AC562" s="210"/>
      <c r="AD562" s="210"/>
      <c r="AE562" s="200"/>
      <c r="AF562" s="200"/>
      <c r="AG562" s="209"/>
      <c r="AH562" s="201"/>
      <c r="AI562" s="200"/>
      <c r="AJ562" s="200"/>
      <c r="AK562" s="209"/>
      <c r="AL562" s="200"/>
      <c r="AM562" s="210"/>
      <c r="AN562" s="210"/>
    </row>
    <row r="563" spans="1:40" x14ac:dyDescent="0.25">
      <c r="A563" s="202"/>
      <c r="C563" s="154"/>
      <c r="F563" s="252"/>
      <c r="J563" s="334"/>
      <c r="K563" s="334"/>
      <c r="T563" s="154"/>
      <c r="V563" s="200"/>
      <c r="W563" s="200"/>
      <c r="X563" s="200"/>
      <c r="Y563" s="200"/>
      <c r="Z563" s="329"/>
    </row>
    <row r="564" spans="1:40" x14ac:dyDescent="0.25">
      <c r="A564" s="202"/>
      <c r="C564" s="154"/>
      <c r="H564" s="252"/>
      <c r="I564" s="252"/>
      <c r="J564" s="329"/>
      <c r="K564" s="329"/>
      <c r="L564" s="200"/>
      <c r="M564" s="200"/>
      <c r="N564" s="210"/>
      <c r="O564" s="210"/>
      <c r="P564" s="200"/>
      <c r="Q564" s="200"/>
      <c r="R564" s="200"/>
      <c r="T564" s="154"/>
      <c r="V564" s="200"/>
      <c r="W564" s="200"/>
      <c r="X564" s="200"/>
      <c r="Y564" s="200"/>
      <c r="Z564" s="329"/>
      <c r="AA564" s="200"/>
      <c r="AB564" s="200"/>
      <c r="AC564" s="210"/>
      <c r="AD564" s="210"/>
      <c r="AE564" s="200"/>
      <c r="AF564" s="200"/>
      <c r="AG564" s="209"/>
      <c r="AH564" s="201"/>
      <c r="AI564" s="200"/>
      <c r="AJ564" s="200"/>
      <c r="AK564" s="209"/>
      <c r="AL564" s="200"/>
      <c r="AM564" s="210"/>
      <c r="AN564" s="210"/>
    </row>
    <row r="565" spans="1:40" x14ac:dyDescent="0.25">
      <c r="A565" s="202"/>
      <c r="C565" s="154"/>
      <c r="F565" s="252"/>
      <c r="J565" s="334"/>
      <c r="K565" s="334"/>
      <c r="T565" s="154"/>
      <c r="V565" s="200"/>
      <c r="W565" s="200"/>
      <c r="X565" s="200"/>
      <c r="Y565" s="200"/>
      <c r="Z565" s="329"/>
    </row>
    <row r="566" spans="1:40" x14ac:dyDescent="0.25">
      <c r="A566" s="202"/>
      <c r="C566" s="154"/>
      <c r="H566" s="252"/>
      <c r="I566" s="252"/>
      <c r="J566" s="329"/>
      <c r="K566" s="329"/>
      <c r="L566" s="200"/>
      <c r="M566" s="200"/>
      <c r="N566" s="210"/>
      <c r="O566" s="210"/>
      <c r="P566" s="200"/>
      <c r="Q566" s="200"/>
      <c r="R566" s="200"/>
      <c r="T566" s="154"/>
      <c r="V566" s="200"/>
      <c r="W566" s="200"/>
      <c r="X566" s="200"/>
      <c r="Y566" s="200"/>
      <c r="Z566" s="329"/>
      <c r="AA566" s="200"/>
      <c r="AB566" s="200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10"/>
      <c r="AN566" s="210"/>
    </row>
    <row r="567" spans="1:40" x14ac:dyDescent="0.25">
      <c r="F567" s="252"/>
      <c r="H567" s="211"/>
      <c r="I567" s="211"/>
      <c r="J567" s="329"/>
      <c r="K567" s="329"/>
      <c r="L567" s="211"/>
      <c r="M567" s="211"/>
      <c r="N567" s="211"/>
      <c r="O567" s="211"/>
      <c r="P567" s="211"/>
      <c r="Q567" s="211"/>
      <c r="R567" s="211"/>
      <c r="V567" s="211"/>
      <c r="Y567" s="211"/>
      <c r="Z567" s="329"/>
      <c r="AA567" s="211"/>
      <c r="AB567" s="211"/>
      <c r="AC567" s="211"/>
      <c r="AD567" s="211"/>
      <c r="AE567" s="211"/>
      <c r="AF567" s="211"/>
      <c r="AI567" s="211"/>
      <c r="AJ567" s="211"/>
      <c r="AK567" s="212"/>
      <c r="AL567" s="211"/>
      <c r="AM567" s="210"/>
      <c r="AN567" s="210"/>
    </row>
    <row r="568" spans="1:40" x14ac:dyDescent="0.25">
      <c r="A568" s="202"/>
      <c r="C568" s="154"/>
      <c r="F568" s="211"/>
      <c r="H568" s="200"/>
      <c r="I568" s="200"/>
      <c r="J568" s="334"/>
      <c r="K568" s="334"/>
      <c r="L568" s="200"/>
      <c r="M568" s="200"/>
      <c r="N568" s="210"/>
      <c r="O568" s="210"/>
      <c r="P568" s="252"/>
      <c r="Q568" s="252"/>
      <c r="R568" s="200"/>
      <c r="T568" s="154"/>
      <c r="V568" s="200"/>
      <c r="W568" s="200"/>
      <c r="X568" s="200"/>
      <c r="Y568" s="200"/>
      <c r="Z568" s="329"/>
      <c r="AA568" s="200"/>
      <c r="AB568" s="200"/>
      <c r="AC568" s="210"/>
      <c r="AD568" s="210"/>
      <c r="AE568" s="200"/>
      <c r="AF568" s="200"/>
      <c r="AG568" s="209"/>
      <c r="AH568" s="201"/>
      <c r="AI568" s="252"/>
      <c r="AJ568" s="252"/>
      <c r="AK568" s="209"/>
      <c r="AL568" s="200"/>
      <c r="AM568" s="210"/>
      <c r="AN568" s="210"/>
    </row>
    <row r="569" spans="1:40" x14ac:dyDescent="0.25">
      <c r="F569" s="200"/>
      <c r="H569" s="211"/>
      <c r="I569" s="211"/>
      <c r="J569" s="329"/>
      <c r="K569" s="329"/>
      <c r="L569" s="211"/>
      <c r="M569" s="211"/>
      <c r="N569" s="211"/>
      <c r="O569" s="211"/>
      <c r="P569" s="211"/>
      <c r="Q569" s="211"/>
      <c r="R569" s="211"/>
      <c r="V569" s="211"/>
      <c r="Y569" s="211"/>
      <c r="Z569" s="329"/>
      <c r="AA569" s="211"/>
      <c r="AB569" s="211"/>
      <c r="AC569" s="211"/>
      <c r="AD569" s="211"/>
      <c r="AE569" s="211"/>
      <c r="AF569" s="211"/>
      <c r="AI569" s="211"/>
      <c r="AJ569" s="211"/>
      <c r="AK569" s="212"/>
      <c r="AL569" s="211"/>
    </row>
    <row r="570" spans="1:40" x14ac:dyDescent="0.25">
      <c r="A570" s="202"/>
      <c r="C570" s="154"/>
      <c r="D570" s="154"/>
      <c r="E570" s="154"/>
      <c r="F570" s="211"/>
      <c r="J570" s="334"/>
      <c r="K570" s="334"/>
      <c r="T570" s="154"/>
      <c r="U570" s="154"/>
      <c r="V570" s="200"/>
      <c r="W570" s="200"/>
      <c r="X570" s="200"/>
      <c r="Y570" s="200"/>
      <c r="Z570" s="329"/>
    </row>
    <row r="571" spans="1:40" x14ac:dyDescent="0.25">
      <c r="A571" s="202"/>
      <c r="C571" s="154"/>
      <c r="J571" s="334"/>
      <c r="K571" s="334"/>
      <c r="T571" s="154"/>
      <c r="V571" s="200"/>
      <c r="W571" s="200"/>
      <c r="X571" s="200"/>
      <c r="Y571" s="200"/>
      <c r="Z571" s="329"/>
    </row>
    <row r="572" spans="1:40" x14ac:dyDescent="0.25">
      <c r="A572" s="202"/>
      <c r="C572" s="154"/>
      <c r="J572" s="334"/>
      <c r="K572" s="334"/>
      <c r="T572" s="154"/>
      <c r="V572" s="200"/>
      <c r="W572" s="200"/>
      <c r="X572" s="200"/>
      <c r="Y572" s="200"/>
      <c r="Z572" s="329"/>
    </row>
    <row r="573" spans="1:40" x14ac:dyDescent="0.25">
      <c r="A573" s="202"/>
      <c r="C573" s="154"/>
      <c r="H573" s="252"/>
      <c r="I573" s="252"/>
      <c r="J573" s="329"/>
      <c r="K573" s="329"/>
      <c r="L573" s="200"/>
      <c r="M573" s="200"/>
      <c r="N573" s="210"/>
      <c r="O573" s="210"/>
      <c r="P573" s="200"/>
      <c r="Q573" s="200"/>
      <c r="R573" s="200"/>
      <c r="T573" s="154"/>
      <c r="V573" s="200"/>
      <c r="W573" s="200"/>
      <c r="X573" s="200"/>
      <c r="Y573" s="200"/>
      <c r="Z573" s="329"/>
      <c r="AA573" s="200"/>
      <c r="AB573" s="200"/>
      <c r="AC573" s="210"/>
      <c r="AD573" s="210"/>
      <c r="AE573" s="200"/>
      <c r="AF573" s="200"/>
      <c r="AG573" s="209"/>
      <c r="AH573" s="201"/>
      <c r="AI573" s="200"/>
      <c r="AJ573" s="200"/>
      <c r="AK573" s="209"/>
      <c r="AL573" s="200"/>
      <c r="AM573" s="210"/>
      <c r="AN573" s="210"/>
    </row>
    <row r="574" spans="1:40" x14ac:dyDescent="0.25">
      <c r="A574" s="202"/>
      <c r="C574" s="154"/>
      <c r="F574" s="252"/>
      <c r="J574" s="334"/>
      <c r="K574" s="334"/>
      <c r="T574" s="154"/>
      <c r="V574" s="200"/>
      <c r="W574" s="200"/>
      <c r="X574" s="200"/>
      <c r="Y574" s="200"/>
      <c r="Z574" s="329"/>
    </row>
    <row r="575" spans="1:40" x14ac:dyDescent="0.25">
      <c r="A575" s="202"/>
      <c r="C575" s="154"/>
      <c r="H575" s="252"/>
      <c r="I575" s="252"/>
      <c r="J575" s="329"/>
      <c r="K575" s="329"/>
      <c r="L575" s="200"/>
      <c r="M575" s="200"/>
      <c r="N575" s="210"/>
      <c r="O575" s="210"/>
      <c r="P575" s="200"/>
      <c r="Q575" s="200"/>
      <c r="R575" s="200"/>
      <c r="T575" s="154"/>
      <c r="V575" s="200"/>
      <c r="W575" s="200"/>
      <c r="X575" s="200"/>
      <c r="Y575" s="200"/>
      <c r="Z575" s="329"/>
      <c r="AA575" s="200"/>
      <c r="AB575" s="200"/>
      <c r="AC575" s="210"/>
      <c r="AD575" s="210"/>
      <c r="AE575" s="200"/>
      <c r="AF575" s="200"/>
      <c r="AG575" s="209"/>
      <c r="AH575" s="201"/>
      <c r="AI575" s="200"/>
      <c r="AJ575" s="200"/>
      <c r="AK575" s="209"/>
      <c r="AL575" s="200"/>
      <c r="AM575" s="210"/>
      <c r="AN575" s="210"/>
    </row>
    <row r="576" spans="1:40" x14ac:dyDescent="0.25">
      <c r="F576" s="252"/>
      <c r="H576" s="211"/>
      <c r="I576" s="211"/>
      <c r="J576" s="329"/>
      <c r="K576" s="329"/>
      <c r="L576" s="211"/>
      <c r="M576" s="211"/>
      <c r="N576" s="211"/>
      <c r="O576" s="211"/>
      <c r="P576" s="211"/>
      <c r="Q576" s="211"/>
      <c r="R576" s="211"/>
      <c r="V576" s="211"/>
      <c r="Y576" s="211"/>
      <c r="Z576" s="305"/>
      <c r="AA576" s="211"/>
      <c r="AB576" s="211"/>
      <c r="AC576" s="211"/>
      <c r="AD576" s="211"/>
      <c r="AE576" s="211"/>
      <c r="AF576" s="211"/>
      <c r="AI576" s="211"/>
      <c r="AJ576" s="211"/>
      <c r="AK576" s="212"/>
      <c r="AL576" s="211"/>
    </row>
    <row r="577" spans="1:40" x14ac:dyDescent="0.25">
      <c r="A577" s="202"/>
      <c r="C577" s="154"/>
      <c r="F577" s="211"/>
      <c r="H577" s="200"/>
      <c r="I577" s="200"/>
      <c r="L577" s="200"/>
      <c r="M577" s="200"/>
      <c r="N577" s="210"/>
      <c r="O577" s="210"/>
      <c r="P577" s="252"/>
      <c r="Q577" s="252"/>
      <c r="R577" s="200"/>
      <c r="T577" s="154"/>
      <c r="V577" s="200"/>
      <c r="W577" s="200"/>
      <c r="X577" s="200"/>
      <c r="Y577" s="200"/>
      <c r="Z577" s="328"/>
      <c r="AA577" s="200"/>
      <c r="AB577" s="200"/>
      <c r="AC577" s="210"/>
      <c r="AD577" s="210"/>
      <c r="AE577" s="200"/>
      <c r="AF577" s="200"/>
      <c r="AG577" s="209"/>
      <c r="AH577" s="201"/>
      <c r="AI577" s="252"/>
      <c r="AJ577" s="252"/>
      <c r="AK577" s="209"/>
      <c r="AL577" s="200"/>
      <c r="AM577" s="210"/>
      <c r="AN577" s="210"/>
    </row>
    <row r="578" spans="1:40" x14ac:dyDescent="0.25">
      <c r="F578" s="200"/>
      <c r="H578" s="211"/>
      <c r="I578" s="211"/>
      <c r="J578" s="305"/>
      <c r="K578" s="305"/>
      <c r="L578" s="211"/>
      <c r="M578" s="211"/>
      <c r="N578" s="211"/>
      <c r="O578" s="211"/>
      <c r="P578" s="211"/>
      <c r="Q578" s="211"/>
      <c r="R578" s="211"/>
      <c r="V578" s="211"/>
      <c r="Y578" s="211"/>
      <c r="Z578" s="305"/>
      <c r="AA578" s="211"/>
      <c r="AB578" s="211"/>
      <c r="AC578" s="211"/>
      <c r="AD578" s="211"/>
      <c r="AE578" s="211"/>
      <c r="AF578" s="211"/>
      <c r="AI578" s="211"/>
      <c r="AJ578" s="211"/>
      <c r="AK578" s="212"/>
      <c r="AL578" s="211"/>
    </row>
    <row r="579" spans="1:40" x14ac:dyDescent="0.25">
      <c r="A579" s="202"/>
      <c r="C579" s="154"/>
      <c r="D579" s="154"/>
      <c r="E579" s="154"/>
      <c r="F579" s="211"/>
      <c r="T579" s="154"/>
      <c r="U579" s="154"/>
      <c r="V579" s="200"/>
      <c r="W579" s="200"/>
      <c r="X579" s="200"/>
      <c r="Y579" s="200"/>
      <c r="Z579" s="328"/>
    </row>
    <row r="580" spans="1:40" x14ac:dyDescent="0.25">
      <c r="A580" s="202"/>
      <c r="C580" s="154"/>
      <c r="T580" s="154"/>
      <c r="V580" s="200"/>
      <c r="W580" s="200"/>
      <c r="X580" s="200"/>
      <c r="Y580" s="200"/>
      <c r="Z580" s="328"/>
    </row>
    <row r="581" spans="1:40" x14ac:dyDescent="0.25">
      <c r="A581" s="202"/>
      <c r="C581" s="154"/>
      <c r="H581" s="252"/>
      <c r="I581" s="252"/>
      <c r="J581" s="328"/>
      <c r="K581" s="328"/>
      <c r="L581" s="200"/>
      <c r="M581" s="200"/>
      <c r="N581" s="210"/>
      <c r="O581" s="210"/>
      <c r="P581" s="200"/>
      <c r="Q581" s="200"/>
      <c r="R581" s="200"/>
      <c r="T581" s="154"/>
      <c r="V581" s="200"/>
      <c r="W581" s="200"/>
      <c r="X581" s="200"/>
      <c r="Y581" s="200"/>
      <c r="Z581" s="328"/>
      <c r="AA581" s="200"/>
      <c r="AB581" s="200"/>
      <c r="AC581" s="210"/>
      <c r="AD581" s="210"/>
      <c r="AE581" s="200"/>
      <c r="AF581" s="200"/>
      <c r="AG581" s="209"/>
      <c r="AH581" s="201"/>
      <c r="AI581" s="200"/>
      <c r="AJ581" s="200"/>
      <c r="AK581" s="209"/>
      <c r="AL581" s="200"/>
      <c r="AM581" s="210"/>
      <c r="AN581" s="210"/>
    </row>
    <row r="582" spans="1:40" x14ac:dyDescent="0.25">
      <c r="A582" s="202"/>
      <c r="C582" s="154"/>
      <c r="F582" s="252"/>
      <c r="T582" s="154"/>
      <c r="V582" s="200"/>
      <c r="W582" s="200"/>
      <c r="X582" s="200"/>
      <c r="Y582" s="200"/>
      <c r="Z582" s="328"/>
    </row>
    <row r="583" spans="1:40" x14ac:dyDescent="0.25">
      <c r="A583" s="202"/>
      <c r="C583" s="154"/>
      <c r="H583" s="252"/>
      <c r="I583" s="252"/>
      <c r="J583" s="328"/>
      <c r="K583" s="328"/>
      <c r="L583" s="200"/>
      <c r="M583" s="200"/>
      <c r="N583" s="210"/>
      <c r="O583" s="210"/>
      <c r="P583" s="200"/>
      <c r="Q583" s="200"/>
      <c r="R583" s="200"/>
      <c r="T583" s="154"/>
      <c r="V583" s="200"/>
      <c r="W583" s="200"/>
      <c r="X583" s="200"/>
      <c r="Y583" s="200"/>
      <c r="Z583" s="328"/>
      <c r="AA583" s="200"/>
      <c r="AB583" s="200"/>
      <c r="AC583" s="210"/>
      <c r="AD583" s="210"/>
      <c r="AE583" s="200"/>
      <c r="AF583" s="200"/>
      <c r="AG583" s="209"/>
      <c r="AH583" s="201"/>
      <c r="AI583" s="200"/>
      <c r="AJ583" s="200"/>
      <c r="AK583" s="209"/>
      <c r="AL583" s="200"/>
      <c r="AM583" s="210"/>
      <c r="AN583" s="210"/>
    </row>
    <row r="584" spans="1:40" x14ac:dyDescent="0.25">
      <c r="A584" s="202"/>
      <c r="C584" s="154"/>
      <c r="F584" s="252"/>
      <c r="T584" s="154"/>
      <c r="V584" s="200"/>
      <c r="W584" s="200"/>
      <c r="X584" s="200"/>
      <c r="Y584" s="200"/>
      <c r="Z584" s="328"/>
    </row>
    <row r="585" spans="1:40" x14ac:dyDescent="0.25">
      <c r="A585" s="202"/>
      <c r="C585" s="154"/>
      <c r="H585" s="252"/>
      <c r="I585" s="252"/>
      <c r="J585" s="328"/>
      <c r="K585" s="328"/>
      <c r="L585" s="200"/>
      <c r="M585" s="200"/>
      <c r="N585" s="210"/>
      <c r="O585" s="210"/>
      <c r="P585" s="200"/>
      <c r="Q585" s="200"/>
      <c r="R585" s="200"/>
      <c r="T585" s="154"/>
      <c r="V585" s="200"/>
      <c r="W585" s="200"/>
      <c r="X585" s="200"/>
      <c r="Y585" s="200"/>
      <c r="Z585" s="328"/>
      <c r="AA585" s="200"/>
      <c r="AB585" s="200"/>
      <c r="AC585" s="210"/>
      <c r="AD585" s="210"/>
      <c r="AE585" s="200"/>
      <c r="AF585" s="200"/>
      <c r="AG585" s="209"/>
      <c r="AH585" s="201"/>
      <c r="AI585" s="200"/>
      <c r="AJ585" s="200"/>
      <c r="AK585" s="209"/>
      <c r="AL585" s="200"/>
      <c r="AM585" s="210"/>
      <c r="AN585" s="210"/>
    </row>
    <row r="586" spans="1:40" x14ac:dyDescent="0.25">
      <c r="A586" s="202"/>
      <c r="C586" s="154"/>
      <c r="F586" s="252"/>
      <c r="T586" s="154"/>
      <c r="V586" s="200"/>
      <c r="W586" s="200"/>
      <c r="X586" s="200"/>
      <c r="Y586" s="200"/>
      <c r="Z586" s="328"/>
    </row>
    <row r="587" spans="1:40" x14ac:dyDescent="0.25">
      <c r="A587" s="202"/>
      <c r="C587" s="154"/>
      <c r="H587" s="252"/>
      <c r="I587" s="252"/>
      <c r="J587" s="328"/>
      <c r="K587" s="328"/>
      <c r="L587" s="200"/>
      <c r="M587" s="200"/>
      <c r="N587" s="210"/>
      <c r="O587" s="210"/>
      <c r="P587" s="200"/>
      <c r="Q587" s="200"/>
      <c r="R587" s="200"/>
      <c r="T587" s="154"/>
      <c r="V587" s="200"/>
      <c r="W587" s="200"/>
      <c r="X587" s="200"/>
      <c r="Y587" s="200"/>
      <c r="Z587" s="328"/>
      <c r="AA587" s="200"/>
      <c r="AB587" s="200"/>
      <c r="AC587" s="210"/>
      <c r="AD587" s="210"/>
      <c r="AE587" s="200"/>
      <c r="AF587" s="200"/>
      <c r="AG587" s="209"/>
      <c r="AH587" s="201"/>
      <c r="AI587" s="200"/>
      <c r="AJ587" s="200"/>
      <c r="AK587" s="209"/>
      <c r="AL587" s="200"/>
      <c r="AM587" s="210"/>
      <c r="AN587" s="210"/>
    </row>
    <row r="588" spans="1:40" x14ac:dyDescent="0.25">
      <c r="F588" s="252"/>
      <c r="H588" s="211"/>
      <c r="I588" s="211"/>
      <c r="J588" s="305"/>
      <c r="K588" s="305"/>
      <c r="L588" s="211"/>
      <c r="M588" s="211"/>
      <c r="N588" s="211"/>
      <c r="O588" s="211"/>
      <c r="P588" s="211"/>
      <c r="Q588" s="211"/>
      <c r="R588" s="211"/>
      <c r="V588" s="211"/>
      <c r="Y588" s="211"/>
      <c r="Z588" s="305"/>
      <c r="AA588" s="211"/>
      <c r="AB588" s="211"/>
      <c r="AC588" s="211"/>
      <c r="AD588" s="211"/>
      <c r="AE588" s="211"/>
      <c r="AF588" s="211"/>
      <c r="AI588" s="211"/>
      <c r="AJ588" s="211"/>
      <c r="AK588" s="212"/>
      <c r="AL588" s="211"/>
    </row>
    <row r="589" spans="1:40" x14ac:dyDescent="0.25">
      <c r="A589" s="202"/>
      <c r="C589" s="154"/>
      <c r="F589" s="211"/>
      <c r="H589" s="200"/>
      <c r="I589" s="200"/>
      <c r="L589" s="200"/>
      <c r="M589" s="200"/>
      <c r="N589" s="210"/>
      <c r="O589" s="210"/>
      <c r="P589" s="252"/>
      <c r="Q589" s="252"/>
      <c r="R589" s="200"/>
      <c r="T589" s="154"/>
      <c r="V589" s="200"/>
      <c r="W589" s="200"/>
      <c r="X589" s="200"/>
      <c r="Y589" s="200"/>
      <c r="Z589" s="328"/>
      <c r="AA589" s="200"/>
      <c r="AB589" s="200"/>
      <c r="AC589" s="210"/>
      <c r="AD589" s="210"/>
      <c r="AE589" s="200"/>
      <c r="AF589" s="200"/>
      <c r="AG589" s="209"/>
      <c r="AH589" s="201"/>
      <c r="AI589" s="252"/>
      <c r="AJ589" s="252"/>
      <c r="AK589" s="209"/>
      <c r="AL589" s="200"/>
      <c r="AM589" s="210"/>
      <c r="AN589" s="210"/>
    </row>
    <row r="590" spans="1:40" x14ac:dyDescent="0.25">
      <c r="F590" s="200"/>
      <c r="H590" s="211"/>
      <c r="I590" s="211"/>
      <c r="J590" s="305"/>
      <c r="K590" s="305"/>
      <c r="L590" s="211"/>
      <c r="M590" s="211"/>
      <c r="N590" s="211"/>
      <c r="O590" s="211"/>
      <c r="P590" s="211"/>
      <c r="Q590" s="211"/>
      <c r="R590" s="211"/>
      <c r="V590" s="211"/>
      <c r="Y590" s="211"/>
      <c r="Z590" s="305"/>
      <c r="AA590" s="211"/>
      <c r="AB590" s="211"/>
      <c r="AC590" s="211"/>
      <c r="AD590" s="211"/>
      <c r="AE590" s="211"/>
      <c r="AF590" s="211"/>
      <c r="AI590" s="211"/>
      <c r="AJ590" s="211"/>
      <c r="AK590" s="212"/>
      <c r="AL590" s="211"/>
    </row>
    <row r="591" spans="1:40" x14ac:dyDescent="0.25">
      <c r="A591" s="202"/>
      <c r="C591" s="154"/>
      <c r="F591" s="211"/>
      <c r="H591" s="200"/>
      <c r="I591" s="200"/>
      <c r="L591" s="200"/>
      <c r="M591" s="200"/>
      <c r="N591" s="210"/>
      <c r="O591" s="210"/>
      <c r="P591" s="200"/>
      <c r="Q591" s="200"/>
      <c r="R591" s="200"/>
      <c r="T591" s="154"/>
      <c r="V591" s="200"/>
      <c r="W591" s="200"/>
      <c r="X591" s="200"/>
      <c r="Y591" s="200"/>
      <c r="AA591" s="200"/>
      <c r="AB591" s="200"/>
      <c r="AC591" s="210"/>
      <c r="AD591" s="210"/>
      <c r="AE591" s="200"/>
      <c r="AF591" s="200"/>
      <c r="AG591" s="209"/>
      <c r="AH591" s="201"/>
      <c r="AI591" s="200"/>
      <c r="AJ591" s="200"/>
      <c r="AK591" s="209"/>
      <c r="AL591" s="200"/>
      <c r="AM591" s="201"/>
      <c r="AN591" s="201"/>
    </row>
    <row r="592" spans="1:40" x14ac:dyDescent="0.25">
      <c r="F592" s="200"/>
      <c r="H592" s="211"/>
      <c r="I592" s="211"/>
      <c r="J592" s="305"/>
      <c r="K592" s="305"/>
      <c r="L592" s="211"/>
      <c r="M592" s="211"/>
      <c r="N592" s="211"/>
      <c r="O592" s="211"/>
      <c r="P592" s="211"/>
      <c r="Q592" s="211"/>
      <c r="R592" s="211"/>
      <c r="V592" s="211"/>
      <c r="Y592" s="211"/>
      <c r="Z592" s="305"/>
      <c r="AA592" s="211"/>
      <c r="AB592" s="211"/>
      <c r="AC592" s="211"/>
      <c r="AD592" s="211"/>
      <c r="AE592" s="211"/>
      <c r="AF592" s="211"/>
      <c r="AI592" s="211"/>
      <c r="AJ592" s="211"/>
      <c r="AK592" s="212"/>
      <c r="AL592" s="211"/>
    </row>
    <row r="594" spans="1:40" x14ac:dyDescent="0.25">
      <c r="C594" s="202"/>
      <c r="F594" s="211"/>
      <c r="T594" s="202"/>
    </row>
    <row r="595" spans="1:40" x14ac:dyDescent="0.25">
      <c r="A595" s="154"/>
    </row>
    <row r="596" spans="1:40" x14ac:dyDescent="0.25">
      <c r="J596" s="202"/>
      <c r="K596" s="202"/>
      <c r="Z596" s="202"/>
    </row>
    <row r="597" spans="1:40" x14ac:dyDescent="0.25">
      <c r="H597" s="154"/>
      <c r="I597" s="154"/>
      <c r="Y597" s="154"/>
    </row>
    <row r="598" spans="1:40" x14ac:dyDescent="0.25">
      <c r="J598" s="202"/>
      <c r="K598" s="202"/>
      <c r="Z598" s="202"/>
    </row>
    <row r="599" spans="1:40" x14ac:dyDescent="0.25">
      <c r="L599" s="154"/>
      <c r="M599" s="154"/>
      <c r="AA599" s="154"/>
      <c r="AB599" s="154"/>
    </row>
    <row r="600" spans="1:40" x14ac:dyDescent="0.25">
      <c r="A600" s="202"/>
      <c r="R600" s="154"/>
      <c r="AK600" s="297"/>
      <c r="AL600" s="154"/>
    </row>
    <row r="601" spans="1:40" x14ac:dyDescent="0.25">
      <c r="A601" s="202"/>
      <c r="R601" s="154"/>
      <c r="AK601" s="297"/>
      <c r="AL601" s="154"/>
    </row>
    <row r="602" spans="1:40" x14ac:dyDescent="0.25">
      <c r="A602" s="154"/>
      <c r="R602" s="154"/>
      <c r="AK602" s="297"/>
      <c r="AL602" s="154"/>
    </row>
    <row r="603" spans="1:40" x14ac:dyDescent="0.25">
      <c r="L603" s="154"/>
      <c r="M603" s="154"/>
      <c r="R603" s="202"/>
      <c r="AA603" s="154"/>
      <c r="AB603" s="154"/>
      <c r="AK603" s="209"/>
      <c r="AL603" s="202"/>
    </row>
    <row r="604" spans="1:40" x14ac:dyDescent="0.25">
      <c r="A604" s="102"/>
      <c r="B604" s="102"/>
      <c r="C604" s="102"/>
      <c r="D604" s="102"/>
      <c r="E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208"/>
      <c r="AH604" s="102"/>
      <c r="AI604" s="102"/>
      <c r="AJ604" s="102"/>
      <c r="AK604" s="208"/>
      <c r="AL604" s="102"/>
      <c r="AM604" s="102"/>
      <c r="AN604" s="102"/>
    </row>
    <row r="605" spans="1:40" x14ac:dyDescent="0.25">
      <c r="F605" s="102"/>
      <c r="L605" s="103"/>
      <c r="M605" s="103"/>
      <c r="N605" s="103"/>
      <c r="O605" s="103"/>
      <c r="R605" s="103"/>
      <c r="AA605" s="103"/>
      <c r="AB605" s="103"/>
      <c r="AC605" s="103"/>
      <c r="AD605" s="103"/>
      <c r="AE605" s="103"/>
      <c r="AF605" s="103"/>
      <c r="AG605" s="185"/>
      <c r="AH605" s="103"/>
      <c r="AK605" s="185"/>
      <c r="AL605" s="103"/>
      <c r="AM605" s="103"/>
      <c r="AN605" s="103"/>
    </row>
    <row r="606" spans="1:40" x14ac:dyDescent="0.25">
      <c r="L606" s="103"/>
      <c r="M606" s="103"/>
      <c r="N606" s="103"/>
      <c r="O606" s="103"/>
      <c r="R606" s="103"/>
      <c r="Z606" s="103"/>
      <c r="AA606" s="103"/>
      <c r="AB606" s="103"/>
      <c r="AC606" s="103"/>
      <c r="AD606" s="103"/>
      <c r="AE606" s="103"/>
      <c r="AF606" s="103"/>
      <c r="AG606" s="185"/>
      <c r="AH606" s="103"/>
      <c r="AK606" s="185"/>
      <c r="AL606" s="103"/>
      <c r="AM606" s="103"/>
      <c r="AN606" s="103"/>
    </row>
    <row r="607" spans="1:40" x14ac:dyDescent="0.25">
      <c r="A607" s="103"/>
      <c r="C607" s="103"/>
      <c r="D607" s="103"/>
      <c r="E607" s="103"/>
      <c r="J607" s="103"/>
      <c r="K607" s="103"/>
      <c r="L607" s="103"/>
      <c r="M607" s="103"/>
      <c r="N607" s="103"/>
      <c r="O607" s="103"/>
      <c r="P607" s="103"/>
      <c r="Q607" s="103"/>
      <c r="R607" s="103"/>
      <c r="T607" s="103"/>
      <c r="U607" s="103"/>
      <c r="V607" s="103"/>
      <c r="Z607" s="103"/>
      <c r="AA607" s="103"/>
      <c r="AB607" s="103"/>
      <c r="AC607" s="103"/>
      <c r="AD607" s="103"/>
      <c r="AE607" s="103"/>
      <c r="AF607" s="103"/>
      <c r="AG607" s="185"/>
      <c r="AH607" s="103"/>
      <c r="AI607" s="103"/>
      <c r="AJ607" s="103"/>
      <c r="AK607" s="185"/>
      <c r="AL607" s="103"/>
      <c r="AM607" s="103"/>
      <c r="AN607" s="103"/>
    </row>
    <row r="608" spans="1:40" x14ac:dyDescent="0.25">
      <c r="A608" s="103"/>
      <c r="C608" s="103"/>
      <c r="D608" s="103"/>
      <c r="E608" s="103"/>
      <c r="F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T608" s="103"/>
      <c r="U608" s="103"/>
      <c r="V608" s="103"/>
      <c r="Y608" s="103"/>
      <c r="Z608" s="103"/>
      <c r="AA608" s="103"/>
      <c r="AB608" s="103"/>
      <c r="AC608" s="103"/>
      <c r="AD608" s="103"/>
      <c r="AE608" s="103"/>
      <c r="AF608" s="103"/>
      <c r="AG608" s="185"/>
      <c r="AH608" s="103"/>
      <c r="AI608" s="103"/>
      <c r="AJ608" s="103"/>
      <c r="AK608" s="185"/>
      <c r="AL608" s="103"/>
      <c r="AM608" s="103"/>
      <c r="AN608" s="103"/>
    </row>
    <row r="609" spans="1:40" x14ac:dyDescent="0.25">
      <c r="C609" s="103"/>
      <c r="D609" s="103"/>
      <c r="E609" s="103"/>
      <c r="F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T609" s="103"/>
      <c r="U609" s="103"/>
      <c r="V609" s="103"/>
      <c r="Y609" s="103"/>
      <c r="Z609" s="103"/>
      <c r="AA609" s="103"/>
      <c r="AB609" s="103"/>
      <c r="AC609" s="103"/>
      <c r="AD609" s="103"/>
      <c r="AE609" s="103"/>
      <c r="AF609" s="103"/>
      <c r="AG609" s="185"/>
      <c r="AH609" s="103"/>
      <c r="AI609" s="103"/>
      <c r="AJ609" s="103"/>
      <c r="AK609" s="185"/>
      <c r="AL609" s="103"/>
      <c r="AM609" s="103"/>
      <c r="AN609" s="103"/>
    </row>
    <row r="610" spans="1:40" x14ac:dyDescent="0.25">
      <c r="A610" s="102"/>
      <c r="B610" s="102"/>
      <c r="C610" s="102"/>
      <c r="D610" s="102"/>
      <c r="E610" s="102"/>
      <c r="F610" s="103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208"/>
      <c r="AH610" s="102"/>
      <c r="AI610" s="102"/>
      <c r="AJ610" s="102"/>
      <c r="AK610" s="208"/>
      <c r="AL610" s="102"/>
      <c r="AM610" s="102"/>
      <c r="AN610" s="102"/>
    </row>
    <row r="611" spans="1:40" x14ac:dyDescent="0.25">
      <c r="F611" s="102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Y611" s="103"/>
      <c r="Z611" s="103"/>
      <c r="AA611" s="103"/>
      <c r="AB611" s="103"/>
      <c r="AC611" s="103"/>
      <c r="AD611" s="103"/>
      <c r="AE611" s="103"/>
      <c r="AF611" s="103"/>
      <c r="AG611" s="185"/>
      <c r="AH611" s="103"/>
      <c r="AI611" s="103"/>
      <c r="AJ611" s="103"/>
      <c r="AK611" s="185"/>
      <c r="AL611" s="103"/>
      <c r="AM611" s="103"/>
      <c r="AN611" s="103"/>
    </row>
    <row r="612" spans="1:40" x14ac:dyDescent="0.25">
      <c r="A612" s="202"/>
      <c r="C612" s="154"/>
      <c r="D612" s="154"/>
      <c r="E612" s="154"/>
      <c r="H612" s="200"/>
      <c r="I612" s="200"/>
      <c r="J612" s="213"/>
      <c r="K612" s="213"/>
      <c r="L612" s="200"/>
      <c r="M612" s="200"/>
      <c r="N612" s="213"/>
      <c r="O612" s="213"/>
      <c r="P612" s="200"/>
      <c r="Q612" s="200"/>
      <c r="R612" s="200"/>
      <c r="T612" s="154"/>
      <c r="U612" s="154"/>
      <c r="V612" s="200"/>
      <c r="Y612" s="200"/>
      <c r="Z612" s="213"/>
      <c r="AA612" s="200"/>
      <c r="AB612" s="200"/>
      <c r="AC612" s="213"/>
      <c r="AD612" s="213"/>
      <c r="AE612" s="200"/>
      <c r="AF612" s="200"/>
      <c r="AG612" s="209"/>
      <c r="AH612" s="201"/>
      <c r="AI612" s="200"/>
      <c r="AJ612" s="200"/>
      <c r="AK612" s="209"/>
      <c r="AL612" s="200"/>
      <c r="AM612" s="210"/>
      <c r="AN612" s="210"/>
    </row>
    <row r="613" spans="1:40" x14ac:dyDescent="0.25">
      <c r="F613" s="200"/>
      <c r="H613" s="211"/>
      <c r="I613" s="211"/>
      <c r="J613" s="305"/>
      <c r="K613" s="305"/>
      <c r="L613" s="211"/>
      <c r="M613" s="211"/>
      <c r="N613" s="211"/>
      <c r="O613" s="211"/>
      <c r="P613" s="211"/>
      <c r="Q613" s="211"/>
      <c r="R613" s="211"/>
      <c r="V613" s="211"/>
      <c r="Y613" s="211"/>
      <c r="Z613" s="305"/>
      <c r="AA613" s="211"/>
      <c r="AB613" s="211"/>
      <c r="AC613" s="211"/>
      <c r="AD613" s="211"/>
      <c r="AE613" s="211"/>
      <c r="AF613" s="211"/>
      <c r="AI613" s="211"/>
      <c r="AJ613" s="211"/>
      <c r="AK613" s="212"/>
      <c r="AL613" s="211"/>
      <c r="AM613" s="210"/>
      <c r="AN613" s="210"/>
    </row>
    <row r="614" spans="1:40" x14ac:dyDescent="0.25">
      <c r="A614" s="202"/>
      <c r="C614" s="154"/>
      <c r="F614" s="211"/>
      <c r="H614" s="200"/>
      <c r="I614" s="200"/>
      <c r="J614" s="213"/>
      <c r="K614" s="213"/>
      <c r="L614" s="200"/>
      <c r="M614" s="200"/>
      <c r="N614" s="213"/>
      <c r="O614" s="213"/>
      <c r="P614" s="200"/>
      <c r="Q614" s="200"/>
      <c r="R614" s="200"/>
      <c r="T614" s="154"/>
      <c r="V614" s="200"/>
      <c r="Y614" s="200"/>
      <c r="Z614" s="213"/>
      <c r="AA614" s="200"/>
      <c r="AB614" s="200"/>
      <c r="AC614" s="213"/>
      <c r="AD614" s="213"/>
      <c r="AE614" s="200"/>
      <c r="AF614" s="200"/>
      <c r="AG614" s="209"/>
      <c r="AH614" s="201"/>
      <c r="AI614" s="200"/>
      <c r="AJ614" s="200"/>
      <c r="AK614" s="209"/>
      <c r="AL614" s="200"/>
      <c r="AM614" s="210"/>
      <c r="AN614" s="210"/>
    </row>
    <row r="615" spans="1:40" x14ac:dyDescent="0.25">
      <c r="F615" s="200"/>
      <c r="H615" s="200"/>
      <c r="I615" s="200"/>
      <c r="J615" s="213"/>
      <c r="K615" s="213"/>
      <c r="L615" s="200"/>
      <c r="M615" s="200"/>
      <c r="N615" s="213"/>
      <c r="O615" s="213"/>
      <c r="P615" s="200"/>
      <c r="Q615" s="200"/>
      <c r="R615" s="200"/>
      <c r="V615" s="200"/>
      <c r="Y615" s="200"/>
      <c r="Z615" s="213"/>
      <c r="AA615" s="200"/>
      <c r="AB615" s="200"/>
      <c r="AC615" s="213"/>
      <c r="AD615" s="213"/>
      <c r="AG615" s="209"/>
      <c r="AH615" s="201"/>
      <c r="AI615" s="200"/>
      <c r="AJ615" s="200"/>
      <c r="AK615" s="209"/>
      <c r="AL615" s="200"/>
      <c r="AM615" s="210"/>
      <c r="AN615" s="210"/>
    </row>
    <row r="616" spans="1:40" x14ac:dyDescent="0.25">
      <c r="A616" s="202"/>
      <c r="C616" s="154"/>
      <c r="D616" s="154"/>
      <c r="E616" s="154"/>
      <c r="F616" s="200"/>
      <c r="H616" s="200"/>
      <c r="I616" s="200"/>
      <c r="J616" s="213"/>
      <c r="K616" s="213"/>
      <c r="L616" s="200"/>
      <c r="M616" s="200"/>
      <c r="N616" s="213"/>
      <c r="O616" s="213"/>
      <c r="P616" s="200"/>
      <c r="Q616" s="200"/>
      <c r="R616" s="200"/>
      <c r="T616" s="154"/>
      <c r="U616" s="154"/>
      <c r="V616" s="200"/>
      <c r="Y616" s="200"/>
      <c r="Z616" s="213"/>
      <c r="AA616" s="200"/>
      <c r="AB616" s="200"/>
      <c r="AC616" s="213"/>
      <c r="AD616" s="213"/>
      <c r="AE616" s="200"/>
      <c r="AF616" s="200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A617" s="202"/>
      <c r="C617" s="154"/>
      <c r="D617" s="154"/>
      <c r="E617" s="154"/>
      <c r="F617" s="200"/>
      <c r="H617" s="200"/>
      <c r="I617" s="200"/>
      <c r="J617" s="213"/>
      <c r="K617" s="213"/>
      <c r="L617" s="200"/>
      <c r="M617" s="200"/>
      <c r="N617" s="213"/>
      <c r="O617" s="213"/>
      <c r="P617" s="200"/>
      <c r="Q617" s="200"/>
      <c r="R617" s="200"/>
      <c r="T617" s="154"/>
      <c r="U617" s="154"/>
      <c r="V617" s="200"/>
      <c r="Y617" s="200"/>
      <c r="Z617" s="213"/>
      <c r="AA617" s="200"/>
      <c r="AB617" s="200"/>
      <c r="AC617" s="213"/>
      <c r="AD617" s="213"/>
      <c r="AE617" s="200"/>
      <c r="AF617" s="200"/>
      <c r="AG617" s="209"/>
      <c r="AH617" s="201"/>
      <c r="AI617" s="200"/>
      <c r="AJ617" s="200"/>
      <c r="AK617" s="209"/>
      <c r="AL617" s="200"/>
      <c r="AM617" s="210"/>
      <c r="AN617" s="210"/>
    </row>
    <row r="618" spans="1:40" x14ac:dyDescent="0.25">
      <c r="A618" s="202"/>
      <c r="C618" s="154"/>
      <c r="D618" s="154"/>
      <c r="E618" s="154"/>
      <c r="F618" s="200"/>
      <c r="H618" s="200"/>
      <c r="I618" s="200"/>
      <c r="J618" s="213"/>
      <c r="K618" s="213"/>
      <c r="L618" s="200"/>
      <c r="M618" s="200"/>
      <c r="N618" s="213"/>
      <c r="O618" s="213"/>
      <c r="P618" s="200"/>
      <c r="Q618" s="200"/>
      <c r="R618" s="200"/>
      <c r="T618" s="154"/>
      <c r="U618" s="154"/>
      <c r="V618" s="200"/>
      <c r="Y618" s="200"/>
      <c r="Z618" s="213"/>
      <c r="AA618" s="200"/>
      <c r="AB618" s="200"/>
      <c r="AC618" s="213"/>
      <c r="AD618" s="213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A619" s="202"/>
      <c r="C619" s="154"/>
      <c r="D619" s="154"/>
      <c r="E619" s="154"/>
      <c r="F619" s="200"/>
      <c r="H619" s="200"/>
      <c r="I619" s="200"/>
      <c r="J619" s="213"/>
      <c r="K619" s="213"/>
      <c r="L619" s="200"/>
      <c r="M619" s="200"/>
      <c r="N619" s="213"/>
      <c r="O619" s="213"/>
      <c r="P619" s="200"/>
      <c r="Q619" s="200"/>
      <c r="R619" s="200"/>
      <c r="T619" s="154"/>
      <c r="U619" s="154"/>
      <c r="V619" s="200"/>
      <c r="Y619" s="200"/>
      <c r="Z619" s="213"/>
      <c r="AA619" s="200"/>
      <c r="AB619" s="200"/>
      <c r="AC619" s="213"/>
      <c r="AD619" s="213"/>
      <c r="AE619" s="200"/>
      <c r="AF619" s="200"/>
      <c r="AG619" s="209"/>
      <c r="AH619" s="201"/>
      <c r="AI619" s="200"/>
      <c r="AJ619" s="200"/>
      <c r="AK619" s="209"/>
      <c r="AL619" s="200"/>
      <c r="AM619" s="210"/>
      <c r="AN619" s="210"/>
    </row>
    <row r="620" spans="1:40" x14ac:dyDescent="0.25">
      <c r="A620" s="202"/>
      <c r="C620" s="154"/>
      <c r="D620" s="154"/>
      <c r="E620" s="154"/>
      <c r="F620" s="200"/>
      <c r="H620" s="200"/>
      <c r="I620" s="200"/>
      <c r="J620" s="213"/>
      <c r="K620" s="213"/>
      <c r="L620" s="200"/>
      <c r="M620" s="200"/>
      <c r="N620" s="213"/>
      <c r="O620" s="213"/>
      <c r="P620" s="200"/>
      <c r="Q620" s="200"/>
      <c r="R620" s="200"/>
      <c r="T620" s="154"/>
      <c r="U620" s="154"/>
      <c r="V620" s="200"/>
      <c r="Y620" s="200"/>
      <c r="Z620" s="213"/>
      <c r="AA620" s="200"/>
      <c r="AB620" s="200"/>
      <c r="AC620" s="213"/>
      <c r="AD620" s="213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A621" s="202"/>
      <c r="C621" s="154"/>
      <c r="D621" s="154"/>
      <c r="E621" s="154"/>
      <c r="F621" s="200"/>
      <c r="H621" s="200"/>
      <c r="I621" s="200"/>
      <c r="J621" s="213"/>
      <c r="K621" s="213"/>
      <c r="L621" s="200"/>
      <c r="M621" s="200"/>
      <c r="N621" s="213"/>
      <c r="O621" s="213"/>
      <c r="P621" s="200"/>
      <c r="Q621" s="200"/>
      <c r="R621" s="200"/>
      <c r="T621" s="154"/>
      <c r="U621" s="154"/>
      <c r="V621" s="200"/>
      <c r="Y621" s="200"/>
      <c r="Z621" s="213"/>
      <c r="AA621" s="200"/>
      <c r="AB621" s="200"/>
      <c r="AC621" s="213"/>
      <c r="AD621" s="213"/>
      <c r="AE621" s="200"/>
      <c r="AF621" s="200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F622" s="200"/>
      <c r="H622" s="211"/>
      <c r="I622" s="211"/>
      <c r="J622" s="305"/>
      <c r="K622" s="305"/>
      <c r="L622" s="211"/>
      <c r="M622" s="211"/>
      <c r="N622" s="211"/>
      <c r="O622" s="211"/>
      <c r="P622" s="211"/>
      <c r="Q622" s="211"/>
      <c r="R622" s="211"/>
      <c r="V622" s="211"/>
      <c r="Y622" s="211"/>
      <c r="Z622" s="305"/>
      <c r="AA622" s="211"/>
      <c r="AB622" s="211"/>
      <c r="AC622" s="211"/>
      <c r="AD622" s="211"/>
      <c r="AE622" s="211"/>
      <c r="AF622" s="211"/>
      <c r="AI622" s="211"/>
      <c r="AJ622" s="211"/>
      <c r="AK622" s="212"/>
      <c r="AL622" s="211"/>
      <c r="AM622" s="210"/>
      <c r="AN622" s="210"/>
    </row>
    <row r="623" spans="1:40" x14ac:dyDescent="0.25">
      <c r="A623" s="202"/>
      <c r="C623" s="154"/>
      <c r="F623" s="211"/>
      <c r="H623" s="200"/>
      <c r="I623" s="200"/>
      <c r="J623" s="213"/>
      <c r="K623" s="213"/>
      <c r="L623" s="200"/>
      <c r="M623" s="200"/>
      <c r="N623" s="213"/>
      <c r="O623" s="213"/>
      <c r="P623" s="200"/>
      <c r="Q623" s="200"/>
      <c r="R623" s="200"/>
      <c r="T623" s="154"/>
      <c r="V623" s="200"/>
      <c r="Y623" s="200"/>
      <c r="Z623" s="213"/>
      <c r="AA623" s="200"/>
      <c r="AB623" s="200"/>
      <c r="AC623" s="213"/>
      <c r="AD623" s="213"/>
      <c r="AE623" s="200"/>
      <c r="AF623" s="200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F624" s="200"/>
      <c r="H624" s="200"/>
      <c r="I624" s="200"/>
      <c r="J624" s="213"/>
      <c r="K624" s="213"/>
      <c r="L624" s="200"/>
      <c r="M624" s="200"/>
      <c r="N624" s="213"/>
      <c r="O624" s="213"/>
      <c r="P624" s="200"/>
      <c r="Q624" s="200"/>
      <c r="R624" s="200"/>
      <c r="V624" s="200"/>
      <c r="Y624" s="200"/>
      <c r="Z624" s="213"/>
      <c r="AA624" s="200"/>
      <c r="AB624" s="200"/>
      <c r="AC624" s="213"/>
      <c r="AD624" s="213"/>
      <c r="AG624" s="209"/>
      <c r="AH624" s="201"/>
      <c r="AI624" s="200"/>
      <c r="AJ624" s="200"/>
      <c r="AK624" s="209"/>
      <c r="AL624" s="200"/>
      <c r="AM624" s="210"/>
      <c r="AN624" s="210"/>
    </row>
    <row r="625" spans="1:40" x14ac:dyDescent="0.25">
      <c r="A625" s="202"/>
      <c r="C625" s="154"/>
      <c r="D625" s="154"/>
      <c r="E625" s="154"/>
      <c r="F625" s="200"/>
      <c r="H625" s="200"/>
      <c r="I625" s="200"/>
      <c r="J625" s="213"/>
      <c r="K625" s="213"/>
      <c r="L625" s="200"/>
      <c r="M625" s="200"/>
      <c r="N625" s="213"/>
      <c r="O625" s="213"/>
      <c r="P625" s="200"/>
      <c r="Q625" s="200"/>
      <c r="R625" s="200"/>
      <c r="T625" s="154"/>
      <c r="U625" s="154"/>
      <c r="V625" s="200"/>
      <c r="Y625" s="200"/>
      <c r="Z625" s="213"/>
      <c r="AA625" s="200"/>
      <c r="AB625" s="200"/>
      <c r="AC625" s="213"/>
      <c r="AD625" s="213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F626" s="200"/>
      <c r="H626" s="211"/>
      <c r="I626" s="211"/>
      <c r="J626" s="305"/>
      <c r="K626" s="305"/>
      <c r="L626" s="211"/>
      <c r="M626" s="211"/>
      <c r="N626" s="211"/>
      <c r="O626" s="211"/>
      <c r="P626" s="211"/>
      <c r="Q626" s="211"/>
      <c r="R626" s="211"/>
      <c r="V626" s="211"/>
      <c r="Y626" s="211"/>
      <c r="Z626" s="305"/>
      <c r="AA626" s="211"/>
      <c r="AB626" s="211"/>
      <c r="AC626" s="211"/>
      <c r="AD626" s="211"/>
      <c r="AE626" s="211"/>
      <c r="AF626" s="211"/>
      <c r="AI626" s="211"/>
      <c r="AJ626" s="211"/>
      <c r="AK626" s="212"/>
      <c r="AL626" s="211"/>
      <c r="AM626" s="210"/>
      <c r="AN626" s="210"/>
    </row>
    <row r="627" spans="1:40" x14ac:dyDescent="0.25">
      <c r="A627" s="202"/>
      <c r="C627" s="154"/>
      <c r="F627" s="211"/>
      <c r="H627" s="200"/>
      <c r="I627" s="200"/>
      <c r="J627" s="213"/>
      <c r="K627" s="213"/>
      <c r="L627" s="200"/>
      <c r="M627" s="200"/>
      <c r="N627" s="213"/>
      <c r="O627" s="213"/>
      <c r="P627" s="200"/>
      <c r="Q627" s="200"/>
      <c r="R627" s="200"/>
      <c r="T627" s="154"/>
      <c r="V627" s="200"/>
      <c r="Y627" s="200"/>
      <c r="Z627" s="213"/>
      <c r="AA627" s="200"/>
      <c r="AB627" s="200"/>
      <c r="AC627" s="213"/>
      <c r="AD627" s="213"/>
      <c r="AE627" s="200"/>
      <c r="AF627" s="200"/>
      <c r="AG627" s="209"/>
      <c r="AH627" s="201"/>
      <c r="AI627" s="200"/>
      <c r="AJ627" s="200"/>
      <c r="AK627" s="209"/>
      <c r="AL627" s="200"/>
      <c r="AM627" s="210"/>
      <c r="AN627" s="210"/>
    </row>
    <row r="628" spans="1:40" x14ac:dyDescent="0.25">
      <c r="F628" s="200"/>
      <c r="H628" s="200"/>
      <c r="I628" s="200"/>
      <c r="J628" s="213"/>
      <c r="K628" s="213"/>
      <c r="L628" s="200"/>
      <c r="M628" s="200"/>
      <c r="N628" s="213"/>
      <c r="O628" s="213"/>
      <c r="P628" s="200"/>
      <c r="Q628" s="200"/>
      <c r="R628" s="200"/>
      <c r="V628" s="200"/>
      <c r="Y628" s="200"/>
      <c r="Z628" s="213"/>
      <c r="AA628" s="200"/>
      <c r="AB628" s="200"/>
      <c r="AC628" s="213"/>
      <c r="AD628" s="213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A629" s="202"/>
      <c r="C629" s="154"/>
      <c r="D629" s="154"/>
      <c r="E629" s="154"/>
      <c r="F629" s="200"/>
      <c r="H629" s="200"/>
      <c r="I629" s="200"/>
      <c r="J629" s="213"/>
      <c r="K629" s="213"/>
      <c r="L629" s="200"/>
      <c r="M629" s="200"/>
      <c r="N629" s="213"/>
      <c r="O629" s="213"/>
      <c r="P629" s="200"/>
      <c r="Q629" s="200"/>
      <c r="R629" s="200"/>
      <c r="T629" s="154"/>
      <c r="U629" s="154"/>
      <c r="V629" s="200"/>
      <c r="Y629" s="200"/>
      <c r="Z629" s="213"/>
      <c r="AA629" s="200"/>
      <c r="AB629" s="200"/>
      <c r="AC629" s="213"/>
      <c r="AD629" s="213"/>
      <c r="AE629" s="200"/>
      <c r="AF629" s="200"/>
      <c r="AG629" s="209"/>
      <c r="AH629" s="201"/>
      <c r="AI629" s="200"/>
      <c r="AJ629" s="200"/>
      <c r="AK629" s="209"/>
      <c r="AL629" s="200"/>
      <c r="AM629" s="210"/>
      <c r="AN629" s="210"/>
    </row>
    <row r="630" spans="1:40" x14ac:dyDescent="0.25">
      <c r="A630" s="202"/>
      <c r="C630" s="154"/>
      <c r="D630" s="154"/>
      <c r="E630" s="154"/>
      <c r="F630" s="200"/>
      <c r="G630" s="200"/>
      <c r="H630" s="200"/>
      <c r="I630" s="200"/>
      <c r="J630" s="213"/>
      <c r="K630" s="213"/>
      <c r="L630" s="200"/>
      <c r="M630" s="200"/>
      <c r="N630" s="213"/>
      <c r="O630" s="213"/>
      <c r="P630" s="200"/>
      <c r="Q630" s="200"/>
      <c r="R630" s="200"/>
      <c r="T630" s="154"/>
      <c r="U630" s="154"/>
      <c r="V630" s="200"/>
      <c r="W630" s="200"/>
      <c r="X630" s="200"/>
      <c r="Y630" s="200"/>
      <c r="Z630" s="213"/>
      <c r="AA630" s="200"/>
      <c r="AB630" s="200"/>
      <c r="AC630" s="213"/>
      <c r="AD630" s="213"/>
      <c r="AE630" s="200"/>
      <c r="AF630" s="200"/>
      <c r="AG630" s="209"/>
      <c r="AH630" s="201"/>
      <c r="AI630" s="200"/>
      <c r="AJ630" s="200"/>
      <c r="AK630" s="209"/>
      <c r="AL630" s="200"/>
      <c r="AM630" s="210"/>
      <c r="AN630" s="210"/>
    </row>
    <row r="631" spans="1:40" x14ac:dyDescent="0.25">
      <c r="A631" s="202"/>
      <c r="C631" s="154"/>
      <c r="D631" s="154"/>
      <c r="E631" s="154"/>
      <c r="F631" s="200"/>
      <c r="G631" s="200"/>
      <c r="H631" s="200"/>
      <c r="I631" s="200"/>
      <c r="J631" s="213"/>
      <c r="K631" s="213"/>
      <c r="L631" s="200"/>
      <c r="M631" s="200"/>
      <c r="N631" s="213"/>
      <c r="O631" s="213"/>
      <c r="P631" s="200"/>
      <c r="Q631" s="200"/>
      <c r="R631" s="200"/>
      <c r="T631" s="154"/>
      <c r="U631" s="154"/>
      <c r="V631" s="200"/>
      <c r="W631" s="200"/>
      <c r="X631" s="200"/>
      <c r="Y631" s="200"/>
      <c r="Z631" s="213"/>
      <c r="AA631" s="200"/>
      <c r="AB631" s="200"/>
      <c r="AC631" s="213"/>
      <c r="AD631" s="213"/>
      <c r="AE631" s="200"/>
      <c r="AF631" s="200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A632" s="202"/>
      <c r="C632" s="154"/>
      <c r="D632" s="154"/>
      <c r="E632" s="154"/>
      <c r="F632" s="200"/>
      <c r="H632" s="200"/>
      <c r="I632" s="200"/>
      <c r="J632" s="213"/>
      <c r="K632" s="213"/>
      <c r="L632" s="200"/>
      <c r="M632" s="200"/>
      <c r="N632" s="213"/>
      <c r="O632" s="213"/>
      <c r="P632" s="200"/>
      <c r="Q632" s="200"/>
      <c r="R632" s="200"/>
      <c r="T632" s="154"/>
      <c r="U632" s="154"/>
      <c r="V632" s="200"/>
      <c r="Y632" s="200"/>
      <c r="Z632" s="213"/>
      <c r="AA632" s="200"/>
      <c r="AB632" s="200"/>
      <c r="AC632" s="213"/>
      <c r="AD632" s="213"/>
      <c r="AE632" s="200"/>
      <c r="AF632" s="200"/>
      <c r="AG632" s="209"/>
      <c r="AH632" s="201"/>
      <c r="AI632" s="200"/>
      <c r="AJ632" s="200"/>
      <c r="AK632" s="209"/>
      <c r="AL632" s="200"/>
      <c r="AM632" s="210"/>
      <c r="AN632" s="210"/>
    </row>
    <row r="633" spans="1:40" x14ac:dyDescent="0.25">
      <c r="A633" s="202"/>
      <c r="C633" s="154"/>
      <c r="D633" s="154"/>
      <c r="E633" s="154"/>
      <c r="F633" s="200"/>
      <c r="H633" s="200"/>
      <c r="I633" s="200"/>
      <c r="J633" s="213"/>
      <c r="K633" s="213"/>
      <c r="L633" s="200"/>
      <c r="M633" s="200"/>
      <c r="N633" s="213"/>
      <c r="O633" s="213"/>
      <c r="P633" s="200"/>
      <c r="Q633" s="200"/>
      <c r="R633" s="200"/>
      <c r="T633" s="154"/>
      <c r="U633" s="154"/>
      <c r="V633" s="200"/>
      <c r="Y633" s="200"/>
      <c r="Z633" s="213"/>
      <c r="AA633" s="200"/>
      <c r="AB633" s="200"/>
      <c r="AC633" s="213"/>
      <c r="AD633" s="213"/>
      <c r="AE633" s="200"/>
      <c r="AF633" s="200"/>
      <c r="AG633" s="209"/>
      <c r="AH633" s="201"/>
      <c r="AI633" s="200"/>
      <c r="AJ633" s="200"/>
      <c r="AK633" s="209"/>
      <c r="AL633" s="200"/>
      <c r="AM633" s="210"/>
      <c r="AN633" s="210"/>
    </row>
    <row r="634" spans="1:40" x14ac:dyDescent="0.25">
      <c r="A634" s="202"/>
      <c r="C634" s="154"/>
      <c r="D634" s="154"/>
      <c r="E634" s="154"/>
      <c r="F634" s="200"/>
      <c r="H634" s="200"/>
      <c r="I634" s="200"/>
      <c r="J634" s="213"/>
      <c r="K634" s="213"/>
      <c r="L634" s="200"/>
      <c r="M634" s="200"/>
      <c r="N634" s="213"/>
      <c r="O634" s="213"/>
      <c r="P634" s="200"/>
      <c r="Q634" s="200"/>
      <c r="R634" s="200"/>
      <c r="T634" s="154"/>
      <c r="U634" s="154"/>
      <c r="V634" s="200"/>
      <c r="Y634" s="200"/>
      <c r="Z634" s="213"/>
      <c r="AA634" s="200"/>
      <c r="AB634" s="200"/>
      <c r="AC634" s="213"/>
      <c r="AD634" s="213"/>
      <c r="AE634" s="200"/>
      <c r="AF634" s="200"/>
      <c r="AG634" s="209"/>
      <c r="AH634" s="201"/>
      <c r="AI634" s="200"/>
      <c r="AJ634" s="200"/>
      <c r="AK634" s="209"/>
      <c r="AL634" s="200"/>
      <c r="AM634" s="210"/>
      <c r="AN634" s="210"/>
    </row>
    <row r="635" spans="1:40" x14ac:dyDescent="0.25">
      <c r="A635" s="202"/>
      <c r="C635" s="154"/>
      <c r="D635" s="154"/>
      <c r="E635" s="154"/>
      <c r="F635" s="200"/>
      <c r="H635" s="200"/>
      <c r="I635" s="200"/>
      <c r="J635" s="213"/>
      <c r="K635" s="213"/>
      <c r="L635" s="200"/>
      <c r="M635" s="200"/>
      <c r="N635" s="213"/>
      <c r="O635" s="213"/>
      <c r="P635" s="200"/>
      <c r="Q635" s="200"/>
      <c r="R635" s="200"/>
      <c r="T635" s="154"/>
      <c r="U635" s="154"/>
      <c r="V635" s="200"/>
      <c r="Y635" s="200"/>
      <c r="Z635" s="213"/>
      <c r="AA635" s="200"/>
      <c r="AB635" s="200"/>
      <c r="AC635" s="213"/>
      <c r="AD635" s="213"/>
      <c r="AE635" s="200"/>
      <c r="AF635" s="200"/>
      <c r="AG635" s="209"/>
      <c r="AH635" s="201"/>
      <c r="AI635" s="200"/>
      <c r="AJ635" s="200"/>
      <c r="AK635" s="209"/>
      <c r="AL635" s="200"/>
      <c r="AM635" s="210"/>
      <c r="AN635" s="210"/>
    </row>
    <row r="636" spans="1:40" x14ac:dyDescent="0.25">
      <c r="F636" s="200"/>
      <c r="H636" s="211"/>
      <c r="I636" s="211"/>
      <c r="J636" s="305"/>
      <c r="K636" s="305"/>
      <c r="L636" s="211"/>
      <c r="M636" s="211"/>
      <c r="N636" s="211"/>
      <c r="O636" s="211"/>
      <c r="P636" s="211"/>
      <c r="Q636" s="211"/>
      <c r="R636" s="211"/>
      <c r="V636" s="211"/>
      <c r="Y636" s="211"/>
      <c r="Z636" s="305"/>
      <c r="AA636" s="211"/>
      <c r="AB636" s="211"/>
      <c r="AC636" s="211"/>
      <c r="AD636" s="211"/>
      <c r="AE636" s="211"/>
      <c r="AF636" s="211"/>
      <c r="AI636" s="211"/>
      <c r="AJ636" s="211"/>
      <c r="AK636" s="212"/>
      <c r="AL636" s="211"/>
      <c r="AM636" s="210"/>
      <c r="AN636" s="210"/>
    </row>
    <row r="637" spans="1:40" x14ac:dyDescent="0.25">
      <c r="A637" s="202"/>
      <c r="C637" s="154"/>
      <c r="F637" s="211"/>
      <c r="H637" s="200"/>
      <c r="I637" s="200"/>
      <c r="J637" s="213"/>
      <c r="K637" s="213"/>
      <c r="L637" s="200"/>
      <c r="M637" s="200"/>
      <c r="N637" s="213"/>
      <c r="O637" s="213"/>
      <c r="P637" s="200"/>
      <c r="Q637" s="200"/>
      <c r="R637" s="200"/>
      <c r="T637" s="154"/>
      <c r="V637" s="200"/>
      <c r="Y637" s="200"/>
      <c r="Z637" s="213"/>
      <c r="AA637" s="200"/>
      <c r="AB637" s="200"/>
      <c r="AC637" s="213"/>
      <c r="AD637" s="213"/>
      <c r="AE637" s="200"/>
      <c r="AF637" s="200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F638" s="200"/>
      <c r="V638" s="200"/>
      <c r="Y638" s="200"/>
      <c r="Z638" s="305"/>
      <c r="AA638" s="200"/>
      <c r="AB638" s="200"/>
      <c r="AC638" s="200"/>
      <c r="AD638" s="200"/>
      <c r="AE638" s="200"/>
      <c r="AF638" s="200"/>
      <c r="AI638" s="200"/>
      <c r="AJ638" s="200"/>
      <c r="AK638" s="209"/>
      <c r="AL638" s="200"/>
      <c r="AM638" s="210"/>
      <c r="AN638" s="210"/>
    </row>
    <row r="639" spans="1:40" x14ac:dyDescent="0.25">
      <c r="A639" s="202"/>
      <c r="C639" s="154"/>
      <c r="D639" s="154"/>
      <c r="E639" s="154"/>
      <c r="L639" s="200"/>
      <c r="M639" s="200"/>
      <c r="N639" s="213"/>
      <c r="O639" s="213"/>
      <c r="P639" s="202"/>
      <c r="Q639" s="202"/>
      <c r="R639" s="200"/>
      <c r="T639" s="154"/>
      <c r="U639" s="154"/>
      <c r="AA639" s="200"/>
      <c r="AB639" s="200"/>
      <c r="AC639" s="213"/>
      <c r="AD639" s="213"/>
      <c r="AE639" s="200"/>
      <c r="AF639" s="200"/>
      <c r="AG639" s="209"/>
      <c r="AH639" s="201"/>
      <c r="AI639" s="202"/>
      <c r="AJ639" s="202"/>
      <c r="AK639" s="209"/>
      <c r="AL639" s="200"/>
      <c r="AM639" s="210"/>
      <c r="AN639" s="210"/>
    </row>
    <row r="640" spans="1:40" x14ac:dyDescent="0.25">
      <c r="A640" s="202"/>
      <c r="D640" s="154"/>
      <c r="E640" s="154"/>
      <c r="H640" s="252"/>
      <c r="I640" s="252"/>
      <c r="J640" s="213"/>
      <c r="K640" s="213"/>
      <c r="L640" s="200"/>
      <c r="M640" s="200"/>
      <c r="N640" s="213"/>
      <c r="O640" s="213"/>
      <c r="P640" s="252"/>
      <c r="Q640" s="252"/>
      <c r="R640" s="200"/>
      <c r="U640" s="154"/>
      <c r="V640" s="200"/>
      <c r="Y640" s="200"/>
      <c r="Z640" s="213"/>
      <c r="AA640" s="200"/>
      <c r="AB640" s="200"/>
      <c r="AC640" s="213"/>
      <c r="AD640" s="213"/>
      <c r="AE640" s="200"/>
      <c r="AF640" s="200"/>
      <c r="AG640" s="209"/>
      <c r="AH640" s="201"/>
      <c r="AI640" s="200"/>
      <c r="AJ640" s="200"/>
      <c r="AK640" s="209"/>
      <c r="AL640" s="200"/>
      <c r="AM640" s="210"/>
      <c r="AN640" s="210"/>
    </row>
    <row r="641" spans="1:40" x14ac:dyDescent="0.25">
      <c r="F641" s="252"/>
      <c r="H641" s="211"/>
      <c r="I641" s="211"/>
      <c r="J641" s="305"/>
      <c r="K641" s="305"/>
      <c r="L641" s="211"/>
      <c r="M641" s="211"/>
      <c r="N641" s="211"/>
      <c r="O641" s="211"/>
      <c r="P641" s="211"/>
      <c r="Q641" s="211"/>
      <c r="R641" s="211"/>
      <c r="V641" s="211"/>
      <c r="Y641" s="211"/>
      <c r="Z641" s="305"/>
      <c r="AA641" s="211"/>
      <c r="AB641" s="211"/>
      <c r="AC641" s="211"/>
      <c r="AD641" s="211"/>
      <c r="AE641" s="211"/>
      <c r="AF641" s="211"/>
      <c r="AI641" s="211"/>
      <c r="AJ641" s="211"/>
      <c r="AK641" s="212"/>
      <c r="AL641" s="211"/>
      <c r="AM641" s="210"/>
      <c r="AN641" s="210"/>
    </row>
    <row r="642" spans="1:40" x14ac:dyDescent="0.25">
      <c r="A642" s="202"/>
      <c r="C642" s="154"/>
      <c r="F642" s="211"/>
      <c r="H642" s="200"/>
      <c r="I642" s="200"/>
      <c r="J642" s="213"/>
      <c r="K642" s="213"/>
      <c r="L642" s="200"/>
      <c r="M642" s="200"/>
      <c r="N642" s="213"/>
      <c r="O642" s="213"/>
      <c r="P642" s="200"/>
      <c r="Q642" s="200"/>
      <c r="R642" s="200"/>
      <c r="T642" s="154"/>
      <c r="V642" s="200"/>
      <c r="Y642" s="200"/>
      <c r="Z642" s="213"/>
      <c r="AA642" s="200"/>
      <c r="AB642" s="200"/>
      <c r="AC642" s="213"/>
      <c r="AD642" s="213"/>
      <c r="AE642" s="200"/>
      <c r="AF642" s="200"/>
      <c r="AG642" s="209"/>
      <c r="AH642" s="201"/>
      <c r="AI642" s="200"/>
      <c r="AJ642" s="200"/>
      <c r="AK642" s="209"/>
      <c r="AL642" s="200"/>
      <c r="AM642" s="210"/>
      <c r="AN642" s="210"/>
    </row>
    <row r="643" spans="1:40" x14ac:dyDescent="0.25">
      <c r="F643" s="200"/>
      <c r="H643" s="200"/>
      <c r="I643" s="200"/>
      <c r="J643" s="213"/>
      <c r="K643" s="213"/>
      <c r="L643" s="200"/>
      <c r="M643" s="200"/>
      <c r="N643" s="213"/>
      <c r="O643" s="213"/>
      <c r="P643" s="200"/>
      <c r="Q643" s="200"/>
      <c r="R643" s="200"/>
      <c r="V643" s="200"/>
      <c r="Y643" s="200"/>
      <c r="Z643" s="213"/>
      <c r="AA643" s="200"/>
      <c r="AB643" s="200"/>
      <c r="AC643" s="213"/>
      <c r="AD643" s="213"/>
      <c r="AG643" s="209"/>
      <c r="AH643" s="201"/>
      <c r="AI643" s="200"/>
      <c r="AJ643" s="200"/>
      <c r="AK643" s="209"/>
      <c r="AL643" s="200"/>
      <c r="AM643" s="210"/>
      <c r="AN643" s="210"/>
    </row>
    <row r="644" spans="1:40" x14ac:dyDescent="0.25">
      <c r="A644" s="202"/>
      <c r="D644" s="154"/>
      <c r="E644" s="154"/>
      <c r="F644" s="200"/>
      <c r="H644" s="200"/>
      <c r="I644" s="200"/>
      <c r="J644" s="213"/>
      <c r="K644" s="213"/>
      <c r="L644" s="252"/>
      <c r="M644" s="252"/>
      <c r="N644" s="213"/>
      <c r="O644" s="213"/>
      <c r="P644" s="200"/>
      <c r="Q644" s="200"/>
      <c r="R644" s="200"/>
      <c r="U644" s="154"/>
      <c r="V644" s="200"/>
      <c r="Y644" s="200"/>
      <c r="Z644" s="213"/>
      <c r="AA644" s="252"/>
      <c r="AB644" s="252"/>
      <c r="AC644" s="213"/>
      <c r="AD644" s="213"/>
      <c r="AE644" s="200"/>
      <c r="AF644" s="200"/>
      <c r="AG644" s="209"/>
      <c r="AH644" s="201"/>
      <c r="AI644" s="200"/>
      <c r="AJ644" s="200"/>
      <c r="AK644" s="209"/>
      <c r="AL644" s="200"/>
      <c r="AM644" s="210"/>
      <c r="AN644" s="210"/>
    </row>
    <row r="645" spans="1:40" x14ac:dyDescent="0.25">
      <c r="A645" s="202"/>
      <c r="D645" s="154"/>
      <c r="E645" s="154"/>
      <c r="F645" s="200"/>
      <c r="H645" s="200"/>
      <c r="I645" s="200"/>
      <c r="J645" s="213"/>
      <c r="K645" s="213"/>
      <c r="L645" s="252"/>
      <c r="M645" s="252"/>
      <c r="N645" s="213"/>
      <c r="O645" s="213"/>
      <c r="P645" s="200"/>
      <c r="Q645" s="200"/>
      <c r="R645" s="200"/>
      <c r="U645" s="154"/>
      <c r="V645" s="200"/>
      <c r="Y645" s="200"/>
      <c r="Z645" s="213"/>
      <c r="AA645" s="252"/>
      <c r="AB645" s="252"/>
      <c r="AC645" s="213"/>
      <c r="AD645" s="213"/>
      <c r="AE645" s="200"/>
      <c r="AF645" s="200"/>
      <c r="AG645" s="209"/>
      <c r="AH645" s="201"/>
      <c r="AI645" s="200"/>
      <c r="AJ645" s="200"/>
      <c r="AK645" s="209"/>
      <c r="AL645" s="200"/>
      <c r="AM645" s="210"/>
      <c r="AN645" s="210"/>
    </row>
    <row r="646" spans="1:40" x14ac:dyDescent="0.25">
      <c r="A646" s="202"/>
      <c r="D646" s="154"/>
      <c r="E646" s="154"/>
      <c r="F646" s="200"/>
      <c r="H646" s="200"/>
      <c r="I646" s="200"/>
      <c r="J646" s="213"/>
      <c r="K646" s="213"/>
      <c r="L646" s="252"/>
      <c r="M646" s="252"/>
      <c r="N646" s="213"/>
      <c r="O646" s="213"/>
      <c r="P646" s="200"/>
      <c r="Q646" s="200"/>
      <c r="R646" s="200"/>
      <c r="U646" s="154"/>
      <c r="V646" s="200"/>
      <c r="Y646" s="200"/>
      <c r="Z646" s="213"/>
      <c r="AA646" s="252"/>
      <c r="AB646" s="252"/>
      <c r="AC646" s="213"/>
      <c r="AD646" s="213"/>
      <c r="AE646" s="200"/>
      <c r="AF646" s="200"/>
      <c r="AG646" s="209"/>
      <c r="AH646" s="201"/>
      <c r="AI646" s="200"/>
      <c r="AJ646" s="200"/>
      <c r="AK646" s="209"/>
      <c r="AL646" s="200"/>
      <c r="AM646" s="210"/>
      <c r="AN646" s="210"/>
    </row>
    <row r="647" spans="1:40" x14ac:dyDescent="0.25">
      <c r="F647" s="200"/>
      <c r="H647" s="211"/>
      <c r="I647" s="211"/>
      <c r="J647" s="305"/>
      <c r="K647" s="305"/>
      <c r="L647" s="211"/>
      <c r="M647" s="211"/>
      <c r="N647" s="211"/>
      <c r="O647" s="211"/>
      <c r="P647" s="211"/>
      <c r="Q647" s="211"/>
      <c r="R647" s="211"/>
      <c r="V647" s="211"/>
      <c r="Y647" s="211"/>
      <c r="Z647" s="305"/>
      <c r="AA647" s="211"/>
      <c r="AB647" s="211"/>
      <c r="AC647" s="211"/>
      <c r="AD647" s="211"/>
      <c r="AE647" s="211"/>
      <c r="AF647" s="211"/>
      <c r="AI647" s="211"/>
      <c r="AJ647" s="211"/>
      <c r="AK647" s="212"/>
      <c r="AL647" s="211"/>
      <c r="AM647" s="210"/>
      <c r="AN647" s="210"/>
    </row>
    <row r="648" spans="1:40" x14ac:dyDescent="0.25">
      <c r="A648" s="202"/>
      <c r="C648" s="154"/>
      <c r="F648" s="211"/>
      <c r="H648" s="200"/>
      <c r="I648" s="200"/>
      <c r="J648" s="213"/>
      <c r="K648" s="213"/>
      <c r="L648" s="200"/>
      <c r="M648" s="200"/>
      <c r="N648" s="213"/>
      <c r="O648" s="213"/>
      <c r="P648" s="200"/>
      <c r="Q648" s="200"/>
      <c r="R648" s="200"/>
      <c r="T648" s="154"/>
      <c r="V648" s="200"/>
      <c r="Y648" s="200"/>
      <c r="Z648" s="213"/>
      <c r="AA648" s="200"/>
      <c r="AB648" s="200"/>
      <c r="AC648" s="213"/>
      <c r="AD648" s="213"/>
      <c r="AE648" s="200"/>
      <c r="AF648" s="200"/>
      <c r="AG648" s="209"/>
      <c r="AH648" s="201"/>
      <c r="AI648" s="200"/>
      <c r="AJ648" s="200"/>
      <c r="AK648" s="209"/>
      <c r="AL648" s="200"/>
      <c r="AM648" s="210"/>
      <c r="AN648" s="210"/>
    </row>
    <row r="649" spans="1:40" x14ac:dyDescent="0.25">
      <c r="F649" s="200"/>
      <c r="H649" s="200"/>
      <c r="I649" s="200"/>
      <c r="J649" s="213"/>
      <c r="K649" s="213"/>
      <c r="L649" s="200"/>
      <c r="M649" s="200"/>
      <c r="N649" s="213"/>
      <c r="O649" s="213"/>
      <c r="P649" s="200"/>
      <c r="Q649" s="200"/>
      <c r="R649" s="200"/>
      <c r="V649" s="200"/>
      <c r="Y649" s="200"/>
      <c r="Z649" s="213"/>
      <c r="AA649" s="200"/>
      <c r="AB649" s="200"/>
      <c r="AC649" s="213"/>
      <c r="AD649" s="213"/>
      <c r="AG649" s="209"/>
      <c r="AH649" s="201"/>
      <c r="AI649" s="200"/>
      <c r="AJ649" s="200"/>
      <c r="AK649" s="209"/>
      <c r="AL649" s="200"/>
      <c r="AM649" s="210"/>
      <c r="AN649" s="210"/>
    </row>
    <row r="650" spans="1:40" x14ac:dyDescent="0.25">
      <c r="A650" s="202"/>
      <c r="C650" s="154"/>
      <c r="F650" s="200"/>
      <c r="H650" s="200"/>
      <c r="I650" s="200"/>
      <c r="J650" s="213"/>
      <c r="K650" s="213"/>
      <c r="L650" s="200"/>
      <c r="M650" s="200"/>
      <c r="N650" s="213"/>
      <c r="O650" s="213"/>
      <c r="P650" s="200"/>
      <c r="Q650" s="200"/>
      <c r="R650" s="200"/>
      <c r="T650" s="154"/>
      <c r="V650" s="200"/>
      <c r="Y650" s="200"/>
      <c r="Z650" s="213"/>
      <c r="AA650" s="200"/>
      <c r="AB650" s="200"/>
      <c r="AC650" s="213"/>
      <c r="AD650" s="213"/>
      <c r="AE650" s="200"/>
      <c r="AF650" s="200"/>
      <c r="AG650" s="209"/>
      <c r="AH650" s="201"/>
      <c r="AI650" s="200"/>
      <c r="AJ650" s="200"/>
      <c r="AK650" s="209"/>
      <c r="AL650" s="200"/>
      <c r="AM650" s="210"/>
      <c r="AN650" s="210"/>
    </row>
    <row r="651" spans="1:40" x14ac:dyDescent="0.25">
      <c r="F651" s="200"/>
      <c r="H651" s="211"/>
      <c r="I651" s="211"/>
      <c r="J651" s="305"/>
      <c r="K651" s="305"/>
      <c r="L651" s="211"/>
      <c r="M651" s="211"/>
      <c r="N651" s="211"/>
      <c r="O651" s="211"/>
      <c r="P651" s="211"/>
      <c r="Q651" s="211"/>
      <c r="R651" s="211"/>
      <c r="V651" s="211"/>
      <c r="Y651" s="211"/>
      <c r="Z651" s="305"/>
      <c r="AA651" s="211"/>
      <c r="AB651" s="211"/>
      <c r="AC651" s="211"/>
      <c r="AD651" s="211"/>
      <c r="AE651" s="211"/>
      <c r="AF651" s="211"/>
      <c r="AI651" s="211"/>
      <c r="AJ651" s="211"/>
      <c r="AK651" s="212"/>
      <c r="AL651" s="211"/>
    </row>
    <row r="653" spans="1:40" x14ac:dyDescent="0.25">
      <c r="C653" s="154"/>
      <c r="F653" s="211"/>
      <c r="L653" s="200"/>
      <c r="M653" s="200"/>
      <c r="P653" s="200"/>
      <c r="Q653" s="200"/>
      <c r="R653" s="200"/>
      <c r="T653" s="154"/>
    </row>
    <row r="654" spans="1:40" x14ac:dyDescent="0.25">
      <c r="A654" s="154"/>
      <c r="L654" s="200"/>
      <c r="M654" s="200"/>
      <c r="P654" s="200"/>
      <c r="Q654" s="200"/>
      <c r="R654" s="200"/>
    </row>
    <row r="655" spans="1:40" x14ac:dyDescent="0.25">
      <c r="L655" s="200"/>
      <c r="M655" s="200"/>
      <c r="P655" s="200"/>
      <c r="Q655" s="200"/>
      <c r="R655" s="200"/>
    </row>
    <row r="656" spans="1:40" x14ac:dyDescent="0.25">
      <c r="L656" s="200"/>
      <c r="M656" s="200"/>
      <c r="P656" s="200"/>
      <c r="Q656" s="200"/>
      <c r="R656" s="200"/>
    </row>
    <row r="657" spans="12:18" x14ac:dyDescent="0.25">
      <c r="L657" s="200"/>
      <c r="M657" s="200"/>
      <c r="P657" s="200"/>
      <c r="Q657" s="200"/>
      <c r="R657" s="200"/>
    </row>
    <row r="658" spans="12:18" x14ac:dyDescent="0.25">
      <c r="L658" s="200"/>
      <c r="M658" s="200"/>
      <c r="P658" s="200"/>
      <c r="Q658" s="200"/>
      <c r="R658" s="200"/>
    </row>
    <row r="659" spans="12:18" x14ac:dyDescent="0.25">
      <c r="L659" s="200"/>
      <c r="M659" s="200"/>
      <c r="P659" s="200"/>
      <c r="Q659" s="200"/>
      <c r="R659" s="200"/>
    </row>
    <row r="692" spans="49:49" x14ac:dyDescent="0.25">
      <c r="AW692" s="200"/>
    </row>
    <row r="693" spans="49:49" x14ac:dyDescent="0.25">
      <c r="AW693" s="200"/>
    </row>
    <row r="694" spans="49:49" x14ac:dyDescent="0.25">
      <c r="AW694" s="200"/>
    </row>
    <row r="695" spans="49:49" x14ac:dyDescent="0.25">
      <c r="AW695" s="200"/>
    </row>
    <row r="696" spans="49:49" x14ac:dyDescent="0.25">
      <c r="AW696" s="200"/>
    </row>
    <row r="697" spans="49:49" x14ac:dyDescent="0.25">
      <c r="AW697" s="200"/>
    </row>
    <row r="700" spans="49:49" x14ac:dyDescent="0.25">
      <c r="AW700" s="200"/>
    </row>
    <row r="701" spans="49:49" x14ac:dyDescent="0.25">
      <c r="AW701" s="200"/>
    </row>
    <row r="702" spans="49:49" x14ac:dyDescent="0.25">
      <c r="AW702" s="200"/>
    </row>
    <row r="703" spans="49:49" x14ac:dyDescent="0.25">
      <c r="AW703" s="200"/>
    </row>
    <row r="704" spans="49:49" x14ac:dyDescent="0.25">
      <c r="AW704" s="200"/>
    </row>
    <row r="705" spans="49:49" x14ac:dyDescent="0.25">
      <c r="AW705" s="200"/>
    </row>
    <row r="706" spans="49:49" x14ac:dyDescent="0.25">
      <c r="AW706" s="200"/>
    </row>
    <row r="707" spans="49:49" x14ac:dyDescent="0.25">
      <c r="AW707" s="200"/>
    </row>
    <row r="710" spans="49:49" x14ac:dyDescent="0.25">
      <c r="AW710" s="200"/>
    </row>
    <row r="711" spans="49:49" x14ac:dyDescent="0.25">
      <c r="AW711" s="200"/>
    </row>
    <row r="714" spans="49:49" x14ac:dyDescent="0.25">
      <c r="AW714" s="200"/>
    </row>
    <row r="715" spans="49:49" x14ac:dyDescent="0.25">
      <c r="AW715" s="200"/>
    </row>
    <row r="716" spans="49:49" x14ac:dyDescent="0.25">
      <c r="AW716" s="200"/>
    </row>
    <row r="717" spans="49:49" x14ac:dyDescent="0.25">
      <c r="AW717" s="200"/>
    </row>
    <row r="723" spans="45:69" x14ac:dyDescent="0.25">
      <c r="AY723" s="202"/>
    </row>
    <row r="724" spans="45:69" x14ac:dyDescent="0.25">
      <c r="AY724" s="202"/>
    </row>
    <row r="725" spans="45:69" x14ac:dyDescent="0.25">
      <c r="AY725" s="154"/>
    </row>
    <row r="726" spans="45:69" x14ac:dyDescent="0.25">
      <c r="AY726" s="154"/>
    </row>
    <row r="727" spans="45:69" x14ac:dyDescent="0.25">
      <c r="AS727" s="202"/>
      <c r="BD727" s="154"/>
    </row>
    <row r="728" spans="45:69" x14ac:dyDescent="0.25">
      <c r="AS728" s="202"/>
      <c r="BD728" s="154"/>
    </row>
    <row r="729" spans="45:69" x14ac:dyDescent="0.25">
      <c r="AS729" s="154"/>
      <c r="BD729" s="154"/>
    </row>
    <row r="730" spans="45:69" x14ac:dyDescent="0.25">
      <c r="BD730" s="202"/>
    </row>
    <row r="731" spans="45:69" x14ac:dyDescent="0.25"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</row>
    <row r="732" spans="45:69" x14ac:dyDescent="0.25">
      <c r="AX732" s="154"/>
    </row>
    <row r="733" spans="45:69" x14ac:dyDescent="0.25">
      <c r="AX733" s="102"/>
      <c r="AY733" s="102"/>
      <c r="AZ733" s="102"/>
      <c r="BA733" s="102"/>
      <c r="BC733" s="103"/>
      <c r="BD733" s="103"/>
    </row>
    <row r="734" spans="45:69" x14ac:dyDescent="0.25">
      <c r="AV734" s="103"/>
      <c r="AW734" s="103"/>
      <c r="AZ734" s="103"/>
      <c r="BA734" s="103"/>
      <c r="BC734" s="103"/>
      <c r="BD734" s="103"/>
      <c r="BE734" s="103"/>
      <c r="BG734" s="102"/>
      <c r="BH734" s="154"/>
      <c r="BK734" s="102"/>
      <c r="BM734" s="102"/>
      <c r="BN734" s="154"/>
      <c r="BQ734" s="102"/>
    </row>
    <row r="735" spans="45:69" x14ac:dyDescent="0.25"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H735" s="103"/>
      <c r="BI735" s="103"/>
      <c r="BJ735" s="103"/>
      <c r="BN735" s="103"/>
      <c r="BO735" s="103"/>
      <c r="BP735" s="103"/>
    </row>
    <row r="736" spans="45:69" x14ac:dyDescent="0.25">
      <c r="AS736" s="103"/>
      <c r="AU736" s="154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G736" s="103"/>
      <c r="BH736" s="103"/>
      <c r="BI736" s="103"/>
      <c r="BJ736" s="103"/>
      <c r="BK736" s="103"/>
      <c r="BM736" s="103"/>
      <c r="BN736" s="103"/>
      <c r="BO736" s="103"/>
      <c r="BP736" s="103"/>
      <c r="BQ736" s="103"/>
    </row>
    <row r="737" spans="45:69" x14ac:dyDescent="0.25">
      <c r="AS737" s="103"/>
      <c r="AU737" s="154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G737" s="103"/>
      <c r="BH737" s="103"/>
      <c r="BI737" s="103"/>
      <c r="BJ737" s="103"/>
      <c r="BK737" s="103"/>
      <c r="BM737" s="103"/>
      <c r="BN737" s="103"/>
      <c r="BO737" s="103"/>
      <c r="BP737" s="103"/>
      <c r="BQ737" s="103"/>
    </row>
    <row r="738" spans="45:69" x14ac:dyDescent="0.25"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G738" s="102"/>
      <c r="BH738" s="102"/>
      <c r="BI738" s="102"/>
      <c r="BJ738" s="102"/>
      <c r="BK738" s="102"/>
      <c r="BM738" s="102"/>
      <c r="BN738" s="102"/>
      <c r="BO738" s="102"/>
      <c r="BP738" s="102"/>
      <c r="BQ738" s="102"/>
    </row>
    <row r="739" spans="45:69" x14ac:dyDescent="0.25"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</row>
    <row r="740" spans="45:69" x14ac:dyDescent="0.25">
      <c r="AS740" s="202"/>
      <c r="AU740" s="154"/>
      <c r="AV740" s="103"/>
      <c r="AY740" s="213"/>
    </row>
    <row r="741" spans="45:69" x14ac:dyDescent="0.25">
      <c r="AS741" s="202"/>
      <c r="AV741" s="103"/>
      <c r="AW741" s="200"/>
      <c r="AX741" s="334"/>
      <c r="AY741" s="334"/>
      <c r="AZ741" s="334"/>
      <c r="BA741" s="210"/>
      <c r="BB741" s="334"/>
      <c r="BC741" s="213"/>
      <c r="BD741" s="213"/>
      <c r="BE741" s="210"/>
      <c r="BG741" s="334"/>
      <c r="BH741" s="334"/>
      <c r="BI741" s="334"/>
      <c r="BJ741" s="334"/>
      <c r="BK741" s="334"/>
      <c r="BM741" s="334"/>
      <c r="BN741" s="334"/>
      <c r="BO741" s="334"/>
      <c r="BP741" s="334"/>
      <c r="BQ741" s="334"/>
    </row>
    <row r="742" spans="45:69" x14ac:dyDescent="0.25">
      <c r="AS742" s="202"/>
      <c r="AV742" s="103"/>
      <c r="AW742" s="200"/>
      <c r="AX742" s="334"/>
      <c r="AY742" s="334"/>
      <c r="AZ742" s="334"/>
      <c r="BA742" s="210"/>
      <c r="BB742" s="334"/>
      <c r="BC742" s="213"/>
      <c r="BD742" s="213"/>
      <c r="BE742" s="210"/>
      <c r="BG742" s="334"/>
      <c r="BH742" s="334"/>
      <c r="BI742" s="334"/>
      <c r="BJ742" s="334"/>
      <c r="BK742" s="334"/>
      <c r="BM742" s="334"/>
      <c r="BN742" s="334"/>
      <c r="BO742" s="334"/>
      <c r="BP742" s="334"/>
      <c r="BQ742" s="334"/>
    </row>
    <row r="743" spans="45:69" x14ac:dyDescent="0.25">
      <c r="AS743" s="202"/>
      <c r="AV743" s="103"/>
      <c r="AW743" s="200"/>
      <c r="AX743" s="334"/>
      <c r="AY743" s="334"/>
      <c r="AZ743" s="334"/>
      <c r="BA743" s="210"/>
      <c r="BB743" s="334"/>
      <c r="BC743" s="213"/>
      <c r="BD743" s="213"/>
      <c r="BE743" s="210"/>
      <c r="BG743" s="334"/>
      <c r="BH743" s="334"/>
      <c r="BI743" s="334"/>
      <c r="BJ743" s="334"/>
      <c r="BK743" s="334"/>
      <c r="BM743" s="334"/>
      <c r="BN743" s="334"/>
      <c r="BO743" s="334"/>
      <c r="BP743" s="334"/>
      <c r="BQ743" s="334"/>
    </row>
    <row r="744" spans="45:69" x14ac:dyDescent="0.25">
      <c r="AS744" s="202"/>
      <c r="AV744" s="103"/>
      <c r="AW744" s="200"/>
      <c r="AX744" s="334"/>
      <c r="AY744" s="334"/>
      <c r="AZ744" s="334"/>
      <c r="BA744" s="210"/>
      <c r="BB744" s="334"/>
      <c r="BC744" s="213"/>
      <c r="BD744" s="213"/>
      <c r="BE744" s="210"/>
      <c r="BG744" s="334"/>
      <c r="BH744" s="334"/>
      <c r="BI744" s="334"/>
      <c r="BJ744" s="334"/>
      <c r="BK744" s="334"/>
      <c r="BM744" s="334"/>
      <c r="BN744" s="334"/>
      <c r="BO744" s="334"/>
      <c r="BP744" s="334"/>
      <c r="BQ744" s="334"/>
    </row>
    <row r="745" spans="45:69" x14ac:dyDescent="0.25">
      <c r="AS745" s="202"/>
      <c r="AV745" s="103"/>
      <c r="AW745" s="200"/>
      <c r="AX745" s="334"/>
      <c r="AY745" s="334"/>
      <c r="AZ745" s="334"/>
      <c r="BA745" s="210"/>
      <c r="BB745" s="334"/>
      <c r="BC745" s="213"/>
      <c r="BD745" s="213"/>
      <c r="BE745" s="210"/>
      <c r="BG745" s="334"/>
      <c r="BH745" s="334"/>
      <c r="BI745" s="334"/>
      <c r="BJ745" s="334"/>
      <c r="BK745" s="334"/>
      <c r="BM745" s="334"/>
      <c r="BN745" s="334"/>
      <c r="BO745" s="334"/>
      <c r="BP745" s="334"/>
      <c r="BQ745" s="334"/>
    </row>
    <row r="746" spans="45:69" x14ac:dyDescent="0.25">
      <c r="AS746" s="202"/>
      <c r="AV746" s="103"/>
      <c r="AW746" s="200"/>
      <c r="AX746" s="334"/>
      <c r="AY746" s="334"/>
      <c r="AZ746" s="334"/>
      <c r="BA746" s="210"/>
      <c r="BB746" s="334"/>
      <c r="BC746" s="213"/>
      <c r="BD746" s="213"/>
      <c r="BE746" s="210"/>
      <c r="BG746" s="334"/>
      <c r="BH746" s="334"/>
      <c r="BI746" s="334"/>
      <c r="BJ746" s="334"/>
      <c r="BK746" s="334"/>
      <c r="BM746" s="334"/>
      <c r="BN746" s="334"/>
      <c r="BO746" s="334"/>
      <c r="BP746" s="334"/>
      <c r="BQ746" s="334"/>
    </row>
    <row r="747" spans="45:69" x14ac:dyDescent="0.25">
      <c r="AS747" s="202"/>
      <c r="AV747" s="103"/>
      <c r="AW747" s="200"/>
      <c r="AX747" s="334"/>
      <c r="AY747" s="334"/>
      <c r="AZ747" s="334"/>
      <c r="BA747" s="210"/>
      <c r="BB747" s="334"/>
      <c r="BC747" s="213"/>
      <c r="BD747" s="213"/>
      <c r="BE747" s="210"/>
      <c r="BG747" s="334"/>
      <c r="BH747" s="334"/>
      <c r="BI747" s="334"/>
      <c r="BJ747" s="334"/>
      <c r="BK747" s="334"/>
      <c r="BM747" s="334"/>
      <c r="BN747" s="334"/>
      <c r="BO747" s="334"/>
      <c r="BP747" s="334"/>
      <c r="BQ747" s="334"/>
    </row>
    <row r="748" spans="45:69" x14ac:dyDescent="0.25">
      <c r="AY748" s="213"/>
      <c r="AZ748" s="334"/>
      <c r="BA748" s="210"/>
      <c r="BB748" s="334"/>
      <c r="BC748" s="213"/>
      <c r="BD748" s="213"/>
      <c r="BE748" s="210"/>
      <c r="BK748" s="334"/>
      <c r="BQ748" s="334"/>
    </row>
    <row r="749" spans="45:69" x14ac:dyDescent="0.25">
      <c r="AS749" s="202"/>
      <c r="AV749" s="103"/>
      <c r="AY749" s="213"/>
      <c r="AZ749" s="334"/>
      <c r="BA749" s="210"/>
      <c r="BB749" s="334"/>
      <c r="BC749" s="213"/>
      <c r="BD749" s="213"/>
      <c r="BE749" s="210"/>
      <c r="BK749" s="334"/>
      <c r="BQ749" s="334"/>
    </row>
    <row r="750" spans="45:69" x14ac:dyDescent="0.25">
      <c r="AS750" s="202"/>
      <c r="AV750" s="103"/>
      <c r="AW750" s="200"/>
      <c r="AX750" s="334"/>
      <c r="AY750" s="334"/>
      <c r="AZ750" s="334"/>
      <c r="BA750" s="210"/>
      <c r="BB750" s="334"/>
      <c r="BC750" s="213"/>
      <c r="BD750" s="213"/>
      <c r="BE750" s="210"/>
      <c r="BG750" s="334"/>
      <c r="BH750" s="334"/>
      <c r="BI750" s="334"/>
      <c r="BJ750" s="334"/>
      <c r="BK750" s="334"/>
      <c r="BM750" s="334"/>
      <c r="BN750" s="334"/>
      <c r="BO750" s="334"/>
      <c r="BP750" s="334"/>
      <c r="BQ750" s="334"/>
    </row>
    <row r="751" spans="45:69" x14ac:dyDescent="0.25">
      <c r="AS751" s="202"/>
      <c r="AV751" s="103"/>
      <c r="AW751" s="200"/>
      <c r="AX751" s="334"/>
      <c r="AY751" s="334"/>
      <c r="AZ751" s="334"/>
      <c r="BA751" s="210"/>
      <c r="BB751" s="334"/>
      <c r="BC751" s="213"/>
      <c r="BD751" s="213"/>
      <c r="BE751" s="210"/>
      <c r="BG751" s="334"/>
      <c r="BH751" s="334"/>
      <c r="BI751" s="334"/>
      <c r="BJ751" s="334"/>
      <c r="BK751" s="334"/>
      <c r="BM751" s="334"/>
      <c r="BN751" s="334"/>
      <c r="BO751" s="334"/>
      <c r="BP751" s="334"/>
      <c r="BQ751" s="334"/>
    </row>
    <row r="752" spans="45:69" x14ac:dyDescent="0.25">
      <c r="AS752" s="202"/>
      <c r="AV752" s="103"/>
      <c r="AW752" s="200"/>
      <c r="AX752" s="334"/>
      <c r="AY752" s="334"/>
      <c r="AZ752" s="334"/>
      <c r="BA752" s="210"/>
      <c r="BB752" s="334"/>
      <c r="BC752" s="213"/>
      <c r="BD752" s="213"/>
      <c r="BE752" s="210"/>
      <c r="BG752" s="334"/>
      <c r="BH752" s="334"/>
      <c r="BI752" s="334"/>
      <c r="BJ752" s="334"/>
      <c r="BK752" s="334"/>
      <c r="BM752" s="334"/>
      <c r="BN752" s="334"/>
      <c r="BO752" s="334"/>
      <c r="BP752" s="334"/>
      <c r="BQ752" s="334"/>
    </row>
    <row r="753" spans="45:69" x14ac:dyDescent="0.25">
      <c r="AS753" s="202"/>
      <c r="AV753" s="103"/>
      <c r="AW753" s="200"/>
      <c r="AX753" s="334"/>
      <c r="AY753" s="334"/>
      <c r="AZ753" s="334"/>
      <c r="BA753" s="210"/>
      <c r="BB753" s="334"/>
      <c r="BC753" s="213"/>
      <c r="BD753" s="213"/>
      <c r="BE753" s="210"/>
      <c r="BG753" s="334"/>
      <c r="BH753" s="334"/>
      <c r="BI753" s="334"/>
      <c r="BJ753" s="334"/>
      <c r="BK753" s="334"/>
      <c r="BM753" s="334"/>
      <c r="BN753" s="334"/>
      <c r="BO753" s="334"/>
      <c r="BP753" s="334"/>
      <c r="BQ753" s="334"/>
    </row>
    <row r="754" spans="45:69" x14ac:dyDescent="0.25">
      <c r="AS754" s="202"/>
      <c r="AV754" s="103"/>
      <c r="AW754" s="200"/>
      <c r="AX754" s="334"/>
      <c r="AY754" s="334"/>
      <c r="AZ754" s="334"/>
      <c r="BA754" s="210"/>
      <c r="BB754" s="334"/>
      <c r="BC754" s="213"/>
      <c r="BD754" s="213"/>
      <c r="BE754" s="210"/>
      <c r="BG754" s="334"/>
      <c r="BH754" s="334"/>
      <c r="BI754" s="334"/>
      <c r="BJ754" s="334"/>
      <c r="BK754" s="334"/>
      <c r="BM754" s="334"/>
      <c r="BN754" s="334"/>
      <c r="BO754" s="334"/>
      <c r="BP754" s="334"/>
      <c r="BQ754" s="334"/>
    </row>
    <row r="755" spans="45:69" x14ac:dyDescent="0.25">
      <c r="AS755" s="202"/>
      <c r="AV755" s="103"/>
      <c r="AW755" s="200"/>
      <c r="AX755" s="334"/>
      <c r="AY755" s="334"/>
      <c r="AZ755" s="334"/>
      <c r="BA755" s="210"/>
      <c r="BB755" s="334"/>
      <c r="BC755" s="213"/>
      <c r="BD755" s="213"/>
      <c r="BE755" s="210"/>
      <c r="BG755" s="334"/>
      <c r="BH755" s="334"/>
      <c r="BI755" s="334"/>
      <c r="BJ755" s="334"/>
      <c r="BK755" s="334"/>
      <c r="BM755" s="334"/>
      <c r="BN755" s="334"/>
      <c r="BO755" s="334"/>
      <c r="BP755" s="334"/>
      <c r="BQ755" s="334"/>
    </row>
    <row r="756" spans="45:69" x14ac:dyDescent="0.25">
      <c r="AS756" s="202"/>
      <c r="AV756" s="103"/>
      <c r="AW756" s="200"/>
      <c r="AX756" s="334"/>
      <c r="AY756" s="334"/>
      <c r="AZ756" s="334"/>
      <c r="BA756" s="210"/>
      <c r="BB756" s="334"/>
      <c r="BC756" s="213"/>
      <c r="BD756" s="213"/>
      <c r="BE756" s="210"/>
      <c r="BG756" s="334"/>
      <c r="BH756" s="334"/>
      <c r="BI756" s="334"/>
      <c r="BJ756" s="334"/>
      <c r="BK756" s="334"/>
      <c r="BM756" s="334"/>
      <c r="BN756" s="334"/>
      <c r="BO756" s="334"/>
      <c r="BP756" s="334"/>
      <c r="BQ756" s="334"/>
    </row>
    <row r="757" spans="45:69" x14ac:dyDescent="0.25">
      <c r="AS757" s="202"/>
      <c r="AV757" s="103"/>
      <c r="AW757" s="200"/>
      <c r="AX757" s="334"/>
      <c r="AY757" s="334"/>
      <c r="AZ757" s="334"/>
      <c r="BA757" s="210"/>
      <c r="BB757" s="334"/>
      <c r="BC757" s="213"/>
      <c r="BD757" s="213"/>
      <c r="BE757" s="210"/>
      <c r="BG757" s="334"/>
      <c r="BH757" s="334"/>
      <c r="BI757" s="334"/>
      <c r="BJ757" s="334"/>
      <c r="BK757" s="334"/>
      <c r="BM757" s="334"/>
      <c r="BN757" s="334"/>
      <c r="BO757" s="334"/>
      <c r="BP757" s="334"/>
      <c r="BQ757" s="334"/>
    </row>
    <row r="758" spans="45:69" x14ac:dyDescent="0.25">
      <c r="AY758" s="213"/>
      <c r="AZ758" s="334"/>
      <c r="BA758" s="210"/>
      <c r="BB758" s="334"/>
      <c r="BC758" s="213"/>
      <c r="BD758" s="213"/>
      <c r="BE758" s="210"/>
      <c r="BK758" s="334"/>
      <c r="BQ758" s="334"/>
    </row>
    <row r="759" spans="45:69" x14ac:dyDescent="0.25">
      <c r="AU759" s="154"/>
      <c r="AZ759" s="334"/>
      <c r="BB759" s="334"/>
      <c r="BG759" s="334"/>
      <c r="BH759" s="334"/>
      <c r="BJ759" s="334"/>
      <c r="BK759" s="334"/>
    </row>
    <row r="760" spans="45:69" x14ac:dyDescent="0.25">
      <c r="AZ760" s="334"/>
      <c r="BB760" s="334"/>
    </row>
    <row r="761" spans="45:69" x14ac:dyDescent="0.25">
      <c r="AS761" s="154"/>
      <c r="AZ761" s="334"/>
      <c r="BB761" s="334"/>
      <c r="BI761" s="334"/>
    </row>
    <row r="762" spans="45:69" x14ac:dyDescent="0.25">
      <c r="AY762" s="202"/>
      <c r="AZ762" s="334"/>
      <c r="BB762" s="334"/>
    </row>
    <row r="763" spans="45:69" x14ac:dyDescent="0.25">
      <c r="AY763" s="334"/>
      <c r="BB763" s="334"/>
    </row>
    <row r="764" spans="45:69" x14ac:dyDescent="0.25">
      <c r="AY764" s="154"/>
      <c r="AZ764" s="334"/>
      <c r="BB764" s="334"/>
    </row>
    <row r="765" spans="45:69" x14ac:dyDescent="0.25">
      <c r="AY765" s="154"/>
      <c r="AZ765" s="334"/>
      <c r="BB765" s="334"/>
    </row>
    <row r="766" spans="45:69" x14ac:dyDescent="0.25">
      <c r="AS766" s="202"/>
      <c r="AZ766" s="334"/>
      <c r="BB766" s="334"/>
      <c r="BD766" s="154"/>
    </row>
    <row r="767" spans="45:69" x14ac:dyDescent="0.25">
      <c r="AS767" s="202"/>
      <c r="AZ767" s="334"/>
      <c r="BB767" s="334"/>
      <c r="BD767" s="154"/>
    </row>
    <row r="768" spans="45:69" x14ac:dyDescent="0.25">
      <c r="AS768" s="154"/>
      <c r="AZ768" s="334"/>
      <c r="BB768" s="334"/>
      <c r="BD768" s="154"/>
    </row>
    <row r="769" spans="45:75" x14ac:dyDescent="0.25">
      <c r="AZ769" s="334"/>
      <c r="BB769" s="334"/>
      <c r="BD769" s="202"/>
    </row>
    <row r="770" spans="45:75" x14ac:dyDescent="0.25">
      <c r="AS770" s="102"/>
      <c r="AT770" s="102"/>
      <c r="AU770" s="102"/>
      <c r="AV770" s="102"/>
      <c r="AW770" s="102"/>
      <c r="AX770" s="102"/>
      <c r="AY770" s="102"/>
      <c r="AZ770" s="335"/>
      <c r="BA770" s="102"/>
      <c r="BB770" s="335"/>
      <c r="BC770" s="102"/>
      <c r="BD770" s="102"/>
      <c r="BE770" s="102"/>
    </row>
    <row r="771" spans="45:75" x14ac:dyDescent="0.25">
      <c r="AX771" s="154"/>
      <c r="AZ771" s="334"/>
      <c r="BB771" s="334"/>
    </row>
    <row r="772" spans="45:75" x14ac:dyDescent="0.25">
      <c r="AX772" s="102"/>
      <c r="AY772" s="102"/>
      <c r="AZ772" s="335"/>
      <c r="BA772" s="102"/>
      <c r="BB772" s="334"/>
      <c r="BC772" s="103"/>
      <c r="BD772" s="103"/>
    </row>
    <row r="773" spans="45:75" x14ac:dyDescent="0.25">
      <c r="AV773" s="103"/>
      <c r="AW773" s="103"/>
      <c r="AZ773" s="336"/>
      <c r="BA773" s="103"/>
      <c r="BB773" s="334"/>
      <c r="BC773" s="103"/>
      <c r="BD773" s="103"/>
      <c r="BE773" s="103"/>
      <c r="BG773" s="102"/>
      <c r="BH773" s="102"/>
      <c r="BI773" s="154"/>
      <c r="BM773" s="102"/>
      <c r="BN773" s="102"/>
      <c r="BP773" s="102"/>
      <c r="BQ773" s="102"/>
      <c r="BR773" s="154"/>
      <c r="BV773" s="102"/>
      <c r="BW773" s="102"/>
    </row>
    <row r="774" spans="45:75" x14ac:dyDescent="0.25">
      <c r="AV774" s="103"/>
      <c r="AW774" s="103"/>
      <c r="AX774" s="103"/>
      <c r="AY774" s="103"/>
      <c r="AZ774" s="336"/>
      <c r="BA774" s="103"/>
      <c r="BB774" s="336"/>
      <c r="BC774" s="103"/>
      <c r="BD774" s="103"/>
      <c r="BE774" s="103"/>
      <c r="BH774" s="103"/>
      <c r="BI774" s="103"/>
      <c r="BJ774" s="103"/>
      <c r="BK774" s="103"/>
      <c r="BL774" s="103"/>
      <c r="BM774" s="103"/>
      <c r="BQ774" s="103"/>
      <c r="BR774" s="103"/>
      <c r="BS774" s="103"/>
      <c r="BT774" s="103"/>
      <c r="BU774" s="103"/>
      <c r="BV774" s="103"/>
    </row>
    <row r="775" spans="45:75" x14ac:dyDescent="0.25">
      <c r="AS775" s="103"/>
      <c r="AU775" s="154"/>
      <c r="AV775" s="103"/>
      <c r="AW775" s="103"/>
      <c r="AX775" s="103"/>
      <c r="AY775" s="103"/>
      <c r="AZ775" s="336"/>
      <c r="BA775" s="103"/>
      <c r="BB775" s="336"/>
      <c r="BC775" s="103"/>
      <c r="BD775" s="103"/>
      <c r="BE775" s="103"/>
      <c r="BG775" s="103"/>
      <c r="BH775" s="103"/>
      <c r="BI775" s="103"/>
      <c r="BJ775" s="103"/>
      <c r="BK775" s="103"/>
      <c r="BL775" s="103"/>
      <c r="BM775" s="103"/>
      <c r="BN775" s="103"/>
      <c r="BP775" s="103"/>
      <c r="BQ775" s="103"/>
      <c r="BR775" s="103"/>
      <c r="BS775" s="103"/>
      <c r="BT775" s="103"/>
      <c r="BU775" s="103"/>
      <c r="BV775" s="103"/>
      <c r="BW775" s="103"/>
    </row>
    <row r="776" spans="45:75" x14ac:dyDescent="0.25">
      <c r="AS776" s="103"/>
      <c r="AU776" s="154"/>
      <c r="AV776" s="103"/>
      <c r="AW776" s="103"/>
      <c r="AX776" s="103"/>
      <c r="AY776" s="103"/>
      <c r="AZ776" s="336"/>
      <c r="BA776" s="103"/>
      <c r="BB776" s="336"/>
      <c r="BC776" s="103"/>
      <c r="BD776" s="103"/>
      <c r="BE776" s="103"/>
      <c r="BG776" s="103"/>
      <c r="BH776" s="103"/>
      <c r="BI776" s="103"/>
      <c r="BJ776" s="103"/>
      <c r="BK776" s="103"/>
      <c r="BL776" s="103"/>
      <c r="BM776" s="103"/>
      <c r="BN776" s="103"/>
      <c r="BP776" s="103"/>
      <c r="BQ776" s="103"/>
      <c r="BR776" s="103"/>
      <c r="BS776" s="103"/>
      <c r="BT776" s="103"/>
      <c r="BU776" s="103"/>
      <c r="BV776" s="103"/>
      <c r="BW776" s="103"/>
    </row>
    <row r="777" spans="45:75" x14ac:dyDescent="0.25">
      <c r="AS777" s="102"/>
      <c r="AT777" s="102"/>
      <c r="AU777" s="102"/>
      <c r="AV777" s="102"/>
      <c r="AW777" s="102"/>
      <c r="AX777" s="102"/>
      <c r="AY777" s="102"/>
      <c r="AZ777" s="335"/>
      <c r="BA777" s="102"/>
      <c r="BB777" s="335"/>
      <c r="BC777" s="102"/>
      <c r="BD777" s="102"/>
      <c r="BE777" s="102"/>
      <c r="BG777" s="102"/>
      <c r="BH777" s="102"/>
      <c r="BI777" s="102"/>
      <c r="BJ777" s="102"/>
      <c r="BK777" s="102"/>
      <c r="BL777" s="102"/>
      <c r="BM777" s="102"/>
      <c r="BN777" s="102"/>
      <c r="BP777" s="102"/>
      <c r="BQ777" s="102"/>
      <c r="BR777" s="102"/>
      <c r="BS777" s="102"/>
      <c r="BT777" s="102"/>
      <c r="BU777" s="102"/>
      <c r="BV777" s="102"/>
      <c r="BW777" s="102"/>
    </row>
    <row r="778" spans="45:75" x14ac:dyDescent="0.25">
      <c r="AV778" s="103"/>
      <c r="AW778" s="103"/>
      <c r="AX778" s="103"/>
      <c r="AY778" s="103"/>
      <c r="AZ778" s="336"/>
      <c r="BA778" s="103"/>
      <c r="BB778" s="336"/>
      <c r="BC778" s="103"/>
      <c r="BD778" s="103"/>
      <c r="BE778" s="103"/>
      <c r="BG778" s="334"/>
      <c r="BH778" s="334"/>
      <c r="BI778" s="334"/>
      <c r="BJ778" s="334"/>
      <c r="BK778" s="334"/>
      <c r="BL778" s="334"/>
      <c r="BM778" s="334"/>
      <c r="BN778" s="334"/>
      <c r="BO778" s="334"/>
      <c r="BP778" s="334"/>
      <c r="BQ778" s="334"/>
      <c r="BR778" s="334"/>
      <c r="BS778" s="334"/>
      <c r="BT778" s="334"/>
      <c r="BU778" s="334"/>
      <c r="BV778" s="334"/>
      <c r="BW778" s="334"/>
    </row>
    <row r="779" spans="45:75" x14ac:dyDescent="0.25">
      <c r="AS779" s="202"/>
      <c r="AU779" s="154"/>
      <c r="AV779" s="202"/>
      <c r="AW779" s="200"/>
      <c r="AX779" s="334"/>
      <c r="AY779" s="334"/>
      <c r="AZ779" s="334"/>
      <c r="BA779" s="201"/>
      <c r="BB779" s="334"/>
      <c r="BC779" s="334"/>
      <c r="BD779" s="334"/>
      <c r="BE779" s="201"/>
      <c r="BG779" s="334"/>
      <c r="BH779" s="334"/>
      <c r="BI779" s="334"/>
      <c r="BJ779" s="334"/>
      <c r="BK779" s="334"/>
      <c r="BL779" s="334"/>
      <c r="BM779" s="334"/>
      <c r="BN779" s="334"/>
      <c r="BO779" s="334"/>
      <c r="BP779" s="334"/>
      <c r="BQ779" s="334"/>
      <c r="BR779" s="334"/>
      <c r="BS779" s="334"/>
      <c r="BT779" s="334"/>
      <c r="BU779" s="334"/>
      <c r="BV779" s="334"/>
      <c r="BW779" s="334"/>
    </row>
    <row r="780" spans="45:75" x14ac:dyDescent="0.25">
      <c r="AS780" s="202"/>
      <c r="AV780" s="202"/>
      <c r="AW780" s="200"/>
      <c r="AX780" s="334"/>
      <c r="AY780" s="334"/>
      <c r="AZ780" s="334"/>
      <c r="BA780" s="201"/>
      <c r="BB780" s="334"/>
      <c r="BC780" s="334"/>
      <c r="BD780" s="334"/>
      <c r="BE780" s="201"/>
      <c r="BG780" s="334"/>
      <c r="BH780" s="334"/>
      <c r="BI780" s="334"/>
      <c r="BJ780" s="334"/>
      <c r="BK780" s="334"/>
      <c r="BL780" s="334"/>
      <c r="BM780" s="334"/>
      <c r="BN780" s="334"/>
      <c r="BO780" s="334"/>
      <c r="BP780" s="334"/>
      <c r="BQ780" s="334"/>
      <c r="BR780" s="334"/>
      <c r="BS780" s="334"/>
      <c r="BT780" s="334"/>
      <c r="BU780" s="334"/>
      <c r="BV780" s="334"/>
      <c r="BW780" s="334"/>
    </row>
    <row r="781" spans="45:75" x14ac:dyDescent="0.25">
      <c r="AS781" s="202"/>
      <c r="AV781" s="202"/>
      <c r="AW781" s="200"/>
      <c r="AX781" s="334"/>
      <c r="AY781" s="334"/>
      <c r="AZ781" s="334"/>
      <c r="BA781" s="201"/>
      <c r="BB781" s="334"/>
      <c r="BC781" s="334"/>
      <c r="BD781" s="334"/>
      <c r="BE781" s="201"/>
      <c r="BG781" s="334"/>
      <c r="BH781" s="334"/>
      <c r="BI781" s="334"/>
      <c r="BJ781" s="334"/>
      <c r="BK781" s="334"/>
      <c r="BL781" s="334"/>
      <c r="BM781" s="334"/>
      <c r="BN781" s="334"/>
      <c r="BO781" s="334"/>
      <c r="BP781" s="334"/>
      <c r="BQ781" s="334"/>
      <c r="BR781" s="334"/>
      <c r="BS781" s="334"/>
      <c r="BT781" s="334"/>
      <c r="BU781" s="334"/>
      <c r="BV781" s="334"/>
      <c r="BW781" s="334"/>
    </row>
    <row r="782" spans="45:75" x14ac:dyDescent="0.25">
      <c r="AS782" s="202"/>
      <c r="AV782" s="202"/>
      <c r="AW782" s="200"/>
      <c r="AX782" s="334"/>
      <c r="AY782" s="334"/>
      <c r="AZ782" s="334"/>
      <c r="BA782" s="201"/>
      <c r="BB782" s="334"/>
      <c r="BC782" s="334"/>
      <c r="BD782" s="334"/>
      <c r="BE782" s="201"/>
      <c r="BG782" s="334"/>
      <c r="BH782" s="334"/>
      <c r="BI782" s="334"/>
      <c r="BJ782" s="334"/>
      <c r="BK782" s="334"/>
      <c r="BL782" s="334"/>
      <c r="BM782" s="334"/>
      <c r="BN782" s="334"/>
      <c r="BO782" s="334"/>
      <c r="BP782" s="334"/>
      <c r="BQ782" s="334"/>
      <c r="BR782" s="334"/>
      <c r="BS782" s="334"/>
      <c r="BT782" s="334"/>
      <c r="BU782" s="334"/>
      <c r="BV782" s="334"/>
      <c r="BW782" s="334"/>
    </row>
    <row r="783" spans="45:75" x14ac:dyDescent="0.25">
      <c r="AS783" s="202"/>
      <c r="AV783" s="202"/>
      <c r="AW783" s="200"/>
      <c r="AX783" s="334"/>
      <c r="AY783" s="334"/>
      <c r="AZ783" s="334"/>
      <c r="BA783" s="201"/>
      <c r="BB783" s="334"/>
      <c r="BC783" s="334"/>
      <c r="BD783" s="334"/>
      <c r="BE783" s="201"/>
      <c r="BG783" s="334"/>
      <c r="BH783" s="334"/>
      <c r="BI783" s="334"/>
      <c r="BJ783" s="334"/>
      <c r="BK783" s="334"/>
      <c r="BL783" s="334"/>
      <c r="BM783" s="334"/>
      <c r="BN783" s="334"/>
      <c r="BO783" s="334"/>
      <c r="BP783" s="334"/>
      <c r="BQ783" s="334"/>
      <c r="BR783" s="334"/>
      <c r="BS783" s="334"/>
      <c r="BT783" s="334"/>
      <c r="BU783" s="334"/>
      <c r="BV783" s="334"/>
      <c r="BW783" s="334"/>
    </row>
    <row r="784" spans="45:75" x14ac:dyDescent="0.25">
      <c r="AS784" s="202"/>
      <c r="AV784" s="202"/>
      <c r="AW784" s="200"/>
      <c r="AX784" s="334"/>
      <c r="AY784" s="334"/>
      <c r="AZ784" s="334"/>
      <c r="BA784" s="201"/>
      <c r="BB784" s="334"/>
      <c r="BC784" s="334"/>
      <c r="BD784" s="334"/>
      <c r="BE784" s="201"/>
      <c r="BG784" s="334"/>
      <c r="BH784" s="334"/>
      <c r="BI784" s="334"/>
      <c r="BJ784" s="334"/>
      <c r="BK784" s="334"/>
      <c r="BL784" s="334"/>
      <c r="BM784" s="334"/>
      <c r="BN784" s="334"/>
      <c r="BO784" s="334"/>
      <c r="BP784" s="334"/>
      <c r="BQ784" s="334"/>
      <c r="BR784" s="334"/>
      <c r="BS784" s="334"/>
      <c r="BT784" s="334"/>
      <c r="BU784" s="334"/>
      <c r="BV784" s="334"/>
      <c r="BW784" s="334"/>
    </row>
    <row r="785" spans="45:75" x14ac:dyDescent="0.25">
      <c r="AS785" s="202"/>
      <c r="AV785" s="202"/>
      <c r="AW785" s="200"/>
      <c r="AX785" s="334"/>
      <c r="AY785" s="334"/>
      <c r="AZ785" s="334"/>
      <c r="BA785" s="201"/>
      <c r="BB785" s="334"/>
      <c r="BC785" s="334"/>
      <c r="BD785" s="334"/>
      <c r="BE785" s="201"/>
      <c r="BG785" s="334"/>
      <c r="BH785" s="334"/>
      <c r="BI785" s="334"/>
      <c r="BJ785" s="334"/>
      <c r="BK785" s="334"/>
      <c r="BL785" s="334"/>
      <c r="BM785" s="334"/>
      <c r="BN785" s="334"/>
      <c r="BO785" s="334"/>
      <c r="BP785" s="334"/>
      <c r="BQ785" s="334"/>
      <c r="BR785" s="334"/>
      <c r="BS785" s="334"/>
      <c r="BT785" s="334"/>
      <c r="BU785" s="334"/>
      <c r="BV785" s="334"/>
      <c r="BW785" s="334"/>
    </row>
    <row r="786" spans="45:75" x14ac:dyDescent="0.25">
      <c r="AS786" s="202"/>
      <c r="AV786" s="202"/>
      <c r="AW786" s="200"/>
      <c r="AX786" s="334"/>
      <c r="AY786" s="334"/>
      <c r="AZ786" s="334"/>
      <c r="BA786" s="201"/>
      <c r="BB786" s="334"/>
      <c r="BC786" s="334"/>
      <c r="BD786" s="334"/>
      <c r="BE786" s="201"/>
      <c r="BG786" s="334"/>
      <c r="BH786" s="334"/>
      <c r="BI786" s="334"/>
      <c r="BJ786" s="334"/>
      <c r="BK786" s="334"/>
      <c r="BL786" s="334"/>
      <c r="BM786" s="334"/>
      <c r="BN786" s="334"/>
      <c r="BO786" s="334"/>
      <c r="BP786" s="334"/>
      <c r="BQ786" s="334"/>
      <c r="BR786" s="334"/>
      <c r="BS786" s="334"/>
      <c r="BT786" s="334"/>
      <c r="BU786" s="334"/>
      <c r="BV786" s="334"/>
      <c r="BW786" s="334"/>
    </row>
    <row r="787" spans="45:75" x14ac:dyDescent="0.25">
      <c r="AS787" s="202"/>
      <c r="AV787" s="202"/>
      <c r="AW787" s="200"/>
      <c r="AX787" s="334"/>
      <c r="AY787" s="334"/>
      <c r="AZ787" s="334"/>
      <c r="BA787" s="201"/>
      <c r="BB787" s="334"/>
      <c r="BC787" s="334"/>
      <c r="BD787" s="334"/>
      <c r="BE787" s="201"/>
      <c r="BG787" s="334"/>
      <c r="BH787" s="334"/>
      <c r="BI787" s="334"/>
      <c r="BJ787" s="334"/>
      <c r="BK787" s="334"/>
      <c r="BL787" s="334"/>
      <c r="BM787" s="334"/>
      <c r="BN787" s="334"/>
      <c r="BO787" s="334"/>
      <c r="BP787" s="334"/>
      <c r="BQ787" s="334"/>
      <c r="BR787" s="334"/>
      <c r="BS787" s="334"/>
      <c r="BT787" s="334"/>
      <c r="BU787" s="334"/>
      <c r="BV787" s="334"/>
      <c r="BW787" s="334"/>
    </row>
    <row r="788" spans="45:75" x14ac:dyDescent="0.25">
      <c r="AS788" s="202"/>
      <c r="AV788" s="202"/>
      <c r="AW788" s="200"/>
      <c r="AX788" s="334"/>
      <c r="AY788" s="334"/>
      <c r="AZ788" s="334"/>
      <c r="BA788" s="201"/>
      <c r="BB788" s="334"/>
      <c r="BC788" s="334"/>
      <c r="BD788" s="334"/>
      <c r="BE788" s="201"/>
      <c r="BG788" s="334"/>
      <c r="BH788" s="334"/>
      <c r="BI788" s="334"/>
      <c r="BJ788" s="334"/>
      <c r="BK788" s="334"/>
      <c r="BL788" s="334"/>
      <c r="BM788" s="334"/>
      <c r="BN788" s="334"/>
      <c r="BO788" s="334"/>
      <c r="BP788" s="334"/>
      <c r="BQ788" s="334"/>
      <c r="BR788" s="334"/>
      <c r="BS788" s="334"/>
      <c r="BT788" s="334"/>
      <c r="BU788" s="334"/>
      <c r="BV788" s="334"/>
      <c r="BW788" s="334"/>
    </row>
    <row r="789" spans="45:75" x14ac:dyDescent="0.25">
      <c r="AS789" s="202"/>
      <c r="AV789" s="202"/>
      <c r="AW789" s="200"/>
      <c r="AX789" s="334"/>
      <c r="AY789" s="334"/>
      <c r="AZ789" s="334"/>
      <c r="BA789" s="201"/>
      <c r="BB789" s="334"/>
      <c r="BC789" s="334"/>
      <c r="BD789" s="334"/>
      <c r="BE789" s="201"/>
      <c r="BG789" s="334"/>
      <c r="BH789" s="334"/>
      <c r="BI789" s="334"/>
      <c r="BJ789" s="334"/>
      <c r="BK789" s="334"/>
      <c r="BL789" s="334"/>
      <c r="BM789" s="334"/>
      <c r="BN789" s="334"/>
      <c r="BO789" s="334"/>
      <c r="BP789" s="334"/>
      <c r="BQ789" s="334"/>
      <c r="BR789" s="334"/>
      <c r="BS789" s="334"/>
      <c r="BT789" s="334"/>
      <c r="BU789" s="334"/>
      <c r="BV789" s="334"/>
      <c r="BW789" s="334"/>
    </row>
    <row r="790" spans="45:75" x14ac:dyDescent="0.25">
      <c r="AS790" s="202"/>
      <c r="AV790" s="202"/>
      <c r="AW790" s="200"/>
      <c r="AX790" s="334"/>
      <c r="AY790" s="334"/>
      <c r="AZ790" s="334"/>
      <c r="BA790" s="201"/>
      <c r="BB790" s="334"/>
      <c r="BC790" s="334"/>
      <c r="BD790" s="334"/>
      <c r="BE790" s="201"/>
      <c r="BG790" s="334"/>
      <c r="BH790" s="334"/>
      <c r="BI790" s="334"/>
      <c r="BJ790" s="334"/>
      <c r="BK790" s="334"/>
      <c r="BL790" s="334"/>
      <c r="BM790" s="334"/>
      <c r="BN790" s="334"/>
      <c r="BO790" s="334"/>
      <c r="BP790" s="334"/>
      <c r="BQ790" s="334"/>
      <c r="BR790" s="334"/>
      <c r="BS790" s="334"/>
      <c r="BT790" s="334"/>
      <c r="BU790" s="334"/>
      <c r="BV790" s="334"/>
      <c r="BW790" s="334"/>
    </row>
    <row r="791" spans="45:75" x14ac:dyDescent="0.25">
      <c r="AS791" s="202"/>
      <c r="AV791" s="202"/>
      <c r="AW791" s="200"/>
      <c r="AX791" s="334"/>
      <c r="AY791" s="334"/>
      <c r="AZ791" s="334"/>
      <c r="BA791" s="201"/>
      <c r="BB791" s="334"/>
      <c r="BC791" s="334"/>
      <c r="BD791" s="334"/>
      <c r="BE791" s="201"/>
      <c r="BG791" s="334"/>
      <c r="BH791" s="334"/>
      <c r="BI791" s="334"/>
      <c r="BJ791" s="334"/>
      <c r="BK791" s="334"/>
      <c r="BL791" s="334"/>
      <c r="BM791" s="334"/>
      <c r="BN791" s="334"/>
      <c r="BO791" s="334"/>
      <c r="BP791" s="334"/>
      <c r="BQ791" s="334"/>
      <c r="BR791" s="334"/>
      <c r="BS791" s="334"/>
      <c r="BT791" s="334"/>
      <c r="BU791" s="334"/>
      <c r="BV791" s="334"/>
      <c r="BW791" s="334"/>
    </row>
    <row r="792" spans="45:75" x14ac:dyDescent="0.25">
      <c r="AS792" s="202"/>
      <c r="AV792" s="202"/>
      <c r="AW792" s="200"/>
      <c r="AX792" s="334"/>
      <c r="AY792" s="334"/>
      <c r="AZ792" s="334"/>
      <c r="BA792" s="201"/>
      <c r="BB792" s="334"/>
      <c r="BC792" s="334"/>
      <c r="BD792" s="334"/>
      <c r="BE792" s="201"/>
      <c r="BG792" s="334"/>
      <c r="BH792" s="334"/>
      <c r="BI792" s="334"/>
      <c r="BJ792" s="334"/>
      <c r="BK792" s="334"/>
      <c r="BL792" s="334"/>
      <c r="BM792" s="334"/>
      <c r="BN792" s="334"/>
      <c r="BO792" s="334"/>
      <c r="BP792" s="334"/>
      <c r="BQ792" s="334"/>
      <c r="BR792" s="334"/>
      <c r="BS792" s="334"/>
      <c r="BT792" s="334"/>
      <c r="BU792" s="334"/>
      <c r="BV792" s="334"/>
      <c r="BW792" s="334"/>
    </row>
    <row r="793" spans="45:75" x14ac:dyDescent="0.25">
      <c r="AS793" s="202"/>
      <c r="AV793" s="202"/>
      <c r="AW793" s="200"/>
      <c r="AX793" s="334"/>
      <c r="AY793" s="334"/>
      <c r="AZ793" s="334"/>
      <c r="BA793" s="201"/>
      <c r="BB793" s="334"/>
      <c r="BC793" s="334"/>
      <c r="BD793" s="334"/>
      <c r="BE793" s="201"/>
      <c r="BG793" s="334"/>
      <c r="BH793" s="334"/>
      <c r="BI793" s="334"/>
      <c r="BJ793" s="334"/>
      <c r="BK793" s="334"/>
      <c r="BL793" s="334"/>
      <c r="BM793" s="334"/>
      <c r="BN793" s="334"/>
      <c r="BO793" s="334"/>
      <c r="BP793" s="334"/>
      <c r="BQ793" s="334"/>
      <c r="BR793" s="334"/>
      <c r="BS793" s="334"/>
      <c r="BT793" s="334"/>
      <c r="BU793" s="334"/>
      <c r="BV793" s="334"/>
      <c r="BW793" s="334"/>
    </row>
    <row r="794" spans="45:75" x14ac:dyDescent="0.25">
      <c r="AS794" s="202"/>
      <c r="AV794" s="202"/>
      <c r="AW794" s="200"/>
      <c r="AX794" s="334"/>
      <c r="AY794" s="334"/>
      <c r="AZ794" s="334"/>
      <c r="BA794" s="201"/>
      <c r="BB794" s="334"/>
      <c r="BC794" s="334"/>
      <c r="BD794" s="334"/>
      <c r="BE794" s="201"/>
      <c r="BG794" s="334"/>
      <c r="BH794" s="334"/>
      <c r="BI794" s="334"/>
      <c r="BJ794" s="334"/>
      <c r="BK794" s="334"/>
      <c r="BL794" s="334"/>
      <c r="BM794" s="334"/>
      <c r="BN794" s="334"/>
      <c r="BO794" s="334"/>
      <c r="BP794" s="334"/>
      <c r="BQ794" s="334"/>
      <c r="BR794" s="334"/>
      <c r="BS794" s="334"/>
      <c r="BT794" s="334"/>
      <c r="BU794" s="334"/>
      <c r="BV794" s="334"/>
      <c r="BW794" s="334"/>
    </row>
    <row r="795" spans="45:75" x14ac:dyDescent="0.25">
      <c r="AS795" s="202"/>
      <c r="AV795" s="202"/>
      <c r="AW795" s="200"/>
      <c r="AX795" s="334"/>
      <c r="AY795" s="334"/>
      <c r="AZ795" s="334"/>
      <c r="BA795" s="201"/>
      <c r="BB795" s="334"/>
      <c r="BC795" s="334"/>
      <c r="BD795" s="334"/>
      <c r="BE795" s="201"/>
      <c r="BG795" s="334"/>
      <c r="BH795" s="334"/>
      <c r="BI795" s="334"/>
      <c r="BJ795" s="334"/>
      <c r="BK795" s="334"/>
      <c r="BL795" s="334"/>
      <c r="BM795" s="334"/>
      <c r="BN795" s="334"/>
      <c r="BO795" s="334"/>
      <c r="BP795" s="334"/>
      <c r="BQ795" s="334"/>
      <c r="BR795" s="334"/>
      <c r="BS795" s="334"/>
      <c r="BT795" s="334"/>
      <c r="BU795" s="334"/>
      <c r="BV795" s="334"/>
      <c r="BW795" s="334"/>
    </row>
    <row r="796" spans="45:75" x14ac:dyDescent="0.25">
      <c r="AS796" s="202"/>
      <c r="AV796" s="202"/>
      <c r="AW796" s="200"/>
      <c r="AX796" s="334"/>
      <c r="AY796" s="334"/>
      <c r="AZ796" s="334"/>
      <c r="BA796" s="201"/>
      <c r="BB796" s="334"/>
      <c r="BC796" s="334"/>
      <c r="BD796" s="334"/>
      <c r="BE796" s="201"/>
      <c r="BG796" s="334"/>
      <c r="BH796" s="334"/>
      <c r="BI796" s="334"/>
      <c r="BJ796" s="334"/>
      <c r="BK796" s="334"/>
      <c r="BL796" s="334"/>
      <c r="BM796" s="334"/>
      <c r="BN796" s="334"/>
      <c r="BO796" s="334"/>
      <c r="BP796" s="334"/>
      <c r="BQ796" s="334"/>
      <c r="BR796" s="334"/>
      <c r="BS796" s="334"/>
      <c r="BT796" s="334"/>
      <c r="BU796" s="334"/>
      <c r="BV796" s="334"/>
      <c r="BW796" s="334"/>
    </row>
    <row r="797" spans="45:75" x14ac:dyDescent="0.25">
      <c r="AS797" s="202"/>
      <c r="AV797" s="202"/>
      <c r="AW797" s="200"/>
      <c r="AX797" s="334"/>
      <c r="AY797" s="334"/>
      <c r="AZ797" s="334"/>
      <c r="BA797" s="201"/>
      <c r="BB797" s="334"/>
      <c r="BC797" s="334"/>
      <c r="BD797" s="334"/>
      <c r="BE797" s="201"/>
      <c r="BG797" s="334"/>
      <c r="BH797" s="334"/>
      <c r="BI797" s="334"/>
      <c r="BJ797" s="334"/>
      <c r="BK797" s="334"/>
      <c r="BL797" s="334"/>
      <c r="BM797" s="334"/>
      <c r="BN797" s="334"/>
      <c r="BO797" s="334"/>
      <c r="BP797" s="334"/>
      <c r="BQ797" s="334"/>
      <c r="BR797" s="334"/>
      <c r="BS797" s="334"/>
      <c r="BT797" s="334"/>
      <c r="BU797" s="334"/>
      <c r="BV797" s="334"/>
      <c r="BW797" s="334"/>
    </row>
    <row r="798" spans="45:75" x14ac:dyDescent="0.25">
      <c r="AS798" s="202"/>
      <c r="AV798" s="202"/>
      <c r="AW798" s="200"/>
      <c r="AX798" s="334"/>
      <c r="AY798" s="334"/>
      <c r="AZ798" s="334"/>
      <c r="BA798" s="201"/>
      <c r="BB798" s="334"/>
      <c r="BC798" s="334"/>
      <c r="BD798" s="334"/>
      <c r="BE798" s="201"/>
      <c r="BG798" s="334"/>
      <c r="BH798" s="334"/>
      <c r="BI798" s="334"/>
      <c r="BJ798" s="334"/>
      <c r="BK798" s="334"/>
      <c r="BL798" s="334"/>
      <c r="BM798" s="334"/>
      <c r="BN798" s="334"/>
      <c r="BO798" s="334"/>
      <c r="BP798" s="334"/>
      <c r="BQ798" s="334"/>
      <c r="BR798" s="334"/>
      <c r="BS798" s="334"/>
      <c r="BT798" s="334"/>
      <c r="BU798" s="334"/>
      <c r="BV798" s="334"/>
      <c r="BW798" s="334"/>
    </row>
    <row r="799" spans="45:75" x14ac:dyDescent="0.25">
      <c r="AS799" s="202"/>
      <c r="AV799" s="202"/>
      <c r="AW799" s="200"/>
      <c r="AX799" s="334"/>
      <c r="AY799" s="334"/>
      <c r="AZ799" s="334"/>
      <c r="BA799" s="201"/>
      <c r="BB799" s="334"/>
      <c r="BC799" s="334"/>
      <c r="BD799" s="334"/>
      <c r="BE799" s="201"/>
      <c r="BG799" s="334"/>
      <c r="BH799" s="334"/>
      <c r="BI799" s="334"/>
      <c r="BJ799" s="334"/>
      <c r="BK799" s="334"/>
      <c r="BL799" s="334"/>
      <c r="BM799" s="334"/>
      <c r="BN799" s="334"/>
      <c r="BO799" s="334"/>
      <c r="BP799" s="334"/>
      <c r="BQ799" s="334"/>
      <c r="BR799" s="334"/>
      <c r="BS799" s="334"/>
      <c r="BT799" s="334"/>
      <c r="BU799" s="334"/>
      <c r="BV799" s="334"/>
      <c r="BW799" s="334"/>
    </row>
    <row r="800" spans="45:75" x14ac:dyDescent="0.25">
      <c r="AW800" s="200"/>
      <c r="AX800" s="334"/>
      <c r="AY800" s="334"/>
      <c r="AZ800" s="334"/>
      <c r="BA800" s="201"/>
      <c r="BB800" s="334"/>
      <c r="BC800" s="334"/>
      <c r="BD800" s="334"/>
      <c r="BE800" s="201"/>
      <c r="BG800" s="102"/>
      <c r="BH800" s="102"/>
      <c r="BI800" s="154"/>
      <c r="BM800" s="102"/>
      <c r="BN800" s="102"/>
      <c r="BO800" s="334"/>
      <c r="BP800" s="102"/>
      <c r="BQ800" s="102"/>
      <c r="BR800" s="154"/>
      <c r="BV800" s="102"/>
      <c r="BW800" s="102"/>
    </row>
    <row r="801" spans="45:75" x14ac:dyDescent="0.25">
      <c r="AS801" s="202"/>
      <c r="AU801" s="154"/>
      <c r="AV801" s="103"/>
      <c r="AW801" s="200"/>
      <c r="AX801" s="334"/>
      <c r="AY801" s="334"/>
      <c r="AZ801" s="334"/>
      <c r="BA801" s="201"/>
      <c r="BB801" s="334"/>
      <c r="BC801" s="334"/>
      <c r="BD801" s="334"/>
      <c r="BE801" s="201"/>
      <c r="BG801" s="336"/>
      <c r="BH801" s="334"/>
      <c r="BI801" s="334"/>
      <c r="BJ801" s="334"/>
      <c r="BK801" s="336"/>
      <c r="BL801" s="337"/>
      <c r="BM801" s="334"/>
      <c r="BN801" s="336"/>
      <c r="BO801" s="334"/>
      <c r="BP801" s="336"/>
      <c r="BQ801" s="334"/>
      <c r="BR801" s="334"/>
      <c r="BS801" s="334"/>
      <c r="BT801" s="336"/>
      <c r="BU801" s="337"/>
      <c r="BV801" s="334"/>
      <c r="BW801" s="336"/>
    </row>
    <row r="802" spans="45:75" x14ac:dyDescent="0.25">
      <c r="AS802" s="202"/>
      <c r="AV802" s="103"/>
      <c r="AW802" s="200"/>
      <c r="AX802" s="334"/>
      <c r="AY802" s="334"/>
      <c r="AZ802" s="334"/>
      <c r="BA802" s="201"/>
      <c r="BB802" s="334"/>
      <c r="BC802" s="334"/>
      <c r="BD802" s="334"/>
      <c r="BE802" s="201"/>
      <c r="BG802" s="334"/>
      <c r="BH802" s="334"/>
      <c r="BI802" s="334"/>
      <c r="BJ802" s="334"/>
      <c r="BK802" s="334"/>
      <c r="BL802" s="337"/>
      <c r="BM802" s="334"/>
      <c r="BN802" s="334"/>
      <c r="BO802" s="334"/>
      <c r="BP802" s="334"/>
      <c r="BQ802" s="334"/>
      <c r="BR802" s="334"/>
      <c r="BS802" s="334"/>
      <c r="BT802" s="334"/>
      <c r="BU802" s="337"/>
      <c r="BV802" s="334"/>
      <c r="BW802" s="334"/>
    </row>
    <row r="803" spans="45:75" x14ac:dyDescent="0.25">
      <c r="AS803" s="202"/>
      <c r="AV803" s="103"/>
      <c r="AW803" s="200"/>
      <c r="AX803" s="334"/>
      <c r="AY803" s="334"/>
      <c r="AZ803" s="334"/>
      <c r="BA803" s="201"/>
      <c r="BB803" s="334"/>
      <c r="BC803" s="334"/>
      <c r="BD803" s="334"/>
      <c r="BE803" s="201"/>
      <c r="BG803" s="334"/>
      <c r="BH803" s="334"/>
      <c r="BI803" s="334"/>
      <c r="BJ803" s="334"/>
      <c r="BK803" s="334"/>
      <c r="BL803" s="337"/>
      <c r="BM803" s="334"/>
      <c r="BN803" s="334"/>
      <c r="BO803" s="334"/>
      <c r="BP803" s="334"/>
      <c r="BQ803" s="334"/>
      <c r="BR803" s="334"/>
      <c r="BS803" s="334"/>
      <c r="BT803" s="334"/>
      <c r="BU803" s="337"/>
      <c r="BV803" s="334"/>
      <c r="BW803" s="334"/>
    </row>
    <row r="804" spans="45:75" x14ac:dyDescent="0.25">
      <c r="AS804" s="202"/>
      <c r="AV804" s="103"/>
      <c r="AW804" s="200"/>
      <c r="AX804" s="334"/>
      <c r="AY804" s="334"/>
      <c r="AZ804" s="334"/>
      <c r="BA804" s="201"/>
      <c r="BB804" s="334"/>
      <c r="BC804" s="334"/>
      <c r="BD804" s="334"/>
      <c r="BE804" s="201"/>
      <c r="BG804" s="334"/>
      <c r="BH804" s="334"/>
      <c r="BI804" s="334"/>
      <c r="BJ804" s="334"/>
      <c r="BK804" s="334"/>
      <c r="BL804" s="337"/>
      <c r="BM804" s="334"/>
      <c r="BN804" s="334"/>
      <c r="BO804" s="334"/>
      <c r="BP804" s="334"/>
      <c r="BQ804" s="334"/>
      <c r="BR804" s="334"/>
      <c r="BS804" s="334"/>
      <c r="BT804" s="334"/>
      <c r="BU804" s="337"/>
      <c r="BV804" s="334"/>
      <c r="BW804" s="334"/>
    </row>
    <row r="805" spans="45:75" x14ac:dyDescent="0.25">
      <c r="AX805" s="334"/>
      <c r="AY805" s="334"/>
      <c r="AZ805" s="334"/>
      <c r="BA805" s="201"/>
      <c r="BB805" s="334"/>
      <c r="BC805" s="334"/>
      <c r="BD805" s="334"/>
      <c r="BE805" s="201"/>
      <c r="BG805" s="334"/>
      <c r="BH805" s="334"/>
      <c r="BI805" s="334"/>
      <c r="BJ805" s="334"/>
      <c r="BK805" s="334"/>
      <c r="BL805" s="334"/>
      <c r="BM805" s="334"/>
      <c r="BN805" s="334"/>
      <c r="BO805" s="334"/>
      <c r="BP805" s="334"/>
      <c r="BQ805" s="334"/>
      <c r="BR805" s="334"/>
      <c r="BS805" s="334"/>
      <c r="BT805" s="334"/>
      <c r="BU805" s="334"/>
      <c r="BV805" s="334"/>
    </row>
    <row r="806" spans="45:75" x14ac:dyDescent="0.25">
      <c r="AU806" s="154"/>
    </row>
    <row r="807" spans="45:75" x14ac:dyDescent="0.25">
      <c r="AU807" s="154"/>
      <c r="AZ807" s="334"/>
      <c r="BA807" s="201"/>
      <c r="BB807" s="334"/>
      <c r="BC807" s="334"/>
      <c r="BD807" s="334"/>
      <c r="BE807" s="201"/>
      <c r="BG807" s="334"/>
      <c r="BH807" s="334"/>
      <c r="BI807" s="334"/>
      <c r="BJ807" s="334"/>
      <c r="BK807" s="334"/>
      <c r="BL807" s="334"/>
      <c r="BM807" s="334"/>
      <c r="BN807" s="334"/>
      <c r="BO807" s="334"/>
      <c r="BP807" s="334"/>
      <c r="BQ807" s="334"/>
      <c r="BR807" s="334"/>
      <c r="BS807" s="334"/>
      <c r="BT807" s="334"/>
      <c r="BU807" s="334"/>
      <c r="BV807" s="334"/>
    </row>
    <row r="808" spans="45:75" x14ac:dyDescent="0.25">
      <c r="AS808" s="154"/>
      <c r="AZ808" s="334"/>
      <c r="BB808" s="334"/>
    </row>
    <row r="809" spans="45:75" x14ac:dyDescent="0.25">
      <c r="AY809" s="202"/>
      <c r="AZ809" s="334"/>
      <c r="BB809" s="334"/>
      <c r="BO809" s="334"/>
      <c r="BP809" s="334"/>
      <c r="BQ809" s="334"/>
      <c r="BR809" s="334"/>
      <c r="BS809" s="334"/>
      <c r="BT809" s="334"/>
      <c r="BU809" s="334"/>
      <c r="BV809" s="334"/>
    </row>
    <row r="810" spans="45:75" x14ac:dyDescent="0.25">
      <c r="AY810" s="334"/>
      <c r="AZ810" s="334"/>
      <c r="BB810" s="334"/>
      <c r="BO810" s="334"/>
      <c r="BP810" s="334"/>
      <c r="BQ810" s="334"/>
      <c r="BR810" s="334"/>
      <c r="BS810" s="334"/>
      <c r="BT810" s="334"/>
      <c r="BU810" s="334"/>
      <c r="BV810" s="334"/>
    </row>
    <row r="811" spans="45:75" x14ac:dyDescent="0.25">
      <c r="AY811" s="154"/>
      <c r="AZ811" s="334"/>
      <c r="BB811" s="334"/>
      <c r="BO811" s="334"/>
      <c r="BP811" s="334"/>
      <c r="BQ811" s="334"/>
      <c r="BR811" s="334"/>
      <c r="BS811" s="334"/>
      <c r="BT811" s="334"/>
      <c r="BU811" s="334"/>
      <c r="BV811" s="334"/>
    </row>
    <row r="812" spans="45:75" x14ac:dyDescent="0.25">
      <c r="AY812" s="154"/>
      <c r="AZ812" s="334"/>
      <c r="BB812" s="334"/>
      <c r="BO812" s="334"/>
      <c r="BP812" s="334"/>
      <c r="BQ812" s="334"/>
      <c r="BR812" s="334"/>
      <c r="BS812" s="334"/>
      <c r="BT812" s="334"/>
      <c r="BU812" s="334"/>
      <c r="BV812" s="334"/>
    </row>
    <row r="813" spans="45:75" x14ac:dyDescent="0.25">
      <c r="AS813" s="202"/>
      <c r="AZ813" s="334"/>
      <c r="BB813" s="334"/>
      <c r="BD813" s="154"/>
      <c r="BO813" s="334"/>
      <c r="BP813" s="334"/>
      <c r="BQ813" s="334"/>
      <c r="BR813" s="334"/>
      <c r="BS813" s="334"/>
      <c r="BT813" s="334"/>
      <c r="BU813" s="334"/>
      <c r="BV813" s="334"/>
    </row>
    <row r="814" spans="45:75" x14ac:dyDescent="0.25">
      <c r="AS814" s="202"/>
      <c r="AZ814" s="334"/>
      <c r="BB814" s="334"/>
      <c r="BD814" s="154"/>
      <c r="BO814" s="334"/>
      <c r="BP814" s="334"/>
      <c r="BQ814" s="334"/>
      <c r="BR814" s="334"/>
      <c r="BS814" s="334"/>
      <c r="BT814" s="334"/>
      <c r="BU814" s="334"/>
      <c r="BV814" s="334"/>
    </row>
    <row r="815" spans="45:75" x14ac:dyDescent="0.25">
      <c r="AS815" s="154"/>
      <c r="AZ815" s="334"/>
      <c r="BB815" s="334"/>
      <c r="BD815" s="154"/>
      <c r="BO815" s="334"/>
      <c r="BP815" s="334"/>
      <c r="BQ815" s="334"/>
      <c r="BR815" s="334"/>
      <c r="BS815" s="334"/>
      <c r="BT815" s="334"/>
      <c r="BU815" s="334"/>
      <c r="BV815" s="334"/>
    </row>
    <row r="816" spans="45:75" x14ac:dyDescent="0.25">
      <c r="AZ816" s="334"/>
      <c r="BB816" s="334"/>
      <c r="BD816" s="202"/>
      <c r="BO816" s="334"/>
      <c r="BP816" s="334"/>
      <c r="BQ816" s="334"/>
      <c r="BR816" s="334"/>
      <c r="BS816" s="334"/>
      <c r="BT816" s="334"/>
      <c r="BU816" s="334"/>
      <c r="BV816" s="334"/>
    </row>
    <row r="817" spans="45:74" x14ac:dyDescent="0.25">
      <c r="AS817" s="102"/>
      <c r="AT817" s="102"/>
      <c r="AU817" s="102"/>
      <c r="AV817" s="102"/>
      <c r="AW817" s="102"/>
      <c r="AX817" s="102"/>
      <c r="AY817" s="102"/>
      <c r="AZ817" s="335"/>
      <c r="BA817" s="102"/>
      <c r="BB817" s="335"/>
      <c r="BC817" s="102"/>
      <c r="BD817" s="102"/>
      <c r="BE817" s="102"/>
      <c r="BO817" s="334"/>
      <c r="BP817" s="334"/>
      <c r="BQ817" s="334"/>
      <c r="BR817" s="334"/>
      <c r="BS817" s="334"/>
      <c r="BT817" s="334"/>
      <c r="BU817" s="334"/>
      <c r="BV817" s="334"/>
    </row>
    <row r="818" spans="45:74" x14ac:dyDescent="0.25">
      <c r="AX818" s="154"/>
      <c r="AZ818" s="334"/>
      <c r="BB818" s="334"/>
      <c r="BO818" s="334"/>
      <c r="BP818" s="334"/>
      <c r="BQ818" s="334"/>
      <c r="BR818" s="334"/>
      <c r="BS818" s="334"/>
      <c r="BT818" s="334"/>
      <c r="BU818" s="334"/>
      <c r="BV818" s="334"/>
    </row>
    <row r="819" spans="45:74" x14ac:dyDescent="0.25">
      <c r="AX819" s="102"/>
      <c r="AY819" s="102"/>
      <c r="AZ819" s="335"/>
      <c r="BA819" s="102"/>
      <c r="BB819" s="334"/>
      <c r="BC819" s="103"/>
      <c r="BD819" s="103"/>
      <c r="BO819" s="334"/>
      <c r="BP819" s="334"/>
      <c r="BQ819" s="334"/>
      <c r="BR819" s="334"/>
      <c r="BS819" s="334"/>
      <c r="BT819" s="334"/>
      <c r="BU819" s="334"/>
      <c r="BV819" s="334"/>
    </row>
    <row r="820" spans="45:74" x14ac:dyDescent="0.25">
      <c r="AV820" s="103"/>
      <c r="AW820" s="103"/>
      <c r="AZ820" s="336"/>
      <c r="BA820" s="103"/>
      <c r="BB820" s="334"/>
      <c r="BC820" s="103"/>
      <c r="BD820" s="103"/>
      <c r="BE820" s="103"/>
      <c r="BG820" s="102"/>
      <c r="BH820" s="154"/>
      <c r="BK820" s="102"/>
      <c r="BM820" s="102"/>
      <c r="BN820" s="154"/>
      <c r="BQ820" s="102"/>
    </row>
    <row r="821" spans="45:74" x14ac:dyDescent="0.25">
      <c r="AV821" s="103"/>
      <c r="AW821" s="103"/>
      <c r="AX821" s="103"/>
      <c r="AY821" s="103"/>
      <c r="AZ821" s="336"/>
      <c r="BA821" s="103"/>
      <c r="BB821" s="336"/>
      <c r="BC821" s="103"/>
      <c r="BD821" s="103"/>
      <c r="BE821" s="103"/>
      <c r="BH821" s="103"/>
      <c r="BI821" s="103"/>
      <c r="BN821" s="103"/>
      <c r="BO821" s="103"/>
    </row>
    <row r="822" spans="45:74" x14ac:dyDescent="0.25">
      <c r="AS822" s="103"/>
      <c r="AU822" s="154"/>
      <c r="AV822" s="103"/>
      <c r="AW822" s="103"/>
      <c r="AX822" s="103"/>
      <c r="AY822" s="103"/>
      <c r="AZ822" s="336"/>
      <c r="BA822" s="103"/>
      <c r="BB822" s="336"/>
      <c r="BC822" s="103"/>
      <c r="BD822" s="103"/>
      <c r="BE822" s="103"/>
      <c r="BG822" s="103"/>
      <c r="BH822" s="103"/>
      <c r="BI822" s="103"/>
      <c r="BJ822" s="103"/>
      <c r="BK822" s="103"/>
      <c r="BM822" s="103"/>
      <c r="BN822" s="103"/>
      <c r="BO822" s="103"/>
      <c r="BP822" s="103"/>
      <c r="BQ822" s="103"/>
    </row>
    <row r="823" spans="45:74" x14ac:dyDescent="0.25">
      <c r="AS823" s="103"/>
      <c r="AU823" s="154"/>
      <c r="AV823" s="103"/>
      <c r="AW823" s="103"/>
      <c r="AX823" s="103"/>
      <c r="AY823" s="103"/>
      <c r="AZ823" s="336"/>
      <c r="BA823" s="103"/>
      <c r="BB823" s="336"/>
      <c r="BC823" s="103"/>
      <c r="BD823" s="103"/>
      <c r="BE823" s="103"/>
      <c r="BG823" s="103"/>
      <c r="BH823" s="103"/>
      <c r="BI823" s="103"/>
      <c r="BJ823" s="103"/>
      <c r="BK823" s="103"/>
      <c r="BM823" s="103"/>
      <c r="BN823" s="103"/>
      <c r="BO823" s="103"/>
      <c r="BP823" s="103"/>
      <c r="BQ823" s="103"/>
    </row>
    <row r="824" spans="45:74" x14ac:dyDescent="0.25">
      <c r="AS824" s="102"/>
      <c r="AT824" s="102"/>
      <c r="AU824" s="102"/>
      <c r="AV824" s="102"/>
      <c r="AW824" s="102"/>
      <c r="AX824" s="102"/>
      <c r="AY824" s="102"/>
      <c r="AZ824" s="335"/>
      <c r="BA824" s="102"/>
      <c r="BB824" s="335"/>
      <c r="BC824" s="102"/>
      <c r="BD824" s="102"/>
      <c r="BE824" s="102"/>
      <c r="BG824" s="102"/>
      <c r="BH824" s="102"/>
      <c r="BI824" s="102"/>
      <c r="BJ824" s="102"/>
      <c r="BK824" s="102"/>
      <c r="BM824" s="102"/>
      <c r="BN824" s="102"/>
      <c r="BO824" s="102"/>
      <c r="BP824" s="102"/>
      <c r="BQ824" s="102"/>
    </row>
    <row r="825" spans="45:74" x14ac:dyDescent="0.25">
      <c r="AV825" s="103"/>
      <c r="AW825" s="103"/>
      <c r="AX825" s="103"/>
      <c r="AY825" s="103"/>
      <c r="AZ825" s="336"/>
      <c r="BA825" s="103"/>
      <c r="BB825" s="336"/>
      <c r="BC825" s="103"/>
      <c r="BD825" s="103"/>
      <c r="BE825" s="103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</row>
    <row r="826" spans="45:74" x14ac:dyDescent="0.25">
      <c r="AS826" s="202"/>
      <c r="AT826" s="154"/>
      <c r="AV826" s="200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</row>
    <row r="827" spans="45:74" x14ac:dyDescent="0.25">
      <c r="AS827" s="202"/>
      <c r="AV827" s="200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</row>
    <row r="828" spans="45:74" x14ac:dyDescent="0.25">
      <c r="AS828" s="202"/>
      <c r="AV828" s="200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</row>
    <row r="829" spans="45:74" x14ac:dyDescent="0.25">
      <c r="AS829" s="202"/>
      <c r="AV829" s="200"/>
      <c r="AW829" s="200"/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</row>
    <row r="830" spans="45:74" x14ac:dyDescent="0.25">
      <c r="AS830" s="202"/>
      <c r="AV830" s="200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</row>
    <row r="831" spans="45:74" x14ac:dyDescent="0.25">
      <c r="AS831" s="202"/>
      <c r="AV831" s="200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</row>
    <row r="832" spans="45:74" x14ac:dyDescent="0.25">
      <c r="AS832" s="202"/>
      <c r="AV832" s="200"/>
      <c r="AW832" s="200"/>
      <c r="AX832" s="334"/>
      <c r="AY832" s="334"/>
      <c r="AZ832" s="334"/>
      <c r="BA832" s="201"/>
      <c r="BB832" s="334"/>
      <c r="BC832" s="334"/>
      <c r="BD832" s="334"/>
      <c r="BE832" s="201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</row>
    <row r="833" spans="45:71" x14ac:dyDescent="0.25">
      <c r="AS833" s="202"/>
      <c r="AV833" s="200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</row>
    <row r="834" spans="45:71" x14ac:dyDescent="0.25">
      <c r="AS834" s="202"/>
      <c r="AV834" s="200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</row>
    <row r="835" spans="45:71" x14ac:dyDescent="0.25">
      <c r="AS835" s="202"/>
      <c r="AV835" s="200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</row>
    <row r="836" spans="45:71" x14ac:dyDescent="0.25">
      <c r="AS836" s="202"/>
      <c r="AV836" s="200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</row>
    <row r="837" spans="45:71" x14ac:dyDescent="0.25">
      <c r="AS837" s="202"/>
      <c r="AV837" s="200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</row>
    <row r="838" spans="45:71" x14ac:dyDescent="0.25">
      <c r="AS838" s="202"/>
      <c r="AV838" s="200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</row>
    <row r="839" spans="45:71" x14ac:dyDescent="0.25">
      <c r="AS839" s="202"/>
      <c r="AV839" s="200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</row>
    <row r="840" spans="45:71" x14ac:dyDescent="0.25">
      <c r="AS840" s="202"/>
      <c r="AV840" s="200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</row>
    <row r="841" spans="45:71" x14ac:dyDescent="0.25">
      <c r="AS841" s="202"/>
      <c r="AV841" s="200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</row>
    <row r="842" spans="45:71" x14ac:dyDescent="0.25">
      <c r="AS842" s="202"/>
      <c r="AV842" s="200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</row>
    <row r="843" spans="45:71" x14ac:dyDescent="0.25">
      <c r="AS843" s="202"/>
      <c r="AV843" s="200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</row>
    <row r="844" spans="45:71" x14ac:dyDescent="0.25">
      <c r="AZ844" s="334"/>
      <c r="BB844" s="334"/>
      <c r="BC844" s="334"/>
      <c r="BD844" s="334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</row>
    <row r="845" spans="45:71" x14ac:dyDescent="0.25">
      <c r="AS845" s="202"/>
      <c r="AT845" s="154"/>
      <c r="AV845" s="200"/>
      <c r="AW845" s="200"/>
      <c r="AX845" s="334"/>
      <c r="AY845" s="334"/>
      <c r="AZ845" s="334"/>
      <c r="BA845" s="201"/>
      <c r="BB845" s="334"/>
      <c r="BC845" s="334"/>
      <c r="BD845" s="334"/>
      <c r="BE845" s="201"/>
    </row>
    <row r="846" spans="45:71" x14ac:dyDescent="0.25">
      <c r="AS846" s="202"/>
      <c r="AV846" s="200"/>
      <c r="AW846" s="200"/>
      <c r="AX846" s="334"/>
      <c r="AY846" s="334"/>
      <c r="AZ846" s="334"/>
      <c r="BA846" s="201"/>
      <c r="BB846" s="334"/>
      <c r="BC846" s="334"/>
      <c r="BD846" s="334"/>
      <c r="BE846" s="201"/>
    </row>
    <row r="847" spans="45:71" x14ac:dyDescent="0.25">
      <c r="AS847" s="202"/>
      <c r="AV847" s="200"/>
      <c r="AW847" s="200"/>
      <c r="AX847" s="334"/>
      <c r="AY847" s="334"/>
      <c r="AZ847" s="334"/>
      <c r="BA847" s="201"/>
      <c r="BB847" s="334"/>
      <c r="BC847" s="334"/>
      <c r="BD847" s="334"/>
      <c r="BE847" s="201"/>
    </row>
    <row r="848" spans="45:71" x14ac:dyDescent="0.25">
      <c r="AS848" s="202"/>
      <c r="AV848" s="200"/>
      <c r="AW848" s="200"/>
      <c r="AX848" s="334"/>
      <c r="AY848" s="334"/>
      <c r="AZ848" s="334"/>
      <c r="BA848" s="201"/>
      <c r="BB848" s="334"/>
      <c r="BC848" s="334"/>
      <c r="BD848" s="334"/>
      <c r="BE848" s="201"/>
    </row>
    <row r="849" spans="45:57" x14ac:dyDescent="0.25">
      <c r="AS849" s="202"/>
      <c r="AV849" s="200"/>
      <c r="AW849" s="200"/>
      <c r="AX849" s="334"/>
      <c r="AY849" s="334"/>
      <c r="AZ849" s="334"/>
      <c r="BA849" s="201"/>
      <c r="BB849" s="334"/>
      <c r="BC849" s="334"/>
      <c r="BD849" s="334"/>
      <c r="BE849" s="201"/>
    </row>
    <row r="850" spans="45:57" x14ac:dyDescent="0.25">
      <c r="AS850" s="202"/>
      <c r="AV850" s="200"/>
      <c r="AW850" s="200"/>
      <c r="AX850" s="334"/>
      <c r="AY850" s="334"/>
      <c r="AZ850" s="334"/>
      <c r="BA850" s="201"/>
      <c r="BB850" s="334"/>
      <c r="BC850" s="334"/>
      <c r="BD850" s="334"/>
      <c r="BE850" s="201"/>
    </row>
    <row r="851" spans="45:57" x14ac:dyDescent="0.25">
      <c r="AS851" s="202"/>
      <c r="AV851" s="200"/>
      <c r="AW851" s="200"/>
      <c r="AX851" s="334"/>
      <c r="AY851" s="334"/>
      <c r="AZ851" s="334"/>
      <c r="BA851" s="201"/>
      <c r="BB851" s="334"/>
      <c r="BC851" s="334"/>
      <c r="BD851" s="334"/>
      <c r="BE851" s="201"/>
    </row>
    <row r="852" spans="45:57" x14ac:dyDescent="0.25">
      <c r="AS852" s="202"/>
      <c r="AV852" s="200"/>
      <c r="AW852" s="200"/>
      <c r="AX852" s="334"/>
      <c r="AY852" s="334"/>
      <c r="AZ852" s="334"/>
      <c r="BA852" s="201"/>
      <c r="BB852" s="334"/>
      <c r="BC852" s="334"/>
      <c r="BD852" s="334"/>
      <c r="BE852" s="201"/>
    </row>
    <row r="853" spans="45:57" x14ac:dyDescent="0.25">
      <c r="AS853" s="202"/>
      <c r="AV853" s="200"/>
      <c r="AW853" s="200"/>
      <c r="AX853" s="334"/>
      <c r="AY853" s="334"/>
      <c r="AZ853" s="334"/>
      <c r="BA853" s="201"/>
      <c r="BB853" s="334"/>
      <c r="BC853" s="334"/>
      <c r="BD853" s="334"/>
      <c r="BE853" s="201"/>
    </row>
    <row r="854" spans="45:57" x14ac:dyDescent="0.25">
      <c r="AS854" s="202"/>
      <c r="AV854" s="200"/>
      <c r="AW854" s="200"/>
      <c r="AX854" s="334"/>
      <c r="AY854" s="334"/>
      <c r="AZ854" s="334"/>
      <c r="BA854" s="201"/>
      <c r="BB854" s="334"/>
      <c r="BC854" s="334"/>
      <c r="BD854" s="334"/>
      <c r="BE854" s="201"/>
    </row>
    <row r="855" spans="45:57" x14ac:dyDescent="0.25">
      <c r="AS855" s="202"/>
      <c r="AV855" s="200"/>
      <c r="AW855" s="200"/>
      <c r="AX855" s="334"/>
      <c r="AY855" s="334"/>
      <c r="AZ855" s="334"/>
      <c r="BA855" s="201"/>
      <c r="BB855" s="334"/>
      <c r="BC855" s="334"/>
      <c r="BD855" s="334"/>
      <c r="BE855" s="201"/>
    </row>
    <row r="856" spans="45:57" x14ac:dyDescent="0.25">
      <c r="AS856" s="202"/>
      <c r="AV856" s="200"/>
      <c r="AW856" s="200"/>
      <c r="AX856" s="334"/>
      <c r="AY856" s="334"/>
      <c r="AZ856" s="334"/>
      <c r="BA856" s="201"/>
      <c r="BB856" s="334"/>
      <c r="BC856" s="334"/>
      <c r="BD856" s="334"/>
      <c r="BE856" s="201"/>
    </row>
    <row r="857" spans="45:57" x14ac:dyDescent="0.25">
      <c r="AS857" s="202"/>
      <c r="AV857" s="200"/>
      <c r="AW857" s="200"/>
      <c r="AX857" s="334"/>
      <c r="AY857" s="334"/>
      <c r="AZ857" s="334"/>
      <c r="BA857" s="201"/>
      <c r="BB857" s="334"/>
      <c r="BC857" s="334"/>
      <c r="BD857" s="334"/>
      <c r="BE857" s="201"/>
    </row>
    <row r="858" spans="45:57" x14ac:dyDescent="0.25">
      <c r="AS858" s="202"/>
      <c r="AV858" s="200"/>
      <c r="AW858" s="200"/>
      <c r="AX858" s="334"/>
      <c r="AY858" s="334"/>
      <c r="AZ858" s="334"/>
      <c r="BA858" s="201"/>
      <c r="BB858" s="334"/>
      <c r="BC858" s="334"/>
      <c r="BD858" s="334"/>
      <c r="BE858" s="201"/>
    </row>
    <row r="859" spans="45:57" x14ac:dyDescent="0.25">
      <c r="AS859" s="202"/>
      <c r="AV859" s="200"/>
      <c r="AW859" s="200"/>
      <c r="AX859" s="334"/>
      <c r="AY859" s="334"/>
      <c r="AZ859" s="334"/>
      <c r="BA859" s="201"/>
      <c r="BB859" s="334"/>
      <c r="BC859" s="334"/>
      <c r="BD859" s="334"/>
      <c r="BE859" s="201"/>
    </row>
    <row r="860" spans="45:57" x14ac:dyDescent="0.25">
      <c r="AS860" s="202"/>
      <c r="AV860" s="200"/>
      <c r="AW860" s="200"/>
      <c r="AX860" s="334"/>
      <c r="AY860" s="334"/>
      <c r="AZ860" s="334"/>
      <c r="BA860" s="201"/>
      <c r="BB860" s="334"/>
      <c r="BC860" s="334"/>
      <c r="BD860" s="334"/>
      <c r="BE860" s="201"/>
    </row>
    <row r="861" spans="45:57" x14ac:dyDescent="0.25">
      <c r="AS861" s="202"/>
      <c r="AV861" s="200"/>
      <c r="AW861" s="200"/>
      <c r="AX861" s="334"/>
      <c r="AY861" s="334"/>
      <c r="AZ861" s="334"/>
      <c r="BA861" s="201"/>
      <c r="BB861" s="334"/>
      <c r="BC861" s="334"/>
      <c r="BD861" s="334"/>
      <c r="BE861" s="201"/>
    </row>
    <row r="862" spans="45:57" x14ac:dyDescent="0.25">
      <c r="AS862" s="202"/>
      <c r="AV862" s="200"/>
      <c r="AW862" s="200"/>
      <c r="AX862" s="334"/>
      <c r="AY862" s="334"/>
      <c r="AZ862" s="334"/>
      <c r="BA862" s="201"/>
      <c r="BB862" s="334"/>
      <c r="BC862" s="334"/>
      <c r="BD862" s="334"/>
      <c r="BE862" s="201"/>
    </row>
    <row r="863" spans="45:57" x14ac:dyDescent="0.25">
      <c r="BB863" s="334"/>
    </row>
    <row r="864" spans="45:57" x14ac:dyDescent="0.25">
      <c r="AU864" s="154"/>
      <c r="BB864" s="334"/>
    </row>
    <row r="865" spans="45:57" x14ac:dyDescent="0.25">
      <c r="AU865" s="154"/>
    </row>
    <row r="866" spans="45:57" x14ac:dyDescent="0.25">
      <c r="AU866" s="154"/>
      <c r="BB866" s="334"/>
    </row>
    <row r="867" spans="45:57" x14ac:dyDescent="0.25">
      <c r="AS867" s="154"/>
      <c r="AZ867" s="334"/>
      <c r="BB867" s="334"/>
    </row>
    <row r="868" spans="45:57" x14ac:dyDescent="0.25">
      <c r="AY868" s="202"/>
      <c r="AZ868" s="334"/>
      <c r="BB868" s="334"/>
    </row>
    <row r="869" spans="45:57" x14ac:dyDescent="0.25">
      <c r="AY869" s="334"/>
      <c r="AZ869" s="334"/>
      <c r="BB869" s="334"/>
    </row>
    <row r="870" spans="45:57" x14ac:dyDescent="0.25">
      <c r="AY870" s="154"/>
      <c r="AZ870" s="334"/>
      <c r="BB870" s="334"/>
    </row>
    <row r="871" spans="45:57" x14ac:dyDescent="0.25">
      <c r="AY871" s="154"/>
      <c r="AZ871" s="334"/>
      <c r="BB871" s="334"/>
    </row>
    <row r="872" spans="45:57" x14ac:dyDescent="0.25">
      <c r="AS872" s="202"/>
      <c r="AZ872" s="334"/>
      <c r="BB872" s="334"/>
      <c r="BD872" s="154"/>
    </row>
    <row r="873" spans="45:57" x14ac:dyDescent="0.25">
      <c r="AS873" s="202"/>
      <c r="AZ873" s="334"/>
      <c r="BB873" s="334"/>
      <c r="BD873" s="154"/>
    </row>
    <row r="874" spans="45:57" x14ac:dyDescent="0.25">
      <c r="AS874" s="154"/>
      <c r="AZ874" s="334"/>
      <c r="BB874" s="334"/>
      <c r="BD874" s="154"/>
    </row>
    <row r="875" spans="45:57" x14ac:dyDescent="0.25">
      <c r="AZ875" s="334"/>
      <c r="BB875" s="334"/>
      <c r="BD875" s="202"/>
    </row>
    <row r="876" spans="45:57" x14ac:dyDescent="0.25">
      <c r="AS876" s="102"/>
      <c r="AT876" s="102"/>
      <c r="AU876" s="102"/>
      <c r="AV876" s="102"/>
      <c r="AW876" s="102"/>
      <c r="AX876" s="102"/>
      <c r="AY876" s="102"/>
      <c r="AZ876" s="335"/>
      <c r="BA876" s="102"/>
      <c r="BB876" s="335"/>
      <c r="BC876" s="102"/>
      <c r="BD876" s="102"/>
      <c r="BE876" s="102"/>
    </row>
    <row r="877" spans="45:57" x14ac:dyDescent="0.25">
      <c r="AX877" s="154"/>
      <c r="AZ877" s="334"/>
      <c r="BB877" s="334"/>
    </row>
    <row r="878" spans="45:57" x14ac:dyDescent="0.25">
      <c r="AX878" s="102"/>
      <c r="AY878" s="102"/>
      <c r="AZ878" s="335"/>
      <c r="BA878" s="102"/>
      <c r="BB878" s="334"/>
      <c r="BC878" s="103"/>
      <c r="BD878" s="103"/>
    </row>
    <row r="879" spans="45:57" x14ac:dyDescent="0.25">
      <c r="AV879" s="103"/>
      <c r="AW879" s="103"/>
      <c r="AZ879" s="336"/>
      <c r="BA879" s="103"/>
      <c r="BB879" s="334"/>
      <c r="BC879" s="103"/>
      <c r="BD879" s="103"/>
      <c r="BE879" s="103"/>
    </row>
    <row r="880" spans="45:57" x14ac:dyDescent="0.25">
      <c r="AV880" s="103"/>
      <c r="AW880" s="103"/>
      <c r="AX880" s="103"/>
      <c r="AY880" s="103"/>
      <c r="AZ880" s="336"/>
      <c r="BA880" s="103"/>
      <c r="BB880" s="336"/>
      <c r="BC880" s="103"/>
      <c r="BD880" s="103"/>
      <c r="BE880" s="103"/>
    </row>
    <row r="881" spans="45:57" x14ac:dyDescent="0.25">
      <c r="AS881" s="103"/>
      <c r="AU881" s="154"/>
      <c r="AV881" s="103"/>
      <c r="AW881" s="103"/>
      <c r="AX881" s="103"/>
      <c r="AY881" s="103"/>
      <c r="AZ881" s="336"/>
      <c r="BA881" s="103"/>
      <c r="BB881" s="336"/>
      <c r="BC881" s="103"/>
      <c r="BD881" s="103"/>
      <c r="BE881" s="103"/>
    </row>
    <row r="882" spans="45:57" x14ac:dyDescent="0.25">
      <c r="AS882" s="103"/>
      <c r="AU882" s="154"/>
      <c r="AV882" s="103"/>
      <c r="AW882" s="103"/>
      <c r="AX882" s="103"/>
      <c r="AY882" s="103"/>
      <c r="AZ882" s="336"/>
      <c r="BA882" s="103"/>
      <c r="BB882" s="336"/>
      <c r="BC882" s="103"/>
      <c r="BD882" s="103"/>
      <c r="BE882" s="103"/>
    </row>
    <row r="883" spans="45:57" x14ac:dyDescent="0.25">
      <c r="AS883" s="102"/>
      <c r="AT883" s="102"/>
      <c r="AU883" s="102"/>
      <c r="AV883" s="102"/>
      <c r="AW883" s="102"/>
      <c r="AX883" s="102"/>
      <c r="AY883" s="102"/>
      <c r="AZ883" s="335"/>
      <c r="BA883" s="102"/>
      <c r="BB883" s="335"/>
      <c r="BC883" s="102"/>
      <c r="BD883" s="102"/>
      <c r="BE883" s="102"/>
    </row>
    <row r="884" spans="45:57" x14ac:dyDescent="0.25">
      <c r="AV884" s="103"/>
      <c r="AW884" s="103"/>
      <c r="AX884" s="103"/>
      <c r="AY884" s="103"/>
      <c r="AZ884" s="336"/>
      <c r="BA884" s="103"/>
      <c r="BB884" s="336"/>
      <c r="BC884" s="103"/>
      <c r="BD884" s="103"/>
      <c r="BE884" s="103"/>
    </row>
    <row r="885" spans="45:57" x14ac:dyDescent="0.25">
      <c r="AS885" s="202"/>
      <c r="AT885" s="154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</row>
    <row r="886" spans="45:57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</row>
    <row r="887" spans="45:57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</row>
    <row r="888" spans="45:57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</row>
    <row r="889" spans="45:57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57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57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57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</row>
    <row r="893" spans="45:57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4" spans="45:57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</row>
    <row r="895" spans="45:57" x14ac:dyDescent="0.25">
      <c r="AV895" s="200"/>
      <c r="AW895" s="200"/>
      <c r="BB895" s="334"/>
    </row>
    <row r="896" spans="45:57" x14ac:dyDescent="0.25">
      <c r="AS896" s="202"/>
      <c r="AT896" s="154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</row>
    <row r="897" spans="45:57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</row>
    <row r="898" spans="45:57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</row>
    <row r="899" spans="45:57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</row>
    <row r="900" spans="45:57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57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</row>
    <row r="902" spans="45:57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</row>
    <row r="903" spans="45:57" x14ac:dyDescent="0.25">
      <c r="AS903" s="202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</row>
    <row r="904" spans="45:57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</row>
    <row r="905" spans="45:57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</row>
    <row r="907" spans="45:57" x14ac:dyDescent="0.25">
      <c r="AU907" s="154"/>
    </row>
    <row r="908" spans="45:57" x14ac:dyDescent="0.25">
      <c r="AU908" s="154"/>
    </row>
    <row r="909" spans="45:57" x14ac:dyDescent="0.25">
      <c r="AU909" s="154"/>
    </row>
    <row r="910" spans="45:57" x14ac:dyDescent="0.25">
      <c r="AS910" s="154"/>
    </row>
    <row r="931" spans="52:71" x14ac:dyDescent="0.25">
      <c r="AZ931" s="334"/>
      <c r="BB931" s="334"/>
      <c r="BC931" s="334"/>
      <c r="BD931" s="334"/>
      <c r="BG931" s="334"/>
      <c r="BH931" s="334"/>
      <c r="BI931" s="334"/>
      <c r="BJ931" s="334"/>
      <c r="BK931" s="334"/>
      <c r="BL931" s="334"/>
      <c r="BM931" s="334"/>
      <c r="BN931" s="334"/>
      <c r="BO931" s="334"/>
      <c r="BP931" s="334"/>
      <c r="BQ931" s="334"/>
      <c r="BR931" s="334"/>
      <c r="BS931" s="334"/>
    </row>
    <row r="932" spans="52:71" x14ac:dyDescent="0.25">
      <c r="AZ932" s="334"/>
      <c r="BB932" s="334"/>
      <c r="BC932" s="334"/>
      <c r="BD932" s="334"/>
      <c r="BG932" s="334"/>
      <c r="BH932" s="334"/>
      <c r="BI932" s="334"/>
      <c r="BJ932" s="334"/>
      <c r="BK932" s="334"/>
      <c r="BL932" s="334"/>
      <c r="BM932" s="334"/>
      <c r="BN932" s="334"/>
      <c r="BO932" s="334"/>
      <c r="BP932" s="334"/>
      <c r="BQ932" s="334"/>
      <c r="BR932" s="334"/>
      <c r="BS932" s="334"/>
    </row>
    <row r="933" spans="52:71" x14ac:dyDescent="0.25">
      <c r="AZ933" s="334"/>
      <c r="BB933" s="334"/>
      <c r="BC933" s="334"/>
      <c r="BD933" s="334"/>
      <c r="BG933" s="334"/>
      <c r="BH933" s="334"/>
      <c r="BI933" s="334"/>
      <c r="BJ933" s="334"/>
      <c r="BK933" s="334"/>
      <c r="BL933" s="334"/>
      <c r="BM933" s="334"/>
      <c r="BN933" s="334"/>
      <c r="BO933" s="334"/>
      <c r="BP933" s="334"/>
      <c r="BQ933" s="334"/>
      <c r="BR933" s="334"/>
      <c r="BS933" s="334"/>
    </row>
    <row r="934" spans="52:71" x14ac:dyDescent="0.25">
      <c r="AZ934" s="334"/>
      <c r="BB934" s="334"/>
      <c r="BC934" s="334"/>
      <c r="BD934" s="334"/>
      <c r="BG934" s="334"/>
      <c r="BH934" s="334"/>
      <c r="BI934" s="334"/>
      <c r="BJ934" s="334"/>
      <c r="BK934" s="334"/>
      <c r="BL934" s="334"/>
      <c r="BM934" s="334"/>
      <c r="BN934" s="334"/>
      <c r="BO934" s="334"/>
      <c r="BP934" s="334"/>
      <c r="BQ934" s="334"/>
      <c r="BR934" s="334"/>
      <c r="BS934" s="334"/>
    </row>
    <row r="935" spans="52:71" x14ac:dyDescent="0.25">
      <c r="AZ935" s="334"/>
      <c r="BB935" s="334"/>
      <c r="BC935" s="334"/>
      <c r="BD935" s="334"/>
      <c r="BG935" s="334"/>
      <c r="BH935" s="334"/>
      <c r="BI935" s="334"/>
      <c r="BJ935" s="334"/>
      <c r="BK935" s="334"/>
      <c r="BL935" s="334"/>
      <c r="BM935" s="334"/>
      <c r="BN935" s="334"/>
      <c r="BO935" s="334"/>
      <c r="BP935" s="334"/>
      <c r="BQ935" s="334"/>
      <c r="BR935" s="334"/>
      <c r="BS935" s="334"/>
    </row>
    <row r="936" spans="52:71" x14ac:dyDescent="0.25">
      <c r="AZ936" s="334"/>
      <c r="BB936" s="334"/>
      <c r="BC936" s="334"/>
      <c r="BD936" s="334"/>
      <c r="BG936" s="334"/>
      <c r="BH936" s="334"/>
      <c r="BI936" s="334"/>
      <c r="BJ936" s="334"/>
      <c r="BK936" s="334"/>
      <c r="BL936" s="334"/>
      <c r="BM936" s="334"/>
      <c r="BN936" s="334"/>
      <c r="BO936" s="334"/>
      <c r="BP936" s="334"/>
      <c r="BQ936" s="334"/>
      <c r="BR936" s="334"/>
      <c r="BS936" s="334"/>
    </row>
    <row r="937" spans="52:71" x14ac:dyDescent="0.25">
      <c r="AZ937" s="334"/>
      <c r="BB937" s="334"/>
      <c r="BC937" s="334"/>
      <c r="BD937" s="334"/>
      <c r="BG937" s="334"/>
      <c r="BH937" s="334"/>
      <c r="BI937" s="334"/>
      <c r="BJ937" s="334"/>
      <c r="BK937" s="334"/>
      <c r="BL937" s="334"/>
      <c r="BM937" s="334"/>
      <c r="BN937" s="334"/>
      <c r="BO937" s="334"/>
      <c r="BP937" s="334"/>
      <c r="BQ937" s="334"/>
      <c r="BR937" s="334"/>
      <c r="BS937" s="334"/>
    </row>
    <row r="938" spans="52:71" x14ac:dyDescent="0.25">
      <c r="AZ938" s="334"/>
      <c r="BB938" s="334"/>
      <c r="BC938" s="334"/>
      <c r="BD938" s="334"/>
      <c r="BG938" s="334"/>
      <c r="BH938" s="334"/>
      <c r="BI938" s="334"/>
      <c r="BJ938" s="334"/>
      <c r="BK938" s="334"/>
      <c r="BL938" s="334"/>
      <c r="BM938" s="334"/>
      <c r="BN938" s="334"/>
      <c r="BO938" s="334"/>
      <c r="BP938" s="334"/>
      <c r="BQ938" s="334"/>
      <c r="BR938" s="334"/>
      <c r="BS938" s="334"/>
    </row>
    <row r="939" spans="52:71" x14ac:dyDescent="0.25">
      <c r="AZ939" s="334"/>
      <c r="BB939" s="334"/>
      <c r="BC939" s="334"/>
      <c r="BD939" s="334"/>
      <c r="BG939" s="334"/>
      <c r="BH939" s="334"/>
      <c r="BI939" s="334"/>
      <c r="BJ939" s="334"/>
      <c r="BK939" s="334"/>
      <c r="BL939" s="334"/>
      <c r="BM939" s="334"/>
      <c r="BN939" s="334"/>
      <c r="BO939" s="334"/>
      <c r="BP939" s="334"/>
      <c r="BQ939" s="334"/>
      <c r="BR939" s="334"/>
      <c r="BS939" s="334"/>
    </row>
    <row r="940" spans="52:71" x14ac:dyDescent="0.25">
      <c r="AZ940" s="334"/>
      <c r="BB940" s="334"/>
      <c r="BC940" s="334"/>
      <c r="BD940" s="334"/>
      <c r="BG940" s="334"/>
      <c r="BH940" s="334"/>
      <c r="BI940" s="334"/>
      <c r="BJ940" s="334"/>
      <c r="BK940" s="334"/>
      <c r="BL940" s="334"/>
      <c r="BM940" s="334"/>
      <c r="BN940" s="334"/>
      <c r="BO940" s="334"/>
      <c r="BP940" s="334"/>
      <c r="BQ940" s="334"/>
      <c r="BR940" s="334"/>
      <c r="BS940" s="334"/>
    </row>
    <row r="941" spans="52:71" x14ac:dyDescent="0.25">
      <c r="AZ941" s="334"/>
      <c r="BB941" s="334"/>
      <c r="BC941" s="334"/>
      <c r="BD941" s="334"/>
      <c r="BG941" s="334"/>
      <c r="BH941" s="334"/>
      <c r="BI941" s="334"/>
      <c r="BJ941" s="334"/>
      <c r="BK941" s="334"/>
      <c r="BL941" s="334"/>
      <c r="BM941" s="334"/>
      <c r="BN941" s="334"/>
      <c r="BO941" s="334"/>
      <c r="BP941" s="334"/>
      <c r="BQ941" s="334"/>
      <c r="BR941" s="334"/>
      <c r="BS941" s="334"/>
    </row>
    <row r="942" spans="52:71" x14ac:dyDescent="0.25">
      <c r="AZ942" s="334"/>
      <c r="BB942" s="334"/>
      <c r="BC942" s="334"/>
      <c r="BD942" s="334"/>
      <c r="BG942" s="334"/>
      <c r="BH942" s="334"/>
      <c r="BI942" s="334"/>
      <c r="BJ942" s="334"/>
      <c r="BK942" s="334"/>
      <c r="BL942" s="334"/>
      <c r="BM942" s="334"/>
      <c r="BN942" s="334"/>
      <c r="BO942" s="334"/>
      <c r="BP942" s="334"/>
      <c r="BQ942" s="334"/>
      <c r="BR942" s="334"/>
      <c r="BS942" s="334"/>
    </row>
    <row r="943" spans="52:71" x14ac:dyDescent="0.25">
      <c r="AZ943" s="334"/>
      <c r="BG943" s="334"/>
      <c r="BH943" s="334"/>
      <c r="BI943" s="334"/>
      <c r="BJ943" s="334"/>
      <c r="BK943" s="334"/>
      <c r="BL943" s="334"/>
      <c r="BM943" s="334"/>
      <c r="BN943" s="334"/>
      <c r="BO943" s="334"/>
      <c r="BP943" s="334"/>
      <c r="BQ943" s="334"/>
      <c r="BR943" s="334"/>
      <c r="BS943" s="334"/>
    </row>
    <row r="944" spans="52:71" x14ac:dyDescent="0.25">
      <c r="AZ944" s="334"/>
      <c r="BG944" s="334"/>
      <c r="BH944" s="334"/>
      <c r="BI944" s="334"/>
      <c r="BJ944" s="334"/>
      <c r="BK944" s="334"/>
      <c r="BL944" s="334"/>
      <c r="BM944" s="334"/>
      <c r="BN944" s="334"/>
      <c r="BO944" s="334"/>
      <c r="BP944" s="334"/>
      <c r="BQ944" s="334"/>
      <c r="BR944" s="334"/>
      <c r="BS944" s="334"/>
    </row>
    <row r="945" spans="52:71" x14ac:dyDescent="0.25">
      <c r="AZ945" s="334"/>
      <c r="BG945" s="334"/>
      <c r="BH945" s="334"/>
      <c r="BI945" s="334"/>
      <c r="BJ945" s="334"/>
      <c r="BK945" s="334"/>
      <c r="BL945" s="334"/>
      <c r="BM945" s="334"/>
      <c r="BN945" s="334"/>
      <c r="BO945" s="334"/>
      <c r="BP945" s="334"/>
      <c r="BQ945" s="334"/>
      <c r="BR945" s="334"/>
      <c r="BS945" s="334"/>
    </row>
    <row r="946" spans="52:71" x14ac:dyDescent="0.25">
      <c r="AZ946" s="334"/>
      <c r="BG946" s="334"/>
      <c r="BH946" s="334"/>
      <c r="BI946" s="334"/>
      <c r="BJ946" s="334"/>
      <c r="BK946" s="334"/>
      <c r="BL946" s="334"/>
      <c r="BM946" s="334"/>
      <c r="BN946" s="334"/>
      <c r="BO946" s="334"/>
      <c r="BP946" s="334"/>
      <c r="BQ946" s="334"/>
      <c r="BR946" s="334"/>
      <c r="BS946" s="334"/>
    </row>
    <row r="947" spans="52:71" x14ac:dyDescent="0.25">
      <c r="AZ947" s="334"/>
      <c r="BG947" s="334"/>
      <c r="BH947" s="334"/>
      <c r="BI947" s="334"/>
      <c r="BJ947" s="334"/>
      <c r="BK947" s="334"/>
      <c r="BL947" s="334"/>
      <c r="BM947" s="334"/>
      <c r="BN947" s="334"/>
      <c r="BO947" s="334"/>
      <c r="BP947" s="334"/>
      <c r="BQ947" s="334"/>
      <c r="BR947" s="334"/>
      <c r="BS947" s="334"/>
    </row>
    <row r="948" spans="52:71" x14ac:dyDescent="0.25">
      <c r="AZ948" s="334"/>
      <c r="BG948" s="334"/>
      <c r="BH948" s="334"/>
      <c r="BI948" s="334"/>
      <c r="BJ948" s="334"/>
      <c r="BK948" s="334"/>
      <c r="BL948" s="334"/>
      <c r="BM948" s="334"/>
      <c r="BN948" s="334"/>
      <c r="BO948" s="334"/>
      <c r="BP948" s="334"/>
      <c r="BQ948" s="334"/>
      <c r="BR948" s="334"/>
      <c r="BS948" s="334"/>
    </row>
    <row r="949" spans="52:71" x14ac:dyDescent="0.25">
      <c r="AZ949" s="334"/>
      <c r="BG949" s="334"/>
      <c r="BH949" s="334"/>
      <c r="BI949" s="334"/>
      <c r="BJ949" s="334"/>
      <c r="BK949" s="334"/>
      <c r="BL949" s="334"/>
      <c r="BM949" s="334"/>
      <c r="BN949" s="334"/>
      <c r="BO949" s="334"/>
      <c r="BP949" s="334"/>
      <c r="BQ949" s="334"/>
      <c r="BR949" s="334"/>
      <c r="BS949" s="334"/>
    </row>
    <row r="950" spans="52:71" x14ac:dyDescent="0.25">
      <c r="AZ950" s="334"/>
    </row>
    <row r="951" spans="52:71" x14ac:dyDescent="0.25">
      <c r="AZ951" s="334"/>
    </row>
    <row r="965" spans="1:28" x14ac:dyDescent="0.25">
      <c r="A965" s="154"/>
    </row>
    <row r="968" spans="1:28" x14ac:dyDescent="0.25">
      <c r="Y968" s="154"/>
    </row>
    <row r="969" spans="1:28" x14ac:dyDescent="0.25">
      <c r="A969" s="154"/>
      <c r="H969" s="154"/>
      <c r="I969" s="154"/>
    </row>
    <row r="970" spans="1:28" x14ac:dyDescent="0.25">
      <c r="A970" s="154"/>
      <c r="V970" s="103"/>
      <c r="AA970" s="103"/>
      <c r="AB970" s="103"/>
    </row>
    <row r="971" spans="1:28" x14ac:dyDescent="0.25">
      <c r="A971" s="154"/>
      <c r="V971" s="102"/>
      <c r="AA971" s="102"/>
      <c r="AB971" s="102"/>
    </row>
    <row r="972" spans="1:28" x14ac:dyDescent="0.25">
      <c r="A972" s="154"/>
      <c r="U972" s="154"/>
      <c r="AA972" s="103"/>
      <c r="AB972" s="103"/>
    </row>
    <row r="973" spans="1:28" x14ac:dyDescent="0.25">
      <c r="A973" s="154"/>
    </row>
    <row r="974" spans="1:28" x14ac:dyDescent="0.25">
      <c r="A974" s="154"/>
      <c r="U974" s="154"/>
      <c r="AA974" s="103"/>
      <c r="AB974" s="103"/>
    </row>
    <row r="975" spans="1:28" x14ac:dyDescent="0.25">
      <c r="A975" s="154"/>
    </row>
    <row r="976" spans="1:28" x14ac:dyDescent="0.25">
      <c r="A976" s="154"/>
      <c r="U976" s="154"/>
      <c r="V976" s="338"/>
      <c r="AA976" s="103"/>
      <c r="AB976" s="103"/>
    </row>
    <row r="977" spans="1:28" x14ac:dyDescent="0.25">
      <c r="A977" s="154"/>
    </row>
    <row r="978" spans="1:28" x14ac:dyDescent="0.25">
      <c r="A978" s="154"/>
      <c r="U978" s="154"/>
      <c r="AA978" s="103"/>
      <c r="AB978" s="103"/>
    </row>
    <row r="979" spans="1:28" x14ac:dyDescent="0.25">
      <c r="A979" s="154"/>
    </row>
    <row r="980" spans="1:28" x14ac:dyDescent="0.25">
      <c r="A980" s="154"/>
      <c r="U980" s="154"/>
      <c r="AA980" s="103"/>
      <c r="AB980" s="103"/>
    </row>
    <row r="981" spans="1:28" x14ac:dyDescent="0.25">
      <c r="A981" s="154"/>
    </row>
    <row r="982" spans="1:28" x14ac:dyDescent="0.25">
      <c r="A982" s="154"/>
    </row>
    <row r="983" spans="1:28" x14ac:dyDescent="0.25">
      <c r="A983" s="154"/>
    </row>
    <row r="984" spans="1:28" x14ac:dyDescent="0.25">
      <c r="A984" s="154"/>
    </row>
    <row r="985" spans="1:28" x14ac:dyDescent="0.25">
      <c r="A985" s="154"/>
    </row>
    <row r="986" spans="1:28" x14ac:dyDescent="0.25">
      <c r="A986" s="154"/>
    </row>
    <row r="987" spans="1:28" x14ac:dyDescent="0.25">
      <c r="A987" s="154"/>
    </row>
    <row r="988" spans="1:28" x14ac:dyDescent="0.25">
      <c r="A988" s="154"/>
    </row>
    <row r="989" spans="1:28" x14ac:dyDescent="0.25">
      <c r="A989" s="154"/>
    </row>
    <row r="990" spans="1:28" x14ac:dyDescent="0.25">
      <c r="A990" s="154"/>
    </row>
    <row r="991" spans="1:28" x14ac:dyDescent="0.25">
      <c r="A991" s="154"/>
      <c r="H991" s="154"/>
      <c r="I991" s="154"/>
    </row>
    <row r="994" spans="1:1" x14ac:dyDescent="0.25">
      <c r="A994" s="154"/>
    </row>
    <row r="997" spans="1:1" x14ac:dyDescent="0.25">
      <c r="A997" s="154"/>
    </row>
    <row r="1000" spans="1:1" x14ac:dyDescent="0.25">
      <c r="A1000" s="154"/>
    </row>
    <row r="1001" spans="1:1" x14ac:dyDescent="0.25">
      <c r="A1001" s="154"/>
    </row>
    <row r="1002" spans="1:1" x14ac:dyDescent="0.25">
      <c r="A1002" s="154"/>
    </row>
    <row r="1003" spans="1:1" x14ac:dyDescent="0.25">
      <c r="A1003" s="154"/>
    </row>
    <row r="1004" spans="1:1" x14ac:dyDescent="0.25">
      <c r="A1004" s="154"/>
    </row>
    <row r="1005" spans="1:1" x14ac:dyDescent="0.25">
      <c r="A1005" s="154"/>
    </row>
    <row r="1006" spans="1:1" x14ac:dyDescent="0.25">
      <c r="A1006" s="154"/>
    </row>
    <row r="1007" spans="1:1" x14ac:dyDescent="0.25">
      <c r="A1007" s="154"/>
    </row>
    <row r="1008" spans="1:1" x14ac:dyDescent="0.25">
      <c r="A1008" s="154"/>
    </row>
    <row r="1009" spans="1:1" x14ac:dyDescent="0.25">
      <c r="A1009" s="154"/>
    </row>
    <row r="1010" spans="1:1" x14ac:dyDescent="0.25">
      <c r="A1010" s="154"/>
    </row>
    <row r="1011" spans="1:1" x14ac:dyDescent="0.25">
      <c r="A1011" s="154"/>
    </row>
    <row r="1012" spans="1:1" x14ac:dyDescent="0.25">
      <c r="A1012" s="154"/>
    </row>
    <row r="1013" spans="1:1" x14ac:dyDescent="0.25">
      <c r="A1013" s="154"/>
    </row>
    <row r="1014" spans="1:1" x14ac:dyDescent="0.25">
      <c r="A1014" s="154"/>
    </row>
    <row r="1015" spans="1:1" x14ac:dyDescent="0.25">
      <c r="A1015" s="154"/>
    </row>
    <row r="1016" spans="1:1" x14ac:dyDescent="0.25">
      <c r="A1016" s="154"/>
    </row>
    <row r="1017" spans="1:1" x14ac:dyDescent="0.25">
      <c r="A1017" s="154"/>
    </row>
    <row r="1018" spans="1:1" x14ac:dyDescent="0.25">
      <c r="A1018" s="154"/>
    </row>
    <row r="1019" spans="1:1" x14ac:dyDescent="0.25">
      <c r="A1019" s="154"/>
    </row>
    <row r="1020" spans="1:1" x14ac:dyDescent="0.25">
      <c r="A1020" s="154"/>
    </row>
    <row r="1021" spans="1:1" x14ac:dyDescent="0.25">
      <c r="A1021" s="154"/>
    </row>
    <row r="1022" spans="1:1" x14ac:dyDescent="0.25">
      <c r="A1022" s="154"/>
    </row>
    <row r="1023" spans="1:1" x14ac:dyDescent="0.25">
      <c r="A1023" s="154"/>
    </row>
    <row r="1024" spans="1:1" x14ac:dyDescent="0.25">
      <c r="A1024" s="154"/>
    </row>
    <row r="1025" spans="1:1" x14ac:dyDescent="0.25">
      <c r="A1025" s="154"/>
    </row>
    <row r="1026" spans="1:1" x14ac:dyDescent="0.25">
      <c r="A1026" s="154"/>
    </row>
    <row r="1027" spans="1:1" x14ac:dyDescent="0.25">
      <c r="A1027" s="154"/>
    </row>
    <row r="1028" spans="1:1" x14ac:dyDescent="0.25">
      <c r="A1028" s="154"/>
    </row>
    <row r="1029" spans="1:1" x14ac:dyDescent="0.25">
      <c r="A1029" s="154"/>
    </row>
    <row r="1030" spans="1:1" x14ac:dyDescent="0.25">
      <c r="A1030" s="154"/>
    </row>
    <row r="1031" spans="1:1" x14ac:dyDescent="0.25">
      <c r="A1031" s="154"/>
    </row>
    <row r="1032" spans="1:1" x14ac:dyDescent="0.25">
      <c r="A1032" s="154"/>
    </row>
    <row r="1033" spans="1:1" x14ac:dyDescent="0.25">
      <c r="A1033" s="154"/>
    </row>
    <row r="1034" spans="1:1" x14ac:dyDescent="0.25">
      <c r="A1034" s="154"/>
    </row>
    <row r="1039" spans="1:1" x14ac:dyDescent="0.25">
      <c r="A1039" s="154"/>
    </row>
    <row r="1040" spans="1:1" x14ac:dyDescent="0.25">
      <c r="A1040" s="154"/>
    </row>
    <row r="1043" spans="1:1" x14ac:dyDescent="0.25">
      <c r="A1043" s="154"/>
    </row>
    <row r="1045" spans="1:1" x14ac:dyDescent="0.25">
      <c r="A1045" s="154"/>
    </row>
    <row r="1047" spans="1:1" x14ac:dyDescent="0.25">
      <c r="A1047" s="154"/>
    </row>
    <row r="1049" spans="1:1" x14ac:dyDescent="0.25">
      <c r="A1049" s="154"/>
    </row>
    <row r="1052" spans="1:1" x14ac:dyDescent="0.25">
      <c r="A1052" s="154"/>
    </row>
    <row r="1053" spans="1:1" x14ac:dyDescent="0.25">
      <c r="A1053" s="154"/>
    </row>
    <row r="1054" spans="1:1" x14ac:dyDescent="0.25">
      <c r="A1054" s="154"/>
    </row>
    <row r="1055" spans="1:1" x14ac:dyDescent="0.25">
      <c r="A1055" s="154"/>
    </row>
    <row r="1056" spans="1:1" x14ac:dyDescent="0.25">
      <c r="A1056" s="154"/>
    </row>
    <row r="1057" spans="1:1" x14ac:dyDescent="0.25">
      <c r="A1057" s="154"/>
    </row>
    <row r="1058" spans="1:1" x14ac:dyDescent="0.25">
      <c r="A1058" s="154"/>
    </row>
    <row r="1059" spans="1:1" x14ac:dyDescent="0.25">
      <c r="A1059" s="1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1"/>
      <headerFooter alignWithMargins="0"/>
    </customSheetView>
    <customSheetView guid="{0C49E549-011E-46F4-A82E-2CC8951A9C1E}" scale="75" fitToPage="1" showRuler="0">
      <selection activeCell="N8" sqref="N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2"/>
      <headerFooter alignWithMargins="0"/>
    </customSheetView>
    <customSheetView guid="{4BC93440-BA85-4935-A8C9-66DC6AE5DE5E}" scale="75" fitToPage="1" showRuler="0" topLeftCell="Z53">
      <selection activeCell="AM71" sqref="AM7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3"/>
      <headerFooter alignWithMargins="0"/>
    </customSheetView>
    <customSheetView guid="{2431C9E5-7CC2-4B8D-99C3-962247B1DBF5}" scale="75" fitToPage="1" showRuler="0" topLeftCell="Z53">
      <selection activeCell="AM71" sqref="AM7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4"/>
      <headerFooter alignWithMargins="0"/>
    </customSheetView>
    <customSheetView guid="{2EA35095-1ADC-4CC7-8C3C-B487D65FA247}" scale="75" fitToPage="1" showRuler="0">
      <selection sqref="A1:R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5"/>
      <headerFooter alignWithMargins="0"/>
    </customSheetView>
    <customSheetView guid="{8FC77C99-DBF7-40B8-99B8-01B75826CDCB}" scale="75" fitToPage="1" showRuler="0">
      <selection activeCell="N8" sqref="N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7"/>
      <headerFooter alignWithMargins="0"/>
    </customSheetView>
    <customSheetView guid="{6B3D5C27-2FDE-4561-9575-1E98BFB869D0}" scale="75" fitToPage="1" showRuler="0">
      <selection sqref="A1:R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8"/>
      <headerFooter alignWithMargins="0"/>
    </customSheetView>
    <customSheetView guid="{0BC1F393-8A13-47D5-BC6C-0C99615B5AB9}" scale="75" fitToPage="1" showRuler="0">
      <selection sqref="A1:R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9"/>
      <headerFooter alignWithMargins="0"/>
    </customSheetView>
    <customSheetView guid="{18BDED73-BFA0-442E-87EC-CED86EE4CF94}" scale="75" fitToPage="1" showRuler="0">
      <selection activeCell="J29" sqref="J2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10"/>
      <headerFooter alignWithMargins="0"/>
    </customSheetView>
    <customSheetView guid="{35F19056-2E6F-4935-B863-78836FE990BF}" scale="75" fitToPage="1" showRuler="0">
      <selection activeCell="J29" sqref="J2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1"/>
      <headerFooter alignWithMargins="0"/>
    </customSheetView>
    <customSheetView guid="{F562D92E-120C-4AE9-9663-89E64D41DC53}" scale="75" fitToPage="1">
      <selection activeCell="J29" sqref="J2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23"/>
  <dimension ref="A1:BW1063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7.6640625" style="101" customWidth="1"/>
    <col min="4" max="4" width="38.109375" style="101" customWidth="1"/>
    <col min="5" max="5" width="0.66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1.218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19.3320312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8.109375" style="101" customWidth="1"/>
    <col min="23" max="23" width="38.109375" style="101" customWidth="1"/>
    <col min="24" max="24" width="0.664062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3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762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M9" s="82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8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M10" s="82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87"/>
      <c r="M11" s="187"/>
      <c r="N11" s="150"/>
      <c r="O11" s="150"/>
      <c r="P11" s="150"/>
      <c r="Q11" s="150"/>
      <c r="R11" s="187"/>
      <c r="AK11" s="297"/>
      <c r="AL11" s="154"/>
    </row>
    <row r="12" spans="1:40" x14ac:dyDescent="0.25">
      <c r="A12" s="151"/>
      <c r="B12" s="151"/>
      <c r="C12" s="151"/>
      <c r="D12" s="151"/>
      <c r="E12" s="151"/>
      <c r="F12" s="80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AA12" s="154"/>
      <c r="AB12" s="154"/>
      <c r="AK12" s="209"/>
      <c r="AL12" s="202"/>
    </row>
    <row r="13" spans="1:40" ht="18" customHeight="1" x14ac:dyDescent="0.25">
      <c r="A13" s="152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93" t="s">
        <v>6</v>
      </c>
      <c r="M13" s="193"/>
      <c r="N13" s="193" t="s">
        <v>7</v>
      </c>
      <c r="O13" s="193"/>
      <c r="P13" s="152"/>
      <c r="Q13" s="152"/>
      <c r="R13" s="193" t="s">
        <v>6</v>
      </c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208"/>
      <c r="AH13" s="102"/>
      <c r="AI13" s="102"/>
      <c r="AJ13" s="102"/>
      <c r="AK13" s="208"/>
      <c r="AL13" s="102"/>
      <c r="AM13" s="102"/>
      <c r="AN13" s="102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Z15" s="103"/>
      <c r="AA15" s="103"/>
      <c r="AB15" s="103"/>
      <c r="AC15" s="103"/>
      <c r="AD15" s="103"/>
      <c r="AE15" s="103"/>
      <c r="AF15" s="103"/>
      <c r="AG15" s="185"/>
      <c r="AH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475</v>
      </c>
      <c r="Q16" s="83"/>
      <c r="R16" s="256" t="s">
        <v>30</v>
      </c>
      <c r="T16" s="103"/>
      <c r="U16" s="103"/>
      <c r="V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H18" s="390"/>
      <c r="I18" s="390"/>
      <c r="J18" s="390"/>
      <c r="T18" s="103"/>
      <c r="U18" s="103"/>
      <c r="V18" s="103"/>
      <c r="Y18" s="103"/>
      <c r="Z18" s="103"/>
      <c r="AA18" s="103"/>
      <c r="AB18" s="103"/>
      <c r="AC18" s="103"/>
      <c r="AD18" s="103"/>
      <c r="AE18" s="103"/>
      <c r="AF18" s="103"/>
      <c r="AG18" s="185"/>
      <c r="AH18" s="103"/>
      <c r="AI18" s="103"/>
      <c r="AJ18" s="103"/>
      <c r="AK18" s="185"/>
      <c r="AL18" s="103"/>
      <c r="AM18" s="103"/>
      <c r="AN18" s="103"/>
    </row>
    <row r="19" spans="1:40" ht="17.100000000000001" customHeight="1" x14ac:dyDescent="0.25">
      <c r="A19" s="152"/>
      <c r="B19" s="152"/>
      <c r="C19" s="152"/>
      <c r="D19" s="152"/>
      <c r="E19" s="152"/>
      <c r="F19" s="152"/>
      <c r="G19" s="152"/>
      <c r="H19" s="260" t="s">
        <v>51</v>
      </c>
      <c r="I19" s="259"/>
      <c r="J19" s="260" t="s">
        <v>418</v>
      </c>
      <c r="K19" s="376"/>
      <c r="L19" s="376" t="s">
        <v>52</v>
      </c>
      <c r="M19" s="376"/>
      <c r="N19" s="376" t="s">
        <v>53</v>
      </c>
      <c r="O19" s="376"/>
      <c r="P19" s="376" t="s">
        <v>52</v>
      </c>
      <c r="Q19" s="376"/>
      <c r="R19" s="376" t="s">
        <v>52</v>
      </c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208"/>
      <c r="AH19" s="102"/>
      <c r="AI19" s="102"/>
      <c r="AJ19" s="102"/>
      <c r="AK19" s="208"/>
      <c r="AL19" s="102"/>
      <c r="AM19" s="102"/>
      <c r="AN19" s="102"/>
    </row>
    <row r="20" spans="1:40" x14ac:dyDescent="0.25">
      <c r="A20" s="159">
        <v>1</v>
      </c>
      <c r="B20" s="80"/>
      <c r="C20" s="253" t="s">
        <v>411</v>
      </c>
      <c r="D20" s="387" t="s">
        <v>415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Y20" s="103"/>
      <c r="Z20" s="103"/>
      <c r="AA20" s="103"/>
      <c r="AB20" s="103"/>
      <c r="AC20" s="103"/>
      <c r="AD20" s="103"/>
      <c r="AE20" s="103"/>
      <c r="AF20" s="103"/>
      <c r="AG20" s="185"/>
      <c r="AH20" s="103"/>
      <c r="AI20" s="103"/>
      <c r="AJ20" s="103"/>
      <c r="AK20" s="185"/>
      <c r="AL20" s="103"/>
      <c r="AM20" s="103"/>
      <c r="AN20" s="103"/>
    </row>
    <row r="21" spans="1:40" x14ac:dyDescent="0.25">
      <c r="A21" s="159">
        <v>2</v>
      </c>
      <c r="B21" s="80"/>
      <c r="C21" s="253"/>
      <c r="D21" s="258" t="s">
        <v>416</v>
      </c>
      <c r="E21" s="8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154"/>
      <c r="U21" s="154"/>
    </row>
    <row r="22" spans="1:40" ht="22.5" customHeight="1" x14ac:dyDescent="0.25">
      <c r="A22" s="159"/>
      <c r="B22" s="80"/>
      <c r="C22" s="82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T22" s="154"/>
      <c r="U22" s="154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T23" s="154"/>
      <c r="U23" s="154"/>
    </row>
    <row r="24" spans="1:40" x14ac:dyDescent="0.25">
      <c r="A24" s="159">
        <v>4</v>
      </c>
      <c r="B24" s="80"/>
      <c r="C24" s="82" t="s">
        <v>417</v>
      </c>
      <c r="D24" s="80"/>
      <c r="E24" s="80"/>
      <c r="F24" s="252">
        <v>24</v>
      </c>
      <c r="G24" s="70"/>
      <c r="H24" s="78"/>
      <c r="I24" s="78"/>
      <c r="J24" s="283">
        <f>INPUT!D153</f>
        <v>183</v>
      </c>
      <c r="K24" s="284"/>
      <c r="L24" s="167">
        <f>ROUND(F24*J24,0)</f>
        <v>4392</v>
      </c>
      <c r="M24" s="79"/>
      <c r="N24" s="341">
        <f>ROUND((L24/$L$41)*100,1)</f>
        <v>0.9</v>
      </c>
      <c r="O24" s="156"/>
      <c r="P24" s="167"/>
      <c r="Q24" s="302"/>
      <c r="R24" s="167">
        <f>L24+P24</f>
        <v>4392</v>
      </c>
    </row>
    <row r="25" spans="1:40" ht="20.100000000000001" customHeight="1" x14ac:dyDescent="0.25">
      <c r="A25" s="159">
        <v>5</v>
      </c>
      <c r="B25" s="80"/>
      <c r="C25" s="253" t="s">
        <v>158</v>
      </c>
      <c r="D25" s="80"/>
      <c r="E25" s="80"/>
      <c r="F25" s="230"/>
      <c r="G25" s="70"/>
      <c r="H25" s="78"/>
      <c r="I25" s="78"/>
      <c r="J25" s="283"/>
      <c r="K25" s="284"/>
      <c r="L25" s="169">
        <f>SUM(L24)</f>
        <v>4392</v>
      </c>
      <c r="M25" s="79"/>
      <c r="N25" s="341">
        <f>ROUND((L25/$L$41)*100,1)</f>
        <v>0.9</v>
      </c>
      <c r="O25" s="156"/>
      <c r="P25" s="169"/>
      <c r="Q25" s="302"/>
      <c r="R25" s="169">
        <f>SUM(R24)</f>
        <v>4392</v>
      </c>
    </row>
    <row r="26" spans="1:40" ht="25.5" customHeight="1" x14ac:dyDescent="0.25">
      <c r="A26" s="159"/>
      <c r="B26" s="80"/>
      <c r="C26" s="82"/>
      <c r="D26" s="80"/>
      <c r="E26" s="80"/>
      <c r="F26" s="230"/>
      <c r="G26" s="70"/>
      <c r="H26" s="78"/>
      <c r="I26" s="78"/>
      <c r="J26" s="283"/>
      <c r="K26" s="284"/>
      <c r="L26" s="163"/>
      <c r="M26" s="79"/>
      <c r="N26" s="198"/>
      <c r="O26" s="156"/>
      <c r="P26" s="163"/>
      <c r="Q26" s="302"/>
      <c r="R26" s="163"/>
    </row>
    <row r="27" spans="1:40" x14ac:dyDescent="0.25">
      <c r="A27" s="159">
        <v>6</v>
      </c>
      <c r="B27" s="80"/>
      <c r="C27" s="253" t="s">
        <v>69</v>
      </c>
      <c r="D27" s="80"/>
      <c r="E27" s="80"/>
      <c r="F27" s="163"/>
      <c r="G27" s="70"/>
      <c r="H27" s="79"/>
      <c r="I27" s="79"/>
      <c r="J27" s="310"/>
      <c r="K27" s="263"/>
      <c r="L27" s="79"/>
      <c r="M27" s="79"/>
      <c r="N27" s="156"/>
      <c r="O27" s="156"/>
      <c r="P27" s="79"/>
      <c r="Q27" s="79"/>
      <c r="R27" s="79"/>
      <c r="S27" s="200"/>
      <c r="T27" s="154"/>
      <c r="AA27" s="200"/>
      <c r="AB27" s="200"/>
      <c r="AC27" s="200"/>
      <c r="AD27" s="200"/>
      <c r="AI27" s="200"/>
      <c r="AJ27" s="200"/>
      <c r="AK27" s="209"/>
      <c r="AL27" s="200"/>
    </row>
    <row r="28" spans="1:40" x14ac:dyDescent="0.25">
      <c r="A28" s="159">
        <v>7</v>
      </c>
      <c r="B28" s="80"/>
      <c r="C28" s="82" t="s">
        <v>494</v>
      </c>
      <c r="D28" s="80"/>
      <c r="E28" s="80"/>
      <c r="F28" s="163"/>
      <c r="G28" s="70"/>
      <c r="H28" s="225">
        <v>12915280</v>
      </c>
      <c r="I28" s="79"/>
      <c r="J28" s="308">
        <f>INPUT!D157</f>
        <v>6.4720000000000003E-3</v>
      </c>
      <c r="K28" s="263"/>
      <c r="L28" s="163">
        <f>ROUND((H28*J28),0)</f>
        <v>83588</v>
      </c>
      <c r="M28" s="163"/>
      <c r="N28" s="198">
        <f>ROUND((L28/$L$41)*100,1)</f>
        <v>18.100000000000001</v>
      </c>
      <c r="O28" s="198"/>
      <c r="P28" s="163"/>
      <c r="Q28" s="163"/>
      <c r="R28" s="163">
        <f>L28+P28</f>
        <v>83588</v>
      </c>
      <c r="S28" s="200"/>
      <c r="T28" s="154"/>
      <c r="AA28" s="200"/>
      <c r="AB28" s="200"/>
      <c r="AC28" s="200"/>
      <c r="AD28" s="200"/>
      <c r="AI28" s="200"/>
      <c r="AJ28" s="200"/>
      <c r="AK28" s="209"/>
      <c r="AL28" s="200"/>
    </row>
    <row r="29" spans="1:40" x14ac:dyDescent="0.25">
      <c r="A29" s="159">
        <v>8</v>
      </c>
      <c r="B29" s="80"/>
      <c r="C29" s="82" t="s">
        <v>419</v>
      </c>
      <c r="D29" s="80"/>
      <c r="E29" s="80"/>
      <c r="F29" s="163"/>
      <c r="G29" s="70"/>
      <c r="H29" s="230">
        <f>H28</f>
        <v>12915280</v>
      </c>
      <c r="I29" s="230"/>
      <c r="J29" s="393">
        <f>INPUT!D161</f>
        <v>0</v>
      </c>
      <c r="K29" s="357"/>
      <c r="L29" s="163">
        <f>ROUND((H29*J29),0)</f>
        <v>0</v>
      </c>
      <c r="M29" s="163"/>
      <c r="N29" s="198">
        <f>ROUND((L29/$L$41)*100,1)</f>
        <v>0</v>
      </c>
      <c r="O29" s="198"/>
      <c r="P29" s="163"/>
      <c r="Q29" s="163"/>
      <c r="R29" s="163">
        <f>L29+P29</f>
        <v>0</v>
      </c>
      <c r="Z29" s="202"/>
    </row>
    <row r="30" spans="1:40" x14ac:dyDescent="0.25">
      <c r="A30" s="159">
        <v>9</v>
      </c>
      <c r="B30" s="80"/>
      <c r="C30" s="82" t="s">
        <v>480</v>
      </c>
      <c r="D30" s="80"/>
      <c r="E30" s="80"/>
      <c r="F30" s="163"/>
      <c r="G30" s="70"/>
      <c r="H30" s="230">
        <f>H29</f>
        <v>12915280</v>
      </c>
      <c r="I30" s="230"/>
      <c r="J30" s="393">
        <f>INPUT!D165</f>
        <v>2.9267999999999999E-2</v>
      </c>
      <c r="K30" s="357"/>
      <c r="L30" s="163">
        <f>ROUND((H30*J30),0)</f>
        <v>378004</v>
      </c>
      <c r="M30" s="163"/>
      <c r="N30" s="341">
        <f>ROUND((L30/$L$41)*100,1)+0.1</f>
        <v>81.8</v>
      </c>
      <c r="O30" s="198"/>
      <c r="P30" s="200">
        <v>0</v>
      </c>
      <c r="Q30" s="163"/>
      <c r="R30" s="163">
        <f>L30+P30</f>
        <v>378004</v>
      </c>
      <c r="Z30" s="202"/>
    </row>
    <row r="31" spans="1:40" ht="20.100000000000001" customHeight="1" x14ac:dyDescent="0.25">
      <c r="A31" s="159">
        <v>10</v>
      </c>
      <c r="B31" s="80"/>
      <c r="C31" s="253" t="s">
        <v>164</v>
      </c>
      <c r="D31" s="80"/>
      <c r="E31" s="80"/>
      <c r="F31" s="167"/>
      <c r="G31" s="70"/>
      <c r="H31" s="169">
        <f>H29</f>
        <v>12915280</v>
      </c>
      <c r="I31" s="79"/>
      <c r="J31" s="347"/>
      <c r="K31" s="268"/>
      <c r="L31" s="169">
        <f>SUM(L28:L30)</f>
        <v>461592</v>
      </c>
      <c r="M31" s="79"/>
      <c r="N31" s="341">
        <f>ROUND((L31/$L$41)*100,1)+0.1</f>
        <v>99.899999999999991</v>
      </c>
      <c r="O31" s="156"/>
      <c r="P31" s="169">
        <f>P30</f>
        <v>0</v>
      </c>
      <c r="Q31" s="79"/>
      <c r="R31" s="169">
        <f>SUM(R28:R30)</f>
        <v>461592</v>
      </c>
    </row>
    <row r="32" spans="1:40" ht="20.100000000000001" customHeight="1" x14ac:dyDescent="0.25">
      <c r="A32" s="159">
        <v>11</v>
      </c>
      <c r="B32" s="80"/>
      <c r="C32" s="265" t="s">
        <v>583</v>
      </c>
      <c r="D32" s="80"/>
      <c r="E32" s="80"/>
      <c r="F32" s="169">
        <f>F24</f>
        <v>24</v>
      </c>
      <c r="G32" s="70"/>
      <c r="H32" s="169">
        <f>H31</f>
        <v>12915280</v>
      </c>
      <c r="I32" s="79"/>
      <c r="J32" s="347"/>
      <c r="K32" s="268"/>
      <c r="L32" s="169">
        <f>L31+L25</f>
        <v>465984</v>
      </c>
      <c r="M32" s="79"/>
      <c r="N32" s="303">
        <f>ROUND((L32/$L$41)*100,1)</f>
        <v>100.8</v>
      </c>
      <c r="O32" s="156"/>
      <c r="P32" s="169">
        <f>SUM(P31+P25)</f>
        <v>0</v>
      </c>
      <c r="Q32" s="79"/>
      <c r="R32" s="169">
        <f>R31+R25</f>
        <v>465984</v>
      </c>
    </row>
    <row r="33" spans="1:47" ht="15.75" customHeight="1" x14ac:dyDescent="0.25">
      <c r="A33" s="159"/>
      <c r="B33" s="80"/>
      <c r="C33" s="82"/>
      <c r="D33" s="80"/>
      <c r="E33" s="80"/>
      <c r="F33" s="163"/>
      <c r="G33" s="70"/>
      <c r="H33" s="163"/>
      <c r="I33" s="79"/>
      <c r="J33" s="347"/>
      <c r="K33" s="268"/>
      <c r="L33" s="163"/>
      <c r="M33" s="79"/>
      <c r="N33" s="198"/>
      <c r="O33" s="156"/>
      <c r="P33" s="163"/>
      <c r="Q33" s="79"/>
      <c r="R33" s="163"/>
    </row>
    <row r="34" spans="1:47" ht="15.75" customHeight="1" x14ac:dyDescent="0.25">
      <c r="A34" s="159">
        <v>12</v>
      </c>
      <c r="B34" s="80"/>
      <c r="C34" s="253" t="s">
        <v>553</v>
      </c>
      <c r="D34" s="80"/>
      <c r="E34" s="80"/>
      <c r="F34" s="163"/>
      <c r="G34" s="70"/>
      <c r="H34" s="163"/>
      <c r="I34" s="79"/>
      <c r="J34" s="347"/>
      <c r="K34" s="268"/>
      <c r="L34" s="163"/>
      <c r="M34" s="79"/>
      <c r="N34" s="198"/>
      <c r="O34" s="156"/>
      <c r="P34" s="163"/>
      <c r="Q34" s="79"/>
      <c r="R34" s="163"/>
    </row>
    <row r="35" spans="1:47" ht="15.75" customHeight="1" x14ac:dyDescent="0.25">
      <c r="A35" s="159">
        <v>13</v>
      </c>
      <c r="B35" s="80"/>
      <c r="C35" s="153" t="str">
        <f>DSMR_Name</f>
        <v>DEMAND SIDE MANAGEMENT RIDER (DSMR)</v>
      </c>
      <c r="D35" s="80"/>
      <c r="E35" s="80"/>
      <c r="F35" s="163"/>
      <c r="G35" s="70"/>
      <c r="H35" s="163"/>
      <c r="I35" s="79"/>
      <c r="J35" s="295">
        <f>PRO_DSM_TRANS</f>
        <v>1.83E-4</v>
      </c>
      <c r="K35" s="268"/>
      <c r="L35" s="163">
        <f>ROUND($H$32*J35,0)</f>
        <v>2363</v>
      </c>
      <c r="M35" s="79"/>
      <c r="N35" s="197">
        <f>ROUND((L35/$L$41)*100,1)</f>
        <v>0.5</v>
      </c>
      <c r="O35" s="156"/>
      <c r="P35" s="163"/>
      <c r="Q35" s="79"/>
      <c r="R35" s="163">
        <f t="shared" ref="R35:R38" si="0">L35+P35</f>
        <v>2363</v>
      </c>
    </row>
    <row r="36" spans="1:47" ht="15.75" customHeight="1" x14ac:dyDescent="0.25">
      <c r="A36" s="159">
        <v>14</v>
      </c>
      <c r="B36" s="80"/>
      <c r="C36" s="153" t="str">
        <f>ESM_Name</f>
        <v>ENVIRONMENTAL SURCHARGE MECHANISM RIDER (ESM)</v>
      </c>
      <c r="D36" s="80"/>
      <c r="E36" s="80"/>
      <c r="F36" s="163"/>
      <c r="G36" s="70"/>
      <c r="H36" s="163"/>
      <c r="I36" s="79"/>
      <c r="J36" s="295">
        <f>PRO_ESM</f>
        <v>0</v>
      </c>
      <c r="K36" s="268"/>
      <c r="L36" s="163">
        <f>ROUND(R32*J36,0)</f>
        <v>0</v>
      </c>
      <c r="M36" s="79"/>
      <c r="N36" s="197">
        <f t="shared" ref="N36:N37" si="1">ROUND((L36/$L$41)*100,1)</f>
        <v>0</v>
      </c>
      <c r="O36" s="156"/>
      <c r="P36" s="163"/>
      <c r="Q36" s="79"/>
      <c r="R36" s="163">
        <f t="shared" ref="R36:R37" si="2">L36+P36</f>
        <v>0</v>
      </c>
    </row>
    <row r="37" spans="1:47" ht="15.75" customHeight="1" x14ac:dyDescent="0.25">
      <c r="A37" s="159">
        <v>15</v>
      </c>
      <c r="B37" s="80"/>
      <c r="C37" s="153" t="str">
        <f>FTR_Name</f>
        <v>FERC TRANSMISSION COST RECOVERY RECONCILIATION (FTR)</v>
      </c>
      <c r="D37" s="80"/>
      <c r="E37" s="80"/>
      <c r="F37" s="163"/>
      <c r="G37" s="70"/>
      <c r="H37" s="78"/>
      <c r="I37" s="79"/>
      <c r="J37" s="288">
        <f>PRO_FTR_TT</f>
        <v>0</v>
      </c>
      <c r="K37" s="263"/>
      <c r="L37" s="163">
        <f>ROUND(H31*J37,0)</f>
        <v>0</v>
      </c>
      <c r="M37" s="79"/>
      <c r="N37" s="197">
        <f t="shared" si="1"/>
        <v>0</v>
      </c>
      <c r="O37" s="156"/>
      <c r="P37" s="163"/>
      <c r="Q37" s="79"/>
      <c r="R37" s="163">
        <f t="shared" si="2"/>
        <v>0</v>
      </c>
    </row>
    <row r="38" spans="1:47" ht="15.75" customHeight="1" x14ac:dyDescent="0.25">
      <c r="A38" s="159">
        <v>16</v>
      </c>
      <c r="B38" s="80"/>
      <c r="C38" s="153" t="str">
        <f>PSM_Name</f>
        <v>PROFIT SHARING MECHANISM (PSM)</v>
      </c>
      <c r="D38" s="80"/>
      <c r="E38" s="80"/>
      <c r="F38" s="163"/>
      <c r="G38" s="70"/>
      <c r="H38" s="163"/>
      <c r="I38" s="79"/>
      <c r="J38" s="295">
        <f>PRO_PSM</f>
        <v>-4.5600000000000003E-4</v>
      </c>
      <c r="K38" s="268"/>
      <c r="L38" s="167">
        <f>ROUND(H32*PRO_PSM,0)</f>
        <v>-5889</v>
      </c>
      <c r="M38" s="79"/>
      <c r="N38" s="166">
        <f>ROUND((L38/$L$41)*100,1)</f>
        <v>-1.3</v>
      </c>
      <c r="O38" s="156"/>
      <c r="P38" s="167"/>
      <c r="Q38" s="79"/>
      <c r="R38" s="167">
        <f t="shared" si="0"/>
        <v>-5889</v>
      </c>
    </row>
    <row r="39" spans="1:47" ht="20.100000000000001" customHeight="1" x14ac:dyDescent="0.25">
      <c r="A39" s="159">
        <v>17</v>
      </c>
      <c r="B39" s="80"/>
      <c r="C39" s="253" t="s">
        <v>557</v>
      </c>
      <c r="D39" s="80"/>
      <c r="E39" s="80"/>
      <c r="F39" s="167"/>
      <c r="G39" s="70"/>
      <c r="H39" s="167"/>
      <c r="I39" s="79"/>
      <c r="J39" s="290"/>
      <c r="K39" s="268"/>
      <c r="L39" s="169">
        <f>SUM(L35:L38)</f>
        <v>-3526</v>
      </c>
      <c r="M39" s="79"/>
      <c r="N39" s="170">
        <f>ROUND((L39/$L$41)*100,1)</f>
        <v>-0.8</v>
      </c>
      <c r="O39" s="156"/>
      <c r="P39" s="169"/>
      <c r="Q39" s="79"/>
      <c r="R39" s="169">
        <f>SUM(R35:R38)</f>
        <v>-3526</v>
      </c>
    </row>
    <row r="40" spans="1:47" ht="15.75" customHeight="1" x14ac:dyDescent="0.25">
      <c r="A40" s="159"/>
      <c r="B40" s="80"/>
      <c r="C40" s="253"/>
      <c r="D40" s="80"/>
      <c r="E40" s="80"/>
      <c r="F40" s="163"/>
      <c r="G40" s="70"/>
      <c r="H40" s="163"/>
      <c r="I40" s="79"/>
      <c r="J40" s="268"/>
      <c r="K40" s="268"/>
      <c r="L40" s="163"/>
      <c r="M40" s="79"/>
      <c r="N40" s="198"/>
      <c r="O40" s="156"/>
      <c r="P40" s="163"/>
      <c r="Q40" s="79"/>
      <c r="R40" s="163"/>
    </row>
    <row r="41" spans="1:47" ht="20.100000000000001" customHeight="1" thickBot="1" x14ac:dyDescent="0.3">
      <c r="A41" s="159">
        <v>18</v>
      </c>
      <c r="B41" s="80"/>
      <c r="C41" s="265" t="s">
        <v>584</v>
      </c>
      <c r="D41" s="80"/>
      <c r="E41" s="80"/>
      <c r="F41" s="275">
        <f>F32</f>
        <v>24</v>
      </c>
      <c r="G41" s="70"/>
      <c r="H41" s="275">
        <f>H32</f>
        <v>12915280</v>
      </c>
      <c r="I41" s="79"/>
      <c r="J41" s="70"/>
      <c r="K41" s="70"/>
      <c r="L41" s="275">
        <f>L39+L32</f>
        <v>462458</v>
      </c>
      <c r="M41" s="79"/>
      <c r="N41" s="309">
        <v>100</v>
      </c>
      <c r="O41" s="156"/>
      <c r="P41" s="275">
        <f>P39+P32</f>
        <v>0</v>
      </c>
      <c r="Q41" s="78"/>
      <c r="R41" s="275">
        <f>R39+R32</f>
        <v>462458</v>
      </c>
      <c r="V41" s="103"/>
      <c r="W41" s="103"/>
      <c r="X41" s="103"/>
      <c r="Y41" s="103"/>
      <c r="AA41" s="103"/>
      <c r="AB41" s="103"/>
      <c r="AC41" s="103"/>
      <c r="AD41" s="103"/>
      <c r="AE41" s="103"/>
      <c r="AF41" s="103"/>
      <c r="AG41" s="185"/>
      <c r="AH41" s="103"/>
      <c r="AI41" s="103"/>
      <c r="AJ41" s="103"/>
      <c r="AK41" s="185"/>
      <c r="AL41" s="103"/>
      <c r="AM41" s="103"/>
      <c r="AN41" s="103"/>
      <c r="AO41" s="103"/>
      <c r="AP41" s="103"/>
      <c r="AQ41" s="185"/>
      <c r="AS41" s="200"/>
      <c r="AT41" s="200"/>
      <c r="AU41" s="210"/>
    </row>
    <row r="42" spans="1:47" ht="18.75" customHeight="1" thickTop="1" x14ac:dyDescent="0.25">
      <c r="A42" s="80"/>
      <c r="B42" s="80"/>
      <c r="C42" s="80"/>
      <c r="D42" s="80"/>
      <c r="E42" s="8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AA42" s="103"/>
      <c r="AB42" s="103"/>
      <c r="AC42" s="103"/>
      <c r="AD42" s="103"/>
      <c r="AE42" s="103"/>
      <c r="AF42" s="103"/>
      <c r="AG42" s="185"/>
      <c r="AH42" s="103"/>
      <c r="AI42" s="103"/>
      <c r="AJ42" s="103"/>
      <c r="AK42" s="185"/>
      <c r="AL42" s="103"/>
      <c r="AM42" s="103"/>
      <c r="AN42" s="103"/>
      <c r="AO42" s="103"/>
      <c r="AP42" s="103"/>
      <c r="AQ42" s="185"/>
      <c r="AS42" s="200"/>
      <c r="AT42" s="200"/>
      <c r="AU42" s="327"/>
    </row>
    <row r="43" spans="1:47" x14ac:dyDescent="0.25">
      <c r="A43" s="80"/>
      <c r="B43" s="80"/>
      <c r="C43" s="173" t="s">
        <v>61</v>
      </c>
      <c r="D43" s="80"/>
      <c r="E43" s="80"/>
      <c r="F43" s="70"/>
      <c r="G43" s="70"/>
      <c r="H43" s="70"/>
      <c r="I43" s="70"/>
      <c r="J43" s="70"/>
      <c r="K43" s="70"/>
      <c r="L43" s="79"/>
      <c r="M43" s="79"/>
      <c r="N43" s="79"/>
      <c r="O43" s="79"/>
      <c r="P43" s="79"/>
      <c r="Q43" s="79"/>
      <c r="R43" s="79"/>
      <c r="T43" s="202"/>
      <c r="V43" s="154"/>
      <c r="W43" s="154"/>
      <c r="X43" s="154"/>
      <c r="AS43" s="200"/>
      <c r="AT43" s="200"/>
      <c r="AU43" s="210"/>
    </row>
    <row r="44" spans="1:47" ht="18" customHeight="1" x14ac:dyDescent="0.25">
      <c r="A44" s="82"/>
      <c r="B44" s="80"/>
      <c r="C44" s="82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T44" s="202"/>
      <c r="W44" s="154"/>
      <c r="X44" s="154"/>
      <c r="AS44" s="200"/>
      <c r="AT44" s="200"/>
      <c r="AU44" s="210"/>
    </row>
    <row r="45" spans="1:47" x14ac:dyDescent="0.25">
      <c r="A45" s="202"/>
      <c r="C45" s="154"/>
      <c r="F45" s="200"/>
      <c r="H45" s="200"/>
      <c r="I45" s="200"/>
      <c r="J45" s="213"/>
      <c r="K45" s="213"/>
      <c r="L45" s="200"/>
      <c r="M45" s="200"/>
      <c r="N45" s="210"/>
      <c r="O45" s="210"/>
      <c r="P45" s="200"/>
      <c r="Q45" s="200"/>
      <c r="R45" s="200"/>
      <c r="AS45" s="200"/>
      <c r="AT45" s="200"/>
      <c r="AU45" s="210"/>
    </row>
    <row r="46" spans="1:47" x14ac:dyDescent="0.25">
      <c r="F46" s="211"/>
      <c r="H46" s="211"/>
      <c r="I46" s="211"/>
      <c r="J46" s="305"/>
      <c r="K46" s="305"/>
      <c r="L46" s="211"/>
      <c r="M46" s="211"/>
      <c r="N46" s="211"/>
      <c r="O46" s="211"/>
      <c r="P46" s="211"/>
      <c r="Q46" s="211"/>
      <c r="R46" s="211"/>
      <c r="T46" s="202"/>
      <c r="V46" s="154"/>
      <c r="Y46" s="200"/>
      <c r="AC46" s="215"/>
      <c r="AD46" s="215"/>
      <c r="AE46" s="200"/>
      <c r="AF46" s="200"/>
      <c r="AO46" s="200"/>
      <c r="AP46" s="200"/>
      <c r="AS46" s="200"/>
      <c r="AT46" s="200"/>
      <c r="AU46" s="210"/>
    </row>
    <row r="47" spans="1:47" x14ac:dyDescent="0.25">
      <c r="A47" s="202"/>
      <c r="C47" s="154"/>
      <c r="F47" s="200"/>
      <c r="H47" s="200"/>
      <c r="I47" s="200"/>
      <c r="J47" s="213"/>
      <c r="K47" s="213"/>
      <c r="L47" s="200"/>
      <c r="M47" s="200"/>
      <c r="N47" s="210"/>
      <c r="O47" s="210"/>
      <c r="P47" s="200"/>
      <c r="Q47" s="200"/>
      <c r="R47" s="200"/>
      <c r="Y47" s="200"/>
      <c r="AO47" s="200"/>
      <c r="AP47" s="200"/>
      <c r="AR47" s="202"/>
      <c r="AS47" s="200"/>
      <c r="AT47" s="200"/>
      <c r="AU47" s="210"/>
    </row>
    <row r="48" spans="1:47" x14ac:dyDescent="0.25">
      <c r="A48" s="154"/>
      <c r="F48" s="200"/>
      <c r="H48" s="200"/>
      <c r="I48" s="200"/>
      <c r="J48" s="213"/>
      <c r="K48" s="213"/>
      <c r="L48" s="200"/>
      <c r="M48" s="200"/>
      <c r="N48" s="200"/>
      <c r="O48" s="200"/>
      <c r="P48" s="200"/>
      <c r="Q48" s="200"/>
      <c r="R48" s="200"/>
      <c r="T48" s="202"/>
      <c r="V48" s="154"/>
      <c r="Y48" s="200"/>
      <c r="AA48" s="200"/>
      <c r="AB48" s="200"/>
      <c r="AC48" s="300"/>
      <c r="AD48" s="300"/>
      <c r="AE48" s="200"/>
      <c r="AF48" s="200"/>
      <c r="AG48" s="209"/>
      <c r="AH48" s="210"/>
      <c r="AI48" s="200"/>
      <c r="AJ48" s="200"/>
      <c r="AK48" s="209"/>
      <c r="AL48" s="201"/>
      <c r="AM48" s="200"/>
      <c r="AN48" s="200"/>
      <c r="AO48" s="200"/>
      <c r="AP48" s="200"/>
      <c r="AQ48" s="209"/>
      <c r="AR48" s="200"/>
      <c r="AS48" s="200"/>
      <c r="AT48" s="200"/>
      <c r="AU48" s="210"/>
    </row>
    <row r="49" spans="1:47" x14ac:dyDescent="0.25">
      <c r="L49" s="200"/>
      <c r="M49" s="200"/>
      <c r="N49" s="200"/>
      <c r="O49" s="200"/>
      <c r="P49" s="200"/>
      <c r="Q49" s="200"/>
      <c r="R49" s="200"/>
      <c r="T49" s="150" t="str">
        <f>NAME</f>
        <v>DUKE ENERGY KENTUCKY, INC.</v>
      </c>
      <c r="U49" s="150"/>
      <c r="V49" s="150"/>
      <c r="W49" s="150"/>
      <c r="X49" s="150"/>
      <c r="Y49" s="150"/>
      <c r="Z49" s="150"/>
      <c r="AA49" s="150"/>
      <c r="AB49" s="150"/>
      <c r="AC49" s="187"/>
      <c r="AD49" s="187"/>
      <c r="AE49" s="150"/>
      <c r="AF49" s="100"/>
      <c r="AG49" s="190"/>
      <c r="AH49" s="100"/>
      <c r="AI49" s="150"/>
      <c r="AJ49" s="150"/>
      <c r="AK49" s="190"/>
      <c r="AL49" s="150"/>
      <c r="AM49" s="150"/>
      <c r="AN49" s="100"/>
      <c r="AO49" s="150"/>
      <c r="AP49" s="150"/>
      <c r="AQ49" s="190"/>
      <c r="AR49" s="200"/>
      <c r="AS49" s="200"/>
      <c r="AT49" s="200"/>
      <c r="AU49" s="210"/>
    </row>
    <row r="50" spans="1:47" x14ac:dyDescent="0.25">
      <c r="L50" s="200"/>
      <c r="M50" s="200"/>
      <c r="N50" s="200"/>
      <c r="O50" s="200"/>
      <c r="P50" s="200"/>
      <c r="Q50" s="200"/>
      <c r="R50" s="200"/>
      <c r="T50" s="150" t="str">
        <f>CASE_NO</f>
        <v>CASE NO.   2017-00321</v>
      </c>
      <c r="U50" s="150"/>
      <c r="V50" s="150"/>
      <c r="W50" s="150"/>
      <c r="X50" s="150"/>
      <c r="Y50" s="150"/>
      <c r="Z50" s="150"/>
      <c r="AA50" s="150"/>
      <c r="AB50" s="150"/>
      <c r="AC50" s="187"/>
      <c r="AD50" s="187"/>
      <c r="AE50" s="150"/>
      <c r="AF50" s="100"/>
      <c r="AG50" s="190"/>
      <c r="AH50" s="100"/>
      <c r="AI50" s="150"/>
      <c r="AJ50" s="150"/>
      <c r="AK50" s="190"/>
      <c r="AL50" s="150"/>
      <c r="AM50" s="150"/>
      <c r="AN50" s="100"/>
      <c r="AO50" s="150"/>
      <c r="AP50" s="150"/>
      <c r="AQ50" s="190"/>
      <c r="AR50" s="200"/>
      <c r="AS50" s="200"/>
      <c r="AT50" s="200"/>
      <c r="AU50" s="210"/>
    </row>
    <row r="51" spans="1:47" x14ac:dyDescent="0.25">
      <c r="H51" s="154"/>
      <c r="I51" s="154"/>
      <c r="T51" s="187" t="str">
        <f>TITLE</f>
        <v>ANNUALIZED BASE YEAR REVENUES AT PROPOSED VS. MOST CURRENT RATES</v>
      </c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00"/>
      <c r="AG51" s="190"/>
      <c r="AH51" s="100"/>
      <c r="AI51" s="150"/>
      <c r="AJ51" s="150"/>
      <c r="AK51" s="190"/>
      <c r="AL51" s="150"/>
      <c r="AM51" s="150"/>
      <c r="AN51" s="100"/>
      <c r="AO51" s="150"/>
      <c r="AP51" s="150"/>
      <c r="AQ51" s="190"/>
      <c r="AR51" s="200"/>
    </row>
    <row r="52" spans="1:47" x14ac:dyDescent="0.25">
      <c r="L52" s="154"/>
      <c r="M52" s="154"/>
      <c r="T52" s="150" t="str">
        <f>DATE</f>
        <v>FOR THE TWELVE MONTHS ENDED November 30, 2017</v>
      </c>
      <c r="U52" s="150"/>
      <c r="V52" s="150"/>
      <c r="W52" s="150"/>
      <c r="X52" s="150"/>
      <c r="Y52" s="150"/>
      <c r="Z52" s="150"/>
      <c r="AA52" s="150"/>
      <c r="AB52" s="150"/>
      <c r="AC52" s="187"/>
      <c r="AD52" s="187"/>
      <c r="AE52" s="150"/>
      <c r="AF52" s="100"/>
      <c r="AG52" s="190"/>
      <c r="AH52" s="100"/>
      <c r="AI52" s="150"/>
      <c r="AJ52" s="150"/>
      <c r="AK52" s="190"/>
      <c r="AL52" s="150"/>
      <c r="AM52" s="150"/>
      <c r="AN52" s="100"/>
      <c r="AO52" s="150"/>
      <c r="AP52" s="150"/>
      <c r="AQ52" s="190"/>
      <c r="AR52" s="252"/>
    </row>
    <row r="53" spans="1:47" x14ac:dyDescent="0.25">
      <c r="A53" s="202"/>
      <c r="R53" s="154"/>
      <c r="T53" s="150" t="str">
        <f>SERVICE</f>
        <v>(ELECTRIC SERVICE)</v>
      </c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87"/>
      <c r="AF53" s="312"/>
      <c r="AG53" s="190"/>
      <c r="AH53" s="100"/>
      <c r="AI53" s="150"/>
      <c r="AJ53" s="150"/>
      <c r="AK53" s="190"/>
      <c r="AL53" s="150"/>
      <c r="AM53" s="150"/>
      <c r="AN53" s="100"/>
      <c r="AO53" s="150"/>
      <c r="AP53" s="150"/>
      <c r="AQ53" s="190"/>
      <c r="AR53" s="252"/>
    </row>
    <row r="54" spans="1:47" x14ac:dyDescent="0.25">
      <c r="A54" s="202"/>
      <c r="R54" s="154"/>
      <c r="T54" s="159" t="str">
        <f>DATA_PERIOD</f>
        <v>DATA: __X__ BASE PERIOD   ____FORECASTED PERIOD</v>
      </c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G54" s="188"/>
      <c r="AI54" s="80"/>
      <c r="AJ54" s="80"/>
      <c r="AK54" s="188"/>
      <c r="AL54" s="80"/>
      <c r="AM54" s="80"/>
      <c r="AO54" s="82" t="s">
        <v>179</v>
      </c>
      <c r="AP54" s="82"/>
      <c r="AQ54" s="188"/>
      <c r="AR54" s="200"/>
    </row>
    <row r="55" spans="1:47" x14ac:dyDescent="0.25">
      <c r="A55" s="154"/>
      <c r="R55" s="154"/>
      <c r="T55" s="159" t="str">
        <f>TYPE</f>
        <v>TYPE OF FILING: _X_ ORIGINAL   ___UPDATED  ___ REVISED</v>
      </c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G55" s="188"/>
      <c r="AI55" s="80"/>
      <c r="AJ55" s="80"/>
      <c r="AK55" s="188"/>
      <c r="AL55" s="80"/>
      <c r="AM55" s="80"/>
      <c r="AO55" s="81" t="str">
        <f>R7</f>
        <v>PAGE  12  OF  22</v>
      </c>
      <c r="AP55" s="82"/>
      <c r="AQ55" s="188"/>
      <c r="AR55" s="200"/>
    </row>
    <row r="56" spans="1:47" x14ac:dyDescent="0.2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T56" s="82" t="s">
        <v>192</v>
      </c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188"/>
      <c r="AH56" s="80"/>
      <c r="AI56" s="80"/>
      <c r="AJ56" s="80"/>
      <c r="AK56" s="188"/>
      <c r="AL56" s="80"/>
      <c r="AM56" s="80"/>
      <c r="AN56" s="80"/>
      <c r="AO56" s="82" t="s">
        <v>3</v>
      </c>
      <c r="AP56" s="82"/>
      <c r="AQ56" s="188"/>
    </row>
    <row r="57" spans="1:47" x14ac:dyDescent="0.25">
      <c r="L57" s="103"/>
      <c r="M57" s="103"/>
      <c r="N57" s="103"/>
      <c r="O57" s="103"/>
      <c r="R57" s="103"/>
      <c r="T57" s="258" t="str">
        <f>TIME</f>
        <v>6 Months Actual and 6 Months Projected</v>
      </c>
      <c r="U57" s="80"/>
      <c r="V57" s="80"/>
      <c r="W57" s="80"/>
      <c r="X57" s="80"/>
      <c r="Y57" s="80"/>
      <c r="Z57" s="80"/>
      <c r="AA57" s="80"/>
      <c r="AB57" s="80"/>
      <c r="AC57" s="80"/>
      <c r="AD57" s="80"/>
      <c r="AF57" s="82"/>
      <c r="AG57" s="188"/>
      <c r="AH57" s="80"/>
      <c r="AI57" s="80"/>
      <c r="AJ57" s="80"/>
      <c r="AK57" s="188"/>
      <c r="AL57" s="80"/>
      <c r="AM57" s="80"/>
      <c r="AN57" s="80"/>
      <c r="AO57" s="159" t="str">
        <f>WIT</f>
        <v>B. L. SAILERS</v>
      </c>
      <c r="AP57" s="159"/>
      <c r="AQ57" s="188"/>
    </row>
    <row r="58" spans="1:47" x14ac:dyDescent="0.25">
      <c r="L58" s="103"/>
      <c r="M58" s="103"/>
      <c r="N58" s="103"/>
      <c r="O58" s="103"/>
      <c r="R58" s="103"/>
      <c r="T58" s="258" t="str">
        <f>INPUT!B5</f>
        <v>6 Months Actual Ending May 31, 2017</v>
      </c>
      <c r="U58" s="80"/>
      <c r="V58" s="80"/>
      <c r="W58" s="80"/>
      <c r="X58" s="80"/>
      <c r="Y58" s="80"/>
      <c r="Z58" s="80"/>
      <c r="AA58" s="80"/>
      <c r="AB58" s="80"/>
      <c r="AC58" s="80"/>
      <c r="AD58" s="80"/>
      <c r="AF58" s="82"/>
      <c r="AG58" s="188"/>
      <c r="AH58" s="80"/>
      <c r="AI58" s="80"/>
      <c r="AJ58" s="80"/>
      <c r="AK58" s="188"/>
      <c r="AL58" s="80"/>
      <c r="AM58" s="80"/>
      <c r="AN58" s="80"/>
      <c r="AO58" s="159"/>
      <c r="AP58" s="159"/>
      <c r="AQ58" s="188"/>
    </row>
    <row r="59" spans="1:47" x14ac:dyDescent="0.25">
      <c r="L59" s="103"/>
      <c r="M59" s="103"/>
      <c r="N59" s="103"/>
      <c r="O59" s="103"/>
      <c r="R59" s="103"/>
      <c r="T59" s="187" t="s">
        <v>152</v>
      </c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87"/>
      <c r="AF59" s="187"/>
      <c r="AG59" s="190"/>
      <c r="AH59" s="150"/>
      <c r="AI59" s="150"/>
      <c r="AJ59" s="150"/>
      <c r="AK59" s="190"/>
      <c r="AL59" s="150"/>
      <c r="AM59" s="150"/>
      <c r="AN59" s="150"/>
      <c r="AO59" s="187"/>
      <c r="AP59" s="187"/>
      <c r="AQ59" s="190"/>
    </row>
    <row r="60" spans="1:47" x14ac:dyDescent="0.25">
      <c r="C60" s="103"/>
      <c r="D60" s="103"/>
      <c r="E60" s="103"/>
      <c r="F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91"/>
      <c r="AH60" s="151"/>
      <c r="AI60" s="151"/>
      <c r="AJ60" s="151"/>
      <c r="AK60" s="191"/>
      <c r="AL60" s="151"/>
      <c r="AM60" s="151"/>
      <c r="AN60" s="151"/>
      <c r="AO60" s="151"/>
      <c r="AP60" s="151"/>
      <c r="AQ60" s="191"/>
    </row>
    <row r="61" spans="1:47" ht="18" customHeight="1" x14ac:dyDescent="0.2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93" t="s">
        <v>8</v>
      </c>
      <c r="AF61" s="193"/>
      <c r="AG61" s="194" t="s">
        <v>7</v>
      </c>
      <c r="AH61" s="193"/>
      <c r="AI61" s="193" t="s">
        <v>9</v>
      </c>
      <c r="AJ61" s="193"/>
      <c r="AK61" s="194" t="s">
        <v>10</v>
      </c>
      <c r="AL61" s="193"/>
      <c r="AM61" s="152"/>
      <c r="AN61" s="152"/>
      <c r="AO61" s="193" t="s">
        <v>8</v>
      </c>
      <c r="AP61" s="193"/>
      <c r="AQ61" s="194" t="s">
        <v>11</v>
      </c>
    </row>
    <row r="62" spans="1:47" x14ac:dyDescent="0.25"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T62" s="80"/>
      <c r="U62" s="80"/>
      <c r="V62" s="80"/>
      <c r="W62" s="80"/>
      <c r="X62" s="80"/>
      <c r="Y62" s="80"/>
      <c r="Z62" s="80"/>
      <c r="AA62" s="80"/>
      <c r="AB62" s="80"/>
      <c r="AC62" s="83" t="s">
        <v>14</v>
      </c>
      <c r="AD62" s="83"/>
      <c r="AE62" s="83" t="s">
        <v>12</v>
      </c>
      <c r="AF62" s="83"/>
      <c r="AG62" s="195" t="s">
        <v>13</v>
      </c>
      <c r="AH62" s="83"/>
      <c r="AI62" s="83" t="s">
        <v>15</v>
      </c>
      <c r="AJ62" s="83"/>
      <c r="AK62" s="195" t="s">
        <v>16</v>
      </c>
      <c r="AL62" s="83"/>
      <c r="AM62" s="80"/>
      <c r="AN62" s="80"/>
      <c r="AO62" s="83" t="s">
        <v>11</v>
      </c>
      <c r="AP62" s="83"/>
      <c r="AQ62" s="195" t="s">
        <v>9</v>
      </c>
    </row>
    <row r="63" spans="1:47" x14ac:dyDescent="0.25">
      <c r="A63" s="202"/>
      <c r="C63" s="154"/>
      <c r="D63" s="154"/>
      <c r="E63" s="154"/>
      <c r="T63" s="83" t="s">
        <v>17</v>
      </c>
      <c r="U63" s="80"/>
      <c r="V63" s="83" t="s">
        <v>18</v>
      </c>
      <c r="W63" s="83" t="s">
        <v>19</v>
      </c>
      <c r="X63" s="83"/>
      <c r="Y63" s="83" t="s">
        <v>20</v>
      </c>
      <c r="Z63" s="80"/>
      <c r="AA63" s="80"/>
      <c r="AB63" s="80"/>
      <c r="AC63" s="83" t="s">
        <v>8</v>
      </c>
      <c r="AD63" s="83"/>
      <c r="AE63" s="83" t="s">
        <v>21</v>
      </c>
      <c r="AF63" s="83"/>
      <c r="AG63" s="195" t="s">
        <v>21</v>
      </c>
      <c r="AH63" s="83"/>
      <c r="AI63" s="83" t="s">
        <v>22</v>
      </c>
      <c r="AJ63" s="83"/>
      <c r="AK63" s="195" t="s">
        <v>22</v>
      </c>
      <c r="AL63" s="83"/>
      <c r="AM63" s="83" t="s">
        <v>21</v>
      </c>
      <c r="AN63" s="83"/>
      <c r="AO63" s="83" t="s">
        <v>9</v>
      </c>
      <c r="AP63" s="83"/>
      <c r="AQ63" s="195" t="s">
        <v>23</v>
      </c>
    </row>
    <row r="64" spans="1:47" x14ac:dyDescent="0.25">
      <c r="A64" s="202"/>
      <c r="C64" s="154"/>
      <c r="T64" s="83" t="s">
        <v>24</v>
      </c>
      <c r="U64" s="80"/>
      <c r="V64" s="83" t="s">
        <v>25</v>
      </c>
      <c r="W64" s="83" t="s">
        <v>26</v>
      </c>
      <c r="X64" s="83"/>
      <c r="Y64" s="83" t="s">
        <v>27</v>
      </c>
      <c r="Z64" s="80"/>
      <c r="AA64" s="83" t="s">
        <v>28</v>
      </c>
      <c r="AB64" s="83"/>
      <c r="AC64" s="83" t="s">
        <v>29</v>
      </c>
      <c r="AD64" s="83"/>
      <c r="AE64" s="83" t="s">
        <v>9</v>
      </c>
      <c r="AF64" s="83"/>
      <c r="AG64" s="195" t="s">
        <v>9</v>
      </c>
      <c r="AH64" s="83"/>
      <c r="AI64" s="256" t="s">
        <v>31</v>
      </c>
      <c r="AJ64" s="256"/>
      <c r="AK64" s="257" t="s">
        <v>32</v>
      </c>
      <c r="AL64" s="83"/>
      <c r="AM64" s="83" t="s">
        <v>475</v>
      </c>
      <c r="AN64" s="83"/>
      <c r="AO64" s="256" t="s">
        <v>33</v>
      </c>
      <c r="AP64" s="256"/>
      <c r="AQ64" s="257" t="s">
        <v>34</v>
      </c>
    </row>
    <row r="65" spans="1:43" x14ac:dyDescent="0.25">
      <c r="T65" s="80"/>
      <c r="U65" s="80"/>
      <c r="V65" s="256" t="s">
        <v>35</v>
      </c>
      <c r="W65" s="256" t="s">
        <v>36</v>
      </c>
      <c r="X65" s="256"/>
      <c r="Y65" s="256" t="s">
        <v>37</v>
      </c>
      <c r="Z65" s="258"/>
      <c r="AA65" s="256" t="s">
        <v>38</v>
      </c>
      <c r="AB65" s="256"/>
      <c r="AC65" s="256" t="s">
        <v>44</v>
      </c>
      <c r="AD65" s="256"/>
      <c r="AE65" s="256" t="s">
        <v>45</v>
      </c>
      <c r="AF65" s="256"/>
      <c r="AG65" s="257" t="s">
        <v>46</v>
      </c>
      <c r="AH65" s="256"/>
      <c r="AI65" s="256" t="s">
        <v>47</v>
      </c>
      <c r="AJ65" s="256"/>
      <c r="AK65" s="257" t="s">
        <v>48</v>
      </c>
      <c r="AL65" s="256"/>
      <c r="AM65" s="256" t="s">
        <v>42</v>
      </c>
      <c r="AN65" s="256"/>
      <c r="AO65" s="256" t="s">
        <v>49</v>
      </c>
      <c r="AP65" s="256"/>
      <c r="AQ65" s="257" t="s">
        <v>50</v>
      </c>
    </row>
    <row r="66" spans="1:43" x14ac:dyDescent="0.25">
      <c r="T66" s="80"/>
      <c r="U66" s="80"/>
      <c r="V66" s="83"/>
      <c r="W66" s="83"/>
      <c r="X66" s="83"/>
      <c r="Y66" s="83"/>
      <c r="Z66" s="80"/>
      <c r="AA66" s="391"/>
      <c r="AB66" s="391"/>
      <c r="AC66" s="391"/>
      <c r="AD66" s="83"/>
      <c r="AE66" s="83"/>
      <c r="AF66" s="83"/>
      <c r="AG66" s="195"/>
      <c r="AH66" s="83"/>
      <c r="AI66" s="83"/>
      <c r="AJ66" s="83"/>
      <c r="AK66" s="195"/>
      <c r="AL66" s="83"/>
      <c r="AM66" s="83"/>
      <c r="AN66" s="83"/>
      <c r="AO66" s="83"/>
      <c r="AP66" s="83"/>
      <c r="AQ66" s="195"/>
    </row>
    <row r="67" spans="1:43" ht="17.100000000000001" customHeight="1" x14ac:dyDescent="0.25">
      <c r="A67" s="202"/>
      <c r="C67" s="154"/>
      <c r="F67" s="252"/>
      <c r="H67" s="252"/>
      <c r="I67" s="252"/>
      <c r="J67" s="300"/>
      <c r="K67" s="300"/>
      <c r="L67" s="200"/>
      <c r="M67" s="200"/>
      <c r="N67" s="210"/>
      <c r="O67" s="210"/>
      <c r="P67" s="202"/>
      <c r="Q67" s="202"/>
      <c r="R67" s="200"/>
      <c r="T67" s="152"/>
      <c r="U67" s="152"/>
      <c r="V67" s="152"/>
      <c r="W67" s="152"/>
      <c r="X67" s="152"/>
      <c r="Y67" s="152"/>
      <c r="Z67" s="152"/>
      <c r="AA67" s="260" t="s">
        <v>51</v>
      </c>
      <c r="AB67" s="259"/>
      <c r="AC67" s="260" t="s">
        <v>418</v>
      </c>
      <c r="AD67" s="376"/>
      <c r="AE67" s="376" t="s">
        <v>52</v>
      </c>
      <c r="AF67" s="376"/>
      <c r="AG67" s="381" t="s">
        <v>53</v>
      </c>
      <c r="AH67" s="376"/>
      <c r="AI67" s="376" t="s">
        <v>52</v>
      </c>
      <c r="AJ67" s="376"/>
      <c r="AK67" s="381" t="s">
        <v>53</v>
      </c>
      <c r="AL67" s="376"/>
      <c r="AM67" s="376" t="s">
        <v>52</v>
      </c>
      <c r="AN67" s="376"/>
      <c r="AO67" s="376" t="s">
        <v>52</v>
      </c>
      <c r="AP67" s="376"/>
      <c r="AQ67" s="381" t="s">
        <v>53</v>
      </c>
    </row>
    <row r="68" spans="1:43" x14ac:dyDescent="0.25">
      <c r="A68" s="202"/>
      <c r="C68" s="154"/>
      <c r="F68" s="252"/>
      <c r="H68" s="252"/>
      <c r="I68" s="252"/>
      <c r="J68" s="300"/>
      <c r="K68" s="300"/>
      <c r="L68" s="200"/>
      <c r="M68" s="200"/>
      <c r="N68" s="210"/>
      <c r="O68" s="210"/>
      <c r="P68" s="202"/>
      <c r="Q68" s="202"/>
      <c r="R68" s="200"/>
      <c r="T68" s="159">
        <v>1</v>
      </c>
      <c r="U68" s="80"/>
      <c r="V68" s="253" t="s">
        <v>411</v>
      </c>
      <c r="W68" s="387" t="s">
        <v>415</v>
      </c>
      <c r="X68" s="82"/>
      <c r="Y68" s="70"/>
      <c r="Z68" s="70"/>
      <c r="AA68" s="70"/>
      <c r="AB68" s="70"/>
      <c r="AC68" s="70"/>
      <c r="AD68" s="70"/>
      <c r="AE68" s="70"/>
      <c r="AF68" s="70"/>
      <c r="AG68" s="164"/>
      <c r="AH68" s="70"/>
      <c r="AI68" s="70"/>
      <c r="AJ68" s="70"/>
      <c r="AK68" s="164"/>
      <c r="AL68" s="70"/>
      <c r="AM68" s="70"/>
      <c r="AN68" s="70"/>
      <c r="AO68" s="70"/>
      <c r="AP68" s="70"/>
      <c r="AQ68" s="164"/>
    </row>
    <row r="69" spans="1:43" x14ac:dyDescent="0.25">
      <c r="A69" s="202"/>
      <c r="C69" s="154"/>
      <c r="F69" s="252"/>
      <c r="H69" s="252"/>
      <c r="I69" s="252"/>
      <c r="J69" s="300"/>
      <c r="K69" s="300"/>
      <c r="L69" s="200"/>
      <c r="M69" s="200"/>
      <c r="N69" s="210"/>
      <c r="O69" s="210"/>
      <c r="P69" s="202"/>
      <c r="Q69" s="202"/>
      <c r="R69" s="200"/>
      <c r="T69" s="159">
        <v>2</v>
      </c>
      <c r="U69" s="80"/>
      <c r="V69" s="253"/>
      <c r="W69" s="258" t="s">
        <v>416</v>
      </c>
      <c r="X69" s="80"/>
      <c r="Y69" s="70"/>
      <c r="Z69" s="70"/>
      <c r="AA69" s="70"/>
      <c r="AB69" s="70"/>
      <c r="AC69" s="70"/>
      <c r="AD69" s="70"/>
      <c r="AE69" s="70"/>
      <c r="AF69" s="70"/>
      <c r="AG69" s="164"/>
      <c r="AH69" s="70"/>
      <c r="AI69" s="70"/>
      <c r="AJ69" s="70"/>
      <c r="AK69" s="164"/>
      <c r="AL69" s="70"/>
      <c r="AM69" s="70"/>
      <c r="AN69" s="70"/>
      <c r="AO69" s="70"/>
      <c r="AP69" s="70"/>
      <c r="AQ69" s="164"/>
    </row>
    <row r="70" spans="1:43" ht="19.5" customHeight="1" x14ac:dyDescent="0.25">
      <c r="A70" s="202"/>
      <c r="C70" s="154"/>
      <c r="F70" s="252"/>
      <c r="H70" s="252"/>
      <c r="I70" s="252"/>
      <c r="J70" s="300"/>
      <c r="K70" s="300"/>
      <c r="L70" s="200"/>
      <c r="M70" s="200"/>
      <c r="N70" s="210"/>
      <c r="O70" s="210"/>
      <c r="P70" s="202"/>
      <c r="Q70" s="202"/>
      <c r="R70" s="200"/>
      <c r="T70" s="159"/>
      <c r="U70" s="80"/>
      <c r="V70" s="82"/>
      <c r="W70" s="80"/>
      <c r="X70" s="80"/>
      <c r="Y70" s="70"/>
      <c r="Z70" s="70"/>
      <c r="AA70" s="70"/>
      <c r="AB70" s="70"/>
      <c r="AC70" s="70"/>
      <c r="AD70" s="70"/>
      <c r="AE70" s="70"/>
      <c r="AF70" s="70"/>
      <c r="AG70" s="164"/>
      <c r="AH70" s="70"/>
      <c r="AI70" s="70"/>
      <c r="AJ70" s="70"/>
      <c r="AK70" s="164"/>
      <c r="AL70" s="70"/>
      <c r="AM70" s="70"/>
      <c r="AN70" s="70"/>
      <c r="AO70" s="70"/>
      <c r="AP70" s="70"/>
      <c r="AQ70" s="164"/>
    </row>
    <row r="71" spans="1:43" x14ac:dyDescent="0.25">
      <c r="A71" s="202"/>
      <c r="C71" s="154"/>
      <c r="F71" s="252"/>
      <c r="H71" s="252"/>
      <c r="I71" s="252"/>
      <c r="J71" s="300"/>
      <c r="K71" s="300"/>
      <c r="L71" s="200"/>
      <c r="M71" s="200"/>
      <c r="N71" s="210"/>
      <c r="O71" s="210"/>
      <c r="P71" s="202"/>
      <c r="Q71" s="202"/>
      <c r="R71" s="200"/>
      <c r="T71" s="159">
        <v>3</v>
      </c>
      <c r="U71" s="80"/>
      <c r="V71" s="253" t="s">
        <v>155</v>
      </c>
      <c r="W71" s="80"/>
      <c r="X71" s="80"/>
      <c r="Y71" s="70"/>
      <c r="Z71" s="70"/>
      <c r="AA71" s="70"/>
      <c r="AB71" s="70"/>
      <c r="AC71" s="70"/>
      <c r="AD71" s="70"/>
      <c r="AE71" s="70"/>
      <c r="AF71" s="70"/>
      <c r="AG71" s="164"/>
      <c r="AH71" s="70"/>
      <c r="AI71" s="70"/>
      <c r="AJ71" s="70"/>
      <c r="AK71" s="164"/>
      <c r="AL71" s="70"/>
      <c r="AM71" s="70"/>
      <c r="AN71" s="70"/>
      <c r="AO71" s="70"/>
      <c r="AP71" s="70"/>
      <c r="AQ71" s="164"/>
    </row>
    <row r="72" spans="1:43" x14ac:dyDescent="0.25">
      <c r="A72" s="202"/>
      <c r="C72" s="154"/>
      <c r="F72" s="252"/>
      <c r="H72" s="252"/>
      <c r="I72" s="252"/>
      <c r="J72" s="300"/>
      <c r="K72" s="300"/>
      <c r="L72" s="200"/>
      <c r="M72" s="200"/>
      <c r="N72" s="210"/>
      <c r="O72" s="210"/>
      <c r="P72" s="202"/>
      <c r="Q72" s="202"/>
      <c r="R72" s="200"/>
      <c r="T72" s="159">
        <v>4</v>
      </c>
      <c r="U72" s="80"/>
      <c r="V72" s="82" t="s">
        <v>417</v>
      </c>
      <c r="W72" s="80"/>
      <c r="X72" s="80"/>
      <c r="Y72" s="110">
        <f>F24</f>
        <v>24</v>
      </c>
      <c r="Z72" s="70"/>
      <c r="AA72" s="70"/>
      <c r="AB72" s="70"/>
      <c r="AC72" s="301">
        <f>INPUT!C153</f>
        <v>183</v>
      </c>
      <c r="AD72" s="70"/>
      <c r="AE72" s="167">
        <f>ROUND(Y72*AC72,0)</f>
        <v>4392</v>
      </c>
      <c r="AF72" s="79"/>
      <c r="AG72" s="166">
        <f>ROUND((AE72/AE$89)*100,1)</f>
        <v>1.1000000000000001</v>
      </c>
      <c r="AH72" s="156"/>
      <c r="AI72" s="167">
        <f>L24-AE72</f>
        <v>0</v>
      </c>
      <c r="AJ72" s="79"/>
      <c r="AK72" s="168">
        <f>IF(AE72=0,"0.0 ",ROUND((AI72/AE72)*100,1))</f>
        <v>0</v>
      </c>
      <c r="AL72" s="158"/>
      <c r="AM72" s="379"/>
      <c r="AN72" s="302"/>
      <c r="AO72" s="167">
        <f>AE72+AM72</f>
        <v>4392</v>
      </c>
      <c r="AP72" s="79"/>
      <c r="AQ72" s="157">
        <f>IF(AO72=0,"0.0 ",ROUND((AI72/AO72)*100,1))</f>
        <v>0</v>
      </c>
    </row>
    <row r="73" spans="1:43" ht="20.100000000000001" customHeight="1" x14ac:dyDescent="0.25">
      <c r="A73" s="202"/>
      <c r="C73" s="154"/>
      <c r="F73" s="200"/>
      <c r="H73" s="200"/>
      <c r="I73" s="200"/>
      <c r="J73" s="305"/>
      <c r="K73" s="305"/>
      <c r="L73" s="200"/>
      <c r="M73" s="200"/>
      <c r="N73" s="210"/>
      <c r="O73" s="210"/>
      <c r="P73" s="200"/>
      <c r="Q73" s="200"/>
      <c r="R73" s="200"/>
      <c r="T73" s="159">
        <v>5</v>
      </c>
      <c r="U73" s="80"/>
      <c r="V73" s="82" t="s">
        <v>158</v>
      </c>
      <c r="W73" s="80"/>
      <c r="X73" s="80"/>
      <c r="Y73" s="163"/>
      <c r="Z73" s="70"/>
      <c r="AA73" s="78"/>
      <c r="AB73" s="78"/>
      <c r="AC73" s="283"/>
      <c r="AD73" s="284"/>
      <c r="AE73" s="384">
        <f>SUM(AE72)</f>
        <v>4392</v>
      </c>
      <c r="AG73" s="170">
        <f>ROUND((AE73/AE$89)*100,1)</f>
        <v>1.1000000000000001</v>
      </c>
      <c r="AI73" s="169">
        <f>L25-AE73</f>
        <v>0</v>
      </c>
      <c r="AK73" s="171">
        <f>IF(AE73=0,"0.0 ",ROUND((AI73/AE73)*100,1))</f>
        <v>0</v>
      </c>
      <c r="AM73" s="392"/>
      <c r="AO73" s="167">
        <f>AE73+AM73</f>
        <v>4392</v>
      </c>
      <c r="AQ73" s="157">
        <f>IF(AO73=0,"0.0 ",ROUND((AI73/AO73)*100,1))</f>
        <v>0</v>
      </c>
    </row>
    <row r="74" spans="1:43" ht="24.75" customHeight="1" x14ac:dyDescent="0.25">
      <c r="A74" s="202"/>
      <c r="C74" s="154"/>
      <c r="F74" s="200"/>
      <c r="H74" s="200"/>
      <c r="I74" s="200"/>
      <c r="J74" s="305"/>
      <c r="K74" s="305"/>
      <c r="L74" s="200"/>
      <c r="M74" s="200"/>
      <c r="N74" s="210"/>
      <c r="O74" s="210"/>
      <c r="P74" s="200"/>
      <c r="Q74" s="200"/>
      <c r="R74" s="200"/>
      <c r="T74" s="159"/>
      <c r="U74" s="80"/>
      <c r="V74" s="82"/>
      <c r="W74" s="80"/>
      <c r="X74" s="80"/>
      <c r="Y74" s="163"/>
      <c r="Z74" s="70"/>
      <c r="AA74" s="78"/>
      <c r="AB74" s="78"/>
      <c r="AC74" s="283"/>
      <c r="AD74" s="284"/>
      <c r="AE74" s="163"/>
      <c r="AF74" s="79"/>
      <c r="AG74" s="197"/>
      <c r="AH74" s="156"/>
      <c r="AI74" s="163"/>
      <c r="AJ74" s="79"/>
      <c r="AK74" s="155"/>
      <c r="AL74" s="158"/>
      <c r="AM74" s="271"/>
      <c r="AN74" s="302"/>
      <c r="AO74" s="163"/>
      <c r="AP74" s="79"/>
      <c r="AQ74" s="155"/>
    </row>
    <row r="75" spans="1:43" x14ac:dyDescent="0.25">
      <c r="A75" s="202"/>
      <c r="C75" s="154"/>
      <c r="F75" s="200"/>
      <c r="H75" s="200"/>
      <c r="I75" s="200"/>
      <c r="J75" s="305"/>
      <c r="K75" s="305"/>
      <c r="L75" s="200"/>
      <c r="M75" s="200"/>
      <c r="N75" s="200"/>
      <c r="O75" s="200"/>
      <c r="P75" s="200"/>
      <c r="Q75" s="200"/>
      <c r="R75" s="200"/>
      <c r="T75" s="159">
        <v>6</v>
      </c>
      <c r="U75" s="80"/>
      <c r="V75" s="253" t="s">
        <v>69</v>
      </c>
      <c r="W75" s="80"/>
      <c r="X75" s="80"/>
      <c r="Y75" s="163"/>
      <c r="Z75" s="70"/>
      <c r="AA75" s="79"/>
      <c r="AB75" s="79"/>
      <c r="AC75" s="310"/>
      <c r="AD75" s="263"/>
      <c r="AE75" s="79"/>
      <c r="AF75" s="79"/>
      <c r="AG75" s="155"/>
      <c r="AH75" s="156"/>
      <c r="AI75" s="79"/>
      <c r="AJ75" s="79"/>
      <c r="AK75" s="155"/>
      <c r="AL75" s="158"/>
      <c r="AM75" s="79"/>
      <c r="AN75" s="79"/>
      <c r="AO75" s="79"/>
      <c r="AP75" s="79"/>
      <c r="AQ75" s="155"/>
    </row>
    <row r="76" spans="1:43" x14ac:dyDescent="0.25">
      <c r="A76" s="202"/>
      <c r="C76" s="154"/>
      <c r="F76" s="200"/>
      <c r="H76" s="200"/>
      <c r="I76" s="200"/>
      <c r="J76" s="305"/>
      <c r="K76" s="305"/>
      <c r="L76" s="200"/>
      <c r="M76" s="200"/>
      <c r="N76" s="200"/>
      <c r="O76" s="200"/>
      <c r="P76" s="200"/>
      <c r="Q76" s="200"/>
      <c r="R76" s="200"/>
      <c r="T76" s="159">
        <v>7</v>
      </c>
      <c r="U76" s="80"/>
      <c r="V76" s="82" t="s">
        <v>494</v>
      </c>
      <c r="W76" s="80"/>
      <c r="X76" s="80"/>
      <c r="Y76" s="163"/>
      <c r="Z76" s="70"/>
      <c r="AA76" s="79">
        <f>H28</f>
        <v>12915280</v>
      </c>
      <c r="AB76" s="79"/>
      <c r="AC76" s="308">
        <f>INPUT!C157</f>
        <v>2.0079999999999998E-3</v>
      </c>
      <c r="AD76" s="263"/>
      <c r="AE76" s="163">
        <f>ROUND((AA76*AC76),0)</f>
        <v>25934</v>
      </c>
      <c r="AF76" s="163"/>
      <c r="AG76" s="197">
        <f>ROUND((AE76/AE$89)*100,1)</f>
        <v>6.3</v>
      </c>
      <c r="AH76" s="198"/>
      <c r="AI76" s="163">
        <f>L28-AE76</f>
        <v>57654</v>
      </c>
      <c r="AJ76" s="163"/>
      <c r="AK76" s="172">
        <f>IF(AE76=0,"0.0 ",ROUND((AI76/AE76)*100,1))</f>
        <v>222.3</v>
      </c>
      <c r="AL76" s="199"/>
      <c r="AM76" s="163"/>
      <c r="AN76" s="163"/>
      <c r="AO76" s="163">
        <f>AE76+AM76</f>
        <v>25934</v>
      </c>
      <c r="AP76" s="79"/>
      <c r="AQ76" s="157">
        <f>IF(AO76=0,"0.0 ",ROUND((AI76/AO76)*100,1))</f>
        <v>222.3</v>
      </c>
    </row>
    <row r="77" spans="1:43" x14ac:dyDescent="0.25">
      <c r="A77" s="202"/>
      <c r="C77" s="154"/>
      <c r="F77" s="200"/>
      <c r="H77" s="252"/>
      <c r="I77" s="252"/>
      <c r="J77" s="329"/>
      <c r="K77" s="329"/>
      <c r="L77" s="200"/>
      <c r="M77" s="200"/>
      <c r="N77" s="210"/>
      <c r="O77" s="210"/>
      <c r="P77" s="200"/>
      <c r="Q77" s="200"/>
      <c r="R77" s="200"/>
      <c r="T77" s="159">
        <v>8</v>
      </c>
      <c r="U77" s="80"/>
      <c r="V77" s="82" t="s">
        <v>419</v>
      </c>
      <c r="W77" s="80"/>
      <c r="X77" s="80"/>
      <c r="Y77" s="163"/>
      <c r="Z77" s="70"/>
      <c r="AA77" s="163">
        <f>H29</f>
        <v>12915280</v>
      </c>
      <c r="AB77" s="163"/>
      <c r="AC77" s="393">
        <f>INPUT!C161</f>
        <v>7.2099999999999996E-4</v>
      </c>
      <c r="AD77" s="383"/>
      <c r="AE77" s="163">
        <f>ROUND((AA77*AC77),0)</f>
        <v>9312</v>
      </c>
      <c r="AF77" s="163"/>
      <c r="AG77" s="197">
        <f>ROUND((AE77/AE$89)*100,1)</f>
        <v>2.2000000000000002</v>
      </c>
      <c r="AH77" s="198"/>
      <c r="AI77" s="163">
        <f>L29-AE77</f>
        <v>-9312</v>
      </c>
      <c r="AJ77" s="163"/>
      <c r="AK77" s="172">
        <f>IF(AE77=0,"0.0 ",ROUND((AI77/AE77)*100,1))</f>
        <v>-100</v>
      </c>
      <c r="AL77" s="199"/>
      <c r="AM77" s="163"/>
      <c r="AN77" s="163"/>
      <c r="AO77" s="163">
        <f>AE77+AM77</f>
        <v>9312</v>
      </c>
      <c r="AP77" s="163"/>
      <c r="AQ77" s="172">
        <f>IF(AO77=0,"0.0 ",ROUND((AI77/AO77)*100,1))</f>
        <v>-100</v>
      </c>
    </row>
    <row r="78" spans="1:43" x14ac:dyDescent="0.25">
      <c r="A78" s="202"/>
      <c r="C78" s="154"/>
      <c r="F78" s="200"/>
      <c r="H78" s="252"/>
      <c r="I78" s="252"/>
      <c r="J78" s="329"/>
      <c r="K78" s="329"/>
      <c r="L78" s="200"/>
      <c r="M78" s="200"/>
      <c r="N78" s="210"/>
      <c r="O78" s="210"/>
      <c r="P78" s="200"/>
      <c r="Q78" s="200"/>
      <c r="R78" s="200"/>
      <c r="T78" s="159">
        <v>9</v>
      </c>
      <c r="U78" s="80"/>
      <c r="V78" s="82" t="s">
        <v>480</v>
      </c>
      <c r="W78" s="80"/>
      <c r="X78" s="80"/>
      <c r="Y78" s="163"/>
      <c r="Z78" s="70"/>
      <c r="AA78" s="163">
        <f>H30</f>
        <v>12915280</v>
      </c>
      <c r="AB78" s="163"/>
      <c r="AC78" s="393">
        <f>INPUT!C165</f>
        <v>2.9267999999999999E-2</v>
      </c>
      <c r="AD78" s="383"/>
      <c r="AE78" s="163">
        <f>ROUND((AA78*AC78),0)</f>
        <v>378004</v>
      </c>
      <c r="AF78" s="163"/>
      <c r="AG78" s="197">
        <f>ROUND((AE78/AE$89)*100,1)</f>
        <v>91.3</v>
      </c>
      <c r="AH78" s="198"/>
      <c r="AI78" s="163">
        <f>L30-AE78</f>
        <v>0</v>
      </c>
      <c r="AJ78" s="163"/>
      <c r="AK78" s="172">
        <f>IF(AE78=0,"0.0 ",ROUND((AI78/AE78)*100,1))</f>
        <v>0</v>
      </c>
      <c r="AL78" s="199"/>
      <c r="AM78" s="200">
        <v>0</v>
      </c>
      <c r="AN78" s="163"/>
      <c r="AO78" s="163">
        <f>AE78+AM78</f>
        <v>378004</v>
      </c>
      <c r="AP78" s="163"/>
      <c r="AQ78" s="172">
        <f>IF(AO78=0,"0.0 ",ROUND((AI78/AO78)*100,1))</f>
        <v>0</v>
      </c>
    </row>
    <row r="79" spans="1:43" ht="20.100000000000001" customHeight="1" x14ac:dyDescent="0.25">
      <c r="A79" s="202"/>
      <c r="C79" s="154"/>
      <c r="F79" s="200"/>
      <c r="H79" s="200"/>
      <c r="I79" s="200"/>
      <c r="J79" s="213"/>
      <c r="K79" s="213"/>
      <c r="L79" s="200"/>
      <c r="M79" s="200"/>
      <c r="N79" s="210"/>
      <c r="O79" s="210"/>
      <c r="P79" s="200"/>
      <c r="Q79" s="200"/>
      <c r="R79" s="200"/>
      <c r="T79" s="159">
        <v>10</v>
      </c>
      <c r="U79" s="80"/>
      <c r="V79" s="253" t="s">
        <v>164</v>
      </c>
      <c r="W79" s="80"/>
      <c r="X79" s="80"/>
      <c r="Y79" s="167"/>
      <c r="Z79" s="70"/>
      <c r="AA79" s="169">
        <f>H31</f>
        <v>12915280</v>
      </c>
      <c r="AB79" s="79"/>
      <c r="AC79" s="347"/>
      <c r="AD79" s="268"/>
      <c r="AE79" s="169">
        <f>SUM(AE76:AE78)</f>
        <v>413250</v>
      </c>
      <c r="AF79" s="79"/>
      <c r="AG79" s="170">
        <f>ROUND((AE79/AE$89)*100,1)</f>
        <v>99.8</v>
      </c>
      <c r="AH79" s="156"/>
      <c r="AI79" s="169">
        <f>SUM(AI76:AI78)</f>
        <v>48342</v>
      </c>
      <c r="AJ79" s="79"/>
      <c r="AK79" s="171">
        <f>IF(AE79=0,"0.0 ",ROUND((AI79/AE79)*100,1))</f>
        <v>11.7</v>
      </c>
      <c r="AL79" s="156"/>
      <c r="AM79" s="169">
        <f>AM78</f>
        <v>0</v>
      </c>
      <c r="AN79" s="79"/>
      <c r="AO79" s="169">
        <f>SUM(AO76:AO78)</f>
        <v>413250</v>
      </c>
      <c r="AP79" s="79"/>
      <c r="AQ79" s="157">
        <f>IF(AO79=0,"0.0 ",ROUND((AI79/AO79)*100,1))</f>
        <v>11.7</v>
      </c>
    </row>
    <row r="80" spans="1:43" ht="20.100000000000001" customHeight="1" x14ac:dyDescent="0.25">
      <c r="A80" s="202"/>
      <c r="C80" s="154"/>
      <c r="F80" s="200"/>
      <c r="H80" s="200"/>
      <c r="I80" s="200"/>
      <c r="J80" s="213"/>
      <c r="K80" s="213"/>
      <c r="L80" s="200"/>
      <c r="M80" s="200"/>
      <c r="N80" s="210"/>
      <c r="O80" s="210"/>
      <c r="P80" s="200"/>
      <c r="Q80" s="200"/>
      <c r="R80" s="200"/>
      <c r="T80" s="159">
        <v>11</v>
      </c>
      <c r="U80" s="80"/>
      <c r="V80" s="265" t="s">
        <v>583</v>
      </c>
      <c r="W80" s="80"/>
      <c r="X80" s="80"/>
      <c r="Y80" s="169">
        <f>Y72</f>
        <v>24</v>
      </c>
      <c r="Z80" s="70"/>
      <c r="AA80" s="169">
        <f>AA79</f>
        <v>12915280</v>
      </c>
      <c r="AB80" s="79"/>
      <c r="AC80" s="347"/>
      <c r="AD80" s="268"/>
      <c r="AE80" s="169">
        <f>AE79+AE73</f>
        <v>417642</v>
      </c>
      <c r="AF80" s="79"/>
      <c r="AG80" s="170">
        <f>ROUND((AE80/AE$89)*100,1)</f>
        <v>100.9</v>
      </c>
      <c r="AH80" s="156"/>
      <c r="AI80" s="169">
        <f>AI79+AI73</f>
        <v>48342</v>
      </c>
      <c r="AJ80" s="79"/>
      <c r="AK80" s="171">
        <f>IF(AE80=0,"0.0 ",ROUND((AI80/AE80)*100,1))</f>
        <v>11.6</v>
      </c>
      <c r="AL80" s="156"/>
      <c r="AM80" s="169">
        <f>AM79+AM73</f>
        <v>0</v>
      </c>
      <c r="AN80" s="79"/>
      <c r="AO80" s="169">
        <f>AO79+AO73</f>
        <v>417642</v>
      </c>
      <c r="AP80" s="79"/>
      <c r="AQ80" s="157">
        <f>IF(AO80=0,"0.0 ",ROUND((AI80/AO80)*100,1))</f>
        <v>11.6</v>
      </c>
    </row>
    <row r="81" spans="1:43" ht="15.75" customHeight="1" x14ac:dyDescent="0.25">
      <c r="A81" s="202"/>
      <c r="C81" s="154"/>
      <c r="F81" s="200"/>
      <c r="H81" s="200"/>
      <c r="I81" s="200"/>
      <c r="J81" s="213"/>
      <c r="K81" s="213"/>
      <c r="L81" s="200"/>
      <c r="M81" s="200"/>
      <c r="N81" s="210"/>
      <c r="O81" s="210"/>
      <c r="P81" s="200"/>
      <c r="Q81" s="200"/>
      <c r="R81" s="200"/>
      <c r="T81" s="159"/>
      <c r="U81" s="80"/>
      <c r="V81" s="82"/>
      <c r="W81" s="80"/>
      <c r="X81" s="80"/>
      <c r="Y81" s="163"/>
      <c r="Z81" s="70"/>
      <c r="AA81" s="163"/>
      <c r="AB81" s="79"/>
      <c r="AC81" s="347"/>
      <c r="AD81" s="268"/>
      <c r="AE81" s="163"/>
      <c r="AF81" s="79"/>
      <c r="AG81" s="197"/>
      <c r="AH81" s="156"/>
      <c r="AI81" s="163"/>
      <c r="AJ81" s="79"/>
      <c r="AK81" s="172"/>
      <c r="AL81" s="156"/>
      <c r="AM81" s="163"/>
      <c r="AN81" s="79"/>
      <c r="AO81" s="163"/>
      <c r="AP81" s="79"/>
      <c r="AQ81" s="157"/>
    </row>
    <row r="82" spans="1:43" ht="15.75" customHeight="1" x14ac:dyDescent="0.25">
      <c r="A82" s="202"/>
      <c r="C82" s="154"/>
      <c r="F82" s="200"/>
      <c r="H82" s="200"/>
      <c r="I82" s="200"/>
      <c r="J82" s="213"/>
      <c r="K82" s="213"/>
      <c r="L82" s="200"/>
      <c r="M82" s="200"/>
      <c r="N82" s="210"/>
      <c r="O82" s="210"/>
      <c r="P82" s="200"/>
      <c r="Q82" s="200"/>
      <c r="R82" s="200"/>
      <c r="T82" s="159">
        <f>A34</f>
        <v>12</v>
      </c>
      <c r="U82" s="80"/>
      <c r="V82" s="253" t="s">
        <v>553</v>
      </c>
      <c r="W82" s="80"/>
      <c r="X82" s="80"/>
      <c r="Y82" s="163"/>
      <c r="Z82" s="70"/>
      <c r="AA82" s="163"/>
      <c r="AB82" s="79"/>
      <c r="AC82" s="347"/>
      <c r="AD82" s="268"/>
      <c r="AE82" s="163"/>
      <c r="AF82" s="79"/>
      <c r="AG82" s="197"/>
      <c r="AH82" s="156"/>
      <c r="AI82" s="163"/>
      <c r="AJ82" s="79"/>
      <c r="AK82" s="172"/>
      <c r="AL82" s="156"/>
      <c r="AM82" s="163"/>
      <c r="AN82" s="79"/>
      <c r="AO82" s="163"/>
      <c r="AP82" s="79"/>
      <c r="AQ82" s="157"/>
    </row>
    <row r="83" spans="1:43" ht="15.75" customHeight="1" x14ac:dyDescent="0.25">
      <c r="A83" s="202"/>
      <c r="C83" s="154"/>
      <c r="F83" s="200"/>
      <c r="H83" s="200"/>
      <c r="I83" s="200"/>
      <c r="J83" s="213"/>
      <c r="K83" s="213"/>
      <c r="L83" s="200"/>
      <c r="M83" s="200"/>
      <c r="N83" s="210"/>
      <c r="O83" s="210"/>
      <c r="P83" s="200"/>
      <c r="Q83" s="200"/>
      <c r="R83" s="200"/>
      <c r="T83" s="159">
        <f t="shared" ref="T83:T87" si="3">A35</f>
        <v>13</v>
      </c>
      <c r="U83" s="80"/>
      <c r="V83" s="153" t="str">
        <f>C35</f>
        <v>DEMAND SIDE MANAGEMENT RIDER (DSMR)</v>
      </c>
      <c r="W83" s="80"/>
      <c r="X83" s="80"/>
      <c r="Y83" s="163"/>
      <c r="Z83" s="70"/>
      <c r="AA83" s="163"/>
      <c r="AB83" s="79"/>
      <c r="AC83" s="295">
        <f>DSM_TRANS</f>
        <v>1.83E-4</v>
      </c>
      <c r="AD83" s="268"/>
      <c r="AE83" s="163">
        <f>ROUND($AA$80*AC83,0)</f>
        <v>2363</v>
      </c>
      <c r="AF83" s="79"/>
      <c r="AG83" s="197">
        <f>ROUND((AE83/AE$89)*100,1)</f>
        <v>0.6</v>
      </c>
      <c r="AH83" s="156"/>
      <c r="AI83" s="163">
        <f>L35-AE83</f>
        <v>0</v>
      </c>
      <c r="AJ83" s="79"/>
      <c r="AK83" s="172">
        <f t="shared" ref="AK83:AK87" si="4">IF(AE83=0,"0.0 ",ROUND((AI83/AE83)*100,1))</f>
        <v>0</v>
      </c>
      <c r="AL83" s="156"/>
      <c r="AM83" s="163"/>
      <c r="AN83" s="79"/>
      <c r="AO83" s="163">
        <f t="shared" ref="AO83:AO86" si="5">AE83+AM83</f>
        <v>2363</v>
      </c>
      <c r="AP83" s="79"/>
      <c r="AQ83" s="157">
        <f t="shared" ref="AQ83:AQ87" si="6">IF(AO83=0,"0.0 ",ROUND((AI83/AO83)*100,1))</f>
        <v>0</v>
      </c>
    </row>
    <row r="84" spans="1:43" ht="15.75" customHeight="1" x14ac:dyDescent="0.25">
      <c r="A84" s="202"/>
      <c r="C84" s="154"/>
      <c r="F84" s="200"/>
      <c r="H84" s="200"/>
      <c r="I84" s="200"/>
      <c r="J84" s="213"/>
      <c r="K84" s="213"/>
      <c r="L84" s="200"/>
      <c r="M84" s="200"/>
      <c r="N84" s="210"/>
      <c r="O84" s="210"/>
      <c r="P84" s="200"/>
      <c r="Q84" s="200"/>
      <c r="R84" s="200"/>
      <c r="T84" s="159">
        <f t="shared" si="3"/>
        <v>14</v>
      </c>
      <c r="U84" s="80"/>
      <c r="V84" s="153" t="str">
        <f t="shared" ref="V84:V86" si="7">C36</f>
        <v>ENVIRONMENTAL SURCHARGE MECHANISM RIDER (ESM)</v>
      </c>
      <c r="W84" s="80"/>
      <c r="X84" s="80"/>
      <c r="Y84" s="163"/>
      <c r="Z84" s="70"/>
      <c r="AA84" s="163"/>
      <c r="AB84" s="79"/>
      <c r="AC84" s="295">
        <f>CUR_ESM</f>
        <v>0</v>
      </c>
      <c r="AD84" s="268"/>
      <c r="AE84" s="163">
        <f>ROUND(AO80*AC84,0)</f>
        <v>0</v>
      </c>
      <c r="AF84" s="79"/>
      <c r="AG84" s="197">
        <f t="shared" ref="AG84:AG85" si="8">ROUND((AE84/AE$89)*100,1)</f>
        <v>0</v>
      </c>
      <c r="AH84" s="156"/>
      <c r="AI84" s="163">
        <f t="shared" ref="AI84:AI85" si="9">L36-AE84</f>
        <v>0</v>
      </c>
      <c r="AJ84" s="79"/>
      <c r="AK84" s="172" t="str">
        <f t="shared" ref="AK84:AK85" si="10">IF(AE84=0,"0.0 ",ROUND((AI84/AE84)*100,1))</f>
        <v xml:space="preserve">0.0 </v>
      </c>
      <c r="AL84" s="156"/>
      <c r="AM84" s="163"/>
      <c r="AN84" s="79"/>
      <c r="AO84" s="163">
        <f t="shared" ref="AO84:AO85" si="11">AE84+AM84</f>
        <v>0</v>
      </c>
      <c r="AP84" s="79"/>
      <c r="AQ84" s="157" t="str">
        <f t="shared" ref="AQ84:AQ85" si="12">IF(AO84=0,"0.0 ",ROUND((AI84/AO84)*100,1))</f>
        <v xml:space="preserve">0.0 </v>
      </c>
    </row>
    <row r="85" spans="1:43" ht="15.75" customHeight="1" x14ac:dyDescent="0.25">
      <c r="A85" s="202"/>
      <c r="C85" s="154"/>
      <c r="F85" s="200"/>
      <c r="H85" s="200"/>
      <c r="I85" s="200"/>
      <c r="J85" s="213"/>
      <c r="K85" s="213"/>
      <c r="L85" s="200"/>
      <c r="M85" s="200"/>
      <c r="N85" s="210"/>
      <c r="O85" s="210"/>
      <c r="P85" s="200"/>
      <c r="Q85" s="200"/>
      <c r="R85" s="200"/>
      <c r="T85" s="159">
        <f t="shared" si="3"/>
        <v>15</v>
      </c>
      <c r="U85" s="80"/>
      <c r="V85" s="153" t="str">
        <f t="shared" si="7"/>
        <v>FERC TRANSMISSION COST RECOVERY RECONCILIATION (FTR)</v>
      </c>
      <c r="W85" s="80"/>
      <c r="X85" s="80"/>
      <c r="Y85" s="163"/>
      <c r="Z85" s="70"/>
      <c r="AA85" s="79"/>
      <c r="AB85" s="79"/>
      <c r="AC85" s="308">
        <f>CUR_FTR_TT</f>
        <v>0</v>
      </c>
      <c r="AD85" s="268"/>
      <c r="AE85" s="163">
        <f>ROUND(AA80*AC85,0)</f>
        <v>0</v>
      </c>
      <c r="AF85" s="79"/>
      <c r="AG85" s="197">
        <f t="shared" si="8"/>
        <v>0</v>
      </c>
      <c r="AH85" s="156"/>
      <c r="AI85" s="163">
        <f t="shared" si="9"/>
        <v>0</v>
      </c>
      <c r="AJ85" s="79"/>
      <c r="AK85" s="172" t="str">
        <f t="shared" si="10"/>
        <v xml:space="preserve">0.0 </v>
      </c>
      <c r="AL85" s="156"/>
      <c r="AM85" s="163"/>
      <c r="AN85" s="79"/>
      <c r="AO85" s="163">
        <f t="shared" si="11"/>
        <v>0</v>
      </c>
      <c r="AP85" s="79"/>
      <c r="AQ85" s="157" t="str">
        <f t="shared" si="12"/>
        <v xml:space="preserve">0.0 </v>
      </c>
    </row>
    <row r="86" spans="1:43" ht="15.75" customHeight="1" x14ac:dyDescent="0.25">
      <c r="A86" s="202"/>
      <c r="C86" s="154"/>
      <c r="F86" s="200"/>
      <c r="H86" s="200"/>
      <c r="I86" s="200"/>
      <c r="J86" s="213"/>
      <c r="K86" s="213"/>
      <c r="L86" s="200"/>
      <c r="M86" s="200"/>
      <c r="N86" s="210"/>
      <c r="O86" s="210"/>
      <c r="P86" s="200"/>
      <c r="Q86" s="200"/>
      <c r="R86" s="200"/>
      <c r="T86" s="159">
        <f t="shared" si="3"/>
        <v>16</v>
      </c>
      <c r="U86" s="80"/>
      <c r="V86" s="153" t="str">
        <f t="shared" si="7"/>
        <v>PROFIT SHARING MECHANISM (PSM)</v>
      </c>
      <c r="W86" s="80"/>
      <c r="X86" s="80"/>
      <c r="Y86" s="163"/>
      <c r="Z86" s="70"/>
      <c r="AA86" s="163"/>
      <c r="AB86" s="79"/>
      <c r="AC86" s="295">
        <f>RS_PSM</f>
        <v>-4.5600000000000003E-4</v>
      </c>
      <c r="AD86" s="268"/>
      <c r="AE86" s="167">
        <f>ROUND(AA80*RS_PSM,0)</f>
        <v>-5889</v>
      </c>
      <c r="AF86" s="79"/>
      <c r="AG86" s="166">
        <f>ROUND((AE86/AE$89)*100,1)-0.1</f>
        <v>-1.5</v>
      </c>
      <c r="AH86" s="156"/>
      <c r="AI86" s="167">
        <f>L38-AE86</f>
        <v>0</v>
      </c>
      <c r="AJ86" s="79"/>
      <c r="AK86" s="168">
        <f t="shared" si="4"/>
        <v>0</v>
      </c>
      <c r="AL86" s="156"/>
      <c r="AM86" s="163"/>
      <c r="AN86" s="79"/>
      <c r="AO86" s="163">
        <f t="shared" si="5"/>
        <v>-5889</v>
      </c>
      <c r="AP86" s="79"/>
      <c r="AQ86" s="157">
        <f t="shared" si="6"/>
        <v>0</v>
      </c>
    </row>
    <row r="87" spans="1:43" ht="20.100000000000001" customHeight="1" x14ac:dyDescent="0.25">
      <c r="A87" s="202"/>
      <c r="C87" s="154"/>
      <c r="F87" s="200"/>
      <c r="H87" s="200"/>
      <c r="I87" s="200"/>
      <c r="J87" s="213"/>
      <c r="K87" s="213"/>
      <c r="L87" s="200"/>
      <c r="M87" s="200"/>
      <c r="N87" s="210"/>
      <c r="O87" s="210"/>
      <c r="P87" s="200"/>
      <c r="Q87" s="200"/>
      <c r="R87" s="200"/>
      <c r="T87" s="159">
        <f t="shared" si="3"/>
        <v>17</v>
      </c>
      <c r="U87" s="80"/>
      <c r="V87" s="253" t="s">
        <v>557</v>
      </c>
      <c r="W87" s="80"/>
      <c r="X87" s="80"/>
      <c r="Y87" s="167"/>
      <c r="Z87" s="70"/>
      <c r="AA87" s="167"/>
      <c r="AB87" s="79"/>
      <c r="AC87" s="268"/>
      <c r="AD87" s="268"/>
      <c r="AE87" s="169">
        <f>SUM(AE83:AE86)</f>
        <v>-3526</v>
      </c>
      <c r="AF87" s="79"/>
      <c r="AG87" s="170">
        <f>ROUND((AE87/AE$89)*100,1)</f>
        <v>-0.9</v>
      </c>
      <c r="AH87" s="156"/>
      <c r="AI87" s="169">
        <f>SUM(AI83:AI86)</f>
        <v>0</v>
      </c>
      <c r="AJ87" s="79"/>
      <c r="AK87" s="171">
        <f t="shared" si="4"/>
        <v>0</v>
      </c>
      <c r="AL87" s="156"/>
      <c r="AM87" s="169">
        <f>SUM(AM83:AM86)</f>
        <v>0</v>
      </c>
      <c r="AN87" s="79"/>
      <c r="AO87" s="169">
        <f>SUM(AO83:AO86)</f>
        <v>-3526</v>
      </c>
      <c r="AP87" s="79"/>
      <c r="AQ87" s="157">
        <f t="shared" si="6"/>
        <v>0</v>
      </c>
    </row>
    <row r="88" spans="1:43" ht="15.75" customHeight="1" x14ac:dyDescent="0.25">
      <c r="A88" s="202"/>
      <c r="C88" s="154"/>
      <c r="F88" s="200"/>
      <c r="H88" s="200"/>
      <c r="I88" s="200"/>
      <c r="J88" s="213"/>
      <c r="K88" s="213"/>
      <c r="L88" s="200"/>
      <c r="M88" s="200"/>
      <c r="N88" s="210"/>
      <c r="O88" s="210"/>
      <c r="P88" s="200"/>
      <c r="Q88" s="200"/>
      <c r="R88" s="200"/>
      <c r="T88" s="159"/>
      <c r="U88" s="80"/>
      <c r="V88" s="253"/>
      <c r="W88" s="80"/>
      <c r="X88" s="80"/>
      <c r="Y88" s="163"/>
      <c r="Z88" s="70"/>
      <c r="AA88" s="163"/>
      <c r="AB88" s="79"/>
      <c r="AC88" s="268"/>
      <c r="AD88" s="268"/>
      <c r="AE88" s="163"/>
      <c r="AF88" s="79"/>
      <c r="AG88" s="197"/>
      <c r="AH88" s="156"/>
      <c r="AI88" s="163"/>
      <c r="AJ88" s="79"/>
      <c r="AK88" s="172"/>
      <c r="AL88" s="156"/>
      <c r="AM88" s="163"/>
      <c r="AN88" s="79"/>
      <c r="AO88" s="163"/>
      <c r="AP88" s="79"/>
      <c r="AQ88" s="157"/>
    </row>
    <row r="89" spans="1:43" ht="20.100000000000001" customHeight="1" thickBot="1" x14ac:dyDescent="0.3">
      <c r="F89" s="200"/>
      <c r="H89" s="211"/>
      <c r="I89" s="211"/>
      <c r="J89" s="305"/>
      <c r="K89" s="305"/>
      <c r="L89" s="211"/>
      <c r="M89" s="211"/>
      <c r="N89" s="211"/>
      <c r="O89" s="211"/>
      <c r="P89" s="211"/>
      <c r="Q89" s="211"/>
      <c r="R89" s="211"/>
      <c r="T89" s="159">
        <f>A41</f>
        <v>18</v>
      </c>
      <c r="U89" s="80"/>
      <c r="V89" s="265" t="s">
        <v>584</v>
      </c>
      <c r="W89" s="80"/>
      <c r="X89" s="80"/>
      <c r="Y89" s="275">
        <f>Y80</f>
        <v>24</v>
      </c>
      <c r="Z89" s="70"/>
      <c r="AA89" s="275">
        <f>AA80</f>
        <v>12915280</v>
      </c>
      <c r="AB89" s="79"/>
      <c r="AC89" s="70"/>
      <c r="AD89" s="70"/>
      <c r="AE89" s="275">
        <f>AE87+AE80</f>
        <v>414116</v>
      </c>
      <c r="AF89" s="79"/>
      <c r="AG89" s="291">
        <v>100</v>
      </c>
      <c r="AH89" s="156"/>
      <c r="AI89" s="275">
        <f>AI87+AI80</f>
        <v>48342</v>
      </c>
      <c r="AJ89" s="79"/>
      <c r="AK89" s="364">
        <f>IF(AE89=0,"0.0 ",ROUND((AI89/AE89)*100,1))</f>
        <v>11.7</v>
      </c>
      <c r="AL89" s="156"/>
      <c r="AM89" s="275">
        <f>AM87+AM80</f>
        <v>0</v>
      </c>
      <c r="AN89" s="78"/>
      <c r="AO89" s="275">
        <f>AO87+AO80</f>
        <v>414116</v>
      </c>
      <c r="AP89" s="79"/>
      <c r="AQ89" s="157">
        <f>IF(AO89=0,"0.0 ",ROUND((AI89/AO89)*100,1))</f>
        <v>11.7</v>
      </c>
    </row>
    <row r="90" spans="1:43" ht="16.5" thickTop="1" x14ac:dyDescent="0.25">
      <c r="F90" s="200"/>
      <c r="H90" s="211"/>
      <c r="I90" s="211"/>
      <c r="J90" s="305"/>
      <c r="K90" s="305"/>
      <c r="L90" s="211"/>
      <c r="M90" s="211"/>
      <c r="N90" s="211"/>
      <c r="O90" s="211"/>
      <c r="P90" s="211"/>
      <c r="Q90" s="211"/>
      <c r="R90" s="211"/>
      <c r="T90" s="80"/>
      <c r="U90" s="80"/>
      <c r="V90" s="80"/>
      <c r="W90" s="80"/>
      <c r="X90" s="80"/>
      <c r="Y90" s="70"/>
      <c r="Z90" s="70"/>
      <c r="AA90" s="70"/>
      <c r="AB90" s="70"/>
      <c r="AC90" s="70"/>
      <c r="AD90" s="70"/>
      <c r="AE90" s="70"/>
      <c r="AF90" s="70"/>
      <c r="AG90" s="164"/>
      <c r="AH90" s="70"/>
      <c r="AI90" s="70"/>
      <c r="AJ90" s="70"/>
      <c r="AK90" s="164"/>
      <c r="AL90" s="70"/>
      <c r="AM90" s="70"/>
      <c r="AN90" s="70"/>
      <c r="AO90" s="70"/>
      <c r="AP90" s="70"/>
      <c r="AQ90" s="164"/>
    </row>
    <row r="91" spans="1:43" x14ac:dyDescent="0.25">
      <c r="A91" s="202"/>
      <c r="C91" s="154"/>
      <c r="F91" s="200"/>
      <c r="H91" s="200"/>
      <c r="I91" s="200"/>
      <c r="J91" s="305"/>
      <c r="K91" s="305"/>
      <c r="L91" s="200"/>
      <c r="M91" s="200"/>
      <c r="N91" s="200"/>
      <c r="O91" s="200"/>
      <c r="P91" s="200"/>
      <c r="Q91" s="200"/>
      <c r="R91" s="200"/>
      <c r="T91" s="80"/>
      <c r="U91" s="80"/>
      <c r="V91" s="173" t="s">
        <v>61</v>
      </c>
      <c r="W91" s="80"/>
      <c r="X91" s="80"/>
      <c r="Y91" s="80"/>
      <c r="Z91" s="80"/>
      <c r="AA91" s="80"/>
      <c r="AB91" s="80"/>
      <c r="AC91" s="80"/>
      <c r="AD91" s="80"/>
      <c r="AE91" s="189"/>
      <c r="AF91" s="189"/>
      <c r="AG91" s="296"/>
      <c r="AH91" s="189"/>
      <c r="AI91" s="80"/>
      <c r="AJ91" s="80"/>
      <c r="AK91" s="188"/>
      <c r="AL91" s="80"/>
      <c r="AM91" s="189"/>
      <c r="AN91" s="189"/>
      <c r="AO91" s="189"/>
      <c r="AP91" s="189"/>
      <c r="AQ91" s="188"/>
    </row>
    <row r="92" spans="1:43" x14ac:dyDescent="0.25">
      <c r="A92" s="202"/>
      <c r="C92" s="154"/>
      <c r="F92" s="200"/>
      <c r="H92" s="252"/>
      <c r="I92" s="252"/>
      <c r="J92" s="329"/>
      <c r="K92" s="329"/>
      <c r="L92" s="200"/>
      <c r="M92" s="200"/>
      <c r="N92" s="210"/>
      <c r="O92" s="210"/>
      <c r="P92" s="200"/>
      <c r="Q92" s="200"/>
      <c r="R92" s="200"/>
      <c r="T92" s="82"/>
      <c r="U92" s="80"/>
      <c r="V92" s="82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188"/>
      <c r="AH92" s="80"/>
      <c r="AI92" s="80"/>
      <c r="AJ92" s="80"/>
      <c r="AK92" s="188"/>
      <c r="AL92" s="80"/>
      <c r="AM92" s="80"/>
      <c r="AN92" s="80"/>
      <c r="AO92" s="80"/>
      <c r="AP92" s="80"/>
      <c r="AQ92" s="188"/>
    </row>
    <row r="93" spans="1:43" x14ac:dyDescent="0.25">
      <c r="A93" s="202"/>
      <c r="C93" s="154"/>
      <c r="H93" s="252"/>
      <c r="I93" s="252"/>
      <c r="J93" s="329"/>
      <c r="K93" s="329"/>
      <c r="L93" s="200"/>
      <c r="M93" s="200"/>
      <c r="N93" s="210"/>
      <c r="O93" s="210"/>
      <c r="P93" s="200"/>
      <c r="Q93" s="200"/>
      <c r="R93" s="200"/>
      <c r="T93" s="154"/>
      <c r="V93" s="252"/>
      <c r="Y93" s="252"/>
      <c r="Z93" s="328"/>
      <c r="AA93" s="200"/>
      <c r="AB93" s="200"/>
      <c r="AC93" s="210"/>
      <c r="AD93" s="210"/>
      <c r="AE93" s="200"/>
      <c r="AF93" s="200"/>
      <c r="AG93" s="209"/>
      <c r="AH93" s="210"/>
      <c r="AI93" s="200"/>
      <c r="AJ93" s="200"/>
      <c r="AK93" s="209"/>
      <c r="AL93" s="200"/>
      <c r="AM93" s="210"/>
      <c r="AN93" s="210"/>
    </row>
    <row r="94" spans="1:43" x14ac:dyDescent="0.25">
      <c r="F94" s="200"/>
      <c r="H94" s="200"/>
      <c r="I94" s="200"/>
      <c r="J94" s="305"/>
      <c r="K94" s="305"/>
      <c r="L94" s="211"/>
      <c r="M94" s="211"/>
      <c r="N94" s="211"/>
      <c r="O94" s="211"/>
      <c r="P94" s="211"/>
      <c r="Q94" s="211"/>
      <c r="R94" s="211"/>
      <c r="T94" s="154"/>
      <c r="V94" s="252"/>
      <c r="Y94" s="200"/>
      <c r="Z94" s="300"/>
      <c r="AA94" s="200"/>
      <c r="AB94" s="200"/>
      <c r="AC94" s="210"/>
      <c r="AD94" s="210"/>
      <c r="AE94" s="200"/>
      <c r="AF94" s="200"/>
      <c r="AG94" s="209"/>
      <c r="AH94" s="201"/>
      <c r="AI94" s="200"/>
      <c r="AJ94" s="200"/>
      <c r="AK94" s="209"/>
      <c r="AL94" s="200"/>
      <c r="AM94" s="210"/>
      <c r="AN94" s="210"/>
    </row>
    <row r="95" spans="1:43" x14ac:dyDescent="0.25">
      <c r="A95" s="202"/>
      <c r="C95" s="154"/>
      <c r="F95" s="200"/>
      <c r="H95" s="200"/>
      <c r="I95" s="200"/>
      <c r="J95" s="213"/>
      <c r="K95" s="213"/>
      <c r="L95" s="200"/>
      <c r="M95" s="200"/>
      <c r="N95" s="210"/>
      <c r="O95" s="210"/>
      <c r="P95" s="200"/>
      <c r="Q95" s="200"/>
      <c r="R95" s="200"/>
      <c r="T95" s="154"/>
      <c r="V95" s="252"/>
      <c r="Y95" s="200"/>
      <c r="Z95" s="300"/>
      <c r="AA95" s="200"/>
      <c r="AB95" s="200"/>
      <c r="AC95" s="210"/>
      <c r="AD95" s="210"/>
      <c r="AE95" s="200"/>
      <c r="AF95" s="200"/>
      <c r="AG95" s="209"/>
      <c r="AH95" s="201"/>
      <c r="AI95" s="200"/>
      <c r="AJ95" s="200"/>
      <c r="AK95" s="209"/>
      <c r="AL95" s="200"/>
      <c r="AM95" s="210"/>
      <c r="AN95" s="210"/>
    </row>
    <row r="96" spans="1:43" x14ac:dyDescent="0.25">
      <c r="F96" s="200"/>
      <c r="H96" s="200"/>
      <c r="I96" s="200"/>
      <c r="J96" s="305"/>
      <c r="K96" s="305"/>
      <c r="L96" s="211"/>
      <c r="M96" s="211"/>
      <c r="N96" s="211"/>
      <c r="O96" s="211"/>
      <c r="P96" s="211"/>
      <c r="Q96" s="211"/>
      <c r="R96" s="211"/>
      <c r="V96" s="200"/>
      <c r="Y96" s="211"/>
      <c r="Z96" s="305"/>
      <c r="AA96" s="211"/>
      <c r="AB96" s="211"/>
      <c r="AC96" s="211"/>
      <c r="AD96" s="211"/>
      <c r="AE96" s="211"/>
      <c r="AF96" s="211"/>
      <c r="AI96" s="211"/>
      <c r="AJ96" s="211"/>
      <c r="AK96" s="212"/>
      <c r="AL96" s="211"/>
      <c r="AM96" s="210"/>
      <c r="AN96" s="210"/>
    </row>
    <row r="97" spans="1:40" x14ac:dyDescent="0.25">
      <c r="A97" s="202"/>
      <c r="C97" s="154"/>
      <c r="F97" s="200"/>
      <c r="H97" s="200"/>
      <c r="I97" s="200"/>
      <c r="J97" s="213"/>
      <c r="K97" s="213"/>
      <c r="L97" s="200"/>
      <c r="M97" s="200"/>
      <c r="N97" s="210"/>
      <c r="O97" s="210"/>
      <c r="P97" s="200"/>
      <c r="Q97" s="200"/>
      <c r="R97" s="200"/>
      <c r="T97" s="154"/>
      <c r="V97" s="200"/>
      <c r="Y97" s="200"/>
      <c r="Z97" s="305"/>
      <c r="AA97" s="200"/>
      <c r="AB97" s="200"/>
      <c r="AC97" s="210"/>
      <c r="AD97" s="210"/>
      <c r="AE97" s="200"/>
      <c r="AF97" s="200"/>
      <c r="AG97" s="209"/>
      <c r="AH97" s="201"/>
      <c r="AI97" s="200"/>
      <c r="AJ97" s="200"/>
      <c r="AK97" s="209"/>
      <c r="AL97" s="200"/>
      <c r="AM97" s="210"/>
      <c r="AN97" s="210"/>
    </row>
    <row r="98" spans="1:40" x14ac:dyDescent="0.25">
      <c r="A98" s="202"/>
      <c r="C98" s="154"/>
      <c r="F98" s="252"/>
      <c r="H98" s="252"/>
      <c r="I98" s="252"/>
      <c r="J98" s="320"/>
      <c r="K98" s="320"/>
      <c r="L98" s="200"/>
      <c r="M98" s="200"/>
      <c r="N98" s="210"/>
      <c r="O98" s="210"/>
      <c r="P98" s="200"/>
      <c r="Q98" s="200"/>
      <c r="R98" s="200"/>
      <c r="V98" s="200"/>
      <c r="Y98" s="211"/>
      <c r="Z98" s="305"/>
      <c r="AA98" s="211"/>
      <c r="AB98" s="211"/>
      <c r="AC98" s="211"/>
      <c r="AD98" s="211"/>
      <c r="AE98" s="211"/>
      <c r="AF98" s="211"/>
      <c r="AI98" s="211"/>
      <c r="AJ98" s="211"/>
      <c r="AK98" s="212"/>
      <c r="AL98" s="211"/>
      <c r="AM98" s="210"/>
      <c r="AN98" s="210"/>
    </row>
    <row r="99" spans="1:40" x14ac:dyDescent="0.25">
      <c r="F99" s="211"/>
      <c r="H99" s="211"/>
      <c r="I99" s="211"/>
      <c r="J99" s="305"/>
      <c r="K99" s="305"/>
      <c r="L99" s="211"/>
      <c r="M99" s="211"/>
      <c r="N99" s="211"/>
      <c r="O99" s="211"/>
      <c r="P99" s="211"/>
      <c r="Q99" s="211"/>
      <c r="R99" s="211"/>
      <c r="T99" s="154"/>
      <c r="V99" s="200"/>
      <c r="Y99" s="200"/>
      <c r="Z99" s="305"/>
      <c r="AA99" s="200"/>
      <c r="AB99" s="200"/>
      <c r="AC99" s="200"/>
      <c r="AD99" s="200"/>
      <c r="AE99" s="200"/>
      <c r="AF99" s="200"/>
      <c r="AG99" s="209"/>
      <c r="AH99" s="201"/>
      <c r="AI99" s="200"/>
      <c r="AJ99" s="200"/>
      <c r="AK99" s="209"/>
      <c r="AL99" s="200"/>
      <c r="AM99" s="210"/>
      <c r="AN99" s="210"/>
    </row>
    <row r="100" spans="1:40" x14ac:dyDescent="0.25">
      <c r="A100" s="202"/>
      <c r="C100" s="154"/>
      <c r="F100" s="200"/>
      <c r="H100" s="200"/>
      <c r="I100" s="200"/>
      <c r="J100" s="305"/>
      <c r="K100" s="305"/>
      <c r="L100" s="200"/>
      <c r="M100" s="200"/>
      <c r="N100" s="210"/>
      <c r="O100" s="210"/>
      <c r="P100" s="200"/>
      <c r="Q100" s="200"/>
      <c r="R100" s="200"/>
      <c r="S100" s="200"/>
      <c r="T100" s="154"/>
      <c r="V100" s="200"/>
      <c r="Y100" s="200"/>
      <c r="Z100" s="329"/>
      <c r="AA100" s="200"/>
      <c r="AB100" s="200"/>
      <c r="AC100" s="210"/>
      <c r="AD100" s="210"/>
      <c r="AE100" s="200"/>
      <c r="AF100" s="200"/>
      <c r="AG100" s="209"/>
      <c r="AH100" s="201"/>
      <c r="AI100" s="200"/>
      <c r="AJ100" s="200"/>
      <c r="AK100" s="209"/>
      <c r="AL100" s="200"/>
      <c r="AM100" s="210"/>
      <c r="AN100" s="210"/>
    </row>
    <row r="101" spans="1:40" x14ac:dyDescent="0.25">
      <c r="F101" s="211"/>
      <c r="H101" s="211"/>
      <c r="I101" s="211"/>
      <c r="J101" s="305"/>
      <c r="K101" s="305"/>
      <c r="L101" s="211"/>
      <c r="M101" s="211"/>
      <c r="N101" s="211"/>
      <c r="O101" s="211"/>
      <c r="P101" s="211"/>
      <c r="Q101" s="211"/>
      <c r="R101" s="211"/>
      <c r="S101" s="200"/>
      <c r="T101" s="154"/>
      <c r="Y101" s="200"/>
      <c r="Z101" s="329"/>
      <c r="AA101" s="200"/>
      <c r="AB101" s="200"/>
      <c r="AC101" s="210"/>
      <c r="AD101" s="210"/>
      <c r="AE101" s="200"/>
      <c r="AF101" s="200"/>
      <c r="AG101" s="209"/>
      <c r="AH101" s="201"/>
      <c r="AI101" s="200"/>
      <c r="AJ101" s="200"/>
      <c r="AK101" s="209"/>
      <c r="AL101" s="200"/>
      <c r="AM101" s="210"/>
      <c r="AN101" s="210"/>
    </row>
    <row r="102" spans="1:40" x14ac:dyDescent="0.25">
      <c r="A102" s="202"/>
      <c r="C102" s="154"/>
      <c r="V102" s="200"/>
      <c r="Y102" s="200"/>
      <c r="Z102" s="305"/>
      <c r="AA102" s="211"/>
      <c r="AB102" s="211"/>
      <c r="AC102" s="211"/>
      <c r="AD102" s="211"/>
      <c r="AE102" s="211"/>
      <c r="AF102" s="211"/>
      <c r="AI102" s="211"/>
      <c r="AJ102" s="211"/>
      <c r="AK102" s="212"/>
      <c r="AL102" s="211"/>
      <c r="AM102" s="210"/>
      <c r="AN102" s="210"/>
    </row>
    <row r="103" spans="1:40" x14ac:dyDescent="0.25">
      <c r="A103" s="202"/>
      <c r="C103" s="154"/>
      <c r="F103" s="200"/>
      <c r="H103" s="200"/>
      <c r="I103" s="200"/>
      <c r="L103" s="200"/>
      <c r="M103" s="200"/>
      <c r="N103" s="210"/>
      <c r="O103" s="210"/>
      <c r="P103" s="252"/>
      <c r="Q103" s="252"/>
      <c r="R103" s="200"/>
      <c r="T103" s="154"/>
      <c r="V103" s="200"/>
      <c r="Y103" s="200"/>
      <c r="Z103" s="213"/>
      <c r="AA103" s="200"/>
      <c r="AB103" s="200"/>
      <c r="AC103" s="210"/>
      <c r="AD103" s="210"/>
      <c r="AE103" s="200"/>
      <c r="AF103" s="200"/>
      <c r="AG103" s="209"/>
      <c r="AH103" s="201"/>
      <c r="AI103" s="200"/>
      <c r="AJ103" s="200"/>
      <c r="AK103" s="209"/>
      <c r="AL103" s="200"/>
      <c r="AM103" s="210"/>
      <c r="AN103" s="210"/>
    </row>
    <row r="104" spans="1:40" x14ac:dyDescent="0.25">
      <c r="F104" s="211"/>
      <c r="H104" s="211"/>
      <c r="I104" s="211"/>
      <c r="J104" s="305"/>
      <c r="K104" s="305"/>
      <c r="L104" s="211"/>
      <c r="M104" s="211"/>
      <c r="N104" s="211"/>
      <c r="O104" s="211"/>
      <c r="P104" s="211"/>
      <c r="Q104" s="211"/>
      <c r="R104" s="211"/>
      <c r="V104" s="200"/>
      <c r="Y104" s="200"/>
      <c r="Z104" s="305"/>
      <c r="AA104" s="211"/>
      <c r="AB104" s="211"/>
      <c r="AC104" s="211"/>
      <c r="AD104" s="211"/>
      <c r="AE104" s="211"/>
      <c r="AF104" s="211"/>
      <c r="AI104" s="211"/>
      <c r="AJ104" s="211"/>
      <c r="AK104" s="212"/>
      <c r="AL104" s="211"/>
      <c r="AM104" s="210"/>
      <c r="AN104" s="210"/>
    </row>
    <row r="105" spans="1:40" x14ac:dyDescent="0.25">
      <c r="T105" s="154"/>
      <c r="V105" s="200"/>
      <c r="Y105" s="200"/>
      <c r="Z105" s="213"/>
      <c r="AA105" s="200"/>
      <c r="AB105" s="200"/>
      <c r="AC105" s="210"/>
      <c r="AD105" s="210"/>
      <c r="AE105" s="200"/>
      <c r="AF105" s="200"/>
      <c r="AG105" s="209"/>
      <c r="AH105" s="201"/>
      <c r="AI105" s="200"/>
      <c r="AJ105" s="200"/>
      <c r="AK105" s="209"/>
      <c r="AL105" s="200"/>
      <c r="AM105" s="210"/>
      <c r="AN105" s="210"/>
    </row>
    <row r="106" spans="1:40" x14ac:dyDescent="0.25">
      <c r="C106" s="154"/>
      <c r="L106" s="200"/>
      <c r="M106" s="200"/>
      <c r="N106" s="200"/>
      <c r="O106" s="200"/>
      <c r="P106" s="200"/>
      <c r="Q106" s="200"/>
      <c r="R106" s="200"/>
      <c r="S106" s="200"/>
      <c r="T106" s="154"/>
      <c r="V106" s="252"/>
      <c r="Y106" s="200"/>
      <c r="Z106" s="320"/>
      <c r="AA106" s="200"/>
      <c r="AB106" s="200"/>
      <c r="AC106" s="210"/>
      <c r="AD106" s="210"/>
      <c r="AE106" s="200"/>
      <c r="AF106" s="200"/>
      <c r="AG106" s="209"/>
      <c r="AH106" s="201"/>
      <c r="AI106" s="200"/>
      <c r="AJ106" s="200"/>
      <c r="AK106" s="209"/>
      <c r="AL106" s="200"/>
      <c r="AM106" s="210"/>
      <c r="AN106" s="210"/>
    </row>
    <row r="107" spans="1:40" x14ac:dyDescent="0.25">
      <c r="A107" s="154"/>
      <c r="V107" s="211"/>
      <c r="Y107" s="211"/>
      <c r="Z107" s="305"/>
      <c r="AA107" s="211"/>
      <c r="AB107" s="211"/>
      <c r="AC107" s="211"/>
      <c r="AD107" s="211"/>
      <c r="AE107" s="211"/>
      <c r="AF107" s="211"/>
      <c r="AI107" s="211"/>
      <c r="AJ107" s="211"/>
      <c r="AK107" s="212"/>
      <c r="AL107" s="211"/>
      <c r="AM107" s="210"/>
      <c r="AN107" s="210"/>
    </row>
    <row r="108" spans="1:40" x14ac:dyDescent="0.25">
      <c r="J108" s="202"/>
      <c r="K108" s="202"/>
      <c r="T108" s="154"/>
      <c r="V108" s="200"/>
      <c r="Y108" s="200"/>
      <c r="Z108" s="305"/>
      <c r="AA108" s="200"/>
      <c r="AB108" s="200"/>
      <c r="AC108" s="210"/>
      <c r="AD108" s="210"/>
      <c r="AE108" s="200"/>
      <c r="AF108" s="200"/>
      <c r="AG108" s="209"/>
      <c r="AH108" s="210"/>
      <c r="AI108" s="200"/>
      <c r="AJ108" s="200"/>
      <c r="AK108" s="209"/>
      <c r="AL108" s="200"/>
      <c r="AM108" s="210"/>
      <c r="AN108" s="210"/>
    </row>
    <row r="109" spans="1:40" x14ac:dyDescent="0.25">
      <c r="H109" s="154"/>
      <c r="I109" s="154"/>
      <c r="V109" s="211"/>
      <c r="Y109" s="211"/>
      <c r="Z109" s="305"/>
      <c r="AA109" s="211"/>
      <c r="AB109" s="211"/>
      <c r="AC109" s="211"/>
      <c r="AD109" s="211"/>
      <c r="AE109" s="211"/>
      <c r="AF109" s="211"/>
      <c r="AI109" s="211"/>
      <c r="AJ109" s="211"/>
      <c r="AK109" s="212"/>
      <c r="AL109" s="211"/>
      <c r="AM109" s="210"/>
      <c r="AN109" s="210"/>
    </row>
    <row r="110" spans="1:40" x14ac:dyDescent="0.25">
      <c r="J110" s="202"/>
      <c r="K110" s="202"/>
      <c r="T110" s="154"/>
    </row>
    <row r="111" spans="1:40" x14ac:dyDescent="0.25">
      <c r="L111" s="154"/>
      <c r="M111" s="154"/>
      <c r="AA111" s="154"/>
      <c r="AB111" s="154"/>
    </row>
    <row r="112" spans="1:40" x14ac:dyDescent="0.25">
      <c r="A112" s="202"/>
      <c r="R112" s="154"/>
      <c r="AK112" s="297"/>
      <c r="AL112" s="154"/>
    </row>
    <row r="113" spans="1:40" x14ac:dyDescent="0.25">
      <c r="A113" s="202"/>
      <c r="R113" s="154"/>
      <c r="AK113" s="297"/>
      <c r="AL113" s="154"/>
    </row>
    <row r="114" spans="1:40" x14ac:dyDescent="0.25">
      <c r="A114" s="154"/>
      <c r="R114" s="154"/>
      <c r="AK114" s="297"/>
      <c r="AL114" s="154"/>
    </row>
    <row r="115" spans="1:40" x14ac:dyDescent="0.25">
      <c r="L115" s="154"/>
      <c r="M115" s="154"/>
      <c r="R115" s="202"/>
      <c r="AA115" s="154"/>
      <c r="AB115" s="154"/>
      <c r="AK115" s="209"/>
      <c r="AL115" s="202"/>
    </row>
    <row r="116" spans="1:40" x14ac:dyDescent="0.2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208"/>
      <c r="AH116" s="102"/>
      <c r="AI116" s="102"/>
      <c r="AJ116" s="102"/>
      <c r="AK116" s="208"/>
      <c r="AL116" s="102"/>
      <c r="AM116" s="102"/>
      <c r="AN116" s="102"/>
    </row>
    <row r="117" spans="1:40" x14ac:dyDescent="0.25">
      <c r="L117" s="103"/>
      <c r="M117" s="103"/>
      <c r="N117" s="103"/>
      <c r="O117" s="103"/>
      <c r="R117" s="103"/>
      <c r="AA117" s="103"/>
      <c r="AB117" s="103"/>
      <c r="AC117" s="103"/>
      <c r="AD117" s="103"/>
      <c r="AE117" s="103"/>
      <c r="AF117" s="103"/>
      <c r="AG117" s="185"/>
      <c r="AH117" s="103"/>
      <c r="AK117" s="185"/>
      <c r="AL117" s="103"/>
      <c r="AM117" s="103"/>
      <c r="AN117" s="103"/>
    </row>
    <row r="118" spans="1:40" x14ac:dyDescent="0.25">
      <c r="L118" s="103"/>
      <c r="M118" s="103"/>
      <c r="N118" s="103"/>
      <c r="O118" s="103"/>
      <c r="R118" s="103"/>
      <c r="Z118" s="103"/>
      <c r="AA118" s="103"/>
      <c r="AB118" s="103"/>
      <c r="AC118" s="103"/>
      <c r="AD118" s="103"/>
      <c r="AE118" s="103"/>
      <c r="AF118" s="103"/>
      <c r="AG118" s="185"/>
      <c r="AH118" s="103"/>
      <c r="AK118" s="185"/>
      <c r="AL118" s="103"/>
      <c r="AM118" s="103"/>
      <c r="AN118" s="103"/>
    </row>
    <row r="119" spans="1:40" x14ac:dyDescent="0.25">
      <c r="A119" s="103"/>
      <c r="C119" s="103"/>
      <c r="D119" s="103"/>
      <c r="E119" s="103"/>
      <c r="F119" s="103"/>
      <c r="J119" s="103"/>
      <c r="K119" s="103"/>
      <c r="L119" s="103"/>
      <c r="M119" s="103"/>
      <c r="N119" s="103"/>
      <c r="O119" s="103"/>
      <c r="P119" s="103"/>
      <c r="Q119" s="103"/>
      <c r="R119" s="103"/>
      <c r="T119" s="103"/>
      <c r="U119" s="103"/>
      <c r="V119" s="103"/>
      <c r="Z119" s="103"/>
      <c r="AA119" s="103"/>
      <c r="AB119" s="103"/>
      <c r="AC119" s="103"/>
      <c r="AD119" s="103"/>
      <c r="AE119" s="103"/>
      <c r="AF119" s="103"/>
      <c r="AG119" s="185"/>
      <c r="AH119" s="103"/>
      <c r="AI119" s="103"/>
      <c r="AJ119" s="103"/>
      <c r="AK119" s="185"/>
      <c r="AL119" s="103"/>
      <c r="AM119" s="103"/>
      <c r="AN119" s="103"/>
    </row>
    <row r="120" spans="1:40" x14ac:dyDescent="0.25">
      <c r="A120" s="103"/>
      <c r="C120" s="103"/>
      <c r="D120" s="103"/>
      <c r="E120" s="103"/>
      <c r="F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T120" s="103"/>
      <c r="U120" s="103"/>
      <c r="V120" s="103"/>
      <c r="Y120" s="103"/>
      <c r="Z120" s="103"/>
      <c r="AA120" s="103"/>
      <c r="AB120" s="103"/>
      <c r="AC120" s="103"/>
      <c r="AD120" s="103"/>
      <c r="AE120" s="103"/>
      <c r="AF120" s="103"/>
      <c r="AG120" s="185"/>
      <c r="AH120" s="103"/>
      <c r="AI120" s="103"/>
      <c r="AJ120" s="103"/>
      <c r="AK120" s="185"/>
      <c r="AL120" s="103"/>
      <c r="AM120" s="103"/>
      <c r="AN120" s="103"/>
    </row>
    <row r="121" spans="1:40" x14ac:dyDescent="0.25">
      <c r="C121" s="103"/>
      <c r="D121" s="103"/>
      <c r="E121" s="103"/>
      <c r="F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T121" s="103"/>
      <c r="U121" s="103"/>
      <c r="V121" s="103"/>
      <c r="Y121" s="103"/>
      <c r="Z121" s="103"/>
      <c r="AA121" s="103"/>
      <c r="AB121" s="103"/>
      <c r="AC121" s="103"/>
      <c r="AD121" s="103"/>
      <c r="AE121" s="103"/>
      <c r="AF121" s="103"/>
      <c r="AG121" s="185"/>
      <c r="AH121" s="103"/>
      <c r="AI121" s="103"/>
      <c r="AJ121" s="103"/>
      <c r="AK121" s="185"/>
      <c r="AL121" s="103"/>
      <c r="AM121" s="103"/>
      <c r="AN121" s="103"/>
    </row>
    <row r="122" spans="1:40" x14ac:dyDescent="0.2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208"/>
      <c r="AH122" s="102"/>
      <c r="AI122" s="102"/>
      <c r="AJ122" s="102"/>
      <c r="AK122" s="208"/>
      <c r="AL122" s="102"/>
      <c r="AM122" s="102"/>
      <c r="AN122" s="102"/>
    </row>
    <row r="123" spans="1:40" x14ac:dyDescent="0.25"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Y123" s="103"/>
      <c r="Z123" s="103"/>
      <c r="AA123" s="103"/>
      <c r="AB123" s="103"/>
      <c r="AC123" s="103"/>
      <c r="AD123" s="103"/>
      <c r="AE123" s="103"/>
      <c r="AF123" s="103"/>
      <c r="AG123" s="185"/>
      <c r="AH123" s="103"/>
      <c r="AI123" s="103"/>
      <c r="AJ123" s="103"/>
      <c r="AK123" s="185"/>
      <c r="AL123" s="103"/>
      <c r="AM123" s="103"/>
      <c r="AN123" s="103"/>
    </row>
    <row r="124" spans="1:40" x14ac:dyDescent="0.25">
      <c r="A124" s="202"/>
      <c r="C124" s="154"/>
      <c r="D124" s="154"/>
      <c r="E124" s="154"/>
      <c r="T124" s="154"/>
      <c r="U124" s="154"/>
    </row>
    <row r="125" spans="1:40" x14ac:dyDescent="0.25">
      <c r="A125" s="202"/>
      <c r="D125" s="154"/>
      <c r="E125" s="154"/>
      <c r="U125" s="154"/>
    </row>
    <row r="127" spans="1:40" x14ac:dyDescent="0.25">
      <c r="A127" s="202"/>
      <c r="C127" s="154"/>
      <c r="F127" s="252"/>
      <c r="H127" s="252"/>
      <c r="I127" s="252"/>
      <c r="J127" s="300"/>
      <c r="K127" s="300"/>
      <c r="L127" s="200"/>
      <c r="M127" s="200"/>
      <c r="N127" s="210"/>
      <c r="O127" s="210"/>
      <c r="R127" s="200"/>
      <c r="T127" s="154"/>
      <c r="V127" s="200"/>
      <c r="Y127" s="252"/>
      <c r="Z127" s="300"/>
      <c r="AA127" s="200"/>
      <c r="AB127" s="200"/>
      <c r="AC127" s="210"/>
      <c r="AD127" s="210"/>
      <c r="AE127" s="200"/>
      <c r="AF127" s="200"/>
      <c r="AG127" s="325"/>
      <c r="AH127" s="326"/>
      <c r="AK127" s="209"/>
      <c r="AL127" s="200"/>
      <c r="AM127" s="327"/>
      <c r="AN127" s="327"/>
    </row>
    <row r="128" spans="1:40" x14ac:dyDescent="0.25">
      <c r="A128" s="202"/>
      <c r="C128" s="154"/>
      <c r="F128" s="252"/>
      <c r="H128" s="252"/>
      <c r="I128" s="252"/>
      <c r="J128" s="300"/>
      <c r="K128" s="300"/>
      <c r="L128" s="200"/>
      <c r="M128" s="200"/>
      <c r="N128" s="210"/>
      <c r="O128" s="210"/>
      <c r="P128" s="202"/>
      <c r="Q128" s="202"/>
      <c r="R128" s="200"/>
      <c r="T128" s="154"/>
      <c r="V128" s="200"/>
      <c r="Y128" s="252"/>
      <c r="Z128" s="300"/>
      <c r="AA128" s="200"/>
      <c r="AB128" s="200"/>
      <c r="AC128" s="210"/>
      <c r="AD128" s="210"/>
      <c r="AE128" s="200"/>
      <c r="AF128" s="200"/>
      <c r="AG128" s="209"/>
      <c r="AH128" s="201"/>
      <c r="AI128" s="202"/>
      <c r="AJ128" s="202"/>
      <c r="AK128" s="209"/>
      <c r="AL128" s="200"/>
      <c r="AM128" s="210"/>
      <c r="AN128" s="210"/>
    </row>
    <row r="129" spans="1:40" x14ac:dyDescent="0.25">
      <c r="F129" s="211"/>
      <c r="H129" s="200"/>
      <c r="I129" s="200"/>
      <c r="J129" s="305"/>
      <c r="K129" s="305"/>
      <c r="L129" s="211"/>
      <c r="M129" s="211"/>
      <c r="N129" s="211"/>
      <c r="O129" s="211"/>
      <c r="P129" s="211"/>
      <c r="Q129" s="211"/>
      <c r="R129" s="211"/>
      <c r="V129" s="211"/>
      <c r="Y129" s="200"/>
      <c r="Z129" s="305"/>
      <c r="AA129" s="211"/>
      <c r="AB129" s="211"/>
      <c r="AC129" s="211"/>
      <c r="AD129" s="211"/>
      <c r="AE129" s="211"/>
      <c r="AF129" s="211"/>
      <c r="AI129" s="211"/>
      <c r="AJ129" s="211"/>
      <c r="AK129" s="212"/>
      <c r="AL129" s="211"/>
      <c r="AM129" s="210"/>
      <c r="AN129" s="210"/>
    </row>
    <row r="130" spans="1:40" x14ac:dyDescent="0.25">
      <c r="A130" s="202"/>
      <c r="C130" s="154"/>
      <c r="F130" s="200"/>
      <c r="H130" s="200"/>
      <c r="I130" s="200"/>
      <c r="J130" s="305"/>
      <c r="K130" s="305"/>
      <c r="L130" s="200"/>
      <c r="M130" s="200"/>
      <c r="N130" s="210"/>
      <c r="O130" s="210"/>
      <c r="P130" s="200"/>
      <c r="Q130" s="200"/>
      <c r="R130" s="200"/>
      <c r="T130" s="154"/>
      <c r="V130" s="200"/>
      <c r="Y130" s="200"/>
      <c r="Z130" s="213"/>
      <c r="AA130" s="200"/>
      <c r="AB130" s="200"/>
      <c r="AC130" s="210"/>
      <c r="AD130" s="210"/>
      <c r="AE130" s="200"/>
      <c r="AF130" s="200"/>
      <c r="AG130" s="209"/>
      <c r="AH130" s="201"/>
      <c r="AI130" s="200"/>
      <c r="AJ130" s="200"/>
      <c r="AK130" s="209"/>
      <c r="AL130" s="200"/>
      <c r="AM130" s="210"/>
      <c r="AN130" s="210"/>
    </row>
    <row r="131" spans="1:40" x14ac:dyDescent="0.25">
      <c r="F131" s="211"/>
      <c r="H131" s="200"/>
      <c r="I131" s="200"/>
      <c r="J131" s="305"/>
      <c r="K131" s="305"/>
      <c r="L131" s="211"/>
      <c r="M131" s="211"/>
      <c r="N131" s="211"/>
      <c r="O131" s="211"/>
      <c r="P131" s="211"/>
      <c r="Q131" s="211"/>
      <c r="R131" s="211"/>
      <c r="V131" s="211"/>
      <c r="Y131" s="200"/>
      <c r="Z131" s="305"/>
      <c r="AA131" s="211"/>
      <c r="AB131" s="211"/>
      <c r="AC131" s="211"/>
      <c r="AD131" s="211"/>
      <c r="AE131" s="211"/>
      <c r="AF131" s="211"/>
      <c r="AI131" s="211"/>
      <c r="AJ131" s="211"/>
      <c r="AK131" s="212"/>
      <c r="AL131" s="211"/>
      <c r="AM131" s="210"/>
      <c r="AN131" s="210"/>
    </row>
    <row r="132" spans="1:40" x14ac:dyDescent="0.25">
      <c r="F132" s="200"/>
      <c r="H132" s="200"/>
      <c r="I132" s="200"/>
      <c r="J132" s="305"/>
      <c r="K132" s="305"/>
      <c r="L132" s="200"/>
      <c r="M132" s="200"/>
      <c r="N132" s="210"/>
      <c r="O132" s="210"/>
      <c r="P132" s="200"/>
      <c r="Q132" s="200"/>
      <c r="R132" s="200"/>
      <c r="V132" s="200"/>
      <c r="Y132" s="200"/>
      <c r="Z132" s="213"/>
      <c r="AA132" s="200"/>
      <c r="AB132" s="200"/>
      <c r="AC132" s="210"/>
      <c r="AD132" s="210"/>
      <c r="AE132" s="200"/>
      <c r="AF132" s="200"/>
      <c r="AG132" s="209"/>
      <c r="AH132" s="201"/>
      <c r="AI132" s="200"/>
      <c r="AJ132" s="200"/>
      <c r="AK132" s="209"/>
      <c r="AL132" s="200"/>
      <c r="AM132" s="210"/>
      <c r="AN132" s="210"/>
    </row>
    <row r="133" spans="1:40" x14ac:dyDescent="0.25">
      <c r="A133" s="202"/>
      <c r="C133" s="154"/>
      <c r="F133" s="252"/>
      <c r="H133" s="252"/>
      <c r="I133" s="252"/>
      <c r="J133" s="300"/>
      <c r="K133" s="300"/>
      <c r="L133" s="200"/>
      <c r="M133" s="200"/>
      <c r="N133" s="210"/>
      <c r="O133" s="210"/>
      <c r="P133" s="200"/>
      <c r="Q133" s="200"/>
      <c r="R133" s="200"/>
      <c r="T133" s="154"/>
      <c r="V133" s="252"/>
      <c r="Y133" s="200"/>
      <c r="Z133" s="300"/>
      <c r="AA133" s="200"/>
      <c r="AB133" s="200"/>
      <c r="AC133" s="210"/>
      <c r="AD133" s="210"/>
      <c r="AE133" s="200"/>
      <c r="AF133" s="200"/>
      <c r="AG133" s="325"/>
      <c r="AH133" s="326"/>
      <c r="AI133" s="200"/>
      <c r="AJ133" s="200"/>
      <c r="AK133" s="209"/>
      <c r="AL133" s="200"/>
      <c r="AM133" s="327"/>
      <c r="AN133" s="327"/>
    </row>
    <row r="134" spans="1:40" x14ac:dyDescent="0.25">
      <c r="A134" s="202"/>
      <c r="C134" s="154"/>
      <c r="F134" s="252"/>
      <c r="H134" s="252"/>
      <c r="I134" s="252"/>
      <c r="J134" s="300"/>
      <c r="K134" s="300"/>
      <c r="L134" s="200"/>
      <c r="M134" s="200"/>
      <c r="N134" s="210"/>
      <c r="O134" s="210"/>
      <c r="P134" s="200"/>
      <c r="Q134" s="200"/>
      <c r="R134" s="200"/>
      <c r="T134" s="154"/>
      <c r="V134" s="252"/>
      <c r="Y134" s="200"/>
      <c r="Z134" s="300"/>
      <c r="AA134" s="200"/>
      <c r="AB134" s="200"/>
      <c r="AC134" s="210"/>
      <c r="AD134" s="210"/>
      <c r="AE134" s="200"/>
      <c r="AF134" s="200"/>
      <c r="AG134" s="209"/>
      <c r="AH134" s="201"/>
      <c r="AI134" s="200"/>
      <c r="AJ134" s="200"/>
      <c r="AK134" s="209"/>
      <c r="AL134" s="200"/>
      <c r="AM134" s="210"/>
      <c r="AN134" s="210"/>
    </row>
    <row r="135" spans="1:40" x14ac:dyDescent="0.25">
      <c r="F135" s="200"/>
      <c r="H135" s="211"/>
      <c r="I135" s="211"/>
      <c r="J135" s="305"/>
      <c r="K135" s="305"/>
      <c r="L135" s="211"/>
      <c r="M135" s="211"/>
      <c r="N135" s="211"/>
      <c r="O135" s="211"/>
      <c r="P135" s="211"/>
      <c r="Q135" s="211"/>
      <c r="R135" s="211"/>
      <c r="V135" s="200"/>
      <c r="Y135" s="211"/>
      <c r="Z135" s="305"/>
      <c r="AA135" s="211"/>
      <c r="AB135" s="211"/>
      <c r="AC135" s="211"/>
      <c r="AD135" s="211"/>
      <c r="AE135" s="211"/>
      <c r="AF135" s="211"/>
      <c r="AI135" s="211"/>
      <c r="AJ135" s="211"/>
      <c r="AK135" s="212"/>
      <c r="AL135" s="211"/>
      <c r="AM135" s="210"/>
      <c r="AN135" s="210"/>
    </row>
    <row r="136" spans="1:40" x14ac:dyDescent="0.25">
      <c r="A136" s="202"/>
      <c r="C136" s="154"/>
      <c r="F136" s="200"/>
      <c r="H136" s="200"/>
      <c r="I136" s="200"/>
      <c r="J136" s="305"/>
      <c r="K136" s="305"/>
      <c r="L136" s="200"/>
      <c r="M136" s="200"/>
      <c r="N136" s="210"/>
      <c r="O136" s="210"/>
      <c r="P136" s="200"/>
      <c r="Q136" s="200"/>
      <c r="R136" s="200"/>
      <c r="T136" s="154"/>
      <c r="V136" s="200"/>
      <c r="Y136" s="200"/>
      <c r="Z136" s="305"/>
      <c r="AA136" s="200"/>
      <c r="AB136" s="200"/>
      <c r="AC136" s="210"/>
      <c r="AD136" s="210"/>
      <c r="AE136" s="200"/>
      <c r="AF136" s="200"/>
      <c r="AG136" s="209"/>
      <c r="AH136" s="201"/>
      <c r="AI136" s="200"/>
      <c r="AJ136" s="200"/>
      <c r="AK136" s="209"/>
      <c r="AL136" s="200"/>
      <c r="AM136" s="210"/>
      <c r="AN136" s="210"/>
    </row>
    <row r="137" spans="1:40" x14ac:dyDescent="0.25">
      <c r="F137" s="200"/>
      <c r="H137" s="211"/>
      <c r="I137" s="211"/>
      <c r="J137" s="305"/>
      <c r="K137" s="305"/>
      <c r="L137" s="211"/>
      <c r="M137" s="211"/>
      <c r="N137" s="211"/>
      <c r="O137" s="211"/>
      <c r="P137" s="211"/>
      <c r="Q137" s="211"/>
      <c r="R137" s="211"/>
      <c r="V137" s="200"/>
      <c r="Y137" s="211"/>
      <c r="Z137" s="305"/>
      <c r="AA137" s="211"/>
      <c r="AB137" s="211"/>
      <c r="AC137" s="211"/>
      <c r="AD137" s="211"/>
      <c r="AE137" s="211"/>
      <c r="AF137" s="211"/>
      <c r="AI137" s="211"/>
      <c r="AJ137" s="211"/>
      <c r="AK137" s="212"/>
      <c r="AL137" s="211"/>
      <c r="AM137" s="210"/>
      <c r="AN137" s="210"/>
    </row>
    <row r="138" spans="1:40" x14ac:dyDescent="0.25">
      <c r="F138" s="200"/>
      <c r="H138" s="200"/>
      <c r="I138" s="200"/>
      <c r="J138" s="305"/>
      <c r="K138" s="305"/>
      <c r="L138" s="200"/>
      <c r="M138" s="200"/>
      <c r="N138" s="200"/>
      <c r="O138" s="200"/>
      <c r="P138" s="200"/>
      <c r="Q138" s="200"/>
      <c r="R138" s="200"/>
      <c r="V138" s="200"/>
      <c r="Y138" s="200"/>
      <c r="Z138" s="305"/>
      <c r="AA138" s="200"/>
      <c r="AB138" s="200"/>
      <c r="AC138" s="200"/>
      <c r="AD138" s="200"/>
      <c r="AE138" s="200"/>
      <c r="AF138" s="200"/>
      <c r="AG138" s="209"/>
      <c r="AH138" s="201"/>
      <c r="AI138" s="200"/>
      <c r="AJ138" s="200"/>
      <c r="AK138" s="209"/>
      <c r="AL138" s="200"/>
      <c r="AM138" s="210"/>
      <c r="AN138" s="210"/>
    </row>
    <row r="139" spans="1:40" x14ac:dyDescent="0.25">
      <c r="A139" s="202"/>
      <c r="C139" s="154"/>
      <c r="F139" s="252"/>
      <c r="H139" s="252"/>
      <c r="I139" s="252"/>
      <c r="J139" s="320"/>
      <c r="K139" s="320"/>
      <c r="L139" s="200"/>
      <c r="M139" s="200"/>
      <c r="N139" s="210"/>
      <c r="O139" s="210"/>
      <c r="P139" s="252"/>
      <c r="Q139" s="252"/>
      <c r="R139" s="200"/>
      <c r="T139" s="154"/>
      <c r="V139" s="252"/>
      <c r="Y139" s="252"/>
      <c r="Z139" s="328"/>
      <c r="AA139" s="200"/>
      <c r="AB139" s="200"/>
      <c r="AC139" s="210"/>
      <c r="AD139" s="210"/>
      <c r="AE139" s="200"/>
      <c r="AF139" s="200"/>
      <c r="AG139" s="209"/>
      <c r="AH139" s="201"/>
      <c r="AI139" s="252"/>
      <c r="AJ139" s="252"/>
      <c r="AK139" s="209"/>
      <c r="AL139" s="200"/>
      <c r="AM139" s="210"/>
      <c r="AN139" s="210"/>
    </row>
    <row r="140" spans="1:40" x14ac:dyDescent="0.25">
      <c r="A140" s="202"/>
      <c r="C140" s="154"/>
      <c r="F140" s="252"/>
      <c r="H140" s="252"/>
      <c r="I140" s="252"/>
      <c r="J140" s="320"/>
      <c r="K140" s="320"/>
      <c r="L140" s="200"/>
      <c r="M140" s="200"/>
      <c r="N140" s="210"/>
      <c r="O140" s="210"/>
      <c r="P140" s="252"/>
      <c r="Q140" s="252"/>
      <c r="R140" s="200"/>
      <c r="T140" s="154"/>
      <c r="V140" s="252"/>
      <c r="Y140" s="200"/>
      <c r="Z140" s="304"/>
      <c r="AA140" s="200"/>
      <c r="AB140" s="200"/>
      <c r="AC140" s="210"/>
      <c r="AD140" s="210"/>
      <c r="AE140" s="200"/>
      <c r="AF140" s="200"/>
      <c r="AG140" s="209"/>
      <c r="AH140" s="201"/>
      <c r="AI140" s="252"/>
      <c r="AJ140" s="252"/>
      <c r="AK140" s="209"/>
      <c r="AL140" s="200"/>
      <c r="AM140" s="210"/>
      <c r="AN140" s="210"/>
    </row>
    <row r="141" spans="1:40" x14ac:dyDescent="0.25">
      <c r="A141" s="202"/>
      <c r="C141" s="154"/>
      <c r="F141" s="252"/>
      <c r="H141" s="252"/>
      <c r="I141" s="252"/>
      <c r="J141" s="320"/>
      <c r="K141" s="320"/>
      <c r="L141" s="200"/>
      <c r="M141" s="200"/>
      <c r="N141" s="210"/>
      <c r="O141" s="210"/>
      <c r="P141" s="252"/>
      <c r="Q141" s="252"/>
      <c r="R141" s="200"/>
      <c r="T141" s="154"/>
      <c r="V141" s="252"/>
      <c r="Y141" s="200"/>
      <c r="Z141" s="304"/>
      <c r="AA141" s="200"/>
      <c r="AB141" s="200"/>
      <c r="AC141" s="210"/>
      <c r="AD141" s="210"/>
      <c r="AE141" s="200"/>
      <c r="AF141" s="200"/>
      <c r="AG141" s="209"/>
      <c r="AH141" s="201"/>
      <c r="AI141" s="252"/>
      <c r="AJ141" s="252"/>
      <c r="AK141" s="209"/>
      <c r="AL141" s="200"/>
      <c r="AM141" s="210"/>
      <c r="AN141" s="210"/>
    </row>
    <row r="142" spans="1:40" x14ac:dyDescent="0.25">
      <c r="F142" s="211"/>
      <c r="H142" s="211"/>
      <c r="I142" s="211"/>
      <c r="J142" s="305"/>
      <c r="K142" s="305"/>
      <c r="L142" s="211"/>
      <c r="M142" s="211"/>
      <c r="N142" s="211"/>
      <c r="O142" s="211"/>
      <c r="P142" s="211"/>
      <c r="Q142" s="211"/>
      <c r="R142" s="211"/>
      <c r="V142" s="211"/>
      <c r="Y142" s="211"/>
      <c r="Z142" s="305"/>
      <c r="AA142" s="211"/>
      <c r="AB142" s="211"/>
      <c r="AC142" s="211"/>
      <c r="AD142" s="211"/>
      <c r="AE142" s="211"/>
      <c r="AF142" s="211"/>
      <c r="AI142" s="211"/>
      <c r="AJ142" s="211"/>
      <c r="AK142" s="212"/>
      <c r="AL142" s="211"/>
      <c r="AM142" s="210"/>
      <c r="AN142" s="210"/>
    </row>
    <row r="143" spans="1:40" x14ac:dyDescent="0.25">
      <c r="A143" s="202"/>
      <c r="C143" s="154"/>
      <c r="F143" s="200"/>
      <c r="H143" s="200"/>
      <c r="I143" s="200"/>
      <c r="J143" s="213"/>
      <c r="K143" s="213"/>
      <c r="L143" s="200"/>
      <c r="M143" s="200"/>
      <c r="N143" s="210"/>
      <c r="O143" s="210"/>
      <c r="P143" s="200"/>
      <c r="Q143" s="200"/>
      <c r="R143" s="200"/>
      <c r="T143" s="154"/>
      <c r="V143" s="200"/>
      <c r="Y143" s="200"/>
      <c r="Z143" s="213"/>
      <c r="AA143" s="200"/>
      <c r="AB143" s="200"/>
      <c r="AC143" s="210"/>
      <c r="AD143" s="210"/>
      <c r="AE143" s="200"/>
      <c r="AF143" s="200"/>
      <c r="AG143" s="209"/>
      <c r="AH143" s="201"/>
      <c r="AI143" s="200"/>
      <c r="AJ143" s="200"/>
      <c r="AK143" s="209"/>
      <c r="AL143" s="200"/>
      <c r="AM143" s="210"/>
      <c r="AN143" s="210"/>
    </row>
    <row r="144" spans="1:40" x14ac:dyDescent="0.25">
      <c r="F144" s="211"/>
      <c r="H144" s="211"/>
      <c r="I144" s="211"/>
      <c r="J144" s="305"/>
      <c r="K144" s="305"/>
      <c r="L144" s="211"/>
      <c r="M144" s="211"/>
      <c r="N144" s="211"/>
      <c r="O144" s="211"/>
      <c r="P144" s="211"/>
      <c r="Q144" s="211"/>
      <c r="R144" s="211"/>
      <c r="V144" s="211"/>
      <c r="Y144" s="211"/>
      <c r="Z144" s="305"/>
      <c r="AA144" s="211"/>
      <c r="AB144" s="211"/>
      <c r="AC144" s="211"/>
      <c r="AD144" s="211"/>
      <c r="AE144" s="211"/>
      <c r="AF144" s="211"/>
      <c r="AI144" s="211"/>
      <c r="AJ144" s="211"/>
      <c r="AK144" s="212"/>
      <c r="AL144" s="211"/>
      <c r="AM144" s="210"/>
      <c r="AN144" s="210"/>
    </row>
    <row r="145" spans="1:40" x14ac:dyDescent="0.25">
      <c r="A145" s="202"/>
      <c r="C145" s="154"/>
      <c r="F145" s="200"/>
      <c r="H145" s="200"/>
      <c r="I145" s="200"/>
      <c r="J145" s="213"/>
      <c r="K145" s="213"/>
      <c r="L145" s="200"/>
      <c r="M145" s="200"/>
      <c r="N145" s="210"/>
      <c r="O145" s="210"/>
      <c r="P145" s="200"/>
      <c r="Q145" s="200"/>
      <c r="R145" s="200"/>
      <c r="T145" s="154"/>
      <c r="V145" s="200"/>
      <c r="Y145" s="200"/>
      <c r="Z145" s="213"/>
      <c r="AA145" s="200"/>
      <c r="AB145" s="200"/>
      <c r="AC145" s="210"/>
      <c r="AD145" s="210"/>
      <c r="AE145" s="200"/>
      <c r="AF145" s="200"/>
      <c r="AG145" s="209"/>
      <c r="AH145" s="201"/>
      <c r="AI145" s="200"/>
      <c r="AJ145" s="200"/>
      <c r="AK145" s="209"/>
      <c r="AL145" s="200"/>
      <c r="AM145" s="210"/>
      <c r="AN145" s="210"/>
    </row>
    <row r="146" spans="1:40" x14ac:dyDescent="0.25">
      <c r="A146" s="202"/>
      <c r="C146" s="154"/>
      <c r="F146" s="200"/>
      <c r="H146" s="200"/>
      <c r="I146" s="200"/>
      <c r="J146" s="213"/>
      <c r="K146" s="213"/>
      <c r="L146" s="200"/>
      <c r="M146" s="200"/>
      <c r="N146" s="210"/>
      <c r="O146" s="210"/>
      <c r="P146" s="200"/>
      <c r="Q146" s="200"/>
      <c r="R146" s="200"/>
      <c r="T146" s="154"/>
      <c r="V146" s="200"/>
      <c r="Y146" s="200"/>
      <c r="Z146" s="213"/>
      <c r="AA146" s="200"/>
      <c r="AB146" s="200"/>
      <c r="AC146" s="210"/>
      <c r="AD146" s="210"/>
      <c r="AE146" s="200"/>
      <c r="AF146" s="200"/>
      <c r="AG146" s="209"/>
      <c r="AH146" s="201"/>
      <c r="AI146" s="200"/>
      <c r="AJ146" s="200"/>
      <c r="AK146" s="209"/>
      <c r="AL146" s="200"/>
      <c r="AM146" s="210"/>
      <c r="AN146" s="210"/>
    </row>
    <row r="147" spans="1:40" x14ac:dyDescent="0.25">
      <c r="F147" s="211"/>
      <c r="H147" s="211"/>
      <c r="I147" s="211"/>
      <c r="J147" s="305"/>
      <c r="K147" s="305"/>
      <c r="L147" s="211"/>
      <c r="M147" s="211"/>
      <c r="N147" s="211"/>
      <c r="O147" s="211"/>
      <c r="P147" s="211"/>
      <c r="Q147" s="211"/>
      <c r="R147" s="211"/>
      <c r="V147" s="211"/>
      <c r="Y147" s="211"/>
      <c r="Z147" s="305"/>
      <c r="AA147" s="211"/>
      <c r="AB147" s="211"/>
      <c r="AC147" s="211"/>
      <c r="AD147" s="211"/>
      <c r="AE147" s="211"/>
      <c r="AF147" s="211"/>
      <c r="AI147" s="211"/>
      <c r="AJ147" s="211"/>
      <c r="AK147" s="212"/>
      <c r="AL147" s="211"/>
      <c r="AM147" s="200"/>
      <c r="AN147" s="200"/>
    </row>
    <row r="148" spans="1:40" x14ac:dyDescent="0.25">
      <c r="F148" s="200"/>
      <c r="H148" s="200"/>
      <c r="I148" s="200"/>
      <c r="J148" s="213"/>
      <c r="K148" s="213"/>
      <c r="L148" s="200"/>
      <c r="M148" s="200"/>
      <c r="N148" s="200"/>
      <c r="O148" s="200"/>
      <c r="P148" s="200"/>
      <c r="Q148" s="200"/>
      <c r="R148" s="200"/>
      <c r="V148" s="200"/>
      <c r="Y148" s="200"/>
      <c r="Z148" s="213"/>
      <c r="AA148" s="200"/>
      <c r="AB148" s="200"/>
      <c r="AC148" s="200"/>
      <c r="AD148" s="200"/>
    </row>
    <row r="149" spans="1:40" x14ac:dyDescent="0.25">
      <c r="C149" s="154"/>
      <c r="F149" s="200"/>
      <c r="H149" s="200"/>
      <c r="I149" s="200"/>
      <c r="J149" s="213"/>
      <c r="K149" s="213"/>
      <c r="L149" s="200"/>
      <c r="M149" s="200"/>
      <c r="N149" s="200"/>
      <c r="O149" s="200"/>
      <c r="P149" s="200"/>
      <c r="Q149" s="200"/>
      <c r="R149" s="200"/>
      <c r="T149" s="154"/>
      <c r="V149" s="200"/>
      <c r="Y149" s="200"/>
      <c r="Z149" s="213"/>
      <c r="AA149" s="200"/>
      <c r="AB149" s="200"/>
      <c r="AC149" s="200"/>
      <c r="AD149" s="200"/>
    </row>
    <row r="150" spans="1:40" x14ac:dyDescent="0.25">
      <c r="A150" s="154"/>
    </row>
    <row r="151" spans="1:40" x14ac:dyDescent="0.25">
      <c r="J151" s="202"/>
      <c r="K151" s="202"/>
      <c r="Z151" s="202"/>
    </row>
    <row r="152" spans="1:40" x14ac:dyDescent="0.25">
      <c r="H152" s="154"/>
      <c r="I152" s="154"/>
      <c r="Y152" s="154"/>
    </row>
    <row r="153" spans="1:40" x14ac:dyDescent="0.25">
      <c r="J153" s="202"/>
      <c r="K153" s="202"/>
      <c r="Z153" s="202"/>
    </row>
    <row r="154" spans="1:40" x14ac:dyDescent="0.25">
      <c r="L154" s="154"/>
      <c r="M154" s="154"/>
      <c r="AA154" s="154"/>
      <c r="AB154" s="154"/>
    </row>
    <row r="155" spans="1:40" x14ac:dyDescent="0.25">
      <c r="A155" s="202"/>
      <c r="R155" s="154"/>
      <c r="AK155" s="297"/>
      <c r="AL155" s="154"/>
    </row>
    <row r="156" spans="1:40" x14ac:dyDescent="0.25">
      <c r="A156" s="202"/>
      <c r="R156" s="154"/>
      <c r="AK156" s="297"/>
      <c r="AL156" s="154"/>
    </row>
    <row r="157" spans="1:40" x14ac:dyDescent="0.25">
      <c r="A157" s="154"/>
      <c r="R157" s="154"/>
      <c r="AK157" s="297"/>
      <c r="AL157" s="154"/>
    </row>
    <row r="158" spans="1:40" x14ac:dyDescent="0.25">
      <c r="L158" s="154"/>
      <c r="M158" s="154"/>
      <c r="R158" s="202"/>
      <c r="AA158" s="154"/>
      <c r="AB158" s="154"/>
      <c r="AK158" s="209"/>
      <c r="AL158" s="202"/>
    </row>
    <row r="159" spans="1:40" x14ac:dyDescent="0.25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208"/>
      <c r="AH159" s="102"/>
      <c r="AI159" s="102"/>
      <c r="AJ159" s="102"/>
      <c r="AK159" s="208"/>
      <c r="AL159" s="102"/>
      <c r="AM159" s="102"/>
      <c r="AN159" s="102"/>
    </row>
    <row r="160" spans="1:40" x14ac:dyDescent="0.25">
      <c r="L160" s="103"/>
      <c r="M160" s="103"/>
      <c r="N160" s="103"/>
      <c r="O160" s="103"/>
      <c r="R160" s="103"/>
      <c r="AA160" s="103"/>
      <c r="AB160" s="103"/>
      <c r="AC160" s="103"/>
      <c r="AD160" s="103"/>
      <c r="AE160" s="103"/>
      <c r="AF160" s="103"/>
      <c r="AG160" s="185"/>
      <c r="AH160" s="103"/>
      <c r="AK160" s="185"/>
      <c r="AL160" s="103"/>
      <c r="AM160" s="103"/>
      <c r="AN160" s="103"/>
    </row>
    <row r="161" spans="1:40" x14ac:dyDescent="0.25">
      <c r="L161" s="103"/>
      <c r="M161" s="103"/>
      <c r="N161" s="103"/>
      <c r="O161" s="103"/>
      <c r="R161" s="103"/>
      <c r="Z161" s="103"/>
      <c r="AA161" s="103"/>
      <c r="AB161" s="103"/>
      <c r="AC161" s="103"/>
      <c r="AD161" s="103"/>
      <c r="AE161" s="103"/>
      <c r="AF161" s="103"/>
      <c r="AG161" s="185"/>
      <c r="AH161" s="103"/>
      <c r="AK161" s="185"/>
      <c r="AL161" s="103"/>
      <c r="AM161" s="103"/>
      <c r="AN161" s="103"/>
    </row>
    <row r="162" spans="1:40" x14ac:dyDescent="0.25">
      <c r="A162" s="103"/>
      <c r="C162" s="103"/>
      <c r="D162" s="103"/>
      <c r="E162" s="103"/>
      <c r="F162" s="103"/>
      <c r="J162" s="103"/>
      <c r="K162" s="103"/>
      <c r="L162" s="103"/>
      <c r="M162" s="103"/>
      <c r="N162" s="103"/>
      <c r="O162" s="103"/>
      <c r="P162" s="103"/>
      <c r="Q162" s="103"/>
      <c r="R162" s="103"/>
      <c r="T162" s="103"/>
      <c r="U162" s="103"/>
      <c r="V162" s="103"/>
      <c r="Z162" s="103"/>
      <c r="AA162" s="103"/>
      <c r="AB162" s="103"/>
      <c r="AC162" s="103"/>
      <c r="AD162" s="103"/>
      <c r="AE162" s="103"/>
      <c r="AF162" s="103"/>
      <c r="AG162" s="185"/>
      <c r="AH162" s="103"/>
      <c r="AI162" s="103"/>
      <c r="AJ162" s="103"/>
      <c r="AK162" s="185"/>
      <c r="AL162" s="103"/>
      <c r="AM162" s="103"/>
      <c r="AN162" s="103"/>
    </row>
    <row r="163" spans="1:40" x14ac:dyDescent="0.25">
      <c r="A163" s="103"/>
      <c r="C163" s="103"/>
      <c r="D163" s="103"/>
      <c r="E163" s="103"/>
      <c r="F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T163" s="103"/>
      <c r="U163" s="103"/>
      <c r="V163" s="103"/>
      <c r="Y163" s="103"/>
      <c r="Z163" s="103"/>
      <c r="AA163" s="103"/>
      <c r="AB163" s="103"/>
      <c r="AC163" s="103"/>
      <c r="AD163" s="103"/>
      <c r="AE163" s="103"/>
      <c r="AF163" s="103"/>
      <c r="AG163" s="185"/>
      <c r="AH163" s="103"/>
      <c r="AI163" s="103"/>
      <c r="AJ163" s="103"/>
      <c r="AK163" s="185"/>
      <c r="AL163" s="103"/>
      <c r="AM163" s="103"/>
      <c r="AN163" s="103"/>
    </row>
    <row r="164" spans="1:40" x14ac:dyDescent="0.25">
      <c r="C164" s="103"/>
      <c r="D164" s="103"/>
      <c r="E164" s="103"/>
      <c r="F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T164" s="103"/>
      <c r="U164" s="103"/>
      <c r="V164" s="103"/>
      <c r="Y164" s="103"/>
      <c r="Z164" s="103"/>
      <c r="AA164" s="103"/>
      <c r="AB164" s="103"/>
      <c r="AC164" s="103"/>
      <c r="AD164" s="103"/>
      <c r="AE164" s="103"/>
      <c r="AF164" s="103"/>
      <c r="AG164" s="185"/>
      <c r="AH164" s="103"/>
      <c r="AI164" s="103"/>
      <c r="AJ164" s="103"/>
      <c r="AK164" s="185"/>
      <c r="AL164" s="103"/>
      <c r="AM164" s="103"/>
      <c r="AN164" s="103"/>
    </row>
    <row r="165" spans="1:40" x14ac:dyDescent="0.25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208"/>
      <c r="AH165" s="102"/>
      <c r="AI165" s="102"/>
      <c r="AJ165" s="102"/>
      <c r="AK165" s="208"/>
      <c r="AL165" s="102"/>
      <c r="AM165" s="102"/>
      <c r="AN165" s="102"/>
    </row>
    <row r="166" spans="1:40" x14ac:dyDescent="0.25"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Y166" s="103"/>
      <c r="Z166" s="103"/>
      <c r="AA166" s="103"/>
      <c r="AB166" s="103"/>
      <c r="AC166" s="103"/>
      <c r="AD166" s="103"/>
      <c r="AE166" s="103"/>
      <c r="AF166" s="103"/>
      <c r="AG166" s="185"/>
      <c r="AH166" s="103"/>
      <c r="AI166" s="103"/>
      <c r="AJ166" s="103"/>
      <c r="AK166" s="185"/>
      <c r="AL166" s="103"/>
      <c r="AM166" s="103"/>
      <c r="AN166" s="103"/>
    </row>
    <row r="167" spans="1:40" x14ac:dyDescent="0.25">
      <c r="A167" s="202"/>
      <c r="C167" s="154"/>
      <c r="D167" s="154"/>
      <c r="E167" s="154"/>
      <c r="T167" s="154"/>
      <c r="U167" s="154"/>
    </row>
    <row r="169" spans="1:40" x14ac:dyDescent="0.25">
      <c r="A169" s="202"/>
      <c r="C169" s="154"/>
      <c r="F169" s="252"/>
      <c r="H169" s="317"/>
      <c r="I169" s="317"/>
      <c r="J169" s="300"/>
      <c r="K169" s="300"/>
      <c r="L169" s="200"/>
      <c r="M169" s="200"/>
      <c r="N169" s="202"/>
      <c r="O169" s="202"/>
      <c r="P169" s="202"/>
      <c r="Q169" s="202"/>
      <c r="R169" s="200"/>
      <c r="T169" s="154"/>
      <c r="V169" s="200"/>
      <c r="Y169" s="202"/>
      <c r="Z169" s="300"/>
      <c r="AA169" s="200"/>
      <c r="AB169" s="200"/>
      <c r="AC169" s="202"/>
      <c r="AD169" s="202"/>
      <c r="AE169" s="200"/>
      <c r="AF169" s="200"/>
      <c r="AG169" s="325"/>
      <c r="AH169" s="326"/>
      <c r="AI169" s="200"/>
      <c r="AJ169" s="200"/>
      <c r="AK169" s="209"/>
      <c r="AL169" s="200"/>
      <c r="AM169" s="327"/>
      <c r="AN169" s="327"/>
    </row>
    <row r="170" spans="1:40" x14ac:dyDescent="0.25">
      <c r="F170" s="252"/>
      <c r="H170" s="317"/>
      <c r="I170" s="317"/>
      <c r="J170" s="317"/>
      <c r="K170" s="317"/>
      <c r="R170" s="200"/>
      <c r="V170" s="200"/>
      <c r="Z170" s="317"/>
    </row>
    <row r="171" spans="1:40" x14ac:dyDescent="0.25">
      <c r="A171" s="202"/>
      <c r="C171" s="154"/>
      <c r="F171" s="252"/>
      <c r="H171" s="252"/>
      <c r="I171" s="252"/>
      <c r="J171" s="320"/>
      <c r="K171" s="320"/>
      <c r="L171" s="200"/>
      <c r="M171" s="200"/>
      <c r="N171" s="210"/>
      <c r="O171" s="210"/>
      <c r="P171" s="252"/>
      <c r="Q171" s="252"/>
      <c r="R171" s="200"/>
      <c r="T171" s="154"/>
      <c r="V171" s="200"/>
      <c r="Y171" s="200"/>
      <c r="Z171" s="304"/>
      <c r="AA171" s="200"/>
      <c r="AB171" s="200"/>
      <c r="AC171" s="210"/>
      <c r="AD171" s="210"/>
      <c r="AE171" s="200"/>
      <c r="AF171" s="200"/>
      <c r="AG171" s="209"/>
      <c r="AH171" s="201"/>
      <c r="AI171" s="252"/>
      <c r="AJ171" s="252"/>
      <c r="AK171" s="209"/>
      <c r="AL171" s="200"/>
      <c r="AM171" s="210"/>
      <c r="AN171" s="210"/>
    </row>
    <row r="172" spans="1:40" x14ac:dyDescent="0.25">
      <c r="F172" s="211"/>
      <c r="H172" s="211"/>
      <c r="I172" s="211"/>
      <c r="J172" s="305"/>
      <c r="K172" s="305"/>
      <c r="L172" s="211"/>
      <c r="M172" s="211"/>
      <c r="N172" s="211"/>
      <c r="O172" s="211"/>
      <c r="P172" s="211"/>
      <c r="Q172" s="211"/>
      <c r="R172" s="211"/>
      <c r="V172" s="211"/>
      <c r="Y172" s="211"/>
      <c r="Z172" s="305"/>
      <c r="AA172" s="211"/>
      <c r="AB172" s="211"/>
      <c r="AC172" s="211"/>
      <c r="AD172" s="211"/>
      <c r="AE172" s="211"/>
      <c r="AF172" s="211"/>
      <c r="AI172" s="211"/>
      <c r="AJ172" s="211"/>
      <c r="AK172" s="212"/>
      <c r="AL172" s="211"/>
    </row>
    <row r="173" spans="1:40" x14ac:dyDescent="0.25">
      <c r="A173" s="202"/>
      <c r="D173" s="154"/>
      <c r="E173" s="154"/>
      <c r="F173" s="200"/>
      <c r="H173" s="200"/>
      <c r="I173" s="200"/>
      <c r="J173" s="213"/>
      <c r="K173" s="213"/>
      <c r="L173" s="200"/>
      <c r="M173" s="200"/>
      <c r="N173" s="210"/>
      <c r="O173" s="210"/>
      <c r="P173" s="200"/>
      <c r="Q173" s="200"/>
      <c r="R173" s="200"/>
      <c r="U173" s="154"/>
      <c r="V173" s="200"/>
      <c r="Y173" s="200"/>
      <c r="Z173" s="213"/>
      <c r="AA173" s="200"/>
      <c r="AB173" s="200"/>
      <c r="AC173" s="210"/>
      <c r="AD173" s="210"/>
      <c r="AE173" s="200"/>
      <c r="AF173" s="200"/>
      <c r="AG173" s="209"/>
      <c r="AH173" s="201"/>
      <c r="AI173" s="200"/>
      <c r="AJ173" s="200"/>
      <c r="AK173" s="209"/>
      <c r="AL173" s="200"/>
      <c r="AM173" s="210"/>
      <c r="AN173" s="210"/>
    </row>
    <row r="174" spans="1:40" x14ac:dyDescent="0.25">
      <c r="F174" s="211"/>
      <c r="H174" s="211"/>
      <c r="I174" s="211"/>
      <c r="J174" s="305"/>
      <c r="K174" s="305"/>
      <c r="L174" s="211"/>
      <c r="M174" s="211"/>
      <c r="N174" s="211"/>
      <c r="O174" s="211"/>
      <c r="P174" s="211"/>
      <c r="Q174" s="211"/>
      <c r="R174" s="211"/>
      <c r="V174" s="211"/>
      <c r="Y174" s="211"/>
      <c r="Z174" s="305"/>
      <c r="AA174" s="211"/>
      <c r="AB174" s="211"/>
      <c r="AC174" s="211"/>
      <c r="AD174" s="211"/>
      <c r="AE174" s="211"/>
      <c r="AF174" s="211"/>
      <c r="AI174" s="211"/>
      <c r="AJ174" s="211"/>
      <c r="AK174" s="212"/>
      <c r="AL174" s="211"/>
    </row>
    <row r="175" spans="1:40" x14ac:dyDescent="0.25">
      <c r="R175" s="200"/>
    </row>
    <row r="176" spans="1:40" x14ac:dyDescent="0.25">
      <c r="R176" s="200"/>
    </row>
    <row r="177" spans="1:40" x14ac:dyDescent="0.25">
      <c r="R177" s="200"/>
    </row>
    <row r="178" spans="1:40" x14ac:dyDescent="0.25">
      <c r="A178" s="202"/>
      <c r="C178" s="154"/>
      <c r="D178" s="154"/>
      <c r="E178" s="154"/>
      <c r="H178" s="200"/>
      <c r="I178" s="200"/>
      <c r="J178" s="213"/>
      <c r="K178" s="213"/>
      <c r="L178" s="200"/>
      <c r="M178" s="200"/>
      <c r="N178" s="210"/>
      <c r="O178" s="210"/>
      <c r="P178" s="200"/>
      <c r="Q178" s="200"/>
      <c r="R178" s="200"/>
      <c r="T178" s="154"/>
      <c r="U178" s="154"/>
      <c r="Y178" s="200"/>
      <c r="Z178" s="213"/>
      <c r="AA178" s="200"/>
      <c r="AB178" s="200"/>
      <c r="AC178" s="210"/>
      <c r="AD178" s="210"/>
    </row>
    <row r="179" spans="1:40" x14ac:dyDescent="0.25">
      <c r="H179" s="200"/>
      <c r="I179" s="200"/>
      <c r="J179" s="213"/>
      <c r="K179" s="213"/>
      <c r="L179" s="200"/>
      <c r="M179" s="200"/>
      <c r="N179" s="210"/>
      <c r="O179" s="210"/>
      <c r="P179" s="200"/>
      <c r="Q179" s="200"/>
      <c r="R179" s="200"/>
      <c r="Y179" s="200"/>
      <c r="Z179" s="213"/>
      <c r="AA179" s="200"/>
      <c r="AB179" s="200"/>
      <c r="AC179" s="210"/>
      <c r="AD179" s="210"/>
    </row>
    <row r="180" spans="1:40" x14ac:dyDescent="0.25">
      <c r="A180" s="202"/>
      <c r="C180" s="154"/>
      <c r="F180" s="252"/>
      <c r="H180" s="252"/>
      <c r="I180" s="252"/>
      <c r="J180" s="214"/>
      <c r="K180" s="214"/>
      <c r="L180" s="252"/>
      <c r="M180" s="252"/>
      <c r="N180" s="210"/>
      <c r="O180" s="210"/>
      <c r="P180" s="200"/>
      <c r="Q180" s="200"/>
      <c r="R180" s="200"/>
      <c r="T180" s="154"/>
      <c r="V180" s="200"/>
      <c r="Y180" s="200"/>
      <c r="Z180" s="214"/>
      <c r="AA180" s="200"/>
      <c r="AB180" s="200"/>
      <c r="AC180" s="210"/>
      <c r="AD180" s="210"/>
      <c r="AE180" s="200"/>
      <c r="AF180" s="200"/>
      <c r="AG180" s="209"/>
      <c r="AH180" s="201"/>
      <c r="AI180" s="200"/>
      <c r="AJ180" s="200"/>
      <c r="AK180" s="209"/>
      <c r="AL180" s="200"/>
      <c r="AM180" s="210"/>
      <c r="AN180" s="210"/>
    </row>
    <row r="181" spans="1:40" x14ac:dyDescent="0.25">
      <c r="F181" s="252"/>
      <c r="H181" s="317"/>
      <c r="I181" s="317"/>
      <c r="J181" s="317"/>
      <c r="K181" s="317"/>
      <c r="R181" s="200"/>
      <c r="V181" s="200"/>
      <c r="Z181" s="317"/>
    </row>
    <row r="182" spans="1:40" x14ac:dyDescent="0.25">
      <c r="A182" s="202"/>
      <c r="C182" s="154"/>
      <c r="F182" s="252"/>
      <c r="H182" s="252"/>
      <c r="I182" s="252"/>
      <c r="J182" s="300"/>
      <c r="K182" s="300"/>
      <c r="L182" s="200"/>
      <c r="M182" s="200"/>
      <c r="N182" s="210"/>
      <c r="O182" s="210"/>
      <c r="P182" s="200"/>
      <c r="Q182" s="200"/>
      <c r="R182" s="200"/>
      <c r="T182" s="154"/>
      <c r="V182" s="200"/>
      <c r="Y182" s="200"/>
      <c r="Z182" s="300"/>
      <c r="AA182" s="200"/>
      <c r="AB182" s="200"/>
      <c r="AC182" s="210"/>
      <c r="AD182" s="210"/>
      <c r="AE182" s="200"/>
      <c r="AF182" s="200"/>
      <c r="AG182" s="209"/>
      <c r="AH182" s="201"/>
      <c r="AI182" s="200"/>
      <c r="AJ182" s="200"/>
      <c r="AK182" s="209"/>
      <c r="AL182" s="200"/>
      <c r="AM182" s="210"/>
      <c r="AN182" s="210"/>
    </row>
    <row r="183" spans="1:40" x14ac:dyDescent="0.25">
      <c r="F183" s="252"/>
      <c r="H183" s="317"/>
      <c r="I183" s="317"/>
      <c r="J183" s="317"/>
      <c r="K183" s="317"/>
      <c r="R183" s="200"/>
      <c r="V183" s="200"/>
      <c r="Z183" s="317"/>
    </row>
    <row r="184" spans="1:40" x14ac:dyDescent="0.25">
      <c r="A184" s="202"/>
      <c r="C184" s="154"/>
      <c r="F184" s="252"/>
      <c r="H184" s="252"/>
      <c r="I184" s="252"/>
      <c r="J184" s="320"/>
      <c r="K184" s="320"/>
      <c r="L184" s="200"/>
      <c r="M184" s="200"/>
      <c r="N184" s="210"/>
      <c r="O184" s="210"/>
      <c r="P184" s="200"/>
      <c r="Q184" s="200"/>
      <c r="R184" s="200"/>
      <c r="T184" s="154"/>
      <c r="V184" s="200"/>
      <c r="Y184" s="200"/>
      <c r="Z184" s="304"/>
      <c r="AA184" s="200"/>
      <c r="AB184" s="200"/>
      <c r="AC184" s="210"/>
      <c r="AD184" s="210"/>
      <c r="AE184" s="200"/>
      <c r="AF184" s="200"/>
      <c r="AG184" s="209"/>
      <c r="AH184" s="201"/>
      <c r="AI184" s="200"/>
      <c r="AJ184" s="200"/>
      <c r="AK184" s="209"/>
      <c r="AL184" s="200"/>
      <c r="AM184" s="210"/>
      <c r="AN184" s="210"/>
    </row>
    <row r="185" spans="1:40" x14ac:dyDescent="0.25">
      <c r="F185" s="211"/>
      <c r="H185" s="211"/>
      <c r="I185" s="211"/>
      <c r="J185" s="305"/>
      <c r="K185" s="305"/>
      <c r="L185" s="211"/>
      <c r="M185" s="211"/>
      <c r="N185" s="211"/>
      <c r="O185" s="211"/>
      <c r="P185" s="211"/>
      <c r="Q185" s="211"/>
      <c r="R185" s="211"/>
      <c r="S185" s="200"/>
      <c r="V185" s="211"/>
      <c r="Y185" s="211"/>
      <c r="Z185" s="305"/>
      <c r="AA185" s="211"/>
      <c r="AB185" s="211"/>
      <c r="AC185" s="211"/>
      <c r="AD185" s="211"/>
      <c r="AE185" s="211"/>
      <c r="AF185" s="211"/>
      <c r="AI185" s="211"/>
      <c r="AJ185" s="211"/>
      <c r="AK185" s="212"/>
      <c r="AL185" s="211"/>
    </row>
    <row r="186" spans="1:40" x14ac:dyDescent="0.25">
      <c r="A186" s="202"/>
      <c r="D186" s="154"/>
      <c r="E186" s="154"/>
      <c r="F186" s="200"/>
      <c r="H186" s="200"/>
      <c r="I186" s="200"/>
      <c r="J186" s="213"/>
      <c r="K186" s="213"/>
      <c r="L186" s="200"/>
      <c r="M186" s="200"/>
      <c r="N186" s="210"/>
      <c r="O186" s="210"/>
      <c r="P186" s="252"/>
      <c r="Q186" s="252"/>
      <c r="R186" s="200"/>
      <c r="S186" s="200"/>
      <c r="U186" s="154"/>
      <c r="V186" s="200"/>
      <c r="Y186" s="200"/>
      <c r="Z186" s="213"/>
      <c r="AA186" s="200"/>
      <c r="AB186" s="200"/>
      <c r="AC186" s="210"/>
      <c r="AD186" s="210"/>
      <c r="AE186" s="200"/>
      <c r="AF186" s="200"/>
      <c r="AG186" s="209"/>
      <c r="AH186" s="201"/>
      <c r="AI186" s="252"/>
      <c r="AJ186" s="252"/>
      <c r="AK186" s="209"/>
      <c r="AL186" s="200"/>
      <c r="AM186" s="210"/>
      <c r="AN186" s="210"/>
    </row>
    <row r="187" spans="1:40" x14ac:dyDescent="0.25">
      <c r="F187" s="211"/>
      <c r="H187" s="211"/>
      <c r="I187" s="211"/>
      <c r="J187" s="305"/>
      <c r="K187" s="305"/>
      <c r="L187" s="211"/>
      <c r="M187" s="211"/>
      <c r="N187" s="211"/>
      <c r="O187" s="211"/>
      <c r="P187" s="211"/>
      <c r="Q187" s="211"/>
      <c r="R187" s="211"/>
      <c r="S187" s="200"/>
      <c r="V187" s="211"/>
      <c r="Y187" s="211"/>
      <c r="Z187" s="305"/>
      <c r="AA187" s="211"/>
      <c r="AB187" s="211"/>
      <c r="AC187" s="211"/>
      <c r="AD187" s="211"/>
      <c r="AE187" s="211"/>
      <c r="AF187" s="211"/>
      <c r="AI187" s="211"/>
      <c r="AJ187" s="211"/>
      <c r="AK187" s="212"/>
      <c r="AL187" s="211"/>
    </row>
    <row r="188" spans="1:40" x14ac:dyDescent="0.25">
      <c r="R188" s="200"/>
    </row>
    <row r="189" spans="1:40" x14ac:dyDescent="0.25">
      <c r="F189" s="200"/>
      <c r="H189" s="200"/>
      <c r="I189" s="200"/>
      <c r="J189" s="213"/>
      <c r="K189" s="213"/>
      <c r="L189" s="200"/>
      <c r="M189" s="200"/>
      <c r="N189" s="200"/>
      <c r="O189" s="200"/>
      <c r="P189" s="200"/>
      <c r="Q189" s="200"/>
      <c r="R189" s="200"/>
      <c r="V189" s="200"/>
      <c r="Y189" s="200"/>
      <c r="Z189" s="213"/>
      <c r="AA189" s="200"/>
      <c r="AB189" s="200"/>
      <c r="AC189" s="200"/>
      <c r="AD189" s="200"/>
    </row>
    <row r="190" spans="1:40" x14ac:dyDescent="0.25">
      <c r="C190" s="154"/>
      <c r="F190" s="200"/>
      <c r="H190" s="200"/>
      <c r="I190" s="200"/>
      <c r="J190" s="213"/>
      <c r="K190" s="213"/>
      <c r="L190" s="200"/>
      <c r="M190" s="200"/>
      <c r="N190" s="200"/>
      <c r="O190" s="200"/>
      <c r="P190" s="200"/>
      <c r="Q190" s="200"/>
      <c r="R190" s="200"/>
      <c r="T190" s="154"/>
      <c r="V190" s="200"/>
      <c r="Y190" s="200"/>
      <c r="Z190" s="213"/>
      <c r="AA190" s="200"/>
      <c r="AB190" s="200"/>
      <c r="AC190" s="200"/>
      <c r="AD190" s="200"/>
    </row>
    <row r="191" spans="1:40" x14ac:dyDescent="0.25">
      <c r="C191" s="154"/>
      <c r="T191" s="154"/>
    </row>
    <row r="192" spans="1:40" x14ac:dyDescent="0.25">
      <c r="A192" s="154"/>
    </row>
    <row r="194" spans="1:40" x14ac:dyDescent="0.25">
      <c r="J194" s="202"/>
      <c r="K194" s="202"/>
      <c r="Z194" s="202"/>
    </row>
    <row r="195" spans="1:40" x14ac:dyDescent="0.25">
      <c r="H195" s="154"/>
      <c r="I195" s="154"/>
      <c r="Y195" s="154"/>
    </row>
    <row r="196" spans="1:40" x14ac:dyDescent="0.25">
      <c r="J196" s="202"/>
      <c r="K196" s="202"/>
      <c r="Z196" s="202"/>
    </row>
    <row r="197" spans="1:40" x14ac:dyDescent="0.25">
      <c r="L197" s="154"/>
      <c r="M197" s="154"/>
      <c r="AA197" s="154"/>
      <c r="AB197" s="154"/>
    </row>
    <row r="198" spans="1:40" x14ac:dyDescent="0.25">
      <c r="A198" s="202"/>
      <c r="R198" s="154"/>
      <c r="AK198" s="297"/>
      <c r="AL198" s="154"/>
    </row>
    <row r="199" spans="1:40" x14ac:dyDescent="0.25">
      <c r="A199" s="202"/>
      <c r="R199" s="154"/>
      <c r="AK199" s="297"/>
      <c r="AL199" s="154"/>
    </row>
    <row r="200" spans="1:40" x14ac:dyDescent="0.25">
      <c r="A200" s="154"/>
      <c r="R200" s="154"/>
      <c r="AK200" s="297"/>
      <c r="AL200" s="154"/>
    </row>
    <row r="201" spans="1:40" x14ac:dyDescent="0.25">
      <c r="L201" s="154"/>
      <c r="M201" s="154"/>
      <c r="R201" s="202"/>
      <c r="AA201" s="154"/>
      <c r="AB201" s="154"/>
      <c r="AK201" s="209"/>
      <c r="AL201" s="202"/>
    </row>
    <row r="202" spans="1:40" x14ac:dyDescent="0.25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208"/>
      <c r="AH202" s="102"/>
      <c r="AI202" s="102"/>
      <c r="AJ202" s="102"/>
      <c r="AK202" s="208"/>
      <c r="AL202" s="102"/>
      <c r="AM202" s="102"/>
      <c r="AN202" s="102"/>
    </row>
    <row r="203" spans="1:40" x14ac:dyDescent="0.25">
      <c r="L203" s="103"/>
      <c r="M203" s="103"/>
      <c r="N203" s="103"/>
      <c r="O203" s="103"/>
      <c r="R203" s="103"/>
      <c r="AA203" s="103"/>
      <c r="AB203" s="103"/>
      <c r="AC203" s="103"/>
      <c r="AD203" s="103"/>
      <c r="AE203" s="103"/>
      <c r="AF203" s="103"/>
      <c r="AG203" s="185"/>
      <c r="AH203" s="103"/>
      <c r="AK203" s="185"/>
      <c r="AL203" s="103"/>
      <c r="AM203" s="103"/>
      <c r="AN203" s="103"/>
    </row>
    <row r="204" spans="1:40" x14ac:dyDescent="0.25">
      <c r="L204" s="103"/>
      <c r="M204" s="103"/>
      <c r="N204" s="103"/>
      <c r="O204" s="103"/>
      <c r="R204" s="103"/>
      <c r="Z204" s="103"/>
      <c r="AA204" s="103"/>
      <c r="AB204" s="103"/>
      <c r="AC204" s="103"/>
      <c r="AD204" s="103"/>
      <c r="AE204" s="103"/>
      <c r="AF204" s="103"/>
      <c r="AG204" s="185"/>
      <c r="AH204" s="103"/>
      <c r="AK204" s="185"/>
      <c r="AL204" s="103"/>
      <c r="AM204" s="103"/>
      <c r="AN204" s="103"/>
    </row>
    <row r="205" spans="1:40" x14ac:dyDescent="0.25">
      <c r="A205" s="103"/>
      <c r="C205" s="103"/>
      <c r="D205" s="103"/>
      <c r="E205" s="103"/>
      <c r="F205" s="103"/>
      <c r="J205" s="103"/>
      <c r="K205" s="103"/>
      <c r="L205" s="103"/>
      <c r="M205" s="103"/>
      <c r="N205" s="103"/>
      <c r="O205" s="103"/>
      <c r="P205" s="103"/>
      <c r="Q205" s="103"/>
      <c r="R205" s="103"/>
      <c r="T205" s="103"/>
      <c r="U205" s="103"/>
      <c r="V205" s="103"/>
      <c r="Z205" s="103"/>
      <c r="AA205" s="103"/>
      <c r="AB205" s="103"/>
      <c r="AC205" s="103"/>
      <c r="AD205" s="103"/>
      <c r="AE205" s="103"/>
      <c r="AF205" s="103"/>
      <c r="AG205" s="185"/>
      <c r="AH205" s="103"/>
      <c r="AI205" s="103"/>
      <c r="AJ205" s="103"/>
      <c r="AK205" s="185"/>
      <c r="AL205" s="103"/>
      <c r="AM205" s="103"/>
      <c r="AN205" s="103"/>
    </row>
    <row r="206" spans="1:40" x14ac:dyDescent="0.25">
      <c r="A206" s="103"/>
      <c r="C206" s="103"/>
      <c r="D206" s="103"/>
      <c r="E206" s="103"/>
      <c r="F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T206" s="103"/>
      <c r="U206" s="103"/>
      <c r="V206" s="103"/>
      <c r="Y206" s="103"/>
      <c r="Z206" s="103"/>
      <c r="AA206" s="103"/>
      <c r="AB206" s="103"/>
      <c r="AC206" s="103"/>
      <c r="AD206" s="103"/>
      <c r="AE206" s="103"/>
      <c r="AF206" s="103"/>
      <c r="AG206" s="185"/>
      <c r="AH206" s="103"/>
      <c r="AI206" s="103"/>
      <c r="AJ206" s="103"/>
      <c r="AK206" s="185"/>
      <c r="AL206" s="103"/>
      <c r="AM206" s="103"/>
      <c r="AN206" s="103"/>
    </row>
    <row r="207" spans="1:40" x14ac:dyDescent="0.25">
      <c r="C207" s="103"/>
      <c r="D207" s="103"/>
      <c r="E207" s="103"/>
      <c r="F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T207" s="103"/>
      <c r="U207" s="103"/>
      <c r="V207" s="103"/>
      <c r="Y207" s="103"/>
      <c r="Z207" s="103"/>
      <c r="AA207" s="103"/>
      <c r="AB207" s="103"/>
      <c r="AC207" s="103"/>
      <c r="AD207" s="103"/>
      <c r="AE207" s="103"/>
      <c r="AF207" s="103"/>
      <c r="AG207" s="185"/>
      <c r="AH207" s="103"/>
      <c r="AI207" s="103"/>
      <c r="AJ207" s="103"/>
      <c r="AK207" s="185"/>
      <c r="AL207" s="103"/>
      <c r="AM207" s="103"/>
      <c r="AN207" s="103"/>
    </row>
    <row r="208" spans="1:40" x14ac:dyDescent="0.25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208"/>
      <c r="AH208" s="102"/>
      <c r="AI208" s="102"/>
      <c r="AJ208" s="102"/>
      <c r="AK208" s="208"/>
      <c r="AL208" s="102"/>
      <c r="AM208" s="102"/>
      <c r="AN208" s="102"/>
    </row>
    <row r="209" spans="1:40" x14ac:dyDescent="0.25"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Y209" s="103"/>
      <c r="Z209" s="103"/>
      <c r="AA209" s="103"/>
      <c r="AB209" s="103"/>
      <c r="AC209" s="103"/>
      <c r="AD209" s="103"/>
      <c r="AE209" s="103"/>
      <c r="AF209" s="103"/>
      <c r="AG209" s="185"/>
      <c r="AH209" s="103"/>
      <c r="AI209" s="103"/>
      <c r="AJ209" s="103"/>
      <c r="AK209" s="185"/>
      <c r="AL209" s="103"/>
      <c r="AM209" s="103"/>
      <c r="AN209" s="103"/>
    </row>
    <row r="210" spans="1:40" x14ac:dyDescent="0.25">
      <c r="A210" s="202"/>
      <c r="C210" s="154"/>
      <c r="D210" s="154"/>
      <c r="E210" s="154"/>
      <c r="T210" s="154"/>
      <c r="U210" s="154"/>
    </row>
    <row r="211" spans="1:40" x14ac:dyDescent="0.25">
      <c r="A211" s="202"/>
      <c r="D211" s="154"/>
      <c r="E211" s="154"/>
      <c r="U211" s="154"/>
    </row>
    <row r="213" spans="1:40" x14ac:dyDescent="0.25">
      <c r="A213" s="202"/>
      <c r="C213" s="154"/>
      <c r="F213" s="200"/>
      <c r="J213" s="215"/>
      <c r="K213" s="215"/>
      <c r="L213" s="200"/>
      <c r="M213" s="200"/>
      <c r="R213" s="200"/>
      <c r="T213" s="154"/>
      <c r="V213" s="200"/>
      <c r="Z213" s="215"/>
      <c r="AA213" s="200"/>
      <c r="AB213" s="200"/>
      <c r="AK213" s="209"/>
      <c r="AL213" s="200"/>
    </row>
    <row r="214" spans="1:40" x14ac:dyDescent="0.25">
      <c r="F214" s="200"/>
      <c r="R214" s="200"/>
      <c r="V214" s="200"/>
      <c r="AK214" s="209"/>
      <c r="AL214" s="200"/>
    </row>
    <row r="215" spans="1:40" x14ac:dyDescent="0.25">
      <c r="A215" s="202"/>
      <c r="C215" s="154"/>
      <c r="F215" s="252"/>
      <c r="H215" s="252"/>
      <c r="I215" s="252"/>
      <c r="J215" s="300"/>
      <c r="K215" s="300"/>
      <c r="L215" s="200"/>
      <c r="M215" s="200"/>
      <c r="N215" s="210"/>
      <c r="O215" s="210"/>
      <c r="P215" s="200"/>
      <c r="Q215" s="200"/>
      <c r="R215" s="200"/>
      <c r="T215" s="154"/>
      <c r="V215" s="200"/>
      <c r="Y215" s="200"/>
      <c r="Z215" s="300"/>
      <c r="AA215" s="200"/>
      <c r="AB215" s="200"/>
      <c r="AC215" s="210"/>
      <c r="AD215" s="210"/>
      <c r="AE215" s="200"/>
      <c r="AF215" s="200"/>
      <c r="AG215" s="209"/>
      <c r="AH215" s="201"/>
      <c r="AI215" s="200"/>
      <c r="AJ215" s="200"/>
      <c r="AK215" s="209"/>
      <c r="AL215" s="200"/>
      <c r="AM215" s="210"/>
      <c r="AN215" s="210"/>
    </row>
    <row r="216" spans="1:40" x14ac:dyDescent="0.25">
      <c r="A216" s="202"/>
      <c r="C216" s="154"/>
      <c r="F216" s="252"/>
      <c r="H216" s="317"/>
      <c r="I216" s="317"/>
      <c r="J216" s="300"/>
      <c r="K216" s="300"/>
      <c r="L216" s="200"/>
      <c r="M216" s="200"/>
      <c r="N216" s="210"/>
      <c r="O216" s="210"/>
      <c r="P216" s="200"/>
      <c r="Q216" s="200"/>
      <c r="R216" s="200"/>
      <c r="T216" s="154"/>
      <c r="V216" s="200"/>
      <c r="Y216" s="200"/>
      <c r="Z216" s="300"/>
      <c r="AA216" s="200"/>
      <c r="AB216" s="200"/>
      <c r="AC216" s="210"/>
      <c r="AD216" s="210"/>
      <c r="AE216" s="200"/>
      <c r="AF216" s="200"/>
      <c r="AG216" s="209"/>
      <c r="AH216" s="201"/>
      <c r="AI216" s="200"/>
      <c r="AJ216" s="200"/>
      <c r="AK216" s="209"/>
      <c r="AL216" s="200"/>
      <c r="AM216" s="210"/>
      <c r="AN216" s="210"/>
    </row>
    <row r="217" spans="1:40" x14ac:dyDescent="0.25">
      <c r="F217" s="211"/>
      <c r="H217" s="200"/>
      <c r="I217" s="200"/>
      <c r="J217" s="305"/>
      <c r="K217" s="305"/>
      <c r="L217" s="211"/>
      <c r="M217" s="211"/>
      <c r="N217" s="211"/>
      <c r="O217" s="211"/>
      <c r="P217" s="211"/>
      <c r="Q217" s="211"/>
      <c r="R217" s="211"/>
      <c r="V217" s="211"/>
      <c r="Y217" s="200"/>
      <c r="Z217" s="305"/>
      <c r="AA217" s="211"/>
      <c r="AB217" s="211"/>
      <c r="AC217" s="211"/>
      <c r="AD217" s="211"/>
      <c r="AE217" s="211"/>
      <c r="AF217" s="211"/>
      <c r="AI217" s="211"/>
      <c r="AJ217" s="211"/>
      <c r="AK217" s="212"/>
      <c r="AL217" s="211"/>
    </row>
    <row r="218" spans="1:40" x14ac:dyDescent="0.25">
      <c r="A218" s="202"/>
      <c r="C218" s="154"/>
      <c r="F218" s="200"/>
      <c r="H218" s="200"/>
      <c r="I218" s="200"/>
      <c r="J218" s="213"/>
      <c r="K218" s="213"/>
      <c r="L218" s="200"/>
      <c r="M218" s="200"/>
      <c r="N218" s="210"/>
      <c r="O218" s="210"/>
      <c r="P218" s="200"/>
      <c r="Q218" s="200"/>
      <c r="R218" s="200"/>
      <c r="T218" s="154"/>
      <c r="V218" s="200"/>
      <c r="Y218" s="200"/>
      <c r="Z218" s="213"/>
      <c r="AA218" s="200"/>
      <c r="AB218" s="200"/>
      <c r="AC218" s="210"/>
      <c r="AD218" s="210"/>
      <c r="AE218" s="200"/>
      <c r="AF218" s="200"/>
      <c r="AG218" s="209"/>
      <c r="AH218" s="201"/>
      <c r="AI218" s="200"/>
      <c r="AJ218" s="200"/>
      <c r="AK218" s="209"/>
      <c r="AL218" s="200"/>
      <c r="AM218" s="210"/>
      <c r="AN218" s="210"/>
    </row>
    <row r="219" spans="1:40" x14ac:dyDescent="0.25">
      <c r="F219" s="211"/>
      <c r="H219" s="200"/>
      <c r="I219" s="200"/>
      <c r="J219" s="305"/>
      <c r="K219" s="305"/>
      <c r="L219" s="211"/>
      <c r="M219" s="211"/>
      <c r="N219" s="211"/>
      <c r="O219" s="211"/>
      <c r="P219" s="211"/>
      <c r="Q219" s="211"/>
      <c r="R219" s="211"/>
      <c r="V219" s="211"/>
      <c r="Y219" s="200"/>
      <c r="Z219" s="305"/>
      <c r="AA219" s="211"/>
      <c r="AB219" s="211"/>
      <c r="AC219" s="211"/>
      <c r="AD219" s="211"/>
      <c r="AE219" s="211"/>
      <c r="AF219" s="211"/>
      <c r="AI219" s="211"/>
      <c r="AJ219" s="211"/>
      <c r="AK219" s="212"/>
      <c r="AL219" s="211"/>
    </row>
    <row r="220" spans="1:40" x14ac:dyDescent="0.25">
      <c r="F220" s="200"/>
      <c r="R220" s="200"/>
      <c r="V220" s="200"/>
      <c r="AK220" s="209"/>
      <c r="AL220" s="200"/>
    </row>
    <row r="221" spans="1:40" x14ac:dyDescent="0.25">
      <c r="A221" s="202"/>
      <c r="C221" s="154"/>
      <c r="F221" s="200"/>
      <c r="R221" s="200"/>
      <c r="T221" s="154"/>
      <c r="V221" s="200"/>
      <c r="AK221" s="209"/>
      <c r="AL221" s="200"/>
    </row>
    <row r="222" spans="1:40" x14ac:dyDescent="0.25">
      <c r="F222" s="200"/>
      <c r="R222" s="200"/>
      <c r="V222" s="200"/>
      <c r="AK222" s="209"/>
      <c r="AL222" s="200"/>
    </row>
    <row r="223" spans="1:40" x14ac:dyDescent="0.25">
      <c r="A223" s="202"/>
      <c r="C223" s="154"/>
      <c r="F223" s="200"/>
      <c r="H223" s="252"/>
      <c r="I223" s="252"/>
      <c r="J223" s="320"/>
      <c r="K223" s="320"/>
      <c r="L223" s="200"/>
      <c r="M223" s="200"/>
      <c r="N223" s="210"/>
      <c r="O223" s="210"/>
      <c r="P223" s="252"/>
      <c r="Q223" s="252"/>
      <c r="R223" s="200"/>
      <c r="T223" s="154"/>
      <c r="V223" s="200"/>
      <c r="Y223" s="200"/>
      <c r="Z223" s="304"/>
      <c r="AA223" s="200"/>
      <c r="AB223" s="200"/>
      <c r="AC223" s="210"/>
      <c r="AD223" s="210"/>
      <c r="AE223" s="200"/>
      <c r="AF223" s="200"/>
      <c r="AG223" s="209"/>
      <c r="AH223" s="201"/>
      <c r="AI223" s="252"/>
      <c r="AJ223" s="252"/>
      <c r="AK223" s="209"/>
      <c r="AL223" s="200"/>
      <c r="AM223" s="210"/>
      <c r="AN223" s="210"/>
    </row>
    <row r="224" spans="1:40" x14ac:dyDescent="0.25">
      <c r="H224" s="211"/>
      <c r="I224" s="211"/>
      <c r="J224" s="305"/>
      <c r="K224" s="305"/>
      <c r="L224" s="211"/>
      <c r="M224" s="211"/>
      <c r="N224" s="211"/>
      <c r="O224" s="211"/>
      <c r="P224" s="211"/>
      <c r="Q224" s="211"/>
      <c r="R224" s="211"/>
      <c r="V224" s="211"/>
      <c r="Y224" s="211"/>
      <c r="Z224" s="305"/>
      <c r="AA224" s="211"/>
      <c r="AB224" s="211"/>
      <c r="AC224" s="211"/>
      <c r="AD224" s="211"/>
      <c r="AE224" s="211"/>
      <c r="AF224" s="211"/>
      <c r="AI224" s="211"/>
      <c r="AJ224" s="211"/>
      <c r="AK224" s="212"/>
      <c r="AL224" s="211"/>
    </row>
    <row r="225" spans="1:40" x14ac:dyDescent="0.25">
      <c r="F225" s="211"/>
    </row>
    <row r="226" spans="1:40" x14ac:dyDescent="0.25">
      <c r="A226" s="202"/>
      <c r="C226" s="154"/>
      <c r="F226" s="200"/>
      <c r="H226" s="200"/>
      <c r="I226" s="200"/>
      <c r="J226" s="215"/>
      <c r="K226" s="215"/>
      <c r="L226" s="200"/>
      <c r="M226" s="200"/>
      <c r="N226" s="210"/>
      <c r="O226" s="210"/>
      <c r="P226" s="200"/>
      <c r="Q226" s="200"/>
      <c r="R226" s="200"/>
      <c r="T226" s="154"/>
      <c r="V226" s="200"/>
      <c r="Y226" s="200"/>
      <c r="Z226" s="215"/>
      <c r="AA226" s="200"/>
      <c r="AB226" s="200"/>
      <c r="AC226" s="210"/>
      <c r="AD226" s="210"/>
      <c r="AE226" s="200"/>
      <c r="AF226" s="200"/>
      <c r="AG226" s="209"/>
      <c r="AH226" s="201"/>
      <c r="AI226" s="200"/>
      <c r="AJ226" s="200"/>
      <c r="AK226" s="209"/>
      <c r="AL226" s="200"/>
      <c r="AM226" s="210"/>
      <c r="AN226" s="210"/>
    </row>
    <row r="227" spans="1:40" x14ac:dyDescent="0.25">
      <c r="F227" s="211"/>
      <c r="H227" s="211"/>
      <c r="I227" s="211"/>
      <c r="J227" s="305"/>
      <c r="K227" s="305"/>
      <c r="L227" s="211"/>
      <c r="M227" s="211"/>
      <c r="N227" s="211"/>
      <c r="O227" s="211"/>
      <c r="P227" s="211"/>
      <c r="Q227" s="211"/>
      <c r="R227" s="211"/>
      <c r="V227" s="211"/>
      <c r="Y227" s="211"/>
      <c r="Z227" s="305"/>
      <c r="AA227" s="211"/>
      <c r="AB227" s="211"/>
      <c r="AC227" s="211"/>
      <c r="AD227" s="211"/>
      <c r="AE227" s="211"/>
      <c r="AF227" s="211"/>
      <c r="AI227" s="211"/>
      <c r="AJ227" s="211"/>
      <c r="AK227" s="212"/>
      <c r="AL227" s="211"/>
    </row>
    <row r="228" spans="1:40" x14ac:dyDescent="0.25">
      <c r="R228" s="200"/>
      <c r="AG228" s="209"/>
      <c r="AH228" s="200"/>
    </row>
    <row r="229" spans="1:40" x14ac:dyDescent="0.25">
      <c r="F229" s="200"/>
      <c r="H229" s="200"/>
      <c r="I229" s="200"/>
      <c r="J229" s="213"/>
      <c r="K229" s="213"/>
      <c r="L229" s="200"/>
      <c r="M229" s="200"/>
      <c r="N229" s="200"/>
      <c r="O229" s="200"/>
      <c r="P229" s="200"/>
      <c r="Q229" s="200"/>
      <c r="R229" s="200"/>
      <c r="V229" s="200"/>
      <c r="Y229" s="200"/>
      <c r="Z229" s="213"/>
      <c r="AA229" s="200"/>
      <c r="AB229" s="200"/>
      <c r="AC229" s="200"/>
      <c r="AD229" s="200"/>
      <c r="AE229" s="200"/>
      <c r="AF229" s="200"/>
      <c r="AG229" s="209"/>
      <c r="AH229" s="200"/>
    </row>
    <row r="230" spans="1:40" x14ac:dyDescent="0.25">
      <c r="C230" s="154"/>
      <c r="F230" s="200"/>
      <c r="H230" s="200"/>
      <c r="I230" s="200"/>
      <c r="J230" s="213"/>
      <c r="K230" s="213"/>
      <c r="L230" s="200"/>
      <c r="M230" s="200"/>
      <c r="N230" s="200"/>
      <c r="O230" s="200"/>
      <c r="P230" s="200"/>
      <c r="Q230" s="200"/>
      <c r="R230" s="200"/>
      <c r="T230" s="154"/>
      <c r="V230" s="200"/>
      <c r="Y230" s="200"/>
      <c r="Z230" s="213"/>
      <c r="AA230" s="200"/>
      <c r="AB230" s="200"/>
      <c r="AC230" s="200"/>
      <c r="AD230" s="200"/>
      <c r="AE230" s="200"/>
      <c r="AF230" s="200"/>
      <c r="AG230" s="209"/>
      <c r="AH230" s="200"/>
    </row>
    <row r="231" spans="1:40" x14ac:dyDescent="0.25">
      <c r="A231" s="154"/>
    </row>
    <row r="233" spans="1:40" x14ac:dyDescent="0.25">
      <c r="J233" s="202"/>
      <c r="K233" s="202"/>
      <c r="Z233" s="202"/>
    </row>
    <row r="234" spans="1:40" x14ac:dyDescent="0.25">
      <c r="H234" s="154"/>
      <c r="I234" s="154"/>
      <c r="Y234" s="154"/>
    </row>
    <row r="235" spans="1:40" x14ac:dyDescent="0.25">
      <c r="J235" s="202"/>
      <c r="K235" s="202"/>
      <c r="Z235" s="202"/>
    </row>
    <row r="236" spans="1:40" x14ac:dyDescent="0.25">
      <c r="L236" s="154"/>
      <c r="M236" s="154"/>
      <c r="AA236" s="154"/>
      <c r="AB236" s="154"/>
    </row>
    <row r="237" spans="1:40" x14ac:dyDescent="0.25">
      <c r="A237" s="202"/>
      <c r="R237" s="154"/>
      <c r="AK237" s="297"/>
      <c r="AL237" s="154"/>
    </row>
    <row r="238" spans="1:40" x14ac:dyDescent="0.25">
      <c r="A238" s="202"/>
      <c r="R238" s="154"/>
      <c r="AK238" s="297"/>
      <c r="AL238" s="154"/>
    </row>
    <row r="239" spans="1:40" x14ac:dyDescent="0.25">
      <c r="A239" s="154"/>
      <c r="R239" s="154"/>
      <c r="AK239" s="297"/>
      <c r="AL239" s="154"/>
    </row>
    <row r="240" spans="1:40" x14ac:dyDescent="0.25">
      <c r="L240" s="154"/>
      <c r="M240" s="154"/>
      <c r="R240" s="202"/>
      <c r="AA240" s="154"/>
      <c r="AB240" s="154"/>
      <c r="AK240" s="209"/>
      <c r="AL240" s="202"/>
    </row>
    <row r="241" spans="1:40" x14ac:dyDescent="0.2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208"/>
      <c r="AH241" s="102"/>
      <c r="AI241" s="102"/>
      <c r="AJ241" s="102"/>
      <c r="AK241" s="208"/>
      <c r="AL241" s="102"/>
      <c r="AM241" s="102"/>
      <c r="AN241" s="102"/>
    </row>
    <row r="242" spans="1:40" x14ac:dyDescent="0.25">
      <c r="L242" s="103"/>
      <c r="M242" s="103"/>
      <c r="N242" s="103"/>
      <c r="O242" s="103"/>
      <c r="R242" s="103"/>
      <c r="AA242" s="103"/>
      <c r="AB242" s="103"/>
      <c r="AC242" s="103"/>
      <c r="AD242" s="103"/>
      <c r="AE242" s="103"/>
      <c r="AF242" s="103"/>
      <c r="AG242" s="185"/>
      <c r="AH242" s="103"/>
      <c r="AK242" s="185"/>
      <c r="AL242" s="103"/>
      <c r="AM242" s="103"/>
      <c r="AN242" s="103"/>
    </row>
    <row r="243" spans="1:40" x14ac:dyDescent="0.25">
      <c r="L243" s="103"/>
      <c r="M243" s="103"/>
      <c r="N243" s="103"/>
      <c r="O243" s="103"/>
      <c r="R243" s="103"/>
      <c r="Z243" s="103"/>
      <c r="AA243" s="103"/>
      <c r="AB243" s="103"/>
      <c r="AC243" s="103"/>
      <c r="AD243" s="103"/>
      <c r="AE243" s="103"/>
      <c r="AF243" s="103"/>
      <c r="AG243" s="185"/>
      <c r="AH243" s="103"/>
      <c r="AK243" s="185"/>
      <c r="AL243" s="103"/>
      <c r="AM243" s="103"/>
      <c r="AN243" s="103"/>
    </row>
    <row r="244" spans="1:40" x14ac:dyDescent="0.25">
      <c r="A244" s="103"/>
      <c r="C244" s="103"/>
      <c r="D244" s="103"/>
      <c r="E244" s="103"/>
      <c r="F244" s="103"/>
      <c r="J244" s="103"/>
      <c r="K244" s="103"/>
      <c r="L244" s="103"/>
      <c r="M244" s="103"/>
      <c r="N244" s="103"/>
      <c r="O244" s="103"/>
      <c r="P244" s="103"/>
      <c r="Q244" s="103"/>
      <c r="R244" s="103"/>
      <c r="T244" s="103"/>
      <c r="U244" s="103"/>
      <c r="V244" s="103"/>
      <c r="Z244" s="103"/>
      <c r="AA244" s="103"/>
      <c r="AB244" s="103"/>
      <c r="AC244" s="103"/>
      <c r="AD244" s="103"/>
      <c r="AE244" s="103"/>
      <c r="AF244" s="103"/>
      <c r="AG244" s="185"/>
      <c r="AH244" s="103"/>
      <c r="AI244" s="103"/>
      <c r="AJ244" s="103"/>
      <c r="AK244" s="185"/>
      <c r="AL244" s="103"/>
      <c r="AM244" s="103"/>
      <c r="AN244" s="103"/>
    </row>
    <row r="245" spans="1:40" x14ac:dyDescent="0.25">
      <c r="A245" s="103"/>
      <c r="C245" s="103"/>
      <c r="D245" s="103"/>
      <c r="E245" s="103"/>
      <c r="F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T245" s="103"/>
      <c r="U245" s="103"/>
      <c r="V245" s="103"/>
      <c r="Y245" s="103"/>
      <c r="Z245" s="103"/>
      <c r="AA245" s="103"/>
      <c r="AB245" s="103"/>
      <c r="AC245" s="103"/>
      <c r="AD245" s="103"/>
      <c r="AE245" s="103"/>
      <c r="AF245" s="103"/>
      <c r="AG245" s="185"/>
      <c r="AH245" s="103"/>
      <c r="AI245" s="103"/>
      <c r="AJ245" s="103"/>
      <c r="AK245" s="185"/>
      <c r="AL245" s="103"/>
      <c r="AM245" s="103"/>
      <c r="AN245" s="103"/>
    </row>
    <row r="246" spans="1:40" x14ac:dyDescent="0.25">
      <c r="C246" s="103"/>
      <c r="D246" s="103"/>
      <c r="E246" s="103"/>
      <c r="F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T246" s="103"/>
      <c r="U246" s="103"/>
      <c r="V246" s="103"/>
      <c r="Y246" s="103"/>
      <c r="Z246" s="103"/>
      <c r="AA246" s="103"/>
      <c r="AB246" s="103"/>
      <c r="AC246" s="103"/>
      <c r="AD246" s="103"/>
      <c r="AE246" s="103"/>
      <c r="AF246" s="103"/>
      <c r="AG246" s="185"/>
      <c r="AH246" s="103"/>
      <c r="AI246" s="103"/>
      <c r="AJ246" s="103"/>
      <c r="AK246" s="185"/>
      <c r="AL246" s="103"/>
      <c r="AM246" s="103"/>
      <c r="AN246" s="103"/>
    </row>
    <row r="247" spans="1:40" x14ac:dyDescent="0.2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208"/>
      <c r="AH247" s="102"/>
      <c r="AI247" s="102"/>
      <c r="AJ247" s="102"/>
      <c r="AK247" s="208"/>
      <c r="AL247" s="102"/>
      <c r="AM247" s="102"/>
      <c r="AN247" s="102"/>
    </row>
    <row r="248" spans="1:40" x14ac:dyDescent="0.25"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Y248" s="103"/>
      <c r="Z248" s="103"/>
      <c r="AA248" s="103"/>
      <c r="AB248" s="103"/>
      <c r="AC248" s="103"/>
      <c r="AD248" s="103"/>
      <c r="AE248" s="103"/>
      <c r="AF248" s="103"/>
      <c r="AG248" s="185"/>
      <c r="AH248" s="103"/>
      <c r="AI248" s="103"/>
      <c r="AJ248" s="103"/>
      <c r="AK248" s="185"/>
      <c r="AL248" s="103"/>
      <c r="AM248" s="103"/>
      <c r="AN248" s="103"/>
    </row>
    <row r="249" spans="1:40" x14ac:dyDescent="0.25">
      <c r="A249" s="202"/>
      <c r="C249" s="154"/>
      <c r="D249" s="154"/>
      <c r="E249" s="154"/>
      <c r="T249" s="154"/>
      <c r="U249" s="154"/>
    </row>
    <row r="250" spans="1:40" x14ac:dyDescent="0.25">
      <c r="A250" s="202"/>
      <c r="C250" s="154"/>
      <c r="T250" s="154"/>
    </row>
    <row r="252" spans="1:40" x14ac:dyDescent="0.25">
      <c r="A252" s="202"/>
      <c r="C252" s="154"/>
      <c r="F252" s="252"/>
      <c r="H252" s="252"/>
      <c r="I252" s="252"/>
      <c r="J252" s="300"/>
      <c r="K252" s="300"/>
      <c r="L252" s="200"/>
      <c r="M252" s="200"/>
      <c r="N252" s="210"/>
      <c r="O252" s="210"/>
      <c r="P252" s="202"/>
      <c r="Q252" s="202"/>
      <c r="R252" s="200"/>
      <c r="T252" s="154"/>
      <c r="V252" s="200"/>
      <c r="Y252" s="252"/>
      <c r="Z252" s="300"/>
      <c r="AA252" s="200"/>
      <c r="AB252" s="200"/>
      <c r="AC252" s="210"/>
      <c r="AD252" s="210"/>
      <c r="AE252" s="200"/>
      <c r="AF252" s="200"/>
      <c r="AG252" s="209"/>
      <c r="AH252" s="201"/>
      <c r="AI252" s="202"/>
      <c r="AJ252" s="202"/>
      <c r="AK252" s="209"/>
      <c r="AL252" s="200"/>
      <c r="AM252" s="210"/>
      <c r="AN252" s="210"/>
    </row>
    <row r="253" spans="1:40" x14ac:dyDescent="0.25">
      <c r="F253" s="211"/>
      <c r="H253" s="200"/>
      <c r="I253" s="200"/>
      <c r="J253" s="305"/>
      <c r="K253" s="305"/>
      <c r="L253" s="211"/>
      <c r="M253" s="211"/>
      <c r="N253" s="211"/>
      <c r="O253" s="211"/>
      <c r="P253" s="211"/>
      <c r="Q253" s="211"/>
      <c r="R253" s="211"/>
      <c r="V253" s="211"/>
      <c r="Y253" s="200"/>
      <c r="Z253" s="305"/>
      <c r="AA253" s="211"/>
      <c r="AB253" s="211"/>
      <c r="AC253" s="211"/>
      <c r="AD253" s="211"/>
      <c r="AE253" s="211"/>
      <c r="AF253" s="211"/>
      <c r="AI253" s="211"/>
      <c r="AJ253" s="211"/>
      <c r="AK253" s="212"/>
      <c r="AL253" s="211"/>
      <c r="AM253" s="210"/>
      <c r="AN253" s="210"/>
    </row>
    <row r="254" spans="1:40" x14ac:dyDescent="0.25">
      <c r="A254" s="202"/>
      <c r="C254" s="154"/>
      <c r="F254" s="252"/>
      <c r="H254" s="252"/>
      <c r="I254" s="252"/>
      <c r="J254" s="328"/>
      <c r="K254" s="328"/>
      <c r="L254" s="200"/>
      <c r="M254" s="200"/>
      <c r="N254" s="210"/>
      <c r="O254" s="210"/>
      <c r="P254" s="200"/>
      <c r="Q254" s="200"/>
      <c r="R254" s="200"/>
      <c r="S254" s="200"/>
      <c r="T254" s="154"/>
      <c r="V254" s="252"/>
      <c r="Y254" s="252"/>
      <c r="Z254" s="328"/>
      <c r="AA254" s="200"/>
      <c r="AB254" s="200"/>
      <c r="AC254" s="210"/>
      <c r="AD254" s="210"/>
      <c r="AE254" s="200"/>
      <c r="AF254" s="200"/>
      <c r="AG254" s="209"/>
      <c r="AH254" s="210"/>
      <c r="AI254" s="200"/>
      <c r="AJ254" s="200"/>
      <c r="AK254" s="209"/>
      <c r="AL254" s="200"/>
      <c r="AM254" s="210"/>
      <c r="AN254" s="210"/>
    </row>
    <row r="255" spans="1:40" x14ac:dyDescent="0.25">
      <c r="A255" s="202"/>
      <c r="C255" s="154"/>
      <c r="F255" s="252"/>
      <c r="H255" s="252"/>
      <c r="I255" s="252"/>
      <c r="J255" s="300"/>
      <c r="K255" s="300"/>
      <c r="L255" s="200"/>
      <c r="M255" s="200"/>
      <c r="N255" s="210"/>
      <c r="O255" s="210"/>
      <c r="P255" s="200"/>
      <c r="Q255" s="200"/>
      <c r="R255" s="200"/>
      <c r="T255" s="154"/>
      <c r="V255" s="252"/>
      <c r="Y255" s="200"/>
      <c r="Z255" s="300"/>
      <c r="AA255" s="200"/>
      <c r="AB255" s="200"/>
      <c r="AC255" s="210"/>
      <c r="AD255" s="210"/>
      <c r="AE255" s="200"/>
      <c r="AF255" s="200"/>
      <c r="AG255" s="209"/>
      <c r="AH255" s="201"/>
      <c r="AI255" s="200"/>
      <c r="AJ255" s="200"/>
      <c r="AK255" s="209"/>
      <c r="AL255" s="200"/>
      <c r="AM255" s="210"/>
      <c r="AN255" s="210"/>
    </row>
    <row r="256" spans="1:40" x14ac:dyDescent="0.25">
      <c r="A256" s="202"/>
      <c r="C256" s="154"/>
      <c r="F256" s="252"/>
      <c r="H256" s="252"/>
      <c r="I256" s="252"/>
      <c r="J256" s="300"/>
      <c r="K256" s="300"/>
      <c r="L256" s="200"/>
      <c r="M256" s="200"/>
      <c r="N256" s="210"/>
      <c r="O256" s="210"/>
      <c r="P256" s="200"/>
      <c r="Q256" s="200"/>
      <c r="R256" s="200"/>
      <c r="T256" s="154"/>
      <c r="V256" s="252"/>
      <c r="Y256" s="200"/>
      <c r="Z256" s="300"/>
      <c r="AA256" s="200"/>
      <c r="AB256" s="200"/>
      <c r="AC256" s="210"/>
      <c r="AD256" s="210"/>
      <c r="AE256" s="200"/>
      <c r="AF256" s="200"/>
      <c r="AG256" s="209"/>
      <c r="AH256" s="201"/>
      <c r="AI256" s="200"/>
      <c r="AJ256" s="200"/>
      <c r="AK256" s="209"/>
      <c r="AL256" s="200"/>
      <c r="AM256" s="210"/>
      <c r="AN256" s="210"/>
    </row>
    <row r="257" spans="1:40" x14ac:dyDescent="0.25">
      <c r="F257" s="211"/>
      <c r="H257" s="211"/>
      <c r="I257" s="211"/>
      <c r="J257" s="305"/>
      <c r="K257" s="305"/>
      <c r="L257" s="211"/>
      <c r="M257" s="211"/>
      <c r="N257" s="211"/>
      <c r="O257" s="211"/>
      <c r="P257" s="211"/>
      <c r="Q257" s="211"/>
      <c r="R257" s="211"/>
      <c r="V257" s="211"/>
      <c r="Y257" s="211"/>
      <c r="Z257" s="305"/>
      <c r="AA257" s="211"/>
      <c r="AB257" s="211"/>
      <c r="AC257" s="211"/>
      <c r="AD257" s="211"/>
      <c r="AE257" s="211"/>
      <c r="AF257" s="211"/>
      <c r="AI257" s="211"/>
      <c r="AJ257" s="211"/>
      <c r="AK257" s="212"/>
      <c r="AL257" s="211"/>
      <c r="AM257" s="210"/>
      <c r="AN257" s="210"/>
    </row>
    <row r="258" spans="1:40" x14ac:dyDescent="0.25">
      <c r="A258" s="202"/>
      <c r="C258" s="154"/>
      <c r="F258" s="200"/>
      <c r="H258" s="200"/>
      <c r="I258" s="200"/>
      <c r="J258" s="213"/>
      <c r="K258" s="213"/>
      <c r="L258" s="200"/>
      <c r="M258" s="200"/>
      <c r="N258" s="210"/>
      <c r="O258" s="210"/>
      <c r="P258" s="200"/>
      <c r="Q258" s="200"/>
      <c r="R258" s="200"/>
      <c r="T258" s="154"/>
      <c r="V258" s="200"/>
      <c r="Y258" s="200"/>
      <c r="Z258" s="213"/>
      <c r="AA258" s="200"/>
      <c r="AB258" s="200"/>
      <c r="AC258" s="210"/>
      <c r="AD258" s="210"/>
      <c r="AE258" s="200"/>
      <c r="AF258" s="200"/>
      <c r="AG258" s="209"/>
      <c r="AH258" s="201"/>
      <c r="AI258" s="200"/>
      <c r="AJ258" s="200"/>
      <c r="AK258" s="209"/>
      <c r="AL258" s="200"/>
      <c r="AM258" s="210"/>
      <c r="AN258" s="210"/>
    </row>
    <row r="259" spans="1:40" x14ac:dyDescent="0.25">
      <c r="F259" s="211"/>
      <c r="H259" s="211"/>
      <c r="I259" s="211"/>
      <c r="J259" s="305"/>
      <c r="K259" s="305"/>
      <c r="L259" s="211"/>
      <c r="M259" s="211"/>
      <c r="N259" s="211"/>
      <c r="O259" s="211"/>
      <c r="P259" s="211"/>
      <c r="Q259" s="211"/>
      <c r="R259" s="211"/>
      <c r="V259" s="211"/>
      <c r="Y259" s="211"/>
      <c r="Z259" s="305"/>
      <c r="AA259" s="211"/>
      <c r="AB259" s="211"/>
      <c r="AC259" s="211"/>
      <c r="AD259" s="211"/>
      <c r="AE259" s="211"/>
      <c r="AF259" s="211"/>
      <c r="AI259" s="211"/>
      <c r="AJ259" s="211"/>
      <c r="AK259" s="212"/>
      <c r="AL259" s="211"/>
      <c r="AM259" s="210"/>
      <c r="AN259" s="210"/>
    </row>
    <row r="260" spans="1:40" x14ac:dyDescent="0.25">
      <c r="A260" s="202"/>
      <c r="C260" s="154"/>
      <c r="F260" s="200"/>
      <c r="H260" s="200"/>
      <c r="I260" s="200"/>
      <c r="J260" s="213"/>
      <c r="K260" s="213"/>
      <c r="L260" s="200"/>
      <c r="M260" s="200"/>
      <c r="N260" s="210"/>
      <c r="O260" s="210"/>
      <c r="P260" s="200"/>
      <c r="Q260" s="200"/>
      <c r="R260" s="200"/>
      <c r="T260" s="154"/>
      <c r="V260" s="200"/>
      <c r="Y260" s="200"/>
      <c r="Z260" s="213"/>
      <c r="AA260" s="200"/>
      <c r="AB260" s="200"/>
      <c r="AC260" s="210"/>
      <c r="AD260" s="210"/>
      <c r="AE260" s="200"/>
      <c r="AF260" s="200"/>
      <c r="AG260" s="209"/>
      <c r="AH260" s="201"/>
      <c r="AI260" s="200"/>
      <c r="AJ260" s="200"/>
      <c r="AK260" s="209"/>
      <c r="AL260" s="200"/>
      <c r="AM260" s="210"/>
      <c r="AN260" s="210"/>
    </row>
    <row r="261" spans="1:40" x14ac:dyDescent="0.25">
      <c r="A261" s="202"/>
      <c r="C261" s="154"/>
      <c r="F261" s="200"/>
      <c r="H261" s="252"/>
      <c r="I261" s="252"/>
      <c r="J261" s="320"/>
      <c r="K261" s="320"/>
      <c r="L261" s="200"/>
      <c r="M261" s="200"/>
      <c r="N261" s="210"/>
      <c r="O261" s="210"/>
      <c r="P261" s="200"/>
      <c r="Q261" s="200"/>
      <c r="R261" s="200"/>
      <c r="T261" s="154"/>
      <c r="V261" s="200"/>
      <c r="Y261" s="200"/>
      <c r="Z261" s="304"/>
      <c r="AA261" s="200"/>
      <c r="AB261" s="200"/>
      <c r="AC261" s="210"/>
      <c r="AD261" s="210"/>
      <c r="AE261" s="200"/>
      <c r="AF261" s="200"/>
      <c r="AG261" s="209"/>
      <c r="AH261" s="201"/>
      <c r="AI261" s="200"/>
      <c r="AJ261" s="200"/>
      <c r="AK261" s="209"/>
      <c r="AL261" s="200"/>
      <c r="AM261" s="210"/>
      <c r="AN261" s="210"/>
    </row>
    <row r="262" spans="1:40" x14ac:dyDescent="0.25">
      <c r="H262" s="211"/>
      <c r="I262" s="211"/>
      <c r="J262" s="305"/>
      <c r="K262" s="305"/>
      <c r="L262" s="211"/>
      <c r="M262" s="211"/>
      <c r="N262" s="211"/>
      <c r="O262" s="211"/>
      <c r="P262" s="211"/>
      <c r="Q262" s="211"/>
      <c r="R262" s="211"/>
      <c r="V262" s="211"/>
      <c r="Y262" s="211"/>
      <c r="Z262" s="305"/>
      <c r="AA262" s="211"/>
      <c r="AB262" s="211"/>
      <c r="AC262" s="211"/>
      <c r="AD262" s="211"/>
      <c r="AE262" s="211"/>
      <c r="AF262" s="211"/>
      <c r="AI262" s="211"/>
      <c r="AJ262" s="211"/>
      <c r="AK262" s="212"/>
      <c r="AL262" s="211"/>
      <c r="AM262" s="210"/>
      <c r="AN262" s="210"/>
    </row>
    <row r="263" spans="1:40" x14ac:dyDescent="0.25">
      <c r="F263" s="211"/>
    </row>
    <row r="264" spans="1:40" x14ac:dyDescent="0.25">
      <c r="A264" s="202"/>
      <c r="C264" s="154"/>
      <c r="F264" s="200"/>
      <c r="H264" s="200"/>
      <c r="I264" s="200"/>
      <c r="J264" s="305"/>
      <c r="K264" s="305"/>
      <c r="L264" s="200"/>
      <c r="M264" s="200"/>
      <c r="N264" s="210"/>
      <c r="O264" s="210"/>
      <c r="P264" s="200"/>
      <c r="Q264" s="200"/>
      <c r="R264" s="200"/>
      <c r="S264" s="200"/>
      <c r="T264" s="154"/>
      <c r="V264" s="200"/>
      <c r="Y264" s="200"/>
      <c r="Z264" s="305"/>
      <c r="AA264" s="200"/>
      <c r="AB264" s="200"/>
      <c r="AC264" s="210"/>
      <c r="AD264" s="210"/>
      <c r="AE264" s="200"/>
      <c r="AF264" s="200"/>
      <c r="AG264" s="209"/>
      <c r="AH264" s="210"/>
      <c r="AI264" s="200"/>
      <c r="AJ264" s="200"/>
      <c r="AK264" s="209"/>
      <c r="AL264" s="200"/>
      <c r="AM264" s="210"/>
      <c r="AN264" s="210"/>
    </row>
    <row r="265" spans="1:40" x14ac:dyDescent="0.25">
      <c r="F265" s="211"/>
      <c r="H265" s="211"/>
      <c r="I265" s="211"/>
      <c r="J265" s="305"/>
      <c r="K265" s="305"/>
      <c r="L265" s="211"/>
      <c r="M265" s="211"/>
      <c r="N265" s="211"/>
      <c r="O265" s="211"/>
      <c r="P265" s="211"/>
      <c r="Q265" s="211"/>
      <c r="R265" s="211"/>
      <c r="S265" s="200"/>
      <c r="V265" s="211"/>
      <c r="Y265" s="211"/>
      <c r="Z265" s="305"/>
      <c r="AA265" s="211"/>
      <c r="AB265" s="211"/>
      <c r="AC265" s="211"/>
      <c r="AD265" s="211"/>
      <c r="AE265" s="211"/>
      <c r="AF265" s="211"/>
      <c r="AI265" s="211"/>
      <c r="AJ265" s="211"/>
      <c r="AK265" s="212"/>
      <c r="AL265" s="211"/>
      <c r="AM265" s="210"/>
      <c r="AN265" s="210"/>
    </row>
    <row r="266" spans="1:40" x14ac:dyDescent="0.25">
      <c r="A266" s="202"/>
      <c r="C266" s="154"/>
      <c r="H266" s="252"/>
      <c r="I266" s="252"/>
      <c r="J266" s="305"/>
      <c r="K266" s="305"/>
      <c r="L266" s="200"/>
      <c r="M266" s="200"/>
      <c r="N266" s="210"/>
      <c r="O266" s="210"/>
      <c r="P266" s="200"/>
      <c r="Q266" s="200"/>
      <c r="R266" s="200"/>
      <c r="S266" s="200"/>
      <c r="T266" s="154"/>
      <c r="V266" s="252"/>
      <c r="Y266" s="252"/>
      <c r="Z266" s="305"/>
      <c r="AA266" s="200"/>
      <c r="AB266" s="200"/>
      <c r="AC266" s="210"/>
      <c r="AD266" s="210"/>
      <c r="AE266" s="200"/>
      <c r="AF266" s="200"/>
      <c r="AI266" s="200"/>
      <c r="AJ266" s="200"/>
      <c r="AK266" s="209"/>
      <c r="AL266" s="200"/>
      <c r="AM266" s="210"/>
      <c r="AN266" s="210"/>
    </row>
    <row r="267" spans="1:40" x14ac:dyDescent="0.25">
      <c r="F267" s="252"/>
    </row>
    <row r="268" spans="1:40" x14ac:dyDescent="0.25">
      <c r="A268" s="202"/>
      <c r="C268" s="154"/>
      <c r="F268" s="252"/>
      <c r="H268" s="252"/>
      <c r="I268" s="252"/>
      <c r="J268" s="300"/>
      <c r="K268" s="300"/>
      <c r="L268" s="200"/>
      <c r="M268" s="200"/>
      <c r="N268" s="210"/>
      <c r="O268" s="210"/>
      <c r="P268" s="202"/>
      <c r="Q268" s="202"/>
      <c r="R268" s="200"/>
      <c r="T268" s="154"/>
      <c r="V268" s="200"/>
      <c r="Y268" s="252"/>
      <c r="Z268" s="300"/>
      <c r="AA268" s="200"/>
      <c r="AB268" s="200"/>
      <c r="AC268" s="210"/>
      <c r="AD268" s="210"/>
      <c r="AE268" s="200"/>
      <c r="AF268" s="200"/>
      <c r="AG268" s="209"/>
      <c r="AH268" s="201"/>
      <c r="AI268" s="202"/>
      <c r="AJ268" s="202"/>
      <c r="AK268" s="209"/>
      <c r="AL268" s="200"/>
      <c r="AM268" s="210"/>
      <c r="AN268" s="210"/>
    </row>
    <row r="269" spans="1:40" x14ac:dyDescent="0.25">
      <c r="F269" s="211"/>
      <c r="H269" s="200"/>
      <c r="I269" s="200"/>
      <c r="J269" s="305"/>
      <c r="K269" s="305"/>
      <c r="L269" s="211"/>
      <c r="M269" s="211"/>
      <c r="N269" s="211"/>
      <c r="O269" s="211"/>
      <c r="P269" s="211"/>
      <c r="Q269" s="211"/>
      <c r="R269" s="211"/>
      <c r="V269" s="211"/>
      <c r="Y269" s="200"/>
      <c r="Z269" s="305"/>
      <c r="AA269" s="211"/>
      <c r="AB269" s="211"/>
      <c r="AC269" s="211"/>
      <c r="AD269" s="211"/>
      <c r="AE269" s="211"/>
      <c r="AF269" s="211"/>
      <c r="AI269" s="211"/>
      <c r="AJ269" s="211"/>
      <c r="AK269" s="212"/>
      <c r="AL269" s="211"/>
      <c r="AM269" s="210"/>
      <c r="AN269" s="210"/>
    </row>
    <row r="270" spans="1:40" x14ac:dyDescent="0.25">
      <c r="A270" s="202"/>
      <c r="C270" s="154"/>
      <c r="F270" s="252"/>
      <c r="H270" s="252"/>
      <c r="I270" s="252"/>
      <c r="J270" s="328"/>
      <c r="K270" s="328"/>
      <c r="L270" s="200"/>
      <c r="M270" s="200"/>
      <c r="N270" s="210"/>
      <c r="O270" s="210"/>
      <c r="P270" s="200"/>
      <c r="Q270" s="200"/>
      <c r="R270" s="200"/>
      <c r="S270" s="200"/>
      <c r="T270" s="154"/>
      <c r="V270" s="252"/>
      <c r="Y270" s="252"/>
      <c r="Z270" s="328"/>
      <c r="AA270" s="200"/>
      <c r="AB270" s="200"/>
      <c r="AC270" s="210"/>
      <c r="AD270" s="210"/>
      <c r="AE270" s="200"/>
      <c r="AF270" s="200"/>
      <c r="AG270" s="209"/>
      <c r="AH270" s="210"/>
      <c r="AI270" s="200"/>
      <c r="AJ270" s="200"/>
      <c r="AK270" s="209"/>
      <c r="AL270" s="200"/>
      <c r="AM270" s="210"/>
      <c r="AN270" s="210"/>
    </row>
    <row r="271" spans="1:40" x14ac:dyDescent="0.25">
      <c r="A271" s="202"/>
      <c r="C271" s="154"/>
      <c r="F271" s="252"/>
      <c r="H271" s="252"/>
      <c r="I271" s="252"/>
      <c r="J271" s="300"/>
      <c r="K271" s="300"/>
      <c r="L271" s="200"/>
      <c r="M271" s="200"/>
      <c r="N271" s="210"/>
      <c r="O271" s="210"/>
      <c r="P271" s="200"/>
      <c r="Q271" s="200"/>
      <c r="R271" s="200"/>
      <c r="T271" s="154"/>
      <c r="V271" s="252"/>
      <c r="Y271" s="200"/>
      <c r="Z271" s="300"/>
      <c r="AA271" s="200"/>
      <c r="AB271" s="200"/>
      <c r="AC271" s="210"/>
      <c r="AD271" s="210"/>
      <c r="AE271" s="200"/>
      <c r="AF271" s="200"/>
      <c r="AG271" s="209"/>
      <c r="AH271" s="201"/>
      <c r="AI271" s="200"/>
      <c r="AJ271" s="200"/>
      <c r="AK271" s="209"/>
      <c r="AL271" s="200"/>
      <c r="AM271" s="210"/>
      <c r="AN271" s="210"/>
    </row>
    <row r="272" spans="1:40" x14ac:dyDescent="0.25">
      <c r="A272" s="202"/>
      <c r="C272" s="154"/>
      <c r="F272" s="252"/>
      <c r="H272" s="252"/>
      <c r="I272" s="252"/>
      <c r="J272" s="300"/>
      <c r="K272" s="300"/>
      <c r="L272" s="200"/>
      <c r="M272" s="200"/>
      <c r="N272" s="210"/>
      <c r="O272" s="210"/>
      <c r="P272" s="200"/>
      <c r="Q272" s="200"/>
      <c r="R272" s="200"/>
      <c r="T272" s="154"/>
      <c r="V272" s="252"/>
      <c r="Y272" s="200"/>
      <c r="Z272" s="300"/>
      <c r="AA272" s="200"/>
      <c r="AB272" s="200"/>
      <c r="AC272" s="210"/>
      <c r="AD272" s="210"/>
      <c r="AE272" s="200"/>
      <c r="AF272" s="200"/>
      <c r="AG272" s="209"/>
      <c r="AH272" s="201"/>
      <c r="AI272" s="200"/>
      <c r="AJ272" s="200"/>
      <c r="AK272" s="209"/>
      <c r="AL272" s="200"/>
      <c r="AM272" s="210"/>
      <c r="AN272" s="210"/>
    </row>
    <row r="273" spans="1:40" x14ac:dyDescent="0.25">
      <c r="F273" s="211"/>
      <c r="H273" s="211"/>
      <c r="I273" s="211"/>
      <c r="J273" s="305"/>
      <c r="K273" s="305"/>
      <c r="L273" s="211"/>
      <c r="M273" s="211"/>
      <c r="N273" s="211"/>
      <c r="O273" s="211"/>
      <c r="P273" s="211"/>
      <c r="Q273" s="211"/>
      <c r="R273" s="211"/>
      <c r="V273" s="211"/>
      <c r="Y273" s="211"/>
      <c r="Z273" s="305"/>
      <c r="AA273" s="211"/>
      <c r="AB273" s="211"/>
      <c r="AC273" s="211"/>
      <c r="AD273" s="211"/>
      <c r="AE273" s="211"/>
      <c r="AF273" s="211"/>
      <c r="AI273" s="211"/>
      <c r="AJ273" s="211"/>
      <c r="AK273" s="212"/>
      <c r="AL273" s="211"/>
      <c r="AM273" s="210"/>
      <c r="AN273" s="210"/>
    </row>
    <row r="274" spans="1:40" x14ac:dyDescent="0.25">
      <c r="A274" s="202"/>
      <c r="C274" s="154"/>
      <c r="F274" s="200"/>
      <c r="H274" s="200"/>
      <c r="I274" s="200"/>
      <c r="J274" s="213"/>
      <c r="K274" s="213"/>
      <c r="L274" s="200"/>
      <c r="M274" s="200"/>
      <c r="N274" s="210"/>
      <c r="O274" s="210"/>
      <c r="P274" s="200"/>
      <c r="Q274" s="200"/>
      <c r="R274" s="200"/>
      <c r="T274" s="154"/>
      <c r="V274" s="200"/>
      <c r="Y274" s="200"/>
      <c r="Z274" s="213"/>
      <c r="AA274" s="200"/>
      <c r="AB274" s="200"/>
      <c r="AC274" s="210"/>
      <c r="AD274" s="210"/>
      <c r="AE274" s="200"/>
      <c r="AF274" s="200"/>
      <c r="AG274" s="209"/>
      <c r="AH274" s="201"/>
      <c r="AI274" s="200"/>
      <c r="AJ274" s="200"/>
      <c r="AK274" s="209"/>
      <c r="AL274" s="200"/>
      <c r="AM274" s="210"/>
      <c r="AN274" s="210"/>
    </row>
    <row r="275" spans="1:40" x14ac:dyDescent="0.25">
      <c r="F275" s="211"/>
      <c r="H275" s="211"/>
      <c r="I275" s="211"/>
      <c r="J275" s="305"/>
      <c r="K275" s="305"/>
      <c r="L275" s="211"/>
      <c r="M275" s="211"/>
      <c r="N275" s="211"/>
      <c r="O275" s="211"/>
      <c r="P275" s="211"/>
      <c r="Q275" s="211"/>
      <c r="R275" s="211"/>
      <c r="V275" s="211"/>
      <c r="Y275" s="211"/>
      <c r="Z275" s="305"/>
      <c r="AA275" s="211"/>
      <c r="AB275" s="211"/>
      <c r="AC275" s="211"/>
      <c r="AD275" s="211"/>
      <c r="AE275" s="211"/>
      <c r="AF275" s="211"/>
      <c r="AI275" s="211"/>
      <c r="AJ275" s="211"/>
      <c r="AK275" s="212"/>
      <c r="AL275" s="211"/>
      <c r="AM275" s="210"/>
      <c r="AN275" s="210"/>
    </row>
    <row r="276" spans="1:40" x14ac:dyDescent="0.25">
      <c r="A276" s="202"/>
      <c r="C276" s="154"/>
      <c r="F276" s="200"/>
      <c r="H276" s="200"/>
      <c r="I276" s="200"/>
      <c r="J276" s="213"/>
      <c r="K276" s="213"/>
      <c r="L276" s="200"/>
      <c r="M276" s="200"/>
      <c r="N276" s="210"/>
      <c r="O276" s="210"/>
      <c r="P276" s="200"/>
      <c r="Q276" s="200"/>
      <c r="R276" s="200"/>
      <c r="T276" s="154"/>
      <c r="V276" s="200"/>
      <c r="Y276" s="200"/>
      <c r="Z276" s="213"/>
      <c r="AA276" s="200"/>
      <c r="AB276" s="200"/>
      <c r="AC276" s="210"/>
      <c r="AD276" s="210"/>
      <c r="AE276" s="200"/>
      <c r="AF276" s="200"/>
      <c r="AG276" s="209"/>
      <c r="AH276" s="201"/>
      <c r="AI276" s="200"/>
      <c r="AJ276" s="200"/>
      <c r="AK276" s="209"/>
      <c r="AL276" s="200"/>
      <c r="AM276" s="210"/>
      <c r="AN276" s="210"/>
    </row>
    <row r="277" spans="1:40" x14ac:dyDescent="0.25">
      <c r="A277" s="202"/>
      <c r="C277" s="154"/>
      <c r="F277" s="200"/>
      <c r="H277" s="252"/>
      <c r="I277" s="252"/>
      <c r="J277" s="320"/>
      <c r="K277" s="320"/>
      <c r="L277" s="200"/>
      <c r="M277" s="200"/>
      <c r="N277" s="210"/>
      <c r="O277" s="210"/>
      <c r="P277" s="200"/>
      <c r="Q277" s="200"/>
      <c r="R277" s="200"/>
      <c r="T277" s="154"/>
      <c r="V277" s="200"/>
      <c r="Y277" s="200"/>
      <c r="Z277" s="304"/>
      <c r="AA277" s="200"/>
      <c r="AB277" s="200"/>
      <c r="AC277" s="210"/>
      <c r="AD277" s="210"/>
      <c r="AE277" s="200"/>
      <c r="AF277" s="200"/>
      <c r="AG277" s="209"/>
      <c r="AH277" s="201"/>
      <c r="AI277" s="200"/>
      <c r="AJ277" s="200"/>
      <c r="AK277" s="209"/>
      <c r="AL277" s="200"/>
      <c r="AM277" s="210"/>
      <c r="AN277" s="210"/>
    </row>
    <row r="278" spans="1:40" x14ac:dyDescent="0.25">
      <c r="H278" s="211"/>
      <c r="I278" s="211"/>
      <c r="J278" s="305"/>
      <c r="K278" s="305"/>
      <c r="L278" s="211"/>
      <c r="M278" s="211"/>
      <c r="N278" s="211"/>
      <c r="O278" s="211"/>
      <c r="P278" s="211"/>
      <c r="Q278" s="211"/>
      <c r="R278" s="211"/>
      <c r="V278" s="211"/>
      <c r="Y278" s="211"/>
      <c r="Z278" s="305"/>
      <c r="AA278" s="211"/>
      <c r="AB278" s="211"/>
      <c r="AC278" s="211"/>
      <c r="AD278" s="211"/>
      <c r="AE278" s="211"/>
      <c r="AF278" s="211"/>
      <c r="AI278" s="211"/>
      <c r="AJ278" s="211"/>
      <c r="AK278" s="212"/>
      <c r="AL278" s="211"/>
      <c r="AM278" s="210"/>
      <c r="AN278" s="210"/>
    </row>
    <row r="279" spans="1:40" x14ac:dyDescent="0.25">
      <c r="F279" s="211"/>
    </row>
    <row r="280" spans="1:40" x14ac:dyDescent="0.25">
      <c r="A280" s="202"/>
      <c r="C280" s="154"/>
      <c r="F280" s="200"/>
      <c r="H280" s="200"/>
      <c r="I280" s="200"/>
      <c r="J280" s="305"/>
      <c r="K280" s="305"/>
      <c r="L280" s="200"/>
      <c r="M280" s="200"/>
      <c r="N280" s="210"/>
      <c r="O280" s="210"/>
      <c r="P280" s="200"/>
      <c r="Q280" s="200"/>
      <c r="R280" s="200"/>
      <c r="S280" s="200"/>
      <c r="T280" s="154"/>
      <c r="V280" s="200"/>
      <c r="Y280" s="200"/>
      <c r="Z280" s="305"/>
      <c r="AA280" s="200"/>
      <c r="AB280" s="200"/>
      <c r="AC280" s="210"/>
      <c r="AD280" s="210"/>
      <c r="AE280" s="200"/>
      <c r="AF280" s="200"/>
      <c r="AG280" s="209"/>
      <c r="AH280" s="210"/>
      <c r="AI280" s="200"/>
      <c r="AJ280" s="200"/>
      <c r="AK280" s="209"/>
      <c r="AL280" s="200"/>
      <c r="AM280" s="210"/>
      <c r="AN280" s="210"/>
    </row>
    <row r="281" spans="1:40" x14ac:dyDescent="0.25">
      <c r="F281" s="211"/>
      <c r="H281" s="211"/>
      <c r="I281" s="211"/>
      <c r="J281" s="305"/>
      <c r="K281" s="305"/>
      <c r="L281" s="211"/>
      <c r="M281" s="211"/>
      <c r="N281" s="211"/>
      <c r="O281" s="211"/>
      <c r="P281" s="211"/>
      <c r="Q281" s="211"/>
      <c r="R281" s="211"/>
      <c r="S281" s="200"/>
      <c r="V281" s="211"/>
      <c r="Y281" s="211"/>
      <c r="Z281" s="305"/>
      <c r="AA281" s="211"/>
      <c r="AB281" s="211"/>
      <c r="AC281" s="211"/>
      <c r="AD281" s="211"/>
      <c r="AE281" s="211"/>
      <c r="AF281" s="211"/>
      <c r="AI281" s="211"/>
      <c r="AJ281" s="211"/>
      <c r="AK281" s="212"/>
      <c r="AL281" s="211"/>
      <c r="AM281" s="210"/>
      <c r="AN281" s="210"/>
    </row>
    <row r="282" spans="1:40" x14ac:dyDescent="0.25">
      <c r="A282" s="202"/>
      <c r="C282" s="154"/>
      <c r="T282" s="154"/>
    </row>
    <row r="283" spans="1:40" x14ac:dyDescent="0.25">
      <c r="A283" s="202"/>
      <c r="C283" s="154"/>
      <c r="F283" s="200"/>
      <c r="H283" s="200"/>
      <c r="I283" s="200"/>
      <c r="L283" s="200"/>
      <c r="M283" s="200"/>
      <c r="N283" s="210"/>
      <c r="O283" s="210"/>
      <c r="P283" s="252"/>
      <c r="Q283" s="252"/>
      <c r="R283" s="200"/>
      <c r="T283" s="154"/>
      <c r="V283" s="200"/>
      <c r="Y283" s="200"/>
      <c r="AA283" s="200"/>
      <c r="AB283" s="200"/>
      <c r="AC283" s="210"/>
      <c r="AD283" s="210"/>
      <c r="AE283" s="200"/>
      <c r="AF283" s="200"/>
      <c r="AG283" s="209"/>
      <c r="AH283" s="210"/>
      <c r="AI283" s="252"/>
      <c r="AJ283" s="252"/>
      <c r="AK283" s="209"/>
      <c r="AL283" s="200"/>
      <c r="AM283" s="210"/>
      <c r="AN283" s="210"/>
    </row>
    <row r="284" spans="1:40" x14ac:dyDescent="0.25">
      <c r="H284" s="211"/>
      <c r="I284" s="211"/>
      <c r="J284" s="305"/>
      <c r="K284" s="305"/>
      <c r="L284" s="211"/>
      <c r="M284" s="211"/>
      <c r="N284" s="211"/>
      <c r="O284" s="211"/>
      <c r="P284" s="211"/>
      <c r="Q284" s="211"/>
      <c r="R284" s="211"/>
      <c r="V284" s="211"/>
      <c r="Y284" s="211"/>
      <c r="Z284" s="305"/>
      <c r="AA284" s="211"/>
      <c r="AB284" s="211"/>
      <c r="AC284" s="211"/>
      <c r="AD284" s="211"/>
      <c r="AE284" s="211"/>
      <c r="AF284" s="211"/>
      <c r="AI284" s="211"/>
      <c r="AJ284" s="211"/>
      <c r="AK284" s="212"/>
      <c r="AL284" s="211"/>
    </row>
    <row r="285" spans="1:40" x14ac:dyDescent="0.25">
      <c r="F285" s="211"/>
    </row>
    <row r="286" spans="1:40" x14ac:dyDescent="0.25">
      <c r="C286" s="154"/>
      <c r="L286" s="200"/>
      <c r="M286" s="200"/>
      <c r="N286" s="200"/>
      <c r="O286" s="200"/>
      <c r="P286" s="200"/>
      <c r="Q286" s="200"/>
      <c r="R286" s="200"/>
      <c r="S286" s="200"/>
      <c r="T286" s="154"/>
      <c r="AA286" s="200"/>
      <c r="AB286" s="200"/>
      <c r="AC286" s="200"/>
      <c r="AD286" s="200"/>
      <c r="AI286" s="200"/>
      <c r="AJ286" s="200"/>
      <c r="AK286" s="209"/>
      <c r="AL286" s="200"/>
    </row>
    <row r="287" spans="1:40" x14ac:dyDescent="0.25">
      <c r="A287" s="154"/>
    </row>
    <row r="288" spans="1:40" x14ac:dyDescent="0.25">
      <c r="J288" s="202"/>
      <c r="K288" s="202"/>
      <c r="Z288" s="202"/>
    </row>
    <row r="289" spans="1:40" x14ac:dyDescent="0.25">
      <c r="H289" s="154"/>
      <c r="I289" s="154"/>
      <c r="Y289" s="154"/>
    </row>
    <row r="290" spans="1:40" x14ac:dyDescent="0.25">
      <c r="J290" s="202"/>
      <c r="K290" s="202"/>
      <c r="Z290" s="202"/>
    </row>
    <row r="291" spans="1:40" x14ac:dyDescent="0.25">
      <c r="L291" s="154"/>
      <c r="M291" s="154"/>
      <c r="AA291" s="154"/>
      <c r="AB291" s="154"/>
    </row>
    <row r="292" spans="1:40" x14ac:dyDescent="0.25">
      <c r="A292" s="202"/>
      <c r="R292" s="154"/>
      <c r="AK292" s="297"/>
      <c r="AL292" s="154"/>
    </row>
    <row r="293" spans="1:40" x14ac:dyDescent="0.25">
      <c r="A293" s="202"/>
      <c r="R293" s="154"/>
      <c r="AK293" s="297"/>
      <c r="AL293" s="154"/>
    </row>
    <row r="294" spans="1:40" x14ac:dyDescent="0.25">
      <c r="A294" s="154"/>
      <c r="R294" s="154"/>
      <c r="AK294" s="297"/>
      <c r="AL294" s="154"/>
    </row>
    <row r="295" spans="1:40" x14ac:dyDescent="0.25">
      <c r="L295" s="154"/>
      <c r="M295" s="154"/>
      <c r="R295" s="202"/>
      <c r="AA295" s="154"/>
      <c r="AB295" s="154"/>
      <c r="AK295" s="209"/>
      <c r="AL295" s="202"/>
    </row>
    <row r="296" spans="1:40" x14ac:dyDescent="0.25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208"/>
      <c r="AH296" s="102"/>
      <c r="AI296" s="102"/>
      <c r="AJ296" s="102"/>
      <c r="AK296" s="208"/>
      <c r="AL296" s="102"/>
      <c r="AM296" s="102"/>
      <c r="AN296" s="102"/>
    </row>
    <row r="297" spans="1:40" x14ac:dyDescent="0.25">
      <c r="L297" s="103"/>
      <c r="M297" s="103"/>
      <c r="N297" s="103"/>
      <c r="O297" s="103"/>
      <c r="R297" s="103"/>
      <c r="AA297" s="103"/>
      <c r="AB297" s="103"/>
      <c r="AC297" s="103"/>
      <c r="AD297" s="103"/>
      <c r="AE297" s="103"/>
      <c r="AF297" s="103"/>
      <c r="AG297" s="185"/>
      <c r="AH297" s="103"/>
      <c r="AK297" s="185"/>
      <c r="AL297" s="103"/>
      <c r="AM297" s="103"/>
      <c r="AN297" s="103"/>
    </row>
    <row r="298" spans="1:40" x14ac:dyDescent="0.25">
      <c r="L298" s="103"/>
      <c r="M298" s="103"/>
      <c r="N298" s="103"/>
      <c r="O298" s="103"/>
      <c r="R298" s="103"/>
      <c r="Z298" s="103"/>
      <c r="AA298" s="103"/>
      <c r="AB298" s="103"/>
      <c r="AC298" s="103"/>
      <c r="AD298" s="103"/>
      <c r="AE298" s="103"/>
      <c r="AF298" s="103"/>
      <c r="AG298" s="185"/>
      <c r="AH298" s="103"/>
      <c r="AK298" s="185"/>
      <c r="AL298" s="103"/>
      <c r="AM298" s="103"/>
      <c r="AN298" s="103"/>
    </row>
    <row r="299" spans="1:40" x14ac:dyDescent="0.25">
      <c r="A299" s="103"/>
      <c r="C299" s="103"/>
      <c r="D299" s="103"/>
      <c r="E299" s="103"/>
      <c r="F299" s="103"/>
      <c r="J299" s="103"/>
      <c r="K299" s="103"/>
      <c r="L299" s="103"/>
      <c r="M299" s="103"/>
      <c r="N299" s="103"/>
      <c r="O299" s="103"/>
      <c r="P299" s="103"/>
      <c r="Q299" s="103"/>
      <c r="R299" s="103"/>
      <c r="T299" s="103"/>
      <c r="U299" s="103"/>
      <c r="V299" s="103"/>
      <c r="Z299" s="103"/>
      <c r="AA299" s="103"/>
      <c r="AB299" s="103"/>
      <c r="AC299" s="103"/>
      <c r="AD299" s="103"/>
      <c r="AE299" s="103"/>
      <c r="AF299" s="103"/>
      <c r="AG299" s="185"/>
      <c r="AH299" s="103"/>
      <c r="AI299" s="103"/>
      <c r="AJ299" s="103"/>
      <c r="AK299" s="185"/>
      <c r="AL299" s="103"/>
      <c r="AM299" s="103"/>
      <c r="AN299" s="103"/>
    </row>
    <row r="300" spans="1:40" x14ac:dyDescent="0.25">
      <c r="A300" s="103"/>
      <c r="C300" s="103"/>
      <c r="D300" s="103"/>
      <c r="E300" s="103"/>
      <c r="F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T300" s="103"/>
      <c r="U300" s="103"/>
      <c r="V300" s="103"/>
      <c r="Y300" s="103"/>
      <c r="Z300" s="103"/>
      <c r="AA300" s="103"/>
      <c r="AB300" s="103"/>
      <c r="AC300" s="103"/>
      <c r="AD300" s="103"/>
      <c r="AE300" s="103"/>
      <c r="AF300" s="103"/>
      <c r="AG300" s="185"/>
      <c r="AH300" s="103"/>
      <c r="AI300" s="103"/>
      <c r="AJ300" s="103"/>
      <c r="AK300" s="185"/>
      <c r="AL300" s="103"/>
      <c r="AM300" s="103"/>
      <c r="AN300" s="103"/>
    </row>
    <row r="301" spans="1:40" x14ac:dyDescent="0.25">
      <c r="C301" s="103"/>
      <c r="D301" s="103"/>
      <c r="E301" s="103"/>
      <c r="F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T301" s="103"/>
      <c r="U301" s="103"/>
      <c r="V301" s="103"/>
      <c r="Y301" s="103"/>
      <c r="Z301" s="103"/>
      <c r="AA301" s="103"/>
      <c r="AB301" s="103"/>
      <c r="AC301" s="103"/>
      <c r="AD301" s="103"/>
      <c r="AE301" s="103"/>
      <c r="AF301" s="103"/>
      <c r="AG301" s="185"/>
      <c r="AH301" s="103"/>
      <c r="AI301" s="103"/>
      <c r="AJ301" s="103"/>
      <c r="AK301" s="185"/>
      <c r="AL301" s="103"/>
      <c r="AM301" s="103"/>
      <c r="AN301" s="103"/>
    </row>
    <row r="302" spans="1:40" x14ac:dyDescent="0.25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208"/>
      <c r="AH302" s="102"/>
      <c r="AI302" s="102"/>
      <c r="AJ302" s="102"/>
      <c r="AK302" s="208"/>
      <c r="AL302" s="102"/>
      <c r="AM302" s="102"/>
      <c r="AN302" s="102"/>
    </row>
    <row r="303" spans="1:40" x14ac:dyDescent="0.25"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Y303" s="103"/>
      <c r="Z303" s="103"/>
      <c r="AA303" s="103"/>
      <c r="AB303" s="103"/>
      <c r="AC303" s="103"/>
      <c r="AD303" s="103"/>
      <c r="AE303" s="103"/>
      <c r="AF303" s="103"/>
      <c r="AG303" s="185"/>
      <c r="AH303" s="103"/>
      <c r="AI303" s="103"/>
      <c r="AJ303" s="103"/>
      <c r="AK303" s="185"/>
      <c r="AL303" s="103"/>
      <c r="AM303" s="103"/>
      <c r="AN303" s="103"/>
    </row>
    <row r="304" spans="1:40" x14ac:dyDescent="0.25">
      <c r="A304" s="202"/>
      <c r="C304" s="154"/>
      <c r="D304" s="154"/>
      <c r="E304" s="154"/>
      <c r="T304" s="154"/>
      <c r="U304" s="154"/>
    </row>
    <row r="305" spans="1:40" x14ac:dyDescent="0.25">
      <c r="D305" s="154"/>
      <c r="E305" s="154"/>
      <c r="U305" s="154"/>
    </row>
    <row r="307" spans="1:40" x14ac:dyDescent="0.25">
      <c r="A307" s="202"/>
      <c r="C307" s="154"/>
      <c r="T307" s="154"/>
    </row>
    <row r="308" spans="1:40" x14ac:dyDescent="0.25">
      <c r="A308" s="202"/>
      <c r="C308" s="154"/>
      <c r="F308" s="252"/>
      <c r="H308" s="252"/>
      <c r="I308" s="252"/>
      <c r="J308" s="329"/>
      <c r="K308" s="329"/>
      <c r="L308" s="200"/>
      <c r="M308" s="200"/>
      <c r="N308" s="210"/>
      <c r="O308" s="210"/>
      <c r="P308" s="200"/>
      <c r="Q308" s="200"/>
      <c r="R308" s="200"/>
      <c r="T308" s="154"/>
      <c r="V308" s="252"/>
      <c r="W308" s="200"/>
      <c r="X308" s="200"/>
      <c r="Y308" s="252"/>
      <c r="Z308" s="329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A309" s="202"/>
      <c r="C309" s="154"/>
      <c r="F309" s="200"/>
      <c r="H309" s="200"/>
      <c r="I309" s="200"/>
      <c r="J309" s="305"/>
      <c r="K309" s="305"/>
      <c r="L309" s="200"/>
      <c r="M309" s="200"/>
      <c r="N309" s="210"/>
      <c r="O309" s="210"/>
      <c r="P309" s="200"/>
      <c r="Q309" s="200"/>
      <c r="R309" s="200"/>
      <c r="T309" s="154"/>
      <c r="V309" s="252"/>
      <c r="W309" s="200"/>
      <c r="X309" s="200"/>
      <c r="Y309" s="252"/>
      <c r="Z309" s="305"/>
      <c r="AA309" s="200"/>
      <c r="AB309" s="200"/>
      <c r="AC309" s="210"/>
      <c r="AD309" s="210"/>
      <c r="AE309" s="200"/>
      <c r="AF309" s="200"/>
      <c r="AG309" s="209"/>
      <c r="AH309" s="201"/>
      <c r="AI309" s="200"/>
      <c r="AJ309" s="200"/>
      <c r="AK309" s="209"/>
      <c r="AL309" s="200"/>
      <c r="AM309" s="210"/>
      <c r="AN309" s="210"/>
    </row>
    <row r="310" spans="1:40" x14ac:dyDescent="0.25">
      <c r="A310" s="202"/>
      <c r="C310" s="154"/>
      <c r="F310" s="252"/>
      <c r="H310" s="252"/>
      <c r="I310" s="252"/>
      <c r="J310" s="329"/>
      <c r="K310" s="329"/>
      <c r="L310" s="200"/>
      <c r="M310" s="200"/>
      <c r="N310" s="210"/>
      <c r="O310" s="210"/>
      <c r="P310" s="200"/>
      <c r="Q310" s="200"/>
      <c r="R310" s="200"/>
      <c r="T310" s="154"/>
      <c r="V310" s="252"/>
      <c r="W310" s="200"/>
      <c r="X310" s="200"/>
      <c r="Y310" s="252"/>
      <c r="Z310" s="329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A311" s="202"/>
      <c r="C311" s="154"/>
      <c r="F311" s="252"/>
      <c r="H311" s="252"/>
      <c r="I311" s="252"/>
      <c r="J311" s="329"/>
      <c r="K311" s="329"/>
      <c r="L311" s="200"/>
      <c r="M311" s="200"/>
      <c r="N311" s="210"/>
      <c r="O311" s="210"/>
      <c r="P311" s="200"/>
      <c r="Q311" s="200"/>
      <c r="R311" s="200"/>
      <c r="T311" s="154"/>
      <c r="V311" s="252"/>
      <c r="W311" s="200"/>
      <c r="X311" s="200"/>
      <c r="Y311" s="252"/>
      <c r="Z311" s="329"/>
      <c r="AA311" s="200"/>
      <c r="AB311" s="200"/>
      <c r="AC311" s="210"/>
      <c r="AD311" s="210"/>
      <c r="AE311" s="200"/>
      <c r="AF311" s="200"/>
      <c r="AG311" s="209"/>
      <c r="AH311" s="201"/>
      <c r="AI311" s="200"/>
      <c r="AJ311" s="200"/>
      <c r="AK311" s="209"/>
      <c r="AL311" s="200"/>
      <c r="AM311" s="210"/>
      <c r="AN311" s="210"/>
    </row>
    <row r="312" spans="1:40" x14ac:dyDescent="0.25">
      <c r="A312" s="202"/>
      <c r="C312" s="154"/>
      <c r="F312" s="252"/>
      <c r="H312" s="252"/>
      <c r="I312" s="252"/>
      <c r="J312" s="329"/>
      <c r="K312" s="329"/>
      <c r="L312" s="200"/>
      <c r="M312" s="200"/>
      <c r="N312" s="210"/>
      <c r="O312" s="210"/>
      <c r="P312" s="200"/>
      <c r="Q312" s="200"/>
      <c r="R312" s="200"/>
      <c r="T312" s="154"/>
      <c r="V312" s="252"/>
      <c r="W312" s="200"/>
      <c r="X312" s="200"/>
      <c r="Y312" s="252"/>
      <c r="Z312" s="329"/>
      <c r="AA312" s="200"/>
      <c r="AB312" s="200"/>
      <c r="AC312" s="210"/>
      <c r="AD312" s="210"/>
      <c r="AE312" s="200"/>
      <c r="AF312" s="200"/>
      <c r="AG312" s="209"/>
      <c r="AH312" s="201"/>
      <c r="AI312" s="200"/>
      <c r="AJ312" s="200"/>
      <c r="AK312" s="209"/>
      <c r="AL312" s="200"/>
      <c r="AM312" s="210"/>
      <c r="AN312" s="210"/>
    </row>
    <row r="313" spans="1:40" x14ac:dyDescent="0.25">
      <c r="A313" s="202"/>
      <c r="C313" s="154"/>
      <c r="F313" s="200"/>
      <c r="H313" s="200"/>
      <c r="I313" s="200"/>
      <c r="J313" s="329"/>
      <c r="K313" s="329"/>
      <c r="L313" s="200"/>
      <c r="M313" s="200"/>
      <c r="N313" s="210"/>
      <c r="O313" s="210"/>
      <c r="P313" s="200"/>
      <c r="Q313" s="200"/>
      <c r="R313" s="200"/>
      <c r="T313" s="154"/>
      <c r="V313" s="252"/>
      <c r="W313" s="200"/>
      <c r="X313" s="200"/>
      <c r="Y313" s="252"/>
      <c r="Z313" s="329"/>
      <c r="AA313" s="200"/>
      <c r="AB313" s="200"/>
      <c r="AC313" s="210"/>
      <c r="AD313" s="210"/>
      <c r="AE313" s="200"/>
      <c r="AF313" s="200"/>
      <c r="AG313" s="209"/>
      <c r="AH313" s="201"/>
      <c r="AI313" s="200"/>
      <c r="AJ313" s="200"/>
      <c r="AK313" s="209"/>
      <c r="AL313" s="200"/>
      <c r="AM313" s="210"/>
      <c r="AN313" s="210"/>
    </row>
    <row r="314" spans="1:40" x14ac:dyDescent="0.25">
      <c r="A314" s="202"/>
      <c r="C314" s="154"/>
      <c r="F314" s="200"/>
      <c r="H314" s="200"/>
      <c r="I314" s="200"/>
      <c r="J314" s="329"/>
      <c r="K314" s="329"/>
      <c r="L314" s="200"/>
      <c r="M314" s="200"/>
      <c r="N314" s="210"/>
      <c r="O314" s="210"/>
      <c r="P314" s="200"/>
      <c r="Q314" s="200"/>
      <c r="R314" s="200"/>
      <c r="T314" s="154"/>
      <c r="V314" s="252"/>
      <c r="W314" s="200"/>
      <c r="X314" s="200"/>
      <c r="Y314" s="252"/>
      <c r="Z314" s="329"/>
      <c r="AA314" s="200"/>
      <c r="AB314" s="200"/>
      <c r="AC314" s="210"/>
      <c r="AD314" s="210"/>
      <c r="AE314" s="200"/>
      <c r="AF314" s="200"/>
      <c r="AG314" s="209"/>
      <c r="AH314" s="201"/>
      <c r="AI314" s="200"/>
      <c r="AJ314" s="200"/>
      <c r="AK314" s="209"/>
      <c r="AL314" s="200"/>
      <c r="AM314" s="210"/>
      <c r="AN314" s="210"/>
    </row>
    <row r="315" spans="1:40" x14ac:dyDescent="0.25">
      <c r="F315" s="331"/>
      <c r="H315" s="332"/>
      <c r="I315" s="332"/>
      <c r="J315" s="329"/>
      <c r="K315" s="329"/>
      <c r="L315" s="331"/>
      <c r="M315" s="331"/>
      <c r="N315" s="211"/>
      <c r="O315" s="211"/>
      <c r="P315" s="331"/>
      <c r="Q315" s="331"/>
      <c r="R315" s="331"/>
      <c r="V315" s="331"/>
      <c r="W315" s="200"/>
      <c r="X315" s="200"/>
      <c r="Y315" s="331"/>
      <c r="Z315" s="329"/>
      <c r="AA315" s="331"/>
      <c r="AB315" s="331"/>
      <c r="AC315" s="333"/>
      <c r="AD315" s="333"/>
      <c r="AE315" s="331"/>
      <c r="AF315" s="331"/>
      <c r="AG315" s="209"/>
      <c r="AH315" s="201"/>
      <c r="AI315" s="331"/>
      <c r="AJ315" s="331"/>
      <c r="AK315" s="208"/>
      <c r="AL315" s="331"/>
      <c r="AM315" s="210"/>
      <c r="AN315" s="210"/>
    </row>
    <row r="316" spans="1:40" x14ac:dyDescent="0.25">
      <c r="A316" s="202"/>
      <c r="C316" s="154"/>
      <c r="F316" s="200"/>
      <c r="H316" s="200"/>
      <c r="I316" s="200"/>
      <c r="J316" s="329"/>
      <c r="K316" s="329"/>
      <c r="L316" s="200"/>
      <c r="M316" s="200"/>
      <c r="N316" s="201"/>
      <c r="O316" s="201"/>
      <c r="P316" s="200"/>
      <c r="Q316" s="200"/>
      <c r="R316" s="200"/>
      <c r="T316" s="103"/>
      <c r="V316" s="200"/>
      <c r="W316" s="200"/>
      <c r="X316" s="200"/>
      <c r="Y316" s="200"/>
      <c r="Z316" s="329"/>
      <c r="AA316" s="200"/>
      <c r="AB316" s="200"/>
      <c r="AC316" s="201"/>
      <c r="AD316" s="201"/>
      <c r="AE316" s="200"/>
      <c r="AF316" s="200"/>
      <c r="AG316" s="209"/>
      <c r="AH316" s="201"/>
      <c r="AI316" s="200"/>
      <c r="AJ316" s="200"/>
      <c r="AK316" s="209"/>
      <c r="AL316" s="200"/>
      <c r="AM316" s="210"/>
      <c r="AN316" s="210"/>
    </row>
    <row r="317" spans="1:40" x14ac:dyDescent="0.25">
      <c r="F317" s="102"/>
      <c r="H317" s="102"/>
      <c r="I317" s="102"/>
      <c r="L317" s="102"/>
      <c r="M317" s="102"/>
      <c r="N317" s="333"/>
      <c r="O317" s="333"/>
      <c r="P317" s="331"/>
      <c r="Q317" s="331"/>
      <c r="R317" s="331"/>
      <c r="V317" s="331"/>
      <c r="Y317" s="331"/>
      <c r="Z317" s="305"/>
      <c r="AA317" s="331"/>
      <c r="AB317" s="331"/>
      <c r="AC317" s="331"/>
      <c r="AD317" s="331"/>
      <c r="AE317" s="331"/>
      <c r="AF317" s="331"/>
      <c r="AI317" s="331"/>
      <c r="AJ317" s="331"/>
      <c r="AK317" s="208"/>
      <c r="AL317" s="331"/>
      <c r="AM317" s="333"/>
      <c r="AN317" s="333"/>
    </row>
    <row r="318" spans="1:40" x14ac:dyDescent="0.25">
      <c r="AI318" s="202"/>
      <c r="AJ318" s="202"/>
    </row>
    <row r="322" spans="1:40" x14ac:dyDescent="0.25">
      <c r="N322" s="200"/>
      <c r="O322" s="200"/>
      <c r="P322" s="200"/>
      <c r="Q322" s="200"/>
      <c r="R322" s="200"/>
      <c r="V322" s="200"/>
      <c r="Y322" s="200"/>
      <c r="Z322" s="213"/>
      <c r="AA322" s="200"/>
      <c r="AB322" s="200"/>
      <c r="AC322" s="210"/>
      <c r="AD322" s="210"/>
      <c r="AE322" s="200"/>
      <c r="AF322" s="200"/>
      <c r="AG322" s="209"/>
      <c r="AH322" s="201"/>
      <c r="AI322" s="200"/>
      <c r="AJ322" s="200"/>
      <c r="AK322" s="209"/>
      <c r="AL322" s="200"/>
      <c r="AM322" s="210"/>
      <c r="AN322" s="210"/>
    </row>
    <row r="323" spans="1:40" x14ac:dyDescent="0.25">
      <c r="A323" s="202"/>
      <c r="C323" s="154"/>
      <c r="D323" s="154"/>
      <c r="E323" s="154"/>
      <c r="J323" s="334"/>
      <c r="K323" s="334"/>
      <c r="T323" s="154"/>
      <c r="U323" s="154"/>
      <c r="Z323" s="334"/>
      <c r="AE323" s="200"/>
      <c r="AF323" s="200"/>
      <c r="AI323" s="200"/>
      <c r="AJ323" s="200"/>
      <c r="AK323" s="209"/>
      <c r="AL323" s="200"/>
      <c r="AM323" s="210"/>
      <c r="AN323" s="210"/>
    </row>
    <row r="324" spans="1:40" x14ac:dyDescent="0.25">
      <c r="D324" s="154"/>
      <c r="E324" s="154"/>
      <c r="F324" s="200"/>
      <c r="H324" s="200"/>
      <c r="I324" s="200"/>
      <c r="J324" s="329"/>
      <c r="K324" s="329"/>
      <c r="L324" s="200"/>
      <c r="M324" s="200"/>
      <c r="N324" s="210"/>
      <c r="O324" s="210"/>
      <c r="P324" s="200"/>
      <c r="Q324" s="200"/>
      <c r="R324" s="200"/>
      <c r="U324" s="154"/>
      <c r="V324" s="200"/>
      <c r="Y324" s="200"/>
      <c r="Z324" s="329"/>
      <c r="AA324" s="200"/>
      <c r="AB324" s="200"/>
      <c r="AC324" s="210"/>
      <c r="AD324" s="210"/>
      <c r="AE324" s="200"/>
      <c r="AF324" s="200"/>
      <c r="AG324" s="209"/>
      <c r="AH324" s="201"/>
      <c r="AI324" s="200"/>
      <c r="AJ324" s="200"/>
      <c r="AK324" s="209"/>
      <c r="AL324" s="200"/>
      <c r="AM324" s="210"/>
      <c r="AN324" s="210"/>
    </row>
    <row r="325" spans="1:40" x14ac:dyDescent="0.25">
      <c r="F325" s="200"/>
      <c r="H325" s="200"/>
      <c r="I325" s="200"/>
      <c r="J325" s="305"/>
      <c r="K325" s="305"/>
      <c r="L325" s="200"/>
      <c r="M325" s="200"/>
      <c r="N325" s="200"/>
      <c r="O325" s="200"/>
      <c r="P325" s="200"/>
      <c r="Q325" s="200"/>
      <c r="R325" s="200"/>
      <c r="V325" s="200"/>
      <c r="Y325" s="200"/>
      <c r="Z325" s="305"/>
      <c r="AA325" s="200"/>
      <c r="AB325" s="200"/>
      <c r="AC325" s="200"/>
      <c r="AD325" s="200"/>
      <c r="AE325" s="200"/>
      <c r="AF325" s="200"/>
      <c r="AG325" s="209"/>
      <c r="AH325" s="201"/>
      <c r="AI325" s="252"/>
      <c r="AJ325" s="252"/>
      <c r="AK325" s="209"/>
      <c r="AL325" s="200"/>
      <c r="AM325" s="210"/>
      <c r="AN325" s="210"/>
    </row>
    <row r="326" spans="1:40" x14ac:dyDescent="0.25">
      <c r="A326" s="202"/>
      <c r="C326" s="154"/>
      <c r="F326" s="252"/>
      <c r="H326" s="252"/>
      <c r="I326" s="252"/>
      <c r="J326" s="304"/>
      <c r="K326" s="304"/>
      <c r="L326" s="200"/>
      <c r="M326" s="200"/>
      <c r="N326" s="210"/>
      <c r="O326" s="210"/>
      <c r="P326" s="200"/>
      <c r="Q326" s="200"/>
      <c r="R326" s="200"/>
      <c r="T326" s="154"/>
      <c r="V326" s="252"/>
      <c r="Y326" s="252"/>
      <c r="Z326" s="304"/>
      <c r="AA326" s="200"/>
      <c r="AB326" s="200"/>
      <c r="AC326" s="210"/>
      <c r="AD326" s="210"/>
      <c r="AE326" s="200"/>
      <c r="AF326" s="200"/>
      <c r="AG326" s="209"/>
      <c r="AH326" s="201"/>
      <c r="AI326" s="200"/>
      <c r="AJ326" s="200"/>
      <c r="AK326" s="209"/>
      <c r="AL326" s="200"/>
      <c r="AM326" s="210"/>
      <c r="AN326" s="210"/>
    </row>
    <row r="327" spans="1:40" x14ac:dyDescent="0.25">
      <c r="F327" s="102"/>
      <c r="H327" s="102"/>
      <c r="I327" s="102"/>
      <c r="L327" s="102"/>
      <c r="M327" s="102"/>
      <c r="N327" s="102"/>
      <c r="O327" s="102"/>
      <c r="P327" s="102"/>
      <c r="Q327" s="102"/>
      <c r="R327" s="102"/>
      <c r="V327" s="102"/>
      <c r="Y327" s="102"/>
      <c r="AA327" s="102"/>
      <c r="AB327" s="102"/>
      <c r="AC327" s="102"/>
      <c r="AD327" s="102"/>
      <c r="AE327" s="102"/>
      <c r="AF327" s="102"/>
      <c r="AG327" s="208"/>
      <c r="AH327" s="102"/>
      <c r="AI327" s="102"/>
      <c r="AJ327" s="102"/>
      <c r="AK327" s="208"/>
      <c r="AL327" s="102"/>
      <c r="AM327" s="102"/>
      <c r="AN327" s="102"/>
    </row>
    <row r="328" spans="1:40" x14ac:dyDescent="0.25">
      <c r="A328" s="202"/>
      <c r="C328" s="103"/>
      <c r="F328" s="252"/>
      <c r="H328" s="252"/>
      <c r="I328" s="252"/>
      <c r="J328" s="300"/>
      <c r="K328" s="300"/>
      <c r="L328" s="252"/>
      <c r="M328" s="252"/>
      <c r="N328" s="210"/>
      <c r="O328" s="210"/>
      <c r="P328" s="252"/>
      <c r="Q328" s="252"/>
      <c r="R328" s="252"/>
      <c r="T328" s="103"/>
      <c r="V328" s="200"/>
      <c r="Y328" s="200"/>
      <c r="Z328" s="213"/>
      <c r="AA328" s="200"/>
      <c r="AB328" s="200"/>
      <c r="AC328" s="210"/>
      <c r="AD328" s="210"/>
      <c r="AE328" s="202"/>
      <c r="AF328" s="202"/>
      <c r="AG328" s="209"/>
      <c r="AH328" s="201"/>
      <c r="AI328" s="200"/>
      <c r="AJ328" s="200"/>
      <c r="AK328" s="209"/>
      <c r="AL328" s="200"/>
      <c r="AM328" s="210"/>
      <c r="AN328" s="210"/>
    </row>
    <row r="329" spans="1:40" x14ac:dyDescent="0.25">
      <c r="F329" s="331"/>
      <c r="H329" s="331"/>
      <c r="I329" s="331"/>
      <c r="J329" s="305"/>
      <c r="K329" s="305"/>
      <c r="L329" s="331"/>
      <c r="M329" s="331"/>
      <c r="N329" s="331"/>
      <c r="O329" s="331"/>
      <c r="P329" s="331"/>
      <c r="Q329" s="331"/>
      <c r="R329" s="331"/>
      <c r="V329" s="102"/>
      <c r="Y329" s="102"/>
      <c r="AA329" s="102"/>
      <c r="AB329" s="102"/>
      <c r="AC329" s="102"/>
      <c r="AD329" s="102"/>
      <c r="AE329" s="102"/>
      <c r="AF329" s="102"/>
      <c r="AG329" s="208"/>
      <c r="AH329" s="102"/>
      <c r="AI329" s="102"/>
      <c r="AJ329" s="102"/>
      <c r="AK329" s="208"/>
      <c r="AL329" s="102"/>
      <c r="AM329" s="102"/>
      <c r="AN329" s="102"/>
    </row>
    <row r="330" spans="1:40" x14ac:dyDescent="0.25">
      <c r="F330" s="252"/>
      <c r="H330" s="252"/>
      <c r="I330" s="252"/>
      <c r="J330" s="328"/>
      <c r="K330" s="328"/>
      <c r="L330" s="200"/>
      <c r="M330" s="200"/>
      <c r="N330" s="210"/>
      <c r="O330" s="210"/>
      <c r="P330" s="200"/>
      <c r="Q330" s="200"/>
      <c r="R330" s="200"/>
    </row>
    <row r="331" spans="1:40" x14ac:dyDescent="0.25">
      <c r="A331" s="154"/>
      <c r="F331" s="252"/>
      <c r="H331" s="252"/>
      <c r="I331" s="252"/>
      <c r="J331" s="300"/>
      <c r="K331" s="300"/>
      <c r="L331" s="200"/>
      <c r="M331" s="200"/>
      <c r="N331" s="210"/>
      <c r="O331" s="210"/>
      <c r="P331" s="200"/>
      <c r="Q331" s="200"/>
      <c r="R331" s="200"/>
    </row>
    <row r="332" spans="1:40" x14ac:dyDescent="0.25">
      <c r="F332" s="252"/>
      <c r="H332" s="252"/>
      <c r="I332" s="252"/>
      <c r="J332" s="300"/>
      <c r="K332" s="300"/>
      <c r="L332" s="200"/>
      <c r="M332" s="200"/>
      <c r="N332" s="210"/>
      <c r="O332" s="210"/>
      <c r="P332" s="200"/>
      <c r="Q332" s="200"/>
      <c r="R332" s="200"/>
    </row>
    <row r="333" spans="1:40" x14ac:dyDescent="0.25">
      <c r="A333" s="154"/>
    </row>
    <row r="335" spans="1:40" x14ac:dyDescent="0.25">
      <c r="J335" s="202"/>
      <c r="K335" s="202"/>
      <c r="Z335" s="202"/>
    </row>
    <row r="336" spans="1:40" x14ac:dyDescent="0.25">
      <c r="H336" s="154"/>
      <c r="I336" s="154"/>
      <c r="Y336" s="154"/>
    </row>
    <row r="337" spans="1:40" x14ac:dyDescent="0.25">
      <c r="J337" s="202"/>
      <c r="K337" s="202"/>
      <c r="Z337" s="202"/>
    </row>
    <row r="338" spans="1:40" x14ac:dyDescent="0.25">
      <c r="L338" s="154"/>
      <c r="M338" s="154"/>
      <c r="AA338" s="154"/>
      <c r="AB338" s="154"/>
    </row>
    <row r="339" spans="1:40" x14ac:dyDescent="0.25">
      <c r="A339" s="202"/>
      <c r="R339" s="154"/>
      <c r="AK339" s="297"/>
      <c r="AL339" s="154"/>
    </row>
    <row r="340" spans="1:40" x14ac:dyDescent="0.25">
      <c r="A340" s="202"/>
      <c r="R340" s="154"/>
      <c r="AK340" s="297"/>
      <c r="AL340" s="154"/>
    </row>
    <row r="341" spans="1:40" x14ac:dyDescent="0.25">
      <c r="A341" s="154"/>
      <c r="R341" s="154"/>
      <c r="AK341" s="297"/>
      <c r="AL341" s="154"/>
    </row>
    <row r="342" spans="1:40" x14ac:dyDescent="0.25">
      <c r="L342" s="154"/>
      <c r="M342" s="154"/>
      <c r="R342" s="202"/>
      <c r="AA342" s="154"/>
      <c r="AB342" s="154"/>
      <c r="AK342" s="209"/>
      <c r="AL342" s="202"/>
    </row>
    <row r="343" spans="1:40" x14ac:dyDescent="0.25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208"/>
      <c r="AH343" s="102"/>
      <c r="AI343" s="102"/>
      <c r="AJ343" s="102"/>
      <c r="AK343" s="208"/>
      <c r="AL343" s="102"/>
      <c r="AM343" s="102"/>
      <c r="AN343" s="102"/>
    </row>
    <row r="344" spans="1:40" x14ac:dyDescent="0.25">
      <c r="L344" s="103"/>
      <c r="M344" s="103"/>
      <c r="N344" s="103"/>
      <c r="O344" s="103"/>
      <c r="R344" s="103"/>
      <c r="AA344" s="103"/>
      <c r="AB344" s="103"/>
      <c r="AC344" s="103"/>
      <c r="AD344" s="103"/>
      <c r="AE344" s="103"/>
      <c r="AF344" s="103"/>
      <c r="AG344" s="185"/>
      <c r="AH344" s="103"/>
      <c r="AK344" s="185"/>
      <c r="AL344" s="103"/>
      <c r="AM344" s="103"/>
      <c r="AN344" s="103"/>
    </row>
    <row r="345" spans="1:40" x14ac:dyDescent="0.25">
      <c r="L345" s="103"/>
      <c r="M345" s="103"/>
      <c r="N345" s="103"/>
      <c r="O345" s="103"/>
      <c r="R345" s="103"/>
      <c r="Z345" s="103"/>
      <c r="AA345" s="103"/>
      <c r="AB345" s="103"/>
      <c r="AC345" s="103"/>
      <c r="AD345" s="103"/>
      <c r="AE345" s="103"/>
      <c r="AF345" s="103"/>
      <c r="AG345" s="185"/>
      <c r="AH345" s="103"/>
      <c r="AK345" s="185"/>
      <c r="AL345" s="103"/>
      <c r="AM345" s="103"/>
      <c r="AN345" s="103"/>
    </row>
    <row r="346" spans="1:40" x14ac:dyDescent="0.25">
      <c r="A346" s="103"/>
      <c r="C346" s="103"/>
      <c r="D346" s="103"/>
      <c r="E346" s="103"/>
      <c r="F346" s="103"/>
      <c r="J346" s="103"/>
      <c r="K346" s="103"/>
      <c r="L346" s="103"/>
      <c r="M346" s="103"/>
      <c r="N346" s="103"/>
      <c r="O346" s="103"/>
      <c r="P346" s="103"/>
      <c r="Q346" s="103"/>
      <c r="R346" s="103"/>
      <c r="T346" s="103"/>
      <c r="U346" s="103"/>
      <c r="V346" s="103"/>
      <c r="Z346" s="103"/>
      <c r="AA346" s="103"/>
      <c r="AB346" s="103"/>
      <c r="AC346" s="103"/>
      <c r="AD346" s="103"/>
      <c r="AE346" s="103"/>
      <c r="AF346" s="103"/>
      <c r="AG346" s="185"/>
      <c r="AH346" s="103"/>
      <c r="AI346" s="103"/>
      <c r="AJ346" s="103"/>
      <c r="AK346" s="185"/>
      <c r="AL346" s="103"/>
      <c r="AM346" s="103"/>
      <c r="AN346" s="103"/>
    </row>
    <row r="347" spans="1:40" x14ac:dyDescent="0.25">
      <c r="A347" s="103"/>
      <c r="C347" s="103"/>
      <c r="D347" s="103"/>
      <c r="E347" s="103"/>
      <c r="F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T347" s="103"/>
      <c r="U347" s="103"/>
      <c r="V347" s="103"/>
      <c r="Y347" s="103"/>
      <c r="Z347" s="103"/>
      <c r="AA347" s="103"/>
      <c r="AB347" s="103"/>
      <c r="AC347" s="103"/>
      <c r="AD347" s="103"/>
      <c r="AE347" s="103"/>
      <c r="AF347" s="103"/>
      <c r="AG347" s="185"/>
      <c r="AH347" s="103"/>
      <c r="AI347" s="103"/>
      <c r="AJ347" s="103"/>
      <c r="AK347" s="185"/>
      <c r="AL347" s="103"/>
      <c r="AM347" s="103"/>
      <c r="AN347" s="103"/>
    </row>
    <row r="348" spans="1:40" x14ac:dyDescent="0.25">
      <c r="C348" s="103"/>
      <c r="D348" s="103"/>
      <c r="E348" s="103"/>
      <c r="F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T348" s="103"/>
      <c r="U348" s="103"/>
      <c r="V348" s="103"/>
      <c r="Y348" s="103"/>
      <c r="Z348" s="103"/>
      <c r="AA348" s="103"/>
      <c r="AB348" s="103"/>
      <c r="AC348" s="103"/>
      <c r="AD348" s="103"/>
      <c r="AE348" s="103"/>
      <c r="AF348" s="103"/>
      <c r="AG348" s="185"/>
      <c r="AH348" s="103"/>
      <c r="AI348" s="103"/>
      <c r="AJ348" s="103"/>
      <c r="AK348" s="185"/>
      <c r="AL348" s="103"/>
      <c r="AM348" s="103"/>
      <c r="AN348" s="103"/>
    </row>
    <row r="349" spans="1:40" x14ac:dyDescent="0.25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208"/>
      <c r="AH349" s="102"/>
      <c r="AI349" s="102"/>
      <c r="AJ349" s="102"/>
      <c r="AK349" s="208"/>
      <c r="AL349" s="102"/>
      <c r="AM349" s="102"/>
      <c r="AN349" s="102"/>
    </row>
    <row r="350" spans="1:40" x14ac:dyDescent="0.25"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Y350" s="103"/>
      <c r="Z350" s="103"/>
      <c r="AA350" s="103"/>
      <c r="AB350" s="103"/>
      <c r="AC350" s="103"/>
      <c r="AD350" s="103"/>
      <c r="AE350" s="103"/>
      <c r="AF350" s="103"/>
      <c r="AG350" s="185"/>
      <c r="AH350" s="103"/>
      <c r="AI350" s="103"/>
      <c r="AJ350" s="103"/>
      <c r="AK350" s="185"/>
      <c r="AL350" s="103"/>
      <c r="AM350" s="103"/>
      <c r="AN350" s="103"/>
    </row>
    <row r="351" spans="1:40" x14ac:dyDescent="0.25">
      <c r="A351" s="202"/>
      <c r="C351" s="154"/>
      <c r="D351" s="154"/>
      <c r="E351" s="154"/>
      <c r="T351" s="154"/>
      <c r="U351" s="154"/>
    </row>
    <row r="353" spans="1:40" x14ac:dyDescent="0.25">
      <c r="A353" s="202"/>
      <c r="C353" s="154"/>
      <c r="T353" s="154"/>
    </row>
    <row r="354" spans="1:40" x14ac:dyDescent="0.25">
      <c r="A354" s="202"/>
      <c r="C354" s="154"/>
      <c r="F354" s="252"/>
      <c r="H354" s="252"/>
      <c r="I354" s="252"/>
      <c r="J354" s="305"/>
      <c r="K354" s="305"/>
      <c r="L354" s="200"/>
      <c r="M354" s="200"/>
      <c r="N354" s="210"/>
      <c r="O354" s="210"/>
      <c r="P354" s="200"/>
      <c r="Q354" s="200"/>
      <c r="R354" s="200"/>
      <c r="T354" s="154"/>
      <c r="V354" s="252"/>
      <c r="Y354" s="252"/>
      <c r="Z354" s="305"/>
      <c r="AA354" s="200"/>
      <c r="AB354" s="200"/>
      <c r="AC354" s="210"/>
      <c r="AD354" s="210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A355" s="202"/>
      <c r="C355" s="154"/>
      <c r="T355" s="154"/>
    </row>
    <row r="356" spans="1:40" x14ac:dyDescent="0.25">
      <c r="A356" s="202"/>
      <c r="C356" s="154"/>
      <c r="F356" s="252"/>
      <c r="H356" s="252"/>
      <c r="I356" s="252"/>
      <c r="J356" s="329"/>
      <c r="K356" s="329"/>
      <c r="L356" s="200"/>
      <c r="M356" s="200"/>
      <c r="N356" s="210"/>
      <c r="O356" s="210"/>
      <c r="P356" s="200"/>
      <c r="Q356" s="200"/>
      <c r="R356" s="200"/>
      <c r="T356" s="154"/>
      <c r="V356" s="200"/>
      <c r="Y356" s="200"/>
      <c r="Z356" s="329"/>
      <c r="AA356" s="200"/>
      <c r="AB356" s="200"/>
      <c r="AC356" s="210"/>
      <c r="AD356" s="21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A357" s="202"/>
      <c r="C357" s="154"/>
      <c r="F357" s="252"/>
      <c r="H357" s="252"/>
      <c r="I357" s="252"/>
      <c r="J357" s="329"/>
      <c r="K357" s="329"/>
      <c r="L357" s="200"/>
      <c r="M357" s="200"/>
      <c r="N357" s="210"/>
      <c r="O357" s="210"/>
      <c r="P357" s="200"/>
      <c r="Q357" s="200"/>
      <c r="R357" s="200"/>
      <c r="T357" s="154"/>
      <c r="V357" s="200"/>
      <c r="Y357" s="200"/>
      <c r="Z357" s="329"/>
      <c r="AA357" s="200"/>
      <c r="AB357" s="200"/>
      <c r="AC357" s="210"/>
      <c r="AD357" s="210"/>
      <c r="AE357" s="200"/>
      <c r="AF357" s="200"/>
      <c r="AG357" s="209"/>
      <c r="AH357" s="201"/>
      <c r="AI357" s="200"/>
      <c r="AJ357" s="200"/>
      <c r="AK357" s="209"/>
      <c r="AL357" s="200"/>
      <c r="AM357" s="210"/>
      <c r="AN357" s="210"/>
    </row>
    <row r="358" spans="1:40" x14ac:dyDescent="0.25">
      <c r="A358" s="202"/>
      <c r="C358" s="154"/>
      <c r="F358" s="252"/>
      <c r="H358" s="252"/>
      <c r="I358" s="252"/>
      <c r="J358" s="329"/>
      <c r="K358" s="329"/>
      <c r="L358" s="200"/>
      <c r="M358" s="200"/>
      <c r="N358" s="210"/>
      <c r="O358" s="210"/>
      <c r="P358" s="200"/>
      <c r="Q358" s="200"/>
      <c r="R358" s="200"/>
      <c r="T358" s="154"/>
      <c r="V358" s="200"/>
      <c r="Y358" s="200"/>
      <c r="Z358" s="329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A359" s="202"/>
      <c r="C359" s="154"/>
      <c r="F359" s="252"/>
      <c r="H359" s="252"/>
      <c r="I359" s="252"/>
      <c r="J359" s="329"/>
      <c r="K359" s="329"/>
      <c r="L359" s="200"/>
      <c r="M359" s="200"/>
      <c r="N359" s="210"/>
      <c r="O359" s="210"/>
      <c r="P359" s="200"/>
      <c r="Q359" s="200"/>
      <c r="R359" s="200"/>
      <c r="T359" s="154"/>
      <c r="V359" s="200"/>
      <c r="Y359" s="200"/>
      <c r="Z359" s="329"/>
      <c r="AA359" s="200"/>
      <c r="AB359" s="200"/>
      <c r="AC359" s="210"/>
      <c r="AD359" s="210"/>
      <c r="AE359" s="200"/>
      <c r="AF359" s="200"/>
      <c r="AG359" s="209"/>
      <c r="AH359" s="201"/>
      <c r="AI359" s="200"/>
      <c r="AJ359" s="200"/>
      <c r="AK359" s="209"/>
      <c r="AL359" s="200"/>
      <c r="AM359" s="210"/>
      <c r="AN359" s="210"/>
    </row>
    <row r="360" spans="1:40" x14ac:dyDescent="0.25">
      <c r="A360" s="202"/>
      <c r="C360" s="154"/>
      <c r="J360" s="334"/>
      <c r="K360" s="334"/>
      <c r="T360" s="154"/>
      <c r="Z360" s="334"/>
    </row>
    <row r="361" spans="1:40" x14ac:dyDescent="0.25">
      <c r="A361" s="202"/>
      <c r="C361" s="154"/>
      <c r="F361" s="252"/>
      <c r="H361" s="252"/>
      <c r="I361" s="252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00"/>
      <c r="Y361" s="200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00"/>
      <c r="Y362" s="200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52"/>
      <c r="H363" s="252"/>
      <c r="I363" s="252"/>
      <c r="J363" s="329"/>
      <c r="K363" s="329"/>
      <c r="L363" s="200"/>
      <c r="M363" s="200"/>
      <c r="N363" s="210"/>
      <c r="O363" s="210"/>
      <c r="P363" s="200"/>
      <c r="Q363" s="200"/>
      <c r="R363" s="200"/>
      <c r="T363" s="154"/>
      <c r="V363" s="200"/>
      <c r="Y363" s="200"/>
      <c r="Z363" s="329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A364" s="202"/>
      <c r="C364" s="154"/>
      <c r="J364" s="334"/>
      <c r="K364" s="334"/>
      <c r="T364" s="154"/>
      <c r="Z364" s="334"/>
    </row>
    <row r="365" spans="1:40" x14ac:dyDescent="0.25">
      <c r="A365" s="202"/>
      <c r="C365" s="154"/>
      <c r="F365" s="252"/>
      <c r="H365" s="252"/>
      <c r="I365" s="252"/>
      <c r="J365" s="329"/>
      <c r="K365" s="329"/>
      <c r="L365" s="200"/>
      <c r="M365" s="200"/>
      <c r="N365" s="210"/>
      <c r="O365" s="210"/>
      <c r="P365" s="200"/>
      <c r="Q365" s="200"/>
      <c r="R365" s="200"/>
      <c r="T365" s="154"/>
      <c r="V365" s="200"/>
      <c r="Y365" s="200"/>
      <c r="Z365" s="329"/>
      <c r="AA365" s="200"/>
      <c r="AB365" s="200"/>
      <c r="AC365" s="210"/>
      <c r="AD365" s="21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A366" s="202"/>
      <c r="C366" s="154"/>
      <c r="F366" s="252"/>
      <c r="H366" s="252"/>
      <c r="I366" s="252"/>
      <c r="J366" s="329"/>
      <c r="K366" s="329"/>
      <c r="L366" s="200"/>
      <c r="M366" s="200"/>
      <c r="N366" s="210"/>
      <c r="O366" s="210"/>
      <c r="P366" s="200"/>
      <c r="Q366" s="200"/>
      <c r="R366" s="200"/>
      <c r="T366" s="154"/>
      <c r="V366" s="200"/>
      <c r="Y366" s="200"/>
      <c r="Z366" s="329"/>
      <c r="AA366" s="200"/>
      <c r="AB366" s="200"/>
      <c r="AC366" s="210"/>
      <c r="AD366" s="210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A367" s="202"/>
      <c r="C367" s="154"/>
      <c r="J367" s="334"/>
      <c r="K367" s="334"/>
      <c r="T367" s="154"/>
      <c r="Z367" s="334"/>
    </row>
    <row r="368" spans="1:40" x14ac:dyDescent="0.25">
      <c r="A368" s="202"/>
      <c r="C368" s="154"/>
      <c r="F368" s="252"/>
      <c r="H368" s="252"/>
      <c r="I368" s="252"/>
      <c r="J368" s="329"/>
      <c r="K368" s="329"/>
      <c r="L368" s="200"/>
      <c r="M368" s="200"/>
      <c r="N368" s="210"/>
      <c r="O368" s="210"/>
      <c r="P368" s="200"/>
      <c r="Q368" s="200"/>
      <c r="R368" s="200"/>
      <c r="T368" s="154"/>
      <c r="V368" s="200"/>
      <c r="Y368" s="200"/>
      <c r="Z368" s="329"/>
      <c r="AA368" s="200"/>
      <c r="AB368" s="200"/>
      <c r="AC368" s="210"/>
      <c r="AD368" s="21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A369" s="202"/>
      <c r="C369" s="154"/>
      <c r="F369" s="252"/>
      <c r="H369" s="252"/>
      <c r="I369" s="252"/>
      <c r="J369" s="329"/>
      <c r="K369" s="329"/>
      <c r="L369" s="200"/>
      <c r="M369" s="200"/>
      <c r="N369" s="210"/>
      <c r="O369" s="210"/>
      <c r="P369" s="200"/>
      <c r="Q369" s="200"/>
      <c r="R369" s="200"/>
      <c r="T369" s="154"/>
      <c r="V369" s="200"/>
      <c r="Y369" s="200"/>
      <c r="Z369" s="329"/>
      <c r="AA369" s="200"/>
      <c r="AB369" s="200"/>
      <c r="AC369" s="210"/>
      <c r="AD369" s="210"/>
      <c r="AE369" s="200"/>
      <c r="AF369" s="200"/>
      <c r="AG369" s="209"/>
      <c r="AH369" s="201"/>
      <c r="AI369" s="200"/>
      <c r="AJ369" s="200"/>
      <c r="AK369" s="209"/>
      <c r="AL369" s="200"/>
      <c r="AM369" s="210"/>
      <c r="AN369" s="210"/>
    </row>
    <row r="370" spans="1:40" x14ac:dyDescent="0.25">
      <c r="A370" s="202"/>
      <c r="C370" s="154"/>
      <c r="F370" s="252"/>
      <c r="H370" s="252"/>
      <c r="I370" s="252"/>
      <c r="J370" s="329"/>
      <c r="K370" s="329"/>
      <c r="L370" s="200"/>
      <c r="M370" s="200"/>
      <c r="N370" s="210"/>
      <c r="O370" s="210"/>
      <c r="P370" s="200"/>
      <c r="Q370" s="200"/>
      <c r="R370" s="200"/>
      <c r="T370" s="154"/>
      <c r="V370" s="200"/>
      <c r="Y370" s="200"/>
      <c r="Z370" s="329"/>
      <c r="AA370" s="200"/>
      <c r="AB370" s="200"/>
      <c r="AC370" s="210"/>
      <c r="AD370" s="210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F371" s="211"/>
      <c r="H371" s="211"/>
      <c r="I371" s="211"/>
      <c r="J371" s="329"/>
      <c r="K371" s="329"/>
      <c r="L371" s="211"/>
      <c r="M371" s="211"/>
      <c r="N371" s="211"/>
      <c r="O371" s="211"/>
      <c r="P371" s="211"/>
      <c r="Q371" s="211"/>
      <c r="R371" s="211"/>
      <c r="V371" s="211"/>
      <c r="Y371" s="211"/>
      <c r="Z371" s="329"/>
      <c r="AA371" s="211"/>
      <c r="AB371" s="211"/>
      <c r="AC371" s="211"/>
      <c r="AD371" s="211"/>
      <c r="AE371" s="211"/>
      <c r="AF371" s="211"/>
      <c r="AI371" s="211"/>
      <c r="AJ371" s="211"/>
      <c r="AK371" s="212"/>
      <c r="AL371" s="211"/>
    </row>
    <row r="372" spans="1:40" x14ac:dyDescent="0.25">
      <c r="A372" s="202"/>
      <c r="C372" s="103"/>
      <c r="F372" s="200"/>
      <c r="H372" s="200"/>
      <c r="I372" s="200"/>
      <c r="J372" s="334"/>
      <c r="K372" s="334"/>
      <c r="L372" s="200"/>
      <c r="M372" s="200"/>
      <c r="N372" s="201"/>
      <c r="O372" s="201"/>
      <c r="P372" s="200"/>
      <c r="Q372" s="200"/>
      <c r="R372" s="200"/>
      <c r="T372" s="103"/>
      <c r="V372" s="200"/>
      <c r="Y372" s="200"/>
      <c r="Z372" s="334"/>
      <c r="AA372" s="200"/>
      <c r="AB372" s="200"/>
      <c r="AC372" s="200"/>
      <c r="AD372" s="200"/>
      <c r="AE372" s="200"/>
      <c r="AF372" s="200"/>
      <c r="AG372" s="209"/>
      <c r="AH372" s="201"/>
      <c r="AI372" s="200"/>
      <c r="AJ372" s="200"/>
      <c r="AK372" s="209"/>
      <c r="AL372" s="200"/>
      <c r="AM372" s="210"/>
      <c r="AN372" s="210"/>
    </row>
    <row r="373" spans="1:40" x14ac:dyDescent="0.25">
      <c r="F373" s="211"/>
      <c r="H373" s="211"/>
      <c r="I373" s="211"/>
      <c r="J373" s="329"/>
      <c r="K373" s="329"/>
      <c r="L373" s="211"/>
      <c r="M373" s="211"/>
      <c r="N373" s="211"/>
      <c r="O373" s="211"/>
      <c r="P373" s="211"/>
      <c r="Q373" s="211"/>
      <c r="R373" s="211"/>
      <c r="V373" s="211"/>
      <c r="Y373" s="211"/>
      <c r="Z373" s="329"/>
      <c r="AA373" s="211"/>
      <c r="AB373" s="211"/>
      <c r="AC373" s="211"/>
      <c r="AD373" s="211"/>
      <c r="AE373" s="211"/>
      <c r="AF373" s="211"/>
      <c r="AI373" s="211"/>
      <c r="AJ373" s="211"/>
      <c r="AK373" s="212"/>
      <c r="AL373" s="211"/>
    </row>
    <row r="374" spans="1:40" x14ac:dyDescent="0.25">
      <c r="A374" s="202"/>
      <c r="C374" s="154"/>
      <c r="J374" s="334"/>
      <c r="K374" s="334"/>
      <c r="T374" s="154"/>
      <c r="Z374" s="334"/>
    </row>
    <row r="375" spans="1:40" x14ac:dyDescent="0.25">
      <c r="A375" s="202"/>
      <c r="C375" s="154"/>
      <c r="J375" s="334"/>
      <c r="K375" s="334"/>
      <c r="T375" s="154"/>
      <c r="Z375" s="334"/>
    </row>
    <row r="376" spans="1:40" x14ac:dyDescent="0.25">
      <c r="A376" s="202"/>
      <c r="C376" s="154"/>
      <c r="F376" s="252"/>
      <c r="H376" s="252"/>
      <c r="I376" s="252"/>
      <c r="J376" s="329"/>
      <c r="K376" s="329"/>
      <c r="L376" s="200"/>
      <c r="M376" s="200"/>
      <c r="N376" s="210"/>
      <c r="O376" s="210"/>
      <c r="P376" s="200"/>
      <c r="Q376" s="200"/>
      <c r="R376" s="200"/>
      <c r="T376" s="154"/>
      <c r="V376" s="200"/>
      <c r="Y376" s="200"/>
      <c r="Z376" s="329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A377" s="202"/>
      <c r="C377" s="154"/>
      <c r="F377" s="252"/>
      <c r="H377" s="252"/>
      <c r="I377" s="252"/>
      <c r="J377" s="329"/>
      <c r="K377" s="329"/>
      <c r="L377" s="200"/>
      <c r="M377" s="200"/>
      <c r="N377" s="210"/>
      <c r="O377" s="210"/>
      <c r="P377" s="200"/>
      <c r="Q377" s="200"/>
      <c r="R377" s="200"/>
      <c r="T377" s="154"/>
      <c r="V377" s="200"/>
      <c r="Y377" s="200"/>
      <c r="Z377" s="329"/>
      <c r="AA377" s="200"/>
      <c r="AB377" s="200"/>
      <c r="AC377" s="210"/>
      <c r="AD377" s="210"/>
      <c r="AE377" s="200"/>
      <c r="AF377" s="200"/>
      <c r="AG377" s="209"/>
      <c r="AH377" s="201"/>
      <c r="AI377" s="200"/>
      <c r="AJ377" s="200"/>
      <c r="AK377" s="209"/>
      <c r="AL377" s="200"/>
      <c r="AM377" s="210"/>
      <c r="AN377" s="210"/>
    </row>
    <row r="378" spans="1:40" x14ac:dyDescent="0.25">
      <c r="A378" s="202"/>
      <c r="C378" s="154"/>
      <c r="F378" s="252"/>
      <c r="H378" s="252"/>
      <c r="I378" s="252"/>
      <c r="J378" s="329"/>
      <c r="K378" s="329"/>
      <c r="L378" s="200"/>
      <c r="M378" s="200"/>
      <c r="N378" s="210"/>
      <c r="O378" s="210"/>
      <c r="P378" s="200"/>
      <c r="Q378" s="200"/>
      <c r="R378" s="200"/>
      <c r="T378" s="154"/>
      <c r="V378" s="200"/>
      <c r="Y378" s="200"/>
      <c r="Z378" s="329"/>
      <c r="AA378" s="200"/>
      <c r="AB378" s="200"/>
      <c r="AC378" s="210"/>
      <c r="AD378" s="210"/>
      <c r="AE378" s="200"/>
      <c r="AF378" s="200"/>
      <c r="AG378" s="209"/>
      <c r="AH378" s="201"/>
      <c r="AI378" s="200"/>
      <c r="AJ378" s="200"/>
      <c r="AK378" s="209"/>
      <c r="AL378" s="200"/>
      <c r="AM378" s="210"/>
      <c r="AN378" s="210"/>
    </row>
    <row r="379" spans="1:40" x14ac:dyDescent="0.25">
      <c r="A379" s="202"/>
      <c r="C379" s="154"/>
      <c r="F379" s="252"/>
      <c r="H379" s="252"/>
      <c r="I379" s="252"/>
      <c r="J379" s="329"/>
      <c r="K379" s="329"/>
      <c r="L379" s="200"/>
      <c r="M379" s="200"/>
      <c r="N379" s="210"/>
      <c r="O379" s="210"/>
      <c r="P379" s="200"/>
      <c r="Q379" s="200"/>
      <c r="R379" s="200"/>
      <c r="T379" s="154"/>
      <c r="V379" s="200"/>
      <c r="Y379" s="200"/>
      <c r="Z379" s="329"/>
      <c r="AA379" s="200"/>
      <c r="AB379" s="200"/>
      <c r="AC379" s="210"/>
      <c r="AD379" s="210"/>
      <c r="AE379" s="200"/>
      <c r="AF379" s="200"/>
      <c r="AG379" s="209"/>
      <c r="AH379" s="201"/>
      <c r="AI379" s="200"/>
      <c r="AJ379" s="200"/>
      <c r="AK379" s="209"/>
      <c r="AL379" s="200"/>
      <c r="AM379" s="210"/>
      <c r="AN379" s="210"/>
    </row>
    <row r="380" spans="1:40" x14ac:dyDescent="0.25">
      <c r="A380" s="202"/>
      <c r="C380" s="154"/>
      <c r="F380" s="252"/>
      <c r="H380" s="252"/>
      <c r="I380" s="252"/>
      <c r="J380" s="329"/>
      <c r="K380" s="329"/>
      <c r="L380" s="200"/>
      <c r="M380" s="200"/>
      <c r="N380" s="210"/>
      <c r="O380" s="210"/>
      <c r="P380" s="200"/>
      <c r="Q380" s="200"/>
      <c r="R380" s="200"/>
      <c r="T380" s="154"/>
      <c r="V380" s="200"/>
      <c r="Y380" s="200"/>
      <c r="Z380" s="329"/>
      <c r="AA380" s="200"/>
      <c r="AB380" s="200"/>
      <c r="AC380" s="210"/>
      <c r="AD380" s="210"/>
      <c r="AE380" s="200"/>
      <c r="AF380" s="200"/>
      <c r="AG380" s="209"/>
      <c r="AH380" s="201"/>
      <c r="AI380" s="200"/>
      <c r="AJ380" s="200"/>
      <c r="AK380" s="209"/>
      <c r="AL380" s="200"/>
      <c r="AM380" s="210"/>
      <c r="AN380" s="210"/>
    </row>
    <row r="381" spans="1:40" x14ac:dyDescent="0.25">
      <c r="A381" s="202"/>
      <c r="C381" s="154"/>
      <c r="F381" s="252"/>
      <c r="H381" s="252"/>
      <c r="I381" s="252"/>
      <c r="J381" s="329"/>
      <c r="K381" s="329"/>
      <c r="L381" s="200"/>
      <c r="M381" s="200"/>
      <c r="N381" s="210"/>
      <c r="O381" s="210"/>
      <c r="P381" s="200"/>
      <c r="Q381" s="200"/>
      <c r="R381" s="200"/>
      <c r="T381" s="154"/>
      <c r="V381" s="200"/>
      <c r="Y381" s="200"/>
      <c r="Z381" s="329"/>
      <c r="AA381" s="200"/>
      <c r="AB381" s="200"/>
      <c r="AC381" s="210"/>
      <c r="AD381" s="210"/>
      <c r="AE381" s="200"/>
      <c r="AF381" s="200"/>
      <c r="AG381" s="209"/>
      <c r="AH381" s="201"/>
      <c r="AI381" s="200"/>
      <c r="AJ381" s="200"/>
      <c r="AK381" s="209"/>
      <c r="AL381" s="200"/>
      <c r="AM381" s="210"/>
      <c r="AN381" s="210"/>
    </row>
    <row r="382" spans="1:40" x14ac:dyDescent="0.25">
      <c r="A382" s="202"/>
      <c r="C382" s="154"/>
      <c r="F382" s="252"/>
      <c r="H382" s="252"/>
      <c r="I382" s="252"/>
      <c r="J382" s="329"/>
      <c r="K382" s="329"/>
      <c r="L382" s="200"/>
      <c r="M382" s="200"/>
      <c r="N382" s="210"/>
      <c r="O382" s="210"/>
      <c r="P382" s="200"/>
      <c r="Q382" s="200"/>
      <c r="R382" s="200"/>
      <c r="T382" s="154"/>
      <c r="V382" s="200"/>
      <c r="Y382" s="200"/>
      <c r="Z382" s="329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A383" s="202"/>
      <c r="C383" s="154"/>
      <c r="J383" s="334"/>
      <c r="K383" s="334"/>
      <c r="T383" s="154"/>
      <c r="Z383" s="334"/>
    </row>
    <row r="384" spans="1:40" x14ac:dyDescent="0.25">
      <c r="A384" s="202"/>
      <c r="C384" s="154"/>
      <c r="F384" s="252"/>
      <c r="H384" s="252"/>
      <c r="I384" s="252"/>
      <c r="J384" s="329"/>
      <c r="K384" s="329"/>
      <c r="L384" s="200"/>
      <c r="M384" s="200"/>
      <c r="N384" s="210"/>
      <c r="O384" s="210"/>
      <c r="P384" s="200"/>
      <c r="Q384" s="200"/>
      <c r="R384" s="200"/>
      <c r="T384" s="154"/>
      <c r="V384" s="200"/>
      <c r="Y384" s="200"/>
      <c r="Z384" s="329"/>
      <c r="AA384" s="200"/>
      <c r="AB384" s="200"/>
      <c r="AC384" s="210"/>
      <c r="AD384" s="210"/>
      <c r="AE384" s="200"/>
      <c r="AF384" s="200"/>
      <c r="AG384" s="209"/>
      <c r="AH384" s="201"/>
      <c r="AI384" s="200"/>
      <c r="AJ384" s="200"/>
      <c r="AK384" s="209"/>
      <c r="AL384" s="200"/>
      <c r="AM384" s="210"/>
      <c r="AN384" s="210"/>
    </row>
    <row r="385" spans="1:40" x14ac:dyDescent="0.25">
      <c r="A385" s="202"/>
      <c r="C385" s="154"/>
      <c r="F385" s="252"/>
      <c r="H385" s="252"/>
      <c r="I385" s="252"/>
      <c r="J385" s="329"/>
      <c r="K385" s="329"/>
      <c r="L385" s="200"/>
      <c r="M385" s="200"/>
      <c r="N385" s="210"/>
      <c r="O385" s="210"/>
      <c r="P385" s="200"/>
      <c r="Q385" s="200"/>
      <c r="R385" s="200"/>
      <c r="T385" s="154"/>
      <c r="V385" s="200"/>
      <c r="Y385" s="200"/>
      <c r="Z385" s="329"/>
      <c r="AA385" s="200"/>
      <c r="AB385" s="200"/>
      <c r="AC385" s="210"/>
      <c r="AD385" s="210"/>
      <c r="AE385" s="200"/>
      <c r="AF385" s="200"/>
      <c r="AG385" s="209"/>
      <c r="AH385" s="201"/>
      <c r="AI385" s="200"/>
      <c r="AJ385" s="200"/>
      <c r="AK385" s="209"/>
      <c r="AL385" s="200"/>
      <c r="AM385" s="210"/>
      <c r="AN385" s="210"/>
    </row>
    <row r="386" spans="1:40" x14ac:dyDescent="0.25">
      <c r="A386" s="202"/>
      <c r="C386" s="154"/>
      <c r="F386" s="252"/>
      <c r="H386" s="252"/>
      <c r="I386" s="252"/>
      <c r="J386" s="329"/>
      <c r="K386" s="329"/>
      <c r="L386" s="200"/>
      <c r="M386" s="200"/>
      <c r="N386" s="210"/>
      <c r="O386" s="210"/>
      <c r="P386" s="200"/>
      <c r="Q386" s="200"/>
      <c r="R386" s="200"/>
      <c r="T386" s="154"/>
      <c r="V386" s="200"/>
      <c r="Y386" s="200"/>
      <c r="Z386" s="329"/>
      <c r="AA386" s="200"/>
      <c r="AB386" s="200"/>
      <c r="AC386" s="210"/>
      <c r="AD386" s="210"/>
      <c r="AE386" s="200"/>
      <c r="AF386" s="200"/>
      <c r="AG386" s="209"/>
      <c r="AH386" s="201"/>
      <c r="AI386" s="200"/>
      <c r="AJ386" s="200"/>
      <c r="AK386" s="209"/>
      <c r="AL386" s="200"/>
      <c r="AM386" s="210"/>
      <c r="AN386" s="210"/>
    </row>
    <row r="387" spans="1:40" x14ac:dyDescent="0.25">
      <c r="A387" s="202"/>
      <c r="C387" s="154"/>
      <c r="F387" s="252"/>
      <c r="H387" s="252"/>
      <c r="I387" s="252"/>
      <c r="J387" s="329"/>
      <c r="K387" s="329"/>
      <c r="L387" s="200"/>
      <c r="M387" s="200"/>
      <c r="N387" s="210"/>
      <c r="O387" s="210"/>
      <c r="P387" s="200"/>
      <c r="Q387" s="200"/>
      <c r="R387" s="200"/>
      <c r="T387" s="154"/>
      <c r="V387" s="200"/>
      <c r="Y387" s="200"/>
      <c r="Z387" s="329"/>
      <c r="AA387" s="200"/>
      <c r="AB387" s="200"/>
      <c r="AC387" s="210"/>
      <c r="AD387" s="210"/>
      <c r="AE387" s="200"/>
      <c r="AF387" s="200"/>
      <c r="AG387" s="209"/>
      <c r="AH387" s="201"/>
      <c r="AI387" s="200"/>
      <c r="AJ387" s="200"/>
      <c r="AK387" s="209"/>
      <c r="AL387" s="200"/>
      <c r="AM387" s="210"/>
      <c r="AN387" s="210"/>
    </row>
    <row r="388" spans="1:40" x14ac:dyDescent="0.25">
      <c r="A388" s="202"/>
      <c r="C388" s="154"/>
      <c r="J388" s="334"/>
      <c r="K388" s="334"/>
      <c r="T388" s="154"/>
      <c r="Z388" s="334"/>
    </row>
    <row r="389" spans="1:40" x14ac:dyDescent="0.25">
      <c r="A389" s="202"/>
      <c r="C389" s="154"/>
      <c r="F389" s="252"/>
      <c r="H389" s="252"/>
      <c r="I389" s="252"/>
      <c r="J389" s="329"/>
      <c r="K389" s="329"/>
      <c r="L389" s="200"/>
      <c r="M389" s="200"/>
      <c r="N389" s="210"/>
      <c r="O389" s="210"/>
      <c r="P389" s="200"/>
      <c r="Q389" s="200"/>
      <c r="R389" s="200"/>
      <c r="T389" s="154"/>
      <c r="V389" s="200"/>
      <c r="Y389" s="200"/>
      <c r="Z389" s="329"/>
      <c r="AA389" s="200"/>
      <c r="AB389" s="200"/>
      <c r="AC389" s="210"/>
      <c r="AD389" s="210"/>
      <c r="AE389" s="200"/>
      <c r="AF389" s="200"/>
      <c r="AG389" s="209"/>
      <c r="AH389" s="201"/>
      <c r="AI389" s="200"/>
      <c r="AJ389" s="200"/>
      <c r="AK389" s="209"/>
      <c r="AL389" s="200"/>
      <c r="AM389" s="210"/>
      <c r="AN389" s="210"/>
    </row>
    <row r="390" spans="1:40" x14ac:dyDescent="0.25">
      <c r="A390" s="202"/>
      <c r="C390" s="154"/>
      <c r="F390" s="252"/>
      <c r="H390" s="252"/>
      <c r="I390" s="252"/>
      <c r="J390" s="329"/>
      <c r="K390" s="329"/>
      <c r="L390" s="200"/>
      <c r="M390" s="200"/>
      <c r="N390" s="210"/>
      <c r="O390" s="210"/>
      <c r="P390" s="200"/>
      <c r="Q390" s="200"/>
      <c r="R390" s="200"/>
      <c r="T390" s="154"/>
      <c r="V390" s="200"/>
      <c r="Y390" s="200"/>
      <c r="Z390" s="329"/>
      <c r="AA390" s="200"/>
      <c r="AB390" s="200"/>
      <c r="AC390" s="210"/>
      <c r="AD390" s="210"/>
      <c r="AE390" s="200"/>
      <c r="AF390" s="200"/>
      <c r="AG390" s="209"/>
      <c r="AH390" s="201"/>
      <c r="AI390" s="200"/>
      <c r="AJ390" s="200"/>
      <c r="AK390" s="209"/>
      <c r="AL390" s="200"/>
      <c r="AM390" s="210"/>
      <c r="AN390" s="210"/>
    </row>
    <row r="391" spans="1:40" x14ac:dyDescent="0.25">
      <c r="A391" s="202"/>
      <c r="C391" s="154"/>
      <c r="F391" s="252"/>
      <c r="H391" s="252"/>
      <c r="I391" s="252"/>
      <c r="J391" s="329"/>
      <c r="K391" s="329"/>
      <c r="L391" s="200"/>
      <c r="M391" s="200"/>
      <c r="N391" s="210"/>
      <c r="O391" s="210"/>
      <c r="P391" s="200"/>
      <c r="Q391" s="200"/>
      <c r="R391" s="200"/>
      <c r="T391" s="154"/>
      <c r="V391" s="200"/>
      <c r="Y391" s="200"/>
      <c r="Z391" s="329"/>
      <c r="AA391" s="200"/>
      <c r="AB391" s="200"/>
      <c r="AC391" s="210"/>
      <c r="AD391" s="210"/>
      <c r="AE391" s="200"/>
      <c r="AF391" s="200"/>
      <c r="AG391" s="209"/>
      <c r="AH391" s="201"/>
      <c r="AI391" s="200"/>
      <c r="AJ391" s="200"/>
      <c r="AK391" s="209"/>
      <c r="AL391" s="200"/>
      <c r="AM391" s="210"/>
      <c r="AN391" s="210"/>
    </row>
    <row r="392" spans="1:40" x14ac:dyDescent="0.25">
      <c r="A392" s="202"/>
      <c r="C392" s="154"/>
      <c r="F392" s="252"/>
      <c r="H392" s="252"/>
      <c r="I392" s="252"/>
      <c r="J392" s="329"/>
      <c r="K392" s="329"/>
      <c r="L392" s="200"/>
      <c r="M392" s="200"/>
      <c r="N392" s="210"/>
      <c r="O392" s="210"/>
      <c r="P392" s="200"/>
      <c r="Q392" s="200"/>
      <c r="R392" s="200"/>
      <c r="T392" s="154"/>
      <c r="V392" s="200"/>
      <c r="Y392" s="200"/>
      <c r="Z392" s="329"/>
      <c r="AA392" s="200"/>
      <c r="AB392" s="200"/>
      <c r="AC392" s="210"/>
      <c r="AD392" s="21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A393" s="202"/>
      <c r="C393" s="154"/>
      <c r="F393" s="252"/>
      <c r="H393" s="252"/>
      <c r="I393" s="252"/>
      <c r="J393" s="329"/>
      <c r="K393" s="329"/>
      <c r="L393" s="200"/>
      <c r="M393" s="200"/>
      <c r="N393" s="210"/>
      <c r="O393" s="210"/>
      <c r="P393" s="200"/>
      <c r="Q393" s="200"/>
      <c r="R393" s="200"/>
      <c r="T393" s="154"/>
      <c r="V393" s="200"/>
      <c r="Y393" s="200"/>
      <c r="Z393" s="329"/>
      <c r="AA393" s="200"/>
      <c r="AB393" s="200"/>
      <c r="AC393" s="210"/>
      <c r="AD393" s="210"/>
      <c r="AE393" s="200"/>
      <c r="AF393" s="200"/>
      <c r="AG393" s="209"/>
      <c r="AH393" s="201"/>
      <c r="AI393" s="200"/>
      <c r="AJ393" s="200"/>
      <c r="AK393" s="209"/>
      <c r="AL393" s="200"/>
      <c r="AM393" s="210"/>
      <c r="AN393" s="210"/>
    </row>
    <row r="394" spans="1:40" x14ac:dyDescent="0.25">
      <c r="F394" s="211"/>
      <c r="H394" s="211"/>
      <c r="I394" s="211"/>
      <c r="J394" s="305"/>
      <c r="K394" s="305"/>
      <c r="L394" s="211"/>
      <c r="M394" s="211"/>
      <c r="N394" s="211"/>
      <c r="O394" s="211"/>
      <c r="P394" s="211"/>
      <c r="Q394" s="211"/>
      <c r="R394" s="211"/>
      <c r="V394" s="211"/>
      <c r="Y394" s="211"/>
      <c r="Z394" s="329"/>
      <c r="AA394" s="211"/>
      <c r="AB394" s="211"/>
      <c r="AC394" s="211"/>
      <c r="AD394" s="211"/>
      <c r="AE394" s="211"/>
      <c r="AF394" s="211"/>
      <c r="AI394" s="211"/>
      <c r="AJ394" s="211"/>
      <c r="AK394" s="212"/>
      <c r="AL394" s="211"/>
    </row>
    <row r="395" spans="1:40" x14ac:dyDescent="0.25">
      <c r="A395" s="202"/>
      <c r="C395" s="154"/>
      <c r="F395" s="200"/>
      <c r="H395" s="200"/>
      <c r="I395" s="200"/>
      <c r="L395" s="200"/>
      <c r="M395" s="200"/>
      <c r="N395" s="201"/>
      <c r="O395" s="201"/>
      <c r="P395" s="200"/>
      <c r="Q395" s="200"/>
      <c r="R395" s="200"/>
      <c r="T395" s="154"/>
      <c r="V395" s="200"/>
      <c r="Y395" s="200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F396" s="211"/>
      <c r="H396" s="211"/>
      <c r="I396" s="211"/>
      <c r="J396" s="305"/>
      <c r="K396" s="305"/>
      <c r="L396" s="211"/>
      <c r="M396" s="211"/>
      <c r="N396" s="211"/>
      <c r="O396" s="211"/>
      <c r="P396" s="211"/>
      <c r="Q396" s="211"/>
      <c r="R396" s="211"/>
      <c r="V396" s="211"/>
      <c r="Y396" s="211"/>
      <c r="Z396" s="305"/>
      <c r="AA396" s="211"/>
      <c r="AB396" s="211"/>
      <c r="AC396" s="211"/>
      <c r="AD396" s="211"/>
      <c r="AE396" s="211"/>
      <c r="AF396" s="211"/>
      <c r="AI396" s="211"/>
      <c r="AJ396" s="211"/>
      <c r="AK396" s="212"/>
      <c r="AL396" s="211"/>
    </row>
    <row r="397" spans="1:40" x14ac:dyDescent="0.25">
      <c r="A397" s="202"/>
      <c r="C397" s="154"/>
      <c r="T397" s="154"/>
    </row>
    <row r="398" spans="1:40" x14ac:dyDescent="0.25">
      <c r="A398" s="202"/>
      <c r="C398" s="154"/>
      <c r="F398" s="252"/>
      <c r="H398" s="252"/>
      <c r="I398" s="252"/>
      <c r="J398" s="300"/>
      <c r="K398" s="300"/>
      <c r="L398" s="200"/>
      <c r="M398" s="200"/>
      <c r="N398" s="210"/>
      <c r="O398" s="210"/>
      <c r="P398" s="200"/>
      <c r="Q398" s="200"/>
      <c r="R398" s="200"/>
      <c r="T398" s="154"/>
      <c r="V398" s="200"/>
      <c r="Y398" s="200"/>
      <c r="Z398" s="300"/>
      <c r="AA398" s="200"/>
      <c r="AB398" s="200"/>
      <c r="AC398" s="210"/>
      <c r="AD398" s="210"/>
      <c r="AE398" s="200"/>
      <c r="AF398" s="200"/>
      <c r="AG398" s="209"/>
      <c r="AH398" s="201"/>
      <c r="AI398" s="200"/>
      <c r="AJ398" s="200"/>
      <c r="AK398" s="209"/>
      <c r="AL398" s="200"/>
      <c r="AM398" s="210"/>
      <c r="AN398" s="210"/>
    </row>
    <row r="399" spans="1:40" x14ac:dyDescent="0.25">
      <c r="A399" s="202"/>
      <c r="C399" s="154"/>
      <c r="F399" s="252"/>
      <c r="H399" s="252"/>
      <c r="I399" s="252"/>
      <c r="J399" s="300"/>
      <c r="K399" s="300"/>
      <c r="L399" s="200"/>
      <c r="M399" s="200"/>
      <c r="N399" s="210"/>
      <c r="O399" s="210"/>
      <c r="P399" s="200"/>
      <c r="Q399" s="200"/>
      <c r="R399" s="200"/>
      <c r="T399" s="154"/>
      <c r="V399" s="200"/>
      <c r="Y399" s="200"/>
      <c r="Z399" s="300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F400" s="211"/>
      <c r="H400" s="200"/>
      <c r="I400" s="200"/>
      <c r="J400" s="305"/>
      <c r="K400" s="305"/>
      <c r="L400" s="211"/>
      <c r="M400" s="211"/>
      <c r="N400" s="211"/>
      <c r="O400" s="211"/>
      <c r="P400" s="211"/>
      <c r="Q400" s="211"/>
      <c r="R400" s="211"/>
      <c r="V400" s="211"/>
      <c r="Y400" s="200"/>
      <c r="Z400" s="305"/>
      <c r="AA400" s="211"/>
      <c r="AB400" s="211"/>
      <c r="AC400" s="211"/>
      <c r="AD400" s="211"/>
      <c r="AE400" s="211"/>
      <c r="AF400" s="211"/>
      <c r="AI400" s="211"/>
      <c r="AJ400" s="211"/>
      <c r="AK400" s="212"/>
      <c r="AL400" s="211"/>
    </row>
    <row r="401" spans="1:40" x14ac:dyDescent="0.25">
      <c r="F401" s="200"/>
      <c r="H401" s="200"/>
      <c r="I401" s="200"/>
      <c r="J401" s="305"/>
      <c r="K401" s="305"/>
      <c r="L401" s="200"/>
      <c r="M401" s="200"/>
      <c r="N401" s="200"/>
      <c r="O401" s="200"/>
      <c r="P401" s="200"/>
      <c r="Q401" s="200"/>
      <c r="R401" s="200"/>
      <c r="V401" s="200"/>
      <c r="Y401" s="200"/>
      <c r="Z401" s="305"/>
      <c r="AA401" s="200"/>
      <c r="AB401" s="200"/>
      <c r="AC401" s="200"/>
      <c r="AD401" s="200"/>
      <c r="AE401" s="200"/>
      <c r="AF401" s="200"/>
      <c r="AI401" s="200"/>
      <c r="AJ401" s="200"/>
      <c r="AK401" s="209"/>
      <c r="AL401" s="200"/>
    </row>
    <row r="402" spans="1:40" x14ac:dyDescent="0.25">
      <c r="A402" s="202"/>
      <c r="C402" s="154"/>
      <c r="F402" s="200"/>
      <c r="H402" s="200"/>
      <c r="I402" s="200"/>
      <c r="L402" s="200"/>
      <c r="M402" s="200"/>
      <c r="N402" s="210"/>
      <c r="O402" s="210"/>
      <c r="P402" s="200"/>
      <c r="Q402" s="200"/>
      <c r="R402" s="200"/>
      <c r="T402" s="154"/>
      <c r="V402" s="200"/>
      <c r="Y402" s="200"/>
      <c r="AA402" s="200"/>
      <c r="AB402" s="200"/>
      <c r="AC402" s="210"/>
      <c r="AD402" s="210"/>
      <c r="AE402" s="200"/>
      <c r="AF402" s="200"/>
      <c r="AG402" s="209"/>
      <c r="AH402" s="201"/>
      <c r="AI402" s="252"/>
      <c r="AJ402" s="252"/>
      <c r="AK402" s="209"/>
      <c r="AL402" s="200"/>
      <c r="AM402" s="210"/>
      <c r="AN402" s="210"/>
    </row>
    <row r="403" spans="1:40" x14ac:dyDescent="0.25">
      <c r="H403" s="211"/>
      <c r="I403" s="211"/>
      <c r="J403" s="305"/>
      <c r="K403" s="305"/>
      <c r="L403" s="211"/>
      <c r="M403" s="211"/>
      <c r="N403" s="211"/>
      <c r="O403" s="211"/>
      <c r="P403" s="211"/>
      <c r="Q403" s="211"/>
      <c r="R403" s="211"/>
      <c r="V403" s="211"/>
      <c r="Y403" s="211"/>
      <c r="Z403" s="305"/>
      <c r="AA403" s="211"/>
      <c r="AB403" s="211"/>
      <c r="AC403" s="211"/>
      <c r="AD403" s="211"/>
      <c r="AE403" s="211"/>
      <c r="AF403" s="211"/>
      <c r="AI403" s="211"/>
      <c r="AJ403" s="211"/>
      <c r="AK403" s="212"/>
      <c r="AL403" s="211"/>
    </row>
    <row r="404" spans="1:40" x14ac:dyDescent="0.25">
      <c r="F404" s="211"/>
    </row>
    <row r="405" spans="1:40" x14ac:dyDescent="0.25">
      <c r="A405" s="154"/>
      <c r="T405" s="154"/>
    </row>
    <row r="406" spans="1:40" x14ac:dyDescent="0.25">
      <c r="A406" s="154"/>
      <c r="T406" s="154"/>
    </row>
    <row r="407" spans="1:40" x14ac:dyDescent="0.25">
      <c r="A407" s="154"/>
      <c r="T407" s="154"/>
    </row>
    <row r="408" spans="1:40" x14ac:dyDescent="0.25">
      <c r="A408" s="154"/>
      <c r="T408" s="154"/>
    </row>
    <row r="409" spans="1:40" x14ac:dyDescent="0.25">
      <c r="A409" s="154"/>
      <c r="T409" s="154"/>
    </row>
    <row r="410" spans="1:40" x14ac:dyDescent="0.25">
      <c r="A410" s="154"/>
      <c r="T410" s="154"/>
    </row>
    <row r="411" spans="1:40" x14ac:dyDescent="0.25">
      <c r="A411" s="154"/>
      <c r="T411" s="154"/>
    </row>
    <row r="412" spans="1:40" x14ac:dyDescent="0.25">
      <c r="A412" s="154"/>
      <c r="T412" s="154"/>
    </row>
    <row r="413" spans="1:40" x14ac:dyDescent="0.25">
      <c r="A413" s="154"/>
      <c r="T413" s="154"/>
    </row>
    <row r="415" spans="1:40" x14ac:dyDescent="0.25">
      <c r="A415" s="154"/>
    </row>
    <row r="416" spans="1:40" x14ac:dyDescent="0.25">
      <c r="J416" s="202"/>
      <c r="K416" s="202"/>
      <c r="Z416" s="202"/>
    </row>
    <row r="417" spans="1:40" x14ac:dyDescent="0.25">
      <c r="H417" s="154"/>
      <c r="I417" s="154"/>
      <c r="Y417" s="154"/>
    </row>
    <row r="418" spans="1:40" x14ac:dyDescent="0.25">
      <c r="J418" s="202"/>
      <c r="K418" s="202"/>
      <c r="Z418" s="202"/>
    </row>
    <row r="419" spans="1:40" x14ac:dyDescent="0.25">
      <c r="L419" s="154"/>
      <c r="M419" s="154"/>
      <c r="AA419" s="154"/>
      <c r="AB419" s="154"/>
    </row>
    <row r="420" spans="1:40" x14ac:dyDescent="0.25">
      <c r="A420" s="202"/>
      <c r="R420" s="154"/>
      <c r="AK420" s="297"/>
      <c r="AL420" s="154"/>
    </row>
    <row r="421" spans="1:40" x14ac:dyDescent="0.25">
      <c r="A421" s="202"/>
      <c r="R421" s="154"/>
      <c r="AK421" s="297"/>
      <c r="AL421" s="154"/>
    </row>
    <row r="422" spans="1:40" x14ac:dyDescent="0.25">
      <c r="A422" s="154"/>
      <c r="R422" s="154"/>
      <c r="AK422" s="297"/>
      <c r="AL422" s="154"/>
    </row>
    <row r="423" spans="1:40" x14ac:dyDescent="0.25">
      <c r="L423" s="154"/>
      <c r="M423" s="154"/>
      <c r="R423" s="202"/>
      <c r="AA423" s="154"/>
      <c r="AB423" s="154"/>
      <c r="AK423" s="209"/>
      <c r="AL423" s="202"/>
    </row>
    <row r="424" spans="1:40" x14ac:dyDescent="0.25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208"/>
      <c r="AH424" s="102"/>
      <c r="AI424" s="102"/>
      <c r="AJ424" s="102"/>
      <c r="AK424" s="208"/>
      <c r="AL424" s="102"/>
      <c r="AM424" s="102"/>
      <c r="AN424" s="102"/>
    </row>
    <row r="425" spans="1:40" x14ac:dyDescent="0.25">
      <c r="L425" s="103"/>
      <c r="M425" s="103"/>
      <c r="N425" s="103"/>
      <c r="O425" s="103"/>
      <c r="R425" s="103"/>
      <c r="AA425" s="103"/>
      <c r="AB425" s="103"/>
      <c r="AC425" s="103"/>
      <c r="AD425" s="103"/>
      <c r="AE425" s="103"/>
      <c r="AF425" s="103"/>
      <c r="AG425" s="185"/>
      <c r="AH425" s="103"/>
      <c r="AK425" s="185"/>
      <c r="AL425" s="103"/>
      <c r="AM425" s="103"/>
      <c r="AN425" s="103"/>
    </row>
    <row r="426" spans="1:40" x14ac:dyDescent="0.25">
      <c r="L426" s="103"/>
      <c r="M426" s="103"/>
      <c r="N426" s="103"/>
      <c r="O426" s="103"/>
      <c r="R426" s="103"/>
      <c r="Z426" s="103"/>
      <c r="AA426" s="103"/>
      <c r="AB426" s="103"/>
      <c r="AC426" s="103"/>
      <c r="AD426" s="103"/>
      <c r="AE426" s="103"/>
      <c r="AF426" s="103"/>
      <c r="AG426" s="185"/>
      <c r="AH426" s="103"/>
      <c r="AK426" s="185"/>
      <c r="AL426" s="103"/>
      <c r="AM426" s="103"/>
      <c r="AN426" s="103"/>
    </row>
    <row r="427" spans="1:40" x14ac:dyDescent="0.25">
      <c r="A427" s="103"/>
      <c r="C427" s="103"/>
      <c r="D427" s="103"/>
      <c r="E427" s="103"/>
      <c r="F427" s="103"/>
      <c r="J427" s="103"/>
      <c r="K427" s="103"/>
      <c r="L427" s="103"/>
      <c r="M427" s="103"/>
      <c r="N427" s="103"/>
      <c r="O427" s="103"/>
      <c r="P427" s="103"/>
      <c r="Q427" s="103"/>
      <c r="R427" s="103"/>
      <c r="T427" s="103"/>
      <c r="U427" s="103"/>
      <c r="V427" s="103"/>
      <c r="Z427" s="103"/>
      <c r="AA427" s="103"/>
      <c r="AB427" s="103"/>
      <c r="AC427" s="103"/>
      <c r="AD427" s="103"/>
      <c r="AE427" s="103"/>
      <c r="AF427" s="103"/>
      <c r="AG427" s="185"/>
      <c r="AH427" s="103"/>
      <c r="AI427" s="103"/>
      <c r="AJ427" s="103"/>
      <c r="AK427" s="185"/>
      <c r="AL427" s="103"/>
      <c r="AM427" s="103"/>
      <c r="AN427" s="103"/>
    </row>
    <row r="428" spans="1:40" x14ac:dyDescent="0.25">
      <c r="A428" s="103"/>
      <c r="C428" s="103"/>
      <c r="D428" s="103"/>
      <c r="E428" s="103"/>
      <c r="F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T428" s="103"/>
      <c r="U428" s="103"/>
      <c r="V428" s="103"/>
      <c r="Y428" s="103"/>
      <c r="Z428" s="103"/>
      <c r="AA428" s="103"/>
      <c r="AB428" s="103"/>
      <c r="AC428" s="103"/>
      <c r="AD428" s="103"/>
      <c r="AE428" s="103"/>
      <c r="AF428" s="103"/>
      <c r="AG428" s="185"/>
      <c r="AH428" s="103"/>
      <c r="AI428" s="103"/>
      <c r="AJ428" s="103"/>
      <c r="AK428" s="185"/>
      <c r="AL428" s="103"/>
      <c r="AM428" s="103"/>
      <c r="AN428" s="103"/>
    </row>
    <row r="429" spans="1:40" x14ac:dyDescent="0.25">
      <c r="C429" s="103"/>
      <c r="D429" s="103"/>
      <c r="E429" s="103"/>
      <c r="F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T429" s="103"/>
      <c r="U429" s="103"/>
      <c r="V429" s="103"/>
      <c r="Y429" s="103"/>
      <c r="Z429" s="103"/>
      <c r="AA429" s="103"/>
      <c r="AB429" s="103"/>
      <c r="AC429" s="103"/>
      <c r="AD429" s="103"/>
      <c r="AE429" s="103"/>
      <c r="AF429" s="103"/>
      <c r="AG429" s="185"/>
      <c r="AH429" s="103"/>
      <c r="AI429" s="103"/>
      <c r="AJ429" s="103"/>
      <c r="AK429" s="185"/>
      <c r="AL429" s="103"/>
      <c r="AM429" s="103"/>
      <c r="AN429" s="103"/>
    </row>
    <row r="430" spans="1:40" x14ac:dyDescent="0.25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208"/>
      <c r="AH430" s="102"/>
      <c r="AI430" s="102"/>
      <c r="AJ430" s="102"/>
      <c r="AK430" s="208"/>
      <c r="AL430" s="102"/>
      <c r="AM430" s="102"/>
      <c r="AN430" s="102"/>
    </row>
    <row r="431" spans="1:40" x14ac:dyDescent="0.25"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Y431" s="103"/>
      <c r="Z431" s="103"/>
      <c r="AA431" s="103"/>
      <c r="AB431" s="103"/>
      <c r="AC431" s="103"/>
      <c r="AD431" s="103"/>
      <c r="AE431" s="103"/>
      <c r="AF431" s="103"/>
      <c r="AG431" s="185"/>
      <c r="AH431" s="103"/>
      <c r="AI431" s="103"/>
      <c r="AJ431" s="103"/>
      <c r="AK431" s="185"/>
      <c r="AL431" s="103"/>
      <c r="AM431" s="103"/>
      <c r="AN431" s="103"/>
    </row>
    <row r="432" spans="1:40" x14ac:dyDescent="0.25">
      <c r="A432" s="202"/>
      <c r="C432" s="154"/>
      <c r="D432" s="154"/>
      <c r="E432" s="154"/>
      <c r="T432" s="154"/>
      <c r="U432" s="154"/>
    </row>
    <row r="433" spans="1:40" x14ac:dyDescent="0.25">
      <c r="A433" s="202"/>
      <c r="D433" s="154"/>
      <c r="E433" s="154"/>
      <c r="U433" s="154"/>
    </row>
    <row r="435" spans="1:40" x14ac:dyDescent="0.25">
      <c r="A435" s="202"/>
      <c r="C435" s="154"/>
      <c r="F435" s="200"/>
      <c r="J435" s="215"/>
      <c r="K435" s="215"/>
      <c r="L435" s="200"/>
      <c r="M435" s="200"/>
      <c r="R435" s="200"/>
      <c r="T435" s="154"/>
      <c r="V435" s="200"/>
      <c r="Z435" s="215"/>
      <c r="AA435" s="200"/>
      <c r="AB435" s="200"/>
      <c r="AG435" s="209"/>
      <c r="AH435" s="200"/>
      <c r="AK435" s="209"/>
      <c r="AL435" s="200"/>
    </row>
    <row r="436" spans="1:40" x14ac:dyDescent="0.25">
      <c r="A436" s="202"/>
      <c r="C436" s="154"/>
      <c r="F436" s="200"/>
      <c r="R436" s="200"/>
      <c r="T436" s="154"/>
      <c r="V436" s="200"/>
      <c r="AG436" s="209"/>
      <c r="AH436" s="200"/>
      <c r="AK436" s="209"/>
      <c r="AL436" s="200"/>
    </row>
    <row r="437" spans="1:40" x14ac:dyDescent="0.25">
      <c r="AI437" s="200"/>
      <c r="AJ437" s="200"/>
      <c r="AK437" s="209"/>
      <c r="AL437" s="200"/>
      <c r="AM437" s="210"/>
      <c r="AN437" s="210"/>
    </row>
    <row r="438" spans="1:40" x14ac:dyDescent="0.25">
      <c r="A438" s="202"/>
      <c r="C438" s="154"/>
      <c r="F438" s="252"/>
      <c r="H438" s="252"/>
      <c r="I438" s="252"/>
      <c r="J438" s="328"/>
      <c r="K438" s="328"/>
      <c r="L438" s="200"/>
      <c r="M438" s="200"/>
      <c r="N438" s="210"/>
      <c r="O438" s="210"/>
      <c r="P438" s="200"/>
      <c r="Q438" s="200"/>
      <c r="R438" s="200"/>
      <c r="T438" s="154"/>
      <c r="V438" s="200"/>
      <c r="Y438" s="200"/>
      <c r="Z438" s="328"/>
      <c r="AA438" s="200"/>
      <c r="AB438" s="200"/>
      <c r="AC438" s="210"/>
      <c r="AD438" s="210"/>
      <c r="AE438" s="200"/>
      <c r="AF438" s="200"/>
      <c r="AG438" s="209"/>
      <c r="AH438" s="201"/>
      <c r="AI438" s="200"/>
      <c r="AJ438" s="200"/>
      <c r="AK438" s="209"/>
      <c r="AL438" s="200"/>
      <c r="AM438" s="210"/>
      <c r="AN438" s="210"/>
    </row>
    <row r="439" spans="1:40" x14ac:dyDescent="0.25">
      <c r="F439" s="200"/>
      <c r="H439" s="200"/>
      <c r="I439" s="200"/>
      <c r="J439" s="213"/>
      <c r="K439" s="213"/>
      <c r="L439" s="200"/>
      <c r="M439" s="200"/>
      <c r="P439" s="200"/>
      <c r="Q439" s="200"/>
      <c r="R439" s="200"/>
      <c r="V439" s="200"/>
      <c r="Y439" s="200"/>
      <c r="Z439" s="213"/>
      <c r="AA439" s="200"/>
      <c r="AB439" s="200"/>
      <c r="AI439" s="200"/>
      <c r="AJ439" s="200"/>
      <c r="AK439" s="209"/>
      <c r="AL439" s="200"/>
      <c r="AM439" s="210"/>
      <c r="AN439" s="210"/>
    </row>
    <row r="440" spans="1:40" x14ac:dyDescent="0.25">
      <c r="F440" s="200"/>
      <c r="R440" s="200"/>
      <c r="V440" s="200"/>
      <c r="AK440" s="209"/>
      <c r="AL440" s="200"/>
      <c r="AM440" s="210"/>
      <c r="AN440" s="210"/>
    </row>
    <row r="441" spans="1:40" x14ac:dyDescent="0.25">
      <c r="A441" s="202"/>
      <c r="C441" s="154"/>
      <c r="F441" s="200"/>
      <c r="J441" s="215"/>
      <c r="K441" s="215"/>
      <c r="L441" s="200"/>
      <c r="M441" s="200"/>
      <c r="N441" s="210"/>
      <c r="O441" s="210"/>
      <c r="R441" s="200"/>
      <c r="T441" s="154"/>
      <c r="V441" s="200"/>
      <c r="Z441" s="215"/>
      <c r="AA441" s="200"/>
      <c r="AB441" s="200"/>
      <c r="AC441" s="210"/>
      <c r="AD441" s="210"/>
      <c r="AK441" s="209"/>
      <c r="AL441" s="200"/>
      <c r="AM441" s="210"/>
      <c r="AN441" s="210"/>
    </row>
    <row r="442" spans="1:40" x14ac:dyDescent="0.25">
      <c r="A442" s="202"/>
      <c r="C442" s="154"/>
      <c r="F442" s="200"/>
      <c r="H442" s="200"/>
      <c r="I442" s="200"/>
      <c r="J442" s="215"/>
      <c r="K442" s="215"/>
      <c r="L442" s="200"/>
      <c r="M442" s="200"/>
      <c r="N442" s="210"/>
      <c r="O442" s="210"/>
      <c r="P442" s="200"/>
      <c r="Q442" s="200"/>
      <c r="R442" s="200"/>
      <c r="T442" s="154"/>
      <c r="V442" s="200"/>
      <c r="Y442" s="200"/>
      <c r="Z442" s="215"/>
      <c r="AA442" s="200"/>
      <c r="AB442" s="200"/>
      <c r="AC442" s="210"/>
      <c r="AD442" s="210"/>
      <c r="AI442" s="200"/>
      <c r="AJ442" s="200"/>
      <c r="AK442" s="209"/>
      <c r="AL442" s="200"/>
      <c r="AM442" s="210"/>
      <c r="AN442" s="210"/>
    </row>
    <row r="443" spans="1:40" x14ac:dyDescent="0.25">
      <c r="A443" s="202"/>
      <c r="C443" s="154"/>
      <c r="T443" s="154"/>
      <c r="AM443" s="210"/>
      <c r="AN443" s="210"/>
    </row>
    <row r="444" spans="1:40" x14ac:dyDescent="0.25">
      <c r="A444" s="202"/>
      <c r="C444" s="154"/>
      <c r="T444" s="154"/>
      <c r="AM444" s="210"/>
      <c r="AN444" s="210"/>
    </row>
    <row r="445" spans="1:40" x14ac:dyDescent="0.25">
      <c r="AM445" s="210"/>
      <c r="AN445" s="210"/>
    </row>
    <row r="446" spans="1:40" x14ac:dyDescent="0.25">
      <c r="A446" s="202"/>
      <c r="C446" s="154"/>
      <c r="F446" s="252"/>
      <c r="H446" s="252"/>
      <c r="I446" s="252"/>
      <c r="J446" s="328"/>
      <c r="K446" s="328"/>
      <c r="L446" s="200"/>
      <c r="M446" s="200"/>
      <c r="N446" s="210"/>
      <c r="O446" s="210"/>
      <c r="P446" s="200"/>
      <c r="Q446" s="200"/>
      <c r="R446" s="200"/>
      <c r="T446" s="154"/>
      <c r="V446" s="200"/>
      <c r="Y446" s="200"/>
      <c r="Z446" s="328"/>
      <c r="AA446" s="200"/>
      <c r="AB446" s="200"/>
      <c r="AC446" s="210"/>
      <c r="AD446" s="210"/>
      <c r="AE446" s="200"/>
      <c r="AF446" s="200"/>
      <c r="AG446" s="209"/>
      <c r="AH446" s="201"/>
      <c r="AI446" s="200"/>
      <c r="AJ446" s="200"/>
      <c r="AK446" s="209"/>
      <c r="AL446" s="200"/>
      <c r="AM446" s="210"/>
      <c r="AN446" s="210"/>
    </row>
    <row r="447" spans="1:40" x14ac:dyDescent="0.25">
      <c r="F447" s="211"/>
      <c r="H447" s="211"/>
      <c r="I447" s="211"/>
      <c r="J447" s="305"/>
      <c r="K447" s="305"/>
      <c r="L447" s="211"/>
      <c r="M447" s="211"/>
      <c r="N447" s="211"/>
      <c r="O447" s="211"/>
      <c r="P447" s="211"/>
      <c r="Q447" s="211"/>
      <c r="R447" s="211"/>
      <c r="V447" s="211"/>
      <c r="Y447" s="211"/>
      <c r="Z447" s="305"/>
      <c r="AA447" s="211"/>
      <c r="AB447" s="211"/>
      <c r="AC447" s="211"/>
      <c r="AD447" s="211"/>
      <c r="AE447" s="211"/>
      <c r="AF447" s="211"/>
      <c r="AI447" s="211"/>
      <c r="AJ447" s="211"/>
      <c r="AK447" s="212"/>
      <c r="AL447" s="211"/>
      <c r="AM447" s="210"/>
      <c r="AN447" s="210"/>
    </row>
    <row r="448" spans="1:40" x14ac:dyDescent="0.25">
      <c r="H448" s="200"/>
      <c r="I448" s="200"/>
      <c r="Y448" s="200"/>
      <c r="AM448" s="210"/>
      <c r="AN448" s="210"/>
    </row>
    <row r="449" spans="1:40" x14ac:dyDescent="0.25">
      <c r="A449" s="202"/>
      <c r="C449" s="154"/>
      <c r="F449" s="200"/>
      <c r="H449" s="200"/>
      <c r="I449" s="200"/>
      <c r="L449" s="200"/>
      <c r="M449" s="200"/>
      <c r="N449" s="210"/>
      <c r="O449" s="210"/>
      <c r="P449" s="252"/>
      <c r="Q449" s="252"/>
      <c r="R449" s="200"/>
      <c r="T449" s="154"/>
      <c r="V449" s="200"/>
      <c r="Y449" s="200"/>
      <c r="AA449" s="200"/>
      <c r="AB449" s="200"/>
      <c r="AC449" s="210"/>
      <c r="AD449" s="210"/>
      <c r="AE449" s="200"/>
      <c r="AF449" s="200"/>
      <c r="AG449" s="209"/>
      <c r="AH449" s="201"/>
      <c r="AI449" s="252"/>
      <c r="AJ449" s="252"/>
      <c r="AK449" s="209"/>
      <c r="AL449" s="200"/>
      <c r="AM449" s="210"/>
      <c r="AN449" s="210"/>
    </row>
    <row r="450" spans="1:40" x14ac:dyDescent="0.25">
      <c r="H450" s="211"/>
      <c r="I450" s="211"/>
      <c r="J450" s="305"/>
      <c r="K450" s="305"/>
      <c r="L450" s="211"/>
      <c r="M450" s="211"/>
      <c r="N450" s="211"/>
      <c r="O450" s="211"/>
      <c r="P450" s="211"/>
      <c r="Q450" s="211"/>
      <c r="R450" s="211"/>
      <c r="V450" s="211"/>
      <c r="Y450" s="211"/>
      <c r="Z450" s="305"/>
      <c r="AA450" s="211"/>
      <c r="AB450" s="211"/>
      <c r="AC450" s="211"/>
      <c r="AD450" s="211"/>
      <c r="AE450" s="211"/>
      <c r="AF450" s="211"/>
      <c r="AI450" s="211"/>
      <c r="AJ450" s="211"/>
      <c r="AK450" s="212"/>
      <c r="AL450" s="211"/>
      <c r="AM450" s="210"/>
      <c r="AN450" s="210"/>
    </row>
    <row r="451" spans="1:40" x14ac:dyDescent="0.25">
      <c r="F451" s="211"/>
    </row>
    <row r="452" spans="1:40" x14ac:dyDescent="0.25">
      <c r="F452" s="200"/>
      <c r="H452" s="200"/>
      <c r="I452" s="200"/>
      <c r="J452" s="213"/>
      <c r="K452" s="213"/>
      <c r="L452" s="200"/>
      <c r="M452" s="200"/>
      <c r="N452" s="200"/>
      <c r="O452" s="200"/>
      <c r="P452" s="200"/>
      <c r="Q452" s="200"/>
      <c r="R452" s="200"/>
      <c r="V452" s="200"/>
      <c r="Y452" s="200"/>
      <c r="Z452" s="213"/>
      <c r="AA452" s="200"/>
      <c r="AB452" s="200"/>
      <c r="AC452" s="200"/>
      <c r="AD452" s="200"/>
      <c r="AE452" s="200"/>
      <c r="AF452" s="200"/>
      <c r="AG452" s="209"/>
      <c r="AH452" s="200"/>
      <c r="AI452" s="200"/>
      <c r="AJ452" s="200"/>
      <c r="AK452" s="209"/>
      <c r="AL452" s="200"/>
    </row>
    <row r="453" spans="1:40" x14ac:dyDescent="0.25">
      <c r="A453" s="154"/>
    </row>
    <row r="454" spans="1:40" x14ac:dyDescent="0.25">
      <c r="J454" s="202"/>
      <c r="K454" s="202"/>
      <c r="Z454" s="202"/>
    </row>
    <row r="455" spans="1:40" x14ac:dyDescent="0.25">
      <c r="H455" s="154"/>
      <c r="I455" s="154"/>
      <c r="Y455" s="154"/>
    </row>
    <row r="456" spans="1:40" x14ac:dyDescent="0.25">
      <c r="J456" s="202"/>
      <c r="K456" s="202"/>
      <c r="Z456" s="202"/>
    </row>
    <row r="457" spans="1:40" x14ac:dyDescent="0.25">
      <c r="L457" s="154"/>
      <c r="M457" s="154"/>
      <c r="AA457" s="154"/>
      <c r="AB457" s="154"/>
    </row>
    <row r="458" spans="1:40" x14ac:dyDescent="0.25">
      <c r="A458" s="202"/>
      <c r="R458" s="154"/>
      <c r="AK458" s="297"/>
      <c r="AL458" s="154"/>
    </row>
    <row r="459" spans="1:40" x14ac:dyDescent="0.25">
      <c r="A459" s="202"/>
      <c r="R459" s="154"/>
      <c r="AK459" s="297"/>
      <c r="AL459" s="154"/>
    </row>
    <row r="460" spans="1:40" x14ac:dyDescent="0.25">
      <c r="A460" s="154"/>
      <c r="R460" s="154"/>
      <c r="AK460" s="297"/>
      <c r="AL460" s="154"/>
    </row>
    <row r="461" spans="1:40" x14ac:dyDescent="0.25">
      <c r="L461" s="154"/>
      <c r="M461" s="154"/>
      <c r="R461" s="202"/>
      <c r="AA461" s="154"/>
      <c r="AB461" s="154"/>
      <c r="AK461" s="209"/>
      <c r="AL461" s="202"/>
    </row>
    <row r="462" spans="1:40" x14ac:dyDescent="0.2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208"/>
      <c r="AH462" s="102"/>
      <c r="AI462" s="102"/>
      <c r="AJ462" s="102"/>
      <c r="AK462" s="208"/>
      <c r="AL462" s="102"/>
      <c r="AM462" s="102"/>
      <c r="AN462" s="102"/>
    </row>
    <row r="463" spans="1:40" x14ac:dyDescent="0.25">
      <c r="L463" s="103"/>
      <c r="M463" s="103"/>
      <c r="N463" s="103"/>
      <c r="O463" s="103"/>
      <c r="R463" s="103"/>
      <c r="AA463" s="103"/>
      <c r="AB463" s="103"/>
      <c r="AC463" s="103"/>
      <c r="AD463" s="103"/>
      <c r="AE463" s="103"/>
      <c r="AF463" s="103"/>
      <c r="AG463" s="185"/>
      <c r="AH463" s="103"/>
      <c r="AK463" s="185"/>
      <c r="AL463" s="103"/>
      <c r="AM463" s="103"/>
      <c r="AN463" s="103"/>
    </row>
    <row r="464" spans="1:40" x14ac:dyDescent="0.25">
      <c r="L464" s="103"/>
      <c r="M464" s="103"/>
      <c r="N464" s="103"/>
      <c r="O464" s="103"/>
      <c r="R464" s="103"/>
      <c r="Z464" s="103"/>
      <c r="AA464" s="103"/>
      <c r="AB464" s="103"/>
      <c r="AC464" s="103"/>
      <c r="AD464" s="103"/>
      <c r="AE464" s="103"/>
      <c r="AF464" s="103"/>
      <c r="AG464" s="185"/>
      <c r="AH464" s="103"/>
      <c r="AK464" s="185"/>
      <c r="AL464" s="103"/>
      <c r="AM464" s="103"/>
      <c r="AN464" s="103"/>
    </row>
    <row r="465" spans="1:40" x14ac:dyDescent="0.25">
      <c r="A465" s="103"/>
      <c r="C465" s="103"/>
      <c r="D465" s="103"/>
      <c r="E465" s="103"/>
      <c r="F465" s="103"/>
      <c r="J465" s="103"/>
      <c r="K465" s="103"/>
      <c r="L465" s="103"/>
      <c r="M465" s="103"/>
      <c r="N465" s="103"/>
      <c r="O465" s="103"/>
      <c r="P465" s="103"/>
      <c r="Q465" s="103"/>
      <c r="R465" s="103"/>
      <c r="T465" s="103"/>
      <c r="U465" s="103"/>
      <c r="V465" s="103"/>
      <c r="Z465" s="103"/>
      <c r="AA465" s="103"/>
      <c r="AB465" s="103"/>
      <c r="AC465" s="103"/>
      <c r="AD465" s="103"/>
      <c r="AE465" s="103"/>
      <c r="AF465" s="103"/>
      <c r="AG465" s="185"/>
      <c r="AH465" s="103"/>
      <c r="AI465" s="103"/>
      <c r="AJ465" s="103"/>
      <c r="AK465" s="185"/>
      <c r="AL465" s="103"/>
      <c r="AM465" s="103"/>
      <c r="AN465" s="103"/>
    </row>
    <row r="466" spans="1:40" x14ac:dyDescent="0.25">
      <c r="A466" s="103"/>
      <c r="C466" s="103"/>
      <c r="D466" s="103"/>
      <c r="E466" s="103"/>
      <c r="F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T466" s="103"/>
      <c r="U466" s="103"/>
      <c r="V466" s="103"/>
      <c r="Y466" s="103"/>
      <c r="Z466" s="103"/>
      <c r="AA466" s="103"/>
      <c r="AB466" s="103"/>
      <c r="AC466" s="103"/>
      <c r="AD466" s="103"/>
      <c r="AE466" s="103"/>
      <c r="AF466" s="103"/>
      <c r="AG466" s="185"/>
      <c r="AH466" s="103"/>
      <c r="AI466" s="103"/>
      <c r="AJ466" s="103"/>
      <c r="AK466" s="185"/>
      <c r="AL466" s="103"/>
      <c r="AM466" s="103"/>
      <c r="AN466" s="103"/>
    </row>
    <row r="467" spans="1:40" x14ac:dyDescent="0.25">
      <c r="C467" s="103"/>
      <c r="D467" s="103"/>
      <c r="E467" s="103"/>
      <c r="F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T467" s="103"/>
      <c r="U467" s="103"/>
      <c r="V467" s="103"/>
      <c r="Y467" s="103"/>
      <c r="Z467" s="103"/>
      <c r="AA467" s="103"/>
      <c r="AB467" s="103"/>
      <c r="AC467" s="103"/>
      <c r="AD467" s="103"/>
      <c r="AE467" s="103"/>
      <c r="AF467" s="103"/>
      <c r="AG467" s="185"/>
      <c r="AH467" s="103"/>
      <c r="AI467" s="103"/>
      <c r="AJ467" s="103"/>
      <c r="AK467" s="185"/>
      <c r="AL467" s="103"/>
      <c r="AM467" s="103"/>
      <c r="AN467" s="103"/>
    </row>
    <row r="468" spans="1:40" x14ac:dyDescent="0.2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208"/>
      <c r="AH468" s="102"/>
      <c r="AI468" s="102"/>
      <c r="AJ468" s="102"/>
      <c r="AK468" s="208"/>
      <c r="AL468" s="102"/>
      <c r="AM468" s="102"/>
      <c r="AN468" s="102"/>
    </row>
    <row r="469" spans="1:40" x14ac:dyDescent="0.25"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Y469" s="103"/>
      <c r="Z469" s="103"/>
      <c r="AA469" s="103"/>
      <c r="AB469" s="103"/>
      <c r="AC469" s="103"/>
      <c r="AD469" s="103"/>
      <c r="AE469" s="103"/>
      <c r="AF469" s="103"/>
      <c r="AG469" s="185"/>
      <c r="AH469" s="103"/>
      <c r="AI469" s="103"/>
      <c r="AJ469" s="103"/>
      <c r="AK469" s="185"/>
      <c r="AL469" s="103"/>
      <c r="AM469" s="103"/>
      <c r="AN469" s="103"/>
    </row>
    <row r="470" spans="1:40" x14ac:dyDescent="0.25">
      <c r="A470" s="202"/>
      <c r="C470" s="154"/>
      <c r="D470" s="154"/>
      <c r="E470" s="154"/>
      <c r="T470" s="154"/>
      <c r="U470" s="154"/>
      <c r="V470" s="200"/>
      <c r="W470" s="200"/>
      <c r="X470" s="200"/>
      <c r="Y470" s="200"/>
      <c r="Z470" s="328"/>
    </row>
    <row r="472" spans="1:40" x14ac:dyDescent="0.25">
      <c r="A472" s="202"/>
      <c r="C472" s="154"/>
      <c r="T472" s="154"/>
      <c r="V472" s="200"/>
      <c r="W472" s="200"/>
      <c r="X472" s="200"/>
      <c r="Y472" s="200"/>
      <c r="Z472" s="328"/>
    </row>
    <row r="473" spans="1:40" x14ac:dyDescent="0.25">
      <c r="A473" s="202"/>
      <c r="C473" s="154"/>
      <c r="F473" s="252"/>
      <c r="H473" s="252"/>
      <c r="I473" s="252"/>
      <c r="J473" s="329"/>
      <c r="K473" s="329"/>
      <c r="L473" s="200"/>
      <c r="M473" s="200"/>
      <c r="N473" s="210"/>
      <c r="O473" s="210"/>
      <c r="P473" s="200"/>
      <c r="Q473" s="200"/>
      <c r="R473" s="200"/>
      <c r="T473" s="154"/>
      <c r="V473" s="200"/>
      <c r="W473" s="200"/>
      <c r="X473" s="200"/>
      <c r="Y473" s="200"/>
      <c r="Z473" s="329"/>
      <c r="AA473" s="200"/>
      <c r="AB473" s="200"/>
      <c r="AC473" s="210"/>
      <c r="AD473" s="210"/>
      <c r="AE473" s="200"/>
      <c r="AF473" s="200"/>
      <c r="AG473" s="209"/>
      <c r="AH473" s="201"/>
      <c r="AI473" s="200"/>
      <c r="AJ473" s="200"/>
      <c r="AK473" s="209"/>
      <c r="AL473" s="200"/>
      <c r="AM473" s="210"/>
      <c r="AN473" s="210"/>
    </row>
    <row r="474" spans="1:40" x14ac:dyDescent="0.25">
      <c r="A474" s="202"/>
      <c r="C474" s="154"/>
      <c r="F474" s="252"/>
      <c r="H474" s="252"/>
      <c r="I474" s="252"/>
      <c r="J474" s="329"/>
      <c r="K474" s="329"/>
      <c r="L474" s="200"/>
      <c r="M474" s="200"/>
      <c r="N474" s="210"/>
      <c r="O474" s="210"/>
      <c r="P474" s="200"/>
      <c r="Q474" s="200"/>
      <c r="R474" s="200"/>
      <c r="T474" s="154"/>
      <c r="V474" s="200"/>
      <c r="W474" s="200"/>
      <c r="X474" s="200"/>
      <c r="Y474" s="200"/>
      <c r="Z474" s="329"/>
      <c r="AA474" s="200"/>
      <c r="AB474" s="200"/>
      <c r="AC474" s="210"/>
      <c r="AD474" s="210"/>
      <c r="AE474" s="200"/>
      <c r="AF474" s="200"/>
      <c r="AG474" s="209"/>
      <c r="AH474" s="201"/>
      <c r="AI474" s="200"/>
      <c r="AJ474" s="200"/>
      <c r="AK474" s="209"/>
      <c r="AL474" s="200"/>
      <c r="AM474" s="210"/>
      <c r="AN474" s="210"/>
    </row>
    <row r="475" spans="1:40" x14ac:dyDescent="0.25">
      <c r="A475" s="202"/>
      <c r="C475" s="154"/>
      <c r="F475" s="252"/>
      <c r="H475" s="252"/>
      <c r="I475" s="252"/>
      <c r="J475" s="329"/>
      <c r="K475" s="329"/>
      <c r="L475" s="200"/>
      <c r="M475" s="200"/>
      <c r="N475" s="210"/>
      <c r="O475" s="210"/>
      <c r="P475" s="200"/>
      <c r="Q475" s="200"/>
      <c r="R475" s="200"/>
      <c r="T475" s="154"/>
      <c r="V475" s="200"/>
      <c r="W475" s="200"/>
      <c r="X475" s="200"/>
      <c r="Y475" s="200"/>
      <c r="Z475" s="329"/>
      <c r="AA475" s="200"/>
      <c r="AB475" s="200"/>
      <c r="AC475" s="210"/>
      <c r="AD475" s="210"/>
      <c r="AE475" s="200"/>
      <c r="AF475" s="200"/>
      <c r="AG475" s="209"/>
      <c r="AH475" s="201"/>
      <c r="AI475" s="200"/>
      <c r="AJ475" s="200"/>
      <c r="AK475" s="209"/>
      <c r="AL475" s="200"/>
      <c r="AM475" s="210"/>
      <c r="AN475" s="210"/>
    </row>
    <row r="476" spans="1:40" x14ac:dyDescent="0.25">
      <c r="A476" s="202"/>
      <c r="C476" s="154"/>
      <c r="F476" s="252"/>
      <c r="H476" s="252"/>
      <c r="I476" s="252"/>
      <c r="J476" s="329"/>
      <c r="K476" s="329"/>
      <c r="L476" s="200"/>
      <c r="M476" s="200"/>
      <c r="N476" s="210"/>
      <c r="O476" s="210"/>
      <c r="P476" s="200"/>
      <c r="Q476" s="200"/>
      <c r="R476" s="200"/>
      <c r="T476" s="154"/>
      <c r="V476" s="200"/>
      <c r="W476" s="200"/>
      <c r="X476" s="200"/>
      <c r="Y476" s="200"/>
      <c r="Z476" s="329"/>
      <c r="AA476" s="200"/>
      <c r="AB476" s="200"/>
      <c r="AC476" s="210"/>
      <c r="AD476" s="210"/>
      <c r="AE476" s="200"/>
      <c r="AF476" s="200"/>
      <c r="AG476" s="209"/>
      <c r="AH476" s="201"/>
      <c r="AI476" s="200"/>
      <c r="AJ476" s="200"/>
      <c r="AK476" s="209"/>
      <c r="AL476" s="200"/>
      <c r="AM476" s="210"/>
      <c r="AN476" s="210"/>
    </row>
    <row r="477" spans="1:40" x14ac:dyDescent="0.25">
      <c r="J477" s="334"/>
      <c r="K477" s="334"/>
      <c r="V477" s="200"/>
      <c r="W477" s="200"/>
      <c r="X477" s="200"/>
      <c r="Y477" s="200"/>
      <c r="Z477" s="329"/>
    </row>
    <row r="478" spans="1:40" x14ac:dyDescent="0.25">
      <c r="A478" s="202"/>
      <c r="C478" s="154"/>
      <c r="F478" s="252"/>
      <c r="H478" s="252"/>
      <c r="I478" s="252"/>
      <c r="J478" s="329"/>
      <c r="K478" s="329"/>
      <c r="L478" s="200"/>
      <c r="M478" s="200"/>
      <c r="N478" s="210"/>
      <c r="O478" s="210"/>
      <c r="P478" s="200"/>
      <c r="Q478" s="200"/>
      <c r="R478" s="200"/>
      <c r="T478" s="154"/>
      <c r="V478" s="200"/>
      <c r="W478" s="200"/>
      <c r="X478" s="200"/>
      <c r="Y478" s="200"/>
      <c r="Z478" s="329"/>
      <c r="AA478" s="200"/>
      <c r="AB478" s="200"/>
      <c r="AC478" s="210"/>
      <c r="AD478" s="210"/>
      <c r="AE478" s="200"/>
      <c r="AF478" s="200"/>
      <c r="AG478" s="209"/>
      <c r="AH478" s="201"/>
      <c r="AI478" s="200"/>
      <c r="AJ478" s="200"/>
      <c r="AK478" s="209"/>
      <c r="AL478" s="200"/>
      <c r="AM478" s="201"/>
      <c r="AN478" s="201"/>
    </row>
    <row r="479" spans="1:40" x14ac:dyDescent="0.25">
      <c r="A479" s="202"/>
      <c r="C479" s="154"/>
      <c r="J479" s="334"/>
      <c r="K479" s="334"/>
      <c r="T479" s="154"/>
      <c r="V479" s="200"/>
      <c r="W479" s="200"/>
      <c r="X479" s="200"/>
      <c r="Y479" s="200"/>
      <c r="Z479" s="329"/>
    </row>
    <row r="480" spans="1:40" x14ac:dyDescent="0.25">
      <c r="A480" s="202"/>
      <c r="C480" s="154"/>
      <c r="F480" s="252"/>
      <c r="H480" s="252"/>
      <c r="I480" s="252"/>
      <c r="J480" s="329"/>
      <c r="K480" s="329"/>
      <c r="L480" s="200"/>
      <c r="M480" s="200"/>
      <c r="N480" s="210"/>
      <c r="O480" s="210"/>
      <c r="P480" s="200"/>
      <c r="Q480" s="200"/>
      <c r="R480" s="200"/>
      <c r="T480" s="154"/>
      <c r="V480" s="200"/>
      <c r="W480" s="200"/>
      <c r="X480" s="200"/>
      <c r="Y480" s="200"/>
      <c r="Z480" s="329"/>
      <c r="AA480" s="200"/>
      <c r="AB480" s="200"/>
      <c r="AC480" s="210"/>
      <c r="AD480" s="210"/>
      <c r="AE480" s="200"/>
      <c r="AF480" s="200"/>
      <c r="AG480" s="209"/>
      <c r="AH480" s="201"/>
      <c r="AI480" s="200"/>
      <c r="AJ480" s="200"/>
      <c r="AK480" s="209"/>
      <c r="AL480" s="200"/>
      <c r="AM480" s="201"/>
      <c r="AN480" s="201"/>
    </row>
    <row r="481" spans="1:40" x14ac:dyDescent="0.25">
      <c r="J481" s="334"/>
      <c r="K481" s="334"/>
      <c r="Z481" s="334"/>
    </row>
    <row r="482" spans="1:40" x14ac:dyDescent="0.25">
      <c r="A482" s="202"/>
      <c r="C482" s="154"/>
      <c r="J482" s="334"/>
      <c r="K482" s="334"/>
      <c r="T482" s="154"/>
      <c r="V482" s="200"/>
      <c r="W482" s="200"/>
      <c r="X482" s="200"/>
      <c r="Y482" s="200"/>
      <c r="Z482" s="329"/>
    </row>
    <row r="483" spans="1:40" x14ac:dyDescent="0.25">
      <c r="A483" s="202"/>
      <c r="C483" s="154"/>
      <c r="F483" s="252"/>
      <c r="H483" s="252"/>
      <c r="I483" s="252"/>
      <c r="J483" s="329"/>
      <c r="K483" s="329"/>
      <c r="L483" s="200"/>
      <c r="M483" s="200"/>
      <c r="N483" s="210"/>
      <c r="O483" s="210"/>
      <c r="P483" s="200"/>
      <c r="Q483" s="200"/>
      <c r="R483" s="200"/>
      <c r="T483" s="154"/>
      <c r="V483" s="200"/>
      <c r="W483" s="200"/>
      <c r="X483" s="200"/>
      <c r="Y483" s="200"/>
      <c r="Z483" s="329"/>
      <c r="AA483" s="200"/>
      <c r="AB483" s="200"/>
      <c r="AC483" s="210"/>
      <c r="AD483" s="210"/>
      <c r="AE483" s="200"/>
      <c r="AF483" s="200"/>
      <c r="AG483" s="209"/>
      <c r="AH483" s="201"/>
      <c r="AI483" s="200"/>
      <c r="AJ483" s="200"/>
      <c r="AK483" s="209"/>
      <c r="AL483" s="200"/>
      <c r="AM483" s="201"/>
      <c r="AN483" s="201"/>
    </row>
    <row r="484" spans="1:40" x14ac:dyDescent="0.25">
      <c r="A484" s="202"/>
      <c r="C484" s="154"/>
      <c r="F484" s="252"/>
      <c r="H484" s="252"/>
      <c r="I484" s="252"/>
      <c r="J484" s="329"/>
      <c r="K484" s="329"/>
      <c r="L484" s="200"/>
      <c r="M484" s="200"/>
      <c r="N484" s="210"/>
      <c r="O484" s="210"/>
      <c r="P484" s="200"/>
      <c r="Q484" s="200"/>
      <c r="R484" s="200"/>
      <c r="T484" s="154"/>
      <c r="V484" s="200"/>
      <c r="W484" s="200"/>
      <c r="X484" s="200"/>
      <c r="Y484" s="200"/>
      <c r="Z484" s="329"/>
      <c r="AA484" s="200"/>
      <c r="AB484" s="200"/>
      <c r="AC484" s="210"/>
      <c r="AD484" s="210"/>
      <c r="AE484" s="200"/>
      <c r="AF484" s="200"/>
      <c r="AG484" s="209"/>
      <c r="AH484" s="201"/>
      <c r="AI484" s="200"/>
      <c r="AJ484" s="200"/>
      <c r="AK484" s="209"/>
      <c r="AL484" s="200"/>
      <c r="AM484" s="201"/>
      <c r="AN484" s="201"/>
    </row>
    <row r="485" spans="1:40" x14ac:dyDescent="0.25">
      <c r="F485" s="211"/>
      <c r="H485" s="211"/>
      <c r="I485" s="211"/>
      <c r="J485" s="329"/>
      <c r="K485" s="329"/>
      <c r="L485" s="211"/>
      <c r="M485" s="211"/>
      <c r="N485" s="211"/>
      <c r="O485" s="211"/>
      <c r="P485" s="211"/>
      <c r="Q485" s="211"/>
      <c r="R485" s="211"/>
      <c r="V485" s="211"/>
      <c r="Y485" s="211"/>
      <c r="Z485" s="305"/>
      <c r="AA485" s="211"/>
      <c r="AB485" s="211"/>
      <c r="AC485" s="211"/>
      <c r="AD485" s="211"/>
      <c r="AE485" s="211"/>
      <c r="AF485" s="211"/>
      <c r="AI485" s="211"/>
      <c r="AJ485" s="211"/>
      <c r="AK485" s="212"/>
      <c r="AL485" s="211"/>
    </row>
    <row r="486" spans="1:40" x14ac:dyDescent="0.25">
      <c r="A486" s="202"/>
      <c r="C486" s="154"/>
      <c r="F486" s="200"/>
      <c r="H486" s="200"/>
      <c r="I486" s="200"/>
      <c r="L486" s="200"/>
      <c r="M486" s="200"/>
      <c r="N486" s="210"/>
      <c r="O486" s="210"/>
      <c r="P486" s="252"/>
      <c r="Q486" s="252"/>
      <c r="R486" s="200"/>
      <c r="T486" s="154"/>
      <c r="V486" s="200"/>
      <c r="W486" s="200"/>
      <c r="X486" s="200"/>
      <c r="Y486" s="200"/>
      <c r="Z486" s="328"/>
      <c r="AA486" s="200"/>
      <c r="AB486" s="200"/>
      <c r="AC486" s="210"/>
      <c r="AD486" s="210"/>
      <c r="AE486" s="200"/>
      <c r="AF486" s="200"/>
      <c r="AG486" s="209"/>
      <c r="AH486" s="201"/>
      <c r="AI486" s="252"/>
      <c r="AJ486" s="252"/>
      <c r="AK486" s="209"/>
      <c r="AL486" s="200"/>
      <c r="AM486" s="201"/>
      <c r="AN486" s="201"/>
    </row>
    <row r="487" spans="1:40" x14ac:dyDescent="0.25">
      <c r="H487" s="211"/>
      <c r="I487" s="211"/>
      <c r="J487" s="305"/>
      <c r="K487" s="305"/>
      <c r="L487" s="211"/>
      <c r="M487" s="211"/>
      <c r="N487" s="211"/>
      <c r="O487" s="211"/>
      <c r="P487" s="211"/>
      <c r="Q487" s="211"/>
      <c r="R487" s="211"/>
      <c r="V487" s="211"/>
      <c r="Y487" s="211"/>
      <c r="Z487" s="305"/>
      <c r="AA487" s="211"/>
      <c r="AB487" s="211"/>
      <c r="AC487" s="211"/>
      <c r="AD487" s="211"/>
      <c r="AE487" s="211"/>
      <c r="AF487" s="211"/>
      <c r="AI487" s="211"/>
      <c r="AJ487" s="211"/>
      <c r="AK487" s="212"/>
      <c r="AL487" s="211"/>
    </row>
    <row r="488" spans="1:40" x14ac:dyDescent="0.25">
      <c r="F488" s="211"/>
    </row>
    <row r="489" spans="1:40" x14ac:dyDescent="0.25">
      <c r="C489" s="202"/>
      <c r="T489" s="202"/>
    </row>
    <row r="490" spans="1:40" x14ac:dyDescent="0.25">
      <c r="A490" s="154"/>
    </row>
    <row r="491" spans="1:40" x14ac:dyDescent="0.25">
      <c r="J491" s="202"/>
      <c r="K491" s="202"/>
      <c r="Z491" s="202"/>
    </row>
    <row r="492" spans="1:40" x14ac:dyDescent="0.25">
      <c r="H492" s="154"/>
      <c r="I492" s="154"/>
      <c r="Y492" s="154"/>
    </row>
    <row r="493" spans="1:40" x14ac:dyDescent="0.25">
      <c r="J493" s="202"/>
      <c r="K493" s="202"/>
      <c r="Z493" s="202"/>
    </row>
    <row r="494" spans="1:40" x14ac:dyDescent="0.25">
      <c r="L494" s="154"/>
      <c r="M494" s="154"/>
      <c r="AA494" s="154"/>
      <c r="AB494" s="154"/>
    </row>
    <row r="495" spans="1:40" x14ac:dyDescent="0.25">
      <c r="A495" s="202"/>
      <c r="R495" s="154"/>
      <c r="AK495" s="297"/>
      <c r="AL495" s="154"/>
    </row>
    <row r="496" spans="1:40" x14ac:dyDescent="0.25">
      <c r="A496" s="202"/>
      <c r="R496" s="154"/>
      <c r="AK496" s="297"/>
      <c r="AL496" s="154"/>
    </row>
    <row r="497" spans="1:40" x14ac:dyDescent="0.25">
      <c r="A497" s="154"/>
      <c r="R497" s="154"/>
      <c r="AK497" s="297"/>
      <c r="AL497" s="154"/>
    </row>
    <row r="498" spans="1:40" x14ac:dyDescent="0.25">
      <c r="L498" s="154"/>
      <c r="M498" s="154"/>
      <c r="R498" s="202"/>
      <c r="AA498" s="154"/>
      <c r="AB498" s="154"/>
      <c r="AK498" s="209"/>
      <c r="AL498" s="202"/>
    </row>
    <row r="499" spans="1:40" x14ac:dyDescent="0.25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208"/>
      <c r="AH499" s="102"/>
      <c r="AI499" s="102"/>
      <c r="AJ499" s="102"/>
      <c r="AK499" s="208"/>
      <c r="AL499" s="102"/>
      <c r="AM499" s="102"/>
      <c r="AN499" s="102"/>
    </row>
    <row r="500" spans="1:40" x14ac:dyDescent="0.25">
      <c r="L500" s="103"/>
      <c r="M500" s="103"/>
      <c r="N500" s="103"/>
      <c r="O500" s="103"/>
      <c r="R500" s="103"/>
      <c r="AA500" s="103"/>
      <c r="AB500" s="103"/>
      <c r="AC500" s="103"/>
      <c r="AD500" s="103"/>
      <c r="AE500" s="103"/>
      <c r="AF500" s="103"/>
      <c r="AG500" s="185"/>
      <c r="AH500" s="103"/>
      <c r="AK500" s="185"/>
      <c r="AL500" s="103"/>
      <c r="AM500" s="103"/>
      <c r="AN500" s="103"/>
    </row>
    <row r="501" spans="1:40" x14ac:dyDescent="0.25">
      <c r="L501" s="103"/>
      <c r="M501" s="103"/>
      <c r="N501" s="103"/>
      <c r="O501" s="103"/>
      <c r="R501" s="103"/>
      <c r="Z501" s="103"/>
      <c r="AA501" s="103"/>
      <c r="AB501" s="103"/>
      <c r="AC501" s="103"/>
      <c r="AD501" s="103"/>
      <c r="AE501" s="103"/>
      <c r="AF501" s="103"/>
      <c r="AG501" s="185"/>
      <c r="AH501" s="103"/>
      <c r="AK501" s="185"/>
      <c r="AL501" s="103"/>
      <c r="AM501" s="103"/>
      <c r="AN501" s="103"/>
    </row>
    <row r="502" spans="1:40" x14ac:dyDescent="0.25">
      <c r="A502" s="103"/>
      <c r="C502" s="103"/>
      <c r="D502" s="103"/>
      <c r="E502" s="103"/>
      <c r="F502" s="103"/>
      <c r="J502" s="103"/>
      <c r="K502" s="103"/>
      <c r="L502" s="103"/>
      <c r="M502" s="103"/>
      <c r="N502" s="103"/>
      <c r="O502" s="103"/>
      <c r="P502" s="103"/>
      <c r="Q502" s="103"/>
      <c r="R502" s="103"/>
      <c r="T502" s="103"/>
      <c r="U502" s="103"/>
      <c r="V502" s="103"/>
      <c r="Z502" s="103"/>
      <c r="AA502" s="103"/>
      <c r="AB502" s="103"/>
      <c r="AC502" s="103"/>
      <c r="AD502" s="103"/>
      <c r="AE502" s="103"/>
      <c r="AF502" s="103"/>
      <c r="AG502" s="185"/>
      <c r="AH502" s="103"/>
      <c r="AI502" s="103"/>
      <c r="AJ502" s="103"/>
      <c r="AK502" s="185"/>
      <c r="AL502" s="103"/>
      <c r="AM502" s="103"/>
      <c r="AN502" s="103"/>
    </row>
    <row r="503" spans="1:40" x14ac:dyDescent="0.25">
      <c r="A503" s="103"/>
      <c r="C503" s="103"/>
      <c r="D503" s="103"/>
      <c r="E503" s="103"/>
      <c r="F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T503" s="103"/>
      <c r="U503" s="103"/>
      <c r="V503" s="103"/>
      <c r="Y503" s="103"/>
      <c r="Z503" s="103"/>
      <c r="AA503" s="103"/>
      <c r="AB503" s="103"/>
      <c r="AC503" s="103"/>
      <c r="AD503" s="103"/>
      <c r="AE503" s="103"/>
      <c r="AF503" s="103"/>
      <c r="AG503" s="185"/>
      <c r="AH503" s="103"/>
      <c r="AI503" s="103"/>
      <c r="AJ503" s="103"/>
      <c r="AK503" s="185"/>
      <c r="AL503" s="103"/>
      <c r="AM503" s="103"/>
      <c r="AN503" s="103"/>
    </row>
    <row r="504" spans="1:40" x14ac:dyDescent="0.25">
      <c r="C504" s="103"/>
      <c r="D504" s="103"/>
      <c r="E504" s="103"/>
      <c r="F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T504" s="103"/>
      <c r="U504" s="103"/>
      <c r="V504" s="103"/>
      <c r="Y504" s="103"/>
      <c r="Z504" s="103"/>
      <c r="AA504" s="103"/>
      <c r="AB504" s="103"/>
      <c r="AC504" s="103"/>
      <c r="AD504" s="103"/>
      <c r="AE504" s="103"/>
      <c r="AF504" s="103"/>
      <c r="AG504" s="185"/>
      <c r="AH504" s="103"/>
      <c r="AI504" s="103"/>
      <c r="AJ504" s="103"/>
      <c r="AK504" s="185"/>
      <c r="AL504" s="103"/>
      <c r="AM504" s="103"/>
      <c r="AN504" s="103"/>
    </row>
    <row r="505" spans="1:40" x14ac:dyDescent="0.25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208"/>
      <c r="AH505" s="102"/>
      <c r="AI505" s="102"/>
      <c r="AJ505" s="102"/>
      <c r="AK505" s="208"/>
      <c r="AL505" s="102"/>
      <c r="AM505" s="102"/>
      <c r="AN505" s="102"/>
    </row>
    <row r="506" spans="1:40" x14ac:dyDescent="0.25"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Y506" s="103"/>
      <c r="Z506" s="103"/>
      <c r="AA506" s="103"/>
      <c r="AB506" s="103"/>
      <c r="AC506" s="103"/>
      <c r="AD506" s="103"/>
      <c r="AE506" s="103"/>
      <c r="AF506" s="103"/>
      <c r="AG506" s="185"/>
      <c r="AH506" s="103"/>
      <c r="AI506" s="103"/>
      <c r="AJ506" s="103"/>
      <c r="AK506" s="185"/>
      <c r="AL506" s="103"/>
      <c r="AM506" s="103"/>
      <c r="AN506" s="103"/>
    </row>
    <row r="507" spans="1:40" x14ac:dyDescent="0.25">
      <c r="A507" s="202"/>
      <c r="C507" s="154"/>
      <c r="D507" s="154"/>
      <c r="E507" s="154"/>
      <c r="T507" s="154"/>
      <c r="U507" s="154"/>
    </row>
    <row r="509" spans="1:40" x14ac:dyDescent="0.25">
      <c r="A509" s="202"/>
      <c r="C509" s="154"/>
      <c r="T509" s="154"/>
    </row>
    <row r="510" spans="1:40" x14ac:dyDescent="0.25">
      <c r="A510" s="202"/>
      <c r="C510" s="154"/>
      <c r="T510" s="154"/>
    </row>
    <row r="511" spans="1:40" x14ac:dyDescent="0.25">
      <c r="A511" s="202"/>
      <c r="C511" s="154"/>
      <c r="F511" s="252"/>
      <c r="H511" s="252"/>
      <c r="I511" s="252"/>
      <c r="J511" s="329"/>
      <c r="K511" s="329"/>
      <c r="L511" s="200"/>
      <c r="M511" s="200"/>
      <c r="N511" s="210"/>
      <c r="O511" s="210"/>
      <c r="P511" s="200"/>
      <c r="Q511" s="200"/>
      <c r="R511" s="200"/>
      <c r="T511" s="154"/>
      <c r="V511" s="200"/>
      <c r="W511" s="200"/>
      <c r="X511" s="200"/>
      <c r="Y511" s="200"/>
      <c r="Z511" s="329"/>
      <c r="AA511" s="200"/>
      <c r="AB511" s="200"/>
      <c r="AC511" s="210"/>
      <c r="AD511" s="210"/>
      <c r="AE511" s="200"/>
      <c r="AF511" s="200"/>
      <c r="AG511" s="209"/>
      <c r="AH511" s="201"/>
      <c r="AI511" s="200"/>
      <c r="AJ511" s="200"/>
      <c r="AK511" s="209"/>
      <c r="AL511" s="200"/>
      <c r="AM511" s="201"/>
      <c r="AN511" s="201"/>
    </row>
    <row r="512" spans="1:40" x14ac:dyDescent="0.25">
      <c r="A512" s="202"/>
      <c r="C512" s="154"/>
      <c r="F512" s="200"/>
      <c r="H512" s="200"/>
      <c r="I512" s="200"/>
      <c r="J512" s="334"/>
      <c r="K512" s="334"/>
      <c r="L512" s="200"/>
      <c r="M512" s="200"/>
      <c r="N512" s="210"/>
      <c r="O512" s="210"/>
      <c r="P512" s="200"/>
      <c r="Q512" s="200"/>
      <c r="R512" s="200"/>
      <c r="T512" s="154"/>
      <c r="V512" s="200"/>
      <c r="W512" s="200"/>
      <c r="X512" s="200"/>
      <c r="Y512" s="200"/>
      <c r="Z512" s="334"/>
      <c r="AA512" s="200"/>
      <c r="AB512" s="200"/>
      <c r="AC512" s="210"/>
      <c r="AD512" s="210"/>
      <c r="AE512" s="200"/>
      <c r="AF512" s="200"/>
      <c r="AG512" s="209"/>
      <c r="AH512" s="201"/>
      <c r="AI512" s="200"/>
      <c r="AJ512" s="200"/>
      <c r="AK512" s="209"/>
      <c r="AL512" s="200"/>
      <c r="AM512" s="201"/>
      <c r="AN512" s="201"/>
    </row>
    <row r="513" spans="1:40" x14ac:dyDescent="0.25">
      <c r="A513" s="202"/>
      <c r="C513" s="154"/>
      <c r="F513" s="200"/>
      <c r="H513" s="200"/>
      <c r="I513" s="200"/>
      <c r="J513" s="334"/>
      <c r="K513" s="334"/>
      <c r="L513" s="200"/>
      <c r="M513" s="200"/>
      <c r="N513" s="210"/>
      <c r="O513" s="210"/>
      <c r="P513" s="200"/>
      <c r="Q513" s="200"/>
      <c r="R513" s="200"/>
      <c r="T513" s="154"/>
      <c r="V513" s="200"/>
      <c r="W513" s="200"/>
      <c r="X513" s="200"/>
      <c r="Y513" s="200"/>
      <c r="Z513" s="334"/>
      <c r="AA513" s="200"/>
      <c r="AB513" s="200"/>
      <c r="AC513" s="210"/>
      <c r="AD513" s="210"/>
      <c r="AE513" s="200"/>
      <c r="AF513" s="200"/>
      <c r="AG513" s="209"/>
      <c r="AH513" s="201"/>
      <c r="AI513" s="200"/>
      <c r="AJ513" s="200"/>
      <c r="AK513" s="209"/>
      <c r="AL513" s="200"/>
      <c r="AM513" s="201"/>
      <c r="AN513" s="201"/>
    </row>
    <row r="514" spans="1:40" x14ac:dyDescent="0.25">
      <c r="A514" s="202"/>
      <c r="C514" s="154"/>
      <c r="F514" s="200"/>
      <c r="H514" s="200"/>
      <c r="I514" s="200"/>
      <c r="J514" s="334"/>
      <c r="K514" s="334"/>
      <c r="T514" s="154"/>
      <c r="V514" s="200"/>
      <c r="Z514" s="334"/>
    </row>
    <row r="515" spans="1:40" x14ac:dyDescent="0.25">
      <c r="A515" s="202"/>
      <c r="C515" s="154"/>
      <c r="F515" s="252"/>
      <c r="H515" s="252"/>
      <c r="I515" s="252"/>
      <c r="J515" s="329"/>
      <c r="K515" s="329"/>
      <c r="L515" s="200"/>
      <c r="M515" s="200"/>
      <c r="N515" s="210"/>
      <c r="O515" s="210"/>
      <c r="P515" s="200"/>
      <c r="Q515" s="200"/>
      <c r="R515" s="200"/>
      <c r="T515" s="154"/>
      <c r="V515" s="200"/>
      <c r="W515" s="200"/>
      <c r="X515" s="200"/>
      <c r="Y515" s="200"/>
      <c r="Z515" s="329"/>
      <c r="AA515" s="200"/>
      <c r="AB515" s="200"/>
      <c r="AC515" s="210"/>
      <c r="AD515" s="210"/>
      <c r="AE515" s="200"/>
      <c r="AF515" s="200"/>
      <c r="AG515" s="209"/>
      <c r="AH515" s="201"/>
      <c r="AI515" s="200"/>
      <c r="AJ515" s="200"/>
      <c r="AK515" s="209"/>
      <c r="AL515" s="200"/>
      <c r="AM515" s="201"/>
      <c r="AN515" s="201"/>
    </row>
    <row r="516" spans="1:40" x14ac:dyDescent="0.25">
      <c r="A516" s="202"/>
      <c r="C516" s="154"/>
      <c r="F516" s="200"/>
      <c r="H516" s="200"/>
      <c r="I516" s="200"/>
      <c r="J516" s="334"/>
      <c r="K516" s="334"/>
      <c r="T516" s="154"/>
      <c r="V516" s="200"/>
      <c r="W516" s="200"/>
      <c r="X516" s="200"/>
      <c r="Y516" s="200"/>
      <c r="Z516" s="334"/>
      <c r="AC516" s="210"/>
      <c r="AD516" s="210"/>
      <c r="AE516" s="200"/>
      <c r="AF516" s="200"/>
      <c r="AG516" s="209"/>
      <c r="AH516" s="201"/>
      <c r="AI516" s="200"/>
      <c r="AJ516" s="200"/>
      <c r="AK516" s="209"/>
      <c r="AL516" s="200"/>
      <c r="AM516" s="201"/>
      <c r="AN516" s="201"/>
    </row>
    <row r="517" spans="1:40" x14ac:dyDescent="0.25">
      <c r="A517" s="202"/>
      <c r="C517" s="154"/>
      <c r="F517" s="252"/>
      <c r="H517" s="252"/>
      <c r="I517" s="252"/>
      <c r="J517" s="329"/>
      <c r="K517" s="329"/>
      <c r="L517" s="200"/>
      <c r="M517" s="200"/>
      <c r="N517" s="210"/>
      <c r="O517" s="210"/>
      <c r="P517" s="200"/>
      <c r="Q517" s="200"/>
      <c r="R517" s="200"/>
      <c r="T517" s="154"/>
      <c r="V517" s="200"/>
      <c r="W517" s="200"/>
      <c r="X517" s="200"/>
      <c r="Y517" s="200"/>
      <c r="Z517" s="329"/>
      <c r="AA517" s="200"/>
      <c r="AB517" s="200"/>
      <c r="AC517" s="210"/>
      <c r="AD517" s="210"/>
      <c r="AE517" s="200"/>
      <c r="AF517" s="200"/>
      <c r="AG517" s="209"/>
      <c r="AH517" s="201"/>
      <c r="AI517" s="200"/>
      <c r="AJ517" s="200"/>
      <c r="AK517" s="209"/>
      <c r="AL517" s="200"/>
      <c r="AM517" s="201"/>
      <c r="AN517" s="201"/>
    </row>
    <row r="518" spans="1:40" x14ac:dyDescent="0.25">
      <c r="A518" s="202"/>
      <c r="C518" s="154"/>
      <c r="F518" s="200"/>
      <c r="H518" s="200"/>
      <c r="I518" s="200"/>
      <c r="J518" s="334"/>
      <c r="K518" s="334"/>
      <c r="L518" s="200"/>
      <c r="M518" s="200"/>
      <c r="N518" s="210"/>
      <c r="O518" s="210"/>
      <c r="P518" s="200"/>
      <c r="Q518" s="200"/>
      <c r="R518" s="200"/>
      <c r="T518" s="154"/>
      <c r="V518" s="200"/>
      <c r="W518" s="200"/>
      <c r="X518" s="200"/>
      <c r="Y518" s="200"/>
      <c r="Z518" s="334"/>
      <c r="AA518" s="200"/>
      <c r="AB518" s="200"/>
      <c r="AC518" s="210"/>
      <c r="AD518" s="210"/>
      <c r="AE518" s="200"/>
      <c r="AF518" s="200"/>
      <c r="AG518" s="209"/>
      <c r="AH518" s="201"/>
      <c r="AI518" s="200"/>
      <c r="AJ518" s="200"/>
      <c r="AK518" s="209"/>
      <c r="AL518" s="200"/>
      <c r="AM518" s="201"/>
      <c r="AN518" s="201"/>
    </row>
    <row r="519" spans="1:40" x14ac:dyDescent="0.25">
      <c r="F519" s="200"/>
      <c r="H519" s="200"/>
      <c r="I519" s="200"/>
      <c r="J519" s="334"/>
      <c r="K519" s="334"/>
      <c r="Z519" s="334"/>
    </row>
    <row r="520" spans="1:40" x14ac:dyDescent="0.25">
      <c r="A520" s="202"/>
      <c r="C520" s="154"/>
      <c r="F520" s="200"/>
      <c r="H520" s="252"/>
      <c r="I520" s="252"/>
      <c r="J520" s="329"/>
      <c r="K520" s="329"/>
      <c r="L520" s="200"/>
      <c r="M520" s="200"/>
      <c r="N520" s="210"/>
      <c r="O520" s="210"/>
      <c r="P520" s="200"/>
      <c r="Q520" s="200"/>
      <c r="R520" s="200"/>
      <c r="T520" s="154"/>
      <c r="V520" s="200"/>
      <c r="W520" s="200"/>
      <c r="X520" s="200"/>
      <c r="Y520" s="200"/>
      <c r="Z520" s="329"/>
      <c r="AA520" s="200"/>
      <c r="AB520" s="200"/>
      <c r="AC520" s="210"/>
      <c r="AD520" s="210"/>
      <c r="AE520" s="200"/>
      <c r="AF520" s="200"/>
      <c r="AG520" s="209"/>
      <c r="AH520" s="201"/>
      <c r="AI520" s="200"/>
      <c r="AJ520" s="200"/>
      <c r="AK520" s="209"/>
      <c r="AL520" s="200"/>
      <c r="AM520" s="201"/>
      <c r="AN520" s="201"/>
    </row>
    <row r="521" spans="1:40" x14ac:dyDescent="0.25">
      <c r="F521" s="211"/>
      <c r="H521" s="211"/>
      <c r="I521" s="211"/>
      <c r="J521" s="329"/>
      <c r="K521" s="329"/>
      <c r="L521" s="211"/>
      <c r="M521" s="211"/>
      <c r="N521" s="211"/>
      <c r="O521" s="211"/>
      <c r="P521" s="211"/>
      <c r="Q521" s="211"/>
      <c r="R521" s="211"/>
      <c r="V521" s="211"/>
      <c r="Y521" s="211"/>
      <c r="Z521" s="329"/>
      <c r="AA521" s="211"/>
      <c r="AB521" s="211"/>
      <c r="AC521" s="211"/>
      <c r="AD521" s="211"/>
      <c r="AE521" s="211"/>
      <c r="AF521" s="211"/>
      <c r="AI521" s="211"/>
      <c r="AJ521" s="211"/>
      <c r="AK521" s="212"/>
      <c r="AL521" s="211"/>
    </row>
    <row r="522" spans="1:40" x14ac:dyDescent="0.25">
      <c r="A522" s="202"/>
      <c r="C522" s="154"/>
      <c r="F522" s="200"/>
      <c r="H522" s="200"/>
      <c r="I522" s="200"/>
      <c r="J522" s="334"/>
      <c r="K522" s="334"/>
      <c r="L522" s="200"/>
      <c r="M522" s="200"/>
      <c r="N522" s="202"/>
      <c r="O522" s="202"/>
      <c r="P522" s="200"/>
      <c r="Q522" s="200"/>
      <c r="R522" s="200"/>
      <c r="T522" s="154"/>
      <c r="V522" s="200"/>
      <c r="Y522" s="200"/>
      <c r="Z522" s="334"/>
      <c r="AA522" s="200"/>
      <c r="AB522" s="200"/>
      <c r="AC522" s="201"/>
      <c r="AD522" s="201"/>
      <c r="AE522" s="200"/>
      <c r="AF522" s="200"/>
      <c r="AG522" s="209"/>
      <c r="AH522" s="201"/>
      <c r="AI522" s="200"/>
      <c r="AJ522" s="200"/>
      <c r="AK522" s="209"/>
      <c r="AL522" s="200"/>
      <c r="AM522" s="201"/>
      <c r="AN522" s="201"/>
    </row>
    <row r="523" spans="1:40" x14ac:dyDescent="0.25">
      <c r="F523" s="211"/>
      <c r="H523" s="211"/>
      <c r="I523" s="211"/>
      <c r="J523" s="329"/>
      <c r="K523" s="329"/>
      <c r="L523" s="211"/>
      <c r="M523" s="211"/>
      <c r="N523" s="211"/>
      <c r="O523" s="211"/>
      <c r="P523" s="211"/>
      <c r="Q523" s="211"/>
      <c r="R523" s="211"/>
      <c r="V523" s="211"/>
      <c r="Y523" s="211"/>
      <c r="Z523" s="329"/>
      <c r="AA523" s="211"/>
      <c r="AB523" s="211"/>
      <c r="AC523" s="211"/>
      <c r="AD523" s="211"/>
      <c r="AE523" s="211"/>
      <c r="AF523" s="211"/>
      <c r="AI523" s="211"/>
      <c r="AJ523" s="211"/>
      <c r="AK523" s="212"/>
      <c r="AL523" s="211"/>
    </row>
    <row r="524" spans="1:40" x14ac:dyDescent="0.25">
      <c r="J524" s="334"/>
      <c r="K524" s="334"/>
      <c r="Z524" s="334"/>
    </row>
    <row r="525" spans="1:40" x14ac:dyDescent="0.25">
      <c r="A525" s="202"/>
      <c r="C525" s="154"/>
      <c r="J525" s="334"/>
      <c r="K525" s="334"/>
      <c r="T525" s="154"/>
      <c r="Z525" s="334"/>
    </row>
    <row r="526" spans="1:40" x14ac:dyDescent="0.25">
      <c r="A526" s="202"/>
      <c r="C526" s="154"/>
      <c r="J526" s="334"/>
      <c r="K526" s="334"/>
      <c r="T526" s="154"/>
      <c r="Z526" s="334"/>
    </row>
    <row r="527" spans="1:40" x14ac:dyDescent="0.25">
      <c r="A527" s="202"/>
      <c r="C527" s="154"/>
      <c r="F527" s="252"/>
      <c r="H527" s="252"/>
      <c r="I527" s="252"/>
      <c r="J527" s="329"/>
      <c r="K527" s="329"/>
      <c r="L527" s="200"/>
      <c r="M527" s="200"/>
      <c r="N527" s="210"/>
      <c r="O527" s="210"/>
      <c r="P527" s="200"/>
      <c r="Q527" s="200"/>
      <c r="R527" s="200"/>
      <c r="T527" s="154"/>
      <c r="V527" s="200"/>
      <c r="W527" s="200"/>
      <c r="X527" s="200"/>
      <c r="Y527" s="200"/>
      <c r="Z527" s="329"/>
      <c r="AA527" s="200"/>
      <c r="AB527" s="200"/>
      <c r="AC527" s="210"/>
      <c r="AD527" s="210"/>
      <c r="AE527" s="200"/>
      <c r="AF527" s="200"/>
      <c r="AG527" s="209"/>
      <c r="AH527" s="201"/>
      <c r="AI527" s="200"/>
      <c r="AJ527" s="200"/>
      <c r="AK527" s="209"/>
      <c r="AL527" s="200"/>
      <c r="AM527" s="201"/>
      <c r="AN527" s="201"/>
    </row>
    <row r="528" spans="1:40" x14ac:dyDescent="0.25">
      <c r="A528" s="202"/>
      <c r="C528" s="154"/>
      <c r="J528" s="334"/>
      <c r="K528" s="334"/>
      <c r="T528" s="154"/>
      <c r="Z528" s="334"/>
    </row>
    <row r="529" spans="1:40" x14ac:dyDescent="0.25">
      <c r="A529" s="202"/>
      <c r="C529" s="154"/>
      <c r="F529" s="252"/>
      <c r="H529" s="252"/>
      <c r="I529" s="252"/>
      <c r="J529" s="329"/>
      <c r="K529" s="329"/>
      <c r="L529" s="200"/>
      <c r="M529" s="200"/>
      <c r="N529" s="210"/>
      <c r="O529" s="210"/>
      <c r="P529" s="200"/>
      <c r="Q529" s="200"/>
      <c r="R529" s="200"/>
      <c r="T529" s="154"/>
      <c r="V529" s="200"/>
      <c r="W529" s="200"/>
      <c r="X529" s="200"/>
      <c r="Y529" s="200"/>
      <c r="Z529" s="329"/>
      <c r="AA529" s="200"/>
      <c r="AB529" s="200"/>
      <c r="AC529" s="210"/>
      <c r="AD529" s="210"/>
      <c r="AE529" s="200"/>
      <c r="AF529" s="200"/>
      <c r="AG529" s="209"/>
      <c r="AH529" s="201"/>
      <c r="AI529" s="200"/>
      <c r="AJ529" s="200"/>
      <c r="AK529" s="209"/>
      <c r="AL529" s="200"/>
      <c r="AM529" s="201"/>
      <c r="AN529" s="201"/>
    </row>
    <row r="530" spans="1:40" x14ac:dyDescent="0.25">
      <c r="F530" s="211"/>
      <c r="H530" s="211"/>
      <c r="I530" s="211"/>
      <c r="J530" s="329"/>
      <c r="K530" s="329"/>
      <c r="L530" s="211"/>
      <c r="M530" s="211"/>
      <c r="N530" s="211"/>
      <c r="O530" s="211"/>
      <c r="P530" s="211"/>
      <c r="Q530" s="211"/>
      <c r="R530" s="211"/>
      <c r="V530" s="211"/>
      <c r="Y530" s="211"/>
      <c r="Z530" s="329"/>
      <c r="AA530" s="211"/>
      <c r="AB530" s="211"/>
      <c r="AC530" s="211"/>
      <c r="AD530" s="211"/>
      <c r="AE530" s="211"/>
      <c r="AF530" s="211"/>
      <c r="AI530" s="211"/>
      <c r="AJ530" s="211"/>
      <c r="AK530" s="212"/>
      <c r="AL530" s="211"/>
    </row>
    <row r="531" spans="1:40" x14ac:dyDescent="0.25">
      <c r="A531" s="202"/>
      <c r="C531" s="154"/>
      <c r="F531" s="200"/>
      <c r="H531" s="200"/>
      <c r="I531" s="200"/>
      <c r="J531" s="334"/>
      <c r="K531" s="334"/>
      <c r="L531" s="200"/>
      <c r="M531" s="200"/>
      <c r="N531" s="201"/>
      <c r="O531" s="201"/>
      <c r="P531" s="200"/>
      <c r="Q531" s="200"/>
      <c r="R531" s="200"/>
      <c r="T531" s="154"/>
      <c r="V531" s="200"/>
      <c r="Y531" s="200"/>
      <c r="Z531" s="334"/>
      <c r="AA531" s="200"/>
      <c r="AB531" s="200"/>
      <c r="AC531" s="201"/>
      <c r="AD531" s="201"/>
      <c r="AE531" s="200"/>
      <c r="AF531" s="200"/>
      <c r="AG531" s="209"/>
      <c r="AH531" s="201"/>
      <c r="AI531" s="200"/>
      <c r="AJ531" s="200"/>
      <c r="AK531" s="209"/>
      <c r="AL531" s="200"/>
      <c r="AM531" s="201"/>
      <c r="AN531" s="201"/>
    </row>
    <row r="532" spans="1:40" x14ac:dyDescent="0.25">
      <c r="F532" s="211"/>
      <c r="H532" s="211"/>
      <c r="I532" s="211"/>
      <c r="J532" s="329"/>
      <c r="K532" s="329"/>
      <c r="L532" s="211"/>
      <c r="M532" s="211"/>
      <c r="N532" s="211"/>
      <c r="O532" s="211"/>
      <c r="P532" s="211"/>
      <c r="Q532" s="211"/>
      <c r="R532" s="211"/>
      <c r="V532" s="211"/>
      <c r="Y532" s="211"/>
      <c r="Z532" s="305"/>
      <c r="AA532" s="211"/>
      <c r="AB532" s="211"/>
      <c r="AC532" s="211"/>
      <c r="AD532" s="211"/>
      <c r="AE532" s="211"/>
      <c r="AF532" s="211"/>
      <c r="AI532" s="211"/>
      <c r="AJ532" s="211"/>
      <c r="AK532" s="212"/>
      <c r="AL532" s="211"/>
    </row>
    <row r="533" spans="1:40" x14ac:dyDescent="0.25">
      <c r="J533" s="334"/>
      <c r="K533" s="334"/>
    </row>
    <row r="534" spans="1:40" x14ac:dyDescent="0.25">
      <c r="A534" s="202"/>
      <c r="C534" s="154"/>
      <c r="F534" s="200"/>
      <c r="H534" s="200"/>
      <c r="I534" s="200"/>
      <c r="J534" s="334"/>
      <c r="K534" s="334"/>
      <c r="L534" s="200"/>
      <c r="M534" s="200"/>
      <c r="N534" s="210"/>
      <c r="O534" s="210"/>
      <c r="P534" s="252"/>
      <c r="Q534" s="252"/>
      <c r="R534" s="200"/>
      <c r="T534" s="154"/>
      <c r="V534" s="200"/>
      <c r="Y534" s="200"/>
      <c r="AA534" s="200"/>
      <c r="AB534" s="200"/>
      <c r="AC534" s="201"/>
      <c r="AD534" s="201"/>
      <c r="AE534" s="200"/>
      <c r="AF534" s="200"/>
      <c r="AG534" s="209"/>
      <c r="AH534" s="201"/>
      <c r="AI534" s="252"/>
      <c r="AJ534" s="252"/>
      <c r="AK534" s="209"/>
      <c r="AL534" s="200"/>
      <c r="AM534" s="201"/>
      <c r="AN534" s="201"/>
    </row>
    <row r="535" spans="1:40" x14ac:dyDescent="0.25">
      <c r="H535" s="211"/>
      <c r="I535" s="211"/>
      <c r="J535" s="329"/>
      <c r="K535" s="329"/>
      <c r="L535" s="211"/>
      <c r="M535" s="211"/>
      <c r="N535" s="211"/>
      <c r="O535" s="211"/>
      <c r="P535" s="211"/>
      <c r="Q535" s="211"/>
      <c r="R535" s="211"/>
      <c r="V535" s="211"/>
      <c r="Y535" s="211"/>
      <c r="Z535" s="305"/>
      <c r="AA535" s="211"/>
      <c r="AB535" s="211"/>
      <c r="AC535" s="211"/>
      <c r="AD535" s="211"/>
      <c r="AE535" s="211"/>
      <c r="AF535" s="211"/>
      <c r="AI535" s="211"/>
      <c r="AJ535" s="211"/>
      <c r="AK535" s="212"/>
      <c r="AL535" s="211"/>
    </row>
    <row r="536" spans="1:40" x14ac:dyDescent="0.25">
      <c r="F536" s="211"/>
    </row>
    <row r="537" spans="1:40" x14ac:dyDescent="0.25">
      <c r="C537" s="202"/>
      <c r="T537" s="202"/>
    </row>
    <row r="538" spans="1:40" x14ac:dyDescent="0.25">
      <c r="A538" s="154"/>
    </row>
    <row r="539" spans="1:40" x14ac:dyDescent="0.25">
      <c r="J539" s="202"/>
      <c r="K539" s="202"/>
      <c r="Z539" s="202"/>
    </row>
    <row r="540" spans="1:40" x14ac:dyDescent="0.25">
      <c r="H540" s="154"/>
      <c r="I540" s="154"/>
      <c r="Y540" s="154"/>
    </row>
    <row r="541" spans="1:40" x14ac:dyDescent="0.25">
      <c r="J541" s="202"/>
      <c r="K541" s="202"/>
      <c r="Z541" s="202"/>
    </row>
    <row r="542" spans="1:40" x14ac:dyDescent="0.25">
      <c r="L542" s="154"/>
      <c r="M542" s="154"/>
      <c r="AA542" s="154"/>
      <c r="AB542" s="154"/>
    </row>
    <row r="543" spans="1:40" x14ac:dyDescent="0.25">
      <c r="A543" s="202"/>
      <c r="R543" s="154"/>
      <c r="AK543" s="297"/>
      <c r="AL543" s="154"/>
    </row>
    <row r="544" spans="1:40" x14ac:dyDescent="0.25">
      <c r="A544" s="202"/>
      <c r="R544" s="154"/>
      <c r="AK544" s="297"/>
      <c r="AL544" s="154"/>
    </row>
    <row r="545" spans="1:40" x14ac:dyDescent="0.25">
      <c r="A545" s="154"/>
      <c r="R545" s="154"/>
      <c r="AK545" s="297"/>
      <c r="AL545" s="154"/>
    </row>
    <row r="546" spans="1:40" x14ac:dyDescent="0.25">
      <c r="L546" s="154"/>
      <c r="M546" s="154"/>
      <c r="R546" s="202"/>
      <c r="AA546" s="154"/>
      <c r="AB546" s="154"/>
      <c r="AK546" s="209"/>
      <c r="AL546" s="202"/>
    </row>
    <row r="547" spans="1:40" x14ac:dyDescent="0.2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208"/>
      <c r="AH547" s="102"/>
      <c r="AI547" s="102"/>
      <c r="AJ547" s="102"/>
      <c r="AK547" s="208"/>
      <c r="AL547" s="102"/>
      <c r="AM547" s="102"/>
      <c r="AN547" s="102"/>
    </row>
    <row r="548" spans="1:40" x14ac:dyDescent="0.25">
      <c r="L548" s="103"/>
      <c r="M548" s="103"/>
      <c r="N548" s="103"/>
      <c r="O548" s="103"/>
      <c r="R548" s="103"/>
      <c r="AA548" s="103"/>
      <c r="AB548" s="103"/>
      <c r="AC548" s="103"/>
      <c r="AD548" s="103"/>
      <c r="AE548" s="103"/>
      <c r="AF548" s="103"/>
      <c r="AG548" s="185"/>
      <c r="AH548" s="103"/>
      <c r="AK548" s="185"/>
      <c r="AL548" s="103"/>
      <c r="AM548" s="103"/>
      <c r="AN548" s="103"/>
    </row>
    <row r="549" spans="1:40" x14ac:dyDescent="0.25">
      <c r="L549" s="103"/>
      <c r="M549" s="103"/>
      <c r="N549" s="103"/>
      <c r="O549" s="103"/>
      <c r="R549" s="103"/>
      <c r="Z549" s="103"/>
      <c r="AA549" s="103"/>
      <c r="AB549" s="103"/>
      <c r="AC549" s="103"/>
      <c r="AD549" s="103"/>
      <c r="AE549" s="103"/>
      <c r="AF549" s="103"/>
      <c r="AG549" s="185"/>
      <c r="AH549" s="103"/>
      <c r="AK549" s="185"/>
      <c r="AL549" s="103"/>
      <c r="AM549" s="103"/>
      <c r="AN549" s="103"/>
    </row>
    <row r="550" spans="1:40" x14ac:dyDescent="0.25">
      <c r="A550" s="103"/>
      <c r="C550" s="103"/>
      <c r="D550" s="103"/>
      <c r="E550" s="103"/>
      <c r="F550" s="103"/>
      <c r="J550" s="103"/>
      <c r="K550" s="103"/>
      <c r="L550" s="103"/>
      <c r="M550" s="103"/>
      <c r="N550" s="103"/>
      <c r="O550" s="103"/>
      <c r="P550" s="103"/>
      <c r="Q550" s="103"/>
      <c r="R550" s="103"/>
      <c r="T550" s="103"/>
      <c r="U550" s="103"/>
      <c r="V550" s="103"/>
      <c r="Z550" s="103"/>
      <c r="AA550" s="103"/>
      <c r="AB550" s="103"/>
      <c r="AC550" s="103"/>
      <c r="AD550" s="103"/>
      <c r="AE550" s="103"/>
      <c r="AF550" s="103"/>
      <c r="AG550" s="185"/>
      <c r="AH550" s="103"/>
      <c r="AI550" s="103"/>
      <c r="AJ550" s="103"/>
      <c r="AK550" s="185"/>
      <c r="AL550" s="103"/>
      <c r="AM550" s="103"/>
      <c r="AN550" s="103"/>
    </row>
    <row r="551" spans="1:40" x14ac:dyDescent="0.25">
      <c r="A551" s="103"/>
      <c r="C551" s="103"/>
      <c r="D551" s="103"/>
      <c r="E551" s="103"/>
      <c r="F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T551" s="103"/>
      <c r="U551" s="103"/>
      <c r="V551" s="103"/>
      <c r="Y551" s="103"/>
      <c r="Z551" s="103"/>
      <c r="AA551" s="103"/>
      <c r="AB551" s="103"/>
      <c r="AC551" s="103"/>
      <c r="AD551" s="103"/>
      <c r="AE551" s="103"/>
      <c r="AF551" s="103"/>
      <c r="AG551" s="185"/>
      <c r="AH551" s="103"/>
      <c r="AI551" s="103"/>
      <c r="AJ551" s="103"/>
      <c r="AK551" s="185"/>
      <c r="AL551" s="103"/>
      <c r="AM551" s="103"/>
      <c r="AN551" s="103"/>
    </row>
    <row r="552" spans="1:40" x14ac:dyDescent="0.25">
      <c r="C552" s="103"/>
      <c r="D552" s="103"/>
      <c r="E552" s="103"/>
      <c r="F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T552" s="103"/>
      <c r="U552" s="103"/>
      <c r="V552" s="103"/>
      <c r="Y552" s="103"/>
      <c r="Z552" s="103"/>
      <c r="AA552" s="103"/>
      <c r="AB552" s="103"/>
      <c r="AC552" s="103"/>
      <c r="AD552" s="103"/>
      <c r="AE552" s="103"/>
      <c r="AF552" s="103"/>
      <c r="AG552" s="185"/>
      <c r="AH552" s="103"/>
      <c r="AI552" s="103"/>
      <c r="AJ552" s="103"/>
      <c r="AK552" s="185"/>
      <c r="AL552" s="103"/>
      <c r="AM552" s="103"/>
      <c r="AN552" s="103"/>
    </row>
    <row r="553" spans="1:40" x14ac:dyDescent="0.2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208"/>
      <c r="AH553" s="102"/>
      <c r="AI553" s="102"/>
      <c r="AJ553" s="102"/>
      <c r="AK553" s="208"/>
      <c r="AL553" s="102"/>
      <c r="AM553" s="102"/>
      <c r="AN553" s="102"/>
    </row>
    <row r="554" spans="1:40" x14ac:dyDescent="0.25"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Y554" s="103"/>
      <c r="Z554" s="103"/>
      <c r="AA554" s="103"/>
      <c r="AB554" s="103"/>
      <c r="AC554" s="103"/>
      <c r="AD554" s="103"/>
      <c r="AE554" s="103"/>
      <c r="AF554" s="103"/>
      <c r="AG554" s="185"/>
      <c r="AH554" s="103"/>
      <c r="AI554" s="103"/>
      <c r="AJ554" s="103"/>
      <c r="AK554" s="185"/>
      <c r="AL554" s="103"/>
      <c r="AM554" s="103"/>
      <c r="AN554" s="103"/>
    </row>
    <row r="555" spans="1:40" x14ac:dyDescent="0.25">
      <c r="A555" s="202"/>
      <c r="C555" s="154"/>
      <c r="D555" s="154"/>
      <c r="E555" s="154"/>
      <c r="T555" s="154"/>
      <c r="U555" s="154"/>
    </row>
    <row r="557" spans="1:40" x14ac:dyDescent="0.25">
      <c r="A557" s="202"/>
      <c r="C557" s="154"/>
      <c r="D557" s="154"/>
      <c r="E557" s="154"/>
      <c r="T557" s="154"/>
      <c r="U557" s="154"/>
    </row>
    <row r="558" spans="1:40" x14ac:dyDescent="0.25">
      <c r="A558" s="202"/>
      <c r="C558" s="154"/>
      <c r="T558" s="154"/>
    </row>
    <row r="559" spans="1:40" x14ac:dyDescent="0.25">
      <c r="A559" s="202"/>
      <c r="C559" s="154"/>
      <c r="T559" s="154"/>
    </row>
    <row r="560" spans="1:40" x14ac:dyDescent="0.25">
      <c r="A560" s="202"/>
      <c r="C560" s="154"/>
      <c r="H560" s="252"/>
      <c r="I560" s="252"/>
      <c r="J560" s="329"/>
      <c r="K560" s="329"/>
      <c r="L560" s="200"/>
      <c r="M560" s="200"/>
      <c r="N560" s="210"/>
      <c r="O560" s="210"/>
      <c r="P560" s="200"/>
      <c r="Q560" s="200"/>
      <c r="R560" s="200"/>
      <c r="T560" s="154"/>
      <c r="V560" s="200"/>
      <c r="W560" s="200"/>
      <c r="X560" s="200"/>
      <c r="Y560" s="200"/>
      <c r="Z560" s="329"/>
      <c r="AA560" s="200"/>
      <c r="AB560" s="200"/>
      <c r="AC560" s="210"/>
      <c r="AD560" s="210"/>
      <c r="AE560" s="200"/>
      <c r="AF560" s="200"/>
      <c r="AG560" s="209"/>
      <c r="AH560" s="201"/>
      <c r="AI560" s="200"/>
      <c r="AJ560" s="200"/>
      <c r="AK560" s="209"/>
      <c r="AL560" s="200"/>
      <c r="AM560" s="210"/>
      <c r="AN560" s="210"/>
    </row>
    <row r="561" spans="1:40" x14ac:dyDescent="0.25">
      <c r="A561" s="202"/>
      <c r="C561" s="154"/>
      <c r="F561" s="252"/>
      <c r="J561" s="334"/>
      <c r="K561" s="334"/>
      <c r="T561" s="154"/>
      <c r="V561" s="200"/>
      <c r="W561" s="200"/>
      <c r="X561" s="200"/>
      <c r="Y561" s="200"/>
      <c r="Z561" s="329"/>
    </row>
    <row r="562" spans="1:40" x14ac:dyDescent="0.25">
      <c r="A562" s="202"/>
      <c r="C562" s="154"/>
      <c r="H562" s="252"/>
      <c r="I562" s="252"/>
      <c r="J562" s="329"/>
      <c r="K562" s="329"/>
      <c r="L562" s="200"/>
      <c r="M562" s="200"/>
      <c r="N562" s="210"/>
      <c r="O562" s="210"/>
      <c r="P562" s="200"/>
      <c r="Q562" s="200"/>
      <c r="R562" s="200"/>
      <c r="T562" s="154"/>
      <c r="V562" s="200"/>
      <c r="W562" s="200"/>
      <c r="X562" s="200"/>
      <c r="Y562" s="200"/>
      <c r="Z562" s="329"/>
      <c r="AA562" s="200"/>
      <c r="AB562" s="200"/>
      <c r="AC562" s="210"/>
      <c r="AD562" s="210"/>
      <c r="AE562" s="200"/>
      <c r="AF562" s="200"/>
      <c r="AG562" s="209"/>
      <c r="AH562" s="201"/>
      <c r="AI562" s="200"/>
      <c r="AJ562" s="200"/>
      <c r="AK562" s="209"/>
      <c r="AL562" s="200"/>
      <c r="AM562" s="210"/>
      <c r="AN562" s="210"/>
    </row>
    <row r="563" spans="1:40" x14ac:dyDescent="0.25">
      <c r="A563" s="202"/>
      <c r="C563" s="154"/>
      <c r="F563" s="252"/>
      <c r="J563" s="334"/>
      <c r="K563" s="334"/>
      <c r="T563" s="154"/>
      <c r="V563" s="200"/>
      <c r="W563" s="200"/>
      <c r="X563" s="200"/>
      <c r="Y563" s="200"/>
      <c r="Z563" s="329"/>
    </row>
    <row r="564" spans="1:40" x14ac:dyDescent="0.25">
      <c r="A564" s="202"/>
      <c r="C564" s="154"/>
      <c r="H564" s="252"/>
      <c r="I564" s="252"/>
      <c r="J564" s="329"/>
      <c r="K564" s="329"/>
      <c r="L564" s="200"/>
      <c r="M564" s="200"/>
      <c r="N564" s="210"/>
      <c r="O564" s="210"/>
      <c r="P564" s="200"/>
      <c r="Q564" s="200"/>
      <c r="R564" s="200"/>
      <c r="T564" s="154"/>
      <c r="V564" s="200"/>
      <c r="W564" s="200"/>
      <c r="X564" s="200"/>
      <c r="Y564" s="200"/>
      <c r="Z564" s="329"/>
      <c r="AA564" s="200"/>
      <c r="AB564" s="200"/>
      <c r="AC564" s="210"/>
      <c r="AD564" s="210"/>
      <c r="AE564" s="200"/>
      <c r="AF564" s="200"/>
      <c r="AG564" s="209"/>
      <c r="AH564" s="201"/>
      <c r="AI564" s="200"/>
      <c r="AJ564" s="200"/>
      <c r="AK564" s="209"/>
      <c r="AL564" s="200"/>
      <c r="AM564" s="210"/>
      <c r="AN564" s="210"/>
    </row>
    <row r="565" spans="1:40" x14ac:dyDescent="0.25">
      <c r="A565" s="202"/>
      <c r="C565" s="154"/>
      <c r="F565" s="252"/>
      <c r="J565" s="334"/>
      <c r="K565" s="334"/>
      <c r="T565" s="154"/>
      <c r="V565" s="200"/>
      <c r="W565" s="200"/>
      <c r="X565" s="200"/>
      <c r="Y565" s="200"/>
      <c r="Z565" s="329"/>
    </row>
    <row r="566" spans="1:40" x14ac:dyDescent="0.25">
      <c r="A566" s="202"/>
      <c r="C566" s="154"/>
      <c r="H566" s="252"/>
      <c r="I566" s="252"/>
      <c r="J566" s="329"/>
      <c r="K566" s="329"/>
      <c r="L566" s="200"/>
      <c r="M566" s="200"/>
      <c r="N566" s="210"/>
      <c r="O566" s="210"/>
      <c r="P566" s="200"/>
      <c r="Q566" s="200"/>
      <c r="R566" s="200"/>
      <c r="T566" s="154"/>
      <c r="V566" s="200"/>
      <c r="W566" s="200"/>
      <c r="X566" s="200"/>
      <c r="Y566" s="200"/>
      <c r="Z566" s="329"/>
      <c r="AA566" s="200"/>
      <c r="AB566" s="200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10"/>
      <c r="AN566" s="210"/>
    </row>
    <row r="567" spans="1:40" x14ac:dyDescent="0.25">
      <c r="A567" s="202"/>
      <c r="C567" s="154"/>
      <c r="F567" s="252"/>
      <c r="J567" s="334"/>
      <c r="K567" s="334"/>
      <c r="T567" s="154"/>
      <c r="V567" s="200"/>
      <c r="W567" s="200"/>
      <c r="X567" s="200"/>
      <c r="Y567" s="200"/>
      <c r="Z567" s="329"/>
    </row>
    <row r="568" spans="1:40" x14ac:dyDescent="0.25">
      <c r="A568" s="202"/>
      <c r="C568" s="154"/>
      <c r="H568" s="252"/>
      <c r="I568" s="252"/>
      <c r="J568" s="329"/>
      <c r="K568" s="329"/>
      <c r="L568" s="200"/>
      <c r="M568" s="200"/>
      <c r="N568" s="210"/>
      <c r="O568" s="210"/>
      <c r="P568" s="200"/>
      <c r="Q568" s="200"/>
      <c r="R568" s="200"/>
      <c r="T568" s="154"/>
      <c r="V568" s="200"/>
      <c r="W568" s="200"/>
      <c r="X568" s="200"/>
      <c r="Y568" s="200"/>
      <c r="Z568" s="329"/>
      <c r="AA568" s="200"/>
      <c r="AB568" s="200"/>
      <c r="AC568" s="210"/>
      <c r="AD568" s="210"/>
      <c r="AE568" s="200"/>
      <c r="AF568" s="200"/>
      <c r="AG568" s="209"/>
      <c r="AH568" s="201"/>
      <c r="AI568" s="200"/>
      <c r="AJ568" s="200"/>
      <c r="AK568" s="209"/>
      <c r="AL568" s="200"/>
      <c r="AM568" s="210"/>
      <c r="AN568" s="210"/>
    </row>
    <row r="569" spans="1:40" x14ac:dyDescent="0.25">
      <c r="A569" s="202"/>
      <c r="C569" s="154"/>
      <c r="F569" s="252"/>
      <c r="J569" s="334"/>
      <c r="K569" s="334"/>
      <c r="T569" s="154"/>
      <c r="V569" s="200"/>
      <c r="W569" s="200"/>
      <c r="X569" s="200"/>
      <c r="Y569" s="200"/>
      <c r="Z569" s="329"/>
    </row>
    <row r="570" spans="1:40" x14ac:dyDescent="0.25">
      <c r="A570" s="202"/>
      <c r="C570" s="154"/>
      <c r="H570" s="252"/>
      <c r="I570" s="252"/>
      <c r="J570" s="329"/>
      <c r="K570" s="329"/>
      <c r="L570" s="200"/>
      <c r="M570" s="200"/>
      <c r="N570" s="210"/>
      <c r="O570" s="210"/>
      <c r="P570" s="200"/>
      <c r="Q570" s="200"/>
      <c r="R570" s="200"/>
      <c r="T570" s="154"/>
      <c r="V570" s="200"/>
      <c r="W570" s="200"/>
      <c r="X570" s="200"/>
      <c r="Y570" s="200"/>
      <c r="Z570" s="329"/>
      <c r="AA570" s="200"/>
      <c r="AB570" s="200"/>
      <c r="AC570" s="210"/>
      <c r="AD570" s="210"/>
      <c r="AE570" s="200"/>
      <c r="AF570" s="200"/>
      <c r="AG570" s="209"/>
      <c r="AH570" s="201"/>
      <c r="AI570" s="200"/>
      <c r="AJ570" s="200"/>
      <c r="AK570" s="209"/>
      <c r="AL570" s="200"/>
      <c r="AM570" s="210"/>
      <c r="AN570" s="210"/>
    </row>
    <row r="571" spans="1:40" x14ac:dyDescent="0.25">
      <c r="F571" s="252"/>
      <c r="H571" s="211"/>
      <c r="I571" s="211"/>
      <c r="J571" s="329"/>
      <c r="K571" s="329"/>
      <c r="L571" s="211"/>
      <c r="M571" s="211"/>
      <c r="N571" s="211"/>
      <c r="O571" s="211"/>
      <c r="P571" s="211"/>
      <c r="Q571" s="211"/>
      <c r="R571" s="211"/>
      <c r="V571" s="211"/>
      <c r="Y571" s="211"/>
      <c r="Z571" s="329"/>
      <c r="AA571" s="211"/>
      <c r="AB571" s="211"/>
      <c r="AC571" s="211"/>
      <c r="AD571" s="211"/>
      <c r="AE571" s="211"/>
      <c r="AF571" s="211"/>
      <c r="AI571" s="211"/>
      <c r="AJ571" s="211"/>
      <c r="AK571" s="212"/>
      <c r="AL571" s="211"/>
      <c r="AM571" s="210"/>
      <c r="AN571" s="210"/>
    </row>
    <row r="572" spans="1:40" x14ac:dyDescent="0.25">
      <c r="A572" s="202"/>
      <c r="C572" s="154"/>
      <c r="F572" s="211"/>
      <c r="H572" s="200"/>
      <c r="I572" s="200"/>
      <c r="J572" s="334"/>
      <c r="K572" s="334"/>
      <c r="L572" s="200"/>
      <c r="M572" s="200"/>
      <c r="N572" s="210"/>
      <c r="O572" s="210"/>
      <c r="P572" s="252"/>
      <c r="Q572" s="252"/>
      <c r="R572" s="200"/>
      <c r="T572" s="154"/>
      <c r="V572" s="200"/>
      <c r="W572" s="200"/>
      <c r="X572" s="200"/>
      <c r="Y572" s="200"/>
      <c r="Z572" s="329"/>
      <c r="AA572" s="200"/>
      <c r="AB572" s="200"/>
      <c r="AC572" s="210"/>
      <c r="AD572" s="210"/>
      <c r="AE572" s="200"/>
      <c r="AF572" s="200"/>
      <c r="AG572" s="209"/>
      <c r="AH572" s="201"/>
      <c r="AI572" s="252"/>
      <c r="AJ572" s="252"/>
      <c r="AK572" s="209"/>
      <c r="AL572" s="200"/>
      <c r="AM572" s="210"/>
      <c r="AN572" s="210"/>
    </row>
    <row r="573" spans="1:40" x14ac:dyDescent="0.25">
      <c r="F573" s="200"/>
      <c r="H573" s="211"/>
      <c r="I573" s="211"/>
      <c r="J573" s="329"/>
      <c r="K573" s="329"/>
      <c r="L573" s="211"/>
      <c r="M573" s="211"/>
      <c r="N573" s="211"/>
      <c r="O573" s="211"/>
      <c r="P573" s="211"/>
      <c r="Q573" s="211"/>
      <c r="R573" s="211"/>
      <c r="V573" s="211"/>
      <c r="Y573" s="211"/>
      <c r="Z573" s="329"/>
      <c r="AA573" s="211"/>
      <c r="AB573" s="211"/>
      <c r="AC573" s="211"/>
      <c r="AD573" s="211"/>
      <c r="AE573" s="211"/>
      <c r="AF573" s="211"/>
      <c r="AI573" s="211"/>
      <c r="AJ573" s="211"/>
      <c r="AK573" s="212"/>
      <c r="AL573" s="211"/>
    </row>
    <row r="574" spans="1:40" x14ac:dyDescent="0.25">
      <c r="A574" s="202"/>
      <c r="C574" s="154"/>
      <c r="D574" s="154"/>
      <c r="E574" s="154"/>
      <c r="F574" s="211"/>
      <c r="J574" s="334"/>
      <c r="K574" s="334"/>
      <c r="T574" s="154"/>
      <c r="U574" s="154"/>
      <c r="V574" s="200"/>
      <c r="W574" s="200"/>
      <c r="X574" s="200"/>
      <c r="Y574" s="200"/>
      <c r="Z574" s="329"/>
    </row>
    <row r="575" spans="1:40" x14ac:dyDescent="0.25">
      <c r="A575" s="202"/>
      <c r="C575" s="154"/>
      <c r="J575" s="334"/>
      <c r="K575" s="334"/>
      <c r="T575" s="154"/>
      <c r="V575" s="200"/>
      <c r="W575" s="200"/>
      <c r="X575" s="200"/>
      <c r="Y575" s="200"/>
      <c r="Z575" s="329"/>
    </row>
    <row r="576" spans="1:40" x14ac:dyDescent="0.25">
      <c r="A576" s="202"/>
      <c r="C576" s="154"/>
      <c r="J576" s="334"/>
      <c r="K576" s="334"/>
      <c r="T576" s="154"/>
      <c r="V576" s="200"/>
      <c r="W576" s="200"/>
      <c r="X576" s="200"/>
      <c r="Y576" s="200"/>
      <c r="Z576" s="329"/>
    </row>
    <row r="577" spans="1:40" x14ac:dyDescent="0.25">
      <c r="A577" s="202"/>
      <c r="C577" s="154"/>
      <c r="H577" s="252"/>
      <c r="I577" s="252"/>
      <c r="J577" s="329"/>
      <c r="K577" s="329"/>
      <c r="L577" s="200"/>
      <c r="M577" s="200"/>
      <c r="N577" s="210"/>
      <c r="O577" s="210"/>
      <c r="P577" s="200"/>
      <c r="Q577" s="200"/>
      <c r="R577" s="200"/>
      <c r="T577" s="154"/>
      <c r="V577" s="200"/>
      <c r="W577" s="200"/>
      <c r="X577" s="200"/>
      <c r="Y577" s="200"/>
      <c r="Z577" s="329"/>
      <c r="AA577" s="200"/>
      <c r="AB577" s="200"/>
      <c r="AC577" s="210"/>
      <c r="AD577" s="210"/>
      <c r="AE577" s="200"/>
      <c r="AF577" s="200"/>
      <c r="AG577" s="209"/>
      <c r="AH577" s="201"/>
      <c r="AI577" s="200"/>
      <c r="AJ577" s="200"/>
      <c r="AK577" s="209"/>
      <c r="AL577" s="200"/>
      <c r="AM577" s="210"/>
      <c r="AN577" s="210"/>
    </row>
    <row r="578" spans="1:40" x14ac:dyDescent="0.25">
      <c r="A578" s="202"/>
      <c r="C578" s="154"/>
      <c r="F578" s="252"/>
      <c r="J578" s="334"/>
      <c r="K578" s="334"/>
      <c r="T578" s="154"/>
      <c r="V578" s="200"/>
      <c r="W578" s="200"/>
      <c r="X578" s="200"/>
      <c r="Y578" s="200"/>
      <c r="Z578" s="329"/>
    </row>
    <row r="579" spans="1:40" x14ac:dyDescent="0.25">
      <c r="A579" s="202"/>
      <c r="C579" s="154"/>
      <c r="H579" s="252"/>
      <c r="I579" s="252"/>
      <c r="J579" s="329"/>
      <c r="K579" s="329"/>
      <c r="L579" s="200"/>
      <c r="M579" s="200"/>
      <c r="N579" s="210"/>
      <c r="O579" s="210"/>
      <c r="P579" s="200"/>
      <c r="Q579" s="200"/>
      <c r="R579" s="200"/>
      <c r="T579" s="154"/>
      <c r="V579" s="200"/>
      <c r="W579" s="200"/>
      <c r="X579" s="200"/>
      <c r="Y579" s="200"/>
      <c r="Z579" s="329"/>
      <c r="AA579" s="200"/>
      <c r="AB579" s="200"/>
      <c r="AC579" s="210"/>
      <c r="AD579" s="210"/>
      <c r="AE579" s="200"/>
      <c r="AF579" s="200"/>
      <c r="AG579" s="209"/>
      <c r="AH579" s="201"/>
      <c r="AI579" s="200"/>
      <c r="AJ579" s="200"/>
      <c r="AK579" s="209"/>
      <c r="AL579" s="200"/>
      <c r="AM579" s="210"/>
      <c r="AN579" s="210"/>
    </row>
    <row r="580" spans="1:40" x14ac:dyDescent="0.25">
      <c r="F580" s="252"/>
      <c r="H580" s="211"/>
      <c r="I580" s="211"/>
      <c r="J580" s="329"/>
      <c r="K580" s="329"/>
      <c r="L580" s="211"/>
      <c r="M580" s="211"/>
      <c r="N580" s="211"/>
      <c r="O580" s="211"/>
      <c r="P580" s="211"/>
      <c r="Q580" s="211"/>
      <c r="R580" s="211"/>
      <c r="V580" s="211"/>
      <c r="Y580" s="211"/>
      <c r="Z580" s="305"/>
      <c r="AA580" s="211"/>
      <c r="AB580" s="211"/>
      <c r="AC580" s="211"/>
      <c r="AD580" s="211"/>
      <c r="AE580" s="211"/>
      <c r="AF580" s="211"/>
      <c r="AI580" s="211"/>
      <c r="AJ580" s="211"/>
      <c r="AK580" s="212"/>
      <c r="AL580" s="211"/>
    </row>
    <row r="581" spans="1:40" x14ac:dyDescent="0.25">
      <c r="A581" s="202"/>
      <c r="C581" s="154"/>
      <c r="F581" s="211"/>
      <c r="H581" s="200"/>
      <c r="I581" s="200"/>
      <c r="L581" s="200"/>
      <c r="M581" s="200"/>
      <c r="N581" s="210"/>
      <c r="O581" s="210"/>
      <c r="P581" s="252"/>
      <c r="Q581" s="252"/>
      <c r="R581" s="200"/>
      <c r="T581" s="154"/>
      <c r="V581" s="200"/>
      <c r="W581" s="200"/>
      <c r="X581" s="200"/>
      <c r="Y581" s="200"/>
      <c r="Z581" s="328"/>
      <c r="AA581" s="200"/>
      <c r="AB581" s="200"/>
      <c r="AC581" s="210"/>
      <c r="AD581" s="210"/>
      <c r="AE581" s="200"/>
      <c r="AF581" s="200"/>
      <c r="AG581" s="209"/>
      <c r="AH581" s="201"/>
      <c r="AI581" s="252"/>
      <c r="AJ581" s="252"/>
      <c r="AK581" s="209"/>
      <c r="AL581" s="200"/>
      <c r="AM581" s="210"/>
      <c r="AN581" s="210"/>
    </row>
    <row r="582" spans="1:40" x14ac:dyDescent="0.25">
      <c r="F582" s="200"/>
      <c r="H582" s="211"/>
      <c r="I582" s="211"/>
      <c r="J582" s="305"/>
      <c r="K582" s="305"/>
      <c r="L582" s="211"/>
      <c r="M582" s="211"/>
      <c r="N582" s="211"/>
      <c r="O582" s="211"/>
      <c r="P582" s="211"/>
      <c r="Q582" s="211"/>
      <c r="R582" s="211"/>
      <c r="V582" s="211"/>
      <c r="Y582" s="211"/>
      <c r="Z582" s="305"/>
      <c r="AA582" s="211"/>
      <c r="AB582" s="211"/>
      <c r="AC582" s="211"/>
      <c r="AD582" s="211"/>
      <c r="AE582" s="211"/>
      <c r="AF582" s="211"/>
      <c r="AI582" s="211"/>
      <c r="AJ582" s="211"/>
      <c r="AK582" s="212"/>
      <c r="AL582" s="211"/>
    </row>
    <row r="583" spans="1:40" x14ac:dyDescent="0.25">
      <c r="A583" s="202"/>
      <c r="C583" s="154"/>
      <c r="D583" s="154"/>
      <c r="E583" s="154"/>
      <c r="F583" s="211"/>
      <c r="T583" s="154"/>
      <c r="U583" s="154"/>
      <c r="V583" s="200"/>
      <c r="W583" s="200"/>
      <c r="X583" s="200"/>
      <c r="Y583" s="200"/>
      <c r="Z583" s="328"/>
    </row>
    <row r="584" spans="1:40" x14ac:dyDescent="0.25">
      <c r="A584" s="202"/>
      <c r="C584" s="154"/>
      <c r="T584" s="154"/>
      <c r="V584" s="200"/>
      <c r="W584" s="200"/>
      <c r="X584" s="200"/>
      <c r="Y584" s="200"/>
      <c r="Z584" s="328"/>
    </row>
    <row r="585" spans="1:40" x14ac:dyDescent="0.25">
      <c r="A585" s="202"/>
      <c r="C585" s="154"/>
      <c r="H585" s="252"/>
      <c r="I585" s="252"/>
      <c r="J585" s="328"/>
      <c r="K585" s="328"/>
      <c r="L585" s="200"/>
      <c r="M585" s="200"/>
      <c r="N585" s="210"/>
      <c r="O585" s="210"/>
      <c r="P585" s="200"/>
      <c r="Q585" s="200"/>
      <c r="R585" s="200"/>
      <c r="T585" s="154"/>
      <c r="V585" s="200"/>
      <c r="W585" s="200"/>
      <c r="X585" s="200"/>
      <c r="Y585" s="200"/>
      <c r="Z585" s="328"/>
      <c r="AA585" s="200"/>
      <c r="AB585" s="200"/>
      <c r="AC585" s="210"/>
      <c r="AD585" s="210"/>
      <c r="AE585" s="200"/>
      <c r="AF585" s="200"/>
      <c r="AG585" s="209"/>
      <c r="AH585" s="201"/>
      <c r="AI585" s="200"/>
      <c r="AJ585" s="200"/>
      <c r="AK585" s="209"/>
      <c r="AL585" s="200"/>
      <c r="AM585" s="210"/>
      <c r="AN585" s="210"/>
    </row>
    <row r="586" spans="1:40" x14ac:dyDescent="0.25">
      <c r="A586" s="202"/>
      <c r="C586" s="154"/>
      <c r="F586" s="252"/>
      <c r="T586" s="154"/>
      <c r="V586" s="200"/>
      <c r="W586" s="200"/>
      <c r="X586" s="200"/>
      <c r="Y586" s="200"/>
      <c r="Z586" s="328"/>
    </row>
    <row r="587" spans="1:40" x14ac:dyDescent="0.25">
      <c r="A587" s="202"/>
      <c r="C587" s="154"/>
      <c r="H587" s="252"/>
      <c r="I587" s="252"/>
      <c r="J587" s="328"/>
      <c r="K587" s="328"/>
      <c r="L587" s="200"/>
      <c r="M587" s="200"/>
      <c r="N587" s="210"/>
      <c r="O587" s="210"/>
      <c r="P587" s="200"/>
      <c r="Q587" s="200"/>
      <c r="R587" s="200"/>
      <c r="T587" s="154"/>
      <c r="V587" s="200"/>
      <c r="W587" s="200"/>
      <c r="X587" s="200"/>
      <c r="Y587" s="200"/>
      <c r="Z587" s="328"/>
      <c r="AA587" s="200"/>
      <c r="AB587" s="200"/>
      <c r="AC587" s="210"/>
      <c r="AD587" s="210"/>
      <c r="AE587" s="200"/>
      <c r="AF587" s="200"/>
      <c r="AG587" s="209"/>
      <c r="AH587" s="201"/>
      <c r="AI587" s="200"/>
      <c r="AJ587" s="200"/>
      <c r="AK587" s="209"/>
      <c r="AL587" s="200"/>
      <c r="AM587" s="210"/>
      <c r="AN587" s="210"/>
    </row>
    <row r="588" spans="1:40" x14ac:dyDescent="0.25">
      <c r="A588" s="202"/>
      <c r="C588" s="154"/>
      <c r="F588" s="252"/>
      <c r="T588" s="154"/>
      <c r="V588" s="200"/>
      <c r="W588" s="200"/>
      <c r="X588" s="200"/>
      <c r="Y588" s="200"/>
      <c r="Z588" s="328"/>
    </row>
    <row r="589" spans="1:40" x14ac:dyDescent="0.25">
      <c r="A589" s="202"/>
      <c r="C589" s="154"/>
      <c r="H589" s="252"/>
      <c r="I589" s="252"/>
      <c r="J589" s="328"/>
      <c r="K589" s="328"/>
      <c r="L589" s="200"/>
      <c r="M589" s="200"/>
      <c r="N589" s="210"/>
      <c r="O589" s="210"/>
      <c r="P589" s="200"/>
      <c r="Q589" s="200"/>
      <c r="R589" s="200"/>
      <c r="T589" s="154"/>
      <c r="V589" s="200"/>
      <c r="W589" s="200"/>
      <c r="X589" s="200"/>
      <c r="Y589" s="200"/>
      <c r="Z589" s="328"/>
      <c r="AA589" s="200"/>
      <c r="AB589" s="200"/>
      <c r="AC589" s="210"/>
      <c r="AD589" s="210"/>
      <c r="AE589" s="200"/>
      <c r="AF589" s="200"/>
      <c r="AG589" s="209"/>
      <c r="AH589" s="201"/>
      <c r="AI589" s="200"/>
      <c r="AJ589" s="200"/>
      <c r="AK589" s="209"/>
      <c r="AL589" s="200"/>
      <c r="AM589" s="210"/>
      <c r="AN589" s="210"/>
    </row>
    <row r="590" spans="1:40" x14ac:dyDescent="0.25">
      <c r="A590" s="202"/>
      <c r="C590" s="154"/>
      <c r="F590" s="252"/>
      <c r="T590" s="154"/>
      <c r="V590" s="200"/>
      <c r="W590" s="200"/>
      <c r="X590" s="200"/>
      <c r="Y590" s="200"/>
      <c r="Z590" s="328"/>
    </row>
    <row r="591" spans="1:40" x14ac:dyDescent="0.25">
      <c r="A591" s="202"/>
      <c r="C591" s="154"/>
      <c r="H591" s="252"/>
      <c r="I591" s="252"/>
      <c r="J591" s="328"/>
      <c r="K591" s="328"/>
      <c r="L591" s="200"/>
      <c r="M591" s="200"/>
      <c r="N591" s="210"/>
      <c r="O591" s="210"/>
      <c r="P591" s="200"/>
      <c r="Q591" s="200"/>
      <c r="R591" s="200"/>
      <c r="T591" s="154"/>
      <c r="V591" s="200"/>
      <c r="W591" s="200"/>
      <c r="X591" s="200"/>
      <c r="Y591" s="200"/>
      <c r="Z591" s="328"/>
      <c r="AA591" s="200"/>
      <c r="AB591" s="200"/>
      <c r="AC591" s="210"/>
      <c r="AD591" s="210"/>
      <c r="AE591" s="200"/>
      <c r="AF591" s="200"/>
      <c r="AG591" s="209"/>
      <c r="AH591" s="201"/>
      <c r="AI591" s="200"/>
      <c r="AJ591" s="200"/>
      <c r="AK591" s="209"/>
      <c r="AL591" s="200"/>
      <c r="AM591" s="210"/>
      <c r="AN591" s="210"/>
    </row>
    <row r="592" spans="1:40" x14ac:dyDescent="0.25">
      <c r="F592" s="252"/>
      <c r="H592" s="211"/>
      <c r="I592" s="211"/>
      <c r="J592" s="305"/>
      <c r="K592" s="305"/>
      <c r="L592" s="211"/>
      <c r="M592" s="211"/>
      <c r="N592" s="211"/>
      <c r="O592" s="211"/>
      <c r="P592" s="211"/>
      <c r="Q592" s="211"/>
      <c r="R592" s="211"/>
      <c r="V592" s="211"/>
      <c r="Y592" s="211"/>
      <c r="Z592" s="305"/>
      <c r="AA592" s="211"/>
      <c r="AB592" s="211"/>
      <c r="AC592" s="211"/>
      <c r="AD592" s="211"/>
      <c r="AE592" s="211"/>
      <c r="AF592" s="211"/>
      <c r="AI592" s="211"/>
      <c r="AJ592" s="211"/>
      <c r="AK592" s="212"/>
      <c r="AL592" s="211"/>
    </row>
    <row r="593" spans="1:40" x14ac:dyDescent="0.25">
      <c r="A593" s="202"/>
      <c r="C593" s="154"/>
      <c r="F593" s="211"/>
      <c r="H593" s="200"/>
      <c r="I593" s="200"/>
      <c r="L593" s="200"/>
      <c r="M593" s="200"/>
      <c r="N593" s="210"/>
      <c r="O593" s="210"/>
      <c r="P593" s="252"/>
      <c r="Q593" s="252"/>
      <c r="R593" s="200"/>
      <c r="T593" s="154"/>
      <c r="V593" s="200"/>
      <c r="W593" s="200"/>
      <c r="X593" s="200"/>
      <c r="Y593" s="200"/>
      <c r="Z593" s="328"/>
      <c r="AA593" s="200"/>
      <c r="AB593" s="200"/>
      <c r="AC593" s="210"/>
      <c r="AD593" s="210"/>
      <c r="AE593" s="200"/>
      <c r="AF593" s="200"/>
      <c r="AG593" s="209"/>
      <c r="AH593" s="201"/>
      <c r="AI593" s="252"/>
      <c r="AJ593" s="252"/>
      <c r="AK593" s="209"/>
      <c r="AL593" s="200"/>
      <c r="AM593" s="210"/>
      <c r="AN593" s="210"/>
    </row>
    <row r="594" spans="1:40" x14ac:dyDescent="0.25">
      <c r="F594" s="200"/>
      <c r="H594" s="211"/>
      <c r="I594" s="211"/>
      <c r="J594" s="305"/>
      <c r="K594" s="305"/>
      <c r="L594" s="211"/>
      <c r="M594" s="211"/>
      <c r="N594" s="211"/>
      <c r="O594" s="211"/>
      <c r="P594" s="211"/>
      <c r="Q594" s="211"/>
      <c r="R594" s="211"/>
      <c r="V594" s="211"/>
      <c r="Y594" s="211"/>
      <c r="Z594" s="305"/>
      <c r="AA594" s="211"/>
      <c r="AB594" s="211"/>
      <c r="AC594" s="211"/>
      <c r="AD594" s="211"/>
      <c r="AE594" s="211"/>
      <c r="AF594" s="211"/>
      <c r="AI594" s="211"/>
      <c r="AJ594" s="211"/>
      <c r="AK594" s="212"/>
      <c r="AL594" s="211"/>
    </row>
    <row r="595" spans="1:40" x14ac:dyDescent="0.25">
      <c r="A595" s="202"/>
      <c r="C595" s="154"/>
      <c r="F595" s="211"/>
      <c r="H595" s="200"/>
      <c r="I595" s="200"/>
      <c r="L595" s="200"/>
      <c r="M595" s="200"/>
      <c r="N595" s="210"/>
      <c r="O595" s="210"/>
      <c r="P595" s="200"/>
      <c r="Q595" s="200"/>
      <c r="R595" s="200"/>
      <c r="T595" s="154"/>
      <c r="V595" s="200"/>
      <c r="W595" s="200"/>
      <c r="X595" s="200"/>
      <c r="Y595" s="200"/>
      <c r="AA595" s="200"/>
      <c r="AB595" s="200"/>
      <c r="AC595" s="210"/>
      <c r="AD595" s="210"/>
      <c r="AE595" s="200"/>
      <c r="AF595" s="200"/>
      <c r="AG595" s="209"/>
      <c r="AH595" s="201"/>
      <c r="AI595" s="200"/>
      <c r="AJ595" s="200"/>
      <c r="AK595" s="209"/>
      <c r="AL595" s="200"/>
      <c r="AM595" s="201"/>
      <c r="AN595" s="201"/>
    </row>
    <row r="596" spans="1:40" x14ac:dyDescent="0.25">
      <c r="F596" s="200"/>
      <c r="H596" s="211"/>
      <c r="I596" s="211"/>
      <c r="J596" s="305"/>
      <c r="K596" s="305"/>
      <c r="L596" s="211"/>
      <c r="M596" s="211"/>
      <c r="N596" s="211"/>
      <c r="O596" s="211"/>
      <c r="P596" s="211"/>
      <c r="Q596" s="211"/>
      <c r="R596" s="211"/>
      <c r="V596" s="211"/>
      <c r="Y596" s="211"/>
      <c r="Z596" s="305"/>
      <c r="AA596" s="211"/>
      <c r="AB596" s="211"/>
      <c r="AC596" s="211"/>
      <c r="AD596" s="211"/>
      <c r="AE596" s="211"/>
      <c r="AF596" s="211"/>
      <c r="AI596" s="211"/>
      <c r="AJ596" s="211"/>
      <c r="AK596" s="212"/>
      <c r="AL596" s="211"/>
    </row>
    <row r="598" spans="1:40" x14ac:dyDescent="0.25">
      <c r="C598" s="202"/>
      <c r="F598" s="211"/>
      <c r="T598" s="202"/>
    </row>
    <row r="599" spans="1:40" x14ac:dyDescent="0.25">
      <c r="A599" s="154"/>
    </row>
    <row r="600" spans="1:40" x14ac:dyDescent="0.25">
      <c r="J600" s="202"/>
      <c r="K600" s="202"/>
      <c r="Z600" s="202"/>
    </row>
    <row r="601" spans="1:40" x14ac:dyDescent="0.25">
      <c r="H601" s="154"/>
      <c r="I601" s="154"/>
      <c r="Y601" s="154"/>
    </row>
    <row r="602" spans="1:40" x14ac:dyDescent="0.25">
      <c r="J602" s="202"/>
      <c r="K602" s="202"/>
      <c r="Z602" s="202"/>
    </row>
    <row r="603" spans="1:40" x14ac:dyDescent="0.25">
      <c r="L603" s="154"/>
      <c r="M603" s="154"/>
      <c r="AA603" s="154"/>
      <c r="AB603" s="154"/>
    </row>
    <row r="604" spans="1:40" x14ac:dyDescent="0.25">
      <c r="A604" s="202"/>
      <c r="R604" s="154"/>
      <c r="AK604" s="297"/>
      <c r="AL604" s="154"/>
    </row>
    <row r="605" spans="1:40" x14ac:dyDescent="0.25">
      <c r="A605" s="202"/>
      <c r="R605" s="154"/>
      <c r="AK605" s="297"/>
      <c r="AL605" s="154"/>
    </row>
    <row r="606" spans="1:40" x14ac:dyDescent="0.25">
      <c r="A606" s="154"/>
      <c r="R606" s="154"/>
      <c r="AK606" s="297"/>
      <c r="AL606" s="154"/>
    </row>
    <row r="607" spans="1:40" x14ac:dyDescent="0.25">
      <c r="L607" s="154"/>
      <c r="M607" s="154"/>
      <c r="R607" s="202"/>
      <c r="AA607" s="154"/>
      <c r="AB607" s="154"/>
      <c r="AK607" s="209"/>
      <c r="AL607" s="202"/>
    </row>
    <row r="608" spans="1:40" x14ac:dyDescent="0.25">
      <c r="A608" s="102"/>
      <c r="B608" s="102"/>
      <c r="C608" s="102"/>
      <c r="D608" s="102"/>
      <c r="E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208"/>
      <c r="AH608" s="102"/>
      <c r="AI608" s="102"/>
      <c r="AJ608" s="102"/>
      <c r="AK608" s="208"/>
      <c r="AL608" s="102"/>
      <c r="AM608" s="102"/>
      <c r="AN608" s="102"/>
    </row>
    <row r="609" spans="1:40" x14ac:dyDescent="0.25">
      <c r="F609" s="102"/>
      <c r="L609" s="103"/>
      <c r="M609" s="103"/>
      <c r="N609" s="103"/>
      <c r="O609" s="103"/>
      <c r="R609" s="103"/>
      <c r="AA609" s="103"/>
      <c r="AB609" s="103"/>
      <c r="AC609" s="103"/>
      <c r="AD609" s="103"/>
      <c r="AE609" s="103"/>
      <c r="AF609" s="103"/>
      <c r="AG609" s="185"/>
      <c r="AH609" s="103"/>
      <c r="AK609" s="185"/>
      <c r="AL609" s="103"/>
      <c r="AM609" s="103"/>
      <c r="AN609" s="103"/>
    </row>
    <row r="610" spans="1:40" x14ac:dyDescent="0.25">
      <c r="L610" s="103"/>
      <c r="M610" s="103"/>
      <c r="N610" s="103"/>
      <c r="O610" s="103"/>
      <c r="R610" s="103"/>
      <c r="Z610" s="103"/>
      <c r="AA610" s="103"/>
      <c r="AB610" s="103"/>
      <c r="AC610" s="103"/>
      <c r="AD610" s="103"/>
      <c r="AE610" s="103"/>
      <c r="AF610" s="103"/>
      <c r="AG610" s="185"/>
      <c r="AH610" s="103"/>
      <c r="AK610" s="185"/>
      <c r="AL610" s="103"/>
      <c r="AM610" s="103"/>
      <c r="AN610" s="103"/>
    </row>
    <row r="611" spans="1:40" x14ac:dyDescent="0.25">
      <c r="A611" s="103"/>
      <c r="C611" s="103"/>
      <c r="D611" s="103"/>
      <c r="E611" s="103"/>
      <c r="J611" s="103"/>
      <c r="K611" s="103"/>
      <c r="L611" s="103"/>
      <c r="M611" s="103"/>
      <c r="N611" s="103"/>
      <c r="O611" s="103"/>
      <c r="P611" s="103"/>
      <c r="Q611" s="103"/>
      <c r="R611" s="103"/>
      <c r="T611" s="103"/>
      <c r="U611" s="103"/>
      <c r="V611" s="103"/>
      <c r="Z611" s="103"/>
      <c r="AA611" s="103"/>
      <c r="AB611" s="103"/>
      <c r="AC611" s="103"/>
      <c r="AD611" s="103"/>
      <c r="AE611" s="103"/>
      <c r="AF611" s="103"/>
      <c r="AG611" s="185"/>
      <c r="AH611" s="103"/>
      <c r="AI611" s="103"/>
      <c r="AJ611" s="103"/>
      <c r="AK611" s="185"/>
      <c r="AL611" s="103"/>
      <c r="AM611" s="103"/>
      <c r="AN611" s="103"/>
    </row>
    <row r="612" spans="1:40" x14ac:dyDescent="0.25">
      <c r="A612" s="103"/>
      <c r="C612" s="103"/>
      <c r="D612" s="103"/>
      <c r="E612" s="103"/>
      <c r="F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T612" s="103"/>
      <c r="U612" s="103"/>
      <c r="V612" s="103"/>
      <c r="Y612" s="103"/>
      <c r="Z612" s="103"/>
      <c r="AA612" s="103"/>
      <c r="AB612" s="103"/>
      <c r="AC612" s="103"/>
      <c r="AD612" s="103"/>
      <c r="AE612" s="103"/>
      <c r="AF612" s="103"/>
      <c r="AG612" s="185"/>
      <c r="AH612" s="103"/>
      <c r="AI612" s="103"/>
      <c r="AJ612" s="103"/>
      <c r="AK612" s="185"/>
      <c r="AL612" s="103"/>
      <c r="AM612" s="103"/>
      <c r="AN612" s="103"/>
    </row>
    <row r="613" spans="1:40" x14ac:dyDescent="0.25">
      <c r="C613" s="103"/>
      <c r="D613" s="103"/>
      <c r="E613" s="103"/>
      <c r="F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T613" s="103"/>
      <c r="U613" s="103"/>
      <c r="V613" s="103"/>
      <c r="Y613" s="103"/>
      <c r="Z613" s="103"/>
      <c r="AA613" s="103"/>
      <c r="AB613" s="103"/>
      <c r="AC613" s="103"/>
      <c r="AD613" s="103"/>
      <c r="AE613" s="103"/>
      <c r="AF613" s="103"/>
      <c r="AG613" s="185"/>
      <c r="AH613" s="103"/>
      <c r="AI613" s="103"/>
      <c r="AJ613" s="103"/>
      <c r="AK613" s="185"/>
      <c r="AL613" s="103"/>
      <c r="AM613" s="103"/>
      <c r="AN613" s="103"/>
    </row>
    <row r="614" spans="1:40" x14ac:dyDescent="0.25">
      <c r="A614" s="102"/>
      <c r="B614" s="102"/>
      <c r="C614" s="102"/>
      <c r="D614" s="102"/>
      <c r="E614" s="102"/>
      <c r="F614" s="103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208"/>
      <c r="AH614" s="102"/>
      <c r="AI614" s="102"/>
      <c r="AJ614" s="102"/>
      <c r="AK614" s="208"/>
      <c r="AL614" s="102"/>
      <c r="AM614" s="102"/>
      <c r="AN614" s="102"/>
    </row>
    <row r="615" spans="1:40" x14ac:dyDescent="0.25">
      <c r="F615" s="102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Y615" s="103"/>
      <c r="Z615" s="103"/>
      <c r="AA615" s="103"/>
      <c r="AB615" s="103"/>
      <c r="AC615" s="103"/>
      <c r="AD615" s="103"/>
      <c r="AE615" s="103"/>
      <c r="AF615" s="103"/>
      <c r="AG615" s="185"/>
      <c r="AH615" s="103"/>
      <c r="AI615" s="103"/>
      <c r="AJ615" s="103"/>
      <c r="AK615" s="185"/>
      <c r="AL615" s="103"/>
      <c r="AM615" s="103"/>
      <c r="AN615" s="103"/>
    </row>
    <row r="616" spans="1:40" x14ac:dyDescent="0.25">
      <c r="A616" s="202"/>
      <c r="C616" s="154"/>
      <c r="D616" s="154"/>
      <c r="E616" s="154"/>
      <c r="H616" s="200"/>
      <c r="I616" s="200"/>
      <c r="J616" s="213"/>
      <c r="K616" s="213"/>
      <c r="L616" s="200"/>
      <c r="M616" s="200"/>
      <c r="N616" s="213"/>
      <c r="O616" s="213"/>
      <c r="P616" s="200"/>
      <c r="Q616" s="200"/>
      <c r="R616" s="200"/>
      <c r="T616" s="154"/>
      <c r="U616" s="154"/>
      <c r="V616" s="200"/>
      <c r="Y616" s="200"/>
      <c r="Z616" s="213"/>
      <c r="AA616" s="200"/>
      <c r="AB616" s="200"/>
      <c r="AC616" s="213"/>
      <c r="AD616" s="213"/>
      <c r="AE616" s="200"/>
      <c r="AF616" s="200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F617" s="200"/>
      <c r="H617" s="211"/>
      <c r="I617" s="211"/>
      <c r="J617" s="305"/>
      <c r="K617" s="305"/>
      <c r="L617" s="211"/>
      <c r="M617" s="211"/>
      <c r="N617" s="211"/>
      <c r="O617" s="211"/>
      <c r="P617" s="211"/>
      <c r="Q617" s="211"/>
      <c r="R617" s="211"/>
      <c r="V617" s="211"/>
      <c r="Y617" s="211"/>
      <c r="Z617" s="305"/>
      <c r="AA617" s="211"/>
      <c r="AB617" s="211"/>
      <c r="AC617" s="211"/>
      <c r="AD617" s="211"/>
      <c r="AE617" s="211"/>
      <c r="AF617" s="211"/>
      <c r="AI617" s="211"/>
      <c r="AJ617" s="211"/>
      <c r="AK617" s="212"/>
      <c r="AL617" s="211"/>
      <c r="AM617" s="210"/>
      <c r="AN617" s="210"/>
    </row>
    <row r="618" spans="1:40" x14ac:dyDescent="0.25">
      <c r="A618" s="202"/>
      <c r="C618" s="154"/>
      <c r="F618" s="211"/>
      <c r="H618" s="200"/>
      <c r="I618" s="200"/>
      <c r="J618" s="213"/>
      <c r="K618" s="213"/>
      <c r="L618" s="200"/>
      <c r="M618" s="200"/>
      <c r="N618" s="213"/>
      <c r="O618" s="213"/>
      <c r="P618" s="200"/>
      <c r="Q618" s="200"/>
      <c r="R618" s="200"/>
      <c r="T618" s="154"/>
      <c r="V618" s="200"/>
      <c r="Y618" s="200"/>
      <c r="Z618" s="213"/>
      <c r="AA618" s="200"/>
      <c r="AB618" s="200"/>
      <c r="AC618" s="213"/>
      <c r="AD618" s="213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F619" s="200"/>
      <c r="H619" s="200"/>
      <c r="I619" s="200"/>
      <c r="J619" s="213"/>
      <c r="K619" s="213"/>
      <c r="L619" s="200"/>
      <c r="M619" s="200"/>
      <c r="N619" s="213"/>
      <c r="O619" s="213"/>
      <c r="P619" s="200"/>
      <c r="Q619" s="200"/>
      <c r="R619" s="200"/>
      <c r="V619" s="200"/>
      <c r="Y619" s="200"/>
      <c r="Z619" s="213"/>
      <c r="AA619" s="200"/>
      <c r="AB619" s="200"/>
      <c r="AC619" s="213"/>
      <c r="AD619" s="213"/>
      <c r="AG619" s="209"/>
      <c r="AH619" s="201"/>
      <c r="AI619" s="200"/>
      <c r="AJ619" s="200"/>
      <c r="AK619" s="209"/>
      <c r="AL619" s="200"/>
      <c r="AM619" s="210"/>
      <c r="AN619" s="210"/>
    </row>
    <row r="620" spans="1:40" x14ac:dyDescent="0.25">
      <c r="A620" s="202"/>
      <c r="C620" s="154"/>
      <c r="D620" s="154"/>
      <c r="E620" s="154"/>
      <c r="F620" s="200"/>
      <c r="H620" s="200"/>
      <c r="I620" s="200"/>
      <c r="J620" s="213"/>
      <c r="K620" s="213"/>
      <c r="L620" s="200"/>
      <c r="M620" s="200"/>
      <c r="N620" s="213"/>
      <c r="O620" s="213"/>
      <c r="P620" s="200"/>
      <c r="Q620" s="200"/>
      <c r="R620" s="200"/>
      <c r="T620" s="154"/>
      <c r="U620" s="154"/>
      <c r="V620" s="200"/>
      <c r="Y620" s="200"/>
      <c r="Z620" s="213"/>
      <c r="AA620" s="200"/>
      <c r="AB620" s="200"/>
      <c r="AC620" s="213"/>
      <c r="AD620" s="213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A621" s="202"/>
      <c r="C621" s="154"/>
      <c r="D621" s="154"/>
      <c r="E621" s="154"/>
      <c r="F621" s="200"/>
      <c r="H621" s="200"/>
      <c r="I621" s="200"/>
      <c r="J621" s="213"/>
      <c r="K621" s="213"/>
      <c r="L621" s="200"/>
      <c r="M621" s="200"/>
      <c r="N621" s="213"/>
      <c r="O621" s="213"/>
      <c r="P621" s="200"/>
      <c r="Q621" s="200"/>
      <c r="R621" s="200"/>
      <c r="T621" s="154"/>
      <c r="U621" s="154"/>
      <c r="V621" s="200"/>
      <c r="Y621" s="200"/>
      <c r="Z621" s="213"/>
      <c r="AA621" s="200"/>
      <c r="AB621" s="200"/>
      <c r="AC621" s="213"/>
      <c r="AD621" s="213"/>
      <c r="AE621" s="200"/>
      <c r="AF621" s="200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A622" s="202"/>
      <c r="C622" s="154"/>
      <c r="D622" s="154"/>
      <c r="E622" s="154"/>
      <c r="F622" s="200"/>
      <c r="H622" s="200"/>
      <c r="I622" s="200"/>
      <c r="J622" s="213"/>
      <c r="K622" s="213"/>
      <c r="L622" s="200"/>
      <c r="M622" s="200"/>
      <c r="N622" s="213"/>
      <c r="O622" s="213"/>
      <c r="P622" s="200"/>
      <c r="Q622" s="200"/>
      <c r="R622" s="200"/>
      <c r="T622" s="154"/>
      <c r="U622" s="154"/>
      <c r="V622" s="200"/>
      <c r="Y622" s="200"/>
      <c r="Z622" s="213"/>
      <c r="AA622" s="200"/>
      <c r="AB622" s="200"/>
      <c r="AC622" s="213"/>
      <c r="AD622" s="213"/>
      <c r="AE622" s="200"/>
      <c r="AF622" s="200"/>
      <c r="AG622" s="209"/>
      <c r="AH622" s="201"/>
      <c r="AI622" s="200"/>
      <c r="AJ622" s="200"/>
      <c r="AK622" s="209"/>
      <c r="AL622" s="200"/>
      <c r="AM622" s="210"/>
      <c r="AN622" s="210"/>
    </row>
    <row r="623" spans="1:40" x14ac:dyDescent="0.25">
      <c r="A623" s="202"/>
      <c r="C623" s="154"/>
      <c r="D623" s="154"/>
      <c r="E623" s="154"/>
      <c r="F623" s="200"/>
      <c r="H623" s="200"/>
      <c r="I623" s="200"/>
      <c r="J623" s="213"/>
      <c r="K623" s="213"/>
      <c r="L623" s="200"/>
      <c r="M623" s="200"/>
      <c r="N623" s="213"/>
      <c r="O623" s="213"/>
      <c r="P623" s="200"/>
      <c r="Q623" s="200"/>
      <c r="R623" s="200"/>
      <c r="T623" s="154"/>
      <c r="U623" s="154"/>
      <c r="V623" s="200"/>
      <c r="Y623" s="200"/>
      <c r="Z623" s="213"/>
      <c r="AA623" s="200"/>
      <c r="AB623" s="200"/>
      <c r="AC623" s="213"/>
      <c r="AD623" s="213"/>
      <c r="AE623" s="200"/>
      <c r="AF623" s="200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A624" s="202"/>
      <c r="C624" s="154"/>
      <c r="D624" s="154"/>
      <c r="E624" s="154"/>
      <c r="F624" s="200"/>
      <c r="H624" s="200"/>
      <c r="I624" s="200"/>
      <c r="J624" s="213"/>
      <c r="K624" s="213"/>
      <c r="L624" s="200"/>
      <c r="M624" s="200"/>
      <c r="N624" s="213"/>
      <c r="O624" s="213"/>
      <c r="P624" s="200"/>
      <c r="Q624" s="200"/>
      <c r="R624" s="200"/>
      <c r="T624" s="154"/>
      <c r="U624" s="154"/>
      <c r="V624" s="200"/>
      <c r="Y624" s="200"/>
      <c r="Z624" s="213"/>
      <c r="AA624" s="200"/>
      <c r="AB624" s="200"/>
      <c r="AC624" s="213"/>
      <c r="AD624" s="213"/>
      <c r="AE624" s="200"/>
      <c r="AF624" s="200"/>
      <c r="AG624" s="209"/>
      <c r="AH624" s="201"/>
      <c r="AI624" s="200"/>
      <c r="AJ624" s="200"/>
      <c r="AK624" s="209"/>
      <c r="AL624" s="200"/>
      <c r="AM624" s="210"/>
      <c r="AN624" s="210"/>
    </row>
    <row r="625" spans="1:40" x14ac:dyDescent="0.25">
      <c r="A625" s="202"/>
      <c r="C625" s="154"/>
      <c r="D625" s="154"/>
      <c r="E625" s="154"/>
      <c r="F625" s="200"/>
      <c r="H625" s="200"/>
      <c r="I625" s="200"/>
      <c r="J625" s="213"/>
      <c r="K625" s="213"/>
      <c r="L625" s="200"/>
      <c r="M625" s="200"/>
      <c r="N625" s="213"/>
      <c r="O625" s="213"/>
      <c r="P625" s="200"/>
      <c r="Q625" s="200"/>
      <c r="R625" s="200"/>
      <c r="T625" s="154"/>
      <c r="U625" s="154"/>
      <c r="V625" s="200"/>
      <c r="Y625" s="200"/>
      <c r="Z625" s="213"/>
      <c r="AA625" s="200"/>
      <c r="AB625" s="200"/>
      <c r="AC625" s="213"/>
      <c r="AD625" s="213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F626" s="200"/>
      <c r="H626" s="211"/>
      <c r="I626" s="211"/>
      <c r="J626" s="305"/>
      <c r="K626" s="305"/>
      <c r="L626" s="211"/>
      <c r="M626" s="211"/>
      <c r="N626" s="211"/>
      <c r="O626" s="211"/>
      <c r="P626" s="211"/>
      <c r="Q626" s="211"/>
      <c r="R626" s="211"/>
      <c r="V626" s="211"/>
      <c r="Y626" s="211"/>
      <c r="Z626" s="305"/>
      <c r="AA626" s="211"/>
      <c r="AB626" s="211"/>
      <c r="AC626" s="211"/>
      <c r="AD626" s="211"/>
      <c r="AE626" s="211"/>
      <c r="AF626" s="211"/>
      <c r="AI626" s="211"/>
      <c r="AJ626" s="211"/>
      <c r="AK626" s="212"/>
      <c r="AL626" s="211"/>
      <c r="AM626" s="210"/>
      <c r="AN626" s="210"/>
    </row>
    <row r="627" spans="1:40" x14ac:dyDescent="0.25">
      <c r="A627" s="202"/>
      <c r="C627" s="154"/>
      <c r="F627" s="211"/>
      <c r="H627" s="200"/>
      <c r="I627" s="200"/>
      <c r="J627" s="213"/>
      <c r="K627" s="213"/>
      <c r="L627" s="200"/>
      <c r="M627" s="200"/>
      <c r="N627" s="213"/>
      <c r="O627" s="213"/>
      <c r="P627" s="200"/>
      <c r="Q627" s="200"/>
      <c r="R627" s="200"/>
      <c r="T627" s="154"/>
      <c r="V627" s="200"/>
      <c r="Y627" s="200"/>
      <c r="Z627" s="213"/>
      <c r="AA627" s="200"/>
      <c r="AB627" s="200"/>
      <c r="AC627" s="213"/>
      <c r="AD627" s="213"/>
      <c r="AE627" s="200"/>
      <c r="AF627" s="200"/>
      <c r="AG627" s="209"/>
      <c r="AH627" s="201"/>
      <c r="AI627" s="200"/>
      <c r="AJ627" s="200"/>
      <c r="AK627" s="209"/>
      <c r="AL627" s="200"/>
      <c r="AM627" s="210"/>
      <c r="AN627" s="210"/>
    </row>
    <row r="628" spans="1:40" x14ac:dyDescent="0.25">
      <c r="F628" s="200"/>
      <c r="H628" s="200"/>
      <c r="I628" s="200"/>
      <c r="J628" s="213"/>
      <c r="K628" s="213"/>
      <c r="L628" s="200"/>
      <c r="M628" s="200"/>
      <c r="N628" s="213"/>
      <c r="O628" s="213"/>
      <c r="P628" s="200"/>
      <c r="Q628" s="200"/>
      <c r="R628" s="200"/>
      <c r="V628" s="200"/>
      <c r="Y628" s="200"/>
      <c r="Z628" s="213"/>
      <c r="AA628" s="200"/>
      <c r="AB628" s="200"/>
      <c r="AC628" s="213"/>
      <c r="AD628" s="213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A629" s="202"/>
      <c r="C629" s="154"/>
      <c r="D629" s="154"/>
      <c r="E629" s="154"/>
      <c r="F629" s="200"/>
      <c r="H629" s="200"/>
      <c r="I629" s="200"/>
      <c r="J629" s="213"/>
      <c r="K629" s="213"/>
      <c r="L629" s="200"/>
      <c r="M629" s="200"/>
      <c r="N629" s="213"/>
      <c r="O629" s="213"/>
      <c r="P629" s="200"/>
      <c r="Q629" s="200"/>
      <c r="R629" s="200"/>
      <c r="T629" s="154"/>
      <c r="U629" s="154"/>
      <c r="V629" s="200"/>
      <c r="Y629" s="200"/>
      <c r="Z629" s="213"/>
      <c r="AA629" s="200"/>
      <c r="AB629" s="200"/>
      <c r="AC629" s="213"/>
      <c r="AD629" s="213"/>
      <c r="AE629" s="200"/>
      <c r="AF629" s="200"/>
      <c r="AG629" s="209"/>
      <c r="AH629" s="201"/>
      <c r="AI629" s="200"/>
      <c r="AJ629" s="200"/>
      <c r="AK629" s="209"/>
      <c r="AL629" s="200"/>
      <c r="AM629" s="210"/>
      <c r="AN629" s="210"/>
    </row>
    <row r="630" spans="1:40" x14ac:dyDescent="0.25">
      <c r="F630" s="200"/>
      <c r="H630" s="211"/>
      <c r="I630" s="211"/>
      <c r="J630" s="305"/>
      <c r="K630" s="305"/>
      <c r="L630" s="211"/>
      <c r="M630" s="211"/>
      <c r="N630" s="211"/>
      <c r="O630" s="211"/>
      <c r="P630" s="211"/>
      <c r="Q630" s="211"/>
      <c r="R630" s="211"/>
      <c r="V630" s="211"/>
      <c r="Y630" s="211"/>
      <c r="Z630" s="305"/>
      <c r="AA630" s="211"/>
      <c r="AB630" s="211"/>
      <c r="AC630" s="211"/>
      <c r="AD630" s="211"/>
      <c r="AE630" s="211"/>
      <c r="AF630" s="211"/>
      <c r="AI630" s="211"/>
      <c r="AJ630" s="211"/>
      <c r="AK630" s="212"/>
      <c r="AL630" s="211"/>
      <c r="AM630" s="210"/>
      <c r="AN630" s="210"/>
    </row>
    <row r="631" spans="1:40" x14ac:dyDescent="0.25">
      <c r="A631" s="202"/>
      <c r="C631" s="154"/>
      <c r="F631" s="211"/>
      <c r="H631" s="200"/>
      <c r="I631" s="200"/>
      <c r="J631" s="213"/>
      <c r="K631" s="213"/>
      <c r="L631" s="200"/>
      <c r="M631" s="200"/>
      <c r="N631" s="213"/>
      <c r="O631" s="213"/>
      <c r="P631" s="200"/>
      <c r="Q631" s="200"/>
      <c r="R631" s="200"/>
      <c r="T631" s="154"/>
      <c r="V631" s="200"/>
      <c r="Y631" s="200"/>
      <c r="Z631" s="213"/>
      <c r="AA631" s="200"/>
      <c r="AB631" s="200"/>
      <c r="AC631" s="213"/>
      <c r="AD631" s="213"/>
      <c r="AE631" s="200"/>
      <c r="AF631" s="200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F632" s="200"/>
      <c r="H632" s="200"/>
      <c r="I632" s="200"/>
      <c r="J632" s="213"/>
      <c r="K632" s="213"/>
      <c r="L632" s="200"/>
      <c r="M632" s="200"/>
      <c r="N632" s="213"/>
      <c r="O632" s="213"/>
      <c r="P632" s="200"/>
      <c r="Q632" s="200"/>
      <c r="R632" s="200"/>
      <c r="V632" s="200"/>
      <c r="Y632" s="200"/>
      <c r="Z632" s="213"/>
      <c r="AA632" s="200"/>
      <c r="AB632" s="200"/>
      <c r="AC632" s="213"/>
      <c r="AD632" s="213"/>
      <c r="AG632" s="209"/>
      <c r="AH632" s="201"/>
      <c r="AI632" s="200"/>
      <c r="AJ632" s="200"/>
      <c r="AK632" s="209"/>
      <c r="AL632" s="200"/>
      <c r="AM632" s="210"/>
      <c r="AN632" s="210"/>
    </row>
    <row r="633" spans="1:40" x14ac:dyDescent="0.25">
      <c r="A633" s="202"/>
      <c r="C633" s="154"/>
      <c r="D633" s="154"/>
      <c r="E633" s="154"/>
      <c r="F633" s="200"/>
      <c r="H633" s="200"/>
      <c r="I633" s="200"/>
      <c r="J633" s="213"/>
      <c r="K633" s="213"/>
      <c r="L633" s="200"/>
      <c r="M633" s="200"/>
      <c r="N633" s="213"/>
      <c r="O633" s="213"/>
      <c r="P633" s="200"/>
      <c r="Q633" s="200"/>
      <c r="R633" s="200"/>
      <c r="T633" s="154"/>
      <c r="U633" s="154"/>
      <c r="V633" s="200"/>
      <c r="Y633" s="200"/>
      <c r="Z633" s="213"/>
      <c r="AA633" s="200"/>
      <c r="AB633" s="200"/>
      <c r="AC633" s="213"/>
      <c r="AD633" s="213"/>
      <c r="AE633" s="200"/>
      <c r="AF633" s="200"/>
      <c r="AG633" s="209"/>
      <c r="AH633" s="201"/>
      <c r="AI633" s="200"/>
      <c r="AJ633" s="200"/>
      <c r="AK633" s="209"/>
      <c r="AL633" s="200"/>
      <c r="AM633" s="210"/>
      <c r="AN633" s="210"/>
    </row>
    <row r="634" spans="1:40" x14ac:dyDescent="0.25">
      <c r="A634" s="202"/>
      <c r="C634" s="154"/>
      <c r="D634" s="154"/>
      <c r="E634" s="154"/>
      <c r="F634" s="200"/>
      <c r="G634" s="200"/>
      <c r="H634" s="200"/>
      <c r="I634" s="200"/>
      <c r="J634" s="213"/>
      <c r="K634" s="213"/>
      <c r="L634" s="200"/>
      <c r="M634" s="200"/>
      <c r="N634" s="213"/>
      <c r="O634" s="213"/>
      <c r="P634" s="200"/>
      <c r="Q634" s="200"/>
      <c r="R634" s="200"/>
      <c r="T634" s="154"/>
      <c r="U634" s="154"/>
      <c r="V634" s="200"/>
      <c r="W634" s="200"/>
      <c r="X634" s="200"/>
      <c r="Y634" s="200"/>
      <c r="Z634" s="213"/>
      <c r="AA634" s="200"/>
      <c r="AB634" s="200"/>
      <c r="AC634" s="213"/>
      <c r="AD634" s="213"/>
      <c r="AE634" s="200"/>
      <c r="AF634" s="200"/>
      <c r="AG634" s="209"/>
      <c r="AH634" s="201"/>
      <c r="AI634" s="200"/>
      <c r="AJ634" s="200"/>
      <c r="AK634" s="209"/>
      <c r="AL634" s="200"/>
      <c r="AM634" s="210"/>
      <c r="AN634" s="210"/>
    </row>
    <row r="635" spans="1:40" x14ac:dyDescent="0.25">
      <c r="A635" s="202"/>
      <c r="C635" s="154"/>
      <c r="D635" s="154"/>
      <c r="E635" s="154"/>
      <c r="F635" s="200"/>
      <c r="G635" s="200"/>
      <c r="H635" s="200"/>
      <c r="I635" s="200"/>
      <c r="J635" s="213"/>
      <c r="K635" s="213"/>
      <c r="L635" s="200"/>
      <c r="M635" s="200"/>
      <c r="N635" s="213"/>
      <c r="O635" s="213"/>
      <c r="P635" s="200"/>
      <c r="Q635" s="200"/>
      <c r="R635" s="200"/>
      <c r="T635" s="154"/>
      <c r="U635" s="154"/>
      <c r="V635" s="200"/>
      <c r="W635" s="200"/>
      <c r="X635" s="200"/>
      <c r="Y635" s="200"/>
      <c r="Z635" s="213"/>
      <c r="AA635" s="200"/>
      <c r="AB635" s="200"/>
      <c r="AC635" s="213"/>
      <c r="AD635" s="213"/>
      <c r="AE635" s="200"/>
      <c r="AF635" s="200"/>
      <c r="AG635" s="209"/>
      <c r="AH635" s="201"/>
      <c r="AI635" s="200"/>
      <c r="AJ635" s="200"/>
      <c r="AK635" s="209"/>
      <c r="AL635" s="200"/>
      <c r="AM635" s="210"/>
      <c r="AN635" s="210"/>
    </row>
    <row r="636" spans="1:40" x14ac:dyDescent="0.25">
      <c r="A636" s="202"/>
      <c r="C636" s="154"/>
      <c r="D636" s="154"/>
      <c r="E636" s="154"/>
      <c r="F636" s="200"/>
      <c r="H636" s="200"/>
      <c r="I636" s="200"/>
      <c r="J636" s="213"/>
      <c r="K636" s="213"/>
      <c r="L636" s="200"/>
      <c r="M636" s="200"/>
      <c r="N636" s="213"/>
      <c r="O636" s="213"/>
      <c r="P636" s="200"/>
      <c r="Q636" s="200"/>
      <c r="R636" s="200"/>
      <c r="T636" s="154"/>
      <c r="U636" s="154"/>
      <c r="V636" s="200"/>
      <c r="Y636" s="200"/>
      <c r="Z636" s="213"/>
      <c r="AA636" s="200"/>
      <c r="AB636" s="200"/>
      <c r="AC636" s="213"/>
      <c r="AD636" s="213"/>
      <c r="AE636" s="200"/>
      <c r="AF636" s="200"/>
      <c r="AG636" s="209"/>
      <c r="AH636" s="201"/>
      <c r="AI636" s="200"/>
      <c r="AJ636" s="200"/>
      <c r="AK636" s="209"/>
      <c r="AL636" s="200"/>
      <c r="AM636" s="210"/>
      <c r="AN636" s="210"/>
    </row>
    <row r="637" spans="1:40" x14ac:dyDescent="0.25">
      <c r="A637" s="202"/>
      <c r="C637" s="154"/>
      <c r="D637" s="154"/>
      <c r="E637" s="154"/>
      <c r="F637" s="200"/>
      <c r="H637" s="200"/>
      <c r="I637" s="200"/>
      <c r="J637" s="213"/>
      <c r="K637" s="213"/>
      <c r="L637" s="200"/>
      <c r="M637" s="200"/>
      <c r="N637" s="213"/>
      <c r="O637" s="213"/>
      <c r="P637" s="200"/>
      <c r="Q637" s="200"/>
      <c r="R637" s="200"/>
      <c r="T637" s="154"/>
      <c r="U637" s="154"/>
      <c r="V637" s="200"/>
      <c r="Y637" s="200"/>
      <c r="Z637" s="213"/>
      <c r="AA637" s="200"/>
      <c r="AB637" s="200"/>
      <c r="AC637" s="213"/>
      <c r="AD637" s="213"/>
      <c r="AE637" s="200"/>
      <c r="AF637" s="200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A638" s="202"/>
      <c r="C638" s="154"/>
      <c r="D638" s="154"/>
      <c r="E638" s="154"/>
      <c r="F638" s="200"/>
      <c r="H638" s="200"/>
      <c r="I638" s="200"/>
      <c r="J638" s="213"/>
      <c r="K638" s="213"/>
      <c r="L638" s="200"/>
      <c r="M638" s="200"/>
      <c r="N638" s="213"/>
      <c r="O638" s="213"/>
      <c r="P638" s="200"/>
      <c r="Q638" s="200"/>
      <c r="R638" s="200"/>
      <c r="T638" s="154"/>
      <c r="U638" s="154"/>
      <c r="V638" s="200"/>
      <c r="Y638" s="200"/>
      <c r="Z638" s="213"/>
      <c r="AA638" s="200"/>
      <c r="AB638" s="200"/>
      <c r="AC638" s="213"/>
      <c r="AD638" s="213"/>
      <c r="AE638" s="200"/>
      <c r="AF638" s="200"/>
      <c r="AG638" s="209"/>
      <c r="AH638" s="201"/>
      <c r="AI638" s="200"/>
      <c r="AJ638" s="200"/>
      <c r="AK638" s="209"/>
      <c r="AL638" s="200"/>
      <c r="AM638" s="210"/>
      <c r="AN638" s="210"/>
    </row>
    <row r="639" spans="1:40" x14ac:dyDescent="0.25">
      <c r="A639" s="202"/>
      <c r="C639" s="154"/>
      <c r="D639" s="154"/>
      <c r="E639" s="154"/>
      <c r="F639" s="200"/>
      <c r="H639" s="200"/>
      <c r="I639" s="200"/>
      <c r="J639" s="213"/>
      <c r="K639" s="213"/>
      <c r="L639" s="200"/>
      <c r="M639" s="200"/>
      <c r="N639" s="213"/>
      <c r="O639" s="213"/>
      <c r="P639" s="200"/>
      <c r="Q639" s="200"/>
      <c r="R639" s="200"/>
      <c r="T639" s="154"/>
      <c r="U639" s="154"/>
      <c r="V639" s="200"/>
      <c r="Y639" s="200"/>
      <c r="Z639" s="213"/>
      <c r="AA639" s="200"/>
      <c r="AB639" s="200"/>
      <c r="AC639" s="213"/>
      <c r="AD639" s="213"/>
      <c r="AE639" s="200"/>
      <c r="AF639" s="200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F640" s="200"/>
      <c r="H640" s="211"/>
      <c r="I640" s="211"/>
      <c r="J640" s="305"/>
      <c r="K640" s="305"/>
      <c r="L640" s="211"/>
      <c r="M640" s="211"/>
      <c r="N640" s="211"/>
      <c r="O640" s="211"/>
      <c r="P640" s="211"/>
      <c r="Q640" s="211"/>
      <c r="R640" s="211"/>
      <c r="V640" s="211"/>
      <c r="Y640" s="211"/>
      <c r="Z640" s="305"/>
      <c r="AA640" s="211"/>
      <c r="AB640" s="211"/>
      <c r="AC640" s="211"/>
      <c r="AD640" s="211"/>
      <c r="AE640" s="211"/>
      <c r="AF640" s="211"/>
      <c r="AI640" s="211"/>
      <c r="AJ640" s="211"/>
      <c r="AK640" s="212"/>
      <c r="AL640" s="211"/>
      <c r="AM640" s="210"/>
      <c r="AN640" s="210"/>
    </row>
    <row r="641" spans="1:40" x14ac:dyDescent="0.25">
      <c r="A641" s="202"/>
      <c r="C641" s="154"/>
      <c r="F641" s="211"/>
      <c r="H641" s="200"/>
      <c r="I641" s="200"/>
      <c r="J641" s="213"/>
      <c r="K641" s="213"/>
      <c r="L641" s="200"/>
      <c r="M641" s="200"/>
      <c r="N641" s="213"/>
      <c r="O641" s="213"/>
      <c r="P641" s="200"/>
      <c r="Q641" s="200"/>
      <c r="R641" s="200"/>
      <c r="T641" s="154"/>
      <c r="V641" s="200"/>
      <c r="Y641" s="200"/>
      <c r="Z641" s="213"/>
      <c r="AA641" s="200"/>
      <c r="AB641" s="200"/>
      <c r="AC641" s="213"/>
      <c r="AD641" s="213"/>
      <c r="AE641" s="200"/>
      <c r="AF641" s="200"/>
      <c r="AG641" s="209"/>
      <c r="AH641" s="201"/>
      <c r="AI641" s="200"/>
      <c r="AJ641" s="200"/>
      <c r="AK641" s="209"/>
      <c r="AL641" s="200"/>
      <c r="AM641" s="210"/>
      <c r="AN641" s="210"/>
    </row>
    <row r="642" spans="1:40" x14ac:dyDescent="0.25">
      <c r="F642" s="200"/>
      <c r="V642" s="200"/>
      <c r="Y642" s="200"/>
      <c r="Z642" s="305"/>
      <c r="AA642" s="200"/>
      <c r="AB642" s="200"/>
      <c r="AC642" s="200"/>
      <c r="AD642" s="200"/>
      <c r="AE642" s="200"/>
      <c r="AF642" s="200"/>
      <c r="AI642" s="200"/>
      <c r="AJ642" s="200"/>
      <c r="AK642" s="209"/>
      <c r="AL642" s="200"/>
      <c r="AM642" s="210"/>
      <c r="AN642" s="210"/>
    </row>
    <row r="643" spans="1:40" x14ac:dyDescent="0.25">
      <c r="A643" s="202"/>
      <c r="C643" s="154"/>
      <c r="D643" s="154"/>
      <c r="E643" s="154"/>
      <c r="L643" s="200"/>
      <c r="M643" s="200"/>
      <c r="N643" s="213"/>
      <c r="O643" s="213"/>
      <c r="P643" s="202"/>
      <c r="Q643" s="202"/>
      <c r="R643" s="200"/>
      <c r="T643" s="154"/>
      <c r="U643" s="154"/>
      <c r="AA643" s="200"/>
      <c r="AB643" s="200"/>
      <c r="AC643" s="213"/>
      <c r="AD643" s="213"/>
      <c r="AE643" s="200"/>
      <c r="AF643" s="200"/>
      <c r="AG643" s="209"/>
      <c r="AH643" s="201"/>
      <c r="AI643" s="202"/>
      <c r="AJ643" s="202"/>
      <c r="AK643" s="209"/>
      <c r="AL643" s="200"/>
      <c r="AM643" s="210"/>
      <c r="AN643" s="210"/>
    </row>
    <row r="644" spans="1:40" x14ac:dyDescent="0.25">
      <c r="A644" s="202"/>
      <c r="D644" s="154"/>
      <c r="E644" s="154"/>
      <c r="H644" s="252"/>
      <c r="I644" s="252"/>
      <c r="J644" s="213"/>
      <c r="K644" s="213"/>
      <c r="L644" s="200"/>
      <c r="M644" s="200"/>
      <c r="N644" s="213"/>
      <c r="O644" s="213"/>
      <c r="P644" s="252"/>
      <c r="Q644" s="252"/>
      <c r="R644" s="200"/>
      <c r="U644" s="154"/>
      <c r="V644" s="200"/>
      <c r="Y644" s="200"/>
      <c r="Z644" s="213"/>
      <c r="AA644" s="200"/>
      <c r="AB644" s="200"/>
      <c r="AC644" s="213"/>
      <c r="AD644" s="213"/>
      <c r="AE644" s="200"/>
      <c r="AF644" s="200"/>
      <c r="AG644" s="209"/>
      <c r="AH644" s="201"/>
      <c r="AI644" s="200"/>
      <c r="AJ644" s="200"/>
      <c r="AK644" s="209"/>
      <c r="AL644" s="200"/>
      <c r="AM644" s="210"/>
      <c r="AN644" s="210"/>
    </row>
    <row r="645" spans="1:40" x14ac:dyDescent="0.25">
      <c r="F645" s="252"/>
      <c r="H645" s="211"/>
      <c r="I645" s="211"/>
      <c r="J645" s="305"/>
      <c r="K645" s="305"/>
      <c r="L645" s="211"/>
      <c r="M645" s="211"/>
      <c r="N645" s="211"/>
      <c r="O645" s="211"/>
      <c r="P645" s="211"/>
      <c r="Q645" s="211"/>
      <c r="R645" s="211"/>
      <c r="V645" s="211"/>
      <c r="Y645" s="211"/>
      <c r="Z645" s="305"/>
      <c r="AA645" s="211"/>
      <c r="AB645" s="211"/>
      <c r="AC645" s="211"/>
      <c r="AD645" s="211"/>
      <c r="AE645" s="211"/>
      <c r="AF645" s="211"/>
      <c r="AI645" s="211"/>
      <c r="AJ645" s="211"/>
      <c r="AK645" s="212"/>
      <c r="AL645" s="211"/>
      <c r="AM645" s="210"/>
      <c r="AN645" s="210"/>
    </row>
    <row r="646" spans="1:40" x14ac:dyDescent="0.25">
      <c r="A646" s="202"/>
      <c r="C646" s="154"/>
      <c r="F646" s="211"/>
      <c r="H646" s="200"/>
      <c r="I646" s="200"/>
      <c r="J646" s="213"/>
      <c r="K646" s="213"/>
      <c r="L646" s="200"/>
      <c r="M646" s="200"/>
      <c r="N646" s="213"/>
      <c r="O646" s="213"/>
      <c r="P646" s="200"/>
      <c r="Q646" s="200"/>
      <c r="R646" s="200"/>
      <c r="T646" s="154"/>
      <c r="V646" s="200"/>
      <c r="Y646" s="200"/>
      <c r="Z646" s="213"/>
      <c r="AA646" s="200"/>
      <c r="AB646" s="200"/>
      <c r="AC646" s="213"/>
      <c r="AD646" s="213"/>
      <c r="AE646" s="200"/>
      <c r="AF646" s="200"/>
      <c r="AG646" s="209"/>
      <c r="AH646" s="201"/>
      <c r="AI646" s="200"/>
      <c r="AJ646" s="200"/>
      <c r="AK646" s="209"/>
      <c r="AL646" s="200"/>
      <c r="AM646" s="210"/>
      <c r="AN646" s="210"/>
    </row>
    <row r="647" spans="1:40" x14ac:dyDescent="0.25">
      <c r="F647" s="200"/>
      <c r="H647" s="200"/>
      <c r="I647" s="200"/>
      <c r="J647" s="213"/>
      <c r="K647" s="213"/>
      <c r="L647" s="200"/>
      <c r="M647" s="200"/>
      <c r="N647" s="213"/>
      <c r="O647" s="213"/>
      <c r="P647" s="200"/>
      <c r="Q647" s="200"/>
      <c r="R647" s="200"/>
      <c r="V647" s="200"/>
      <c r="Y647" s="200"/>
      <c r="Z647" s="213"/>
      <c r="AA647" s="200"/>
      <c r="AB647" s="200"/>
      <c r="AC647" s="213"/>
      <c r="AD647" s="213"/>
      <c r="AG647" s="209"/>
      <c r="AH647" s="201"/>
      <c r="AI647" s="200"/>
      <c r="AJ647" s="200"/>
      <c r="AK647" s="209"/>
      <c r="AL647" s="200"/>
      <c r="AM647" s="210"/>
      <c r="AN647" s="210"/>
    </row>
    <row r="648" spans="1:40" x14ac:dyDescent="0.25">
      <c r="A648" s="202"/>
      <c r="D648" s="154"/>
      <c r="E648" s="154"/>
      <c r="F648" s="200"/>
      <c r="H648" s="200"/>
      <c r="I648" s="200"/>
      <c r="J648" s="213"/>
      <c r="K648" s="213"/>
      <c r="L648" s="252"/>
      <c r="M648" s="252"/>
      <c r="N648" s="213"/>
      <c r="O648" s="213"/>
      <c r="P648" s="200"/>
      <c r="Q648" s="200"/>
      <c r="R648" s="200"/>
      <c r="U648" s="154"/>
      <c r="V648" s="200"/>
      <c r="Y648" s="200"/>
      <c r="Z648" s="213"/>
      <c r="AA648" s="252"/>
      <c r="AB648" s="252"/>
      <c r="AC648" s="213"/>
      <c r="AD648" s="213"/>
      <c r="AE648" s="200"/>
      <c r="AF648" s="200"/>
      <c r="AG648" s="209"/>
      <c r="AH648" s="201"/>
      <c r="AI648" s="200"/>
      <c r="AJ648" s="200"/>
      <c r="AK648" s="209"/>
      <c r="AL648" s="200"/>
      <c r="AM648" s="210"/>
      <c r="AN648" s="210"/>
    </row>
    <row r="649" spans="1:40" x14ac:dyDescent="0.25">
      <c r="A649" s="202"/>
      <c r="D649" s="154"/>
      <c r="E649" s="154"/>
      <c r="F649" s="200"/>
      <c r="H649" s="200"/>
      <c r="I649" s="200"/>
      <c r="J649" s="213"/>
      <c r="K649" s="213"/>
      <c r="L649" s="252"/>
      <c r="M649" s="252"/>
      <c r="N649" s="213"/>
      <c r="O649" s="213"/>
      <c r="P649" s="200"/>
      <c r="Q649" s="200"/>
      <c r="R649" s="200"/>
      <c r="U649" s="154"/>
      <c r="V649" s="200"/>
      <c r="Y649" s="200"/>
      <c r="Z649" s="213"/>
      <c r="AA649" s="252"/>
      <c r="AB649" s="252"/>
      <c r="AC649" s="213"/>
      <c r="AD649" s="213"/>
      <c r="AE649" s="200"/>
      <c r="AF649" s="200"/>
      <c r="AG649" s="209"/>
      <c r="AH649" s="201"/>
      <c r="AI649" s="200"/>
      <c r="AJ649" s="200"/>
      <c r="AK649" s="209"/>
      <c r="AL649" s="200"/>
      <c r="AM649" s="210"/>
      <c r="AN649" s="210"/>
    </row>
    <row r="650" spans="1:40" x14ac:dyDescent="0.25">
      <c r="A650" s="202"/>
      <c r="D650" s="154"/>
      <c r="E650" s="154"/>
      <c r="F650" s="200"/>
      <c r="H650" s="200"/>
      <c r="I650" s="200"/>
      <c r="J650" s="213"/>
      <c r="K650" s="213"/>
      <c r="L650" s="252"/>
      <c r="M650" s="252"/>
      <c r="N650" s="213"/>
      <c r="O650" s="213"/>
      <c r="P650" s="200"/>
      <c r="Q650" s="200"/>
      <c r="R650" s="200"/>
      <c r="U650" s="154"/>
      <c r="V650" s="200"/>
      <c r="Y650" s="200"/>
      <c r="Z650" s="213"/>
      <c r="AA650" s="252"/>
      <c r="AB650" s="252"/>
      <c r="AC650" s="213"/>
      <c r="AD650" s="213"/>
      <c r="AE650" s="200"/>
      <c r="AF650" s="200"/>
      <c r="AG650" s="209"/>
      <c r="AH650" s="201"/>
      <c r="AI650" s="200"/>
      <c r="AJ650" s="200"/>
      <c r="AK650" s="209"/>
      <c r="AL650" s="200"/>
      <c r="AM650" s="210"/>
      <c r="AN650" s="210"/>
    </row>
    <row r="651" spans="1:40" x14ac:dyDescent="0.25">
      <c r="F651" s="200"/>
      <c r="H651" s="211"/>
      <c r="I651" s="211"/>
      <c r="J651" s="305"/>
      <c r="K651" s="305"/>
      <c r="L651" s="211"/>
      <c r="M651" s="211"/>
      <c r="N651" s="211"/>
      <c r="O651" s="211"/>
      <c r="P651" s="211"/>
      <c r="Q651" s="211"/>
      <c r="R651" s="211"/>
      <c r="V651" s="211"/>
      <c r="Y651" s="211"/>
      <c r="Z651" s="305"/>
      <c r="AA651" s="211"/>
      <c r="AB651" s="211"/>
      <c r="AC651" s="211"/>
      <c r="AD651" s="211"/>
      <c r="AE651" s="211"/>
      <c r="AF651" s="211"/>
      <c r="AI651" s="211"/>
      <c r="AJ651" s="211"/>
      <c r="AK651" s="212"/>
      <c r="AL651" s="211"/>
      <c r="AM651" s="210"/>
      <c r="AN651" s="210"/>
    </row>
    <row r="652" spans="1:40" x14ac:dyDescent="0.25">
      <c r="A652" s="202"/>
      <c r="C652" s="154"/>
      <c r="F652" s="211"/>
      <c r="H652" s="200"/>
      <c r="I652" s="200"/>
      <c r="J652" s="213"/>
      <c r="K652" s="213"/>
      <c r="L652" s="200"/>
      <c r="M652" s="200"/>
      <c r="N652" s="213"/>
      <c r="O652" s="213"/>
      <c r="P652" s="200"/>
      <c r="Q652" s="200"/>
      <c r="R652" s="200"/>
      <c r="T652" s="154"/>
      <c r="V652" s="200"/>
      <c r="Y652" s="200"/>
      <c r="Z652" s="213"/>
      <c r="AA652" s="200"/>
      <c r="AB652" s="200"/>
      <c r="AC652" s="213"/>
      <c r="AD652" s="213"/>
      <c r="AE652" s="200"/>
      <c r="AF652" s="200"/>
      <c r="AG652" s="209"/>
      <c r="AH652" s="201"/>
      <c r="AI652" s="200"/>
      <c r="AJ652" s="200"/>
      <c r="AK652" s="209"/>
      <c r="AL652" s="200"/>
      <c r="AM652" s="210"/>
      <c r="AN652" s="210"/>
    </row>
    <row r="653" spans="1:40" x14ac:dyDescent="0.25">
      <c r="F653" s="200"/>
      <c r="H653" s="200"/>
      <c r="I653" s="200"/>
      <c r="J653" s="213"/>
      <c r="K653" s="213"/>
      <c r="L653" s="200"/>
      <c r="M653" s="200"/>
      <c r="N653" s="213"/>
      <c r="O653" s="213"/>
      <c r="P653" s="200"/>
      <c r="Q653" s="200"/>
      <c r="R653" s="200"/>
      <c r="V653" s="200"/>
      <c r="Y653" s="200"/>
      <c r="Z653" s="213"/>
      <c r="AA653" s="200"/>
      <c r="AB653" s="200"/>
      <c r="AC653" s="213"/>
      <c r="AD653" s="213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C654" s="154"/>
      <c r="F654" s="200"/>
      <c r="H654" s="200"/>
      <c r="I654" s="200"/>
      <c r="J654" s="213"/>
      <c r="K654" s="213"/>
      <c r="L654" s="200"/>
      <c r="M654" s="200"/>
      <c r="N654" s="213"/>
      <c r="O654" s="213"/>
      <c r="P654" s="200"/>
      <c r="Q654" s="200"/>
      <c r="R654" s="200"/>
      <c r="T654" s="154"/>
      <c r="V654" s="200"/>
      <c r="Y654" s="200"/>
      <c r="Z654" s="213"/>
      <c r="AA654" s="200"/>
      <c r="AB654" s="200"/>
      <c r="AC654" s="213"/>
      <c r="AD654" s="213"/>
      <c r="AE654" s="200"/>
      <c r="AF654" s="200"/>
      <c r="AG654" s="209"/>
      <c r="AH654" s="201"/>
      <c r="AI654" s="200"/>
      <c r="AJ654" s="200"/>
      <c r="AK654" s="209"/>
      <c r="AL654" s="200"/>
      <c r="AM654" s="210"/>
      <c r="AN654" s="210"/>
    </row>
    <row r="655" spans="1:40" x14ac:dyDescent="0.25">
      <c r="F655" s="200"/>
      <c r="H655" s="211"/>
      <c r="I655" s="211"/>
      <c r="J655" s="305"/>
      <c r="K655" s="305"/>
      <c r="L655" s="211"/>
      <c r="M655" s="211"/>
      <c r="N655" s="211"/>
      <c r="O655" s="211"/>
      <c r="P655" s="211"/>
      <c r="Q655" s="211"/>
      <c r="R655" s="211"/>
      <c r="V655" s="211"/>
      <c r="Y655" s="211"/>
      <c r="Z655" s="305"/>
      <c r="AA655" s="211"/>
      <c r="AB655" s="211"/>
      <c r="AC655" s="211"/>
      <c r="AD655" s="211"/>
      <c r="AE655" s="211"/>
      <c r="AF655" s="211"/>
      <c r="AI655" s="211"/>
      <c r="AJ655" s="211"/>
      <c r="AK655" s="212"/>
      <c r="AL655" s="211"/>
    </row>
    <row r="657" spans="1:20" x14ac:dyDescent="0.25">
      <c r="C657" s="154"/>
      <c r="F657" s="211"/>
      <c r="L657" s="200"/>
      <c r="M657" s="200"/>
      <c r="P657" s="200"/>
      <c r="Q657" s="200"/>
      <c r="R657" s="200"/>
      <c r="T657" s="154"/>
    </row>
    <row r="658" spans="1:20" x14ac:dyDescent="0.25">
      <c r="A658" s="154"/>
      <c r="L658" s="200"/>
      <c r="M658" s="200"/>
      <c r="P658" s="200"/>
      <c r="Q658" s="200"/>
      <c r="R658" s="200"/>
    </row>
    <row r="659" spans="1:20" x14ac:dyDescent="0.25">
      <c r="L659" s="200"/>
      <c r="M659" s="200"/>
      <c r="P659" s="200"/>
      <c r="Q659" s="200"/>
      <c r="R659" s="200"/>
    </row>
    <row r="660" spans="1:20" x14ac:dyDescent="0.25">
      <c r="L660" s="200"/>
      <c r="M660" s="200"/>
      <c r="P660" s="200"/>
      <c r="Q660" s="200"/>
      <c r="R660" s="200"/>
    </row>
    <row r="661" spans="1:20" x14ac:dyDescent="0.25">
      <c r="L661" s="200"/>
      <c r="M661" s="200"/>
      <c r="P661" s="200"/>
      <c r="Q661" s="200"/>
      <c r="R661" s="200"/>
    </row>
    <row r="662" spans="1:20" x14ac:dyDescent="0.25">
      <c r="L662" s="200"/>
      <c r="M662" s="200"/>
      <c r="P662" s="200"/>
      <c r="Q662" s="200"/>
      <c r="R662" s="200"/>
    </row>
    <row r="663" spans="1:20" x14ac:dyDescent="0.25">
      <c r="L663" s="200"/>
      <c r="M663" s="200"/>
      <c r="P663" s="200"/>
      <c r="Q663" s="200"/>
      <c r="R663" s="200"/>
    </row>
    <row r="696" spans="49:49" x14ac:dyDescent="0.25">
      <c r="AW696" s="200"/>
    </row>
    <row r="697" spans="49:49" x14ac:dyDescent="0.25">
      <c r="AW697" s="200"/>
    </row>
    <row r="698" spans="49:49" x14ac:dyDescent="0.25">
      <c r="AW698" s="200"/>
    </row>
    <row r="699" spans="49:49" x14ac:dyDescent="0.25">
      <c r="AW699" s="200"/>
    </row>
    <row r="700" spans="49:49" x14ac:dyDescent="0.25">
      <c r="AW700" s="200"/>
    </row>
    <row r="701" spans="49:49" x14ac:dyDescent="0.25">
      <c r="AW701" s="200"/>
    </row>
    <row r="704" spans="49:49" x14ac:dyDescent="0.25">
      <c r="AW704" s="200"/>
    </row>
    <row r="705" spans="49:49" x14ac:dyDescent="0.25">
      <c r="AW705" s="200"/>
    </row>
    <row r="706" spans="49:49" x14ac:dyDescent="0.25">
      <c r="AW706" s="200"/>
    </row>
    <row r="707" spans="49:49" x14ac:dyDescent="0.25">
      <c r="AW707" s="200"/>
    </row>
    <row r="708" spans="49:49" x14ac:dyDescent="0.25">
      <c r="AW708" s="200"/>
    </row>
    <row r="709" spans="49:49" x14ac:dyDescent="0.25">
      <c r="AW709" s="200"/>
    </row>
    <row r="710" spans="49:49" x14ac:dyDescent="0.25">
      <c r="AW710" s="200"/>
    </row>
    <row r="711" spans="49:49" x14ac:dyDescent="0.25">
      <c r="AW711" s="200"/>
    </row>
    <row r="714" spans="49:49" x14ac:dyDescent="0.25">
      <c r="AW714" s="200"/>
    </row>
    <row r="715" spans="49:49" x14ac:dyDescent="0.25">
      <c r="AW715" s="200"/>
    </row>
    <row r="718" spans="49:49" x14ac:dyDescent="0.25">
      <c r="AW718" s="200"/>
    </row>
    <row r="719" spans="49:49" x14ac:dyDescent="0.25">
      <c r="AW719" s="200"/>
    </row>
    <row r="720" spans="49:49" x14ac:dyDescent="0.25">
      <c r="AW720" s="200"/>
    </row>
    <row r="721" spans="45:57" x14ac:dyDescent="0.25">
      <c r="AW721" s="200"/>
    </row>
    <row r="727" spans="45:57" x14ac:dyDescent="0.25">
      <c r="AY727" s="202"/>
    </row>
    <row r="728" spans="45:57" x14ac:dyDescent="0.25">
      <c r="AY728" s="202"/>
    </row>
    <row r="729" spans="45:57" x14ac:dyDescent="0.25">
      <c r="AY729" s="154"/>
    </row>
    <row r="730" spans="45:57" x14ac:dyDescent="0.25">
      <c r="AY730" s="154"/>
    </row>
    <row r="731" spans="45:57" x14ac:dyDescent="0.25">
      <c r="AS731" s="202"/>
      <c r="BD731" s="154"/>
    </row>
    <row r="732" spans="45:57" x14ac:dyDescent="0.25">
      <c r="AS732" s="202"/>
      <c r="BD732" s="154"/>
    </row>
    <row r="733" spans="45:57" x14ac:dyDescent="0.25">
      <c r="AS733" s="154"/>
      <c r="BD733" s="154"/>
    </row>
    <row r="734" spans="45:57" x14ac:dyDescent="0.25">
      <c r="BD734" s="202"/>
    </row>
    <row r="735" spans="45:57" x14ac:dyDescent="0.25"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</row>
    <row r="736" spans="45:57" x14ac:dyDescent="0.25">
      <c r="AX736" s="154"/>
    </row>
    <row r="737" spans="45:69" x14ac:dyDescent="0.25">
      <c r="AX737" s="102"/>
      <c r="AY737" s="102"/>
      <c r="AZ737" s="102"/>
      <c r="BA737" s="102"/>
      <c r="BC737" s="103"/>
      <c r="BD737" s="103"/>
    </row>
    <row r="738" spans="45:69" x14ac:dyDescent="0.25">
      <c r="AV738" s="103"/>
      <c r="AW738" s="103"/>
      <c r="AZ738" s="103"/>
      <c r="BA738" s="103"/>
      <c r="BC738" s="103"/>
      <c r="BD738" s="103"/>
      <c r="BE738" s="103"/>
      <c r="BG738" s="102"/>
      <c r="BH738" s="154"/>
      <c r="BK738" s="102"/>
      <c r="BM738" s="102"/>
      <c r="BN738" s="154"/>
      <c r="BQ738" s="102"/>
    </row>
    <row r="739" spans="45:69" x14ac:dyDescent="0.25"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H739" s="103"/>
      <c r="BI739" s="103"/>
      <c r="BJ739" s="103"/>
      <c r="BN739" s="103"/>
      <c r="BO739" s="103"/>
      <c r="BP739" s="103"/>
    </row>
    <row r="740" spans="45:69" x14ac:dyDescent="0.25">
      <c r="AS740" s="103"/>
      <c r="AU740" s="154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G740" s="103"/>
      <c r="BH740" s="103"/>
      <c r="BI740" s="103"/>
      <c r="BJ740" s="103"/>
      <c r="BK740" s="103"/>
      <c r="BM740" s="103"/>
      <c r="BN740" s="103"/>
      <c r="BO740" s="103"/>
      <c r="BP740" s="103"/>
      <c r="BQ740" s="103"/>
    </row>
    <row r="741" spans="45:69" x14ac:dyDescent="0.25">
      <c r="AS741" s="103"/>
      <c r="AU741" s="154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G741" s="103"/>
      <c r="BH741" s="103"/>
      <c r="BI741" s="103"/>
      <c r="BJ741" s="103"/>
      <c r="BK741" s="103"/>
      <c r="BM741" s="103"/>
      <c r="BN741" s="103"/>
      <c r="BO741" s="103"/>
      <c r="BP741" s="103"/>
      <c r="BQ741" s="103"/>
    </row>
    <row r="742" spans="45:69" x14ac:dyDescent="0.25"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G742" s="102"/>
      <c r="BH742" s="102"/>
      <c r="BI742" s="102"/>
      <c r="BJ742" s="102"/>
      <c r="BK742" s="102"/>
      <c r="BM742" s="102"/>
      <c r="BN742" s="102"/>
      <c r="BO742" s="102"/>
      <c r="BP742" s="102"/>
      <c r="BQ742" s="102"/>
    </row>
    <row r="743" spans="45:69" x14ac:dyDescent="0.25"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</row>
    <row r="744" spans="45:69" x14ac:dyDescent="0.25">
      <c r="AS744" s="202"/>
      <c r="AU744" s="154"/>
      <c r="AV744" s="103"/>
      <c r="AY744" s="213"/>
    </row>
    <row r="745" spans="45:69" x14ac:dyDescent="0.25">
      <c r="AS745" s="202"/>
      <c r="AV745" s="103"/>
      <c r="AW745" s="200"/>
      <c r="AX745" s="334"/>
      <c r="AY745" s="334"/>
      <c r="AZ745" s="334"/>
      <c r="BA745" s="210"/>
      <c r="BB745" s="334"/>
      <c r="BC745" s="213"/>
      <c r="BD745" s="213"/>
      <c r="BE745" s="210"/>
      <c r="BG745" s="334"/>
      <c r="BH745" s="334"/>
      <c r="BI745" s="334"/>
      <c r="BJ745" s="334"/>
      <c r="BK745" s="334"/>
      <c r="BM745" s="334"/>
      <c r="BN745" s="334"/>
      <c r="BO745" s="334"/>
      <c r="BP745" s="334"/>
      <c r="BQ745" s="334"/>
    </row>
    <row r="746" spans="45:69" x14ac:dyDescent="0.25">
      <c r="AS746" s="202"/>
      <c r="AV746" s="103"/>
      <c r="AW746" s="200"/>
      <c r="AX746" s="334"/>
      <c r="AY746" s="334"/>
      <c r="AZ746" s="334"/>
      <c r="BA746" s="210"/>
      <c r="BB746" s="334"/>
      <c r="BC746" s="213"/>
      <c r="BD746" s="213"/>
      <c r="BE746" s="210"/>
      <c r="BG746" s="334"/>
      <c r="BH746" s="334"/>
      <c r="BI746" s="334"/>
      <c r="BJ746" s="334"/>
      <c r="BK746" s="334"/>
      <c r="BM746" s="334"/>
      <c r="BN746" s="334"/>
      <c r="BO746" s="334"/>
      <c r="BP746" s="334"/>
      <c r="BQ746" s="334"/>
    </row>
    <row r="747" spans="45:69" x14ac:dyDescent="0.25">
      <c r="AS747" s="202"/>
      <c r="AV747" s="103"/>
      <c r="AW747" s="200"/>
      <c r="AX747" s="334"/>
      <c r="AY747" s="334"/>
      <c r="AZ747" s="334"/>
      <c r="BA747" s="210"/>
      <c r="BB747" s="334"/>
      <c r="BC747" s="213"/>
      <c r="BD747" s="213"/>
      <c r="BE747" s="210"/>
      <c r="BG747" s="334"/>
      <c r="BH747" s="334"/>
      <c r="BI747" s="334"/>
      <c r="BJ747" s="334"/>
      <c r="BK747" s="334"/>
      <c r="BM747" s="334"/>
      <c r="BN747" s="334"/>
      <c r="BO747" s="334"/>
      <c r="BP747" s="334"/>
      <c r="BQ747" s="334"/>
    </row>
    <row r="748" spans="45:69" x14ac:dyDescent="0.25">
      <c r="AS748" s="202"/>
      <c r="AV748" s="103"/>
      <c r="AW748" s="200"/>
      <c r="AX748" s="334"/>
      <c r="AY748" s="334"/>
      <c r="AZ748" s="334"/>
      <c r="BA748" s="210"/>
      <c r="BB748" s="334"/>
      <c r="BC748" s="213"/>
      <c r="BD748" s="213"/>
      <c r="BE748" s="210"/>
      <c r="BG748" s="334"/>
      <c r="BH748" s="334"/>
      <c r="BI748" s="334"/>
      <c r="BJ748" s="334"/>
      <c r="BK748" s="334"/>
      <c r="BM748" s="334"/>
      <c r="BN748" s="334"/>
      <c r="BO748" s="334"/>
      <c r="BP748" s="334"/>
      <c r="BQ748" s="334"/>
    </row>
    <row r="749" spans="45:69" x14ac:dyDescent="0.25">
      <c r="AS749" s="202"/>
      <c r="AV749" s="103"/>
      <c r="AW749" s="200"/>
      <c r="AX749" s="334"/>
      <c r="AY749" s="334"/>
      <c r="AZ749" s="334"/>
      <c r="BA749" s="210"/>
      <c r="BB749" s="334"/>
      <c r="BC749" s="213"/>
      <c r="BD749" s="213"/>
      <c r="BE749" s="210"/>
      <c r="BG749" s="334"/>
      <c r="BH749" s="334"/>
      <c r="BI749" s="334"/>
      <c r="BJ749" s="334"/>
      <c r="BK749" s="334"/>
      <c r="BM749" s="334"/>
      <c r="BN749" s="334"/>
      <c r="BO749" s="334"/>
      <c r="BP749" s="334"/>
      <c r="BQ749" s="334"/>
    </row>
    <row r="750" spans="45:69" x14ac:dyDescent="0.25">
      <c r="AS750" s="202"/>
      <c r="AV750" s="103"/>
      <c r="AW750" s="200"/>
      <c r="AX750" s="334"/>
      <c r="AY750" s="334"/>
      <c r="AZ750" s="334"/>
      <c r="BA750" s="210"/>
      <c r="BB750" s="334"/>
      <c r="BC750" s="213"/>
      <c r="BD750" s="213"/>
      <c r="BE750" s="210"/>
      <c r="BG750" s="334"/>
      <c r="BH750" s="334"/>
      <c r="BI750" s="334"/>
      <c r="BJ750" s="334"/>
      <c r="BK750" s="334"/>
      <c r="BM750" s="334"/>
      <c r="BN750" s="334"/>
      <c r="BO750" s="334"/>
      <c r="BP750" s="334"/>
      <c r="BQ750" s="334"/>
    </row>
    <row r="751" spans="45:69" x14ac:dyDescent="0.25">
      <c r="AS751" s="202"/>
      <c r="AV751" s="103"/>
      <c r="AW751" s="200"/>
      <c r="AX751" s="334"/>
      <c r="AY751" s="334"/>
      <c r="AZ751" s="334"/>
      <c r="BA751" s="210"/>
      <c r="BB751" s="334"/>
      <c r="BC751" s="213"/>
      <c r="BD751" s="213"/>
      <c r="BE751" s="210"/>
      <c r="BG751" s="334"/>
      <c r="BH751" s="334"/>
      <c r="BI751" s="334"/>
      <c r="BJ751" s="334"/>
      <c r="BK751" s="334"/>
      <c r="BM751" s="334"/>
      <c r="BN751" s="334"/>
      <c r="BO751" s="334"/>
      <c r="BP751" s="334"/>
      <c r="BQ751" s="334"/>
    </row>
    <row r="752" spans="45:69" x14ac:dyDescent="0.25">
      <c r="AY752" s="213"/>
      <c r="AZ752" s="334"/>
      <c r="BA752" s="210"/>
      <c r="BB752" s="334"/>
      <c r="BC752" s="213"/>
      <c r="BD752" s="213"/>
      <c r="BE752" s="210"/>
      <c r="BK752" s="334"/>
      <c r="BQ752" s="334"/>
    </row>
    <row r="753" spans="45:69" x14ac:dyDescent="0.25">
      <c r="AS753" s="202"/>
      <c r="AV753" s="103"/>
      <c r="AY753" s="213"/>
      <c r="AZ753" s="334"/>
      <c r="BA753" s="210"/>
      <c r="BB753" s="334"/>
      <c r="BC753" s="213"/>
      <c r="BD753" s="213"/>
      <c r="BE753" s="210"/>
      <c r="BK753" s="334"/>
      <c r="BQ753" s="334"/>
    </row>
    <row r="754" spans="45:69" x14ac:dyDescent="0.25">
      <c r="AS754" s="202"/>
      <c r="AV754" s="103"/>
      <c r="AW754" s="200"/>
      <c r="AX754" s="334"/>
      <c r="AY754" s="334"/>
      <c r="AZ754" s="334"/>
      <c r="BA754" s="210"/>
      <c r="BB754" s="334"/>
      <c r="BC754" s="213"/>
      <c r="BD754" s="213"/>
      <c r="BE754" s="210"/>
      <c r="BG754" s="334"/>
      <c r="BH754" s="334"/>
      <c r="BI754" s="334"/>
      <c r="BJ754" s="334"/>
      <c r="BK754" s="334"/>
      <c r="BM754" s="334"/>
      <c r="BN754" s="334"/>
      <c r="BO754" s="334"/>
      <c r="BP754" s="334"/>
      <c r="BQ754" s="334"/>
    </row>
    <row r="755" spans="45:69" x14ac:dyDescent="0.25">
      <c r="AS755" s="202"/>
      <c r="AV755" s="103"/>
      <c r="AW755" s="200"/>
      <c r="AX755" s="334"/>
      <c r="AY755" s="334"/>
      <c r="AZ755" s="334"/>
      <c r="BA755" s="210"/>
      <c r="BB755" s="334"/>
      <c r="BC755" s="213"/>
      <c r="BD755" s="213"/>
      <c r="BE755" s="210"/>
      <c r="BG755" s="334"/>
      <c r="BH755" s="334"/>
      <c r="BI755" s="334"/>
      <c r="BJ755" s="334"/>
      <c r="BK755" s="334"/>
      <c r="BM755" s="334"/>
      <c r="BN755" s="334"/>
      <c r="BO755" s="334"/>
      <c r="BP755" s="334"/>
      <c r="BQ755" s="334"/>
    </row>
    <row r="756" spans="45:69" x14ac:dyDescent="0.25">
      <c r="AS756" s="202"/>
      <c r="AV756" s="103"/>
      <c r="AW756" s="200"/>
      <c r="AX756" s="334"/>
      <c r="AY756" s="334"/>
      <c r="AZ756" s="334"/>
      <c r="BA756" s="210"/>
      <c r="BB756" s="334"/>
      <c r="BC756" s="213"/>
      <c r="BD756" s="213"/>
      <c r="BE756" s="210"/>
      <c r="BG756" s="334"/>
      <c r="BH756" s="334"/>
      <c r="BI756" s="334"/>
      <c r="BJ756" s="334"/>
      <c r="BK756" s="334"/>
      <c r="BM756" s="334"/>
      <c r="BN756" s="334"/>
      <c r="BO756" s="334"/>
      <c r="BP756" s="334"/>
      <c r="BQ756" s="334"/>
    </row>
    <row r="757" spans="45:69" x14ac:dyDescent="0.25">
      <c r="AS757" s="202"/>
      <c r="AV757" s="103"/>
      <c r="AW757" s="200"/>
      <c r="AX757" s="334"/>
      <c r="AY757" s="334"/>
      <c r="AZ757" s="334"/>
      <c r="BA757" s="210"/>
      <c r="BB757" s="334"/>
      <c r="BC757" s="213"/>
      <c r="BD757" s="213"/>
      <c r="BE757" s="210"/>
      <c r="BG757" s="334"/>
      <c r="BH757" s="334"/>
      <c r="BI757" s="334"/>
      <c r="BJ757" s="334"/>
      <c r="BK757" s="334"/>
      <c r="BM757" s="334"/>
      <c r="BN757" s="334"/>
      <c r="BO757" s="334"/>
      <c r="BP757" s="334"/>
      <c r="BQ757" s="334"/>
    </row>
    <row r="758" spans="45:69" x14ac:dyDescent="0.25">
      <c r="AS758" s="202"/>
      <c r="AV758" s="103"/>
      <c r="AW758" s="200"/>
      <c r="AX758" s="334"/>
      <c r="AY758" s="334"/>
      <c r="AZ758" s="334"/>
      <c r="BA758" s="210"/>
      <c r="BB758" s="334"/>
      <c r="BC758" s="213"/>
      <c r="BD758" s="213"/>
      <c r="BE758" s="210"/>
      <c r="BG758" s="334"/>
      <c r="BH758" s="334"/>
      <c r="BI758" s="334"/>
      <c r="BJ758" s="334"/>
      <c r="BK758" s="334"/>
      <c r="BM758" s="334"/>
      <c r="BN758" s="334"/>
      <c r="BO758" s="334"/>
      <c r="BP758" s="334"/>
      <c r="BQ758" s="334"/>
    </row>
    <row r="759" spans="45:69" x14ac:dyDescent="0.25">
      <c r="AS759" s="202"/>
      <c r="AV759" s="103"/>
      <c r="AW759" s="200"/>
      <c r="AX759" s="334"/>
      <c r="AY759" s="334"/>
      <c r="AZ759" s="334"/>
      <c r="BA759" s="210"/>
      <c r="BB759" s="334"/>
      <c r="BC759" s="213"/>
      <c r="BD759" s="213"/>
      <c r="BE759" s="210"/>
      <c r="BG759" s="334"/>
      <c r="BH759" s="334"/>
      <c r="BI759" s="334"/>
      <c r="BJ759" s="334"/>
      <c r="BK759" s="334"/>
      <c r="BM759" s="334"/>
      <c r="BN759" s="334"/>
      <c r="BO759" s="334"/>
      <c r="BP759" s="334"/>
      <c r="BQ759" s="334"/>
    </row>
    <row r="760" spans="45:69" x14ac:dyDescent="0.25">
      <c r="AS760" s="202"/>
      <c r="AV760" s="103"/>
      <c r="AW760" s="200"/>
      <c r="AX760" s="334"/>
      <c r="AY760" s="334"/>
      <c r="AZ760" s="334"/>
      <c r="BA760" s="210"/>
      <c r="BB760" s="334"/>
      <c r="BC760" s="213"/>
      <c r="BD760" s="213"/>
      <c r="BE760" s="210"/>
      <c r="BG760" s="334"/>
      <c r="BH760" s="334"/>
      <c r="BI760" s="334"/>
      <c r="BJ760" s="334"/>
      <c r="BK760" s="334"/>
      <c r="BM760" s="334"/>
      <c r="BN760" s="334"/>
      <c r="BO760" s="334"/>
      <c r="BP760" s="334"/>
      <c r="BQ760" s="334"/>
    </row>
    <row r="761" spans="45:69" x14ac:dyDescent="0.25">
      <c r="AS761" s="202"/>
      <c r="AV761" s="103"/>
      <c r="AW761" s="200"/>
      <c r="AX761" s="334"/>
      <c r="AY761" s="334"/>
      <c r="AZ761" s="334"/>
      <c r="BA761" s="210"/>
      <c r="BB761" s="334"/>
      <c r="BC761" s="213"/>
      <c r="BD761" s="213"/>
      <c r="BE761" s="210"/>
      <c r="BG761" s="334"/>
      <c r="BH761" s="334"/>
      <c r="BI761" s="334"/>
      <c r="BJ761" s="334"/>
      <c r="BK761" s="334"/>
      <c r="BM761" s="334"/>
      <c r="BN761" s="334"/>
      <c r="BO761" s="334"/>
      <c r="BP761" s="334"/>
      <c r="BQ761" s="334"/>
    </row>
    <row r="762" spans="45:69" x14ac:dyDescent="0.25">
      <c r="AY762" s="213"/>
      <c r="AZ762" s="334"/>
      <c r="BA762" s="210"/>
      <c r="BB762" s="334"/>
      <c r="BC762" s="213"/>
      <c r="BD762" s="213"/>
      <c r="BE762" s="210"/>
      <c r="BK762" s="334"/>
      <c r="BQ762" s="334"/>
    </row>
    <row r="763" spans="45:69" x14ac:dyDescent="0.25">
      <c r="AU763" s="154"/>
      <c r="AZ763" s="334"/>
      <c r="BB763" s="334"/>
      <c r="BG763" s="334"/>
      <c r="BH763" s="334"/>
      <c r="BJ763" s="334"/>
      <c r="BK763" s="334"/>
    </row>
    <row r="764" spans="45:69" x14ac:dyDescent="0.25">
      <c r="AZ764" s="334"/>
      <c r="BB764" s="334"/>
    </row>
    <row r="765" spans="45:69" x14ac:dyDescent="0.25">
      <c r="AS765" s="154"/>
      <c r="AZ765" s="334"/>
      <c r="BB765" s="334"/>
      <c r="BI765" s="334"/>
    </row>
    <row r="766" spans="45:69" x14ac:dyDescent="0.25">
      <c r="AY766" s="202"/>
      <c r="AZ766" s="334"/>
      <c r="BB766" s="334"/>
    </row>
    <row r="767" spans="45:69" x14ac:dyDescent="0.25">
      <c r="AY767" s="334"/>
      <c r="BB767" s="334"/>
    </row>
    <row r="768" spans="45:69" x14ac:dyDescent="0.25">
      <c r="AY768" s="154"/>
      <c r="AZ768" s="334"/>
      <c r="BB768" s="334"/>
    </row>
    <row r="769" spans="45:75" x14ac:dyDescent="0.25">
      <c r="AY769" s="154"/>
      <c r="AZ769" s="334"/>
      <c r="BB769" s="334"/>
    </row>
    <row r="770" spans="45:75" x14ac:dyDescent="0.25">
      <c r="AS770" s="202"/>
      <c r="AZ770" s="334"/>
      <c r="BB770" s="334"/>
      <c r="BD770" s="154"/>
    </row>
    <row r="771" spans="45:75" x14ac:dyDescent="0.25">
      <c r="AS771" s="202"/>
      <c r="AZ771" s="334"/>
      <c r="BB771" s="334"/>
      <c r="BD771" s="154"/>
    </row>
    <row r="772" spans="45:75" x14ac:dyDescent="0.25">
      <c r="AS772" s="154"/>
      <c r="AZ772" s="334"/>
      <c r="BB772" s="334"/>
      <c r="BD772" s="154"/>
    </row>
    <row r="773" spans="45:75" x14ac:dyDescent="0.25">
      <c r="AZ773" s="334"/>
      <c r="BB773" s="334"/>
      <c r="BD773" s="202"/>
    </row>
    <row r="774" spans="45:75" x14ac:dyDescent="0.25">
      <c r="AS774" s="102"/>
      <c r="AT774" s="102"/>
      <c r="AU774" s="102"/>
      <c r="AV774" s="102"/>
      <c r="AW774" s="102"/>
      <c r="AX774" s="102"/>
      <c r="AY774" s="102"/>
      <c r="AZ774" s="335"/>
      <c r="BA774" s="102"/>
      <c r="BB774" s="335"/>
      <c r="BC774" s="102"/>
      <c r="BD774" s="102"/>
      <c r="BE774" s="102"/>
    </row>
    <row r="775" spans="45:75" x14ac:dyDescent="0.25">
      <c r="AX775" s="154"/>
      <c r="AZ775" s="334"/>
      <c r="BB775" s="334"/>
    </row>
    <row r="776" spans="45:75" x14ac:dyDescent="0.25">
      <c r="AX776" s="102"/>
      <c r="AY776" s="102"/>
      <c r="AZ776" s="335"/>
      <c r="BA776" s="102"/>
      <c r="BB776" s="334"/>
      <c r="BC776" s="103"/>
      <c r="BD776" s="103"/>
    </row>
    <row r="777" spans="45:75" x14ac:dyDescent="0.25">
      <c r="AV777" s="103"/>
      <c r="AW777" s="103"/>
      <c r="AZ777" s="336"/>
      <c r="BA777" s="103"/>
      <c r="BB777" s="334"/>
      <c r="BC777" s="103"/>
      <c r="BD777" s="103"/>
      <c r="BE777" s="103"/>
      <c r="BG777" s="102"/>
      <c r="BH777" s="102"/>
      <c r="BI777" s="154"/>
      <c r="BM777" s="102"/>
      <c r="BN777" s="102"/>
      <c r="BP777" s="102"/>
      <c r="BQ777" s="102"/>
      <c r="BR777" s="154"/>
      <c r="BV777" s="102"/>
      <c r="BW777" s="102"/>
    </row>
    <row r="778" spans="45:75" x14ac:dyDescent="0.25">
      <c r="AV778" s="103"/>
      <c r="AW778" s="103"/>
      <c r="AX778" s="103"/>
      <c r="AY778" s="103"/>
      <c r="AZ778" s="336"/>
      <c r="BA778" s="103"/>
      <c r="BB778" s="336"/>
      <c r="BC778" s="103"/>
      <c r="BD778" s="103"/>
      <c r="BE778" s="103"/>
      <c r="BH778" s="103"/>
      <c r="BI778" s="103"/>
      <c r="BJ778" s="103"/>
      <c r="BK778" s="103"/>
      <c r="BL778" s="103"/>
      <c r="BM778" s="103"/>
      <c r="BQ778" s="103"/>
      <c r="BR778" s="103"/>
      <c r="BS778" s="103"/>
      <c r="BT778" s="103"/>
      <c r="BU778" s="103"/>
      <c r="BV778" s="103"/>
    </row>
    <row r="779" spans="45:75" x14ac:dyDescent="0.25">
      <c r="AS779" s="103"/>
      <c r="AU779" s="154"/>
      <c r="AV779" s="103"/>
      <c r="AW779" s="103"/>
      <c r="AX779" s="103"/>
      <c r="AY779" s="103"/>
      <c r="AZ779" s="336"/>
      <c r="BA779" s="103"/>
      <c r="BB779" s="336"/>
      <c r="BC779" s="103"/>
      <c r="BD779" s="103"/>
      <c r="BE779" s="103"/>
      <c r="BG779" s="103"/>
      <c r="BH779" s="103"/>
      <c r="BI779" s="103"/>
      <c r="BJ779" s="103"/>
      <c r="BK779" s="103"/>
      <c r="BL779" s="103"/>
      <c r="BM779" s="103"/>
      <c r="BN779" s="103"/>
      <c r="BP779" s="103"/>
      <c r="BQ779" s="103"/>
      <c r="BR779" s="103"/>
      <c r="BS779" s="103"/>
      <c r="BT779" s="103"/>
      <c r="BU779" s="103"/>
      <c r="BV779" s="103"/>
      <c r="BW779" s="103"/>
    </row>
    <row r="780" spans="45:75" x14ac:dyDescent="0.25">
      <c r="AS780" s="103"/>
      <c r="AU780" s="154"/>
      <c r="AV780" s="103"/>
      <c r="AW780" s="103"/>
      <c r="AX780" s="103"/>
      <c r="AY780" s="103"/>
      <c r="AZ780" s="336"/>
      <c r="BA780" s="103"/>
      <c r="BB780" s="336"/>
      <c r="BC780" s="103"/>
      <c r="BD780" s="103"/>
      <c r="BE780" s="103"/>
      <c r="BG780" s="103"/>
      <c r="BH780" s="103"/>
      <c r="BI780" s="103"/>
      <c r="BJ780" s="103"/>
      <c r="BK780" s="103"/>
      <c r="BL780" s="103"/>
      <c r="BM780" s="103"/>
      <c r="BN780" s="103"/>
      <c r="BP780" s="103"/>
      <c r="BQ780" s="103"/>
      <c r="BR780" s="103"/>
      <c r="BS780" s="103"/>
      <c r="BT780" s="103"/>
      <c r="BU780" s="103"/>
      <c r="BV780" s="103"/>
      <c r="BW780" s="103"/>
    </row>
    <row r="781" spans="45:75" x14ac:dyDescent="0.25">
      <c r="AS781" s="102"/>
      <c r="AT781" s="102"/>
      <c r="AU781" s="102"/>
      <c r="AV781" s="102"/>
      <c r="AW781" s="102"/>
      <c r="AX781" s="102"/>
      <c r="AY781" s="102"/>
      <c r="AZ781" s="335"/>
      <c r="BA781" s="102"/>
      <c r="BB781" s="335"/>
      <c r="BC781" s="102"/>
      <c r="BD781" s="102"/>
      <c r="BE781" s="102"/>
      <c r="BG781" s="102"/>
      <c r="BH781" s="102"/>
      <c r="BI781" s="102"/>
      <c r="BJ781" s="102"/>
      <c r="BK781" s="102"/>
      <c r="BL781" s="102"/>
      <c r="BM781" s="102"/>
      <c r="BN781" s="102"/>
      <c r="BP781" s="102"/>
      <c r="BQ781" s="102"/>
      <c r="BR781" s="102"/>
      <c r="BS781" s="102"/>
      <c r="BT781" s="102"/>
      <c r="BU781" s="102"/>
      <c r="BV781" s="102"/>
      <c r="BW781" s="102"/>
    </row>
    <row r="782" spans="45:75" x14ac:dyDescent="0.25">
      <c r="AV782" s="103"/>
      <c r="AW782" s="103"/>
      <c r="AX782" s="103"/>
      <c r="AY782" s="103"/>
      <c r="AZ782" s="336"/>
      <c r="BA782" s="103"/>
      <c r="BB782" s="336"/>
      <c r="BC782" s="103"/>
      <c r="BD782" s="103"/>
      <c r="BE782" s="103"/>
      <c r="BG782" s="334"/>
      <c r="BH782" s="334"/>
      <c r="BI782" s="334"/>
      <c r="BJ782" s="334"/>
      <c r="BK782" s="334"/>
      <c r="BL782" s="334"/>
      <c r="BM782" s="334"/>
      <c r="BN782" s="334"/>
      <c r="BO782" s="334"/>
      <c r="BP782" s="334"/>
      <c r="BQ782" s="334"/>
      <c r="BR782" s="334"/>
      <c r="BS782" s="334"/>
      <c r="BT782" s="334"/>
      <c r="BU782" s="334"/>
      <c r="BV782" s="334"/>
      <c r="BW782" s="334"/>
    </row>
    <row r="783" spans="45:75" x14ac:dyDescent="0.25">
      <c r="AS783" s="202"/>
      <c r="AU783" s="154"/>
      <c r="AV783" s="202"/>
      <c r="AW783" s="200"/>
      <c r="AX783" s="334"/>
      <c r="AY783" s="334"/>
      <c r="AZ783" s="334"/>
      <c r="BA783" s="201"/>
      <c r="BB783" s="334"/>
      <c r="BC783" s="334"/>
      <c r="BD783" s="334"/>
      <c r="BE783" s="201"/>
      <c r="BG783" s="334"/>
      <c r="BH783" s="334"/>
      <c r="BI783" s="334"/>
      <c r="BJ783" s="334"/>
      <c r="BK783" s="334"/>
      <c r="BL783" s="334"/>
      <c r="BM783" s="334"/>
      <c r="BN783" s="334"/>
      <c r="BO783" s="334"/>
      <c r="BP783" s="334"/>
      <c r="BQ783" s="334"/>
      <c r="BR783" s="334"/>
      <c r="BS783" s="334"/>
      <c r="BT783" s="334"/>
      <c r="BU783" s="334"/>
      <c r="BV783" s="334"/>
      <c r="BW783" s="334"/>
    </row>
    <row r="784" spans="45:75" x14ac:dyDescent="0.25">
      <c r="AS784" s="202"/>
      <c r="AV784" s="202"/>
      <c r="AW784" s="200"/>
      <c r="AX784" s="334"/>
      <c r="AY784" s="334"/>
      <c r="AZ784" s="334"/>
      <c r="BA784" s="201"/>
      <c r="BB784" s="334"/>
      <c r="BC784" s="334"/>
      <c r="BD784" s="334"/>
      <c r="BE784" s="201"/>
      <c r="BG784" s="334"/>
      <c r="BH784" s="334"/>
      <c r="BI784" s="334"/>
      <c r="BJ784" s="334"/>
      <c r="BK784" s="334"/>
      <c r="BL784" s="334"/>
      <c r="BM784" s="334"/>
      <c r="BN784" s="334"/>
      <c r="BO784" s="334"/>
      <c r="BP784" s="334"/>
      <c r="BQ784" s="334"/>
      <c r="BR784" s="334"/>
      <c r="BS784" s="334"/>
      <c r="BT784" s="334"/>
      <c r="BU784" s="334"/>
      <c r="BV784" s="334"/>
      <c r="BW784" s="334"/>
    </row>
    <row r="785" spans="45:75" x14ac:dyDescent="0.25">
      <c r="AS785" s="202"/>
      <c r="AV785" s="202"/>
      <c r="AW785" s="200"/>
      <c r="AX785" s="334"/>
      <c r="AY785" s="334"/>
      <c r="AZ785" s="334"/>
      <c r="BA785" s="201"/>
      <c r="BB785" s="334"/>
      <c r="BC785" s="334"/>
      <c r="BD785" s="334"/>
      <c r="BE785" s="201"/>
      <c r="BG785" s="334"/>
      <c r="BH785" s="334"/>
      <c r="BI785" s="334"/>
      <c r="BJ785" s="334"/>
      <c r="BK785" s="334"/>
      <c r="BL785" s="334"/>
      <c r="BM785" s="334"/>
      <c r="BN785" s="334"/>
      <c r="BO785" s="334"/>
      <c r="BP785" s="334"/>
      <c r="BQ785" s="334"/>
      <c r="BR785" s="334"/>
      <c r="BS785" s="334"/>
      <c r="BT785" s="334"/>
      <c r="BU785" s="334"/>
      <c r="BV785" s="334"/>
      <c r="BW785" s="334"/>
    </row>
    <row r="786" spans="45:75" x14ac:dyDescent="0.25">
      <c r="AS786" s="202"/>
      <c r="AV786" s="202"/>
      <c r="AW786" s="200"/>
      <c r="AX786" s="334"/>
      <c r="AY786" s="334"/>
      <c r="AZ786" s="334"/>
      <c r="BA786" s="201"/>
      <c r="BB786" s="334"/>
      <c r="BC786" s="334"/>
      <c r="BD786" s="334"/>
      <c r="BE786" s="201"/>
      <c r="BG786" s="334"/>
      <c r="BH786" s="334"/>
      <c r="BI786" s="334"/>
      <c r="BJ786" s="334"/>
      <c r="BK786" s="334"/>
      <c r="BL786" s="334"/>
      <c r="BM786" s="334"/>
      <c r="BN786" s="334"/>
      <c r="BO786" s="334"/>
      <c r="BP786" s="334"/>
      <c r="BQ786" s="334"/>
      <c r="BR786" s="334"/>
      <c r="BS786" s="334"/>
      <c r="BT786" s="334"/>
      <c r="BU786" s="334"/>
      <c r="BV786" s="334"/>
      <c r="BW786" s="334"/>
    </row>
    <row r="787" spans="45:75" x14ac:dyDescent="0.25">
      <c r="AS787" s="202"/>
      <c r="AV787" s="202"/>
      <c r="AW787" s="200"/>
      <c r="AX787" s="334"/>
      <c r="AY787" s="334"/>
      <c r="AZ787" s="334"/>
      <c r="BA787" s="201"/>
      <c r="BB787" s="334"/>
      <c r="BC787" s="334"/>
      <c r="BD787" s="334"/>
      <c r="BE787" s="201"/>
      <c r="BG787" s="334"/>
      <c r="BH787" s="334"/>
      <c r="BI787" s="334"/>
      <c r="BJ787" s="334"/>
      <c r="BK787" s="334"/>
      <c r="BL787" s="334"/>
      <c r="BM787" s="334"/>
      <c r="BN787" s="334"/>
      <c r="BO787" s="334"/>
      <c r="BP787" s="334"/>
      <c r="BQ787" s="334"/>
      <c r="BR787" s="334"/>
      <c r="BS787" s="334"/>
      <c r="BT787" s="334"/>
      <c r="BU787" s="334"/>
      <c r="BV787" s="334"/>
      <c r="BW787" s="334"/>
    </row>
    <row r="788" spans="45:75" x14ac:dyDescent="0.25">
      <c r="AS788" s="202"/>
      <c r="AV788" s="202"/>
      <c r="AW788" s="200"/>
      <c r="AX788" s="334"/>
      <c r="AY788" s="334"/>
      <c r="AZ788" s="334"/>
      <c r="BA788" s="201"/>
      <c r="BB788" s="334"/>
      <c r="BC788" s="334"/>
      <c r="BD788" s="334"/>
      <c r="BE788" s="201"/>
      <c r="BG788" s="334"/>
      <c r="BH788" s="334"/>
      <c r="BI788" s="334"/>
      <c r="BJ788" s="334"/>
      <c r="BK788" s="334"/>
      <c r="BL788" s="334"/>
      <c r="BM788" s="334"/>
      <c r="BN788" s="334"/>
      <c r="BO788" s="334"/>
      <c r="BP788" s="334"/>
      <c r="BQ788" s="334"/>
      <c r="BR788" s="334"/>
      <c r="BS788" s="334"/>
      <c r="BT788" s="334"/>
      <c r="BU788" s="334"/>
      <c r="BV788" s="334"/>
      <c r="BW788" s="334"/>
    </row>
    <row r="789" spans="45:75" x14ac:dyDescent="0.25">
      <c r="AS789" s="202"/>
      <c r="AV789" s="202"/>
      <c r="AW789" s="200"/>
      <c r="AX789" s="334"/>
      <c r="AY789" s="334"/>
      <c r="AZ789" s="334"/>
      <c r="BA789" s="201"/>
      <c r="BB789" s="334"/>
      <c r="BC789" s="334"/>
      <c r="BD789" s="334"/>
      <c r="BE789" s="201"/>
      <c r="BG789" s="334"/>
      <c r="BH789" s="334"/>
      <c r="BI789" s="334"/>
      <c r="BJ789" s="334"/>
      <c r="BK789" s="334"/>
      <c r="BL789" s="334"/>
      <c r="BM789" s="334"/>
      <c r="BN789" s="334"/>
      <c r="BO789" s="334"/>
      <c r="BP789" s="334"/>
      <c r="BQ789" s="334"/>
      <c r="BR789" s="334"/>
      <c r="BS789" s="334"/>
      <c r="BT789" s="334"/>
      <c r="BU789" s="334"/>
      <c r="BV789" s="334"/>
      <c r="BW789" s="334"/>
    </row>
    <row r="790" spans="45:75" x14ac:dyDescent="0.25">
      <c r="AS790" s="202"/>
      <c r="AV790" s="202"/>
      <c r="AW790" s="200"/>
      <c r="AX790" s="334"/>
      <c r="AY790" s="334"/>
      <c r="AZ790" s="334"/>
      <c r="BA790" s="201"/>
      <c r="BB790" s="334"/>
      <c r="BC790" s="334"/>
      <c r="BD790" s="334"/>
      <c r="BE790" s="201"/>
      <c r="BG790" s="334"/>
      <c r="BH790" s="334"/>
      <c r="BI790" s="334"/>
      <c r="BJ790" s="334"/>
      <c r="BK790" s="334"/>
      <c r="BL790" s="334"/>
      <c r="BM790" s="334"/>
      <c r="BN790" s="334"/>
      <c r="BO790" s="334"/>
      <c r="BP790" s="334"/>
      <c r="BQ790" s="334"/>
      <c r="BR790" s="334"/>
      <c r="BS790" s="334"/>
      <c r="BT790" s="334"/>
      <c r="BU790" s="334"/>
      <c r="BV790" s="334"/>
      <c r="BW790" s="334"/>
    </row>
    <row r="791" spans="45:75" x14ac:dyDescent="0.25">
      <c r="AS791" s="202"/>
      <c r="AV791" s="202"/>
      <c r="AW791" s="200"/>
      <c r="AX791" s="334"/>
      <c r="AY791" s="334"/>
      <c r="AZ791" s="334"/>
      <c r="BA791" s="201"/>
      <c r="BB791" s="334"/>
      <c r="BC791" s="334"/>
      <c r="BD791" s="334"/>
      <c r="BE791" s="201"/>
      <c r="BG791" s="334"/>
      <c r="BH791" s="334"/>
      <c r="BI791" s="334"/>
      <c r="BJ791" s="334"/>
      <c r="BK791" s="334"/>
      <c r="BL791" s="334"/>
      <c r="BM791" s="334"/>
      <c r="BN791" s="334"/>
      <c r="BO791" s="334"/>
      <c r="BP791" s="334"/>
      <c r="BQ791" s="334"/>
      <c r="BR791" s="334"/>
      <c r="BS791" s="334"/>
      <c r="BT791" s="334"/>
      <c r="BU791" s="334"/>
      <c r="BV791" s="334"/>
      <c r="BW791" s="334"/>
    </row>
    <row r="792" spans="45:75" x14ac:dyDescent="0.25">
      <c r="AS792" s="202"/>
      <c r="AV792" s="202"/>
      <c r="AW792" s="200"/>
      <c r="AX792" s="334"/>
      <c r="AY792" s="334"/>
      <c r="AZ792" s="334"/>
      <c r="BA792" s="201"/>
      <c r="BB792" s="334"/>
      <c r="BC792" s="334"/>
      <c r="BD792" s="334"/>
      <c r="BE792" s="201"/>
      <c r="BG792" s="334"/>
      <c r="BH792" s="334"/>
      <c r="BI792" s="334"/>
      <c r="BJ792" s="334"/>
      <c r="BK792" s="334"/>
      <c r="BL792" s="334"/>
      <c r="BM792" s="334"/>
      <c r="BN792" s="334"/>
      <c r="BO792" s="334"/>
      <c r="BP792" s="334"/>
      <c r="BQ792" s="334"/>
      <c r="BR792" s="334"/>
      <c r="BS792" s="334"/>
      <c r="BT792" s="334"/>
      <c r="BU792" s="334"/>
      <c r="BV792" s="334"/>
      <c r="BW792" s="334"/>
    </row>
    <row r="793" spans="45:75" x14ac:dyDescent="0.25">
      <c r="AS793" s="202"/>
      <c r="AV793" s="202"/>
      <c r="AW793" s="200"/>
      <c r="AX793" s="334"/>
      <c r="AY793" s="334"/>
      <c r="AZ793" s="334"/>
      <c r="BA793" s="201"/>
      <c r="BB793" s="334"/>
      <c r="BC793" s="334"/>
      <c r="BD793" s="334"/>
      <c r="BE793" s="201"/>
      <c r="BG793" s="334"/>
      <c r="BH793" s="334"/>
      <c r="BI793" s="334"/>
      <c r="BJ793" s="334"/>
      <c r="BK793" s="334"/>
      <c r="BL793" s="334"/>
      <c r="BM793" s="334"/>
      <c r="BN793" s="334"/>
      <c r="BO793" s="334"/>
      <c r="BP793" s="334"/>
      <c r="BQ793" s="334"/>
      <c r="BR793" s="334"/>
      <c r="BS793" s="334"/>
      <c r="BT793" s="334"/>
      <c r="BU793" s="334"/>
      <c r="BV793" s="334"/>
      <c r="BW793" s="334"/>
    </row>
    <row r="794" spans="45:75" x14ac:dyDescent="0.25">
      <c r="AS794" s="202"/>
      <c r="AV794" s="202"/>
      <c r="AW794" s="200"/>
      <c r="AX794" s="334"/>
      <c r="AY794" s="334"/>
      <c r="AZ794" s="334"/>
      <c r="BA794" s="201"/>
      <c r="BB794" s="334"/>
      <c r="BC794" s="334"/>
      <c r="BD794" s="334"/>
      <c r="BE794" s="201"/>
      <c r="BG794" s="334"/>
      <c r="BH794" s="334"/>
      <c r="BI794" s="334"/>
      <c r="BJ794" s="334"/>
      <c r="BK794" s="334"/>
      <c r="BL794" s="334"/>
      <c r="BM794" s="334"/>
      <c r="BN794" s="334"/>
      <c r="BO794" s="334"/>
      <c r="BP794" s="334"/>
      <c r="BQ794" s="334"/>
      <c r="BR794" s="334"/>
      <c r="BS794" s="334"/>
      <c r="BT794" s="334"/>
      <c r="BU794" s="334"/>
      <c r="BV794" s="334"/>
      <c r="BW794" s="334"/>
    </row>
    <row r="795" spans="45:75" x14ac:dyDescent="0.25">
      <c r="AS795" s="202"/>
      <c r="AV795" s="202"/>
      <c r="AW795" s="200"/>
      <c r="AX795" s="334"/>
      <c r="AY795" s="334"/>
      <c r="AZ795" s="334"/>
      <c r="BA795" s="201"/>
      <c r="BB795" s="334"/>
      <c r="BC795" s="334"/>
      <c r="BD795" s="334"/>
      <c r="BE795" s="201"/>
      <c r="BG795" s="334"/>
      <c r="BH795" s="334"/>
      <c r="BI795" s="334"/>
      <c r="BJ795" s="334"/>
      <c r="BK795" s="334"/>
      <c r="BL795" s="334"/>
      <c r="BM795" s="334"/>
      <c r="BN795" s="334"/>
      <c r="BO795" s="334"/>
      <c r="BP795" s="334"/>
      <c r="BQ795" s="334"/>
      <c r="BR795" s="334"/>
      <c r="BS795" s="334"/>
      <c r="BT795" s="334"/>
      <c r="BU795" s="334"/>
      <c r="BV795" s="334"/>
      <c r="BW795" s="334"/>
    </row>
    <row r="796" spans="45:75" x14ac:dyDescent="0.25">
      <c r="AS796" s="202"/>
      <c r="AV796" s="202"/>
      <c r="AW796" s="200"/>
      <c r="AX796" s="334"/>
      <c r="AY796" s="334"/>
      <c r="AZ796" s="334"/>
      <c r="BA796" s="201"/>
      <c r="BB796" s="334"/>
      <c r="BC796" s="334"/>
      <c r="BD796" s="334"/>
      <c r="BE796" s="201"/>
      <c r="BG796" s="334"/>
      <c r="BH796" s="334"/>
      <c r="BI796" s="334"/>
      <c r="BJ796" s="334"/>
      <c r="BK796" s="334"/>
      <c r="BL796" s="334"/>
      <c r="BM796" s="334"/>
      <c r="BN796" s="334"/>
      <c r="BO796" s="334"/>
      <c r="BP796" s="334"/>
      <c r="BQ796" s="334"/>
      <c r="BR796" s="334"/>
      <c r="BS796" s="334"/>
      <c r="BT796" s="334"/>
      <c r="BU796" s="334"/>
      <c r="BV796" s="334"/>
      <c r="BW796" s="334"/>
    </row>
    <row r="797" spans="45:75" x14ac:dyDescent="0.25">
      <c r="AS797" s="202"/>
      <c r="AV797" s="202"/>
      <c r="AW797" s="200"/>
      <c r="AX797" s="334"/>
      <c r="AY797" s="334"/>
      <c r="AZ797" s="334"/>
      <c r="BA797" s="201"/>
      <c r="BB797" s="334"/>
      <c r="BC797" s="334"/>
      <c r="BD797" s="334"/>
      <c r="BE797" s="201"/>
      <c r="BG797" s="334"/>
      <c r="BH797" s="334"/>
      <c r="BI797" s="334"/>
      <c r="BJ797" s="334"/>
      <c r="BK797" s="334"/>
      <c r="BL797" s="334"/>
      <c r="BM797" s="334"/>
      <c r="BN797" s="334"/>
      <c r="BO797" s="334"/>
      <c r="BP797" s="334"/>
      <c r="BQ797" s="334"/>
      <c r="BR797" s="334"/>
      <c r="BS797" s="334"/>
      <c r="BT797" s="334"/>
      <c r="BU797" s="334"/>
      <c r="BV797" s="334"/>
      <c r="BW797" s="334"/>
    </row>
    <row r="798" spans="45:75" x14ac:dyDescent="0.25">
      <c r="AS798" s="202"/>
      <c r="AV798" s="202"/>
      <c r="AW798" s="200"/>
      <c r="AX798" s="334"/>
      <c r="AY798" s="334"/>
      <c r="AZ798" s="334"/>
      <c r="BA798" s="201"/>
      <c r="BB798" s="334"/>
      <c r="BC798" s="334"/>
      <c r="BD798" s="334"/>
      <c r="BE798" s="201"/>
      <c r="BG798" s="334"/>
      <c r="BH798" s="334"/>
      <c r="BI798" s="334"/>
      <c r="BJ798" s="334"/>
      <c r="BK798" s="334"/>
      <c r="BL798" s="334"/>
      <c r="BM798" s="334"/>
      <c r="BN798" s="334"/>
      <c r="BO798" s="334"/>
      <c r="BP798" s="334"/>
      <c r="BQ798" s="334"/>
      <c r="BR798" s="334"/>
      <c r="BS798" s="334"/>
      <c r="BT798" s="334"/>
      <c r="BU798" s="334"/>
      <c r="BV798" s="334"/>
      <c r="BW798" s="334"/>
    </row>
    <row r="799" spans="45:75" x14ac:dyDescent="0.25">
      <c r="AS799" s="202"/>
      <c r="AV799" s="202"/>
      <c r="AW799" s="200"/>
      <c r="AX799" s="334"/>
      <c r="AY799" s="334"/>
      <c r="AZ799" s="334"/>
      <c r="BA799" s="201"/>
      <c r="BB799" s="334"/>
      <c r="BC799" s="334"/>
      <c r="BD799" s="334"/>
      <c r="BE799" s="201"/>
      <c r="BG799" s="334"/>
      <c r="BH799" s="334"/>
      <c r="BI799" s="334"/>
      <c r="BJ799" s="334"/>
      <c r="BK799" s="334"/>
      <c r="BL799" s="334"/>
      <c r="BM799" s="334"/>
      <c r="BN799" s="334"/>
      <c r="BO799" s="334"/>
      <c r="BP799" s="334"/>
      <c r="BQ799" s="334"/>
      <c r="BR799" s="334"/>
      <c r="BS799" s="334"/>
      <c r="BT799" s="334"/>
      <c r="BU799" s="334"/>
      <c r="BV799" s="334"/>
      <c r="BW799" s="334"/>
    </row>
    <row r="800" spans="45:75" x14ac:dyDescent="0.25">
      <c r="AS800" s="202"/>
      <c r="AV800" s="202"/>
      <c r="AW800" s="200"/>
      <c r="AX800" s="334"/>
      <c r="AY800" s="334"/>
      <c r="AZ800" s="334"/>
      <c r="BA800" s="201"/>
      <c r="BB800" s="334"/>
      <c r="BC800" s="334"/>
      <c r="BD800" s="334"/>
      <c r="BE800" s="201"/>
      <c r="BG800" s="334"/>
      <c r="BH800" s="334"/>
      <c r="BI800" s="334"/>
      <c r="BJ800" s="334"/>
      <c r="BK800" s="334"/>
      <c r="BL800" s="334"/>
      <c r="BM800" s="334"/>
      <c r="BN800" s="334"/>
      <c r="BO800" s="334"/>
      <c r="BP800" s="334"/>
      <c r="BQ800" s="334"/>
      <c r="BR800" s="334"/>
      <c r="BS800" s="334"/>
      <c r="BT800" s="334"/>
      <c r="BU800" s="334"/>
      <c r="BV800" s="334"/>
      <c r="BW800" s="334"/>
    </row>
    <row r="801" spans="45:75" x14ac:dyDescent="0.25">
      <c r="AS801" s="202"/>
      <c r="AV801" s="202"/>
      <c r="AW801" s="200"/>
      <c r="AX801" s="334"/>
      <c r="AY801" s="334"/>
      <c r="AZ801" s="334"/>
      <c r="BA801" s="201"/>
      <c r="BB801" s="334"/>
      <c r="BC801" s="334"/>
      <c r="BD801" s="334"/>
      <c r="BE801" s="201"/>
      <c r="BG801" s="334"/>
      <c r="BH801" s="334"/>
      <c r="BI801" s="334"/>
      <c r="BJ801" s="334"/>
      <c r="BK801" s="334"/>
      <c r="BL801" s="334"/>
      <c r="BM801" s="334"/>
      <c r="BN801" s="334"/>
      <c r="BO801" s="334"/>
      <c r="BP801" s="334"/>
      <c r="BQ801" s="334"/>
      <c r="BR801" s="334"/>
      <c r="BS801" s="334"/>
      <c r="BT801" s="334"/>
      <c r="BU801" s="334"/>
      <c r="BV801" s="334"/>
      <c r="BW801" s="334"/>
    </row>
    <row r="802" spans="45:75" x14ac:dyDescent="0.25">
      <c r="AS802" s="202"/>
      <c r="AV802" s="202"/>
      <c r="AW802" s="200"/>
      <c r="AX802" s="334"/>
      <c r="AY802" s="334"/>
      <c r="AZ802" s="334"/>
      <c r="BA802" s="201"/>
      <c r="BB802" s="334"/>
      <c r="BC802" s="334"/>
      <c r="BD802" s="334"/>
      <c r="BE802" s="201"/>
      <c r="BG802" s="334"/>
      <c r="BH802" s="334"/>
      <c r="BI802" s="334"/>
      <c r="BJ802" s="334"/>
      <c r="BK802" s="334"/>
      <c r="BL802" s="334"/>
      <c r="BM802" s="334"/>
      <c r="BN802" s="334"/>
      <c r="BO802" s="334"/>
      <c r="BP802" s="334"/>
      <c r="BQ802" s="334"/>
      <c r="BR802" s="334"/>
      <c r="BS802" s="334"/>
      <c r="BT802" s="334"/>
      <c r="BU802" s="334"/>
      <c r="BV802" s="334"/>
      <c r="BW802" s="334"/>
    </row>
    <row r="803" spans="45:75" x14ac:dyDescent="0.25">
      <c r="AS803" s="202"/>
      <c r="AV803" s="202"/>
      <c r="AW803" s="200"/>
      <c r="AX803" s="334"/>
      <c r="AY803" s="334"/>
      <c r="AZ803" s="334"/>
      <c r="BA803" s="201"/>
      <c r="BB803" s="334"/>
      <c r="BC803" s="334"/>
      <c r="BD803" s="334"/>
      <c r="BE803" s="201"/>
      <c r="BG803" s="334"/>
      <c r="BH803" s="334"/>
      <c r="BI803" s="334"/>
      <c r="BJ803" s="334"/>
      <c r="BK803" s="334"/>
      <c r="BL803" s="334"/>
      <c r="BM803" s="334"/>
      <c r="BN803" s="334"/>
      <c r="BO803" s="334"/>
      <c r="BP803" s="334"/>
      <c r="BQ803" s="334"/>
      <c r="BR803" s="334"/>
      <c r="BS803" s="334"/>
      <c r="BT803" s="334"/>
      <c r="BU803" s="334"/>
      <c r="BV803" s="334"/>
      <c r="BW803" s="334"/>
    </row>
    <row r="804" spans="45:75" x14ac:dyDescent="0.25">
      <c r="AW804" s="200"/>
      <c r="AX804" s="334"/>
      <c r="AY804" s="334"/>
      <c r="AZ804" s="334"/>
      <c r="BA804" s="201"/>
      <c r="BB804" s="334"/>
      <c r="BC804" s="334"/>
      <c r="BD804" s="334"/>
      <c r="BE804" s="201"/>
      <c r="BG804" s="102"/>
      <c r="BH804" s="102"/>
      <c r="BI804" s="154"/>
      <c r="BM804" s="102"/>
      <c r="BN804" s="102"/>
      <c r="BO804" s="334"/>
      <c r="BP804" s="102"/>
      <c r="BQ804" s="102"/>
      <c r="BR804" s="154"/>
      <c r="BV804" s="102"/>
      <c r="BW804" s="102"/>
    </row>
    <row r="805" spans="45:75" x14ac:dyDescent="0.25">
      <c r="AS805" s="202"/>
      <c r="AU805" s="154"/>
      <c r="AV805" s="103"/>
      <c r="AW805" s="200"/>
      <c r="AX805" s="334"/>
      <c r="AY805" s="334"/>
      <c r="AZ805" s="334"/>
      <c r="BA805" s="201"/>
      <c r="BB805" s="334"/>
      <c r="BC805" s="334"/>
      <c r="BD805" s="334"/>
      <c r="BE805" s="201"/>
      <c r="BG805" s="336"/>
      <c r="BH805" s="334"/>
      <c r="BI805" s="334"/>
      <c r="BJ805" s="334"/>
      <c r="BK805" s="336"/>
      <c r="BL805" s="337"/>
      <c r="BM805" s="334"/>
      <c r="BN805" s="336"/>
      <c r="BO805" s="334"/>
      <c r="BP805" s="336"/>
      <c r="BQ805" s="334"/>
      <c r="BR805" s="334"/>
      <c r="BS805" s="334"/>
      <c r="BT805" s="336"/>
      <c r="BU805" s="337"/>
      <c r="BV805" s="334"/>
      <c r="BW805" s="336"/>
    </row>
    <row r="806" spans="45:75" x14ac:dyDescent="0.25">
      <c r="AS806" s="202"/>
      <c r="AV806" s="103"/>
      <c r="AW806" s="200"/>
      <c r="AX806" s="334"/>
      <c r="AY806" s="334"/>
      <c r="AZ806" s="334"/>
      <c r="BA806" s="201"/>
      <c r="BB806" s="334"/>
      <c r="BC806" s="334"/>
      <c r="BD806" s="334"/>
      <c r="BE806" s="201"/>
      <c r="BG806" s="334"/>
      <c r="BH806" s="334"/>
      <c r="BI806" s="334"/>
      <c r="BJ806" s="334"/>
      <c r="BK806" s="334"/>
      <c r="BL806" s="337"/>
      <c r="BM806" s="334"/>
      <c r="BN806" s="334"/>
      <c r="BO806" s="334"/>
      <c r="BP806" s="334"/>
      <c r="BQ806" s="334"/>
      <c r="BR806" s="334"/>
      <c r="BS806" s="334"/>
      <c r="BT806" s="334"/>
      <c r="BU806" s="337"/>
      <c r="BV806" s="334"/>
      <c r="BW806" s="334"/>
    </row>
    <row r="807" spans="45:75" x14ac:dyDescent="0.25">
      <c r="AS807" s="202"/>
      <c r="AV807" s="103"/>
      <c r="AW807" s="200"/>
      <c r="AX807" s="334"/>
      <c r="AY807" s="334"/>
      <c r="AZ807" s="334"/>
      <c r="BA807" s="201"/>
      <c r="BB807" s="334"/>
      <c r="BC807" s="334"/>
      <c r="BD807" s="334"/>
      <c r="BE807" s="201"/>
      <c r="BG807" s="334"/>
      <c r="BH807" s="334"/>
      <c r="BI807" s="334"/>
      <c r="BJ807" s="334"/>
      <c r="BK807" s="334"/>
      <c r="BL807" s="337"/>
      <c r="BM807" s="334"/>
      <c r="BN807" s="334"/>
      <c r="BO807" s="334"/>
      <c r="BP807" s="334"/>
      <c r="BQ807" s="334"/>
      <c r="BR807" s="334"/>
      <c r="BS807" s="334"/>
      <c r="BT807" s="334"/>
      <c r="BU807" s="337"/>
      <c r="BV807" s="334"/>
      <c r="BW807" s="334"/>
    </row>
    <row r="808" spans="45:75" x14ac:dyDescent="0.25">
      <c r="AS808" s="202"/>
      <c r="AV808" s="103"/>
      <c r="AW808" s="200"/>
      <c r="AX808" s="334"/>
      <c r="AY808" s="334"/>
      <c r="AZ808" s="334"/>
      <c r="BA808" s="201"/>
      <c r="BB808" s="334"/>
      <c r="BC808" s="334"/>
      <c r="BD808" s="334"/>
      <c r="BE808" s="201"/>
      <c r="BG808" s="334"/>
      <c r="BH808" s="334"/>
      <c r="BI808" s="334"/>
      <c r="BJ808" s="334"/>
      <c r="BK808" s="334"/>
      <c r="BL808" s="337"/>
      <c r="BM808" s="334"/>
      <c r="BN808" s="334"/>
      <c r="BO808" s="334"/>
      <c r="BP808" s="334"/>
      <c r="BQ808" s="334"/>
      <c r="BR808" s="334"/>
      <c r="BS808" s="334"/>
      <c r="BT808" s="334"/>
      <c r="BU808" s="337"/>
      <c r="BV808" s="334"/>
      <c r="BW808" s="334"/>
    </row>
    <row r="809" spans="45:75" x14ac:dyDescent="0.25">
      <c r="AX809" s="334"/>
      <c r="AY809" s="334"/>
      <c r="AZ809" s="334"/>
      <c r="BA809" s="201"/>
      <c r="BB809" s="334"/>
      <c r="BC809" s="334"/>
      <c r="BD809" s="334"/>
      <c r="BE809" s="201"/>
      <c r="BG809" s="334"/>
      <c r="BH809" s="334"/>
      <c r="BI809" s="334"/>
      <c r="BJ809" s="334"/>
      <c r="BK809" s="334"/>
      <c r="BL809" s="334"/>
      <c r="BM809" s="334"/>
      <c r="BN809" s="334"/>
      <c r="BO809" s="334"/>
      <c r="BP809" s="334"/>
      <c r="BQ809" s="334"/>
      <c r="BR809" s="334"/>
      <c r="BS809" s="334"/>
      <c r="BT809" s="334"/>
      <c r="BU809" s="334"/>
      <c r="BV809" s="334"/>
    </row>
    <row r="810" spans="45:75" x14ac:dyDescent="0.25">
      <c r="AU810" s="154"/>
    </row>
    <row r="811" spans="45:75" x14ac:dyDescent="0.25">
      <c r="AU811" s="154"/>
      <c r="AZ811" s="334"/>
      <c r="BA811" s="201"/>
      <c r="BB811" s="334"/>
      <c r="BC811" s="334"/>
      <c r="BD811" s="334"/>
      <c r="BE811" s="201"/>
      <c r="BG811" s="334"/>
      <c r="BH811" s="334"/>
      <c r="BI811" s="334"/>
      <c r="BJ811" s="334"/>
      <c r="BK811" s="334"/>
      <c r="BL811" s="334"/>
      <c r="BM811" s="334"/>
      <c r="BN811" s="334"/>
      <c r="BO811" s="334"/>
      <c r="BP811" s="334"/>
      <c r="BQ811" s="334"/>
      <c r="BR811" s="334"/>
      <c r="BS811" s="334"/>
      <c r="BT811" s="334"/>
      <c r="BU811" s="334"/>
      <c r="BV811" s="334"/>
    </row>
    <row r="812" spans="45:75" x14ac:dyDescent="0.25">
      <c r="AS812" s="154"/>
      <c r="AZ812" s="334"/>
      <c r="BB812" s="334"/>
    </row>
    <row r="813" spans="45:75" x14ac:dyDescent="0.25">
      <c r="AY813" s="202"/>
      <c r="AZ813" s="334"/>
      <c r="BB813" s="334"/>
      <c r="BO813" s="334"/>
      <c r="BP813" s="334"/>
      <c r="BQ813" s="334"/>
      <c r="BR813" s="334"/>
      <c r="BS813" s="334"/>
      <c r="BT813" s="334"/>
      <c r="BU813" s="334"/>
      <c r="BV813" s="334"/>
    </row>
    <row r="814" spans="45:75" x14ac:dyDescent="0.25">
      <c r="AY814" s="334"/>
      <c r="AZ814" s="334"/>
      <c r="BB814" s="334"/>
      <c r="BO814" s="334"/>
      <c r="BP814" s="334"/>
      <c r="BQ814" s="334"/>
      <c r="BR814" s="334"/>
      <c r="BS814" s="334"/>
      <c r="BT814" s="334"/>
      <c r="BU814" s="334"/>
      <c r="BV814" s="334"/>
    </row>
    <row r="815" spans="45:75" x14ac:dyDescent="0.25">
      <c r="AY815" s="154"/>
      <c r="AZ815" s="334"/>
      <c r="BB815" s="334"/>
      <c r="BO815" s="334"/>
      <c r="BP815" s="334"/>
      <c r="BQ815" s="334"/>
      <c r="BR815" s="334"/>
      <c r="BS815" s="334"/>
      <c r="BT815" s="334"/>
      <c r="BU815" s="334"/>
      <c r="BV815" s="334"/>
    </row>
    <row r="816" spans="45:75" x14ac:dyDescent="0.25">
      <c r="AY816" s="154"/>
      <c r="AZ816" s="334"/>
      <c r="BB816" s="334"/>
      <c r="BO816" s="334"/>
      <c r="BP816" s="334"/>
      <c r="BQ816" s="334"/>
      <c r="BR816" s="334"/>
      <c r="BS816" s="334"/>
      <c r="BT816" s="334"/>
      <c r="BU816" s="334"/>
      <c r="BV816" s="334"/>
    </row>
    <row r="817" spans="45:74" x14ac:dyDescent="0.25">
      <c r="AS817" s="202"/>
      <c r="AZ817" s="334"/>
      <c r="BB817" s="334"/>
      <c r="BD817" s="154"/>
      <c r="BO817" s="334"/>
      <c r="BP817" s="334"/>
      <c r="BQ817" s="334"/>
      <c r="BR817" s="334"/>
      <c r="BS817" s="334"/>
      <c r="BT817" s="334"/>
      <c r="BU817" s="334"/>
      <c r="BV817" s="334"/>
    </row>
    <row r="818" spans="45:74" x14ac:dyDescent="0.25">
      <c r="AS818" s="202"/>
      <c r="AZ818" s="334"/>
      <c r="BB818" s="334"/>
      <c r="BD818" s="154"/>
      <c r="BO818" s="334"/>
      <c r="BP818" s="334"/>
      <c r="BQ818" s="334"/>
      <c r="BR818" s="334"/>
      <c r="BS818" s="334"/>
      <c r="BT818" s="334"/>
      <c r="BU818" s="334"/>
      <c r="BV818" s="334"/>
    </row>
    <row r="819" spans="45:74" x14ac:dyDescent="0.25">
      <c r="AS819" s="154"/>
      <c r="AZ819" s="334"/>
      <c r="BB819" s="334"/>
      <c r="BD819" s="154"/>
      <c r="BO819" s="334"/>
      <c r="BP819" s="334"/>
      <c r="BQ819" s="334"/>
      <c r="BR819" s="334"/>
      <c r="BS819" s="334"/>
      <c r="BT819" s="334"/>
      <c r="BU819" s="334"/>
      <c r="BV819" s="334"/>
    </row>
    <row r="820" spans="45:74" x14ac:dyDescent="0.25">
      <c r="AZ820" s="334"/>
      <c r="BB820" s="334"/>
      <c r="BD820" s="202"/>
      <c r="BO820" s="334"/>
      <c r="BP820" s="334"/>
      <c r="BQ820" s="334"/>
      <c r="BR820" s="334"/>
      <c r="BS820" s="334"/>
      <c r="BT820" s="334"/>
      <c r="BU820" s="334"/>
      <c r="BV820" s="334"/>
    </row>
    <row r="821" spans="45:74" x14ac:dyDescent="0.25">
      <c r="AS821" s="102"/>
      <c r="AT821" s="102"/>
      <c r="AU821" s="102"/>
      <c r="AV821" s="102"/>
      <c r="AW821" s="102"/>
      <c r="AX821" s="102"/>
      <c r="AY821" s="102"/>
      <c r="AZ821" s="335"/>
      <c r="BA821" s="102"/>
      <c r="BB821" s="335"/>
      <c r="BC821" s="102"/>
      <c r="BD821" s="102"/>
      <c r="BE821" s="102"/>
      <c r="BO821" s="334"/>
      <c r="BP821" s="334"/>
      <c r="BQ821" s="334"/>
      <c r="BR821" s="334"/>
      <c r="BS821" s="334"/>
      <c r="BT821" s="334"/>
      <c r="BU821" s="334"/>
      <c r="BV821" s="334"/>
    </row>
    <row r="822" spans="45:74" x14ac:dyDescent="0.25">
      <c r="AX822" s="154"/>
      <c r="AZ822" s="334"/>
      <c r="BB822" s="334"/>
      <c r="BO822" s="334"/>
      <c r="BP822" s="334"/>
      <c r="BQ822" s="334"/>
      <c r="BR822" s="334"/>
      <c r="BS822" s="334"/>
      <c r="BT822" s="334"/>
      <c r="BU822" s="334"/>
      <c r="BV822" s="334"/>
    </row>
    <row r="823" spans="45:74" x14ac:dyDescent="0.25">
      <c r="AX823" s="102"/>
      <c r="AY823" s="102"/>
      <c r="AZ823" s="335"/>
      <c r="BA823" s="102"/>
      <c r="BB823" s="334"/>
      <c r="BC823" s="103"/>
      <c r="BD823" s="103"/>
      <c r="BO823" s="334"/>
      <c r="BP823" s="334"/>
      <c r="BQ823" s="334"/>
      <c r="BR823" s="334"/>
      <c r="BS823" s="334"/>
      <c r="BT823" s="334"/>
      <c r="BU823" s="334"/>
      <c r="BV823" s="334"/>
    </row>
    <row r="824" spans="45:74" x14ac:dyDescent="0.25">
      <c r="AV824" s="103"/>
      <c r="AW824" s="103"/>
      <c r="AZ824" s="336"/>
      <c r="BA824" s="103"/>
      <c r="BB824" s="334"/>
      <c r="BC824" s="103"/>
      <c r="BD824" s="103"/>
      <c r="BE824" s="103"/>
      <c r="BG824" s="102"/>
      <c r="BH824" s="154"/>
      <c r="BK824" s="102"/>
      <c r="BM824" s="102"/>
      <c r="BN824" s="154"/>
      <c r="BQ824" s="102"/>
    </row>
    <row r="825" spans="45:74" x14ac:dyDescent="0.25">
      <c r="AV825" s="103"/>
      <c r="AW825" s="103"/>
      <c r="AX825" s="103"/>
      <c r="AY825" s="103"/>
      <c r="AZ825" s="336"/>
      <c r="BA825" s="103"/>
      <c r="BB825" s="336"/>
      <c r="BC825" s="103"/>
      <c r="BD825" s="103"/>
      <c r="BE825" s="103"/>
      <c r="BH825" s="103"/>
      <c r="BI825" s="103"/>
      <c r="BN825" s="103"/>
      <c r="BO825" s="103"/>
    </row>
    <row r="826" spans="45:74" x14ac:dyDescent="0.25">
      <c r="AS826" s="103"/>
      <c r="AU826" s="154"/>
      <c r="AV826" s="103"/>
      <c r="AW826" s="103"/>
      <c r="AX826" s="103"/>
      <c r="AY826" s="103"/>
      <c r="AZ826" s="336"/>
      <c r="BA826" s="103"/>
      <c r="BB826" s="336"/>
      <c r="BC826" s="103"/>
      <c r="BD826" s="103"/>
      <c r="BE826" s="103"/>
      <c r="BG826" s="103"/>
      <c r="BH826" s="103"/>
      <c r="BI826" s="103"/>
      <c r="BJ826" s="103"/>
      <c r="BK826" s="103"/>
      <c r="BM826" s="103"/>
      <c r="BN826" s="103"/>
      <c r="BO826" s="103"/>
      <c r="BP826" s="103"/>
      <c r="BQ826" s="103"/>
    </row>
    <row r="827" spans="45:74" x14ac:dyDescent="0.25">
      <c r="AS827" s="103"/>
      <c r="AU827" s="154"/>
      <c r="AV827" s="103"/>
      <c r="AW827" s="103"/>
      <c r="AX827" s="103"/>
      <c r="AY827" s="103"/>
      <c r="AZ827" s="336"/>
      <c r="BA827" s="103"/>
      <c r="BB827" s="336"/>
      <c r="BC827" s="103"/>
      <c r="BD827" s="103"/>
      <c r="BE827" s="103"/>
      <c r="BG827" s="103"/>
      <c r="BH827" s="103"/>
      <c r="BI827" s="103"/>
      <c r="BJ827" s="103"/>
      <c r="BK827" s="103"/>
      <c r="BM827" s="103"/>
      <c r="BN827" s="103"/>
      <c r="BO827" s="103"/>
      <c r="BP827" s="103"/>
      <c r="BQ827" s="103"/>
    </row>
    <row r="828" spans="45:74" x14ac:dyDescent="0.25">
      <c r="AS828" s="102"/>
      <c r="AT828" s="102"/>
      <c r="AU828" s="102"/>
      <c r="AV828" s="102"/>
      <c r="AW828" s="102"/>
      <c r="AX828" s="102"/>
      <c r="AY828" s="102"/>
      <c r="AZ828" s="335"/>
      <c r="BA828" s="102"/>
      <c r="BB828" s="335"/>
      <c r="BC828" s="102"/>
      <c r="BD828" s="102"/>
      <c r="BE828" s="102"/>
      <c r="BG828" s="102"/>
      <c r="BH828" s="102"/>
      <c r="BI828" s="102"/>
      <c r="BJ828" s="102"/>
      <c r="BK828" s="102"/>
      <c r="BM828" s="102"/>
      <c r="BN828" s="102"/>
      <c r="BO828" s="102"/>
      <c r="BP828" s="102"/>
      <c r="BQ828" s="102"/>
    </row>
    <row r="829" spans="45:74" x14ac:dyDescent="0.25">
      <c r="AV829" s="103"/>
      <c r="AW829" s="103"/>
      <c r="AX829" s="103"/>
      <c r="AY829" s="103"/>
      <c r="AZ829" s="336"/>
      <c r="BA829" s="103"/>
      <c r="BB829" s="336"/>
      <c r="BC829" s="103"/>
      <c r="BD829" s="103"/>
      <c r="BE829" s="103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</row>
    <row r="830" spans="45:74" x14ac:dyDescent="0.25">
      <c r="AS830" s="202"/>
      <c r="AT830" s="154"/>
      <c r="AV830" s="200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</row>
    <row r="831" spans="45:74" x14ac:dyDescent="0.25">
      <c r="AS831" s="202"/>
      <c r="AV831" s="200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</row>
    <row r="832" spans="45:74" x14ac:dyDescent="0.25">
      <c r="AS832" s="202"/>
      <c r="AV832" s="200"/>
      <c r="AW832" s="200"/>
      <c r="AX832" s="334"/>
      <c r="AY832" s="334"/>
      <c r="AZ832" s="334"/>
      <c r="BA832" s="201"/>
      <c r="BB832" s="334"/>
      <c r="BC832" s="334"/>
      <c r="BD832" s="334"/>
      <c r="BE832" s="201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</row>
    <row r="833" spans="45:71" x14ac:dyDescent="0.25">
      <c r="AS833" s="202"/>
      <c r="AV833" s="200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</row>
    <row r="834" spans="45:71" x14ac:dyDescent="0.25">
      <c r="AS834" s="202"/>
      <c r="AV834" s="200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</row>
    <row r="835" spans="45:71" x14ac:dyDescent="0.25">
      <c r="AS835" s="202"/>
      <c r="AV835" s="200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</row>
    <row r="836" spans="45:71" x14ac:dyDescent="0.25">
      <c r="AS836" s="202"/>
      <c r="AV836" s="200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</row>
    <row r="837" spans="45:71" x14ac:dyDescent="0.25">
      <c r="AS837" s="202"/>
      <c r="AV837" s="200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</row>
    <row r="838" spans="45:71" x14ac:dyDescent="0.25">
      <c r="AS838" s="202"/>
      <c r="AV838" s="200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</row>
    <row r="839" spans="45:71" x14ac:dyDescent="0.25">
      <c r="AS839" s="202"/>
      <c r="AV839" s="200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</row>
    <row r="840" spans="45:71" x14ac:dyDescent="0.25">
      <c r="AS840" s="202"/>
      <c r="AV840" s="200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</row>
    <row r="841" spans="45:71" x14ac:dyDescent="0.25">
      <c r="AS841" s="202"/>
      <c r="AV841" s="200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</row>
    <row r="842" spans="45:71" x14ac:dyDescent="0.25">
      <c r="AS842" s="202"/>
      <c r="AV842" s="200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</row>
    <row r="843" spans="45:71" x14ac:dyDescent="0.25">
      <c r="AS843" s="202"/>
      <c r="AV843" s="200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</row>
    <row r="844" spans="45:71" x14ac:dyDescent="0.25">
      <c r="AS844" s="202"/>
      <c r="AV844" s="200"/>
      <c r="AW844" s="200"/>
      <c r="AX844" s="334"/>
      <c r="AY844" s="334"/>
      <c r="AZ844" s="334"/>
      <c r="BA844" s="201"/>
      <c r="BB844" s="334"/>
      <c r="BC844" s="334"/>
      <c r="BD844" s="334"/>
      <c r="BE844" s="201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</row>
    <row r="845" spans="45:71" x14ac:dyDescent="0.25">
      <c r="AS845" s="202"/>
      <c r="AV845" s="200"/>
      <c r="AW845" s="200"/>
      <c r="AX845" s="334"/>
      <c r="AY845" s="33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</row>
    <row r="846" spans="45:71" x14ac:dyDescent="0.25">
      <c r="AS846" s="202"/>
      <c r="AV846" s="200"/>
      <c r="AW846" s="200"/>
      <c r="AX846" s="334"/>
      <c r="AY846" s="334"/>
      <c r="AZ846" s="334"/>
      <c r="BA846" s="201"/>
      <c r="BB846" s="334"/>
      <c r="BC846" s="334"/>
      <c r="BD846" s="334"/>
      <c r="BE846" s="201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</row>
    <row r="847" spans="45:71" x14ac:dyDescent="0.25">
      <c r="AS847" s="202"/>
      <c r="AV847" s="200"/>
      <c r="AW847" s="200"/>
      <c r="AX847" s="334"/>
      <c r="AY847" s="334"/>
      <c r="AZ847" s="334"/>
      <c r="BA847" s="201"/>
      <c r="BB847" s="334"/>
      <c r="BC847" s="334"/>
      <c r="BD847" s="334"/>
      <c r="BE847" s="201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</row>
    <row r="848" spans="45:71" x14ac:dyDescent="0.25">
      <c r="AZ848" s="334"/>
      <c r="BB848" s="334"/>
      <c r="BC848" s="334"/>
      <c r="BD848" s="334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</row>
    <row r="849" spans="45:57" x14ac:dyDescent="0.25">
      <c r="AS849" s="202"/>
      <c r="AT849" s="154"/>
      <c r="AV849" s="200"/>
      <c r="AW849" s="200"/>
      <c r="AX849" s="334"/>
      <c r="AY849" s="334"/>
      <c r="AZ849" s="334"/>
      <c r="BA849" s="201"/>
      <c r="BB849" s="334"/>
      <c r="BC849" s="334"/>
      <c r="BD849" s="334"/>
      <c r="BE849" s="201"/>
    </row>
    <row r="850" spans="45:57" x14ac:dyDescent="0.25">
      <c r="AS850" s="202"/>
      <c r="AV850" s="200"/>
      <c r="AW850" s="200"/>
      <c r="AX850" s="334"/>
      <c r="AY850" s="334"/>
      <c r="AZ850" s="334"/>
      <c r="BA850" s="201"/>
      <c r="BB850" s="334"/>
      <c r="BC850" s="334"/>
      <c r="BD850" s="334"/>
      <c r="BE850" s="201"/>
    </row>
    <row r="851" spans="45:57" x14ac:dyDescent="0.25">
      <c r="AS851" s="202"/>
      <c r="AV851" s="200"/>
      <c r="AW851" s="200"/>
      <c r="AX851" s="334"/>
      <c r="AY851" s="334"/>
      <c r="AZ851" s="334"/>
      <c r="BA851" s="201"/>
      <c r="BB851" s="334"/>
      <c r="BC851" s="334"/>
      <c r="BD851" s="334"/>
      <c r="BE851" s="201"/>
    </row>
    <row r="852" spans="45:57" x14ac:dyDescent="0.25">
      <c r="AS852" s="202"/>
      <c r="AV852" s="200"/>
      <c r="AW852" s="200"/>
      <c r="AX852" s="334"/>
      <c r="AY852" s="334"/>
      <c r="AZ852" s="334"/>
      <c r="BA852" s="201"/>
      <c r="BB852" s="334"/>
      <c r="BC852" s="334"/>
      <c r="BD852" s="334"/>
      <c r="BE852" s="201"/>
    </row>
    <row r="853" spans="45:57" x14ac:dyDescent="0.25">
      <c r="AS853" s="202"/>
      <c r="AV853" s="200"/>
      <c r="AW853" s="200"/>
      <c r="AX853" s="334"/>
      <c r="AY853" s="334"/>
      <c r="AZ853" s="334"/>
      <c r="BA853" s="201"/>
      <c r="BB853" s="334"/>
      <c r="BC853" s="334"/>
      <c r="BD853" s="334"/>
      <c r="BE853" s="201"/>
    </row>
    <row r="854" spans="45:57" x14ac:dyDescent="0.25">
      <c r="AS854" s="202"/>
      <c r="AV854" s="200"/>
      <c r="AW854" s="200"/>
      <c r="AX854" s="334"/>
      <c r="AY854" s="334"/>
      <c r="AZ854" s="334"/>
      <c r="BA854" s="201"/>
      <c r="BB854" s="334"/>
      <c r="BC854" s="334"/>
      <c r="BD854" s="334"/>
      <c r="BE854" s="201"/>
    </row>
    <row r="855" spans="45:57" x14ac:dyDescent="0.25">
      <c r="AS855" s="202"/>
      <c r="AV855" s="200"/>
      <c r="AW855" s="200"/>
      <c r="AX855" s="334"/>
      <c r="AY855" s="334"/>
      <c r="AZ855" s="334"/>
      <c r="BA855" s="201"/>
      <c r="BB855" s="334"/>
      <c r="BC855" s="334"/>
      <c r="BD855" s="334"/>
      <c r="BE855" s="201"/>
    </row>
    <row r="856" spans="45:57" x14ac:dyDescent="0.25">
      <c r="AS856" s="202"/>
      <c r="AV856" s="200"/>
      <c r="AW856" s="200"/>
      <c r="AX856" s="334"/>
      <c r="AY856" s="334"/>
      <c r="AZ856" s="334"/>
      <c r="BA856" s="201"/>
      <c r="BB856" s="334"/>
      <c r="BC856" s="334"/>
      <c r="BD856" s="334"/>
      <c r="BE856" s="201"/>
    </row>
    <row r="857" spans="45:57" x14ac:dyDescent="0.25">
      <c r="AS857" s="202"/>
      <c r="AV857" s="200"/>
      <c r="AW857" s="200"/>
      <c r="AX857" s="334"/>
      <c r="AY857" s="334"/>
      <c r="AZ857" s="334"/>
      <c r="BA857" s="201"/>
      <c r="BB857" s="334"/>
      <c r="BC857" s="334"/>
      <c r="BD857" s="334"/>
      <c r="BE857" s="201"/>
    </row>
    <row r="858" spans="45:57" x14ac:dyDescent="0.25">
      <c r="AS858" s="202"/>
      <c r="AV858" s="200"/>
      <c r="AW858" s="200"/>
      <c r="AX858" s="334"/>
      <c r="AY858" s="334"/>
      <c r="AZ858" s="334"/>
      <c r="BA858" s="201"/>
      <c r="BB858" s="334"/>
      <c r="BC858" s="334"/>
      <c r="BD858" s="334"/>
      <c r="BE858" s="201"/>
    </row>
    <row r="859" spans="45:57" x14ac:dyDescent="0.25">
      <c r="AS859" s="202"/>
      <c r="AV859" s="200"/>
      <c r="AW859" s="200"/>
      <c r="AX859" s="334"/>
      <c r="AY859" s="334"/>
      <c r="AZ859" s="334"/>
      <c r="BA859" s="201"/>
      <c r="BB859" s="334"/>
      <c r="BC859" s="334"/>
      <c r="BD859" s="334"/>
      <c r="BE859" s="201"/>
    </row>
    <row r="860" spans="45:57" x14ac:dyDescent="0.25">
      <c r="AS860" s="202"/>
      <c r="AV860" s="200"/>
      <c r="AW860" s="200"/>
      <c r="AX860" s="334"/>
      <c r="AY860" s="334"/>
      <c r="AZ860" s="334"/>
      <c r="BA860" s="201"/>
      <c r="BB860" s="334"/>
      <c r="BC860" s="334"/>
      <c r="BD860" s="334"/>
      <c r="BE860" s="201"/>
    </row>
    <row r="861" spans="45:57" x14ac:dyDescent="0.25">
      <c r="AS861" s="202"/>
      <c r="AV861" s="200"/>
      <c r="AW861" s="200"/>
      <c r="AX861" s="334"/>
      <c r="AY861" s="334"/>
      <c r="AZ861" s="334"/>
      <c r="BA861" s="201"/>
      <c r="BB861" s="334"/>
      <c r="BC861" s="334"/>
      <c r="BD861" s="334"/>
      <c r="BE861" s="201"/>
    </row>
    <row r="862" spans="45:57" x14ac:dyDescent="0.25">
      <c r="AS862" s="202"/>
      <c r="AV862" s="200"/>
      <c r="AW862" s="200"/>
      <c r="AX862" s="334"/>
      <c r="AY862" s="334"/>
      <c r="AZ862" s="334"/>
      <c r="BA862" s="201"/>
      <c r="BB862" s="334"/>
      <c r="BC862" s="334"/>
      <c r="BD862" s="334"/>
      <c r="BE862" s="201"/>
    </row>
    <row r="863" spans="45:57" x14ac:dyDescent="0.25">
      <c r="AS863" s="202"/>
      <c r="AV863" s="200"/>
      <c r="AW863" s="200"/>
      <c r="AX863" s="334"/>
      <c r="AY863" s="334"/>
      <c r="AZ863" s="334"/>
      <c r="BA863" s="201"/>
      <c r="BB863" s="334"/>
      <c r="BC863" s="334"/>
      <c r="BD863" s="334"/>
      <c r="BE863" s="201"/>
    </row>
    <row r="864" spans="45:57" x14ac:dyDescent="0.25">
      <c r="AS864" s="202"/>
      <c r="AV864" s="200"/>
      <c r="AW864" s="200"/>
      <c r="AX864" s="334"/>
      <c r="AY864" s="334"/>
      <c r="AZ864" s="334"/>
      <c r="BA864" s="201"/>
      <c r="BB864" s="334"/>
      <c r="BC864" s="334"/>
      <c r="BD864" s="334"/>
      <c r="BE864" s="201"/>
    </row>
    <row r="865" spans="45:57" x14ac:dyDescent="0.25">
      <c r="AS865" s="202"/>
      <c r="AV865" s="200"/>
      <c r="AW865" s="200"/>
      <c r="AX865" s="334"/>
      <c r="AY865" s="334"/>
      <c r="AZ865" s="334"/>
      <c r="BA865" s="201"/>
      <c r="BB865" s="334"/>
      <c r="BC865" s="334"/>
      <c r="BD865" s="334"/>
      <c r="BE865" s="201"/>
    </row>
    <row r="866" spans="45:57" x14ac:dyDescent="0.25">
      <c r="AS866" s="202"/>
      <c r="AV866" s="200"/>
      <c r="AW866" s="200"/>
      <c r="AX866" s="334"/>
      <c r="AY866" s="334"/>
      <c r="AZ866" s="334"/>
      <c r="BA866" s="201"/>
      <c r="BB866" s="334"/>
      <c r="BC866" s="334"/>
      <c r="BD866" s="334"/>
      <c r="BE866" s="201"/>
    </row>
    <row r="867" spans="45:57" x14ac:dyDescent="0.25">
      <c r="BB867" s="334"/>
    </row>
    <row r="868" spans="45:57" x14ac:dyDescent="0.25">
      <c r="AU868" s="154"/>
      <c r="BB868" s="334"/>
    </row>
    <row r="869" spans="45:57" x14ac:dyDescent="0.25">
      <c r="AU869" s="154"/>
    </row>
    <row r="870" spans="45:57" x14ac:dyDescent="0.25">
      <c r="AU870" s="154"/>
      <c r="BB870" s="334"/>
    </row>
    <row r="871" spans="45:57" x14ac:dyDescent="0.25">
      <c r="AS871" s="154"/>
      <c r="AZ871" s="334"/>
      <c r="BB871" s="334"/>
    </row>
    <row r="872" spans="45:57" x14ac:dyDescent="0.25">
      <c r="AY872" s="202"/>
      <c r="AZ872" s="334"/>
      <c r="BB872" s="334"/>
    </row>
    <row r="873" spans="45:57" x14ac:dyDescent="0.25">
      <c r="AY873" s="334"/>
      <c r="AZ873" s="334"/>
      <c r="BB873" s="334"/>
    </row>
    <row r="874" spans="45:57" x14ac:dyDescent="0.25">
      <c r="AY874" s="154"/>
      <c r="AZ874" s="334"/>
      <c r="BB874" s="334"/>
    </row>
    <row r="875" spans="45:57" x14ac:dyDescent="0.25">
      <c r="AY875" s="154"/>
      <c r="AZ875" s="334"/>
      <c r="BB875" s="334"/>
    </row>
    <row r="876" spans="45:57" x14ac:dyDescent="0.25">
      <c r="AS876" s="202"/>
      <c r="AZ876" s="334"/>
      <c r="BB876" s="334"/>
      <c r="BD876" s="154"/>
    </row>
    <row r="877" spans="45:57" x14ac:dyDescent="0.25">
      <c r="AS877" s="202"/>
      <c r="AZ877" s="334"/>
      <c r="BB877" s="334"/>
      <c r="BD877" s="154"/>
    </row>
    <row r="878" spans="45:57" x14ac:dyDescent="0.25">
      <c r="AS878" s="154"/>
      <c r="AZ878" s="334"/>
      <c r="BB878" s="334"/>
      <c r="BD878" s="154"/>
    </row>
    <row r="879" spans="45:57" x14ac:dyDescent="0.25">
      <c r="AZ879" s="334"/>
      <c r="BB879" s="334"/>
      <c r="BD879" s="202"/>
    </row>
    <row r="880" spans="45:57" x14ac:dyDescent="0.25">
      <c r="AS880" s="102"/>
      <c r="AT880" s="102"/>
      <c r="AU880" s="102"/>
      <c r="AV880" s="102"/>
      <c r="AW880" s="102"/>
      <c r="AX880" s="102"/>
      <c r="AY880" s="102"/>
      <c r="AZ880" s="335"/>
      <c r="BA880" s="102"/>
      <c r="BB880" s="335"/>
      <c r="BC880" s="102"/>
      <c r="BD880" s="102"/>
      <c r="BE880" s="102"/>
    </row>
    <row r="881" spans="45:57" x14ac:dyDescent="0.25">
      <c r="AX881" s="154"/>
      <c r="AZ881" s="334"/>
      <c r="BB881" s="334"/>
    </row>
    <row r="882" spans="45:57" x14ac:dyDescent="0.25">
      <c r="AX882" s="102"/>
      <c r="AY882" s="102"/>
      <c r="AZ882" s="335"/>
      <c r="BA882" s="102"/>
      <c r="BB882" s="334"/>
      <c r="BC882" s="103"/>
      <c r="BD882" s="103"/>
    </row>
    <row r="883" spans="45:57" x14ac:dyDescent="0.25">
      <c r="AV883" s="103"/>
      <c r="AW883" s="103"/>
      <c r="AZ883" s="336"/>
      <c r="BA883" s="103"/>
      <c r="BB883" s="334"/>
      <c r="BC883" s="103"/>
      <c r="BD883" s="103"/>
      <c r="BE883" s="103"/>
    </row>
    <row r="884" spans="45:57" x14ac:dyDescent="0.25">
      <c r="AV884" s="103"/>
      <c r="AW884" s="103"/>
      <c r="AX884" s="103"/>
      <c r="AY884" s="103"/>
      <c r="AZ884" s="336"/>
      <c r="BA884" s="103"/>
      <c r="BB884" s="336"/>
      <c r="BC884" s="103"/>
      <c r="BD884" s="103"/>
      <c r="BE884" s="103"/>
    </row>
    <row r="885" spans="45:57" x14ac:dyDescent="0.25">
      <c r="AS885" s="103"/>
      <c r="AU885" s="154"/>
      <c r="AV885" s="103"/>
      <c r="AW885" s="103"/>
      <c r="AX885" s="103"/>
      <c r="AY885" s="103"/>
      <c r="AZ885" s="336"/>
      <c r="BA885" s="103"/>
      <c r="BB885" s="336"/>
      <c r="BC885" s="103"/>
      <c r="BD885" s="103"/>
      <c r="BE885" s="103"/>
    </row>
    <row r="886" spans="45:57" x14ac:dyDescent="0.25">
      <c r="AS886" s="103"/>
      <c r="AU886" s="154"/>
      <c r="AV886" s="103"/>
      <c r="AW886" s="103"/>
      <c r="AX886" s="103"/>
      <c r="AY886" s="103"/>
      <c r="AZ886" s="336"/>
      <c r="BA886" s="103"/>
      <c r="BB886" s="336"/>
      <c r="BC886" s="103"/>
      <c r="BD886" s="103"/>
      <c r="BE886" s="103"/>
    </row>
    <row r="887" spans="45:57" x14ac:dyDescent="0.25">
      <c r="AS887" s="102"/>
      <c r="AT887" s="102"/>
      <c r="AU887" s="102"/>
      <c r="AV887" s="102"/>
      <c r="AW887" s="102"/>
      <c r="AX887" s="102"/>
      <c r="AY887" s="102"/>
      <c r="AZ887" s="335"/>
      <c r="BA887" s="102"/>
      <c r="BB887" s="335"/>
      <c r="BC887" s="102"/>
      <c r="BD887" s="102"/>
      <c r="BE887" s="102"/>
    </row>
    <row r="888" spans="45:57" x14ac:dyDescent="0.25">
      <c r="AV888" s="103"/>
      <c r="AW888" s="103"/>
      <c r="AX888" s="103"/>
      <c r="AY888" s="103"/>
      <c r="AZ888" s="336"/>
      <c r="BA888" s="103"/>
      <c r="BB888" s="336"/>
      <c r="BC888" s="103"/>
      <c r="BD888" s="103"/>
      <c r="BE888" s="103"/>
    </row>
    <row r="889" spans="45:57" x14ac:dyDescent="0.25">
      <c r="AS889" s="202"/>
      <c r="AT889" s="154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57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57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57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</row>
    <row r="893" spans="45:57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4" spans="45:57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</row>
    <row r="895" spans="45:57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</row>
    <row r="896" spans="45:57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</row>
    <row r="897" spans="45:57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</row>
    <row r="898" spans="45:57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</row>
    <row r="899" spans="45:57" x14ac:dyDescent="0.25">
      <c r="AV899" s="200"/>
      <c r="AW899" s="200"/>
      <c r="BB899" s="334"/>
    </row>
    <row r="900" spans="45:57" x14ac:dyDescent="0.25">
      <c r="AS900" s="202"/>
      <c r="AT900" s="154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57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</row>
    <row r="902" spans="45:57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</row>
    <row r="903" spans="45:57" x14ac:dyDescent="0.25">
      <c r="AS903" s="202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</row>
    <row r="904" spans="45:57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</row>
    <row r="905" spans="45:57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</row>
    <row r="906" spans="45:57" x14ac:dyDescent="0.25">
      <c r="AS906" s="202"/>
      <c r="AV906" s="200"/>
      <c r="AW906" s="200"/>
      <c r="AX906" s="334"/>
      <c r="AY906" s="334"/>
      <c r="AZ906" s="334"/>
      <c r="BA906" s="201"/>
      <c r="BB906" s="334"/>
      <c r="BC906" s="334"/>
      <c r="BD906" s="334"/>
      <c r="BE906" s="201"/>
    </row>
    <row r="907" spans="45:57" x14ac:dyDescent="0.25">
      <c r="AS907" s="202"/>
      <c r="AV907" s="200"/>
      <c r="AW907" s="200"/>
      <c r="AX907" s="334"/>
      <c r="AY907" s="334"/>
      <c r="AZ907" s="334"/>
      <c r="BA907" s="201"/>
      <c r="BB907" s="334"/>
      <c r="BC907" s="334"/>
      <c r="BD907" s="334"/>
      <c r="BE907" s="201"/>
    </row>
    <row r="908" spans="45:57" x14ac:dyDescent="0.25">
      <c r="AS908" s="202"/>
      <c r="AV908" s="200"/>
      <c r="AW908" s="200"/>
      <c r="AX908" s="334"/>
      <c r="AY908" s="334"/>
      <c r="AZ908" s="334"/>
      <c r="BA908" s="201"/>
      <c r="BB908" s="334"/>
      <c r="BC908" s="334"/>
      <c r="BD908" s="334"/>
      <c r="BE908" s="201"/>
    </row>
    <row r="909" spans="45:57" x14ac:dyDescent="0.25">
      <c r="AS909" s="202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</row>
    <row r="911" spans="45:57" x14ac:dyDescent="0.25">
      <c r="AU911" s="154"/>
    </row>
    <row r="912" spans="45:57" x14ac:dyDescent="0.25">
      <c r="AU912" s="154"/>
    </row>
    <row r="913" spans="45:47" x14ac:dyDescent="0.25">
      <c r="AU913" s="154"/>
    </row>
    <row r="914" spans="45:47" x14ac:dyDescent="0.25">
      <c r="AS914" s="154"/>
    </row>
    <row r="935" spans="52:71" x14ac:dyDescent="0.25">
      <c r="AZ935" s="334"/>
      <c r="BB935" s="334"/>
      <c r="BC935" s="334"/>
      <c r="BD935" s="334"/>
      <c r="BG935" s="334"/>
      <c r="BH935" s="334"/>
      <c r="BI935" s="334"/>
      <c r="BJ935" s="334"/>
      <c r="BK935" s="334"/>
      <c r="BL935" s="334"/>
      <c r="BM935" s="334"/>
      <c r="BN935" s="334"/>
      <c r="BO935" s="334"/>
      <c r="BP935" s="334"/>
      <c r="BQ935" s="334"/>
      <c r="BR935" s="334"/>
      <c r="BS935" s="334"/>
    </row>
    <row r="936" spans="52:71" x14ac:dyDescent="0.25">
      <c r="AZ936" s="334"/>
      <c r="BB936" s="334"/>
      <c r="BC936" s="334"/>
      <c r="BD936" s="334"/>
      <c r="BG936" s="334"/>
      <c r="BH936" s="334"/>
      <c r="BI936" s="334"/>
      <c r="BJ936" s="334"/>
      <c r="BK936" s="334"/>
      <c r="BL936" s="334"/>
      <c r="BM936" s="334"/>
      <c r="BN936" s="334"/>
      <c r="BO936" s="334"/>
      <c r="BP936" s="334"/>
      <c r="BQ936" s="334"/>
      <c r="BR936" s="334"/>
      <c r="BS936" s="334"/>
    </row>
    <row r="937" spans="52:71" x14ac:dyDescent="0.25">
      <c r="AZ937" s="334"/>
      <c r="BB937" s="334"/>
      <c r="BC937" s="334"/>
      <c r="BD937" s="334"/>
      <c r="BG937" s="334"/>
      <c r="BH937" s="334"/>
      <c r="BI937" s="334"/>
      <c r="BJ937" s="334"/>
      <c r="BK937" s="334"/>
      <c r="BL937" s="334"/>
      <c r="BM937" s="334"/>
      <c r="BN937" s="334"/>
      <c r="BO937" s="334"/>
      <c r="BP937" s="334"/>
      <c r="BQ937" s="334"/>
      <c r="BR937" s="334"/>
      <c r="BS937" s="334"/>
    </row>
    <row r="938" spans="52:71" x14ac:dyDescent="0.25">
      <c r="AZ938" s="334"/>
      <c r="BB938" s="334"/>
      <c r="BC938" s="334"/>
      <c r="BD938" s="334"/>
      <c r="BG938" s="334"/>
      <c r="BH938" s="334"/>
      <c r="BI938" s="334"/>
      <c r="BJ938" s="334"/>
      <c r="BK938" s="334"/>
      <c r="BL938" s="334"/>
      <c r="BM938" s="334"/>
      <c r="BN938" s="334"/>
      <c r="BO938" s="334"/>
      <c r="BP938" s="334"/>
      <c r="BQ938" s="334"/>
      <c r="BR938" s="334"/>
      <c r="BS938" s="334"/>
    </row>
    <row r="939" spans="52:71" x14ac:dyDescent="0.25">
      <c r="AZ939" s="334"/>
      <c r="BB939" s="334"/>
      <c r="BC939" s="334"/>
      <c r="BD939" s="334"/>
      <c r="BG939" s="334"/>
      <c r="BH939" s="334"/>
      <c r="BI939" s="334"/>
      <c r="BJ939" s="334"/>
      <c r="BK939" s="334"/>
      <c r="BL939" s="334"/>
      <c r="BM939" s="334"/>
      <c r="BN939" s="334"/>
      <c r="BO939" s="334"/>
      <c r="BP939" s="334"/>
      <c r="BQ939" s="334"/>
      <c r="BR939" s="334"/>
      <c r="BS939" s="334"/>
    </row>
    <row r="940" spans="52:71" x14ac:dyDescent="0.25">
      <c r="AZ940" s="334"/>
      <c r="BB940" s="334"/>
      <c r="BC940" s="334"/>
      <c r="BD940" s="334"/>
      <c r="BG940" s="334"/>
      <c r="BH940" s="334"/>
      <c r="BI940" s="334"/>
      <c r="BJ940" s="334"/>
      <c r="BK940" s="334"/>
      <c r="BL940" s="334"/>
      <c r="BM940" s="334"/>
      <c r="BN940" s="334"/>
      <c r="BO940" s="334"/>
      <c r="BP940" s="334"/>
      <c r="BQ940" s="334"/>
      <c r="BR940" s="334"/>
      <c r="BS940" s="334"/>
    </row>
    <row r="941" spans="52:71" x14ac:dyDescent="0.25">
      <c r="AZ941" s="334"/>
      <c r="BB941" s="334"/>
      <c r="BC941" s="334"/>
      <c r="BD941" s="334"/>
      <c r="BG941" s="334"/>
      <c r="BH941" s="334"/>
      <c r="BI941" s="334"/>
      <c r="BJ941" s="334"/>
      <c r="BK941" s="334"/>
      <c r="BL941" s="334"/>
      <c r="BM941" s="334"/>
      <c r="BN941" s="334"/>
      <c r="BO941" s="334"/>
      <c r="BP941" s="334"/>
      <c r="BQ941" s="334"/>
      <c r="BR941" s="334"/>
      <c r="BS941" s="334"/>
    </row>
    <row r="942" spans="52:71" x14ac:dyDescent="0.25">
      <c r="AZ942" s="334"/>
      <c r="BB942" s="334"/>
      <c r="BC942" s="334"/>
      <c r="BD942" s="334"/>
      <c r="BG942" s="334"/>
      <c r="BH942" s="334"/>
      <c r="BI942" s="334"/>
      <c r="BJ942" s="334"/>
      <c r="BK942" s="334"/>
      <c r="BL942" s="334"/>
      <c r="BM942" s="334"/>
      <c r="BN942" s="334"/>
      <c r="BO942" s="334"/>
      <c r="BP942" s="334"/>
      <c r="BQ942" s="334"/>
      <c r="BR942" s="334"/>
      <c r="BS942" s="334"/>
    </row>
    <row r="943" spans="52:71" x14ac:dyDescent="0.25">
      <c r="AZ943" s="334"/>
      <c r="BB943" s="334"/>
      <c r="BC943" s="334"/>
      <c r="BD943" s="334"/>
      <c r="BG943" s="334"/>
      <c r="BH943" s="334"/>
      <c r="BI943" s="334"/>
      <c r="BJ943" s="334"/>
      <c r="BK943" s="334"/>
      <c r="BL943" s="334"/>
      <c r="BM943" s="334"/>
      <c r="BN943" s="334"/>
      <c r="BO943" s="334"/>
      <c r="BP943" s="334"/>
      <c r="BQ943" s="334"/>
      <c r="BR943" s="334"/>
      <c r="BS943" s="334"/>
    </row>
    <row r="944" spans="52:71" x14ac:dyDescent="0.25">
      <c r="AZ944" s="334"/>
      <c r="BB944" s="334"/>
      <c r="BC944" s="334"/>
      <c r="BD944" s="334"/>
      <c r="BG944" s="334"/>
      <c r="BH944" s="334"/>
      <c r="BI944" s="334"/>
      <c r="BJ944" s="334"/>
      <c r="BK944" s="334"/>
      <c r="BL944" s="334"/>
      <c r="BM944" s="334"/>
      <c r="BN944" s="334"/>
      <c r="BO944" s="334"/>
      <c r="BP944" s="334"/>
      <c r="BQ944" s="334"/>
      <c r="BR944" s="334"/>
      <c r="BS944" s="334"/>
    </row>
    <row r="945" spans="52:71" x14ac:dyDescent="0.25">
      <c r="AZ945" s="334"/>
      <c r="BB945" s="334"/>
      <c r="BC945" s="334"/>
      <c r="BD945" s="334"/>
      <c r="BG945" s="334"/>
      <c r="BH945" s="334"/>
      <c r="BI945" s="334"/>
      <c r="BJ945" s="334"/>
      <c r="BK945" s="334"/>
      <c r="BL945" s="334"/>
      <c r="BM945" s="334"/>
      <c r="BN945" s="334"/>
      <c r="BO945" s="334"/>
      <c r="BP945" s="334"/>
      <c r="BQ945" s="334"/>
      <c r="BR945" s="334"/>
      <c r="BS945" s="334"/>
    </row>
    <row r="946" spans="52:71" x14ac:dyDescent="0.25">
      <c r="AZ946" s="334"/>
      <c r="BB946" s="334"/>
      <c r="BC946" s="334"/>
      <c r="BD946" s="334"/>
      <c r="BG946" s="334"/>
      <c r="BH946" s="334"/>
      <c r="BI946" s="334"/>
      <c r="BJ946" s="334"/>
      <c r="BK946" s="334"/>
      <c r="BL946" s="334"/>
      <c r="BM946" s="334"/>
      <c r="BN946" s="334"/>
      <c r="BO946" s="334"/>
      <c r="BP946" s="334"/>
      <c r="BQ946" s="334"/>
      <c r="BR946" s="334"/>
      <c r="BS946" s="334"/>
    </row>
    <row r="947" spans="52:71" x14ac:dyDescent="0.25">
      <c r="AZ947" s="334"/>
      <c r="BG947" s="334"/>
      <c r="BH947" s="334"/>
      <c r="BI947" s="334"/>
      <c r="BJ947" s="334"/>
      <c r="BK947" s="334"/>
      <c r="BL947" s="334"/>
      <c r="BM947" s="334"/>
      <c r="BN947" s="334"/>
      <c r="BO947" s="334"/>
      <c r="BP947" s="334"/>
      <c r="BQ947" s="334"/>
      <c r="BR947" s="334"/>
      <c r="BS947" s="334"/>
    </row>
    <row r="948" spans="52:71" x14ac:dyDescent="0.25">
      <c r="AZ948" s="334"/>
      <c r="BG948" s="334"/>
      <c r="BH948" s="334"/>
      <c r="BI948" s="334"/>
      <c r="BJ948" s="334"/>
      <c r="BK948" s="334"/>
      <c r="BL948" s="334"/>
      <c r="BM948" s="334"/>
      <c r="BN948" s="334"/>
      <c r="BO948" s="334"/>
      <c r="BP948" s="334"/>
      <c r="BQ948" s="334"/>
      <c r="BR948" s="334"/>
      <c r="BS948" s="334"/>
    </row>
    <row r="949" spans="52:71" x14ac:dyDescent="0.25">
      <c r="AZ949" s="334"/>
      <c r="BG949" s="334"/>
      <c r="BH949" s="334"/>
      <c r="BI949" s="334"/>
      <c r="BJ949" s="334"/>
      <c r="BK949" s="334"/>
      <c r="BL949" s="334"/>
      <c r="BM949" s="334"/>
      <c r="BN949" s="334"/>
      <c r="BO949" s="334"/>
      <c r="BP949" s="334"/>
      <c r="BQ949" s="334"/>
      <c r="BR949" s="334"/>
      <c r="BS949" s="334"/>
    </row>
    <row r="950" spans="52:71" x14ac:dyDescent="0.25">
      <c r="AZ950" s="334"/>
      <c r="BG950" s="334"/>
      <c r="BH950" s="334"/>
      <c r="BI950" s="334"/>
      <c r="BJ950" s="334"/>
      <c r="BK950" s="334"/>
      <c r="BL950" s="334"/>
      <c r="BM950" s="334"/>
      <c r="BN950" s="334"/>
      <c r="BO950" s="334"/>
      <c r="BP950" s="334"/>
      <c r="BQ950" s="334"/>
      <c r="BR950" s="334"/>
      <c r="BS950" s="334"/>
    </row>
    <row r="951" spans="52:71" x14ac:dyDescent="0.25">
      <c r="AZ951" s="334"/>
      <c r="BG951" s="334"/>
      <c r="BH951" s="334"/>
      <c r="BI951" s="334"/>
      <c r="BJ951" s="334"/>
      <c r="BK951" s="334"/>
      <c r="BL951" s="334"/>
      <c r="BM951" s="334"/>
      <c r="BN951" s="334"/>
      <c r="BO951" s="334"/>
      <c r="BP951" s="334"/>
      <c r="BQ951" s="334"/>
      <c r="BR951" s="334"/>
      <c r="BS951" s="334"/>
    </row>
    <row r="952" spans="52:71" x14ac:dyDescent="0.25">
      <c r="AZ952" s="334"/>
      <c r="BG952" s="334"/>
      <c r="BH952" s="334"/>
      <c r="BI952" s="334"/>
      <c r="BJ952" s="334"/>
      <c r="BK952" s="334"/>
      <c r="BL952" s="334"/>
      <c r="BM952" s="334"/>
      <c r="BN952" s="334"/>
      <c r="BO952" s="334"/>
      <c r="BP952" s="334"/>
      <c r="BQ952" s="334"/>
      <c r="BR952" s="334"/>
      <c r="BS952" s="334"/>
    </row>
    <row r="953" spans="52:71" x14ac:dyDescent="0.25">
      <c r="AZ953" s="334"/>
      <c r="BG953" s="334"/>
      <c r="BH953" s="334"/>
      <c r="BI953" s="334"/>
      <c r="BJ953" s="334"/>
      <c r="BK953" s="334"/>
      <c r="BL953" s="334"/>
      <c r="BM953" s="334"/>
      <c r="BN953" s="334"/>
      <c r="BO953" s="334"/>
      <c r="BP953" s="334"/>
      <c r="BQ953" s="334"/>
      <c r="BR953" s="334"/>
      <c r="BS953" s="334"/>
    </row>
    <row r="954" spans="52:71" x14ac:dyDescent="0.25">
      <c r="AZ954" s="334"/>
    </row>
    <row r="955" spans="52:71" x14ac:dyDescent="0.25">
      <c r="AZ955" s="334"/>
    </row>
    <row r="969" spans="1:28" x14ac:dyDescent="0.25">
      <c r="A969" s="154"/>
    </row>
    <row r="972" spans="1:28" x14ac:dyDescent="0.25">
      <c r="Y972" s="154"/>
    </row>
    <row r="973" spans="1:28" x14ac:dyDescent="0.25">
      <c r="A973" s="154"/>
      <c r="H973" s="154"/>
      <c r="I973" s="154"/>
    </row>
    <row r="974" spans="1:28" x14ac:dyDescent="0.25">
      <c r="A974" s="154"/>
      <c r="V974" s="103"/>
      <c r="AA974" s="103"/>
      <c r="AB974" s="103"/>
    </row>
    <row r="975" spans="1:28" x14ac:dyDescent="0.25">
      <c r="A975" s="154"/>
      <c r="V975" s="102"/>
      <c r="AA975" s="102"/>
      <c r="AB975" s="102"/>
    </row>
    <row r="976" spans="1:28" x14ac:dyDescent="0.25">
      <c r="A976" s="154"/>
      <c r="U976" s="154"/>
      <c r="AA976" s="103"/>
      <c r="AB976" s="103"/>
    </row>
    <row r="977" spans="1:28" x14ac:dyDescent="0.25">
      <c r="A977" s="154"/>
    </row>
    <row r="978" spans="1:28" x14ac:dyDescent="0.25">
      <c r="A978" s="154"/>
      <c r="U978" s="154"/>
      <c r="AA978" s="103"/>
      <c r="AB978" s="103"/>
    </row>
    <row r="979" spans="1:28" x14ac:dyDescent="0.25">
      <c r="A979" s="154"/>
    </row>
    <row r="980" spans="1:28" x14ac:dyDescent="0.25">
      <c r="A980" s="154"/>
      <c r="U980" s="154"/>
      <c r="V980" s="338"/>
      <c r="AA980" s="103"/>
      <c r="AB980" s="103"/>
    </row>
    <row r="981" spans="1:28" x14ac:dyDescent="0.25">
      <c r="A981" s="154"/>
    </row>
    <row r="982" spans="1:28" x14ac:dyDescent="0.25">
      <c r="A982" s="154"/>
      <c r="U982" s="154"/>
      <c r="AA982" s="103"/>
      <c r="AB982" s="103"/>
    </row>
    <row r="983" spans="1:28" x14ac:dyDescent="0.25">
      <c r="A983" s="154"/>
    </row>
    <row r="984" spans="1:28" x14ac:dyDescent="0.25">
      <c r="A984" s="154"/>
      <c r="U984" s="154"/>
      <c r="AA984" s="103"/>
      <c r="AB984" s="103"/>
    </row>
    <row r="985" spans="1:28" x14ac:dyDescent="0.25">
      <c r="A985" s="154"/>
    </row>
    <row r="986" spans="1:28" x14ac:dyDescent="0.25">
      <c r="A986" s="154"/>
    </row>
    <row r="987" spans="1:28" x14ac:dyDescent="0.25">
      <c r="A987" s="154"/>
    </row>
    <row r="988" spans="1:28" x14ac:dyDescent="0.25">
      <c r="A988" s="154"/>
    </row>
    <row r="989" spans="1:28" x14ac:dyDescent="0.25">
      <c r="A989" s="154"/>
    </row>
    <row r="990" spans="1:28" x14ac:dyDescent="0.25">
      <c r="A990" s="154"/>
    </row>
    <row r="991" spans="1:28" x14ac:dyDescent="0.25">
      <c r="A991" s="154"/>
    </row>
    <row r="992" spans="1:28" x14ac:dyDescent="0.25">
      <c r="A992" s="154"/>
    </row>
    <row r="993" spans="1:9" x14ac:dyDescent="0.25">
      <c r="A993" s="154"/>
    </row>
    <row r="994" spans="1:9" x14ac:dyDescent="0.25">
      <c r="A994" s="154"/>
    </row>
    <row r="995" spans="1:9" x14ac:dyDescent="0.25">
      <c r="A995" s="154"/>
      <c r="H995" s="154"/>
      <c r="I995" s="154"/>
    </row>
    <row r="998" spans="1:9" x14ac:dyDescent="0.25">
      <c r="A998" s="154"/>
    </row>
    <row r="1001" spans="1:9" x14ac:dyDescent="0.25">
      <c r="A1001" s="154"/>
    </row>
    <row r="1004" spans="1:9" x14ac:dyDescent="0.25">
      <c r="A1004" s="154"/>
    </row>
    <row r="1005" spans="1:9" x14ac:dyDescent="0.25">
      <c r="A1005" s="154"/>
    </row>
    <row r="1006" spans="1:9" x14ac:dyDescent="0.25">
      <c r="A1006" s="154"/>
    </row>
    <row r="1007" spans="1:9" x14ac:dyDescent="0.25">
      <c r="A1007" s="154"/>
    </row>
    <row r="1008" spans="1:9" x14ac:dyDescent="0.25">
      <c r="A1008" s="154"/>
    </row>
    <row r="1009" spans="1:1" x14ac:dyDescent="0.25">
      <c r="A1009" s="154"/>
    </row>
    <row r="1010" spans="1:1" x14ac:dyDescent="0.25">
      <c r="A1010" s="154"/>
    </row>
    <row r="1011" spans="1:1" x14ac:dyDescent="0.25">
      <c r="A1011" s="154"/>
    </row>
    <row r="1012" spans="1:1" x14ac:dyDescent="0.25">
      <c r="A1012" s="154"/>
    </row>
    <row r="1013" spans="1:1" x14ac:dyDescent="0.25">
      <c r="A1013" s="154"/>
    </row>
    <row r="1014" spans="1:1" x14ac:dyDescent="0.25">
      <c r="A1014" s="154"/>
    </row>
    <row r="1015" spans="1:1" x14ac:dyDescent="0.25">
      <c r="A1015" s="154"/>
    </row>
    <row r="1016" spans="1:1" x14ac:dyDescent="0.25">
      <c r="A1016" s="154"/>
    </row>
    <row r="1017" spans="1:1" x14ac:dyDescent="0.25">
      <c r="A1017" s="154"/>
    </row>
    <row r="1018" spans="1:1" x14ac:dyDescent="0.25">
      <c r="A1018" s="154"/>
    </row>
    <row r="1019" spans="1:1" x14ac:dyDescent="0.25">
      <c r="A1019" s="154"/>
    </row>
    <row r="1020" spans="1:1" x14ac:dyDescent="0.25">
      <c r="A1020" s="154"/>
    </row>
    <row r="1021" spans="1:1" x14ac:dyDescent="0.25">
      <c r="A1021" s="154"/>
    </row>
    <row r="1022" spans="1:1" x14ac:dyDescent="0.25">
      <c r="A1022" s="154"/>
    </row>
    <row r="1023" spans="1:1" x14ac:dyDescent="0.25">
      <c r="A1023" s="154"/>
    </row>
    <row r="1024" spans="1:1" x14ac:dyDescent="0.25">
      <c r="A1024" s="154"/>
    </row>
    <row r="1025" spans="1:1" x14ac:dyDescent="0.25">
      <c r="A1025" s="154"/>
    </row>
    <row r="1026" spans="1:1" x14ac:dyDescent="0.25">
      <c r="A1026" s="154"/>
    </row>
    <row r="1027" spans="1:1" x14ac:dyDescent="0.25">
      <c r="A1027" s="154"/>
    </row>
    <row r="1028" spans="1:1" x14ac:dyDescent="0.25">
      <c r="A1028" s="154"/>
    </row>
    <row r="1029" spans="1:1" x14ac:dyDescent="0.25">
      <c r="A1029" s="154"/>
    </row>
    <row r="1030" spans="1:1" x14ac:dyDescent="0.25">
      <c r="A1030" s="154"/>
    </row>
    <row r="1031" spans="1:1" x14ac:dyDescent="0.25">
      <c r="A1031" s="154"/>
    </row>
    <row r="1032" spans="1:1" x14ac:dyDescent="0.25">
      <c r="A1032" s="154"/>
    </row>
    <row r="1033" spans="1:1" x14ac:dyDescent="0.25">
      <c r="A1033" s="154"/>
    </row>
    <row r="1034" spans="1:1" x14ac:dyDescent="0.25">
      <c r="A1034" s="154"/>
    </row>
    <row r="1035" spans="1:1" x14ac:dyDescent="0.25">
      <c r="A1035" s="154"/>
    </row>
    <row r="1036" spans="1:1" x14ac:dyDescent="0.25">
      <c r="A1036" s="154"/>
    </row>
    <row r="1037" spans="1:1" x14ac:dyDescent="0.25">
      <c r="A1037" s="154"/>
    </row>
    <row r="1038" spans="1:1" x14ac:dyDescent="0.25">
      <c r="A1038" s="154"/>
    </row>
    <row r="1043" spans="1:1" x14ac:dyDescent="0.25">
      <c r="A1043" s="154"/>
    </row>
    <row r="1044" spans="1:1" x14ac:dyDescent="0.25">
      <c r="A1044" s="154"/>
    </row>
    <row r="1047" spans="1:1" x14ac:dyDescent="0.25">
      <c r="A1047" s="154"/>
    </row>
    <row r="1049" spans="1:1" x14ac:dyDescent="0.25">
      <c r="A1049" s="154"/>
    </row>
    <row r="1051" spans="1:1" x14ac:dyDescent="0.25">
      <c r="A1051" s="154"/>
    </row>
    <row r="1053" spans="1:1" x14ac:dyDescent="0.25">
      <c r="A1053" s="154"/>
    </row>
    <row r="1056" spans="1:1" x14ac:dyDescent="0.25">
      <c r="A1056" s="154"/>
    </row>
    <row r="1057" spans="1:1" x14ac:dyDescent="0.25">
      <c r="A1057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63" transitionEvaluation="1" transitionEntry="1" codeName="Sheet13"/>
  <dimension ref="A1:BY1340"/>
  <sheetViews>
    <sheetView tabSelected="1" view="pageLayout" topLeftCell="A163" zoomScaleNormal="75" workbookViewId="0">
      <selection activeCell="L6" sqref="L6"/>
    </sheetView>
  </sheetViews>
  <sheetFormatPr defaultRowHeight="15.75" x14ac:dyDescent="0.25"/>
  <cols>
    <col min="1" max="1" width="5.21875" style="101" customWidth="1"/>
    <col min="2" max="2" width="0.44140625" style="101" customWidth="1"/>
    <col min="3" max="3" width="9.44140625" style="101" customWidth="1"/>
    <col min="4" max="4" width="36.6640625" style="101" customWidth="1"/>
    <col min="5" max="5" width="0.554687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1.218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5" style="101" customWidth="1"/>
    <col min="15" max="15" width="0.5546875" style="101" customWidth="1"/>
    <col min="16" max="16" width="15.6640625" style="101" customWidth="1"/>
    <col min="17" max="17" width="0.5546875" style="101" customWidth="1"/>
    <col min="18" max="18" width="20.88671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7.109375" style="101" customWidth="1"/>
    <col min="23" max="23" width="33" style="101" customWidth="1"/>
    <col min="24" max="24" width="0.5546875" style="101" customWidth="1"/>
    <col min="25" max="25" width="13.21875" style="101" customWidth="1"/>
    <col min="26" max="26" width="1" style="101" customWidth="1"/>
    <col min="27" max="27" width="14.5546875" style="101" customWidth="1"/>
    <col min="28" max="28" width="0.6640625" style="101" customWidth="1"/>
    <col min="29" max="29" width="13.33203125" style="101" customWidth="1"/>
    <col min="30" max="30" width="0.6640625" style="101" customWidth="1"/>
    <col min="31" max="31" width="14.33203125" style="101" customWidth="1"/>
    <col min="32" max="32" width="0.88671875" style="101" customWidth="1"/>
    <col min="33" max="33" width="12.88671875" style="183" customWidth="1"/>
    <col min="34" max="34" width="0.77734375" style="101" customWidth="1"/>
    <col min="35" max="35" width="14.77734375" style="101" customWidth="1"/>
    <col min="36" max="36" width="0.6640625" style="101" customWidth="1"/>
    <col min="37" max="37" width="14.33203125" style="183" customWidth="1"/>
    <col min="38" max="38" width="0.77734375" style="101" customWidth="1"/>
    <col min="39" max="39" width="12.44140625" style="101" customWidth="1"/>
    <col min="40" max="40" width="0.5546875" style="101" customWidth="1"/>
    <col min="41" max="41" width="12.109375" style="101" customWidth="1"/>
    <col min="42" max="42" width="0.5546875" style="101" customWidth="1"/>
    <col min="43" max="43" width="13.21875" style="186" customWidth="1"/>
    <col min="44" max="44" width="0.6640625" style="101" customWidth="1"/>
    <col min="45" max="45" width="11.21875" style="101" customWidth="1"/>
    <col min="46" max="46" width="14.77734375" style="101" customWidth="1"/>
    <col min="47" max="47" width="4.77734375" style="101" customWidth="1"/>
    <col min="48" max="48" width="5.77734375" style="101" customWidth="1"/>
    <col min="49" max="49" width="10.77734375" style="101" customWidth="1"/>
    <col min="50" max="50" width="11.77734375" style="101" customWidth="1"/>
    <col min="51" max="51" width="12.77734375" style="101" customWidth="1"/>
    <col min="52" max="54" width="15.77734375" style="101" customWidth="1"/>
    <col min="55" max="55" width="12.77734375" style="101" customWidth="1"/>
    <col min="56" max="58" width="15.77734375" style="101" customWidth="1"/>
    <col min="59" max="59" width="12.77734375" style="101" customWidth="1"/>
    <col min="60" max="61" width="9.77734375" style="101"/>
    <col min="62" max="64" width="12.77734375" style="101" customWidth="1"/>
    <col min="65" max="65" width="14.77734375" style="101" customWidth="1"/>
    <col min="66" max="67" width="9.77734375" style="101"/>
    <col min="68" max="70" width="12.77734375" style="101" customWidth="1"/>
    <col min="71" max="71" width="14.77734375" style="101" customWidth="1"/>
    <col min="72" max="78" width="9.77734375" style="101"/>
    <col min="79" max="79" width="1.77734375" style="101" customWidth="1"/>
    <col min="80" max="81" width="9.77734375" style="101"/>
    <col min="82" max="82" width="10.77734375" style="101" customWidth="1"/>
    <col min="83" max="84" width="9.77734375" style="101"/>
    <col min="85" max="85" width="7.77734375" style="101" customWidth="1"/>
    <col min="86" max="16384" width="8.88671875" style="101"/>
  </cols>
  <sheetData>
    <row r="1" spans="1:42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AA1" s="101" t="s">
        <v>729</v>
      </c>
      <c r="AG1" s="404">
        <v>0.11884823885245975</v>
      </c>
    </row>
    <row r="2" spans="1:42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AC2" s="405"/>
      <c r="AE2" s="154"/>
    </row>
    <row r="3" spans="1:42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AC3" s="406"/>
      <c r="AE3" s="154"/>
    </row>
    <row r="4" spans="1:42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AA4" s="101" t="s">
        <v>386</v>
      </c>
      <c r="AF4" s="202"/>
      <c r="AI4" s="101" t="s">
        <v>401</v>
      </c>
    </row>
    <row r="5" spans="1:42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407" t="s">
        <v>387</v>
      </c>
      <c r="AC5" s="394">
        <v>4.4000000000000004</v>
      </c>
      <c r="AE5" s="395">
        <f t="shared" ref="AE5:AE18" si="0">ROUND(AC5*$AG$1,2)</f>
        <v>0.52</v>
      </c>
      <c r="AG5" s="90">
        <f t="shared" ref="AG5:AG18" si="1">AC5+AE5</f>
        <v>4.92</v>
      </c>
      <c r="AI5" s="101">
        <v>3</v>
      </c>
      <c r="AM5" s="154"/>
      <c r="AN5" s="154"/>
    </row>
    <row r="6" spans="1:42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A6" s="407" t="s">
        <v>388</v>
      </c>
      <c r="AC6" s="394">
        <v>4.34</v>
      </c>
      <c r="AE6" s="395">
        <f t="shared" si="0"/>
        <v>0.52</v>
      </c>
      <c r="AG6" s="90">
        <f t="shared" si="1"/>
        <v>4.8599999999999994</v>
      </c>
      <c r="AI6" s="101">
        <v>4</v>
      </c>
      <c r="AM6" s="154"/>
      <c r="AN6" s="154"/>
    </row>
    <row r="7" spans="1:42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763</v>
      </c>
      <c r="AA7" s="407" t="s">
        <v>389</v>
      </c>
      <c r="AC7" s="394">
        <v>4.4000000000000004</v>
      </c>
      <c r="AE7" s="395">
        <f t="shared" si="0"/>
        <v>0.52</v>
      </c>
      <c r="AG7" s="90">
        <f t="shared" si="1"/>
        <v>4.92</v>
      </c>
      <c r="AI7" s="101">
        <v>5</v>
      </c>
      <c r="AM7" s="154"/>
      <c r="AN7" s="154"/>
    </row>
    <row r="8" spans="1:42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A8" s="407" t="s">
        <v>390</v>
      </c>
      <c r="AC8" s="394">
        <v>5.27</v>
      </c>
      <c r="AE8" s="395">
        <f t="shared" si="0"/>
        <v>0.63</v>
      </c>
      <c r="AG8" s="90">
        <f t="shared" si="1"/>
        <v>5.8999999999999995</v>
      </c>
      <c r="AI8" s="101">
        <v>6</v>
      </c>
      <c r="AM8" s="154"/>
      <c r="AN8" s="154"/>
    </row>
    <row r="9" spans="1:42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M9" s="82"/>
      <c r="N9" s="80"/>
      <c r="O9" s="80"/>
      <c r="P9" s="80"/>
      <c r="Q9" s="80"/>
      <c r="R9" s="159" t="str">
        <f>WIT</f>
        <v>B. L. SAILERS</v>
      </c>
      <c r="AA9" s="407" t="s">
        <v>391</v>
      </c>
      <c r="AC9" s="394">
        <v>11.97</v>
      </c>
      <c r="AE9" s="395">
        <f t="shared" si="0"/>
        <v>1.42</v>
      </c>
      <c r="AG9" s="90">
        <f t="shared" si="1"/>
        <v>13.39</v>
      </c>
      <c r="AI9" s="101">
        <v>7</v>
      </c>
      <c r="AM9" s="202"/>
      <c r="AN9" s="202"/>
    </row>
    <row r="10" spans="1:42" ht="15" customHeight="1" x14ac:dyDescent="0.25">
      <c r="A10" s="187" t="s">
        <v>151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87"/>
      <c r="M10" s="187"/>
      <c r="N10" s="150"/>
      <c r="O10" s="150"/>
      <c r="P10" s="150"/>
      <c r="Q10" s="150"/>
      <c r="R10" s="187"/>
      <c r="AA10" s="407" t="s">
        <v>392</v>
      </c>
      <c r="AC10" s="394">
        <v>6.94</v>
      </c>
      <c r="AE10" s="395">
        <f t="shared" si="0"/>
        <v>0.82</v>
      </c>
      <c r="AG10" s="90">
        <f t="shared" si="1"/>
        <v>7.7600000000000007</v>
      </c>
      <c r="AI10" s="101">
        <v>8</v>
      </c>
      <c r="AM10" s="202"/>
      <c r="AN10" s="202"/>
    </row>
    <row r="11" spans="1:42" x14ac:dyDescent="0.25">
      <c r="A11" s="151"/>
      <c r="B11" s="151"/>
      <c r="C11" s="151"/>
      <c r="D11" s="151"/>
      <c r="E11" s="151"/>
      <c r="F11" s="80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T11" s="102"/>
      <c r="U11" s="102"/>
      <c r="V11" s="102"/>
      <c r="W11" s="102"/>
      <c r="X11" s="102"/>
      <c r="Y11" s="102"/>
      <c r="Z11" s="102"/>
      <c r="AA11" s="71" t="s">
        <v>393</v>
      </c>
      <c r="AB11" s="102"/>
      <c r="AC11" s="394">
        <v>7.01</v>
      </c>
      <c r="AD11" s="102"/>
      <c r="AE11" s="395">
        <f t="shared" si="0"/>
        <v>0.83</v>
      </c>
      <c r="AF11" s="102"/>
      <c r="AG11" s="90">
        <f t="shared" si="1"/>
        <v>7.84</v>
      </c>
      <c r="AH11" s="102"/>
      <c r="AI11" s="408" t="s">
        <v>437</v>
      </c>
      <c r="AJ11" s="102"/>
      <c r="AK11" s="208"/>
      <c r="AL11" s="102"/>
      <c r="AM11" s="102"/>
      <c r="AN11" s="102"/>
      <c r="AO11" s="102"/>
      <c r="AP11" s="102"/>
    </row>
    <row r="12" spans="1:42" ht="18" customHeight="1" x14ac:dyDescent="0.25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93" t="s">
        <v>6</v>
      </c>
      <c r="M12" s="193"/>
      <c r="N12" s="193" t="s">
        <v>7</v>
      </c>
      <c r="O12" s="193"/>
      <c r="P12" s="152"/>
      <c r="Q12" s="152"/>
      <c r="R12" s="193" t="s">
        <v>6</v>
      </c>
      <c r="AA12" s="407" t="s">
        <v>394</v>
      </c>
      <c r="AC12" s="394">
        <v>13.86</v>
      </c>
      <c r="AE12" s="395">
        <f t="shared" si="0"/>
        <v>1.65</v>
      </c>
      <c r="AG12" s="90">
        <f t="shared" si="1"/>
        <v>15.51</v>
      </c>
      <c r="AH12" s="103"/>
      <c r="AI12" s="71">
        <v>9</v>
      </c>
      <c r="AJ12" s="103"/>
      <c r="AM12" s="103"/>
      <c r="AN12" s="103"/>
      <c r="AO12" s="103"/>
      <c r="AP12" s="103"/>
    </row>
    <row r="13" spans="1:42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12</v>
      </c>
      <c r="M13" s="83"/>
      <c r="N13" s="83" t="s">
        <v>13</v>
      </c>
      <c r="O13" s="83"/>
      <c r="P13" s="80"/>
      <c r="Q13" s="80"/>
      <c r="R13" s="83" t="s">
        <v>11</v>
      </c>
      <c r="AA13" s="407" t="s">
        <v>395</v>
      </c>
      <c r="AC13" s="394">
        <v>4.4000000000000004</v>
      </c>
      <c r="AE13" s="395">
        <f t="shared" si="0"/>
        <v>0.52</v>
      </c>
      <c r="AF13" s="103"/>
      <c r="AG13" s="90">
        <f t="shared" si="1"/>
        <v>4.92</v>
      </c>
      <c r="AH13" s="103"/>
      <c r="AI13" s="71">
        <v>10</v>
      </c>
      <c r="AJ13" s="103"/>
      <c r="AM13" s="103"/>
      <c r="AN13" s="103"/>
      <c r="AO13" s="103"/>
      <c r="AP13" s="103"/>
    </row>
    <row r="14" spans="1:42" x14ac:dyDescent="0.25">
      <c r="A14" s="83" t="s">
        <v>17</v>
      </c>
      <c r="B14" s="80"/>
      <c r="C14" s="83" t="s">
        <v>18</v>
      </c>
      <c r="D14" s="83" t="s">
        <v>19</v>
      </c>
      <c r="E14" s="83"/>
      <c r="F14" s="83" t="s">
        <v>20</v>
      </c>
      <c r="G14" s="80"/>
      <c r="H14" s="80"/>
      <c r="I14" s="80"/>
      <c r="J14" s="83" t="s">
        <v>6</v>
      </c>
      <c r="K14" s="83"/>
      <c r="L14" s="83" t="s">
        <v>21</v>
      </c>
      <c r="M14" s="83"/>
      <c r="N14" s="83" t="s">
        <v>21</v>
      </c>
      <c r="O14" s="83"/>
      <c r="P14" s="83" t="s">
        <v>21</v>
      </c>
      <c r="Q14" s="83"/>
      <c r="R14" s="83" t="s">
        <v>9</v>
      </c>
      <c r="T14" s="103"/>
      <c r="U14" s="103"/>
      <c r="V14" s="103"/>
      <c r="AA14" s="407" t="s">
        <v>400</v>
      </c>
      <c r="AC14" s="394">
        <v>12.87</v>
      </c>
      <c r="AE14" s="395">
        <f t="shared" si="0"/>
        <v>1.53</v>
      </c>
      <c r="AF14" s="103"/>
      <c r="AG14" s="90">
        <f t="shared" si="1"/>
        <v>14.399999999999999</v>
      </c>
      <c r="AH14" s="103"/>
      <c r="AI14" s="71">
        <v>11</v>
      </c>
      <c r="AJ14" s="103"/>
      <c r="AK14" s="185"/>
      <c r="AL14" s="103"/>
      <c r="AM14" s="103"/>
      <c r="AN14" s="103"/>
      <c r="AO14" s="103"/>
      <c r="AP14" s="103"/>
    </row>
    <row r="15" spans="1:42" x14ac:dyDescent="0.25">
      <c r="A15" s="83" t="s">
        <v>24</v>
      </c>
      <c r="B15" s="80"/>
      <c r="C15" s="83" t="s">
        <v>25</v>
      </c>
      <c r="D15" s="83" t="s">
        <v>26</v>
      </c>
      <c r="E15" s="83"/>
      <c r="F15" s="83" t="s">
        <v>27</v>
      </c>
      <c r="G15" s="80"/>
      <c r="H15" s="83" t="s">
        <v>28</v>
      </c>
      <c r="I15" s="83"/>
      <c r="J15" s="196" t="s">
        <v>432</v>
      </c>
      <c r="K15" s="83"/>
      <c r="L15" s="83" t="s">
        <v>9</v>
      </c>
      <c r="M15" s="83"/>
      <c r="N15" s="83" t="s">
        <v>9</v>
      </c>
      <c r="O15" s="83"/>
      <c r="P15" s="83" t="s">
        <v>430</v>
      </c>
      <c r="Q15" s="83"/>
      <c r="R15" s="256" t="s">
        <v>30</v>
      </c>
      <c r="T15" s="103"/>
      <c r="U15" s="103"/>
      <c r="V15" s="103"/>
      <c r="AA15" s="407" t="s">
        <v>396</v>
      </c>
      <c r="AC15" s="394">
        <v>8.3800000000000008</v>
      </c>
      <c r="AE15" s="395">
        <f t="shared" si="0"/>
        <v>1</v>
      </c>
      <c r="AF15" s="103"/>
      <c r="AG15" s="90">
        <f t="shared" si="1"/>
        <v>9.3800000000000008</v>
      </c>
      <c r="AH15" s="103"/>
      <c r="AI15" s="71">
        <v>12</v>
      </c>
      <c r="AJ15" s="103"/>
      <c r="AK15" s="185"/>
      <c r="AL15" s="103"/>
      <c r="AM15" s="103"/>
      <c r="AN15" s="103"/>
      <c r="AO15" s="103"/>
      <c r="AP15" s="103"/>
    </row>
    <row r="16" spans="1:42" x14ac:dyDescent="0.25">
      <c r="A16" s="80"/>
      <c r="B16" s="80"/>
      <c r="C16" s="256" t="s">
        <v>35</v>
      </c>
      <c r="D16" s="256" t="s">
        <v>36</v>
      </c>
      <c r="E16" s="256"/>
      <c r="F16" s="256" t="s">
        <v>37</v>
      </c>
      <c r="G16" s="258"/>
      <c r="H16" s="256" t="s">
        <v>38</v>
      </c>
      <c r="I16" s="256"/>
      <c r="J16" s="256" t="s">
        <v>39</v>
      </c>
      <c r="K16" s="256"/>
      <c r="L16" s="256" t="s">
        <v>40</v>
      </c>
      <c r="M16" s="256"/>
      <c r="N16" s="256" t="s">
        <v>41</v>
      </c>
      <c r="O16" s="256"/>
      <c r="P16" s="256" t="s">
        <v>42</v>
      </c>
      <c r="Q16" s="256"/>
      <c r="R16" s="256" t="s">
        <v>43</v>
      </c>
      <c r="T16" s="102"/>
      <c r="U16" s="102"/>
      <c r="V16" s="102"/>
      <c r="W16" s="102"/>
      <c r="X16" s="102"/>
      <c r="Y16" s="102"/>
      <c r="Z16" s="102"/>
      <c r="AA16" s="407" t="s">
        <v>397</v>
      </c>
      <c r="AC16" s="394">
        <v>8.6</v>
      </c>
      <c r="AE16" s="395">
        <f t="shared" si="0"/>
        <v>1.02</v>
      </c>
      <c r="AF16" s="103"/>
      <c r="AG16" s="90">
        <f t="shared" si="1"/>
        <v>9.6199999999999992</v>
      </c>
      <c r="AH16" s="102"/>
      <c r="AI16" s="71">
        <v>13</v>
      </c>
      <c r="AJ16" s="102"/>
      <c r="AK16" s="208"/>
      <c r="AL16" s="102"/>
      <c r="AM16" s="102"/>
      <c r="AN16" s="102"/>
      <c r="AO16" s="102"/>
      <c r="AP16" s="102"/>
    </row>
    <row r="17" spans="1:45" ht="17.100000000000001" customHeight="1" x14ac:dyDescent="0.25">
      <c r="A17" s="152"/>
      <c r="B17" s="152"/>
      <c r="C17" s="152"/>
      <c r="D17" s="152"/>
      <c r="E17" s="152"/>
      <c r="F17" s="152"/>
      <c r="G17" s="152"/>
      <c r="H17" s="376" t="s">
        <v>51</v>
      </c>
      <c r="I17" s="376"/>
      <c r="J17" s="375" t="s">
        <v>71</v>
      </c>
      <c r="K17" s="376"/>
      <c r="L17" s="376" t="s">
        <v>52</v>
      </c>
      <c r="M17" s="376"/>
      <c r="N17" s="376" t="s">
        <v>53</v>
      </c>
      <c r="O17" s="376"/>
      <c r="P17" s="376" t="s">
        <v>52</v>
      </c>
      <c r="Q17" s="376"/>
      <c r="R17" s="376" t="s">
        <v>52</v>
      </c>
      <c r="Y17" s="104"/>
      <c r="AA17" s="407" t="s">
        <v>398</v>
      </c>
      <c r="AC17" s="394">
        <v>11.31</v>
      </c>
      <c r="AE17" s="395">
        <f t="shared" si="0"/>
        <v>1.34</v>
      </c>
      <c r="AF17" s="103"/>
      <c r="AG17" s="90">
        <f t="shared" si="1"/>
        <v>12.65</v>
      </c>
      <c r="AH17" s="103"/>
      <c r="AI17" s="71">
        <v>16</v>
      </c>
      <c r="AJ17" s="103"/>
      <c r="AK17" s="185"/>
      <c r="AL17" s="103"/>
      <c r="AM17" s="103"/>
      <c r="AN17" s="103"/>
      <c r="AO17" s="103"/>
      <c r="AP17" s="103"/>
    </row>
    <row r="18" spans="1:45" x14ac:dyDescent="0.25">
      <c r="A18" s="216">
        <v>1</v>
      </c>
      <c r="B18" s="80"/>
      <c r="C18" s="253" t="s">
        <v>81</v>
      </c>
      <c r="D18" s="265" t="s">
        <v>339</v>
      </c>
      <c r="E18" s="82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154"/>
      <c r="U18" s="154"/>
      <c r="Y18" s="104"/>
      <c r="AA18" s="407" t="s">
        <v>399</v>
      </c>
      <c r="AC18" s="394">
        <v>17.05</v>
      </c>
      <c r="AE18" s="395">
        <f t="shared" si="0"/>
        <v>2.0299999999999998</v>
      </c>
      <c r="AG18" s="90">
        <f t="shared" si="1"/>
        <v>19.080000000000002</v>
      </c>
      <c r="AI18" s="101">
        <v>17</v>
      </c>
    </row>
    <row r="19" spans="1:45" x14ac:dyDescent="0.25">
      <c r="A19" s="216">
        <v>2</v>
      </c>
      <c r="B19" s="80"/>
      <c r="C19" s="253" t="s">
        <v>83</v>
      </c>
      <c r="D19" s="258"/>
      <c r="E19" s="80"/>
      <c r="F19" s="78"/>
      <c r="G19" s="70"/>
      <c r="H19" s="78"/>
      <c r="I19" s="78"/>
      <c r="J19" s="268"/>
      <c r="K19" s="268"/>
      <c r="L19" s="79"/>
      <c r="M19" s="79"/>
      <c r="N19" s="156"/>
      <c r="O19" s="156"/>
      <c r="P19" s="79"/>
      <c r="Q19" s="79"/>
      <c r="R19" s="79"/>
      <c r="S19" s="200"/>
      <c r="V19" s="211"/>
      <c r="Y19" s="104"/>
      <c r="AH19" s="200"/>
      <c r="AK19" s="209"/>
      <c r="AL19" s="200"/>
      <c r="AM19" s="200"/>
      <c r="AN19" s="200"/>
    </row>
    <row r="20" spans="1:45" x14ac:dyDescent="0.25">
      <c r="A20" s="216">
        <v>3</v>
      </c>
      <c r="B20" s="80"/>
      <c r="C20" s="265" t="s">
        <v>223</v>
      </c>
      <c r="D20" s="258"/>
      <c r="E20" s="8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200"/>
      <c r="V20" s="211"/>
      <c r="AA20" s="104"/>
      <c r="AC20" s="101" t="s">
        <v>690</v>
      </c>
      <c r="AF20" s="252"/>
      <c r="AG20" s="297"/>
      <c r="AH20" s="211"/>
      <c r="AK20" s="212"/>
      <c r="AL20" s="211"/>
      <c r="AM20" s="211"/>
      <c r="AN20" s="211"/>
      <c r="AO20" s="210"/>
      <c r="AP20" s="210"/>
    </row>
    <row r="21" spans="1:45" x14ac:dyDescent="0.25">
      <c r="A21" s="216">
        <v>4</v>
      </c>
      <c r="B21" s="80"/>
      <c r="C21" s="81" t="s">
        <v>233</v>
      </c>
      <c r="D21" s="80"/>
      <c r="E21" s="80"/>
      <c r="F21" s="225">
        <v>67685</v>
      </c>
      <c r="G21" s="70"/>
      <c r="H21" s="225">
        <f>ROUND(F21*AC21/12,0)</f>
        <v>4529255</v>
      </c>
      <c r="I21" s="78"/>
      <c r="J21" s="349">
        <f>ROUND(AC243+(AC243*$AG$1),2)</f>
        <v>7.96</v>
      </c>
      <c r="K21" s="352"/>
      <c r="L21" s="79">
        <f>ROUND((F21*J21),0)</f>
        <v>538773</v>
      </c>
      <c r="M21" s="79"/>
      <c r="N21" s="156">
        <f>ROUND((L21/L$211)*100,1)</f>
        <v>36</v>
      </c>
      <c r="O21" s="156"/>
      <c r="P21" s="79">
        <f t="shared" ref="P21:P27" si="2">ROUND($P$211/$H$211*H21,0)</f>
        <v>4656</v>
      </c>
      <c r="Q21" s="79"/>
      <c r="R21" s="79">
        <f>L21+P21</f>
        <v>543429</v>
      </c>
      <c r="S21" s="269"/>
      <c r="V21" s="329"/>
      <c r="Y21" s="409"/>
      <c r="AA21" s="225"/>
      <c r="AB21" s="305"/>
      <c r="AC21" s="211">
        <v>803</v>
      </c>
      <c r="AD21" s="211"/>
      <c r="AE21" s="211"/>
      <c r="AF21" s="211"/>
      <c r="AG21" s="212"/>
      <c r="AH21" s="211"/>
      <c r="AK21" s="212"/>
      <c r="AL21" s="211"/>
      <c r="AM21" s="211"/>
      <c r="AN21" s="211"/>
      <c r="AO21" s="410"/>
      <c r="AP21" s="210"/>
    </row>
    <row r="22" spans="1:45" x14ac:dyDescent="0.25">
      <c r="A22" s="216">
        <v>5</v>
      </c>
      <c r="B22" s="80"/>
      <c r="C22" s="81" t="s">
        <v>232</v>
      </c>
      <c r="D22" s="80"/>
      <c r="E22" s="80"/>
      <c r="F22" s="225">
        <v>61</v>
      </c>
      <c r="G22" s="70"/>
      <c r="H22" s="225">
        <f t="shared" ref="H22:H31" si="3">ROUND(F22*AC22/12,0)</f>
        <v>4336</v>
      </c>
      <c r="I22" s="78"/>
      <c r="J22" s="349">
        <f>ROUND(AC244+(AC244*$AG$1),2)</f>
        <v>6.65</v>
      </c>
      <c r="K22" s="352"/>
      <c r="L22" s="79">
        <f t="shared" ref="L22:L58" si="4">ROUND((F22*J22),0)</f>
        <v>406</v>
      </c>
      <c r="M22" s="79"/>
      <c r="N22" s="156">
        <f t="shared" ref="N22:N31" si="5">ROUND((L22/L$211)*100,1)</f>
        <v>0</v>
      </c>
      <c r="O22" s="156"/>
      <c r="P22" s="79">
        <f t="shared" si="2"/>
        <v>4</v>
      </c>
      <c r="Q22" s="79"/>
      <c r="R22" s="79">
        <f t="shared" ref="R22:R31" si="6">L22+P22</f>
        <v>410</v>
      </c>
      <c r="S22" s="269"/>
      <c r="V22" s="329"/>
      <c r="Y22" s="409"/>
      <c r="AA22" s="225"/>
      <c r="AB22" s="305"/>
      <c r="AC22" s="200">
        <v>853</v>
      </c>
      <c r="AD22" s="200"/>
      <c r="AE22" s="210"/>
      <c r="AF22" s="210"/>
      <c r="AG22" s="209"/>
      <c r="AH22" s="200"/>
      <c r="AK22" s="209"/>
      <c r="AL22" s="200"/>
      <c r="AM22" s="200"/>
      <c r="AN22" s="200"/>
      <c r="AO22" s="410"/>
      <c r="AP22" s="210"/>
    </row>
    <row r="23" spans="1:45" x14ac:dyDescent="0.25">
      <c r="A23" s="216">
        <v>6</v>
      </c>
      <c r="B23" s="80"/>
      <c r="C23" s="81" t="s">
        <v>241</v>
      </c>
      <c r="D23" s="80"/>
      <c r="E23" s="80"/>
      <c r="F23" s="225">
        <v>36</v>
      </c>
      <c r="G23" s="70"/>
      <c r="H23" s="225">
        <f t="shared" si="3"/>
        <v>2409</v>
      </c>
      <c r="I23" s="78"/>
      <c r="J23" s="349">
        <f>$J$21+$AG$6</f>
        <v>12.82</v>
      </c>
      <c r="K23" s="352"/>
      <c r="L23" s="79">
        <f t="shared" si="4"/>
        <v>462</v>
      </c>
      <c r="M23" s="79"/>
      <c r="N23" s="156">
        <f t="shared" si="5"/>
        <v>0</v>
      </c>
      <c r="O23" s="156"/>
      <c r="P23" s="79">
        <f t="shared" si="2"/>
        <v>2</v>
      </c>
      <c r="Q23" s="79"/>
      <c r="R23" s="79">
        <f>L23+P23</f>
        <v>464</v>
      </c>
      <c r="S23" s="269"/>
      <c r="V23" s="329"/>
      <c r="Y23" s="409"/>
      <c r="AA23" s="225"/>
      <c r="AB23" s="305"/>
      <c r="AC23" s="200">
        <v>803</v>
      </c>
      <c r="AD23" s="200"/>
      <c r="AE23" s="210"/>
      <c r="AF23" s="210"/>
      <c r="AG23" s="209"/>
      <c r="AH23" s="200"/>
      <c r="AK23" s="209"/>
      <c r="AL23" s="200"/>
      <c r="AM23" s="200"/>
      <c r="AN23" s="200"/>
      <c r="AO23" s="410"/>
      <c r="AP23" s="210"/>
    </row>
    <row r="24" spans="1:45" x14ac:dyDescent="0.25">
      <c r="A24" s="216">
        <v>7</v>
      </c>
      <c r="B24" s="80"/>
      <c r="C24" s="81" t="s">
        <v>324</v>
      </c>
      <c r="D24" s="80"/>
      <c r="E24" s="80"/>
      <c r="F24" s="225">
        <v>560</v>
      </c>
      <c r="G24" s="70"/>
      <c r="H24" s="225">
        <f t="shared" si="3"/>
        <v>37473</v>
      </c>
      <c r="I24" s="78"/>
      <c r="J24" s="349">
        <f>$J$21+$AG$7</f>
        <v>12.879999999999999</v>
      </c>
      <c r="K24" s="352"/>
      <c r="L24" s="79">
        <f t="shared" si="4"/>
        <v>7213</v>
      </c>
      <c r="M24" s="79"/>
      <c r="N24" s="156">
        <f t="shared" si="5"/>
        <v>0.5</v>
      </c>
      <c r="O24" s="156"/>
      <c r="P24" s="79">
        <f t="shared" si="2"/>
        <v>39</v>
      </c>
      <c r="Q24" s="79"/>
      <c r="R24" s="79">
        <f t="shared" si="6"/>
        <v>7252</v>
      </c>
      <c r="S24" s="411"/>
      <c r="T24" s="412"/>
      <c r="U24" s="100"/>
      <c r="V24" s="329"/>
      <c r="W24" s="100"/>
      <c r="X24" s="100"/>
      <c r="Y24" s="409"/>
      <c r="Z24" s="100"/>
      <c r="AA24" s="225"/>
      <c r="AB24" s="100"/>
      <c r="AC24" s="200">
        <v>803</v>
      </c>
      <c r="AD24" s="100"/>
      <c r="AE24" s="100"/>
      <c r="AF24" s="100"/>
      <c r="AG24" s="380"/>
      <c r="AH24" s="100"/>
      <c r="AI24" s="100"/>
      <c r="AJ24" s="100"/>
      <c r="AK24" s="380"/>
      <c r="AL24" s="100"/>
      <c r="AM24" s="100"/>
      <c r="AN24" s="100"/>
      <c r="AO24" s="413"/>
      <c r="AP24" s="100"/>
      <c r="AR24" s="100"/>
      <c r="AS24" s="100"/>
    </row>
    <row r="25" spans="1:45" x14ac:dyDescent="0.25">
      <c r="A25" s="216">
        <v>8</v>
      </c>
      <c r="B25" s="80"/>
      <c r="C25" s="81" t="s">
        <v>325</v>
      </c>
      <c r="D25" s="80"/>
      <c r="E25" s="80"/>
      <c r="F25" s="225">
        <v>119</v>
      </c>
      <c r="G25" s="70"/>
      <c r="H25" s="225">
        <f t="shared" si="3"/>
        <v>7963</v>
      </c>
      <c r="I25" s="78"/>
      <c r="J25" s="349">
        <f>$J$21+$AG$8</f>
        <v>13.86</v>
      </c>
      <c r="K25" s="352"/>
      <c r="L25" s="79">
        <f t="shared" si="4"/>
        <v>1649</v>
      </c>
      <c r="M25" s="79"/>
      <c r="N25" s="156">
        <f t="shared" si="5"/>
        <v>0.1</v>
      </c>
      <c r="O25" s="156"/>
      <c r="P25" s="79">
        <f t="shared" si="2"/>
        <v>8</v>
      </c>
      <c r="Q25" s="79"/>
      <c r="R25" s="79">
        <f>L25+P25</f>
        <v>1657</v>
      </c>
      <c r="S25" s="411"/>
      <c r="T25" s="412"/>
      <c r="U25" s="100"/>
      <c r="V25" s="329"/>
      <c r="W25" s="273"/>
      <c r="X25" s="100"/>
      <c r="Y25" s="409"/>
      <c r="Z25" s="100"/>
      <c r="AA25" s="225"/>
      <c r="AB25" s="100"/>
      <c r="AC25" s="200">
        <v>803</v>
      </c>
      <c r="AD25" s="100"/>
      <c r="AE25" s="100"/>
      <c r="AF25" s="100"/>
      <c r="AG25" s="380"/>
      <c r="AH25" s="100"/>
      <c r="AI25" s="100"/>
      <c r="AJ25" s="100"/>
      <c r="AK25" s="380"/>
      <c r="AL25" s="100"/>
      <c r="AM25" s="100"/>
      <c r="AN25" s="100"/>
      <c r="AO25" s="413"/>
      <c r="AP25" s="100"/>
      <c r="AR25" s="100"/>
      <c r="AS25" s="100"/>
    </row>
    <row r="26" spans="1:45" x14ac:dyDescent="0.25">
      <c r="A26" s="216">
        <v>9</v>
      </c>
      <c r="B26" s="80"/>
      <c r="C26" s="81" t="s">
        <v>439</v>
      </c>
      <c r="D26" s="80"/>
      <c r="E26" s="80"/>
      <c r="F26" s="225">
        <v>132</v>
      </c>
      <c r="G26" s="70"/>
      <c r="H26" s="225">
        <f t="shared" si="3"/>
        <v>8833</v>
      </c>
      <c r="I26" s="78"/>
      <c r="J26" s="349">
        <f>$J$21+$AG$11</f>
        <v>15.8</v>
      </c>
      <c r="K26" s="352"/>
      <c r="L26" s="79">
        <f t="shared" si="4"/>
        <v>2086</v>
      </c>
      <c r="M26" s="79"/>
      <c r="N26" s="156">
        <f t="shared" si="5"/>
        <v>0.1</v>
      </c>
      <c r="O26" s="156"/>
      <c r="P26" s="79">
        <f t="shared" si="2"/>
        <v>9</v>
      </c>
      <c r="Q26" s="79"/>
      <c r="R26" s="79">
        <f>L26+P26</f>
        <v>2095</v>
      </c>
      <c r="S26" s="411"/>
      <c r="T26" s="412"/>
      <c r="U26" s="100"/>
      <c r="V26" s="329"/>
      <c r="W26" s="100"/>
      <c r="X26" s="100"/>
      <c r="Y26" s="409"/>
      <c r="Z26" s="100"/>
      <c r="AA26" s="225"/>
      <c r="AB26" s="100"/>
      <c r="AC26" s="200">
        <v>803</v>
      </c>
      <c r="AD26" s="100"/>
      <c r="AE26" s="100"/>
      <c r="AF26" s="100"/>
      <c r="AG26" s="380"/>
      <c r="AH26" s="100"/>
      <c r="AI26" s="100"/>
      <c r="AJ26" s="100"/>
      <c r="AK26" s="380"/>
      <c r="AL26" s="100"/>
      <c r="AM26" s="100"/>
      <c r="AN26" s="100"/>
      <c r="AO26" s="413"/>
      <c r="AP26" s="100"/>
      <c r="AR26" s="100"/>
      <c r="AS26" s="100"/>
    </row>
    <row r="27" spans="1:45" x14ac:dyDescent="0.25">
      <c r="A27" s="216">
        <v>10</v>
      </c>
      <c r="B27" s="80"/>
      <c r="C27" s="81" t="s">
        <v>234</v>
      </c>
      <c r="D27" s="80"/>
      <c r="E27" s="80"/>
      <c r="F27" s="225">
        <f>2187+12</f>
        <v>2199</v>
      </c>
      <c r="G27" s="70"/>
      <c r="H27" s="225">
        <f t="shared" si="3"/>
        <v>209638</v>
      </c>
      <c r="I27" s="78"/>
      <c r="J27" s="349">
        <f>ROUND(AC249+(AC249*$AG$1),2)</f>
        <v>9.19</v>
      </c>
      <c r="K27" s="352"/>
      <c r="L27" s="79">
        <f t="shared" si="4"/>
        <v>20209</v>
      </c>
      <c r="M27" s="79"/>
      <c r="N27" s="156">
        <f t="shared" si="5"/>
        <v>1.4</v>
      </c>
      <c r="O27" s="156"/>
      <c r="P27" s="79">
        <f t="shared" si="2"/>
        <v>216</v>
      </c>
      <c r="Q27" s="79"/>
      <c r="R27" s="79">
        <f>L27+P27</f>
        <v>20425</v>
      </c>
      <c r="S27" s="411"/>
      <c r="T27" s="412"/>
      <c r="U27" s="100"/>
      <c r="V27" s="329"/>
      <c r="W27" s="273"/>
      <c r="X27" s="100"/>
      <c r="Y27" s="409"/>
      <c r="Z27" s="100"/>
      <c r="AA27" s="225"/>
      <c r="AB27" s="100"/>
      <c r="AC27" s="414">
        <v>1144</v>
      </c>
      <c r="AD27" s="100"/>
      <c r="AE27" s="100"/>
      <c r="AF27" s="100"/>
      <c r="AG27" s="380"/>
      <c r="AH27" s="100"/>
      <c r="AI27" s="100"/>
      <c r="AJ27" s="100"/>
      <c r="AK27" s="380"/>
      <c r="AL27" s="100"/>
      <c r="AM27" s="100"/>
      <c r="AN27" s="100"/>
      <c r="AO27" s="413"/>
      <c r="AP27" s="100"/>
      <c r="AR27" s="100"/>
      <c r="AS27" s="100"/>
    </row>
    <row r="28" spans="1:45" x14ac:dyDescent="0.25">
      <c r="A28" s="216">
        <v>11</v>
      </c>
      <c r="B28" s="80"/>
      <c r="C28" s="81" t="s">
        <v>379</v>
      </c>
      <c r="D28" s="80"/>
      <c r="E28" s="80"/>
      <c r="F28" s="225">
        <v>7</v>
      </c>
      <c r="G28" s="70"/>
      <c r="H28" s="225">
        <f t="shared" si="3"/>
        <v>667</v>
      </c>
      <c r="I28" s="78"/>
      <c r="J28" s="349">
        <f>$J$27+$AG$7</f>
        <v>14.11</v>
      </c>
      <c r="K28" s="352"/>
      <c r="L28" s="79">
        <f t="shared" si="4"/>
        <v>99</v>
      </c>
      <c r="M28" s="79"/>
      <c r="N28" s="156">
        <f t="shared" si="5"/>
        <v>0</v>
      </c>
      <c r="O28" s="156"/>
      <c r="P28" s="79">
        <f>ROUND($P$211/$H$211*H28,0)+1</f>
        <v>2</v>
      </c>
      <c r="Q28" s="79"/>
      <c r="R28" s="79">
        <f t="shared" si="6"/>
        <v>101</v>
      </c>
      <c r="S28" s="269"/>
      <c r="T28" s="412"/>
      <c r="V28" s="329"/>
      <c r="Y28" s="409"/>
      <c r="AA28" s="225"/>
      <c r="AC28" s="200">
        <v>1144</v>
      </c>
      <c r="AD28" s="200"/>
      <c r="AE28" s="200"/>
      <c r="AF28" s="200"/>
      <c r="AK28" s="209"/>
      <c r="AL28" s="200"/>
      <c r="AM28" s="200"/>
      <c r="AN28" s="200"/>
      <c r="AO28" s="413"/>
    </row>
    <row r="29" spans="1:45" x14ac:dyDescent="0.25">
      <c r="A29" s="216">
        <v>12</v>
      </c>
      <c r="B29" s="80"/>
      <c r="C29" s="81" t="s">
        <v>235</v>
      </c>
      <c r="D29" s="80"/>
      <c r="E29" s="80"/>
      <c r="F29" s="225">
        <v>9600</v>
      </c>
      <c r="G29" s="70"/>
      <c r="H29" s="225">
        <f t="shared" si="3"/>
        <v>1431200</v>
      </c>
      <c r="I29" s="78"/>
      <c r="J29" s="349">
        <f>ROUND(AC251+(AC251*$AG$1),2)</f>
        <v>12.3</v>
      </c>
      <c r="K29" s="352"/>
      <c r="L29" s="79">
        <f t="shared" si="4"/>
        <v>118080</v>
      </c>
      <c r="M29" s="79"/>
      <c r="N29" s="156">
        <f t="shared" si="5"/>
        <v>7.9</v>
      </c>
      <c r="O29" s="156"/>
      <c r="P29" s="79">
        <f>ROUND($P$211/$H$211*H29,0)</f>
        <v>1471</v>
      </c>
      <c r="Q29" s="79"/>
      <c r="R29" s="79">
        <f>L29+P29</f>
        <v>119551</v>
      </c>
      <c r="S29" s="269"/>
      <c r="T29" s="412"/>
      <c r="V29" s="329"/>
      <c r="Y29" s="409"/>
      <c r="AA29" s="225"/>
      <c r="AC29" s="200">
        <v>1789</v>
      </c>
      <c r="AD29" s="200"/>
      <c r="AE29" s="200"/>
      <c r="AF29" s="200"/>
      <c r="AK29" s="209"/>
      <c r="AL29" s="200"/>
      <c r="AM29" s="200"/>
      <c r="AN29" s="200"/>
      <c r="AO29" s="413"/>
    </row>
    <row r="30" spans="1:45" ht="15" customHeight="1" x14ac:dyDescent="0.25">
      <c r="A30" s="216">
        <v>13</v>
      </c>
      <c r="B30" s="80"/>
      <c r="C30" s="81" t="s">
        <v>326</v>
      </c>
      <c r="D30" s="80"/>
      <c r="E30" s="80"/>
      <c r="F30" s="225">
        <v>132</v>
      </c>
      <c r="G30" s="70"/>
      <c r="H30" s="225">
        <f t="shared" si="3"/>
        <v>19679</v>
      </c>
      <c r="I30" s="78"/>
      <c r="J30" s="349">
        <f>$J$29+$AG$7</f>
        <v>17.22</v>
      </c>
      <c r="K30" s="352"/>
      <c r="L30" s="79">
        <f t="shared" si="4"/>
        <v>2273</v>
      </c>
      <c r="M30" s="79"/>
      <c r="N30" s="156">
        <f t="shared" si="5"/>
        <v>0.2</v>
      </c>
      <c r="O30" s="156"/>
      <c r="P30" s="79">
        <f>ROUND($P$211/$H$211*H30,0)</f>
        <v>20</v>
      </c>
      <c r="Q30" s="79"/>
      <c r="R30" s="79">
        <f t="shared" si="6"/>
        <v>2293</v>
      </c>
      <c r="S30" s="411"/>
      <c r="V30" s="329"/>
      <c r="Y30" s="409"/>
      <c r="AA30" s="225"/>
      <c r="AB30" s="202"/>
      <c r="AC30" s="200">
        <v>1789</v>
      </c>
      <c r="AO30" s="413"/>
    </row>
    <row r="31" spans="1:45" ht="15.75" customHeight="1" x14ac:dyDescent="0.25">
      <c r="A31" s="216">
        <v>14</v>
      </c>
      <c r="B31" s="80"/>
      <c r="C31" s="81" t="s">
        <v>682</v>
      </c>
      <c r="D31" s="80"/>
      <c r="E31" s="80"/>
      <c r="F31" s="225">
        <v>132</v>
      </c>
      <c r="G31" s="70"/>
      <c r="H31" s="225">
        <f t="shared" si="3"/>
        <v>19679</v>
      </c>
      <c r="I31" s="78"/>
      <c r="J31" s="349">
        <f>$J$29+$AG$8</f>
        <v>18.2</v>
      </c>
      <c r="K31" s="352"/>
      <c r="L31" s="79">
        <f t="shared" si="4"/>
        <v>2402</v>
      </c>
      <c r="M31" s="79"/>
      <c r="N31" s="156">
        <f t="shared" si="5"/>
        <v>0.2</v>
      </c>
      <c r="O31" s="156"/>
      <c r="P31" s="79">
        <f>ROUND($P$211/$H$211*H31,0)</f>
        <v>20</v>
      </c>
      <c r="Q31" s="79"/>
      <c r="R31" s="79">
        <f t="shared" si="6"/>
        <v>2422</v>
      </c>
      <c r="S31" s="411"/>
      <c r="T31" s="415"/>
      <c r="U31" s="100"/>
      <c r="V31" s="329"/>
      <c r="W31" s="100"/>
      <c r="X31" s="100"/>
      <c r="Y31" s="409"/>
      <c r="Z31" s="100"/>
      <c r="AA31" s="225"/>
      <c r="AB31" s="100"/>
      <c r="AC31" s="200">
        <v>1789</v>
      </c>
      <c r="AD31" s="100"/>
      <c r="AE31" s="312"/>
      <c r="AF31" s="312"/>
      <c r="AG31" s="380"/>
      <c r="AH31" s="100"/>
      <c r="AI31" s="100"/>
      <c r="AJ31" s="100"/>
      <c r="AK31" s="380"/>
      <c r="AL31" s="100"/>
      <c r="AM31" s="100"/>
      <c r="AN31" s="100"/>
      <c r="AO31" s="413"/>
      <c r="AP31" s="100"/>
      <c r="AR31" s="100"/>
      <c r="AS31" s="100"/>
    </row>
    <row r="32" spans="1:45" ht="15.75" customHeight="1" x14ac:dyDescent="0.25">
      <c r="A32" s="216">
        <v>15</v>
      </c>
      <c r="B32" s="80"/>
      <c r="C32" s="253" t="s">
        <v>348</v>
      </c>
      <c r="D32" s="80"/>
      <c r="E32" s="80"/>
      <c r="F32" s="225"/>
      <c r="G32" s="70"/>
      <c r="H32" s="78"/>
      <c r="I32" s="78"/>
      <c r="J32" s="352"/>
      <c r="K32" s="352"/>
      <c r="L32" s="79"/>
      <c r="M32" s="79"/>
      <c r="N32" s="156"/>
      <c r="O32" s="156"/>
      <c r="P32" s="79"/>
      <c r="Q32" s="79"/>
      <c r="R32" s="79"/>
      <c r="S32" s="411"/>
      <c r="T32" s="415"/>
      <c r="U32" s="100"/>
      <c r="V32" s="329"/>
      <c r="W32" s="100"/>
      <c r="X32" s="100"/>
      <c r="Y32" s="409"/>
      <c r="Z32" s="100"/>
      <c r="AA32" s="78"/>
      <c r="AB32" s="100"/>
      <c r="AC32" s="100"/>
      <c r="AD32" s="100"/>
      <c r="AE32" s="312"/>
      <c r="AF32" s="312"/>
      <c r="AG32" s="380"/>
      <c r="AH32" s="100"/>
      <c r="AI32" s="100"/>
      <c r="AJ32" s="100"/>
      <c r="AK32" s="380"/>
      <c r="AL32" s="100"/>
      <c r="AM32" s="100"/>
      <c r="AN32" s="100"/>
      <c r="AO32" s="413"/>
      <c r="AP32" s="100"/>
      <c r="AR32" s="100"/>
      <c r="AS32" s="100"/>
    </row>
    <row r="33" spans="1:45" ht="15.75" customHeight="1" x14ac:dyDescent="0.25">
      <c r="A33" s="216">
        <v>16</v>
      </c>
      <c r="B33" s="80"/>
      <c r="C33" s="82" t="s">
        <v>358</v>
      </c>
      <c r="D33" s="80"/>
      <c r="E33" s="80"/>
      <c r="F33" s="225">
        <v>336</v>
      </c>
      <c r="G33" s="70"/>
      <c r="H33" s="225">
        <f t="shared" ref="H33:H39" si="7">ROUND(F33*AC33/12,0)</f>
        <v>22484</v>
      </c>
      <c r="I33" s="78"/>
      <c r="J33" s="349">
        <f>ROUND(AC255+(AC255*$AG$1),2)</f>
        <v>7.96</v>
      </c>
      <c r="K33" s="352"/>
      <c r="L33" s="79">
        <f t="shared" si="4"/>
        <v>2675</v>
      </c>
      <c r="M33" s="79"/>
      <c r="N33" s="156">
        <f t="shared" ref="N33:N39" si="8">ROUND((L33/L$211)*100,1)</f>
        <v>0.2</v>
      </c>
      <c r="O33" s="156"/>
      <c r="P33" s="79">
        <f t="shared" ref="P33:P39" si="9">ROUND($P$211/$H$211*H33,0)</f>
        <v>23</v>
      </c>
      <c r="Q33" s="79"/>
      <c r="R33" s="79">
        <f>L33+P33</f>
        <v>2698</v>
      </c>
      <c r="S33" s="411"/>
      <c r="T33" s="415"/>
      <c r="U33" s="100"/>
      <c r="V33" s="329"/>
      <c r="W33" s="100"/>
      <c r="X33" s="100"/>
      <c r="Y33" s="409"/>
      <c r="Z33" s="100"/>
      <c r="AA33" s="225"/>
      <c r="AB33" s="100"/>
      <c r="AC33" s="200">
        <v>803</v>
      </c>
      <c r="AD33" s="100"/>
      <c r="AE33" s="312"/>
      <c r="AF33" s="312"/>
      <c r="AG33" s="380"/>
      <c r="AH33" s="100"/>
      <c r="AI33" s="100"/>
      <c r="AJ33" s="100"/>
      <c r="AK33" s="380"/>
      <c r="AL33" s="100"/>
      <c r="AM33" s="100"/>
      <c r="AN33" s="100"/>
      <c r="AO33" s="413"/>
      <c r="AP33" s="100"/>
      <c r="AR33" s="100"/>
      <c r="AS33" s="100"/>
    </row>
    <row r="34" spans="1:45" ht="15.75" customHeight="1" x14ac:dyDescent="0.25">
      <c r="A34" s="216">
        <v>17</v>
      </c>
      <c r="B34" s="128"/>
      <c r="C34" s="129" t="s">
        <v>606</v>
      </c>
      <c r="D34" s="128"/>
      <c r="E34" s="80"/>
      <c r="F34" s="225">
        <v>48</v>
      </c>
      <c r="G34" s="70"/>
      <c r="H34" s="225">
        <f t="shared" si="7"/>
        <v>3212</v>
      </c>
      <c r="I34" s="78"/>
      <c r="J34" s="349">
        <f>$J$33+$AG$7</f>
        <v>12.879999999999999</v>
      </c>
      <c r="K34" s="352"/>
      <c r="L34" s="79">
        <f t="shared" si="4"/>
        <v>618</v>
      </c>
      <c r="M34" s="79"/>
      <c r="N34" s="156">
        <f t="shared" si="8"/>
        <v>0</v>
      </c>
      <c r="O34" s="156"/>
      <c r="P34" s="79">
        <f t="shared" si="9"/>
        <v>3</v>
      </c>
      <c r="Q34" s="79"/>
      <c r="R34" s="79">
        <f>L34+P34</f>
        <v>621</v>
      </c>
      <c r="S34" s="411"/>
      <c r="T34" s="415"/>
      <c r="U34" s="100"/>
      <c r="V34" s="329"/>
      <c r="W34" s="100"/>
      <c r="X34" s="100"/>
      <c r="Y34" s="409"/>
      <c r="Z34" s="100"/>
      <c r="AA34" s="225"/>
      <c r="AB34" s="100"/>
      <c r="AC34" s="200">
        <v>803</v>
      </c>
      <c r="AD34" s="100"/>
      <c r="AE34" s="312"/>
      <c r="AF34" s="312"/>
      <c r="AG34" s="380"/>
      <c r="AH34" s="100"/>
      <c r="AI34" s="100"/>
      <c r="AJ34" s="100"/>
      <c r="AK34" s="380"/>
      <c r="AL34" s="100"/>
      <c r="AM34" s="100"/>
      <c r="AN34" s="100"/>
      <c r="AO34" s="413"/>
      <c r="AP34" s="100"/>
      <c r="AR34" s="100"/>
      <c r="AS34" s="100"/>
    </row>
    <row r="35" spans="1:45" ht="15.75" customHeight="1" x14ac:dyDescent="0.25">
      <c r="A35" s="216">
        <v>18</v>
      </c>
      <c r="B35" s="128"/>
      <c r="C35" s="129" t="s">
        <v>607</v>
      </c>
      <c r="D35" s="128"/>
      <c r="E35" s="80"/>
      <c r="F35" s="225">
        <v>91</v>
      </c>
      <c r="G35" s="70"/>
      <c r="H35" s="225">
        <f t="shared" si="7"/>
        <v>6089</v>
      </c>
      <c r="I35" s="78"/>
      <c r="J35" s="349">
        <f>$J$33+$AG$8</f>
        <v>13.86</v>
      </c>
      <c r="K35" s="352"/>
      <c r="L35" s="79">
        <f t="shared" si="4"/>
        <v>1261</v>
      </c>
      <c r="M35" s="79"/>
      <c r="N35" s="156">
        <f t="shared" si="8"/>
        <v>0.1</v>
      </c>
      <c r="O35" s="156"/>
      <c r="P35" s="79">
        <f t="shared" si="9"/>
        <v>6</v>
      </c>
      <c r="Q35" s="79"/>
      <c r="R35" s="79">
        <f t="shared" ref="R35:R36" si="10">L35+P35</f>
        <v>1267</v>
      </c>
      <c r="S35" s="411"/>
      <c r="T35" s="415"/>
      <c r="U35" s="100"/>
      <c r="V35" s="329"/>
      <c r="W35" s="100"/>
      <c r="X35" s="100"/>
      <c r="Y35" s="409"/>
      <c r="Z35" s="100"/>
      <c r="AA35" s="225"/>
      <c r="AB35" s="100"/>
      <c r="AC35" s="200">
        <v>803</v>
      </c>
      <c r="AD35" s="100"/>
      <c r="AE35" s="312"/>
      <c r="AF35" s="312"/>
      <c r="AG35" s="380"/>
      <c r="AH35" s="100"/>
      <c r="AI35" s="100"/>
      <c r="AJ35" s="100"/>
      <c r="AK35" s="380"/>
      <c r="AL35" s="100"/>
      <c r="AM35" s="100"/>
      <c r="AN35" s="100"/>
      <c r="AO35" s="413"/>
      <c r="AP35" s="100"/>
      <c r="AR35" s="100"/>
      <c r="AS35" s="100"/>
    </row>
    <row r="36" spans="1:45" ht="15.75" customHeight="1" x14ac:dyDescent="0.25">
      <c r="A36" s="216">
        <v>19</v>
      </c>
      <c r="B36" s="128"/>
      <c r="C36" s="129" t="s">
        <v>608</v>
      </c>
      <c r="D36" s="128"/>
      <c r="E36" s="80"/>
      <c r="F36" s="225">
        <v>12</v>
      </c>
      <c r="G36" s="70"/>
      <c r="H36" s="225">
        <f t="shared" si="7"/>
        <v>803</v>
      </c>
      <c r="I36" s="78"/>
      <c r="J36" s="349">
        <f>$J$33+$AG$13</f>
        <v>12.879999999999999</v>
      </c>
      <c r="K36" s="352"/>
      <c r="L36" s="79">
        <f t="shared" si="4"/>
        <v>155</v>
      </c>
      <c r="M36" s="79"/>
      <c r="N36" s="156">
        <f t="shared" si="8"/>
        <v>0</v>
      </c>
      <c r="O36" s="156"/>
      <c r="P36" s="79">
        <f t="shared" si="9"/>
        <v>1</v>
      </c>
      <c r="Q36" s="79"/>
      <c r="R36" s="79">
        <f t="shared" si="10"/>
        <v>156</v>
      </c>
      <c r="S36" s="411"/>
      <c r="T36" s="415"/>
      <c r="U36" s="100"/>
      <c r="V36" s="329"/>
      <c r="W36" s="100"/>
      <c r="X36" s="100"/>
      <c r="Y36" s="409"/>
      <c r="Z36" s="100"/>
      <c r="AA36" s="225"/>
      <c r="AB36" s="100"/>
      <c r="AC36" s="200">
        <v>803</v>
      </c>
      <c r="AD36" s="100"/>
      <c r="AE36" s="312"/>
      <c r="AF36" s="312"/>
      <c r="AG36" s="380"/>
      <c r="AH36" s="100"/>
      <c r="AI36" s="100"/>
      <c r="AJ36" s="100"/>
      <c r="AK36" s="380"/>
      <c r="AL36" s="100"/>
      <c r="AM36" s="100"/>
      <c r="AN36" s="100"/>
      <c r="AO36" s="413"/>
      <c r="AP36" s="100"/>
      <c r="AR36" s="100"/>
      <c r="AS36" s="100"/>
    </row>
    <row r="37" spans="1:45" ht="15.75" customHeight="1" x14ac:dyDescent="0.25">
      <c r="A37" s="216">
        <v>20</v>
      </c>
      <c r="B37" s="80"/>
      <c r="C37" s="82" t="s">
        <v>359</v>
      </c>
      <c r="D37" s="80"/>
      <c r="E37" s="80"/>
      <c r="F37" s="225">
        <v>168</v>
      </c>
      <c r="G37" s="70"/>
      <c r="H37" s="225">
        <f t="shared" si="7"/>
        <v>16016</v>
      </c>
      <c r="I37" s="78"/>
      <c r="J37" s="349">
        <f>ROUND(AC259+(AC259*$AG$1),2)</f>
        <v>9.19</v>
      </c>
      <c r="K37" s="352"/>
      <c r="L37" s="79">
        <f t="shared" si="4"/>
        <v>1544</v>
      </c>
      <c r="M37" s="79"/>
      <c r="N37" s="156">
        <f t="shared" si="8"/>
        <v>0.1</v>
      </c>
      <c r="O37" s="156"/>
      <c r="P37" s="79">
        <f t="shared" si="9"/>
        <v>16</v>
      </c>
      <c r="Q37" s="79"/>
      <c r="R37" s="79">
        <f>L37+P37</f>
        <v>1560</v>
      </c>
      <c r="S37" s="411"/>
      <c r="T37" s="415"/>
      <c r="U37" s="100"/>
      <c r="V37" s="329"/>
      <c r="W37" s="100"/>
      <c r="X37" s="100"/>
      <c r="Y37" s="409"/>
      <c r="Z37" s="100"/>
      <c r="AA37" s="225"/>
      <c r="AB37" s="100"/>
      <c r="AC37" s="200">
        <v>1144</v>
      </c>
      <c r="AD37" s="100"/>
      <c r="AE37" s="312"/>
      <c r="AF37" s="312"/>
      <c r="AG37" s="380"/>
      <c r="AH37" s="100"/>
      <c r="AI37" s="100"/>
      <c r="AJ37" s="100"/>
      <c r="AK37" s="380"/>
      <c r="AL37" s="100"/>
      <c r="AM37" s="100"/>
      <c r="AN37" s="100"/>
      <c r="AO37" s="413"/>
      <c r="AP37" s="100"/>
      <c r="AR37" s="100"/>
      <c r="AS37" s="100"/>
    </row>
    <row r="38" spans="1:45" ht="15.75" customHeight="1" x14ac:dyDescent="0.25">
      <c r="A38" s="216">
        <v>21</v>
      </c>
      <c r="B38" s="130"/>
      <c r="C38" s="131" t="s">
        <v>609</v>
      </c>
      <c r="D38" s="80"/>
      <c r="E38" s="80"/>
      <c r="F38" s="225">
        <v>24</v>
      </c>
      <c r="G38" s="70"/>
      <c r="H38" s="225">
        <f t="shared" si="7"/>
        <v>2288</v>
      </c>
      <c r="I38" s="78"/>
      <c r="J38" s="349">
        <f>$J$37+$AG$8</f>
        <v>15.09</v>
      </c>
      <c r="K38" s="352"/>
      <c r="L38" s="79">
        <f t="shared" si="4"/>
        <v>362</v>
      </c>
      <c r="M38" s="79"/>
      <c r="N38" s="156">
        <f t="shared" si="8"/>
        <v>0</v>
      </c>
      <c r="O38" s="156"/>
      <c r="P38" s="79">
        <f t="shared" si="9"/>
        <v>2</v>
      </c>
      <c r="Q38" s="79"/>
      <c r="R38" s="79">
        <f>L38+P38</f>
        <v>364</v>
      </c>
      <c r="S38" s="411"/>
      <c r="T38" s="415"/>
      <c r="U38" s="100"/>
      <c r="V38" s="329"/>
      <c r="W38" s="100"/>
      <c r="X38" s="100"/>
      <c r="Y38" s="409"/>
      <c r="Z38" s="100"/>
      <c r="AA38" s="225"/>
      <c r="AB38" s="100"/>
      <c r="AC38" s="200">
        <v>1144</v>
      </c>
      <c r="AD38" s="100"/>
      <c r="AE38" s="312"/>
      <c r="AF38" s="312"/>
      <c r="AG38" s="380"/>
      <c r="AH38" s="100"/>
      <c r="AI38" s="100"/>
      <c r="AJ38" s="100"/>
      <c r="AK38" s="380"/>
      <c r="AL38" s="100"/>
      <c r="AM38" s="100"/>
      <c r="AN38" s="100"/>
      <c r="AO38" s="413"/>
      <c r="AP38" s="100"/>
      <c r="AR38" s="100"/>
      <c r="AS38" s="100"/>
    </row>
    <row r="39" spans="1:45" ht="15.75" customHeight="1" x14ac:dyDescent="0.25">
      <c r="A39" s="216">
        <v>22</v>
      </c>
      <c r="B39" s="80"/>
      <c r="C39" s="82" t="s">
        <v>352</v>
      </c>
      <c r="D39" s="80"/>
      <c r="E39" s="80"/>
      <c r="F39" s="225">
        <v>0</v>
      </c>
      <c r="G39" s="70"/>
      <c r="H39" s="225">
        <f t="shared" si="7"/>
        <v>0</v>
      </c>
      <c r="I39" s="78"/>
      <c r="J39" s="349">
        <f>ROUND(AC261+(AC261*$AG$1),2)</f>
        <v>12.3</v>
      </c>
      <c r="K39" s="352"/>
      <c r="L39" s="79">
        <f t="shared" si="4"/>
        <v>0</v>
      </c>
      <c r="M39" s="79"/>
      <c r="N39" s="156">
        <f t="shared" si="8"/>
        <v>0</v>
      </c>
      <c r="O39" s="156"/>
      <c r="P39" s="79">
        <f t="shared" si="9"/>
        <v>0</v>
      </c>
      <c r="Q39" s="79"/>
      <c r="R39" s="79">
        <f>L39+P39</f>
        <v>0</v>
      </c>
      <c r="S39" s="411"/>
      <c r="T39" s="415"/>
      <c r="U39" s="100"/>
      <c r="V39" s="329"/>
      <c r="W39" s="100"/>
      <c r="X39" s="100"/>
      <c r="Y39" s="409"/>
      <c r="Z39" s="100"/>
      <c r="AA39" s="225"/>
      <c r="AB39" s="100"/>
      <c r="AC39" s="200">
        <v>1789</v>
      </c>
      <c r="AD39" s="100"/>
      <c r="AE39" s="312"/>
      <c r="AF39" s="312"/>
      <c r="AG39" s="380"/>
      <c r="AH39" s="100"/>
      <c r="AI39" s="100"/>
      <c r="AJ39" s="100"/>
      <c r="AK39" s="380"/>
      <c r="AL39" s="100"/>
      <c r="AM39" s="100"/>
      <c r="AN39" s="100"/>
      <c r="AO39" s="413"/>
      <c r="AP39" s="100"/>
      <c r="AR39" s="100"/>
      <c r="AS39" s="100"/>
    </row>
    <row r="40" spans="1:45" x14ac:dyDescent="0.25">
      <c r="A40" s="216">
        <v>23</v>
      </c>
      <c r="B40" s="80"/>
      <c r="C40" s="265" t="s">
        <v>224</v>
      </c>
      <c r="D40" s="80"/>
      <c r="E40" s="80"/>
      <c r="F40" s="396"/>
      <c r="G40" s="70"/>
      <c r="H40" s="229"/>
      <c r="I40" s="70"/>
      <c r="J40" s="162"/>
      <c r="K40" s="162"/>
      <c r="L40" s="79"/>
      <c r="M40" s="70"/>
      <c r="N40" s="70"/>
      <c r="O40" s="70"/>
      <c r="P40" s="70"/>
      <c r="Q40" s="70"/>
      <c r="R40" s="70"/>
      <c r="S40" s="411"/>
      <c r="V40" s="329"/>
      <c r="Y40" s="409"/>
      <c r="AA40" s="229"/>
      <c r="AO40" s="413"/>
    </row>
    <row r="41" spans="1:45" x14ac:dyDescent="0.25">
      <c r="A41" s="216">
        <v>24</v>
      </c>
      <c r="B41" s="80"/>
      <c r="C41" s="81" t="s">
        <v>237</v>
      </c>
      <c r="D41" s="80"/>
      <c r="E41" s="80"/>
      <c r="F41" s="225">
        <v>19202</v>
      </c>
      <c r="G41" s="70"/>
      <c r="H41" s="225">
        <f t="shared" ref="H41:H58" si="11">ROUND(F41*AC41/12,0)</f>
        <v>779281</v>
      </c>
      <c r="I41" s="78"/>
      <c r="J41" s="349">
        <f>ROUND(AC263+(AC263*$AG$1),2)</f>
        <v>8.81</v>
      </c>
      <c r="K41" s="352"/>
      <c r="L41" s="79">
        <f t="shared" si="4"/>
        <v>169170</v>
      </c>
      <c r="M41" s="79"/>
      <c r="N41" s="156">
        <f t="shared" ref="N41:N58" si="12">ROUND((L41/L$211)*100,1)</f>
        <v>11.3</v>
      </c>
      <c r="O41" s="156"/>
      <c r="P41" s="79">
        <f t="shared" ref="P41:P58" si="13">ROUND($P$211/$H$211*H41,0)</f>
        <v>801</v>
      </c>
      <c r="Q41" s="79"/>
      <c r="R41" s="79">
        <f t="shared" ref="R41:R50" si="14">L41+P41</f>
        <v>169971</v>
      </c>
      <c r="S41" s="411"/>
      <c r="V41" s="329"/>
      <c r="Y41" s="409"/>
      <c r="AA41" s="225"/>
      <c r="AC41" s="101">
        <v>487</v>
      </c>
      <c r="AO41" s="413"/>
    </row>
    <row r="42" spans="1:45" x14ac:dyDescent="0.25">
      <c r="A42" s="216">
        <v>25</v>
      </c>
      <c r="B42" s="80"/>
      <c r="C42" s="81" t="s">
        <v>236</v>
      </c>
      <c r="D42" s="80"/>
      <c r="E42" s="80"/>
      <c r="F42" s="225">
        <v>120</v>
      </c>
      <c r="G42" s="70"/>
      <c r="H42" s="225">
        <f t="shared" si="11"/>
        <v>4870</v>
      </c>
      <c r="I42" s="78"/>
      <c r="J42" s="349">
        <f>ROUND(AC264+(AC264*$AG$1),2)</f>
        <v>6.61</v>
      </c>
      <c r="K42" s="352"/>
      <c r="L42" s="79">
        <f t="shared" si="4"/>
        <v>793</v>
      </c>
      <c r="M42" s="79"/>
      <c r="N42" s="156">
        <f t="shared" si="12"/>
        <v>0.1</v>
      </c>
      <c r="O42" s="156"/>
      <c r="P42" s="79">
        <f t="shared" si="13"/>
        <v>5</v>
      </c>
      <c r="Q42" s="79"/>
      <c r="R42" s="79">
        <f>L42+P42</f>
        <v>798</v>
      </c>
      <c r="S42" s="411"/>
      <c r="V42" s="329"/>
      <c r="Y42" s="409"/>
      <c r="AA42" s="225"/>
      <c r="AC42" s="101">
        <v>487</v>
      </c>
      <c r="AO42" s="413"/>
    </row>
    <row r="43" spans="1:45" x14ac:dyDescent="0.25">
      <c r="A43" s="216">
        <v>26</v>
      </c>
      <c r="B43" s="80"/>
      <c r="C43" s="81" t="s">
        <v>327</v>
      </c>
      <c r="D43" s="80"/>
      <c r="E43" s="80"/>
      <c r="F43" s="225">
        <f>24+24</f>
        <v>48</v>
      </c>
      <c r="G43" s="70"/>
      <c r="H43" s="225">
        <f t="shared" si="11"/>
        <v>1948</v>
      </c>
      <c r="I43" s="78"/>
      <c r="J43" s="349">
        <f>$J$41+$AG$6</f>
        <v>13.67</v>
      </c>
      <c r="K43" s="352"/>
      <c r="L43" s="79">
        <f t="shared" si="4"/>
        <v>656</v>
      </c>
      <c r="M43" s="79"/>
      <c r="N43" s="156">
        <f t="shared" si="12"/>
        <v>0</v>
      </c>
      <c r="O43" s="156"/>
      <c r="P43" s="79">
        <f t="shared" si="13"/>
        <v>2</v>
      </c>
      <c r="Q43" s="79"/>
      <c r="R43" s="79">
        <f t="shared" si="14"/>
        <v>658</v>
      </c>
      <c r="S43" s="411"/>
      <c r="T43" s="202"/>
      <c r="V43" s="329"/>
      <c r="Y43" s="409"/>
      <c r="AA43" s="225"/>
      <c r="AC43" s="101">
        <v>487</v>
      </c>
      <c r="AO43" s="413"/>
      <c r="AQ43" s="212"/>
      <c r="AR43" s="154"/>
    </row>
    <row r="44" spans="1:45" x14ac:dyDescent="0.25">
      <c r="A44" s="216">
        <v>27</v>
      </c>
      <c r="B44" s="80"/>
      <c r="C44" s="81" t="s">
        <v>328</v>
      </c>
      <c r="D44" s="80"/>
      <c r="E44" s="80"/>
      <c r="F44" s="225">
        <v>685</v>
      </c>
      <c r="G44" s="70"/>
      <c r="H44" s="225">
        <f t="shared" si="11"/>
        <v>27800</v>
      </c>
      <c r="I44" s="78"/>
      <c r="J44" s="349">
        <f>$J$41+$AG$7</f>
        <v>13.73</v>
      </c>
      <c r="K44" s="352"/>
      <c r="L44" s="79">
        <f t="shared" si="4"/>
        <v>9405</v>
      </c>
      <c r="M44" s="79"/>
      <c r="N44" s="156">
        <f t="shared" si="12"/>
        <v>0.6</v>
      </c>
      <c r="O44" s="156"/>
      <c r="P44" s="79">
        <f t="shared" si="13"/>
        <v>29</v>
      </c>
      <c r="Q44" s="79"/>
      <c r="R44" s="79">
        <f>L44+P44</f>
        <v>9434</v>
      </c>
      <c r="S44" s="411"/>
      <c r="T44" s="202"/>
      <c r="V44" s="329"/>
      <c r="Y44" s="409"/>
      <c r="AA44" s="225"/>
      <c r="AC44" s="101">
        <v>487</v>
      </c>
      <c r="AO44" s="413"/>
      <c r="AQ44" s="212"/>
      <c r="AR44" s="154"/>
    </row>
    <row r="45" spans="1:45" x14ac:dyDescent="0.25">
      <c r="A45" s="216">
        <v>28</v>
      </c>
      <c r="B45" s="80"/>
      <c r="C45" s="81" t="s">
        <v>329</v>
      </c>
      <c r="D45" s="80"/>
      <c r="E45" s="80"/>
      <c r="F45" s="225">
        <f>564+72+49</f>
        <v>685</v>
      </c>
      <c r="G45" s="70"/>
      <c r="H45" s="225">
        <f t="shared" si="11"/>
        <v>27800</v>
      </c>
      <c r="I45" s="78"/>
      <c r="J45" s="349">
        <f>$J$41+$AG$8</f>
        <v>14.71</v>
      </c>
      <c r="K45" s="352"/>
      <c r="L45" s="79">
        <f t="shared" si="4"/>
        <v>10076</v>
      </c>
      <c r="M45" s="79"/>
      <c r="N45" s="156">
        <f t="shared" si="12"/>
        <v>0.7</v>
      </c>
      <c r="O45" s="156"/>
      <c r="P45" s="79">
        <f t="shared" si="13"/>
        <v>29</v>
      </c>
      <c r="Q45" s="79"/>
      <c r="R45" s="79">
        <f>L45+P45</f>
        <v>10105</v>
      </c>
      <c r="S45" s="411"/>
      <c r="T45" s="202"/>
      <c r="V45" s="329"/>
      <c r="Y45" s="409"/>
      <c r="AA45" s="225"/>
      <c r="AC45" s="101">
        <v>487</v>
      </c>
      <c r="AO45" s="413"/>
      <c r="AQ45" s="212"/>
      <c r="AR45" s="154"/>
    </row>
    <row r="46" spans="1:45" x14ac:dyDescent="0.25">
      <c r="A46" s="216">
        <v>29</v>
      </c>
      <c r="B46" s="80"/>
      <c r="C46" s="81" t="s">
        <v>238</v>
      </c>
      <c r="D46" s="80"/>
      <c r="E46" s="80"/>
      <c r="F46" s="396">
        <v>372</v>
      </c>
      <c r="G46" s="70"/>
      <c r="H46" s="225">
        <f t="shared" si="11"/>
        <v>22041</v>
      </c>
      <c r="I46" s="78"/>
      <c r="J46" s="349">
        <f>ROUND(AC268+(AC268*$AG$1),2)</f>
        <v>9.6</v>
      </c>
      <c r="K46" s="352"/>
      <c r="L46" s="79">
        <f t="shared" si="4"/>
        <v>3571</v>
      </c>
      <c r="M46" s="79"/>
      <c r="N46" s="156">
        <f t="shared" si="12"/>
        <v>0.2</v>
      </c>
      <c r="O46" s="156"/>
      <c r="P46" s="79">
        <f t="shared" si="13"/>
        <v>23</v>
      </c>
      <c r="Q46" s="79"/>
      <c r="R46" s="79">
        <f t="shared" si="14"/>
        <v>3594</v>
      </c>
      <c r="S46" s="411"/>
      <c r="V46" s="329"/>
      <c r="Y46" s="409"/>
      <c r="AA46" s="225"/>
      <c r="AC46" s="101">
        <v>711</v>
      </c>
      <c r="AO46" s="413"/>
    </row>
    <row r="47" spans="1:45" x14ac:dyDescent="0.25">
      <c r="A47" s="216">
        <v>30</v>
      </c>
      <c r="B47" s="80"/>
      <c r="C47" s="81" t="s">
        <v>377</v>
      </c>
      <c r="D47" s="80"/>
      <c r="E47" s="80"/>
      <c r="F47" s="396">
        <v>12</v>
      </c>
      <c r="G47" s="70"/>
      <c r="H47" s="225">
        <f t="shared" si="11"/>
        <v>711</v>
      </c>
      <c r="I47" s="78"/>
      <c r="J47" s="349">
        <f>$J$46+$AG$7</f>
        <v>14.52</v>
      </c>
      <c r="K47" s="352"/>
      <c r="L47" s="79">
        <f t="shared" si="4"/>
        <v>174</v>
      </c>
      <c r="M47" s="79"/>
      <c r="N47" s="156">
        <f t="shared" si="12"/>
        <v>0</v>
      </c>
      <c r="O47" s="156"/>
      <c r="P47" s="79">
        <f t="shared" si="13"/>
        <v>1</v>
      </c>
      <c r="Q47" s="79"/>
      <c r="R47" s="79">
        <f>L47+P47</f>
        <v>175</v>
      </c>
      <c r="S47" s="411"/>
      <c r="V47" s="329"/>
      <c r="Y47" s="409"/>
      <c r="AA47" s="225"/>
      <c r="AC47" s="101">
        <v>711</v>
      </c>
      <c r="AO47" s="413"/>
    </row>
    <row r="48" spans="1:45" x14ac:dyDescent="0.25">
      <c r="A48" s="216">
        <v>31</v>
      </c>
      <c r="B48" s="132"/>
      <c r="C48" s="133" t="s">
        <v>610</v>
      </c>
      <c r="D48" s="132"/>
      <c r="E48" s="80"/>
      <c r="F48" s="396">
        <v>108</v>
      </c>
      <c r="G48" s="70"/>
      <c r="H48" s="225">
        <f t="shared" si="11"/>
        <v>6399</v>
      </c>
      <c r="I48" s="78"/>
      <c r="J48" s="349">
        <f>$J$46+$AG$8</f>
        <v>15.5</v>
      </c>
      <c r="K48" s="352"/>
      <c r="L48" s="79">
        <f t="shared" si="4"/>
        <v>1674</v>
      </c>
      <c r="M48" s="79"/>
      <c r="N48" s="156">
        <f t="shared" si="12"/>
        <v>0.1</v>
      </c>
      <c r="O48" s="156"/>
      <c r="P48" s="79">
        <f t="shared" si="13"/>
        <v>7</v>
      </c>
      <c r="Q48" s="79"/>
      <c r="R48" s="79">
        <f>L48+P48</f>
        <v>1681</v>
      </c>
      <c r="S48" s="411"/>
      <c r="V48" s="329"/>
      <c r="Y48" s="409"/>
      <c r="AA48" s="225"/>
      <c r="AC48" s="101">
        <v>711</v>
      </c>
      <c r="AO48" s="413"/>
    </row>
    <row r="49" spans="1:45" x14ac:dyDescent="0.25">
      <c r="A49" s="216">
        <v>32</v>
      </c>
      <c r="B49" s="80"/>
      <c r="C49" s="81" t="s">
        <v>239</v>
      </c>
      <c r="D49" s="80"/>
      <c r="E49" s="80"/>
      <c r="F49" s="225">
        <v>5435</v>
      </c>
      <c r="G49" s="70"/>
      <c r="H49" s="225">
        <f t="shared" si="11"/>
        <v>429365</v>
      </c>
      <c r="I49" s="78"/>
      <c r="J49" s="349">
        <f>ROUND(AC271+(AC271*$AG$1),2)</f>
        <v>12.45</v>
      </c>
      <c r="K49" s="352"/>
      <c r="L49" s="79">
        <f t="shared" si="4"/>
        <v>67666</v>
      </c>
      <c r="M49" s="79"/>
      <c r="N49" s="156">
        <f t="shared" si="12"/>
        <v>4.5</v>
      </c>
      <c r="O49" s="156"/>
      <c r="P49" s="79">
        <f t="shared" si="13"/>
        <v>441</v>
      </c>
      <c r="Q49" s="79"/>
      <c r="R49" s="79">
        <f t="shared" si="14"/>
        <v>68107</v>
      </c>
      <c r="S49" s="411"/>
      <c r="V49" s="329"/>
      <c r="Y49" s="409"/>
      <c r="AA49" s="225"/>
      <c r="AC49" s="101">
        <v>948</v>
      </c>
      <c r="AO49" s="413"/>
    </row>
    <row r="50" spans="1:45" x14ac:dyDescent="0.25">
      <c r="A50" s="416">
        <v>33</v>
      </c>
      <c r="B50" s="80"/>
      <c r="C50" s="81" t="s">
        <v>330</v>
      </c>
      <c r="D50" s="80"/>
      <c r="E50" s="80"/>
      <c r="F50" s="225">
        <v>36</v>
      </c>
      <c r="G50" s="70"/>
      <c r="H50" s="225">
        <f t="shared" si="11"/>
        <v>2844</v>
      </c>
      <c r="I50" s="78"/>
      <c r="J50" s="349">
        <f>$J$49+$AG$6</f>
        <v>17.309999999999999</v>
      </c>
      <c r="K50" s="352"/>
      <c r="L50" s="79">
        <f t="shared" si="4"/>
        <v>623</v>
      </c>
      <c r="M50" s="79"/>
      <c r="N50" s="156">
        <f t="shared" si="12"/>
        <v>0</v>
      </c>
      <c r="O50" s="156"/>
      <c r="P50" s="79">
        <f t="shared" si="13"/>
        <v>3</v>
      </c>
      <c r="Q50" s="79"/>
      <c r="R50" s="79">
        <f t="shared" si="14"/>
        <v>626</v>
      </c>
      <c r="S50" s="411"/>
      <c r="T50" s="412"/>
      <c r="V50" s="329"/>
      <c r="Y50" s="409"/>
      <c r="AA50" s="225"/>
      <c r="AC50" s="101">
        <v>948</v>
      </c>
      <c r="AO50" s="413"/>
      <c r="AQ50" s="212"/>
      <c r="AR50" s="202"/>
    </row>
    <row r="51" spans="1:45" x14ac:dyDescent="0.25">
      <c r="A51" s="416">
        <v>34</v>
      </c>
      <c r="B51" s="80"/>
      <c r="C51" s="81" t="s">
        <v>331</v>
      </c>
      <c r="D51" s="80"/>
      <c r="E51" s="80"/>
      <c r="F51" s="225">
        <v>219</v>
      </c>
      <c r="G51" s="70"/>
      <c r="H51" s="225">
        <f t="shared" si="11"/>
        <v>17301</v>
      </c>
      <c r="I51" s="78"/>
      <c r="J51" s="349">
        <f>$J$49+$AG$7</f>
        <v>17.369999999999997</v>
      </c>
      <c r="K51" s="352"/>
      <c r="L51" s="79">
        <f t="shared" si="4"/>
        <v>3804</v>
      </c>
      <c r="M51" s="79"/>
      <c r="N51" s="156">
        <f t="shared" si="12"/>
        <v>0.3</v>
      </c>
      <c r="O51" s="156"/>
      <c r="P51" s="79">
        <f t="shared" si="13"/>
        <v>18</v>
      </c>
      <c r="Q51" s="79"/>
      <c r="R51" s="79">
        <f t="shared" ref="R51:R58" si="15">L51+P51</f>
        <v>3822</v>
      </c>
      <c r="S51" s="411"/>
      <c r="T51" s="412"/>
      <c r="V51" s="329"/>
      <c r="Y51" s="409"/>
      <c r="AA51" s="225"/>
      <c r="AC51" s="101">
        <v>948</v>
      </c>
      <c r="AO51" s="413"/>
      <c r="AQ51" s="212"/>
      <c r="AR51" s="202"/>
    </row>
    <row r="52" spans="1:45" x14ac:dyDescent="0.25">
      <c r="A52" s="416">
        <v>35</v>
      </c>
      <c r="B52" s="80"/>
      <c r="C52" s="81" t="s">
        <v>332</v>
      </c>
      <c r="D52" s="80"/>
      <c r="E52" s="80"/>
      <c r="F52" s="225">
        <v>72</v>
      </c>
      <c r="G52" s="70"/>
      <c r="H52" s="225">
        <f t="shared" si="11"/>
        <v>5688</v>
      </c>
      <c r="I52" s="78"/>
      <c r="J52" s="349">
        <f>$J$49+$AG$8</f>
        <v>18.349999999999998</v>
      </c>
      <c r="K52" s="352"/>
      <c r="L52" s="79">
        <f t="shared" si="4"/>
        <v>1321</v>
      </c>
      <c r="M52" s="79"/>
      <c r="N52" s="156">
        <f t="shared" si="12"/>
        <v>0.1</v>
      </c>
      <c r="O52" s="156"/>
      <c r="P52" s="79">
        <f t="shared" si="13"/>
        <v>6</v>
      </c>
      <c r="Q52" s="79"/>
      <c r="R52" s="79">
        <f t="shared" si="15"/>
        <v>1327</v>
      </c>
      <c r="S52" s="411"/>
      <c r="T52" s="412"/>
      <c r="V52" s="329"/>
      <c r="Y52" s="409"/>
      <c r="AA52" s="225"/>
      <c r="AC52" s="101">
        <v>948</v>
      </c>
      <c r="AO52" s="413"/>
      <c r="AQ52" s="212"/>
      <c r="AR52" s="202"/>
    </row>
    <row r="53" spans="1:45" x14ac:dyDescent="0.25">
      <c r="A53" s="216">
        <v>36</v>
      </c>
      <c r="B53" s="80"/>
      <c r="C53" s="81" t="s">
        <v>378</v>
      </c>
      <c r="D53" s="80"/>
      <c r="E53" s="80"/>
      <c r="F53" s="225">
        <v>12</v>
      </c>
      <c r="G53" s="70"/>
      <c r="H53" s="225">
        <f t="shared" si="11"/>
        <v>948</v>
      </c>
      <c r="I53" s="78"/>
      <c r="J53" s="349">
        <f>$J$49+$AG$10</f>
        <v>20.21</v>
      </c>
      <c r="K53" s="352"/>
      <c r="L53" s="79">
        <f t="shared" si="4"/>
        <v>243</v>
      </c>
      <c r="M53" s="79"/>
      <c r="N53" s="156">
        <f t="shared" si="12"/>
        <v>0</v>
      </c>
      <c r="O53" s="156"/>
      <c r="P53" s="79">
        <f t="shared" si="13"/>
        <v>1</v>
      </c>
      <c r="Q53" s="79"/>
      <c r="R53" s="79">
        <f t="shared" si="15"/>
        <v>244</v>
      </c>
      <c r="S53" s="411"/>
      <c r="T53" s="412"/>
      <c r="V53" s="329"/>
      <c r="Y53" s="409"/>
      <c r="AA53" s="225"/>
      <c r="AC53" s="101">
        <v>948</v>
      </c>
      <c r="AO53" s="413"/>
      <c r="AQ53" s="212"/>
      <c r="AR53" s="202"/>
    </row>
    <row r="54" spans="1:45" x14ac:dyDescent="0.25">
      <c r="A54" s="216">
        <v>37</v>
      </c>
      <c r="B54" s="80"/>
      <c r="C54" s="81" t="s">
        <v>374</v>
      </c>
      <c r="D54" s="80"/>
      <c r="E54" s="80"/>
      <c r="F54" s="225">
        <v>96</v>
      </c>
      <c r="G54" s="70"/>
      <c r="H54" s="225">
        <f t="shared" si="11"/>
        <v>7584</v>
      </c>
      <c r="I54" s="78"/>
      <c r="J54" s="349">
        <f>ROUND(AC276+(AC276*$AG$1),2)</f>
        <v>12.45</v>
      </c>
      <c r="K54" s="352"/>
      <c r="L54" s="79">
        <f t="shared" si="4"/>
        <v>1195</v>
      </c>
      <c r="M54" s="79"/>
      <c r="N54" s="156">
        <f t="shared" si="12"/>
        <v>0.1</v>
      </c>
      <c r="O54" s="156"/>
      <c r="P54" s="79">
        <f t="shared" si="13"/>
        <v>8</v>
      </c>
      <c r="Q54" s="79"/>
      <c r="R54" s="79">
        <f t="shared" si="15"/>
        <v>1203</v>
      </c>
      <c r="S54" s="411"/>
      <c r="V54" s="329"/>
      <c r="Y54" s="409"/>
      <c r="AA54" s="225"/>
      <c r="AC54" s="101">
        <v>948</v>
      </c>
      <c r="AO54" s="413"/>
    </row>
    <row r="55" spans="1:45" x14ac:dyDescent="0.25">
      <c r="A55" s="216">
        <v>38</v>
      </c>
      <c r="B55" s="80"/>
      <c r="C55" s="81" t="s">
        <v>681</v>
      </c>
      <c r="D55" s="80"/>
      <c r="E55" s="80"/>
      <c r="F55" s="225">
        <v>12</v>
      </c>
      <c r="G55" s="70"/>
      <c r="H55" s="225">
        <f t="shared" si="11"/>
        <v>948</v>
      </c>
      <c r="I55" s="78"/>
      <c r="J55" s="349">
        <f>$J$54+$AG$8</f>
        <v>18.349999999999998</v>
      </c>
      <c r="K55" s="352"/>
      <c r="L55" s="79">
        <f t="shared" si="4"/>
        <v>220</v>
      </c>
      <c r="M55" s="79"/>
      <c r="N55" s="156">
        <f t="shared" si="12"/>
        <v>0</v>
      </c>
      <c r="O55" s="156"/>
      <c r="P55" s="79">
        <f t="shared" si="13"/>
        <v>1</v>
      </c>
      <c r="Q55" s="79"/>
      <c r="R55" s="79">
        <f t="shared" si="15"/>
        <v>221</v>
      </c>
      <c r="S55" s="411"/>
      <c r="V55" s="329"/>
      <c r="Y55" s="409"/>
      <c r="AA55" s="225"/>
      <c r="AC55" s="101">
        <v>948</v>
      </c>
      <c r="AO55" s="413"/>
    </row>
    <row r="56" spans="1:45" x14ac:dyDescent="0.25">
      <c r="A56" s="216">
        <v>39</v>
      </c>
      <c r="B56" s="80"/>
      <c r="C56" s="81" t="s">
        <v>240</v>
      </c>
      <c r="D56" s="80"/>
      <c r="E56" s="80"/>
      <c r="F56" s="225">
        <f>10356+13</f>
        <v>10369</v>
      </c>
      <c r="G56" s="70"/>
      <c r="H56" s="225">
        <f t="shared" si="11"/>
        <v>1692739</v>
      </c>
      <c r="I56" s="78"/>
      <c r="J56" s="349">
        <f>ROUND(AC278+(AC278*$AG$1),2)</f>
        <v>16.73</v>
      </c>
      <c r="K56" s="352"/>
      <c r="L56" s="79">
        <f t="shared" si="4"/>
        <v>173473</v>
      </c>
      <c r="M56" s="79"/>
      <c r="N56" s="156">
        <f t="shared" si="12"/>
        <v>11.6</v>
      </c>
      <c r="O56" s="156"/>
      <c r="P56" s="79">
        <f t="shared" si="13"/>
        <v>1740</v>
      </c>
      <c r="Q56" s="79"/>
      <c r="R56" s="79">
        <f t="shared" si="15"/>
        <v>175213</v>
      </c>
      <c r="S56" s="411"/>
      <c r="V56" s="329"/>
      <c r="Y56" s="409"/>
      <c r="AA56" s="225"/>
      <c r="AC56" s="101">
        <v>1959</v>
      </c>
      <c r="AO56" s="413"/>
    </row>
    <row r="57" spans="1:45" x14ac:dyDescent="0.25">
      <c r="A57" s="216">
        <v>40</v>
      </c>
      <c r="B57" s="80"/>
      <c r="C57" s="81" t="s">
        <v>333</v>
      </c>
      <c r="D57" s="80"/>
      <c r="E57" s="80"/>
      <c r="F57" s="225">
        <v>312</v>
      </c>
      <c r="G57" s="70"/>
      <c r="H57" s="225">
        <f t="shared" si="11"/>
        <v>50934</v>
      </c>
      <c r="I57" s="78"/>
      <c r="J57" s="349">
        <f>$J$56+$AG$7</f>
        <v>21.65</v>
      </c>
      <c r="K57" s="352"/>
      <c r="L57" s="79">
        <f t="shared" si="4"/>
        <v>6755</v>
      </c>
      <c r="M57" s="79"/>
      <c r="N57" s="156">
        <f t="shared" si="12"/>
        <v>0.5</v>
      </c>
      <c r="O57" s="156"/>
      <c r="P57" s="79">
        <f t="shared" si="13"/>
        <v>52</v>
      </c>
      <c r="Q57" s="79"/>
      <c r="R57" s="79">
        <f t="shared" si="15"/>
        <v>6807</v>
      </c>
      <c r="S57" s="411"/>
      <c r="V57" s="329"/>
      <c r="Y57" s="409"/>
      <c r="AA57" s="225"/>
      <c r="AC57" s="101">
        <v>1959</v>
      </c>
      <c r="AO57" s="413"/>
    </row>
    <row r="58" spans="1:45" x14ac:dyDescent="0.25">
      <c r="A58" s="216">
        <v>41</v>
      </c>
      <c r="B58" s="80"/>
      <c r="C58" s="81" t="s">
        <v>334</v>
      </c>
      <c r="D58" s="80"/>
      <c r="E58" s="80"/>
      <c r="F58" s="225">
        <v>619</v>
      </c>
      <c r="G58" s="70"/>
      <c r="H58" s="225">
        <f t="shared" si="11"/>
        <v>101052</v>
      </c>
      <c r="I58" s="78"/>
      <c r="J58" s="349">
        <f>$J$56+$AG$8</f>
        <v>22.63</v>
      </c>
      <c r="K58" s="352"/>
      <c r="L58" s="79">
        <f t="shared" si="4"/>
        <v>14008</v>
      </c>
      <c r="M58" s="79"/>
      <c r="N58" s="156">
        <f t="shared" si="12"/>
        <v>0.9</v>
      </c>
      <c r="O58" s="156"/>
      <c r="P58" s="79">
        <f t="shared" si="13"/>
        <v>104</v>
      </c>
      <c r="Q58" s="79"/>
      <c r="R58" s="79">
        <f t="shared" si="15"/>
        <v>14112</v>
      </c>
      <c r="S58" s="411"/>
      <c r="V58" s="329"/>
      <c r="Y58" s="409"/>
      <c r="AA58" s="225"/>
      <c r="AC58" s="101">
        <v>1959</v>
      </c>
      <c r="AO58" s="413"/>
    </row>
    <row r="60" spans="1:45" x14ac:dyDescent="0.25">
      <c r="A60" s="173" t="s">
        <v>80</v>
      </c>
      <c r="B60" s="174"/>
      <c r="C60" s="146"/>
      <c r="D60" s="146"/>
      <c r="E60" s="146"/>
      <c r="F60" s="146"/>
      <c r="G60" s="146"/>
      <c r="H60" s="146"/>
      <c r="I60" s="146"/>
      <c r="J60" s="175" t="s">
        <v>314</v>
      </c>
      <c r="K60" s="146"/>
      <c r="L60" s="176"/>
      <c r="M60" s="146"/>
      <c r="N60" s="174"/>
      <c r="O60" s="146"/>
      <c r="P60" s="177" t="s">
        <v>319</v>
      </c>
      <c r="Q60" s="417"/>
      <c r="R60" s="417"/>
      <c r="T60" s="202"/>
      <c r="V60" s="154"/>
      <c r="AA60" s="200"/>
      <c r="AC60" s="200"/>
      <c r="AD60" s="200"/>
      <c r="AE60" s="213"/>
      <c r="AF60" s="213"/>
      <c r="AG60" s="209"/>
      <c r="AH60" s="200"/>
      <c r="AI60" s="210"/>
      <c r="AJ60" s="210"/>
      <c r="AK60" s="209"/>
      <c r="AL60" s="200"/>
      <c r="AM60" s="201"/>
      <c r="AN60" s="201"/>
      <c r="AO60" s="200"/>
      <c r="AP60" s="200"/>
      <c r="AQ60" s="212"/>
      <c r="AR60" s="200"/>
      <c r="AS60" s="210"/>
    </row>
    <row r="61" spans="1:45" x14ac:dyDescent="0.25">
      <c r="A61" s="173" t="str">
        <f>"(1A) REFLECTS FUEL COST RECOVERY INCLUDED IN BASE RATES OF "&amp;TEXT(CUR_BASE_FUEL,"$0.000000;($0.000000)")&amp;"  PER KWH."</f>
        <v>(1A) REFLECTS FUEL COST RECOVERY INCLUDED IN BASE RATES OF $0.023837  PER KWH.</v>
      </c>
      <c r="B61" s="146"/>
      <c r="C61" s="146"/>
      <c r="D61" s="146"/>
      <c r="E61" s="146"/>
      <c r="F61" s="180"/>
      <c r="G61" s="146"/>
      <c r="H61" s="146"/>
      <c r="I61" s="146"/>
      <c r="J61" s="177" t="s">
        <v>316</v>
      </c>
      <c r="K61" s="146"/>
      <c r="L61" s="176"/>
      <c r="M61" s="146"/>
      <c r="N61" s="174"/>
      <c r="O61" s="146"/>
      <c r="P61" s="175" t="s">
        <v>320</v>
      </c>
      <c r="Q61" s="417"/>
      <c r="R61" s="417"/>
      <c r="V61" s="154"/>
      <c r="AA61" s="200"/>
      <c r="AC61" s="200"/>
      <c r="AD61" s="200"/>
      <c r="AE61" s="213"/>
      <c r="AF61" s="213"/>
      <c r="AG61" s="209"/>
      <c r="AH61" s="200"/>
      <c r="AI61" s="210"/>
      <c r="AJ61" s="210"/>
      <c r="AK61" s="209"/>
      <c r="AL61" s="200"/>
      <c r="AM61" s="201"/>
      <c r="AN61" s="201"/>
      <c r="AO61" s="200"/>
      <c r="AP61" s="200"/>
      <c r="AQ61" s="212"/>
      <c r="AR61" s="200"/>
      <c r="AS61" s="210"/>
    </row>
    <row r="62" spans="1:45" x14ac:dyDescent="0.25">
      <c r="A62" s="173" t="str">
        <f>"(2) REFLECTS FUEL COMPONENT OF "&amp;TEXT(CUR_FAC,"$0.000000;($0.000000)")&amp;"  PER KWH."</f>
        <v>(2) REFLECTS FUEL COMPONENT OF $0.001028  PER KWH.</v>
      </c>
      <c r="B62" s="146"/>
      <c r="C62" s="146"/>
      <c r="D62" s="146"/>
      <c r="E62" s="146"/>
      <c r="F62" s="180"/>
      <c r="G62" s="146"/>
      <c r="H62" s="146"/>
      <c r="I62" s="146"/>
      <c r="J62" s="177" t="s">
        <v>317</v>
      </c>
      <c r="K62" s="146"/>
      <c r="L62" s="176"/>
      <c r="M62" s="146"/>
      <c r="N62" s="174"/>
      <c r="O62" s="146"/>
      <c r="P62" s="175" t="s">
        <v>321</v>
      </c>
      <c r="Q62" s="417"/>
      <c r="R62" s="417"/>
      <c r="V62" s="154"/>
      <c r="AA62" s="200"/>
      <c r="AC62" s="200"/>
      <c r="AD62" s="200"/>
      <c r="AE62" s="213"/>
      <c r="AF62" s="213"/>
      <c r="AG62" s="209"/>
      <c r="AH62" s="200"/>
      <c r="AI62" s="210"/>
      <c r="AJ62" s="210"/>
      <c r="AK62" s="209"/>
      <c r="AL62" s="200"/>
      <c r="AM62" s="201"/>
      <c r="AN62" s="201"/>
      <c r="AO62" s="200"/>
      <c r="AP62" s="200"/>
      <c r="AQ62" s="212"/>
      <c r="AR62" s="200"/>
      <c r="AS62" s="210"/>
    </row>
    <row r="63" spans="1:45" x14ac:dyDescent="0.25">
      <c r="A63" s="175" t="s">
        <v>315</v>
      </c>
      <c r="B63" s="146"/>
      <c r="C63" s="146"/>
      <c r="D63" s="146"/>
      <c r="E63" s="146"/>
      <c r="F63" s="180"/>
      <c r="G63" s="146"/>
      <c r="H63" s="146"/>
      <c r="I63" s="146"/>
      <c r="J63" s="175" t="s">
        <v>318</v>
      </c>
      <c r="K63" s="146"/>
      <c r="L63" s="176"/>
      <c r="M63" s="146"/>
      <c r="N63" s="174"/>
      <c r="O63" s="146"/>
      <c r="P63" s="175" t="s">
        <v>322</v>
      </c>
      <c r="Q63" s="417"/>
      <c r="R63" s="417"/>
      <c r="V63" s="154"/>
      <c r="AA63" s="200"/>
      <c r="AC63" s="200"/>
      <c r="AD63" s="200"/>
      <c r="AE63" s="304"/>
      <c r="AF63" s="304"/>
      <c r="AG63" s="209"/>
      <c r="AH63" s="200"/>
      <c r="AI63" s="210"/>
      <c r="AJ63" s="210"/>
      <c r="AK63" s="209"/>
      <c r="AL63" s="200"/>
      <c r="AM63" s="201"/>
      <c r="AN63" s="201"/>
      <c r="AO63" s="200"/>
      <c r="AP63" s="200"/>
      <c r="AQ63" s="212"/>
      <c r="AR63" s="200"/>
      <c r="AS63" s="210"/>
    </row>
    <row r="64" spans="1:45" x14ac:dyDescent="0.25">
      <c r="A64" s="175" t="s">
        <v>313</v>
      </c>
      <c r="B64" s="146"/>
      <c r="C64" s="146"/>
      <c r="D64" s="146"/>
      <c r="E64" s="146"/>
      <c r="F64" s="180"/>
      <c r="G64" s="146"/>
      <c r="H64" s="146"/>
      <c r="I64" s="146"/>
      <c r="J64" s="175" t="s">
        <v>438</v>
      </c>
      <c r="K64" s="174"/>
      <c r="L64" s="181"/>
      <c r="M64" s="174"/>
      <c r="N64" s="174"/>
      <c r="O64" s="174"/>
      <c r="P64" s="175" t="s">
        <v>323</v>
      </c>
      <c r="Q64" s="417"/>
      <c r="R64" s="417"/>
    </row>
    <row r="65" spans="1:45" x14ac:dyDescent="0.25">
      <c r="A65" s="81"/>
      <c r="B65" s="80"/>
      <c r="C65" s="80"/>
      <c r="D65" s="80"/>
      <c r="E65" s="80"/>
      <c r="F65" s="182"/>
      <c r="G65" s="80"/>
      <c r="H65" s="80"/>
      <c r="I65" s="80"/>
      <c r="J65" s="81"/>
      <c r="V65" s="154"/>
      <c r="AA65" s="200"/>
      <c r="AC65" s="200"/>
      <c r="AD65" s="200"/>
      <c r="AE65" s="305"/>
      <c r="AF65" s="305"/>
      <c r="AG65" s="209"/>
      <c r="AH65" s="200"/>
      <c r="AI65" s="210"/>
      <c r="AJ65" s="210"/>
      <c r="AK65" s="209"/>
      <c r="AL65" s="200"/>
      <c r="AM65" s="210"/>
      <c r="AN65" s="210"/>
      <c r="AO65" s="200"/>
      <c r="AP65" s="200"/>
      <c r="AQ65" s="212"/>
      <c r="AR65" s="200"/>
      <c r="AS65" s="210"/>
    </row>
    <row r="66" spans="1:45" x14ac:dyDescent="0.25">
      <c r="A66" s="81"/>
      <c r="B66" s="80"/>
      <c r="C66" s="80"/>
      <c r="D66" s="80"/>
      <c r="E66" s="80"/>
      <c r="F66" s="182"/>
      <c r="G66" s="80"/>
      <c r="H66" s="80"/>
      <c r="I66" s="80"/>
      <c r="J66" s="81"/>
      <c r="K66" s="80"/>
      <c r="L66" s="80"/>
      <c r="M66" s="80"/>
      <c r="N66" s="182"/>
      <c r="O66" s="80"/>
      <c r="P66" s="367"/>
      <c r="Q66" s="80"/>
      <c r="R66" s="80"/>
      <c r="V66" s="154"/>
      <c r="AA66" s="200"/>
      <c r="AC66" s="200"/>
      <c r="AD66" s="200"/>
      <c r="AE66" s="305"/>
      <c r="AF66" s="305"/>
      <c r="AG66" s="209"/>
      <c r="AH66" s="200"/>
      <c r="AI66" s="210"/>
      <c r="AJ66" s="210"/>
      <c r="AK66" s="209"/>
      <c r="AL66" s="200"/>
      <c r="AM66" s="210"/>
      <c r="AN66" s="210"/>
      <c r="AO66" s="200"/>
      <c r="AP66" s="200"/>
      <c r="AQ66" s="212"/>
      <c r="AR66" s="200"/>
      <c r="AS66" s="210"/>
    </row>
    <row r="67" spans="1:45" x14ac:dyDescent="0.25">
      <c r="A67" s="150" t="str">
        <f>NAME</f>
        <v>DUKE ENERGY KENTUCKY, INC.</v>
      </c>
      <c r="B67" s="150"/>
      <c r="C67" s="150"/>
      <c r="D67" s="150"/>
      <c r="E67" s="150"/>
      <c r="F67" s="150"/>
      <c r="G67" s="150"/>
      <c r="H67" s="150"/>
      <c r="I67" s="150"/>
      <c r="J67" s="187"/>
      <c r="K67" s="187"/>
      <c r="L67" s="150"/>
      <c r="M67" s="150"/>
      <c r="N67" s="150"/>
      <c r="O67" s="150"/>
      <c r="P67" s="150"/>
      <c r="Q67" s="150"/>
      <c r="R67" s="150"/>
      <c r="AA67" s="154"/>
    </row>
    <row r="68" spans="1:45" x14ac:dyDescent="0.25">
      <c r="A68" s="150" t="str">
        <f>CASE_NO</f>
        <v>CASE NO.   2017-00321</v>
      </c>
      <c r="B68" s="150"/>
      <c r="C68" s="150"/>
      <c r="D68" s="150"/>
      <c r="E68" s="150"/>
      <c r="F68" s="150"/>
      <c r="G68" s="150"/>
      <c r="H68" s="150"/>
      <c r="I68" s="150"/>
      <c r="J68" s="187"/>
      <c r="K68" s="187"/>
      <c r="L68" s="150"/>
      <c r="M68" s="150"/>
      <c r="N68" s="150"/>
      <c r="O68" s="150"/>
      <c r="P68" s="150"/>
      <c r="Q68" s="150"/>
      <c r="R68" s="150"/>
      <c r="AA68" s="154"/>
    </row>
    <row r="69" spans="1:45" x14ac:dyDescent="0.25">
      <c r="A69" s="187" t="str">
        <f>TITLE</f>
        <v>ANNUALIZED BASE YEAR REVENUES AT PROPOSED VS. MOST CURRENT RATES</v>
      </c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AB69" s="202"/>
    </row>
    <row r="70" spans="1:45" x14ac:dyDescent="0.25">
      <c r="A70" s="150" t="str">
        <f>DATE</f>
        <v>FOR THE TWELVE MONTHS ENDED November 30, 2017</v>
      </c>
      <c r="B70" s="150"/>
      <c r="C70" s="150"/>
      <c r="D70" s="150"/>
      <c r="E70" s="150"/>
      <c r="F70" s="150"/>
      <c r="G70" s="150"/>
      <c r="H70" s="150"/>
      <c r="I70" s="150"/>
      <c r="J70" s="187"/>
      <c r="K70" s="187"/>
      <c r="L70" s="150"/>
      <c r="M70" s="150"/>
      <c r="N70" s="150"/>
      <c r="O70" s="150"/>
      <c r="P70" s="150"/>
      <c r="Q70" s="150"/>
      <c r="R70" s="150"/>
      <c r="AC70" s="154"/>
      <c r="AD70" s="154"/>
    </row>
    <row r="71" spans="1:45" x14ac:dyDescent="0.25">
      <c r="A71" s="150" t="str">
        <f>SERVICE</f>
        <v>(ELECTRIC SERVICE)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87"/>
      <c r="M71" s="187"/>
      <c r="N71" s="150"/>
      <c r="O71" s="150"/>
      <c r="P71" s="150"/>
      <c r="Q71" s="150"/>
      <c r="R71" s="150"/>
      <c r="AM71" s="154"/>
      <c r="AN71" s="154"/>
    </row>
    <row r="72" spans="1:45" x14ac:dyDescent="0.25">
      <c r="A72" s="159" t="str">
        <f>DATA_PERIOD</f>
        <v>DATA: __X__ BASE PERIOD   ____FORECASTED PERIOD</v>
      </c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2" t="s">
        <v>178</v>
      </c>
      <c r="AM72" s="154"/>
      <c r="AN72" s="154"/>
    </row>
    <row r="73" spans="1:45" x14ac:dyDescent="0.25">
      <c r="A73" s="159" t="str">
        <f>TYPE</f>
        <v>TYPE OF FILING: _X_ ORIGINAL   ___UPDATED  ___ REVISED</v>
      </c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1" t="s">
        <v>764</v>
      </c>
      <c r="AM73" s="154"/>
      <c r="AN73" s="154"/>
    </row>
    <row r="74" spans="1:45" x14ac:dyDescent="0.25">
      <c r="A74" s="82" t="s">
        <v>192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2" t="s">
        <v>3</v>
      </c>
      <c r="AM74" s="154"/>
      <c r="AN74" s="154"/>
    </row>
    <row r="75" spans="1:45" x14ac:dyDescent="0.25">
      <c r="A75" s="258" t="str">
        <f>TIME</f>
        <v>6 Months Actual and 6 Months Projected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M75" s="82"/>
      <c r="N75" s="80"/>
      <c r="O75" s="80"/>
      <c r="P75" s="80"/>
      <c r="Q75" s="80"/>
      <c r="R75" s="159" t="str">
        <f>WIT</f>
        <v>B. L. SAILERS</v>
      </c>
      <c r="AC75" s="154"/>
      <c r="AD75" s="154"/>
      <c r="AM75" s="202"/>
      <c r="AN75" s="202"/>
    </row>
    <row r="76" spans="1:45" x14ac:dyDescent="0.25">
      <c r="A76" s="187" t="s">
        <v>151</v>
      </c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87"/>
      <c r="M76" s="187"/>
      <c r="N76" s="150"/>
      <c r="O76" s="150"/>
      <c r="P76" s="150"/>
      <c r="Q76" s="150"/>
      <c r="R76" s="187"/>
      <c r="AC76" s="154"/>
      <c r="AD76" s="154"/>
      <c r="AM76" s="202"/>
      <c r="AN76" s="202"/>
    </row>
    <row r="77" spans="1:45" x14ac:dyDescent="0.25">
      <c r="A77" s="151"/>
      <c r="B77" s="151"/>
      <c r="C77" s="151"/>
      <c r="D77" s="151"/>
      <c r="E77" s="151"/>
      <c r="F77" s="80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T77" s="41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208"/>
      <c r="AH77" s="102"/>
      <c r="AI77" s="102"/>
      <c r="AJ77" s="102"/>
      <c r="AK77" s="208"/>
      <c r="AL77" s="102"/>
      <c r="AM77" s="102"/>
      <c r="AN77" s="102"/>
      <c r="AO77" s="102"/>
      <c r="AP77" s="102"/>
    </row>
    <row r="78" spans="1:45" ht="18" customHeight="1" x14ac:dyDescent="0.25">
      <c r="A78" s="152"/>
      <c r="B78" s="152"/>
      <c r="C78" s="152"/>
      <c r="D78" s="152"/>
      <c r="E78" s="152"/>
      <c r="F78" s="152"/>
      <c r="G78" s="152"/>
      <c r="H78" s="152"/>
      <c r="I78" s="152"/>
      <c r="J78" s="152"/>
      <c r="K78" s="152"/>
      <c r="L78" s="193" t="s">
        <v>6</v>
      </c>
      <c r="M78" s="193"/>
      <c r="N78" s="193" t="s">
        <v>7</v>
      </c>
      <c r="O78" s="193"/>
      <c r="P78" s="152"/>
      <c r="Q78" s="152"/>
      <c r="R78" s="193" t="s">
        <v>6</v>
      </c>
      <c r="AC78" s="103"/>
      <c r="AD78" s="103"/>
      <c r="AE78" s="103"/>
      <c r="AF78" s="103"/>
      <c r="AG78" s="185"/>
      <c r="AH78" s="103"/>
      <c r="AI78" s="103"/>
      <c r="AJ78" s="103"/>
      <c r="AM78" s="103"/>
      <c r="AN78" s="103"/>
      <c r="AO78" s="103"/>
      <c r="AP78" s="103"/>
    </row>
    <row r="79" spans="1:45" x14ac:dyDescent="0.25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3" t="s">
        <v>12</v>
      </c>
      <c r="M79" s="83"/>
      <c r="N79" s="83" t="s">
        <v>13</v>
      </c>
      <c r="O79" s="83"/>
      <c r="P79" s="80"/>
      <c r="Q79" s="80"/>
      <c r="R79" s="83" t="s">
        <v>11</v>
      </c>
      <c r="AB79" s="103"/>
      <c r="AC79" s="103"/>
      <c r="AD79" s="103"/>
      <c r="AE79" s="103"/>
      <c r="AF79" s="103"/>
      <c r="AG79" s="185"/>
      <c r="AH79" s="103"/>
      <c r="AI79" s="103"/>
      <c r="AJ79" s="103"/>
      <c r="AM79" s="103"/>
      <c r="AN79" s="103"/>
      <c r="AO79" s="103"/>
      <c r="AP79" s="103"/>
    </row>
    <row r="80" spans="1:45" x14ac:dyDescent="0.25">
      <c r="A80" s="83" t="s">
        <v>17</v>
      </c>
      <c r="B80" s="80"/>
      <c r="C80" s="83" t="s">
        <v>18</v>
      </c>
      <c r="D80" s="83" t="s">
        <v>19</v>
      </c>
      <c r="E80" s="83"/>
      <c r="F80" s="83" t="s">
        <v>20</v>
      </c>
      <c r="G80" s="80"/>
      <c r="H80" s="80"/>
      <c r="I80" s="80"/>
      <c r="J80" s="83" t="s">
        <v>6</v>
      </c>
      <c r="K80" s="83"/>
      <c r="L80" s="83" t="s">
        <v>21</v>
      </c>
      <c r="M80" s="83"/>
      <c r="N80" s="83" t="s">
        <v>21</v>
      </c>
      <c r="O80" s="83"/>
      <c r="P80" s="83" t="s">
        <v>21</v>
      </c>
      <c r="Q80" s="83"/>
      <c r="R80" s="83" t="s">
        <v>9</v>
      </c>
      <c r="T80" s="412"/>
      <c r="U80" s="103"/>
      <c r="V80" s="103"/>
      <c r="AB80" s="103"/>
      <c r="AC80" s="103"/>
      <c r="AD80" s="103"/>
      <c r="AE80" s="103"/>
      <c r="AF80" s="103"/>
      <c r="AG80" s="185"/>
      <c r="AH80" s="103"/>
      <c r="AI80" s="103"/>
      <c r="AJ80" s="103"/>
      <c r="AK80" s="185"/>
      <c r="AL80" s="103"/>
      <c r="AM80" s="103"/>
      <c r="AN80" s="103"/>
      <c r="AO80" s="103"/>
      <c r="AP80" s="103"/>
    </row>
    <row r="81" spans="1:49" x14ac:dyDescent="0.25">
      <c r="A81" s="83" t="s">
        <v>24</v>
      </c>
      <c r="B81" s="80"/>
      <c r="C81" s="83" t="s">
        <v>25</v>
      </c>
      <c r="D81" s="83" t="s">
        <v>26</v>
      </c>
      <c r="E81" s="83"/>
      <c r="F81" s="83" t="s">
        <v>27</v>
      </c>
      <c r="G81" s="80"/>
      <c r="H81" s="83" t="s">
        <v>28</v>
      </c>
      <c r="I81" s="83"/>
      <c r="J81" s="196" t="s">
        <v>432</v>
      </c>
      <c r="K81" s="83"/>
      <c r="L81" s="83" t="s">
        <v>9</v>
      </c>
      <c r="M81" s="83"/>
      <c r="N81" s="83" t="s">
        <v>9</v>
      </c>
      <c r="O81" s="83"/>
      <c r="P81" s="83" t="s">
        <v>430</v>
      </c>
      <c r="Q81" s="83"/>
      <c r="R81" s="256" t="s">
        <v>30</v>
      </c>
      <c r="T81" s="412"/>
      <c r="U81" s="103"/>
      <c r="V81" s="103"/>
      <c r="AA81" s="103"/>
      <c r="AB81" s="103"/>
      <c r="AC81" s="103"/>
      <c r="AD81" s="103"/>
      <c r="AE81" s="103"/>
      <c r="AF81" s="103"/>
      <c r="AG81" s="185"/>
      <c r="AH81" s="103"/>
      <c r="AI81" s="103"/>
      <c r="AJ81" s="103"/>
      <c r="AK81" s="185"/>
      <c r="AL81" s="103"/>
      <c r="AM81" s="103"/>
      <c r="AN81" s="103"/>
      <c r="AO81" s="103"/>
      <c r="AP81" s="103"/>
    </row>
    <row r="82" spans="1:49" x14ac:dyDescent="0.25">
      <c r="A82" s="80"/>
      <c r="B82" s="80"/>
      <c r="C82" s="256" t="s">
        <v>35</v>
      </c>
      <c r="D82" s="256" t="s">
        <v>36</v>
      </c>
      <c r="E82" s="256"/>
      <c r="F82" s="256" t="s">
        <v>37</v>
      </c>
      <c r="G82" s="258"/>
      <c r="H82" s="256" t="s">
        <v>38</v>
      </c>
      <c r="I82" s="256"/>
      <c r="J82" s="256" t="s">
        <v>39</v>
      </c>
      <c r="K82" s="256"/>
      <c r="L82" s="256" t="s">
        <v>40</v>
      </c>
      <c r="M82" s="256"/>
      <c r="N82" s="256" t="s">
        <v>41</v>
      </c>
      <c r="O82" s="256"/>
      <c r="P82" s="256" t="s">
        <v>42</v>
      </c>
      <c r="Q82" s="256"/>
      <c r="R82" s="256" t="s">
        <v>43</v>
      </c>
      <c r="T82" s="41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208"/>
      <c r="AH82" s="102"/>
      <c r="AI82" s="102"/>
      <c r="AJ82" s="102"/>
      <c r="AK82" s="208"/>
      <c r="AL82" s="102"/>
      <c r="AM82" s="102"/>
      <c r="AN82" s="102"/>
      <c r="AO82" s="102"/>
      <c r="AP82" s="102"/>
    </row>
    <row r="83" spans="1:49" ht="17.100000000000001" customHeight="1" x14ac:dyDescent="0.25">
      <c r="A83" s="152"/>
      <c r="B83" s="152"/>
      <c r="C83" s="152"/>
      <c r="D83" s="152"/>
      <c r="E83" s="152"/>
      <c r="F83" s="152"/>
      <c r="G83" s="152"/>
      <c r="H83" s="376" t="s">
        <v>51</v>
      </c>
      <c r="I83" s="376"/>
      <c r="J83" s="375" t="s">
        <v>71</v>
      </c>
      <c r="K83" s="376"/>
      <c r="L83" s="376" t="s">
        <v>52</v>
      </c>
      <c r="M83" s="376"/>
      <c r="N83" s="376" t="s">
        <v>53</v>
      </c>
      <c r="O83" s="376"/>
      <c r="P83" s="376" t="s">
        <v>52</v>
      </c>
      <c r="Q83" s="376"/>
      <c r="R83" s="376" t="s">
        <v>52</v>
      </c>
      <c r="AA83" s="103"/>
      <c r="AB83" s="103"/>
      <c r="AC83" s="103"/>
      <c r="AD83" s="103"/>
      <c r="AE83" s="103"/>
      <c r="AF83" s="103"/>
      <c r="AG83" s="185"/>
      <c r="AH83" s="103"/>
      <c r="AI83" s="103"/>
      <c r="AJ83" s="103"/>
      <c r="AK83" s="185"/>
      <c r="AL83" s="103"/>
      <c r="AM83" s="103"/>
      <c r="AN83" s="103"/>
      <c r="AO83" s="103"/>
      <c r="AP83" s="103"/>
    </row>
    <row r="84" spans="1:49" x14ac:dyDescent="0.25">
      <c r="A84" s="418">
        <v>42</v>
      </c>
      <c r="B84" s="80"/>
      <c r="C84" s="253" t="s">
        <v>81</v>
      </c>
      <c r="D84" s="81" t="s">
        <v>346</v>
      </c>
      <c r="E84" s="82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T84" s="412"/>
      <c r="U84" s="154"/>
    </row>
    <row r="85" spans="1:49" x14ac:dyDescent="0.25">
      <c r="A85" s="418">
        <v>43</v>
      </c>
      <c r="B85" s="80"/>
      <c r="C85" s="253" t="s">
        <v>622</v>
      </c>
      <c r="D85" s="81"/>
      <c r="E85" s="82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T85" s="412"/>
      <c r="U85" s="154"/>
    </row>
    <row r="86" spans="1:49" x14ac:dyDescent="0.25">
      <c r="A86" s="418">
        <v>44</v>
      </c>
      <c r="B86" s="80"/>
      <c r="C86" s="253" t="s">
        <v>225</v>
      </c>
      <c r="D86" s="80"/>
      <c r="E86" s="80"/>
      <c r="F86" s="225"/>
      <c r="G86" s="70"/>
      <c r="H86" s="225"/>
      <c r="I86" s="78"/>
      <c r="J86" s="352"/>
      <c r="K86" s="352"/>
      <c r="L86" s="79"/>
      <c r="M86" s="79"/>
      <c r="N86" s="156"/>
      <c r="O86" s="156"/>
      <c r="P86" s="79"/>
      <c r="Q86" s="79"/>
      <c r="R86" s="79"/>
      <c r="S86" s="411"/>
      <c r="V86" s="329"/>
      <c r="AO86" s="413"/>
    </row>
    <row r="87" spans="1:49" x14ac:dyDescent="0.25">
      <c r="A87" s="418">
        <v>45</v>
      </c>
      <c r="B87" s="80"/>
      <c r="C87" s="81" t="s">
        <v>504</v>
      </c>
      <c r="D87" s="80"/>
      <c r="E87" s="80"/>
      <c r="F87" s="225">
        <v>0</v>
      </c>
      <c r="G87" s="70"/>
      <c r="H87" s="225">
        <f t="shared" ref="H87:H93" si="16">ROUND(F87*AC87/12,0)</f>
        <v>0</v>
      </c>
      <c r="I87" s="78"/>
      <c r="J87" s="349">
        <f>ROUND(AC309+(AC309*$AG$1),2)</f>
        <v>10.94</v>
      </c>
      <c r="K87" s="352"/>
      <c r="L87" s="79">
        <f t="shared" ref="L87:L93" si="17">ROUND((F87*J87),0)</f>
        <v>0</v>
      </c>
      <c r="M87" s="79"/>
      <c r="N87" s="156">
        <f t="shared" ref="N87:N94" si="18">ROUND((L87/L$211)*100,1)</f>
        <v>0</v>
      </c>
      <c r="O87" s="156"/>
      <c r="P87" s="79">
        <f t="shared" ref="P87:P93" si="19">ROUND($P$211/$H$211*H87,0)</f>
        <v>0</v>
      </c>
      <c r="Q87" s="79"/>
      <c r="R87" s="79">
        <f>L87+P87</f>
        <v>0</v>
      </c>
      <c r="S87" s="411"/>
      <c r="V87" s="329"/>
      <c r="Y87" s="409"/>
      <c r="AA87" s="225"/>
      <c r="AC87" s="101">
        <v>487</v>
      </c>
      <c r="AO87" s="413"/>
    </row>
    <row r="88" spans="1:49" x14ac:dyDescent="0.25">
      <c r="A88" s="418">
        <v>46</v>
      </c>
      <c r="B88" s="80"/>
      <c r="C88" s="81" t="s">
        <v>505</v>
      </c>
      <c r="D88" s="80"/>
      <c r="E88" s="80"/>
      <c r="F88" s="396">
        <v>12</v>
      </c>
      <c r="G88" s="70"/>
      <c r="H88" s="225">
        <f t="shared" si="16"/>
        <v>1023</v>
      </c>
      <c r="I88" s="78"/>
      <c r="J88" s="349">
        <f>ROUND(AC310+(AC310*$AG$1),2)</f>
        <v>13.53</v>
      </c>
      <c r="K88" s="352"/>
      <c r="L88" s="79">
        <f t="shared" si="17"/>
        <v>162</v>
      </c>
      <c r="M88" s="79"/>
      <c r="N88" s="156">
        <f t="shared" si="18"/>
        <v>0</v>
      </c>
      <c r="O88" s="156"/>
      <c r="P88" s="79">
        <f t="shared" si="19"/>
        <v>1</v>
      </c>
      <c r="Q88" s="79"/>
      <c r="R88" s="79">
        <f t="shared" ref="R88:R93" si="20">L88+P88</f>
        <v>163</v>
      </c>
      <c r="S88" s="411"/>
      <c r="V88" s="329"/>
      <c r="Y88" s="409"/>
      <c r="AA88" s="229"/>
      <c r="AC88" s="101">
        <v>1023</v>
      </c>
      <c r="AO88" s="413"/>
    </row>
    <row r="89" spans="1:49" x14ac:dyDescent="0.25">
      <c r="A89" s="419">
        <v>47</v>
      </c>
      <c r="B89" s="80"/>
      <c r="C89" s="81" t="s">
        <v>506</v>
      </c>
      <c r="D89" s="80"/>
      <c r="E89" s="80"/>
      <c r="F89" s="225">
        <v>132</v>
      </c>
      <c r="G89" s="70"/>
      <c r="H89" s="225">
        <f t="shared" si="16"/>
        <v>21549</v>
      </c>
      <c r="I89" s="78"/>
      <c r="J89" s="349">
        <f>ROUND(AC311+(AC311*$AG$1),2)</f>
        <v>17.899999999999999</v>
      </c>
      <c r="K89" s="352"/>
      <c r="L89" s="79">
        <f t="shared" si="17"/>
        <v>2363</v>
      </c>
      <c r="M89" s="79"/>
      <c r="N89" s="156">
        <f t="shared" si="18"/>
        <v>0.2</v>
      </c>
      <c r="O89" s="156"/>
      <c r="P89" s="79">
        <f t="shared" si="19"/>
        <v>22</v>
      </c>
      <c r="Q89" s="79"/>
      <c r="R89" s="79">
        <f t="shared" si="20"/>
        <v>2385</v>
      </c>
      <c r="S89" s="411"/>
      <c r="V89" s="329"/>
      <c r="Y89" s="409"/>
      <c r="AA89" s="225"/>
      <c r="AC89" s="101">
        <v>1959</v>
      </c>
      <c r="AO89" s="413"/>
    </row>
    <row r="90" spans="1:49" x14ac:dyDescent="0.25">
      <c r="A90" s="419">
        <v>48</v>
      </c>
      <c r="B90" s="80"/>
      <c r="C90" s="81" t="s">
        <v>507</v>
      </c>
      <c r="D90" s="80"/>
      <c r="E90" s="80"/>
      <c r="F90" s="225">
        <v>180</v>
      </c>
      <c r="G90" s="70"/>
      <c r="H90" s="225">
        <f t="shared" si="16"/>
        <v>29385</v>
      </c>
      <c r="I90" s="78"/>
      <c r="J90" s="349">
        <f>$J$89+$AG$7</f>
        <v>22.82</v>
      </c>
      <c r="K90" s="352"/>
      <c r="L90" s="79">
        <f t="shared" si="17"/>
        <v>4108</v>
      </c>
      <c r="M90" s="79"/>
      <c r="N90" s="156">
        <f t="shared" si="18"/>
        <v>0.3</v>
      </c>
      <c r="O90" s="156"/>
      <c r="P90" s="79">
        <f t="shared" si="19"/>
        <v>30</v>
      </c>
      <c r="Q90" s="79"/>
      <c r="R90" s="79">
        <f t="shared" si="20"/>
        <v>4138</v>
      </c>
      <c r="S90" s="411"/>
      <c r="V90" s="329"/>
      <c r="Y90" s="409"/>
      <c r="AA90" s="225"/>
      <c r="AC90" s="101">
        <v>1959</v>
      </c>
      <c r="AO90" s="413"/>
    </row>
    <row r="91" spans="1:49" x14ac:dyDescent="0.25">
      <c r="A91" s="419">
        <v>49</v>
      </c>
      <c r="B91" s="80"/>
      <c r="C91" s="81" t="s">
        <v>508</v>
      </c>
      <c r="D91" s="80"/>
      <c r="E91" s="80"/>
      <c r="F91" s="225">
        <v>0</v>
      </c>
      <c r="G91" s="70"/>
      <c r="H91" s="225">
        <f t="shared" si="16"/>
        <v>0</v>
      </c>
      <c r="I91" s="78"/>
      <c r="J91" s="349">
        <f>$J$89+$AG$8</f>
        <v>23.799999999999997</v>
      </c>
      <c r="K91" s="352"/>
      <c r="L91" s="79">
        <f t="shared" si="17"/>
        <v>0</v>
      </c>
      <c r="M91" s="79"/>
      <c r="N91" s="156">
        <f t="shared" si="18"/>
        <v>0</v>
      </c>
      <c r="O91" s="156"/>
      <c r="P91" s="79">
        <f t="shared" si="19"/>
        <v>0</v>
      </c>
      <c r="Q91" s="79"/>
      <c r="R91" s="79">
        <f t="shared" si="20"/>
        <v>0</v>
      </c>
      <c r="S91" s="411"/>
      <c r="V91" s="329"/>
      <c r="Y91" s="409"/>
      <c r="AA91" s="225"/>
      <c r="AC91" s="101">
        <v>1959</v>
      </c>
      <c r="AO91" s="413"/>
    </row>
    <row r="92" spans="1:49" x14ac:dyDescent="0.25">
      <c r="A92" s="419">
        <v>50</v>
      </c>
      <c r="B92" s="80"/>
      <c r="C92" s="81" t="s">
        <v>502</v>
      </c>
      <c r="D92" s="80"/>
      <c r="E92" s="80"/>
      <c r="F92" s="225">
        <v>216</v>
      </c>
      <c r="G92" s="70"/>
      <c r="H92" s="225">
        <f t="shared" si="16"/>
        <v>35262</v>
      </c>
      <c r="I92" s="78"/>
      <c r="J92" s="349">
        <f>ROUND(AC314+(AC314*$AG$1),2)</f>
        <v>26.62</v>
      </c>
      <c r="K92" s="352"/>
      <c r="L92" s="79">
        <f t="shared" si="17"/>
        <v>5750</v>
      </c>
      <c r="M92" s="163"/>
      <c r="N92" s="198">
        <f t="shared" si="18"/>
        <v>0.4</v>
      </c>
      <c r="O92" s="198"/>
      <c r="P92" s="163">
        <f t="shared" si="19"/>
        <v>36</v>
      </c>
      <c r="Q92" s="163"/>
      <c r="R92" s="163">
        <f t="shared" si="20"/>
        <v>5786</v>
      </c>
      <c r="S92" s="411"/>
      <c r="V92" s="329"/>
      <c r="Y92" s="409"/>
      <c r="AA92" s="225"/>
      <c r="AC92" s="101">
        <v>1959</v>
      </c>
      <c r="AO92" s="413"/>
    </row>
    <row r="93" spans="1:49" x14ac:dyDescent="0.25">
      <c r="A93" s="419">
        <v>51</v>
      </c>
      <c r="B93" s="80"/>
      <c r="C93" s="81" t="s">
        <v>503</v>
      </c>
      <c r="D93" s="80"/>
      <c r="E93" s="80"/>
      <c r="F93" s="225">
        <v>36</v>
      </c>
      <c r="G93" s="70"/>
      <c r="H93" s="225">
        <f t="shared" si="16"/>
        <v>5877</v>
      </c>
      <c r="I93" s="78"/>
      <c r="J93" s="349">
        <f>$J$92+$AG$8</f>
        <v>32.520000000000003</v>
      </c>
      <c r="K93" s="352"/>
      <c r="L93" s="79">
        <f t="shared" si="17"/>
        <v>1171</v>
      </c>
      <c r="M93" s="79"/>
      <c r="N93" s="341">
        <f t="shared" si="18"/>
        <v>0.1</v>
      </c>
      <c r="O93" s="156"/>
      <c r="P93" s="167">
        <f t="shared" si="19"/>
        <v>6</v>
      </c>
      <c r="Q93" s="79"/>
      <c r="R93" s="79">
        <f t="shared" si="20"/>
        <v>1177</v>
      </c>
      <c r="S93" s="411"/>
      <c r="V93" s="329"/>
      <c r="Y93" s="409"/>
      <c r="AA93" s="225"/>
      <c r="AC93" s="101">
        <v>1959</v>
      </c>
      <c r="AO93" s="413"/>
    </row>
    <row r="94" spans="1:49" ht="20.100000000000001" customHeight="1" x14ac:dyDescent="0.25">
      <c r="A94" s="419">
        <v>52</v>
      </c>
      <c r="B94" s="80"/>
      <c r="C94" s="265" t="s">
        <v>345</v>
      </c>
      <c r="D94" s="80"/>
      <c r="E94" s="80"/>
      <c r="F94" s="169">
        <f>SUM(F21:F93)</f>
        <v>120332</v>
      </c>
      <c r="G94" s="70"/>
      <c r="H94" s="169">
        <f>SUM(H21:H93)</f>
        <v>9595373</v>
      </c>
      <c r="I94" s="79"/>
      <c r="J94" s="162"/>
      <c r="K94" s="162"/>
      <c r="L94" s="169">
        <f>SUM(L21:L93)</f>
        <v>1178648</v>
      </c>
      <c r="M94" s="79"/>
      <c r="N94" s="303">
        <f t="shared" si="18"/>
        <v>78.8</v>
      </c>
      <c r="O94" s="158"/>
      <c r="P94" s="342">
        <f>ROUND(H94*CUR_FAC,0)</f>
        <v>9864</v>
      </c>
      <c r="Q94" s="79"/>
      <c r="R94" s="169">
        <f>SUM(R21:R93)</f>
        <v>1188512</v>
      </c>
      <c r="AA94" s="169"/>
      <c r="AE94" s="103"/>
      <c r="AF94" s="103"/>
      <c r="AG94" s="185"/>
      <c r="AH94" s="103"/>
      <c r="AI94" s="103"/>
      <c r="AJ94" s="103"/>
      <c r="AK94" s="185"/>
      <c r="AL94" s="103"/>
      <c r="AM94" s="103"/>
      <c r="AN94" s="103"/>
      <c r="AQ94" s="212"/>
      <c r="AR94" s="103"/>
      <c r="AS94" s="103"/>
    </row>
    <row r="95" spans="1:49" x14ac:dyDescent="0.25">
      <c r="A95" s="418"/>
      <c r="B95" s="80"/>
      <c r="C95" s="253"/>
      <c r="D95" s="81"/>
      <c r="E95" s="82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T95" s="412"/>
      <c r="U95" s="154"/>
      <c r="AA95" s="70"/>
    </row>
    <row r="96" spans="1:49" x14ac:dyDescent="0.25">
      <c r="A96" s="418">
        <v>53</v>
      </c>
      <c r="B96" s="80"/>
      <c r="C96" s="253" t="s">
        <v>84</v>
      </c>
      <c r="D96" s="80"/>
      <c r="E96" s="80"/>
      <c r="F96" s="70"/>
      <c r="G96" s="70"/>
      <c r="H96" s="70"/>
      <c r="I96" s="70"/>
      <c r="J96" s="162"/>
      <c r="K96" s="162"/>
      <c r="L96" s="70"/>
      <c r="M96" s="70"/>
      <c r="N96" s="70"/>
      <c r="O96" s="70"/>
      <c r="P96" s="70"/>
      <c r="Q96" s="70"/>
      <c r="R96" s="70"/>
      <c r="V96" s="103"/>
      <c r="W96" s="103"/>
      <c r="X96" s="103"/>
      <c r="Y96" s="103"/>
      <c r="Z96" s="103"/>
      <c r="AA96" s="70"/>
      <c r="AC96" s="103"/>
      <c r="AD96" s="103"/>
      <c r="AE96" s="103"/>
      <c r="AF96" s="103"/>
      <c r="AG96" s="185"/>
      <c r="AH96" s="103"/>
      <c r="AI96" s="103"/>
      <c r="AJ96" s="103"/>
      <c r="AK96" s="185"/>
      <c r="AL96" s="103"/>
      <c r="AM96" s="103"/>
      <c r="AN96" s="103"/>
      <c r="AO96" s="103"/>
      <c r="AP96" s="103"/>
      <c r="AQ96" s="212"/>
      <c r="AR96" s="103"/>
      <c r="AS96" s="103"/>
      <c r="AU96" s="200"/>
      <c r="AV96" s="200"/>
      <c r="AW96" s="210"/>
    </row>
    <row r="97" spans="1:49" x14ac:dyDescent="0.25">
      <c r="A97" s="418">
        <v>54</v>
      </c>
      <c r="B97" s="80"/>
      <c r="C97" s="265" t="s">
        <v>226</v>
      </c>
      <c r="D97" s="80"/>
      <c r="E97" s="80"/>
      <c r="F97" s="70"/>
      <c r="G97" s="70"/>
      <c r="H97" s="70"/>
      <c r="I97" s="70"/>
      <c r="J97" s="162"/>
      <c r="K97" s="162"/>
      <c r="L97" s="70"/>
      <c r="M97" s="70"/>
      <c r="N97" s="70"/>
      <c r="O97" s="70"/>
      <c r="P97" s="70"/>
      <c r="Q97" s="70"/>
      <c r="R97" s="70"/>
      <c r="AA97" s="70"/>
      <c r="AC97" s="103"/>
      <c r="AD97" s="103"/>
      <c r="AE97" s="103"/>
      <c r="AF97" s="103"/>
      <c r="AG97" s="185"/>
      <c r="AH97" s="103"/>
      <c r="AI97" s="103"/>
      <c r="AJ97" s="103"/>
      <c r="AK97" s="185"/>
      <c r="AL97" s="103"/>
      <c r="AM97" s="103"/>
      <c r="AN97" s="103"/>
      <c r="AO97" s="103"/>
      <c r="AP97" s="103"/>
      <c r="AQ97" s="212"/>
      <c r="AR97" s="103"/>
      <c r="AS97" s="103"/>
      <c r="AU97" s="200"/>
      <c r="AV97" s="200"/>
      <c r="AW97" s="327"/>
    </row>
    <row r="98" spans="1:49" x14ac:dyDescent="0.25">
      <c r="A98" s="418">
        <v>55</v>
      </c>
      <c r="B98" s="80"/>
      <c r="C98" s="81" t="s">
        <v>233</v>
      </c>
      <c r="D98" s="80"/>
      <c r="E98" s="80"/>
      <c r="F98" s="225">
        <v>60</v>
      </c>
      <c r="G98" s="70"/>
      <c r="H98" s="225">
        <f t="shared" ref="H98:H107" si="21">ROUND(F98*AC98/12,0)</f>
        <v>4370</v>
      </c>
      <c r="I98" s="78"/>
      <c r="J98" s="349">
        <f>ROUND(AC320+(AC320*$AG$1),2)</f>
        <v>8.1</v>
      </c>
      <c r="K98" s="352"/>
      <c r="L98" s="79">
        <f t="shared" ref="L98:L139" si="22">ROUND((F98*J98),0)</f>
        <v>486</v>
      </c>
      <c r="M98" s="79"/>
      <c r="N98" s="156">
        <f>ROUND((L98/L$211)*100,1)</f>
        <v>0</v>
      </c>
      <c r="O98" s="156"/>
      <c r="P98" s="79">
        <f>ROUND($P$211/$H$211*H98,0)</f>
        <v>4</v>
      </c>
      <c r="Q98" s="79"/>
      <c r="R98" s="79">
        <f t="shared" ref="R98:R107" si="23">L98+P98</f>
        <v>490</v>
      </c>
      <c r="S98" s="85"/>
      <c r="T98" s="202"/>
      <c r="V98" s="420"/>
      <c r="W98" s="154"/>
      <c r="X98" s="154"/>
      <c r="Y98" s="409"/>
      <c r="Z98" s="154"/>
      <c r="AA98" s="225"/>
      <c r="AC98" s="101">
        <v>874</v>
      </c>
      <c r="AU98" s="200"/>
      <c r="AV98" s="200"/>
      <c r="AW98" s="210"/>
    </row>
    <row r="99" spans="1:49" x14ac:dyDescent="0.25">
      <c r="A99" s="418">
        <v>56</v>
      </c>
      <c r="B99" s="80"/>
      <c r="C99" s="81" t="s">
        <v>232</v>
      </c>
      <c r="D99" s="80"/>
      <c r="E99" s="80"/>
      <c r="F99" s="225">
        <v>0</v>
      </c>
      <c r="G99" s="70"/>
      <c r="H99" s="225">
        <f t="shared" si="21"/>
        <v>0</v>
      </c>
      <c r="I99" s="78"/>
      <c r="J99" s="349">
        <f>ROUND(AC321+(AC321*$AG$1),2)</f>
        <v>6.65</v>
      </c>
      <c r="K99" s="352"/>
      <c r="L99" s="79">
        <f t="shared" si="22"/>
        <v>0</v>
      </c>
      <c r="M99" s="79"/>
      <c r="N99" s="156">
        <f t="shared" ref="N99:N107" si="24">ROUND((L99/L$211)*100,1)</f>
        <v>0</v>
      </c>
      <c r="O99" s="156"/>
      <c r="P99" s="79">
        <f t="shared" ref="P99" si="25">ROUND($P$211/$H$211*H99,0)</f>
        <v>0</v>
      </c>
      <c r="Q99" s="79"/>
      <c r="R99" s="79">
        <f t="shared" ref="R99" si="26">L99+P99</f>
        <v>0</v>
      </c>
      <c r="S99" s="85"/>
      <c r="T99" s="202"/>
      <c r="V99" s="420"/>
      <c r="W99" s="154"/>
      <c r="X99" s="154"/>
      <c r="Y99" s="409"/>
      <c r="Z99" s="154"/>
      <c r="AA99" s="225"/>
      <c r="AC99" s="101">
        <v>853</v>
      </c>
      <c r="AU99" s="200"/>
      <c r="AV99" s="200"/>
      <c r="AW99" s="210"/>
    </row>
    <row r="100" spans="1:49" x14ac:dyDescent="0.25">
      <c r="A100" s="419">
        <v>57</v>
      </c>
      <c r="B100" s="80"/>
      <c r="C100" s="81" t="s">
        <v>241</v>
      </c>
      <c r="D100" s="80"/>
      <c r="E100" s="80"/>
      <c r="F100" s="225">
        <v>600</v>
      </c>
      <c r="G100" s="70"/>
      <c r="H100" s="225">
        <f t="shared" si="21"/>
        <v>43700</v>
      </c>
      <c r="I100" s="78"/>
      <c r="J100" s="349">
        <f>$J$98+$AG$6</f>
        <v>12.959999999999999</v>
      </c>
      <c r="K100" s="352"/>
      <c r="L100" s="79">
        <f t="shared" si="22"/>
        <v>7776</v>
      </c>
      <c r="M100" s="79"/>
      <c r="N100" s="156">
        <f t="shared" si="24"/>
        <v>0.5</v>
      </c>
      <c r="O100" s="156"/>
      <c r="P100" s="79">
        <f t="shared" ref="P100:P106" si="27">ROUND($P$211/$H$211*H100,0)</f>
        <v>45</v>
      </c>
      <c r="Q100" s="79"/>
      <c r="R100" s="79">
        <f t="shared" si="23"/>
        <v>7821</v>
      </c>
      <c r="S100" s="85"/>
      <c r="T100" s="202"/>
      <c r="V100" s="420"/>
      <c r="W100" s="154"/>
      <c r="X100" s="154"/>
      <c r="Y100" s="409"/>
      <c r="Z100" s="154"/>
      <c r="AA100" s="225"/>
      <c r="AC100" s="101">
        <v>874</v>
      </c>
      <c r="AU100" s="200"/>
      <c r="AV100" s="200"/>
      <c r="AW100" s="210"/>
    </row>
    <row r="101" spans="1:49" x14ac:dyDescent="0.25">
      <c r="A101" s="419">
        <v>58</v>
      </c>
      <c r="B101" s="80"/>
      <c r="C101" s="81" t="s">
        <v>324</v>
      </c>
      <c r="D101" s="80"/>
      <c r="E101" s="80"/>
      <c r="F101" s="225">
        <v>12</v>
      </c>
      <c r="G101" s="70"/>
      <c r="H101" s="225">
        <f t="shared" si="21"/>
        <v>874</v>
      </c>
      <c r="I101" s="78"/>
      <c r="J101" s="349">
        <f>$J$98+$AG$7</f>
        <v>13.02</v>
      </c>
      <c r="K101" s="352"/>
      <c r="L101" s="79">
        <f t="shared" si="22"/>
        <v>156</v>
      </c>
      <c r="M101" s="79"/>
      <c r="N101" s="156">
        <f t="shared" si="24"/>
        <v>0</v>
      </c>
      <c r="O101" s="156"/>
      <c r="P101" s="79">
        <f t="shared" si="27"/>
        <v>1</v>
      </c>
      <c r="Q101" s="79"/>
      <c r="R101" s="79">
        <f t="shared" si="23"/>
        <v>157</v>
      </c>
      <c r="S101" s="85"/>
      <c r="T101" s="202"/>
      <c r="V101" s="420"/>
      <c r="Y101" s="409"/>
      <c r="AA101" s="225"/>
      <c r="AC101" s="101">
        <v>874</v>
      </c>
      <c r="AE101" s="215"/>
      <c r="AF101" s="215"/>
      <c r="AG101" s="209"/>
      <c r="AH101" s="200"/>
      <c r="AQ101" s="212"/>
      <c r="AR101" s="200"/>
      <c r="AU101" s="200"/>
      <c r="AV101" s="200"/>
      <c r="AW101" s="210"/>
    </row>
    <row r="102" spans="1:49" x14ac:dyDescent="0.25">
      <c r="A102" s="418">
        <v>59</v>
      </c>
      <c r="B102" s="80"/>
      <c r="C102" s="81" t="s">
        <v>335</v>
      </c>
      <c r="D102" s="80"/>
      <c r="E102" s="80"/>
      <c r="F102" s="225">
        <v>360</v>
      </c>
      <c r="G102" s="70"/>
      <c r="H102" s="225">
        <f t="shared" si="21"/>
        <v>26220</v>
      </c>
      <c r="I102" s="78"/>
      <c r="J102" s="349">
        <f>$J$98+$AG$10</f>
        <v>15.86</v>
      </c>
      <c r="K102" s="352"/>
      <c r="L102" s="79">
        <f t="shared" si="22"/>
        <v>5710</v>
      </c>
      <c r="M102" s="79"/>
      <c r="N102" s="156">
        <f t="shared" si="24"/>
        <v>0.4</v>
      </c>
      <c r="O102" s="156"/>
      <c r="P102" s="79">
        <f t="shared" si="27"/>
        <v>27</v>
      </c>
      <c r="Q102" s="79"/>
      <c r="R102" s="79">
        <f t="shared" si="23"/>
        <v>5737</v>
      </c>
      <c r="S102" s="85"/>
      <c r="T102" s="202"/>
      <c r="V102" s="420"/>
      <c r="Y102" s="409"/>
      <c r="AA102" s="225"/>
      <c r="AC102" s="101">
        <v>874</v>
      </c>
      <c r="AD102" s="200"/>
      <c r="AE102" s="300"/>
      <c r="AF102" s="300"/>
      <c r="AG102" s="209"/>
      <c r="AH102" s="200"/>
      <c r="AI102" s="210"/>
      <c r="AJ102" s="210"/>
      <c r="AK102" s="209"/>
      <c r="AL102" s="200"/>
      <c r="AM102" s="201"/>
      <c r="AN102" s="201"/>
      <c r="AO102" s="200"/>
      <c r="AP102" s="200"/>
      <c r="AQ102" s="212"/>
      <c r="AR102" s="200"/>
      <c r="AS102" s="210"/>
      <c r="AT102" s="200"/>
      <c r="AU102" s="200"/>
      <c r="AV102" s="200"/>
      <c r="AW102" s="210"/>
    </row>
    <row r="103" spans="1:49" x14ac:dyDescent="0.25">
      <c r="A103" s="418">
        <v>60</v>
      </c>
      <c r="B103" s="80"/>
      <c r="C103" s="81" t="s">
        <v>242</v>
      </c>
      <c r="D103" s="80"/>
      <c r="E103" s="80"/>
      <c r="F103" s="225">
        <v>0</v>
      </c>
      <c r="G103" s="70"/>
      <c r="H103" s="225">
        <f t="shared" si="21"/>
        <v>0</v>
      </c>
      <c r="I103" s="78"/>
      <c r="J103" s="349">
        <f>ROUND(AC325+(AC325*$AG$1),2)</f>
        <v>9.35</v>
      </c>
      <c r="K103" s="352"/>
      <c r="L103" s="79">
        <f t="shared" si="22"/>
        <v>0</v>
      </c>
      <c r="M103" s="79"/>
      <c r="N103" s="156">
        <f t="shared" si="24"/>
        <v>0</v>
      </c>
      <c r="O103" s="156"/>
      <c r="P103" s="79">
        <f t="shared" si="27"/>
        <v>0</v>
      </c>
      <c r="Q103" s="79"/>
      <c r="R103" s="79">
        <f t="shared" si="23"/>
        <v>0</v>
      </c>
      <c r="S103" s="85"/>
      <c r="T103" s="202"/>
      <c r="V103" s="420"/>
      <c r="W103" s="154"/>
      <c r="X103" s="154"/>
      <c r="Y103" s="409"/>
      <c r="Z103" s="154"/>
      <c r="AA103" s="225"/>
      <c r="AC103" s="101">
        <v>1215</v>
      </c>
      <c r="AU103" s="200"/>
      <c r="AV103" s="200"/>
      <c r="AW103" s="210"/>
    </row>
    <row r="104" spans="1:49" x14ac:dyDescent="0.25">
      <c r="A104" s="418">
        <v>61</v>
      </c>
      <c r="B104" s="80"/>
      <c r="C104" s="81" t="s">
        <v>336</v>
      </c>
      <c r="D104" s="80"/>
      <c r="E104" s="80"/>
      <c r="F104" s="225">
        <v>84</v>
      </c>
      <c r="G104" s="70"/>
      <c r="H104" s="225">
        <f t="shared" si="21"/>
        <v>8505</v>
      </c>
      <c r="I104" s="78"/>
      <c r="J104" s="349">
        <f>$J$103+$AG$6</f>
        <v>14.209999999999999</v>
      </c>
      <c r="K104" s="352"/>
      <c r="L104" s="79">
        <f t="shared" si="22"/>
        <v>1194</v>
      </c>
      <c r="M104" s="79"/>
      <c r="N104" s="156">
        <f t="shared" si="24"/>
        <v>0.1</v>
      </c>
      <c r="O104" s="156"/>
      <c r="P104" s="79">
        <f t="shared" si="27"/>
        <v>9</v>
      </c>
      <c r="Q104" s="79"/>
      <c r="R104" s="79">
        <f t="shared" si="23"/>
        <v>1203</v>
      </c>
      <c r="S104" s="85"/>
      <c r="V104" s="420"/>
      <c r="Y104" s="409"/>
      <c r="AA104" s="225"/>
      <c r="AC104" s="101">
        <v>1215</v>
      </c>
      <c r="AQ104" s="212"/>
      <c r="AR104" s="200"/>
      <c r="AT104" s="202"/>
      <c r="AU104" s="200"/>
      <c r="AV104" s="200"/>
      <c r="AW104" s="210"/>
    </row>
    <row r="105" spans="1:49" x14ac:dyDescent="0.25">
      <c r="A105" s="418">
        <v>62</v>
      </c>
      <c r="B105" s="80"/>
      <c r="C105" s="81" t="s">
        <v>337</v>
      </c>
      <c r="D105" s="80"/>
      <c r="E105" s="80"/>
      <c r="F105" s="225">
        <v>156</v>
      </c>
      <c r="G105" s="70"/>
      <c r="H105" s="225">
        <f t="shared" si="21"/>
        <v>15795</v>
      </c>
      <c r="I105" s="78"/>
      <c r="J105" s="349">
        <f>$J$103+$AG$10</f>
        <v>17.11</v>
      </c>
      <c r="K105" s="352"/>
      <c r="L105" s="79">
        <f t="shared" si="22"/>
        <v>2669</v>
      </c>
      <c r="M105" s="79"/>
      <c r="N105" s="156">
        <f t="shared" si="24"/>
        <v>0.2</v>
      </c>
      <c r="O105" s="156"/>
      <c r="P105" s="79">
        <f t="shared" si="27"/>
        <v>16</v>
      </c>
      <c r="Q105" s="79"/>
      <c r="R105" s="79">
        <f t="shared" si="23"/>
        <v>2685</v>
      </c>
      <c r="S105" s="85"/>
      <c r="T105" s="415"/>
      <c r="U105" s="100"/>
      <c r="V105" s="420"/>
      <c r="W105" s="100"/>
      <c r="X105" s="100"/>
      <c r="Y105" s="409"/>
      <c r="Z105" s="100"/>
      <c r="AA105" s="225"/>
      <c r="AB105" s="100"/>
      <c r="AC105" s="101">
        <v>1215</v>
      </c>
      <c r="AD105" s="100"/>
      <c r="AE105" s="312"/>
      <c r="AF105" s="312"/>
      <c r="AG105" s="380"/>
      <c r="AH105" s="100"/>
      <c r="AI105" s="100"/>
      <c r="AJ105" s="100"/>
      <c r="AK105" s="380"/>
      <c r="AL105" s="100"/>
      <c r="AM105" s="100"/>
      <c r="AT105" s="200"/>
      <c r="AU105" s="200"/>
      <c r="AV105" s="200"/>
      <c r="AW105" s="210"/>
    </row>
    <row r="106" spans="1:49" x14ac:dyDescent="0.25">
      <c r="A106" s="419">
        <v>63</v>
      </c>
      <c r="B106" s="80"/>
      <c r="C106" s="81" t="s">
        <v>99</v>
      </c>
      <c r="D106" s="80"/>
      <c r="E106" s="80"/>
      <c r="F106" s="225">
        <v>96</v>
      </c>
      <c r="G106" s="70"/>
      <c r="H106" s="225">
        <f t="shared" si="21"/>
        <v>15312</v>
      </c>
      <c r="I106" s="78"/>
      <c r="J106" s="349">
        <f>ROUND(AC328+(AC328*$AG$1),2)</f>
        <v>12.59</v>
      </c>
      <c r="K106" s="352"/>
      <c r="L106" s="79">
        <f t="shared" si="22"/>
        <v>1209</v>
      </c>
      <c r="M106" s="79"/>
      <c r="N106" s="156">
        <f t="shared" si="24"/>
        <v>0.1</v>
      </c>
      <c r="O106" s="156"/>
      <c r="P106" s="79">
        <f t="shared" si="27"/>
        <v>16</v>
      </c>
      <c r="Q106" s="79"/>
      <c r="R106" s="79">
        <f t="shared" si="23"/>
        <v>1225</v>
      </c>
      <c r="S106" s="85"/>
      <c r="V106" s="420"/>
      <c r="Y106" s="409"/>
      <c r="AA106" s="225"/>
      <c r="AC106" s="101">
        <v>1914</v>
      </c>
      <c r="AU106" s="200"/>
      <c r="AV106" s="200"/>
      <c r="AW106" s="210"/>
    </row>
    <row r="107" spans="1:49" x14ac:dyDescent="0.25">
      <c r="A107" s="419">
        <v>64</v>
      </c>
      <c r="B107" s="80"/>
      <c r="C107" s="81" t="s">
        <v>338</v>
      </c>
      <c r="D107" s="80"/>
      <c r="E107" s="80"/>
      <c r="F107" s="225">
        <v>132</v>
      </c>
      <c r="G107" s="70"/>
      <c r="H107" s="225">
        <f t="shared" si="21"/>
        <v>21054</v>
      </c>
      <c r="I107" s="78"/>
      <c r="J107" s="349">
        <f>$J$106+$AG$10</f>
        <v>20.350000000000001</v>
      </c>
      <c r="K107" s="352"/>
      <c r="L107" s="79">
        <f t="shared" si="22"/>
        <v>2686</v>
      </c>
      <c r="M107" s="79"/>
      <c r="N107" s="156">
        <f t="shared" si="24"/>
        <v>0.2</v>
      </c>
      <c r="O107" s="156"/>
      <c r="P107" s="79">
        <f>ROUND($P$211/$H$211*H107,0)</f>
        <v>22</v>
      </c>
      <c r="Q107" s="79"/>
      <c r="R107" s="79">
        <f t="shared" si="23"/>
        <v>2708</v>
      </c>
      <c r="S107" s="85"/>
      <c r="V107" s="420"/>
      <c r="Y107" s="409"/>
      <c r="AA107" s="225"/>
      <c r="AC107" s="101">
        <v>1914</v>
      </c>
      <c r="AU107" s="200"/>
      <c r="AV107" s="200"/>
      <c r="AW107" s="210"/>
    </row>
    <row r="108" spans="1:49" x14ac:dyDescent="0.25">
      <c r="A108" s="419">
        <v>65</v>
      </c>
      <c r="B108" s="80"/>
      <c r="C108" s="253" t="s">
        <v>348</v>
      </c>
      <c r="D108" s="80"/>
      <c r="E108" s="80"/>
      <c r="F108" s="225"/>
      <c r="G108" s="70"/>
      <c r="H108" s="78"/>
      <c r="I108" s="78"/>
      <c r="J108" s="352"/>
      <c r="K108" s="352"/>
      <c r="L108" s="79"/>
      <c r="M108" s="79"/>
      <c r="N108" s="156"/>
      <c r="O108" s="156"/>
      <c r="P108" s="79"/>
      <c r="Q108" s="79"/>
      <c r="R108" s="79"/>
      <c r="V108" s="421"/>
      <c r="Y108" s="409"/>
      <c r="AA108" s="78"/>
      <c r="AU108" s="200"/>
      <c r="AV108" s="200"/>
      <c r="AW108" s="210"/>
    </row>
    <row r="109" spans="1:49" x14ac:dyDescent="0.25">
      <c r="A109" s="419">
        <v>66</v>
      </c>
      <c r="B109" s="80"/>
      <c r="C109" s="82" t="s">
        <v>358</v>
      </c>
      <c r="D109" s="80"/>
      <c r="E109" s="80"/>
      <c r="F109" s="225">
        <v>0</v>
      </c>
      <c r="G109" s="70"/>
      <c r="H109" s="225">
        <f t="shared" ref="H109:H111" si="28">ROUND(F109*AC109/12,0)</f>
        <v>0</v>
      </c>
      <c r="I109" s="78"/>
      <c r="J109" s="349">
        <f>ROUND(AC331+(AC331*$AG$1),2)</f>
        <v>8.1</v>
      </c>
      <c r="K109" s="352"/>
      <c r="L109" s="79">
        <f t="shared" si="22"/>
        <v>0</v>
      </c>
      <c r="M109" s="79"/>
      <c r="N109" s="156">
        <f>ROUND((L109/L$211)*100,1)</f>
        <v>0</v>
      </c>
      <c r="O109" s="156"/>
      <c r="P109" s="79">
        <f>ROUND($P$211/$H$211*H109,0)</f>
        <v>0</v>
      </c>
      <c r="Q109" s="79"/>
      <c r="R109" s="79">
        <f>L109+P109</f>
        <v>0</v>
      </c>
      <c r="S109" s="85"/>
      <c r="V109" s="420"/>
      <c r="Y109" s="409"/>
      <c r="AA109" s="225"/>
      <c r="AC109" s="101">
        <v>874</v>
      </c>
      <c r="AU109" s="200"/>
      <c r="AV109" s="200"/>
      <c r="AW109" s="210"/>
    </row>
    <row r="110" spans="1:49" x14ac:dyDescent="0.25">
      <c r="A110" s="419">
        <v>67</v>
      </c>
      <c r="B110" s="80"/>
      <c r="C110" s="82" t="s">
        <v>359</v>
      </c>
      <c r="D110" s="80"/>
      <c r="E110" s="80"/>
      <c r="F110" s="225">
        <v>0</v>
      </c>
      <c r="G110" s="70"/>
      <c r="H110" s="225">
        <f t="shared" si="28"/>
        <v>0</v>
      </c>
      <c r="I110" s="78"/>
      <c r="J110" s="349">
        <f>ROUND(AC332+(AC332*$AG$1),2)</f>
        <v>9.35</v>
      </c>
      <c r="K110" s="352"/>
      <c r="L110" s="79">
        <f t="shared" si="22"/>
        <v>0</v>
      </c>
      <c r="M110" s="79"/>
      <c r="N110" s="156">
        <f>ROUND((L110/L$211)*100,1)</f>
        <v>0</v>
      </c>
      <c r="O110" s="156"/>
      <c r="P110" s="79">
        <f>ROUND($P$211/$H$211*H110,0)</f>
        <v>0</v>
      </c>
      <c r="Q110" s="79"/>
      <c r="R110" s="79">
        <f>L110+P110</f>
        <v>0</v>
      </c>
      <c r="S110" s="85"/>
      <c r="V110" s="420"/>
      <c r="Y110" s="409"/>
      <c r="AA110" s="225"/>
      <c r="AC110" s="101">
        <v>1215</v>
      </c>
      <c r="AU110" s="200"/>
      <c r="AV110" s="200"/>
      <c r="AW110" s="210"/>
    </row>
    <row r="111" spans="1:49" x14ac:dyDescent="0.25">
      <c r="A111" s="419">
        <v>68</v>
      </c>
      <c r="B111" s="80"/>
      <c r="C111" s="82" t="s">
        <v>352</v>
      </c>
      <c r="D111" s="80"/>
      <c r="E111" s="80"/>
      <c r="F111" s="225">
        <v>0</v>
      </c>
      <c r="G111" s="70"/>
      <c r="H111" s="225">
        <f t="shared" si="28"/>
        <v>0</v>
      </c>
      <c r="I111" s="78"/>
      <c r="J111" s="349">
        <f>ROUND(AC333+(AC333*$AG$1),2)</f>
        <v>12.59</v>
      </c>
      <c r="K111" s="352"/>
      <c r="L111" s="79">
        <f t="shared" si="22"/>
        <v>0</v>
      </c>
      <c r="M111" s="79"/>
      <c r="N111" s="156">
        <f>ROUND((L111/L$211)*100,1)</f>
        <v>0</v>
      </c>
      <c r="O111" s="156"/>
      <c r="P111" s="79">
        <f>ROUND($P$211/$H$211*H111,0)</f>
        <v>0</v>
      </c>
      <c r="Q111" s="79"/>
      <c r="R111" s="79">
        <f>L111+P111</f>
        <v>0</v>
      </c>
      <c r="S111" s="85"/>
      <c r="V111" s="420"/>
      <c r="Y111" s="409"/>
      <c r="AA111" s="225"/>
      <c r="AC111" s="101">
        <v>1914</v>
      </c>
      <c r="AU111" s="200"/>
      <c r="AV111" s="200"/>
      <c r="AW111" s="210"/>
    </row>
    <row r="112" spans="1:49" x14ac:dyDescent="0.25">
      <c r="A112" s="419">
        <v>69</v>
      </c>
      <c r="B112" s="80"/>
      <c r="C112" s="265" t="s">
        <v>224</v>
      </c>
      <c r="D112" s="80"/>
      <c r="E112" s="80"/>
      <c r="F112" s="80"/>
      <c r="G112" s="70"/>
      <c r="H112" s="70"/>
      <c r="I112" s="70"/>
      <c r="J112" s="162"/>
      <c r="K112" s="162"/>
      <c r="L112" s="79">
        <f t="shared" si="22"/>
        <v>0</v>
      </c>
      <c r="M112" s="70"/>
      <c r="N112" s="70"/>
      <c r="O112" s="70"/>
      <c r="P112" s="70"/>
      <c r="Q112" s="70"/>
      <c r="R112" s="70"/>
      <c r="V112" s="421"/>
      <c r="Y112" s="409"/>
      <c r="AA112" s="70"/>
    </row>
    <row r="113" spans="1:29" x14ac:dyDescent="0.25">
      <c r="A113" s="419">
        <v>70</v>
      </c>
      <c r="B113" s="80"/>
      <c r="C113" s="81" t="s">
        <v>515</v>
      </c>
      <c r="D113" s="80"/>
      <c r="E113" s="80"/>
      <c r="F113" s="225">
        <v>0</v>
      </c>
      <c r="G113" s="70"/>
      <c r="H113" s="225">
        <f t="shared" ref="H113:H129" si="29">ROUND(F113*AC113/12,0)</f>
        <v>0</v>
      </c>
      <c r="I113" s="78"/>
      <c r="J113" s="349">
        <f>ROUND(AC335+(AC335*$AG$1),2)</f>
        <v>8.81</v>
      </c>
      <c r="K113" s="352"/>
      <c r="L113" s="79">
        <f t="shared" si="22"/>
        <v>0</v>
      </c>
      <c r="M113" s="79"/>
      <c r="N113" s="156">
        <f t="shared" ref="N113:N129" si="30">ROUND((L113/L$211)*100,1)</f>
        <v>0</v>
      </c>
      <c r="O113" s="156"/>
      <c r="P113" s="79">
        <f t="shared" ref="P113:P119" si="31">ROUND($P$211/$H$211*H113,0)</f>
        <v>0</v>
      </c>
      <c r="Q113" s="79"/>
      <c r="R113" s="79">
        <f t="shared" ref="R113:R114" si="32">L113+P113</f>
        <v>0</v>
      </c>
      <c r="S113" s="85"/>
      <c r="V113" s="420"/>
      <c r="Y113" s="409"/>
      <c r="AA113" s="225"/>
      <c r="AC113" s="101">
        <v>487</v>
      </c>
    </row>
    <row r="114" spans="1:29" x14ac:dyDescent="0.25">
      <c r="A114" s="419">
        <v>71</v>
      </c>
      <c r="B114" s="422"/>
      <c r="C114" s="134" t="s">
        <v>611</v>
      </c>
      <c r="D114" s="422"/>
      <c r="E114" s="80"/>
      <c r="F114" s="225">
        <v>24</v>
      </c>
      <c r="G114" s="70"/>
      <c r="H114" s="225">
        <f t="shared" si="29"/>
        <v>974</v>
      </c>
      <c r="I114" s="78"/>
      <c r="J114" s="349">
        <f>$J$113+$AG$8</f>
        <v>14.71</v>
      </c>
      <c r="K114" s="352"/>
      <c r="L114" s="79">
        <f t="shared" si="22"/>
        <v>353</v>
      </c>
      <c r="M114" s="79"/>
      <c r="N114" s="156">
        <f t="shared" si="30"/>
        <v>0</v>
      </c>
      <c r="O114" s="156"/>
      <c r="P114" s="79">
        <f t="shared" si="31"/>
        <v>1</v>
      </c>
      <c r="Q114" s="79"/>
      <c r="R114" s="79">
        <f t="shared" si="32"/>
        <v>354</v>
      </c>
      <c r="S114" s="85"/>
      <c r="V114" s="420"/>
      <c r="Y114" s="409"/>
      <c r="AA114" s="225"/>
      <c r="AC114" s="101">
        <v>487</v>
      </c>
    </row>
    <row r="115" spans="1:29" x14ac:dyDescent="0.25">
      <c r="A115" s="418">
        <v>72</v>
      </c>
      <c r="B115" s="422"/>
      <c r="C115" s="134" t="s">
        <v>380</v>
      </c>
      <c r="D115" s="422"/>
      <c r="E115" s="80"/>
      <c r="F115" s="225">
        <v>588</v>
      </c>
      <c r="G115" s="70"/>
      <c r="H115" s="225">
        <f t="shared" si="29"/>
        <v>23863</v>
      </c>
      <c r="I115" s="78"/>
      <c r="J115" s="349">
        <f>$J$113+$AG$10</f>
        <v>16.57</v>
      </c>
      <c r="K115" s="352"/>
      <c r="L115" s="79">
        <f t="shared" si="22"/>
        <v>9743</v>
      </c>
      <c r="M115" s="79"/>
      <c r="N115" s="156">
        <f t="shared" si="30"/>
        <v>0.7</v>
      </c>
      <c r="O115" s="156"/>
      <c r="P115" s="79">
        <f t="shared" si="31"/>
        <v>25</v>
      </c>
      <c r="Q115" s="79"/>
      <c r="R115" s="79">
        <f t="shared" ref="R115:R127" si="33">L115+P115</f>
        <v>9768</v>
      </c>
      <c r="S115" s="85"/>
      <c r="V115" s="420"/>
      <c r="Y115" s="409"/>
      <c r="AA115" s="225"/>
      <c r="AC115" s="101">
        <v>487</v>
      </c>
    </row>
    <row r="116" spans="1:29" x14ac:dyDescent="0.25">
      <c r="A116" s="418">
        <v>73</v>
      </c>
      <c r="B116" s="422"/>
      <c r="C116" s="134" t="s">
        <v>612</v>
      </c>
      <c r="D116" s="422"/>
      <c r="E116" s="80"/>
      <c r="F116" s="225">
        <v>24</v>
      </c>
      <c r="G116" s="70"/>
      <c r="H116" s="225">
        <f t="shared" si="29"/>
        <v>974</v>
      </c>
      <c r="I116" s="78"/>
      <c r="J116" s="349">
        <f>$J$113+$AG$13</f>
        <v>13.73</v>
      </c>
      <c r="K116" s="352"/>
      <c r="L116" s="79">
        <f t="shared" si="22"/>
        <v>330</v>
      </c>
      <c r="M116" s="79"/>
      <c r="N116" s="156">
        <f t="shared" si="30"/>
        <v>0</v>
      </c>
      <c r="O116" s="156"/>
      <c r="P116" s="79">
        <f t="shared" si="31"/>
        <v>1</v>
      </c>
      <c r="Q116" s="79"/>
      <c r="R116" s="79">
        <f t="shared" ref="R116:R117" si="34">L116+P116</f>
        <v>331</v>
      </c>
      <c r="S116" s="85"/>
      <c r="V116" s="420"/>
      <c r="Y116" s="409"/>
      <c r="AA116" s="225"/>
      <c r="AC116" s="101">
        <v>487</v>
      </c>
    </row>
    <row r="117" spans="1:29" x14ac:dyDescent="0.25">
      <c r="A117" s="418">
        <v>74</v>
      </c>
      <c r="B117" s="422"/>
      <c r="C117" s="134" t="s">
        <v>613</v>
      </c>
      <c r="D117" s="422"/>
      <c r="E117" s="80"/>
      <c r="F117" s="225">
        <v>12</v>
      </c>
      <c r="G117" s="70"/>
      <c r="H117" s="225">
        <f t="shared" si="29"/>
        <v>487</v>
      </c>
      <c r="I117" s="78"/>
      <c r="J117" s="349">
        <f>$J$113+$AG$16</f>
        <v>18.43</v>
      </c>
      <c r="K117" s="352"/>
      <c r="L117" s="79">
        <f t="shared" si="22"/>
        <v>221</v>
      </c>
      <c r="M117" s="79"/>
      <c r="N117" s="156">
        <f t="shared" si="30"/>
        <v>0</v>
      </c>
      <c r="O117" s="156"/>
      <c r="P117" s="79">
        <f t="shared" si="31"/>
        <v>1</v>
      </c>
      <c r="Q117" s="79"/>
      <c r="R117" s="79">
        <f t="shared" si="34"/>
        <v>222</v>
      </c>
      <c r="S117" s="85"/>
      <c r="V117" s="420"/>
      <c r="Y117" s="409"/>
      <c r="AA117" s="225"/>
      <c r="AC117" s="101">
        <v>487</v>
      </c>
    </row>
    <row r="118" spans="1:29" x14ac:dyDescent="0.25">
      <c r="A118" s="418">
        <v>75</v>
      </c>
      <c r="B118" s="422"/>
      <c r="C118" s="134" t="s">
        <v>236</v>
      </c>
      <c r="D118" s="422"/>
      <c r="E118" s="80"/>
      <c r="F118" s="225">
        <v>0</v>
      </c>
      <c r="G118" s="70"/>
      <c r="H118" s="225">
        <f t="shared" si="29"/>
        <v>0</v>
      </c>
      <c r="I118" s="78"/>
      <c r="J118" s="349">
        <f>ROUND(AC340+(AC340*$AG$1),2)</f>
        <v>6.7</v>
      </c>
      <c r="K118" s="352"/>
      <c r="L118" s="79">
        <f t="shared" si="22"/>
        <v>0</v>
      </c>
      <c r="M118" s="79"/>
      <c r="N118" s="156">
        <f t="shared" si="30"/>
        <v>0</v>
      </c>
      <c r="O118" s="156"/>
      <c r="P118" s="79">
        <f t="shared" si="31"/>
        <v>0</v>
      </c>
      <c r="Q118" s="79"/>
      <c r="R118" s="79">
        <f t="shared" si="33"/>
        <v>0</v>
      </c>
      <c r="S118" s="85"/>
      <c r="V118" s="420"/>
      <c r="Y118" s="409"/>
      <c r="AA118" s="225"/>
      <c r="AC118" s="101">
        <v>487</v>
      </c>
    </row>
    <row r="119" spans="1:29" x14ac:dyDescent="0.25">
      <c r="A119" s="418">
        <v>76</v>
      </c>
      <c r="B119" s="422"/>
      <c r="C119" s="134" t="s">
        <v>238</v>
      </c>
      <c r="D119" s="422"/>
      <c r="E119" s="80"/>
      <c r="F119" s="225">
        <v>0</v>
      </c>
      <c r="G119" s="70"/>
      <c r="H119" s="225">
        <f t="shared" si="29"/>
        <v>0</v>
      </c>
      <c r="I119" s="78"/>
      <c r="J119" s="349">
        <f>ROUND(AC341+(AC341*$AG$1),2)</f>
        <v>9.57</v>
      </c>
      <c r="K119" s="352"/>
      <c r="L119" s="79">
        <f t="shared" si="22"/>
        <v>0</v>
      </c>
      <c r="M119" s="79"/>
      <c r="N119" s="156">
        <f t="shared" si="30"/>
        <v>0</v>
      </c>
      <c r="O119" s="156"/>
      <c r="P119" s="79">
        <f t="shared" si="31"/>
        <v>0</v>
      </c>
      <c r="Q119" s="79"/>
      <c r="R119" s="79">
        <f t="shared" si="33"/>
        <v>0</v>
      </c>
      <c r="S119" s="85"/>
      <c r="V119" s="420"/>
      <c r="Y119" s="409"/>
      <c r="AA119" s="225"/>
      <c r="AC119" s="101">
        <v>711</v>
      </c>
    </row>
    <row r="120" spans="1:29" x14ac:dyDescent="0.25">
      <c r="A120" s="418">
        <v>77</v>
      </c>
      <c r="B120" s="422"/>
      <c r="C120" s="134" t="s">
        <v>610</v>
      </c>
      <c r="D120" s="422"/>
      <c r="E120" s="80"/>
      <c r="F120" s="225">
        <v>25</v>
      </c>
      <c r="G120" s="70"/>
      <c r="H120" s="225">
        <f t="shared" si="29"/>
        <v>1481</v>
      </c>
      <c r="I120" s="78"/>
      <c r="J120" s="349">
        <f>$J$119+$AG$8</f>
        <v>15.469999999999999</v>
      </c>
      <c r="K120" s="352"/>
      <c r="L120" s="79">
        <f t="shared" si="22"/>
        <v>387</v>
      </c>
      <c r="M120" s="79"/>
      <c r="N120" s="156">
        <f t="shared" si="30"/>
        <v>0</v>
      </c>
      <c r="O120" s="156"/>
      <c r="P120" s="79">
        <f t="shared" ref="P120" si="35">ROUND($P$211/$H$211*H120,0)</f>
        <v>2</v>
      </c>
      <c r="Q120" s="79"/>
      <c r="R120" s="79">
        <f t="shared" ref="R120" si="36">L120+P120</f>
        <v>389</v>
      </c>
      <c r="S120" s="85"/>
      <c r="V120" s="420"/>
      <c r="Y120" s="409"/>
      <c r="AA120" s="225"/>
      <c r="AC120" s="101">
        <v>711</v>
      </c>
    </row>
    <row r="121" spans="1:29" x14ac:dyDescent="0.25">
      <c r="A121" s="418">
        <v>78</v>
      </c>
      <c r="B121" s="80"/>
      <c r="C121" s="81" t="s">
        <v>239</v>
      </c>
      <c r="D121" s="80"/>
      <c r="E121" s="80"/>
      <c r="F121" s="225">
        <v>228</v>
      </c>
      <c r="G121" s="70"/>
      <c r="H121" s="225">
        <f t="shared" si="29"/>
        <v>18012</v>
      </c>
      <c r="I121" s="78"/>
      <c r="J121" s="349">
        <f>ROUND(AC343+(AC343*$AG$1),2)</f>
        <v>12.45</v>
      </c>
      <c r="K121" s="352"/>
      <c r="L121" s="79">
        <f t="shared" si="22"/>
        <v>2839</v>
      </c>
      <c r="M121" s="79"/>
      <c r="N121" s="156">
        <f t="shared" si="30"/>
        <v>0.2</v>
      </c>
      <c r="O121" s="156"/>
      <c r="P121" s="79">
        <f t="shared" ref="P121:P129" si="37">ROUND($P$211/$H$211*H121,0)</f>
        <v>19</v>
      </c>
      <c r="Q121" s="79"/>
      <c r="R121" s="79">
        <f t="shared" si="33"/>
        <v>2858</v>
      </c>
      <c r="S121" s="85"/>
      <c r="V121" s="420"/>
      <c r="Y121" s="409"/>
      <c r="AA121" s="225"/>
      <c r="AC121" s="101">
        <v>948</v>
      </c>
    </row>
    <row r="122" spans="1:29" x14ac:dyDescent="0.25">
      <c r="A122" s="418">
        <v>79</v>
      </c>
      <c r="B122" s="80"/>
      <c r="C122" s="81" t="s">
        <v>331</v>
      </c>
      <c r="D122" s="80"/>
      <c r="E122" s="80"/>
      <c r="F122" s="225">
        <v>60</v>
      </c>
      <c r="G122" s="70"/>
      <c r="H122" s="225">
        <f t="shared" si="29"/>
        <v>4740</v>
      </c>
      <c r="I122" s="78"/>
      <c r="J122" s="349">
        <f>$J$121+$AG$7</f>
        <v>17.369999999999997</v>
      </c>
      <c r="K122" s="352"/>
      <c r="L122" s="79">
        <f t="shared" si="22"/>
        <v>1042</v>
      </c>
      <c r="M122" s="79"/>
      <c r="N122" s="156">
        <f t="shared" si="30"/>
        <v>0.1</v>
      </c>
      <c r="O122" s="156"/>
      <c r="P122" s="79">
        <f t="shared" si="37"/>
        <v>5</v>
      </c>
      <c r="Q122" s="79"/>
      <c r="R122" s="79">
        <f t="shared" si="33"/>
        <v>1047</v>
      </c>
      <c r="S122" s="85"/>
      <c r="V122" s="420"/>
      <c r="Y122" s="409"/>
      <c r="AA122" s="225"/>
      <c r="AC122" s="101">
        <v>948</v>
      </c>
    </row>
    <row r="123" spans="1:29" x14ac:dyDescent="0.25">
      <c r="A123" s="418">
        <v>80</v>
      </c>
      <c r="B123" s="80"/>
      <c r="C123" s="81" t="s">
        <v>378</v>
      </c>
      <c r="D123" s="80"/>
      <c r="E123" s="80"/>
      <c r="F123" s="225">
        <v>528</v>
      </c>
      <c r="G123" s="70"/>
      <c r="H123" s="225">
        <f t="shared" si="29"/>
        <v>41712</v>
      </c>
      <c r="I123" s="78"/>
      <c r="J123" s="349">
        <f>$J$121+$AG$10</f>
        <v>20.21</v>
      </c>
      <c r="K123" s="352"/>
      <c r="L123" s="79">
        <f t="shared" si="22"/>
        <v>10671</v>
      </c>
      <c r="M123" s="79"/>
      <c r="N123" s="156">
        <f t="shared" si="30"/>
        <v>0.7</v>
      </c>
      <c r="O123" s="156"/>
      <c r="P123" s="79">
        <f t="shared" si="37"/>
        <v>43</v>
      </c>
      <c r="Q123" s="79"/>
      <c r="R123" s="79">
        <f>L123+P123</f>
        <v>10714</v>
      </c>
      <c r="S123" s="85"/>
      <c r="V123" s="420"/>
      <c r="Y123" s="409"/>
      <c r="AA123" s="225"/>
      <c r="AC123" s="101">
        <v>948</v>
      </c>
    </row>
    <row r="124" spans="1:29" x14ac:dyDescent="0.25">
      <c r="A124" s="418">
        <v>81</v>
      </c>
      <c r="B124" s="80"/>
      <c r="C124" s="81" t="s">
        <v>440</v>
      </c>
      <c r="D124" s="80"/>
      <c r="E124" s="80"/>
      <c r="F124" s="225">
        <v>48</v>
      </c>
      <c r="G124" s="70"/>
      <c r="H124" s="225">
        <f t="shared" si="29"/>
        <v>3792</v>
      </c>
      <c r="I124" s="78"/>
      <c r="J124" s="349">
        <f>$J$121+$AG$11</f>
        <v>20.29</v>
      </c>
      <c r="K124" s="352"/>
      <c r="L124" s="79">
        <f t="shared" si="22"/>
        <v>974</v>
      </c>
      <c r="M124" s="79"/>
      <c r="N124" s="156">
        <f t="shared" si="30"/>
        <v>0.1</v>
      </c>
      <c r="O124" s="156"/>
      <c r="P124" s="79">
        <f t="shared" si="37"/>
        <v>4</v>
      </c>
      <c r="Q124" s="79"/>
      <c r="R124" s="79">
        <f>L124+P124</f>
        <v>978</v>
      </c>
      <c r="S124" s="85"/>
      <c r="V124" s="420"/>
      <c r="Y124" s="409"/>
      <c r="AA124" s="225"/>
      <c r="AC124" s="101">
        <v>948</v>
      </c>
    </row>
    <row r="125" spans="1:29" x14ac:dyDescent="0.25">
      <c r="A125" s="418">
        <v>82</v>
      </c>
      <c r="B125" s="423"/>
      <c r="C125" s="135" t="s">
        <v>374</v>
      </c>
      <c r="D125" s="423"/>
      <c r="E125" s="80"/>
      <c r="F125" s="225">
        <v>0</v>
      </c>
      <c r="G125" s="70"/>
      <c r="H125" s="225">
        <f t="shared" si="29"/>
        <v>0</v>
      </c>
      <c r="I125" s="78"/>
      <c r="J125" s="349">
        <f>ROUND(AC347+(AC347*$AG$1),2)</f>
        <v>12.45</v>
      </c>
      <c r="K125" s="352"/>
      <c r="L125" s="79">
        <f t="shared" si="22"/>
        <v>0</v>
      </c>
      <c r="M125" s="79"/>
      <c r="N125" s="156">
        <f t="shared" si="30"/>
        <v>0</v>
      </c>
      <c r="O125" s="156"/>
      <c r="P125" s="79">
        <f t="shared" si="37"/>
        <v>0</v>
      </c>
      <c r="Q125" s="79"/>
      <c r="R125" s="79">
        <f t="shared" ref="R125:R126" si="38">L125+P125</f>
        <v>0</v>
      </c>
      <c r="S125" s="85"/>
      <c r="V125" s="420"/>
      <c r="Y125" s="409"/>
      <c r="AA125" s="225"/>
      <c r="AC125" s="101">
        <v>948</v>
      </c>
    </row>
    <row r="126" spans="1:29" x14ac:dyDescent="0.25">
      <c r="A126" s="418">
        <v>83</v>
      </c>
      <c r="B126" s="423"/>
      <c r="C126" s="135" t="s">
        <v>614</v>
      </c>
      <c r="D126" s="423"/>
      <c r="E126" s="80"/>
      <c r="F126" s="225">
        <v>252</v>
      </c>
      <c r="G126" s="70"/>
      <c r="H126" s="225">
        <f t="shared" si="29"/>
        <v>19908</v>
      </c>
      <c r="I126" s="78"/>
      <c r="J126" s="349">
        <f>$J$125+$AG$12</f>
        <v>27.96</v>
      </c>
      <c r="K126" s="352"/>
      <c r="L126" s="79">
        <f t="shared" si="22"/>
        <v>7046</v>
      </c>
      <c r="M126" s="79"/>
      <c r="N126" s="156">
        <f t="shared" si="30"/>
        <v>0.5</v>
      </c>
      <c r="O126" s="156"/>
      <c r="P126" s="79">
        <f t="shared" si="37"/>
        <v>20</v>
      </c>
      <c r="Q126" s="79"/>
      <c r="R126" s="79">
        <f t="shared" si="38"/>
        <v>7066</v>
      </c>
      <c r="S126" s="85"/>
      <c r="V126" s="420"/>
      <c r="Y126" s="409"/>
      <c r="AA126" s="225"/>
      <c r="AC126" s="101">
        <v>948</v>
      </c>
    </row>
    <row r="127" spans="1:29" x14ac:dyDescent="0.25">
      <c r="A127" s="418">
        <v>84</v>
      </c>
      <c r="B127" s="80"/>
      <c r="C127" s="81" t="s">
        <v>240</v>
      </c>
      <c r="D127" s="80"/>
      <c r="E127" s="80"/>
      <c r="F127" s="225">
        <v>336</v>
      </c>
      <c r="G127" s="70"/>
      <c r="H127" s="225">
        <f t="shared" si="29"/>
        <v>54852</v>
      </c>
      <c r="I127" s="78"/>
      <c r="J127" s="349">
        <f>ROUND(AC349+(AC349*$AG$1),2)</f>
        <v>16.73</v>
      </c>
      <c r="K127" s="352"/>
      <c r="L127" s="79">
        <f t="shared" si="22"/>
        <v>5621</v>
      </c>
      <c r="M127" s="79"/>
      <c r="N127" s="156">
        <f t="shared" si="30"/>
        <v>0.4</v>
      </c>
      <c r="O127" s="156"/>
      <c r="P127" s="79">
        <f t="shared" si="37"/>
        <v>56</v>
      </c>
      <c r="Q127" s="79"/>
      <c r="R127" s="79">
        <f t="shared" si="33"/>
        <v>5677</v>
      </c>
      <c r="S127" s="85"/>
      <c r="V127" s="420"/>
      <c r="Y127" s="409"/>
      <c r="AA127" s="225"/>
      <c r="AC127" s="101">
        <v>1959</v>
      </c>
    </row>
    <row r="128" spans="1:29" x14ac:dyDescent="0.25">
      <c r="A128" s="418">
        <v>85</v>
      </c>
      <c r="B128" s="80"/>
      <c r="C128" s="81" t="s">
        <v>381</v>
      </c>
      <c r="D128" s="80"/>
      <c r="E128" s="80"/>
      <c r="F128" s="225">
        <v>72</v>
      </c>
      <c r="G128" s="70"/>
      <c r="H128" s="225">
        <f t="shared" si="29"/>
        <v>11754</v>
      </c>
      <c r="I128" s="78"/>
      <c r="J128" s="349">
        <f>$J$127+$AG$10</f>
        <v>24.490000000000002</v>
      </c>
      <c r="K128" s="352"/>
      <c r="L128" s="79">
        <f t="shared" si="22"/>
        <v>1763</v>
      </c>
      <c r="M128" s="79"/>
      <c r="N128" s="156">
        <f t="shared" si="30"/>
        <v>0.1</v>
      </c>
      <c r="O128" s="156"/>
      <c r="P128" s="79">
        <f t="shared" si="37"/>
        <v>12</v>
      </c>
      <c r="Q128" s="79"/>
      <c r="R128" s="79">
        <f>L128+P128</f>
        <v>1775</v>
      </c>
      <c r="S128" s="85"/>
      <c r="V128" s="420"/>
      <c r="Y128" s="409"/>
      <c r="AA128" s="225"/>
      <c r="AC128" s="101">
        <v>1959</v>
      </c>
    </row>
    <row r="129" spans="1:46" x14ac:dyDescent="0.25">
      <c r="A129" s="418">
        <v>86</v>
      </c>
      <c r="B129" s="80"/>
      <c r="C129" s="81" t="s">
        <v>382</v>
      </c>
      <c r="D129" s="80"/>
      <c r="E129" s="80"/>
      <c r="F129" s="225">
        <v>132</v>
      </c>
      <c r="G129" s="70"/>
      <c r="H129" s="225">
        <f t="shared" si="29"/>
        <v>21549</v>
      </c>
      <c r="I129" s="78"/>
      <c r="J129" s="349">
        <f>$J$127+$AG$12</f>
        <v>32.24</v>
      </c>
      <c r="K129" s="352"/>
      <c r="L129" s="79">
        <f t="shared" si="22"/>
        <v>4256</v>
      </c>
      <c r="M129" s="79"/>
      <c r="N129" s="156">
        <f t="shared" si="30"/>
        <v>0.3</v>
      </c>
      <c r="O129" s="156"/>
      <c r="P129" s="79">
        <f t="shared" si="37"/>
        <v>22</v>
      </c>
      <c r="Q129" s="79"/>
      <c r="R129" s="79">
        <f>L129+P129</f>
        <v>4278</v>
      </c>
      <c r="S129" s="85"/>
      <c r="V129" s="420"/>
      <c r="Y129" s="409"/>
      <c r="AA129" s="225"/>
      <c r="AC129" s="101">
        <v>1959</v>
      </c>
    </row>
    <row r="130" spans="1:46" x14ac:dyDescent="0.25">
      <c r="A130" s="418">
        <v>87</v>
      </c>
      <c r="B130" s="80"/>
      <c r="C130" s="265" t="s">
        <v>367</v>
      </c>
      <c r="D130" s="80"/>
      <c r="E130" s="80"/>
      <c r="F130" s="80"/>
      <c r="G130" s="70"/>
      <c r="H130" s="70"/>
      <c r="I130" s="70"/>
      <c r="J130" s="162"/>
      <c r="K130" s="162"/>
      <c r="L130" s="79"/>
      <c r="M130" s="70"/>
      <c r="N130" s="70"/>
      <c r="O130" s="70"/>
      <c r="P130" s="70"/>
      <c r="Q130" s="70"/>
      <c r="R130" s="70"/>
      <c r="T130" s="412"/>
      <c r="U130" s="100"/>
      <c r="V130" s="421"/>
      <c r="W130" s="100"/>
      <c r="X130" s="100"/>
      <c r="Y130" s="409"/>
      <c r="Z130" s="100"/>
      <c r="AA130" s="70"/>
      <c r="AB130" s="100"/>
      <c r="AC130" s="100"/>
      <c r="AD130" s="100"/>
      <c r="AE130" s="100"/>
      <c r="AF130" s="100"/>
      <c r="AG130" s="380"/>
      <c r="AH130" s="100"/>
      <c r="AI130" s="100"/>
      <c r="AJ130" s="100"/>
      <c r="AK130" s="380"/>
      <c r="AL130" s="100"/>
      <c r="AM130" s="100"/>
      <c r="AT130" s="200"/>
    </row>
    <row r="131" spans="1:46" x14ac:dyDescent="0.25">
      <c r="A131" s="418">
        <v>88</v>
      </c>
      <c r="B131" s="80"/>
      <c r="C131" s="82" t="s">
        <v>360</v>
      </c>
      <c r="D131" s="80"/>
      <c r="E131" s="80"/>
      <c r="F131" s="225">
        <v>0</v>
      </c>
      <c r="G131" s="70"/>
      <c r="H131" s="225">
        <f t="shared" ref="H131:H139" si="39">ROUND(F131*AC131/12,0)</f>
        <v>0</v>
      </c>
      <c r="I131" s="78"/>
      <c r="J131" s="349">
        <f>ROUND(AC353+(AC353*$AG$1),2)</f>
        <v>8.3699999999999992</v>
      </c>
      <c r="K131" s="352"/>
      <c r="L131" s="79">
        <f t="shared" si="22"/>
        <v>0</v>
      </c>
      <c r="M131" s="79"/>
      <c r="N131" s="156">
        <f t="shared" ref="N131:N139" si="40">ROUND((L131/L$211)*100,1)</f>
        <v>0</v>
      </c>
      <c r="O131" s="156"/>
      <c r="P131" s="79">
        <f t="shared" ref="P131:P136" si="41">ROUND($P$211/$H$211*H131,0)</f>
        <v>0</v>
      </c>
      <c r="Q131" s="79"/>
      <c r="R131" s="79">
        <f t="shared" ref="R131:R139" si="42">L131+P131</f>
        <v>0</v>
      </c>
      <c r="S131" s="85"/>
      <c r="T131" s="415"/>
      <c r="U131" s="100"/>
      <c r="V131" s="420"/>
      <c r="W131" s="100"/>
      <c r="X131" s="100"/>
      <c r="Y131" s="409"/>
      <c r="Z131" s="100"/>
      <c r="AA131" s="225"/>
      <c r="AB131" s="100"/>
      <c r="AC131" s="415">
        <v>853</v>
      </c>
      <c r="AD131" s="100"/>
      <c r="AE131" s="312"/>
      <c r="AF131" s="312"/>
      <c r="AG131" s="380"/>
      <c r="AH131" s="100"/>
      <c r="AI131" s="100"/>
      <c r="AJ131" s="100"/>
      <c r="AK131" s="380"/>
      <c r="AL131" s="100"/>
      <c r="AM131" s="100"/>
      <c r="AT131" s="252"/>
    </row>
    <row r="132" spans="1:46" x14ac:dyDescent="0.25">
      <c r="A132" s="418">
        <v>89</v>
      </c>
      <c r="B132" s="80"/>
      <c r="C132" s="81" t="s">
        <v>361</v>
      </c>
      <c r="D132" s="80"/>
      <c r="E132" s="80"/>
      <c r="F132" s="225">
        <v>216</v>
      </c>
      <c r="G132" s="70"/>
      <c r="H132" s="225">
        <f t="shared" si="39"/>
        <v>15354</v>
      </c>
      <c r="I132" s="78"/>
      <c r="J132" s="349">
        <f>$J$131+$AG$5</f>
        <v>13.29</v>
      </c>
      <c r="K132" s="352"/>
      <c r="L132" s="79">
        <f t="shared" si="22"/>
        <v>2871</v>
      </c>
      <c r="M132" s="79"/>
      <c r="N132" s="156">
        <f t="shared" si="40"/>
        <v>0.2</v>
      </c>
      <c r="O132" s="156"/>
      <c r="P132" s="79">
        <f t="shared" si="41"/>
        <v>16</v>
      </c>
      <c r="Q132" s="79"/>
      <c r="R132" s="79">
        <f>L132+P132</f>
        <v>2887</v>
      </c>
      <c r="S132" s="85"/>
      <c r="T132" s="415"/>
      <c r="U132" s="100"/>
      <c r="V132" s="420"/>
      <c r="W132" s="100"/>
      <c r="X132" s="100"/>
      <c r="Y132" s="409"/>
      <c r="Z132" s="100"/>
      <c r="AA132" s="225"/>
      <c r="AB132" s="100"/>
      <c r="AC132" s="415">
        <v>853</v>
      </c>
      <c r="AD132" s="100"/>
      <c r="AE132" s="312"/>
      <c r="AF132" s="312"/>
      <c r="AG132" s="380"/>
      <c r="AH132" s="100"/>
      <c r="AI132" s="100"/>
      <c r="AJ132" s="100"/>
      <c r="AK132" s="380"/>
      <c r="AL132" s="100"/>
      <c r="AM132" s="100"/>
      <c r="AT132" s="252"/>
    </row>
    <row r="133" spans="1:46" x14ac:dyDescent="0.25">
      <c r="A133" s="418">
        <v>90</v>
      </c>
      <c r="B133" s="80"/>
      <c r="C133" s="81" t="s">
        <v>362</v>
      </c>
      <c r="D133" s="80"/>
      <c r="E133" s="80"/>
      <c r="F133" s="225">
        <v>5888</v>
      </c>
      <c r="G133" s="70"/>
      <c r="H133" s="225">
        <f t="shared" si="39"/>
        <v>418539</v>
      </c>
      <c r="I133" s="78"/>
      <c r="J133" s="349">
        <f>$J$131+$AG$13</f>
        <v>13.29</v>
      </c>
      <c r="K133" s="352"/>
      <c r="L133" s="79">
        <f t="shared" si="22"/>
        <v>78252</v>
      </c>
      <c r="M133" s="79"/>
      <c r="N133" s="156">
        <f>ROUND((L133/L$211)*100,1)-0.1</f>
        <v>5.1000000000000005</v>
      </c>
      <c r="O133" s="156"/>
      <c r="P133" s="79">
        <f t="shared" si="41"/>
        <v>430</v>
      </c>
      <c r="Q133" s="79"/>
      <c r="R133" s="79">
        <f t="shared" si="42"/>
        <v>78682</v>
      </c>
      <c r="S133" s="85"/>
      <c r="T133" s="415"/>
      <c r="U133" s="100"/>
      <c r="V133" s="420"/>
      <c r="W133" s="100"/>
      <c r="X133" s="100"/>
      <c r="Y133" s="409"/>
      <c r="Z133" s="100"/>
      <c r="AA133" s="225"/>
      <c r="AB133" s="100"/>
      <c r="AC133" s="415">
        <v>853</v>
      </c>
      <c r="AD133" s="100"/>
      <c r="AE133" s="100"/>
      <c r="AF133" s="100"/>
      <c r="AG133" s="424"/>
      <c r="AH133" s="312"/>
      <c r="AI133" s="100"/>
      <c r="AJ133" s="100"/>
      <c r="AK133" s="380"/>
      <c r="AL133" s="100"/>
      <c r="AM133" s="100"/>
      <c r="AT133" s="252"/>
    </row>
    <row r="134" spans="1:46" x14ac:dyDescent="0.25">
      <c r="A134" s="418">
        <v>91</v>
      </c>
      <c r="B134" s="80"/>
      <c r="C134" s="82" t="s">
        <v>363</v>
      </c>
      <c r="D134" s="80"/>
      <c r="E134" s="80"/>
      <c r="F134" s="225">
        <v>24</v>
      </c>
      <c r="G134" s="70"/>
      <c r="H134" s="225">
        <f t="shared" si="39"/>
        <v>1748</v>
      </c>
      <c r="I134" s="78"/>
      <c r="J134" s="349">
        <f>ROUND(AC356+(AC356*$AG$1),2)</f>
        <v>10.52</v>
      </c>
      <c r="K134" s="352"/>
      <c r="L134" s="79">
        <f t="shared" si="22"/>
        <v>252</v>
      </c>
      <c r="M134" s="79"/>
      <c r="N134" s="156">
        <f t="shared" si="40"/>
        <v>0</v>
      </c>
      <c r="O134" s="156"/>
      <c r="P134" s="79">
        <f t="shared" si="41"/>
        <v>2</v>
      </c>
      <c r="Q134" s="79"/>
      <c r="R134" s="79">
        <f t="shared" si="42"/>
        <v>254</v>
      </c>
      <c r="S134" s="85"/>
      <c r="T134" s="202"/>
      <c r="V134" s="420"/>
      <c r="Y134" s="409"/>
      <c r="AA134" s="225"/>
      <c r="AC134" s="101">
        <v>874</v>
      </c>
      <c r="AM134" s="154"/>
      <c r="AQ134" s="212"/>
      <c r="AR134" s="154"/>
      <c r="AT134" s="200"/>
    </row>
    <row r="135" spans="1:46" x14ac:dyDescent="0.25">
      <c r="A135" s="418">
        <v>92</v>
      </c>
      <c r="B135" s="80"/>
      <c r="C135" s="81" t="s">
        <v>364</v>
      </c>
      <c r="D135" s="80"/>
      <c r="E135" s="80"/>
      <c r="F135" s="225">
        <v>1909</v>
      </c>
      <c r="G135" s="70"/>
      <c r="H135" s="225">
        <f t="shared" si="39"/>
        <v>139039</v>
      </c>
      <c r="I135" s="78"/>
      <c r="J135" s="349">
        <f>$J$134+$AG$13</f>
        <v>15.44</v>
      </c>
      <c r="K135" s="352"/>
      <c r="L135" s="79">
        <f t="shared" si="22"/>
        <v>29475</v>
      </c>
      <c r="M135" s="79"/>
      <c r="N135" s="156">
        <f t="shared" si="40"/>
        <v>2</v>
      </c>
      <c r="O135" s="156"/>
      <c r="P135" s="79">
        <f t="shared" si="41"/>
        <v>143</v>
      </c>
      <c r="Q135" s="79"/>
      <c r="R135" s="79">
        <f t="shared" si="42"/>
        <v>29618</v>
      </c>
      <c r="S135" s="85"/>
      <c r="T135" s="202"/>
      <c r="V135" s="420"/>
      <c r="Y135" s="409"/>
      <c r="AA135" s="225"/>
      <c r="AC135" s="101">
        <v>874</v>
      </c>
      <c r="AM135" s="154"/>
      <c r="AQ135" s="212"/>
      <c r="AR135" s="154"/>
      <c r="AT135" s="200"/>
    </row>
    <row r="136" spans="1:46" x14ac:dyDescent="0.25">
      <c r="A136" s="418">
        <v>93</v>
      </c>
      <c r="B136" s="80"/>
      <c r="C136" s="81" t="s">
        <v>686</v>
      </c>
      <c r="D136" s="80"/>
      <c r="E136" s="80"/>
      <c r="F136" s="396">
        <v>96</v>
      </c>
      <c r="G136" s="70"/>
      <c r="H136" s="225">
        <f t="shared" si="39"/>
        <v>6992</v>
      </c>
      <c r="I136" s="78"/>
      <c r="J136" s="349">
        <f>ROUND(AC358+(AC358*$AG$1),2)</f>
        <v>37.43</v>
      </c>
      <c r="K136" s="352"/>
      <c r="L136" s="79">
        <f t="shared" si="22"/>
        <v>3593</v>
      </c>
      <c r="M136" s="79"/>
      <c r="N136" s="156">
        <f t="shared" si="40"/>
        <v>0.2</v>
      </c>
      <c r="O136" s="156"/>
      <c r="P136" s="79">
        <f t="shared" si="41"/>
        <v>7</v>
      </c>
      <c r="Q136" s="79"/>
      <c r="R136" s="79">
        <f t="shared" si="42"/>
        <v>3600</v>
      </c>
      <c r="S136" s="85"/>
      <c r="T136" s="202"/>
      <c r="V136" s="420"/>
      <c r="Y136" s="409"/>
      <c r="AA136" s="225"/>
      <c r="AC136" s="101">
        <v>874</v>
      </c>
      <c r="AM136" s="154"/>
      <c r="AQ136" s="212"/>
      <c r="AR136" s="154"/>
      <c r="AT136" s="200"/>
    </row>
    <row r="137" spans="1:46" x14ac:dyDescent="0.25">
      <c r="A137" s="418">
        <v>94</v>
      </c>
      <c r="B137" s="80"/>
      <c r="C137" s="82" t="s">
        <v>516</v>
      </c>
      <c r="D137" s="80"/>
      <c r="E137" s="80"/>
      <c r="F137" s="396">
        <v>0</v>
      </c>
      <c r="G137" s="70"/>
      <c r="H137" s="225">
        <f t="shared" si="39"/>
        <v>0</v>
      </c>
      <c r="I137" s="78"/>
      <c r="J137" s="349">
        <f>ROUND(AC359+(AC359*$AG$1),2)</f>
        <v>8.4600000000000009</v>
      </c>
      <c r="K137" s="352"/>
      <c r="L137" s="79">
        <f t="shared" si="22"/>
        <v>0</v>
      </c>
      <c r="M137" s="79"/>
      <c r="N137" s="156">
        <f t="shared" si="40"/>
        <v>0</v>
      </c>
      <c r="O137" s="156"/>
      <c r="P137" s="79">
        <f t="shared" ref="P137" si="43">ROUND($P$211/$H$211*H137,0)</f>
        <v>0</v>
      </c>
      <c r="Q137" s="79"/>
      <c r="R137" s="79">
        <f>L137+P137</f>
        <v>0</v>
      </c>
      <c r="S137" s="85"/>
      <c r="T137" s="202"/>
      <c r="V137" s="420"/>
      <c r="Y137" s="409"/>
      <c r="AA137" s="225"/>
      <c r="AC137" s="101">
        <v>853</v>
      </c>
      <c r="AM137" s="154"/>
      <c r="AQ137" s="212"/>
      <c r="AR137" s="154"/>
      <c r="AT137" s="200"/>
    </row>
    <row r="138" spans="1:46" x14ac:dyDescent="0.25">
      <c r="A138" s="418">
        <v>95</v>
      </c>
      <c r="B138" s="80"/>
      <c r="C138" s="82" t="s">
        <v>366</v>
      </c>
      <c r="D138" s="80"/>
      <c r="E138" s="80"/>
      <c r="F138" s="396">
        <v>0</v>
      </c>
      <c r="G138" s="70"/>
      <c r="H138" s="225">
        <f t="shared" si="39"/>
        <v>0</v>
      </c>
      <c r="I138" s="78"/>
      <c r="J138" s="349">
        <f>$J$137+$AG$9</f>
        <v>21.85</v>
      </c>
      <c r="K138" s="352"/>
      <c r="L138" s="79">
        <f t="shared" si="22"/>
        <v>0</v>
      </c>
      <c r="M138" s="79"/>
      <c r="N138" s="156">
        <f t="shared" si="40"/>
        <v>0</v>
      </c>
      <c r="O138" s="156"/>
      <c r="P138" s="79">
        <f>ROUND($P$211/$H$211*H138,0)</f>
        <v>0</v>
      </c>
      <c r="Q138" s="79"/>
      <c r="R138" s="79">
        <f>L138+P138</f>
        <v>0</v>
      </c>
      <c r="S138" s="85"/>
      <c r="T138" s="202"/>
      <c r="V138" s="420"/>
      <c r="Y138" s="409"/>
      <c r="AA138" s="225"/>
      <c r="AC138" s="101">
        <v>853</v>
      </c>
      <c r="AM138" s="154"/>
      <c r="AQ138" s="212"/>
      <c r="AR138" s="154"/>
      <c r="AT138" s="200"/>
    </row>
    <row r="139" spans="1:46" x14ac:dyDescent="0.25">
      <c r="A139" s="418">
        <v>96</v>
      </c>
      <c r="B139" s="80"/>
      <c r="C139" s="82" t="s">
        <v>365</v>
      </c>
      <c r="D139" s="80"/>
      <c r="E139" s="80"/>
      <c r="F139" s="396">
        <v>24</v>
      </c>
      <c r="G139" s="70"/>
      <c r="H139" s="225">
        <f t="shared" si="39"/>
        <v>1748</v>
      </c>
      <c r="I139" s="78"/>
      <c r="J139" s="349">
        <f>ROUND(AC361+(AC361*$AG$1),2)</f>
        <v>15.23</v>
      </c>
      <c r="K139" s="352"/>
      <c r="L139" s="79">
        <f t="shared" si="22"/>
        <v>366</v>
      </c>
      <c r="M139" s="79"/>
      <c r="N139" s="156">
        <f t="shared" si="40"/>
        <v>0</v>
      </c>
      <c r="O139" s="156"/>
      <c r="P139" s="79">
        <f>ROUND($P$211/$H$211*H139,0)</f>
        <v>2</v>
      </c>
      <c r="Q139" s="79"/>
      <c r="R139" s="79">
        <f t="shared" si="42"/>
        <v>368</v>
      </c>
      <c r="S139" s="85"/>
      <c r="T139" s="202"/>
      <c r="V139" s="420"/>
      <c r="Y139" s="409"/>
      <c r="AA139" s="225"/>
      <c r="AC139" s="101">
        <v>874</v>
      </c>
      <c r="AM139" s="154"/>
      <c r="AQ139" s="212"/>
      <c r="AR139" s="154"/>
      <c r="AT139" s="200"/>
    </row>
    <row r="140" spans="1:46" x14ac:dyDescent="0.25">
      <c r="A140" s="159"/>
      <c r="B140" s="80"/>
      <c r="C140" s="82"/>
      <c r="D140" s="80"/>
      <c r="E140" s="80"/>
      <c r="F140" s="396"/>
      <c r="G140" s="70"/>
      <c r="H140" s="225"/>
      <c r="I140" s="78"/>
      <c r="J140" s="349"/>
      <c r="K140" s="352"/>
      <c r="L140" s="79"/>
      <c r="M140" s="79"/>
      <c r="N140" s="156"/>
      <c r="O140" s="156"/>
      <c r="P140" s="79"/>
      <c r="Q140" s="79"/>
      <c r="R140" s="79"/>
      <c r="S140" s="85"/>
      <c r="T140" s="202"/>
      <c r="V140" s="420"/>
      <c r="Y140" s="394"/>
      <c r="AM140" s="154"/>
      <c r="AQ140" s="212"/>
      <c r="AR140" s="154"/>
      <c r="AT140" s="200"/>
    </row>
    <row r="141" spans="1:46" x14ac:dyDescent="0.25">
      <c r="A141" s="173" t="s">
        <v>80</v>
      </c>
      <c r="B141" s="174"/>
      <c r="C141" s="146"/>
      <c r="D141" s="146"/>
      <c r="E141" s="146"/>
      <c r="F141" s="146"/>
      <c r="G141" s="146"/>
      <c r="H141" s="146"/>
      <c r="I141" s="146"/>
      <c r="J141" s="175" t="s">
        <v>314</v>
      </c>
      <c r="K141" s="146"/>
      <c r="L141" s="176"/>
      <c r="M141" s="146"/>
      <c r="N141" s="174"/>
      <c r="O141" s="146"/>
      <c r="P141" s="177" t="s">
        <v>319</v>
      </c>
      <c r="Q141" s="417"/>
      <c r="R141" s="417"/>
      <c r="T141" s="202"/>
      <c r="V141" s="154"/>
      <c r="AA141" s="200"/>
      <c r="AC141" s="200"/>
      <c r="AD141" s="200"/>
      <c r="AE141" s="213"/>
      <c r="AF141" s="213"/>
      <c r="AG141" s="209"/>
      <c r="AH141" s="200"/>
      <c r="AI141" s="210"/>
      <c r="AJ141" s="210"/>
      <c r="AK141" s="209"/>
      <c r="AL141" s="200"/>
      <c r="AM141" s="201"/>
      <c r="AN141" s="201"/>
      <c r="AO141" s="200"/>
      <c r="AP141" s="200"/>
      <c r="AQ141" s="212"/>
      <c r="AR141" s="200"/>
      <c r="AS141" s="210"/>
    </row>
    <row r="142" spans="1:46" x14ac:dyDescent="0.25">
      <c r="A142" s="173" t="str">
        <f>"(1A) REFLECTS FUEL COST RECOVERY INCLUDED IN BASE RATES OF "&amp;TEXT(CUR_BASE_FUEL,"$0.000000;($0.000000)")&amp;"  PER KWH."</f>
        <v>(1A) REFLECTS FUEL COST RECOVERY INCLUDED IN BASE RATES OF $0.023837  PER KWH.</v>
      </c>
      <c r="B142" s="146"/>
      <c r="C142" s="146"/>
      <c r="D142" s="146"/>
      <c r="E142" s="146"/>
      <c r="F142" s="180"/>
      <c r="G142" s="146"/>
      <c r="H142" s="146"/>
      <c r="I142" s="146"/>
      <c r="J142" s="177" t="s">
        <v>316</v>
      </c>
      <c r="K142" s="146"/>
      <c r="L142" s="176"/>
      <c r="M142" s="146"/>
      <c r="N142" s="174"/>
      <c r="O142" s="146"/>
      <c r="P142" s="175" t="s">
        <v>320</v>
      </c>
      <c r="Q142" s="417"/>
      <c r="R142" s="417"/>
      <c r="V142" s="154"/>
      <c r="AA142" s="200"/>
      <c r="AC142" s="200"/>
      <c r="AD142" s="200"/>
      <c r="AE142" s="213"/>
      <c r="AF142" s="213"/>
      <c r="AG142" s="209"/>
      <c r="AH142" s="200"/>
      <c r="AI142" s="210"/>
      <c r="AJ142" s="210"/>
      <c r="AK142" s="209"/>
      <c r="AL142" s="200"/>
      <c r="AM142" s="201"/>
      <c r="AN142" s="201"/>
      <c r="AO142" s="200"/>
      <c r="AP142" s="200"/>
      <c r="AQ142" s="212"/>
      <c r="AR142" s="200"/>
      <c r="AS142" s="210"/>
    </row>
    <row r="143" spans="1:46" x14ac:dyDescent="0.25">
      <c r="A143" s="173" t="str">
        <f>"(2) REFLECTS FUEL COMPONENT OF "&amp;TEXT(CUR_FAC,"$0.000000;($0.000000)")&amp;"  PER KWH."</f>
        <v>(2) REFLECTS FUEL COMPONENT OF $0.001028  PER KWH.</v>
      </c>
      <c r="B143" s="146"/>
      <c r="C143" s="146"/>
      <c r="D143" s="146"/>
      <c r="E143" s="146"/>
      <c r="F143" s="180"/>
      <c r="G143" s="146"/>
      <c r="H143" s="146"/>
      <c r="I143" s="146"/>
      <c r="J143" s="177" t="s">
        <v>317</v>
      </c>
      <c r="K143" s="146"/>
      <c r="L143" s="176"/>
      <c r="M143" s="146"/>
      <c r="N143" s="174"/>
      <c r="O143" s="146"/>
      <c r="P143" s="175" t="s">
        <v>321</v>
      </c>
      <c r="Q143" s="417"/>
      <c r="R143" s="417"/>
      <c r="V143" s="154"/>
      <c r="AA143" s="200"/>
      <c r="AC143" s="200"/>
      <c r="AD143" s="200"/>
      <c r="AE143" s="213"/>
      <c r="AF143" s="213"/>
      <c r="AG143" s="209"/>
      <c r="AH143" s="200"/>
      <c r="AI143" s="210"/>
      <c r="AJ143" s="210"/>
      <c r="AK143" s="209"/>
      <c r="AL143" s="200"/>
      <c r="AM143" s="201"/>
      <c r="AN143" s="201"/>
      <c r="AO143" s="200"/>
      <c r="AP143" s="200"/>
      <c r="AQ143" s="212"/>
      <c r="AR143" s="200"/>
      <c r="AS143" s="210"/>
    </row>
    <row r="144" spans="1:46" x14ac:dyDescent="0.25">
      <c r="A144" s="175" t="s">
        <v>315</v>
      </c>
      <c r="B144" s="146"/>
      <c r="C144" s="146"/>
      <c r="D144" s="146"/>
      <c r="E144" s="146"/>
      <c r="F144" s="180"/>
      <c r="G144" s="146"/>
      <c r="H144" s="146"/>
      <c r="I144" s="146"/>
      <c r="J144" s="175" t="s">
        <v>318</v>
      </c>
      <c r="K144" s="146"/>
      <c r="L144" s="176"/>
      <c r="M144" s="146"/>
      <c r="N144" s="174"/>
      <c r="O144" s="146"/>
      <c r="P144" s="175" t="s">
        <v>322</v>
      </c>
      <c r="Q144" s="417"/>
      <c r="R144" s="417"/>
      <c r="V144" s="154"/>
      <c r="AA144" s="200"/>
      <c r="AC144" s="200"/>
      <c r="AD144" s="200"/>
      <c r="AE144" s="304"/>
      <c r="AF144" s="304"/>
      <c r="AG144" s="209"/>
      <c r="AH144" s="200"/>
      <c r="AI144" s="210"/>
      <c r="AJ144" s="210"/>
      <c r="AK144" s="209"/>
      <c r="AL144" s="200"/>
      <c r="AM144" s="201"/>
      <c r="AN144" s="201"/>
      <c r="AO144" s="200"/>
      <c r="AP144" s="200"/>
      <c r="AQ144" s="212"/>
      <c r="AR144" s="200"/>
      <c r="AS144" s="210"/>
    </row>
    <row r="145" spans="1:46" x14ac:dyDescent="0.25">
      <c r="A145" s="175" t="s">
        <v>313</v>
      </c>
      <c r="B145" s="146"/>
      <c r="C145" s="146"/>
      <c r="D145" s="146"/>
      <c r="E145" s="146"/>
      <c r="F145" s="180"/>
      <c r="G145" s="146"/>
      <c r="H145" s="146"/>
      <c r="I145" s="146"/>
      <c r="J145" s="175" t="s">
        <v>438</v>
      </c>
      <c r="K145" s="174"/>
      <c r="L145" s="181"/>
      <c r="M145" s="174"/>
      <c r="N145" s="174"/>
      <c r="O145" s="174"/>
      <c r="P145" s="175" t="s">
        <v>323</v>
      </c>
      <c r="Q145" s="417"/>
      <c r="R145" s="417"/>
    </row>
    <row r="146" spans="1:46" x14ac:dyDescent="0.25">
      <c r="A146" s="159"/>
      <c r="B146" s="80"/>
      <c r="C146" s="82"/>
      <c r="D146" s="80"/>
      <c r="E146" s="80"/>
      <c r="F146" s="396"/>
      <c r="G146" s="70"/>
      <c r="H146" s="225"/>
      <c r="I146" s="78"/>
      <c r="J146" s="349"/>
      <c r="K146" s="352"/>
      <c r="L146" s="79"/>
      <c r="M146" s="79"/>
      <c r="N146" s="156"/>
      <c r="O146" s="156"/>
      <c r="P146" s="79"/>
      <c r="Q146" s="79"/>
      <c r="R146" s="79"/>
      <c r="S146" s="85"/>
      <c r="T146" s="202"/>
      <c r="V146" s="420"/>
      <c r="Y146" s="394"/>
      <c r="AM146" s="154"/>
      <c r="AQ146" s="212"/>
      <c r="AR146" s="154"/>
      <c r="AT146" s="200"/>
    </row>
    <row r="147" spans="1:46" x14ac:dyDescent="0.25">
      <c r="A147" s="159"/>
      <c r="B147" s="80"/>
      <c r="C147" s="82"/>
      <c r="D147" s="80"/>
      <c r="E147" s="80"/>
      <c r="F147" s="396"/>
      <c r="G147" s="70"/>
      <c r="H147" s="225"/>
      <c r="I147" s="78"/>
      <c r="J147" s="349"/>
      <c r="K147" s="352"/>
      <c r="L147" s="79"/>
      <c r="M147" s="79"/>
      <c r="N147" s="156"/>
      <c r="O147" s="156"/>
      <c r="P147" s="79"/>
      <c r="Q147" s="79"/>
      <c r="R147" s="79"/>
      <c r="S147" s="85"/>
      <c r="T147" s="202"/>
      <c r="V147" s="420"/>
      <c r="Y147" s="394"/>
      <c r="AM147" s="154"/>
      <c r="AQ147" s="212"/>
      <c r="AR147" s="154"/>
      <c r="AT147" s="200"/>
    </row>
    <row r="148" spans="1:46" x14ac:dyDescent="0.25">
      <c r="A148" s="150" t="str">
        <f>NAME</f>
        <v>DUKE ENERGY KENTUCKY, INC.</v>
      </c>
      <c r="B148" s="150"/>
      <c r="C148" s="150"/>
      <c r="D148" s="150"/>
      <c r="E148" s="150"/>
      <c r="F148" s="150"/>
      <c r="G148" s="150"/>
      <c r="H148" s="150"/>
      <c r="I148" s="150"/>
      <c r="J148" s="187"/>
      <c r="K148" s="187"/>
      <c r="L148" s="150"/>
      <c r="M148" s="150"/>
      <c r="N148" s="150"/>
      <c r="O148" s="150"/>
      <c r="P148" s="150"/>
      <c r="Q148" s="150"/>
      <c r="R148" s="150"/>
      <c r="AA148" s="154"/>
    </row>
    <row r="149" spans="1:46" x14ac:dyDescent="0.25">
      <c r="A149" s="150" t="str">
        <f>CASE_NO</f>
        <v>CASE NO.   2017-00321</v>
      </c>
      <c r="B149" s="150"/>
      <c r="C149" s="150"/>
      <c r="D149" s="150"/>
      <c r="E149" s="150"/>
      <c r="F149" s="150"/>
      <c r="G149" s="150"/>
      <c r="H149" s="150"/>
      <c r="I149" s="150"/>
      <c r="J149" s="187"/>
      <c r="K149" s="187"/>
      <c r="L149" s="150"/>
      <c r="M149" s="150"/>
      <c r="N149" s="150"/>
      <c r="O149" s="150"/>
      <c r="P149" s="150"/>
      <c r="Q149" s="150"/>
      <c r="R149" s="150"/>
      <c r="AA149" s="154"/>
    </row>
    <row r="150" spans="1:46" x14ac:dyDescent="0.25">
      <c r="A150" s="187" t="str">
        <f>TITLE</f>
        <v>ANNUALIZED BASE YEAR REVENUES AT PROPOSED VS. MOST CURRENT RATES</v>
      </c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AB150" s="202"/>
    </row>
    <row r="151" spans="1:46" x14ac:dyDescent="0.25">
      <c r="A151" s="150" t="str">
        <f>DATE</f>
        <v>FOR THE TWELVE MONTHS ENDED November 30, 2017</v>
      </c>
      <c r="B151" s="150"/>
      <c r="C151" s="150"/>
      <c r="D151" s="150"/>
      <c r="E151" s="150"/>
      <c r="F151" s="150"/>
      <c r="G151" s="150"/>
      <c r="H151" s="150"/>
      <c r="I151" s="150"/>
      <c r="J151" s="187"/>
      <c r="K151" s="187"/>
      <c r="L151" s="150"/>
      <c r="M151" s="150"/>
      <c r="N151" s="150"/>
      <c r="O151" s="150"/>
      <c r="P151" s="150"/>
      <c r="Q151" s="150"/>
      <c r="R151" s="150"/>
      <c r="AC151" s="154"/>
      <c r="AD151" s="154"/>
    </row>
    <row r="152" spans="1:46" x14ac:dyDescent="0.25">
      <c r="A152" s="150" t="str">
        <f>SERVICE</f>
        <v>(ELECTRIC SERVICE)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87"/>
      <c r="M152" s="187"/>
      <c r="N152" s="150"/>
      <c r="O152" s="150"/>
      <c r="P152" s="150"/>
      <c r="Q152" s="150"/>
      <c r="R152" s="150"/>
      <c r="AM152" s="154"/>
      <c r="AN152" s="154"/>
    </row>
    <row r="153" spans="1:46" x14ac:dyDescent="0.25">
      <c r="A153" s="159" t="str">
        <f>DATA_PERIOD</f>
        <v>DATA: __X__ BASE PERIOD   ____FORECASTED PERIOD</v>
      </c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2" t="s">
        <v>178</v>
      </c>
      <c r="AM153" s="154"/>
      <c r="AN153" s="154"/>
    </row>
    <row r="154" spans="1:46" x14ac:dyDescent="0.25">
      <c r="A154" s="159" t="str">
        <f>TYPE</f>
        <v>TYPE OF FILING: _X_ ORIGINAL   ___UPDATED  ___ REVISED</v>
      </c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1" t="s">
        <v>765</v>
      </c>
      <c r="AM154" s="154"/>
      <c r="AN154" s="154"/>
    </row>
    <row r="155" spans="1:46" x14ac:dyDescent="0.25">
      <c r="A155" s="82" t="s">
        <v>192</v>
      </c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2" t="s">
        <v>3</v>
      </c>
      <c r="AM155" s="154"/>
      <c r="AN155" s="154"/>
    </row>
    <row r="156" spans="1:46" x14ac:dyDescent="0.25">
      <c r="A156" s="258" t="str">
        <f>TIME</f>
        <v>6 Months Actual and 6 Months Projected</v>
      </c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M156" s="82"/>
      <c r="N156" s="80"/>
      <c r="O156" s="80"/>
      <c r="P156" s="80"/>
      <c r="Q156" s="80"/>
      <c r="R156" s="159" t="str">
        <f>WIT</f>
        <v>B. L. SAILERS</v>
      </c>
      <c r="AC156" s="154"/>
      <c r="AD156" s="154"/>
      <c r="AM156" s="202"/>
      <c r="AN156" s="202"/>
    </row>
    <row r="157" spans="1:46" x14ac:dyDescent="0.25">
      <c r="A157" s="187" t="s">
        <v>151</v>
      </c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87"/>
      <c r="M157" s="187"/>
      <c r="N157" s="150"/>
      <c r="O157" s="150"/>
      <c r="P157" s="150"/>
      <c r="Q157" s="150"/>
      <c r="R157" s="187"/>
      <c r="AC157" s="154"/>
      <c r="AD157" s="154"/>
      <c r="AM157" s="202"/>
      <c r="AN157" s="202"/>
    </row>
    <row r="158" spans="1:46" x14ac:dyDescent="0.25">
      <c r="A158" s="151"/>
      <c r="B158" s="151"/>
      <c r="C158" s="151"/>
      <c r="D158" s="151"/>
      <c r="E158" s="151"/>
      <c r="F158" s="80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T158" s="41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208"/>
      <c r="AH158" s="102"/>
      <c r="AI158" s="102"/>
      <c r="AJ158" s="102"/>
      <c r="AK158" s="208"/>
      <c r="AL158" s="102"/>
      <c r="AM158" s="102"/>
      <c r="AN158" s="102"/>
      <c r="AO158" s="102"/>
      <c r="AP158" s="102"/>
    </row>
    <row r="159" spans="1:46" ht="18" customHeight="1" x14ac:dyDescent="0.25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93" t="s">
        <v>6</v>
      </c>
      <c r="M159" s="193"/>
      <c r="N159" s="193" t="s">
        <v>7</v>
      </c>
      <c r="O159" s="193"/>
      <c r="P159" s="152"/>
      <c r="Q159" s="152"/>
      <c r="R159" s="193" t="s">
        <v>6</v>
      </c>
      <c r="AC159" s="103"/>
      <c r="AD159" s="103"/>
      <c r="AE159" s="103"/>
      <c r="AF159" s="103"/>
      <c r="AG159" s="185"/>
      <c r="AH159" s="103"/>
      <c r="AI159" s="103"/>
      <c r="AJ159" s="103"/>
      <c r="AM159" s="103"/>
      <c r="AN159" s="103"/>
      <c r="AO159" s="103"/>
      <c r="AP159" s="103"/>
    </row>
    <row r="160" spans="1:46" x14ac:dyDescent="0.25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3" t="s">
        <v>12</v>
      </c>
      <c r="M160" s="83"/>
      <c r="N160" s="83" t="s">
        <v>13</v>
      </c>
      <c r="O160" s="83"/>
      <c r="P160" s="80"/>
      <c r="Q160" s="80"/>
      <c r="R160" s="83" t="s">
        <v>11</v>
      </c>
      <c r="AB160" s="103"/>
      <c r="AC160" s="103"/>
      <c r="AD160" s="103"/>
      <c r="AE160" s="103"/>
      <c r="AF160" s="103"/>
      <c r="AG160" s="185"/>
      <c r="AH160" s="103"/>
      <c r="AI160" s="103"/>
      <c r="AJ160" s="103"/>
      <c r="AM160" s="103"/>
      <c r="AN160" s="103"/>
      <c r="AO160" s="103"/>
      <c r="AP160" s="103"/>
    </row>
    <row r="161" spans="1:49" x14ac:dyDescent="0.25">
      <c r="A161" s="83" t="s">
        <v>17</v>
      </c>
      <c r="B161" s="80"/>
      <c r="C161" s="83" t="s">
        <v>18</v>
      </c>
      <c r="D161" s="83" t="s">
        <v>19</v>
      </c>
      <c r="E161" s="83"/>
      <c r="F161" s="83" t="s">
        <v>20</v>
      </c>
      <c r="G161" s="80"/>
      <c r="H161" s="80"/>
      <c r="I161" s="80"/>
      <c r="J161" s="83" t="s">
        <v>6</v>
      </c>
      <c r="K161" s="83"/>
      <c r="L161" s="83" t="s">
        <v>21</v>
      </c>
      <c r="M161" s="83"/>
      <c r="N161" s="83" t="s">
        <v>21</v>
      </c>
      <c r="O161" s="83"/>
      <c r="P161" s="83" t="s">
        <v>21</v>
      </c>
      <c r="Q161" s="83"/>
      <c r="R161" s="83" t="s">
        <v>9</v>
      </c>
      <c r="T161" s="412"/>
      <c r="U161" s="103"/>
      <c r="V161" s="103"/>
      <c r="AB161" s="103"/>
      <c r="AC161" s="103"/>
      <c r="AD161" s="103"/>
      <c r="AE161" s="103"/>
      <c r="AF161" s="103"/>
      <c r="AG161" s="185"/>
      <c r="AH161" s="103"/>
      <c r="AI161" s="103"/>
      <c r="AJ161" s="103"/>
      <c r="AK161" s="185"/>
      <c r="AL161" s="103"/>
      <c r="AM161" s="103"/>
      <c r="AN161" s="103"/>
      <c r="AO161" s="103"/>
      <c r="AP161" s="103"/>
    </row>
    <row r="162" spans="1:49" x14ac:dyDescent="0.25">
      <c r="A162" s="83" t="s">
        <v>24</v>
      </c>
      <c r="B162" s="80"/>
      <c r="C162" s="83" t="s">
        <v>25</v>
      </c>
      <c r="D162" s="83" t="s">
        <v>26</v>
      </c>
      <c r="E162" s="83"/>
      <c r="F162" s="83" t="s">
        <v>27</v>
      </c>
      <c r="G162" s="80"/>
      <c r="H162" s="83" t="s">
        <v>28</v>
      </c>
      <c r="I162" s="83"/>
      <c r="J162" s="196" t="s">
        <v>432</v>
      </c>
      <c r="K162" s="83"/>
      <c r="L162" s="83" t="s">
        <v>9</v>
      </c>
      <c r="M162" s="83"/>
      <c r="N162" s="83" t="s">
        <v>9</v>
      </c>
      <c r="O162" s="83"/>
      <c r="P162" s="83" t="s">
        <v>430</v>
      </c>
      <c r="Q162" s="83"/>
      <c r="R162" s="256" t="s">
        <v>30</v>
      </c>
      <c r="T162" s="412"/>
      <c r="U162" s="103"/>
      <c r="V162" s="103"/>
      <c r="AA162" s="103"/>
      <c r="AB162" s="103"/>
      <c r="AC162" s="103"/>
      <c r="AD162" s="103"/>
      <c r="AE162" s="103"/>
      <c r="AF162" s="103"/>
      <c r="AG162" s="185"/>
      <c r="AH162" s="103"/>
      <c r="AI162" s="103"/>
      <c r="AJ162" s="103"/>
      <c r="AK162" s="185"/>
      <c r="AL162" s="103"/>
      <c r="AM162" s="103"/>
      <c r="AN162" s="103"/>
      <c r="AO162" s="103"/>
      <c r="AP162" s="103"/>
    </row>
    <row r="163" spans="1:49" x14ac:dyDescent="0.25">
      <c r="A163" s="80"/>
      <c r="B163" s="80"/>
      <c r="C163" s="256" t="s">
        <v>35</v>
      </c>
      <c r="D163" s="256" t="s">
        <v>36</v>
      </c>
      <c r="E163" s="256"/>
      <c r="F163" s="256" t="s">
        <v>37</v>
      </c>
      <c r="G163" s="258"/>
      <c r="H163" s="256" t="s">
        <v>38</v>
      </c>
      <c r="I163" s="256"/>
      <c r="J163" s="256" t="s">
        <v>39</v>
      </c>
      <c r="K163" s="256"/>
      <c r="L163" s="256" t="s">
        <v>40</v>
      </c>
      <c r="M163" s="256"/>
      <c r="N163" s="256" t="s">
        <v>41</v>
      </c>
      <c r="O163" s="256"/>
      <c r="P163" s="256" t="s">
        <v>42</v>
      </c>
      <c r="Q163" s="256"/>
      <c r="R163" s="256" t="s">
        <v>43</v>
      </c>
      <c r="T163" s="41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208"/>
      <c r="AH163" s="102"/>
      <c r="AI163" s="102"/>
      <c r="AJ163" s="102"/>
      <c r="AK163" s="208"/>
      <c r="AL163" s="102"/>
      <c r="AM163" s="102"/>
      <c r="AN163" s="102"/>
      <c r="AO163" s="102"/>
      <c r="AP163" s="102"/>
    </row>
    <row r="164" spans="1:49" ht="17.100000000000001" customHeight="1" x14ac:dyDescent="0.25">
      <c r="A164" s="152"/>
      <c r="B164" s="152"/>
      <c r="C164" s="152"/>
      <c r="D164" s="152"/>
      <c r="E164" s="152"/>
      <c r="F164" s="152"/>
      <c r="G164" s="152"/>
      <c r="H164" s="376" t="s">
        <v>51</v>
      </c>
      <c r="I164" s="376"/>
      <c r="J164" s="375" t="s">
        <v>71</v>
      </c>
      <c r="K164" s="376"/>
      <c r="L164" s="376" t="s">
        <v>52</v>
      </c>
      <c r="M164" s="376"/>
      <c r="N164" s="376" t="s">
        <v>53</v>
      </c>
      <c r="O164" s="376"/>
      <c r="P164" s="376" t="s">
        <v>52</v>
      </c>
      <c r="Q164" s="376"/>
      <c r="R164" s="376" t="s">
        <v>52</v>
      </c>
      <c r="AA164" s="103"/>
      <c r="AB164" s="103"/>
      <c r="AC164" s="103"/>
      <c r="AD164" s="103"/>
      <c r="AE164" s="103"/>
      <c r="AF164" s="103"/>
      <c r="AG164" s="185"/>
      <c r="AH164" s="103"/>
      <c r="AI164" s="103"/>
      <c r="AJ164" s="103"/>
      <c r="AK164" s="185"/>
      <c r="AL164" s="103"/>
      <c r="AM164" s="103"/>
      <c r="AN164" s="103"/>
      <c r="AO164" s="103"/>
      <c r="AP164" s="103"/>
    </row>
    <row r="165" spans="1:49" x14ac:dyDescent="0.25">
      <c r="A165" s="425">
        <v>97</v>
      </c>
      <c r="B165" s="80"/>
      <c r="C165" s="253" t="s">
        <v>81</v>
      </c>
      <c r="D165" s="81" t="s">
        <v>346</v>
      </c>
      <c r="E165" s="82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T165" s="412"/>
      <c r="U165" s="154"/>
    </row>
    <row r="166" spans="1:49" x14ac:dyDescent="0.25">
      <c r="A166" s="425">
        <v>98</v>
      </c>
      <c r="B166" s="80"/>
      <c r="C166" s="253" t="s">
        <v>524</v>
      </c>
      <c r="D166" s="80"/>
      <c r="E166" s="80"/>
      <c r="F166" s="70"/>
      <c r="G166" s="70"/>
      <c r="H166" s="70"/>
      <c r="I166" s="70"/>
      <c r="J166" s="162"/>
      <c r="K166" s="162"/>
      <c r="L166" s="70"/>
      <c r="M166" s="70"/>
      <c r="N166" s="70"/>
      <c r="O166" s="70"/>
      <c r="P166" s="70"/>
      <c r="Q166" s="70"/>
      <c r="R166" s="70"/>
      <c r="V166" s="103"/>
      <c r="W166" s="103"/>
      <c r="X166" s="103"/>
      <c r="Y166" s="103"/>
      <c r="Z166" s="103"/>
      <c r="AA166" s="103"/>
      <c r="AC166" s="103"/>
      <c r="AD166" s="103"/>
      <c r="AE166" s="103"/>
      <c r="AF166" s="103"/>
      <c r="AG166" s="185"/>
      <c r="AH166" s="103"/>
      <c r="AI166" s="103"/>
      <c r="AJ166" s="103"/>
      <c r="AK166" s="185"/>
      <c r="AL166" s="103"/>
      <c r="AM166" s="103"/>
      <c r="AN166" s="103"/>
      <c r="AO166" s="103"/>
      <c r="AP166" s="103"/>
      <c r="AQ166" s="212"/>
      <c r="AR166" s="103"/>
      <c r="AS166" s="103"/>
      <c r="AU166" s="200"/>
      <c r="AV166" s="200"/>
      <c r="AW166" s="210"/>
    </row>
    <row r="167" spans="1:49" x14ac:dyDescent="0.25">
      <c r="A167" s="425">
        <v>99</v>
      </c>
      <c r="B167" s="80"/>
      <c r="C167" s="253" t="s">
        <v>375</v>
      </c>
      <c r="D167" s="80"/>
      <c r="E167" s="80"/>
      <c r="F167" s="396"/>
      <c r="G167" s="70"/>
      <c r="H167" s="161"/>
      <c r="I167" s="78"/>
      <c r="J167" s="352"/>
      <c r="K167" s="352"/>
      <c r="L167" s="79"/>
      <c r="M167" s="79"/>
      <c r="N167" s="156"/>
      <c r="O167" s="156"/>
      <c r="P167" s="79"/>
      <c r="Q167" s="79"/>
      <c r="R167" s="79"/>
      <c r="T167" s="202"/>
      <c r="V167" s="420"/>
      <c r="AM167" s="154"/>
      <c r="AQ167" s="212"/>
      <c r="AR167" s="154"/>
      <c r="AT167" s="200"/>
    </row>
    <row r="168" spans="1:49" x14ac:dyDescent="0.25">
      <c r="A168" s="425">
        <v>100</v>
      </c>
      <c r="B168" s="426"/>
      <c r="C168" s="137" t="s">
        <v>517</v>
      </c>
      <c r="D168" s="426"/>
      <c r="E168" s="80"/>
      <c r="F168" s="396">
        <v>0</v>
      </c>
      <c r="G168" s="70"/>
      <c r="H168" s="225">
        <f t="shared" ref="H168:H176" si="44">ROUND(F168*AC168/12,0)</f>
        <v>0</v>
      </c>
      <c r="I168" s="78"/>
      <c r="J168" s="349">
        <f>ROUND(AC390+(AC390*$AG$1),2)</f>
        <v>8.3699999999999992</v>
      </c>
      <c r="K168" s="352"/>
      <c r="L168" s="79">
        <f t="shared" ref="L168:L176" si="45">ROUND((F168*J168),0)</f>
        <v>0</v>
      </c>
      <c r="M168" s="79"/>
      <c r="N168" s="156">
        <f t="shared" ref="N168:N176" si="46">ROUND((L168/L$211)*100,1)</f>
        <v>0</v>
      </c>
      <c r="O168" s="156"/>
      <c r="P168" s="79">
        <f t="shared" ref="P168:P176" si="47">ROUND($P$211/$H$211*H168,0)</f>
        <v>0</v>
      </c>
      <c r="Q168" s="79"/>
      <c r="R168" s="79">
        <f t="shared" ref="R168:R176" si="48">L168+P168</f>
        <v>0</v>
      </c>
      <c r="S168" s="85"/>
      <c r="T168" s="202"/>
      <c r="V168" s="420"/>
      <c r="Y168" s="409"/>
      <c r="AA168" s="225"/>
      <c r="AC168" s="101">
        <v>853</v>
      </c>
      <c r="AM168" s="154"/>
      <c r="AQ168" s="212"/>
      <c r="AR168" s="154"/>
      <c r="AT168" s="200"/>
    </row>
    <row r="169" spans="1:49" x14ac:dyDescent="0.25">
      <c r="A169" s="425">
        <v>101</v>
      </c>
      <c r="B169" s="426"/>
      <c r="C169" s="137" t="s">
        <v>615</v>
      </c>
      <c r="D169" s="426"/>
      <c r="E169" s="80"/>
      <c r="F169" s="396">
        <v>60</v>
      </c>
      <c r="G169" s="70"/>
      <c r="H169" s="225">
        <f t="shared" si="44"/>
        <v>4265</v>
      </c>
      <c r="I169" s="78"/>
      <c r="J169" s="349">
        <f>$J$168+$AG$9</f>
        <v>21.759999999999998</v>
      </c>
      <c r="K169" s="352"/>
      <c r="L169" s="79">
        <f t="shared" si="45"/>
        <v>1306</v>
      </c>
      <c r="M169" s="79"/>
      <c r="N169" s="156">
        <f t="shared" si="46"/>
        <v>0.1</v>
      </c>
      <c r="O169" s="156"/>
      <c r="P169" s="79">
        <f t="shared" si="47"/>
        <v>4</v>
      </c>
      <c r="Q169" s="79"/>
      <c r="R169" s="79">
        <f t="shared" si="48"/>
        <v>1310</v>
      </c>
      <c r="S169" s="85"/>
      <c r="T169" s="202"/>
      <c r="V169" s="420"/>
      <c r="Y169" s="409"/>
      <c r="AA169" s="225"/>
      <c r="AC169" s="101">
        <v>853</v>
      </c>
      <c r="AM169" s="154"/>
      <c r="AQ169" s="212"/>
      <c r="AR169" s="154"/>
      <c r="AT169" s="200"/>
    </row>
    <row r="170" spans="1:49" x14ac:dyDescent="0.25">
      <c r="A170" s="425">
        <v>102</v>
      </c>
      <c r="B170" s="426"/>
      <c r="C170" s="137" t="s">
        <v>383</v>
      </c>
      <c r="D170" s="426"/>
      <c r="E170" s="80"/>
      <c r="F170" s="396">
        <v>468</v>
      </c>
      <c r="G170" s="70"/>
      <c r="H170" s="225">
        <f t="shared" si="44"/>
        <v>33267</v>
      </c>
      <c r="I170" s="78"/>
      <c r="J170" s="349">
        <f>$J$168+$AG$13</f>
        <v>13.29</v>
      </c>
      <c r="K170" s="352"/>
      <c r="L170" s="79">
        <f t="shared" si="45"/>
        <v>6220</v>
      </c>
      <c r="M170" s="79"/>
      <c r="N170" s="156">
        <f t="shared" si="46"/>
        <v>0.4</v>
      </c>
      <c r="O170" s="156"/>
      <c r="P170" s="79">
        <f t="shared" si="47"/>
        <v>34</v>
      </c>
      <c r="Q170" s="79"/>
      <c r="R170" s="79">
        <f t="shared" si="48"/>
        <v>6254</v>
      </c>
      <c r="S170" s="85"/>
      <c r="T170" s="202"/>
      <c r="V170" s="420"/>
      <c r="Y170" s="409"/>
      <c r="AA170" s="225"/>
      <c r="AC170" s="101">
        <v>853</v>
      </c>
      <c r="AM170" s="154"/>
      <c r="AQ170" s="212"/>
      <c r="AR170" s="154"/>
      <c r="AT170" s="200"/>
    </row>
    <row r="171" spans="1:49" x14ac:dyDescent="0.25">
      <c r="A171" s="425">
        <v>103</v>
      </c>
      <c r="B171" s="426"/>
      <c r="C171" s="137" t="s">
        <v>376</v>
      </c>
      <c r="D171" s="426"/>
      <c r="E171" s="80"/>
      <c r="F171" s="396">
        <v>0</v>
      </c>
      <c r="G171" s="70"/>
      <c r="H171" s="225">
        <f t="shared" si="44"/>
        <v>0</v>
      </c>
      <c r="I171" s="78"/>
      <c r="J171" s="349">
        <f>ROUND(AC393+(AC393*$AG$1),2)</f>
        <v>15.23</v>
      </c>
      <c r="K171" s="352"/>
      <c r="L171" s="79">
        <f t="shared" si="45"/>
        <v>0</v>
      </c>
      <c r="M171" s="79"/>
      <c r="N171" s="156">
        <f t="shared" si="46"/>
        <v>0</v>
      </c>
      <c r="O171" s="156"/>
      <c r="P171" s="79">
        <f t="shared" si="47"/>
        <v>0</v>
      </c>
      <c r="Q171" s="79"/>
      <c r="R171" s="79">
        <f t="shared" si="48"/>
        <v>0</v>
      </c>
      <c r="S171" s="85"/>
      <c r="T171" s="202"/>
      <c r="V171" s="420"/>
      <c r="Y171" s="409"/>
      <c r="AA171" s="225"/>
      <c r="AC171" s="101">
        <v>874</v>
      </c>
      <c r="AM171" s="154"/>
      <c r="AQ171" s="212"/>
      <c r="AR171" s="154"/>
      <c r="AT171" s="200"/>
    </row>
    <row r="172" spans="1:49" x14ac:dyDescent="0.25">
      <c r="A172" s="425">
        <v>104</v>
      </c>
      <c r="B172" s="426"/>
      <c r="C172" s="137" t="s">
        <v>616</v>
      </c>
      <c r="D172" s="426"/>
      <c r="E172" s="80"/>
      <c r="F172" s="396">
        <v>0</v>
      </c>
      <c r="G172" s="70"/>
      <c r="H172" s="225">
        <f t="shared" si="44"/>
        <v>0</v>
      </c>
      <c r="I172" s="78"/>
      <c r="J172" s="349">
        <f>$J$171+$AG$14</f>
        <v>29.63</v>
      </c>
      <c r="K172" s="352"/>
      <c r="L172" s="79">
        <f t="shared" si="45"/>
        <v>0</v>
      </c>
      <c r="M172" s="79"/>
      <c r="N172" s="156">
        <f t="shared" si="46"/>
        <v>0</v>
      </c>
      <c r="O172" s="156"/>
      <c r="P172" s="79">
        <f t="shared" si="47"/>
        <v>0</v>
      </c>
      <c r="Q172" s="79"/>
      <c r="R172" s="79">
        <f t="shared" si="48"/>
        <v>0</v>
      </c>
      <c r="S172" s="85"/>
      <c r="T172" s="202"/>
      <c r="V172" s="420"/>
      <c r="Y172" s="409"/>
      <c r="AA172" s="225"/>
      <c r="AC172" s="101">
        <v>874</v>
      </c>
      <c r="AM172" s="154"/>
      <c r="AQ172" s="212"/>
      <c r="AR172" s="154"/>
      <c r="AT172" s="200"/>
    </row>
    <row r="173" spans="1:49" x14ac:dyDescent="0.25">
      <c r="A173" s="425">
        <v>105</v>
      </c>
      <c r="B173" s="426"/>
      <c r="C173" s="136" t="s">
        <v>520</v>
      </c>
      <c r="D173" s="426"/>
      <c r="E173" s="80"/>
      <c r="F173" s="396">
        <v>0</v>
      </c>
      <c r="G173" s="70"/>
      <c r="H173" s="225">
        <f t="shared" si="44"/>
        <v>0</v>
      </c>
      <c r="I173" s="78"/>
      <c r="J173" s="349">
        <f>ROUND(AC395+(AC395*$AG$1),2)</f>
        <v>24.13</v>
      </c>
      <c r="K173" s="352"/>
      <c r="L173" s="79">
        <f t="shared" si="45"/>
        <v>0</v>
      </c>
      <c r="M173" s="79"/>
      <c r="N173" s="156">
        <f t="shared" si="46"/>
        <v>0</v>
      </c>
      <c r="O173" s="156"/>
      <c r="P173" s="79">
        <f t="shared" si="47"/>
        <v>0</v>
      </c>
      <c r="Q173" s="79"/>
      <c r="R173" s="79">
        <f t="shared" si="48"/>
        <v>0</v>
      </c>
      <c r="S173" s="85"/>
      <c r="T173" s="202"/>
      <c r="V173" s="420"/>
      <c r="Y173" s="409"/>
      <c r="AA173" s="225"/>
      <c r="AC173" s="101">
        <v>874</v>
      </c>
      <c r="AM173" s="154"/>
      <c r="AQ173" s="212"/>
      <c r="AR173" s="154"/>
      <c r="AT173" s="200"/>
    </row>
    <row r="174" spans="1:49" x14ac:dyDescent="0.25">
      <c r="A174" s="425">
        <v>106</v>
      </c>
      <c r="B174" s="426"/>
      <c r="C174" s="137" t="s">
        <v>617</v>
      </c>
      <c r="D174" s="426"/>
      <c r="E174" s="80"/>
      <c r="F174" s="396">
        <v>0</v>
      </c>
      <c r="G174" s="70"/>
      <c r="H174" s="225">
        <f t="shared" si="44"/>
        <v>0</v>
      </c>
      <c r="I174" s="78"/>
      <c r="J174" s="349">
        <f>ROUND(AC396+(AC396*$AG$1),2)</f>
        <v>24.13</v>
      </c>
      <c r="K174" s="352"/>
      <c r="L174" s="79">
        <f t="shared" si="45"/>
        <v>0</v>
      </c>
      <c r="M174" s="79"/>
      <c r="N174" s="156">
        <f t="shared" si="46"/>
        <v>0</v>
      </c>
      <c r="O174" s="156"/>
      <c r="P174" s="79">
        <f t="shared" si="47"/>
        <v>0</v>
      </c>
      <c r="Q174" s="79"/>
      <c r="R174" s="79">
        <f t="shared" si="48"/>
        <v>0</v>
      </c>
      <c r="S174" s="85"/>
      <c r="T174" s="202"/>
      <c r="V174" s="420"/>
      <c r="Y174" s="409"/>
      <c r="AA174" s="225"/>
      <c r="AC174" s="101">
        <v>874</v>
      </c>
      <c r="AM174" s="154"/>
      <c r="AQ174" s="212"/>
      <c r="AR174" s="154"/>
      <c r="AT174" s="200"/>
    </row>
    <row r="175" spans="1:49" x14ac:dyDescent="0.25">
      <c r="A175" s="425">
        <v>107</v>
      </c>
      <c r="B175" s="426"/>
      <c r="C175" s="137" t="s">
        <v>618</v>
      </c>
      <c r="D175" s="426"/>
      <c r="E175" s="80"/>
      <c r="F175" s="396">
        <v>240</v>
      </c>
      <c r="G175" s="70"/>
      <c r="H175" s="225">
        <f t="shared" si="44"/>
        <v>17480</v>
      </c>
      <c r="I175" s="78"/>
      <c r="J175" s="349">
        <f>$J$174+$AG$9</f>
        <v>37.519999999999996</v>
      </c>
      <c r="K175" s="352"/>
      <c r="L175" s="79">
        <f t="shared" si="45"/>
        <v>9005</v>
      </c>
      <c r="M175" s="79"/>
      <c r="N175" s="156">
        <f t="shared" si="46"/>
        <v>0.6</v>
      </c>
      <c r="O175" s="156"/>
      <c r="P175" s="79">
        <f t="shared" si="47"/>
        <v>18</v>
      </c>
      <c r="Q175" s="79"/>
      <c r="R175" s="79">
        <f t="shared" si="48"/>
        <v>9023</v>
      </c>
      <c r="S175" s="85"/>
      <c r="T175" s="202"/>
      <c r="V175" s="420"/>
      <c r="Y175" s="409"/>
      <c r="AA175" s="225"/>
      <c r="AC175" s="101">
        <v>874</v>
      </c>
      <c r="AM175" s="154"/>
      <c r="AQ175" s="212"/>
      <c r="AR175" s="154"/>
      <c r="AT175" s="200"/>
    </row>
    <row r="176" spans="1:49" x14ac:dyDescent="0.25">
      <c r="A176" s="425">
        <v>108</v>
      </c>
      <c r="B176" s="426"/>
      <c r="C176" s="137" t="s">
        <v>619</v>
      </c>
      <c r="D176" s="426"/>
      <c r="E176" s="80"/>
      <c r="F176" s="396">
        <v>60</v>
      </c>
      <c r="G176" s="70"/>
      <c r="H176" s="225">
        <f t="shared" si="44"/>
        <v>4370</v>
      </c>
      <c r="I176" s="78"/>
      <c r="J176" s="349">
        <f>$J$174+$AG$13</f>
        <v>29.049999999999997</v>
      </c>
      <c r="K176" s="352"/>
      <c r="L176" s="79">
        <f t="shared" si="45"/>
        <v>1743</v>
      </c>
      <c r="M176" s="79"/>
      <c r="N176" s="156">
        <f t="shared" si="46"/>
        <v>0.1</v>
      </c>
      <c r="O176" s="156"/>
      <c r="P176" s="79">
        <f t="shared" si="47"/>
        <v>4</v>
      </c>
      <c r="Q176" s="79"/>
      <c r="R176" s="79">
        <f t="shared" si="48"/>
        <v>1747</v>
      </c>
      <c r="S176" s="85"/>
      <c r="T176" s="202"/>
      <c r="V176" s="420"/>
      <c r="Y176" s="409"/>
      <c r="AA176" s="225"/>
      <c r="AC176" s="101">
        <v>874</v>
      </c>
      <c r="AM176" s="154"/>
      <c r="AQ176" s="212"/>
      <c r="AR176" s="154"/>
      <c r="AT176" s="200"/>
    </row>
    <row r="177" spans="1:49" x14ac:dyDescent="0.25">
      <c r="A177" s="425"/>
      <c r="B177" s="80"/>
      <c r="C177" s="253"/>
      <c r="D177" s="80"/>
      <c r="E177" s="80"/>
      <c r="F177" s="70"/>
      <c r="G177" s="70"/>
      <c r="H177" s="70"/>
      <c r="I177" s="70"/>
      <c r="J177" s="162"/>
      <c r="K177" s="162"/>
      <c r="L177" s="70"/>
      <c r="M177" s="70"/>
      <c r="N177" s="70"/>
      <c r="O177" s="70"/>
      <c r="P177" s="70"/>
      <c r="Q177" s="70"/>
      <c r="R177" s="70"/>
      <c r="V177" s="103"/>
      <c r="W177" s="103"/>
      <c r="X177" s="103"/>
      <c r="Y177" s="409"/>
      <c r="Z177" s="103"/>
      <c r="AA177" s="70"/>
      <c r="AC177" s="103"/>
      <c r="AD177" s="103"/>
      <c r="AE177" s="103"/>
      <c r="AF177" s="103"/>
      <c r="AG177" s="185"/>
      <c r="AH177" s="103"/>
      <c r="AI177" s="103"/>
      <c r="AJ177" s="103"/>
      <c r="AK177" s="185"/>
      <c r="AL177" s="103"/>
      <c r="AM177" s="103"/>
      <c r="AN177" s="103"/>
      <c r="AO177" s="103"/>
      <c r="AP177" s="103"/>
      <c r="AQ177" s="212"/>
      <c r="AR177" s="103"/>
      <c r="AS177" s="103"/>
      <c r="AU177" s="200"/>
      <c r="AV177" s="200"/>
      <c r="AW177" s="210"/>
    </row>
    <row r="178" spans="1:49" x14ac:dyDescent="0.25">
      <c r="A178" s="425">
        <v>109</v>
      </c>
      <c r="B178" s="80"/>
      <c r="C178" s="265" t="s">
        <v>225</v>
      </c>
      <c r="D178" s="80"/>
      <c r="E178" s="80"/>
      <c r="F178" s="80"/>
      <c r="G178" s="70"/>
      <c r="H178" s="70"/>
      <c r="I178" s="70"/>
      <c r="J178" s="162"/>
      <c r="K178" s="162"/>
      <c r="L178" s="70"/>
      <c r="M178" s="70"/>
      <c r="N178" s="70"/>
      <c r="O178" s="70"/>
      <c r="P178" s="70"/>
      <c r="Q178" s="70"/>
      <c r="R178" s="70"/>
      <c r="T178" s="412"/>
      <c r="V178" s="421"/>
      <c r="Y178" s="409"/>
      <c r="AA178" s="70"/>
      <c r="AQ178" s="212"/>
      <c r="AR178" s="154"/>
    </row>
    <row r="179" spans="1:49" x14ac:dyDescent="0.25">
      <c r="A179" s="425">
        <v>110</v>
      </c>
      <c r="B179" s="80"/>
      <c r="C179" s="82" t="s">
        <v>368</v>
      </c>
      <c r="D179" s="80"/>
      <c r="E179" s="80"/>
      <c r="F179" s="396">
        <v>98</v>
      </c>
      <c r="G179" s="70"/>
      <c r="H179" s="225">
        <f t="shared" ref="H179:H198" si="49">ROUND(F179*AC179/12,0)</f>
        <v>3977</v>
      </c>
      <c r="I179" s="70"/>
      <c r="J179" s="349">
        <f>ROUND(AC401+(AC401*$AG$1),2)</f>
        <v>12.23</v>
      </c>
      <c r="K179" s="162"/>
      <c r="L179" s="79">
        <f t="shared" ref="L179:L198" si="50">ROUND((F179*J179),0)</f>
        <v>1199</v>
      </c>
      <c r="M179" s="70"/>
      <c r="N179" s="156">
        <f t="shared" ref="N179:N198" si="51">ROUND((L179/L$211)*100,1)</f>
        <v>0.1</v>
      </c>
      <c r="O179" s="70"/>
      <c r="P179" s="79">
        <f>ROUND($P$211/$H$211*H179,0)</f>
        <v>4</v>
      </c>
      <c r="Q179" s="70"/>
      <c r="R179" s="79">
        <f t="shared" ref="R179:R194" si="52">L179+P179</f>
        <v>1203</v>
      </c>
      <c r="S179" s="85"/>
      <c r="T179" s="412"/>
      <c r="V179" s="420"/>
      <c r="Y179" s="409"/>
      <c r="AA179" s="225"/>
      <c r="AC179" s="101">
        <v>487</v>
      </c>
      <c r="AQ179" s="212"/>
      <c r="AR179" s="154"/>
    </row>
    <row r="180" spans="1:49" x14ac:dyDescent="0.25">
      <c r="A180" s="425">
        <v>111</v>
      </c>
      <c r="B180" s="80"/>
      <c r="C180" s="81" t="s">
        <v>369</v>
      </c>
      <c r="D180" s="80"/>
      <c r="E180" s="80"/>
      <c r="F180" s="396">
        <v>1896</v>
      </c>
      <c r="G180" s="70"/>
      <c r="H180" s="225">
        <f t="shared" si="49"/>
        <v>76946</v>
      </c>
      <c r="I180" s="70"/>
      <c r="J180" s="349">
        <f>$J$179+$AG$13</f>
        <v>17.149999999999999</v>
      </c>
      <c r="K180" s="162"/>
      <c r="L180" s="79">
        <f t="shared" si="50"/>
        <v>32516</v>
      </c>
      <c r="M180" s="70"/>
      <c r="N180" s="156">
        <f t="shared" si="51"/>
        <v>2.2000000000000002</v>
      </c>
      <c r="O180" s="70"/>
      <c r="P180" s="79">
        <f>ROUND($P$211/$H$211*H180,0)</f>
        <v>79</v>
      </c>
      <c r="Q180" s="70"/>
      <c r="R180" s="79">
        <f>L180+P180</f>
        <v>32595</v>
      </c>
      <c r="S180" s="85"/>
      <c r="T180" s="412"/>
      <c r="V180" s="420"/>
      <c r="Y180" s="409"/>
      <c r="AA180" s="225"/>
      <c r="AC180" s="101">
        <v>487</v>
      </c>
      <c r="AQ180" s="212"/>
      <c r="AR180" s="154"/>
    </row>
    <row r="181" spans="1:49" x14ac:dyDescent="0.25">
      <c r="A181" s="425">
        <v>112</v>
      </c>
      <c r="B181" s="80"/>
      <c r="C181" s="82" t="s">
        <v>370</v>
      </c>
      <c r="D181" s="80"/>
      <c r="E181" s="80"/>
      <c r="F181" s="396">
        <v>576</v>
      </c>
      <c r="G181" s="70"/>
      <c r="H181" s="225">
        <f t="shared" si="49"/>
        <v>25536</v>
      </c>
      <c r="I181" s="70"/>
      <c r="J181" s="349">
        <f>ROUND(AC403+(AC403*$AG$1),2)</f>
        <v>13.25</v>
      </c>
      <c r="K181" s="162"/>
      <c r="L181" s="79">
        <f t="shared" si="50"/>
        <v>7632</v>
      </c>
      <c r="M181" s="70"/>
      <c r="N181" s="156">
        <f t="shared" si="51"/>
        <v>0.5</v>
      </c>
      <c r="O181" s="70"/>
      <c r="P181" s="79">
        <f>ROUND($P$211/$H$211*H181,0)</f>
        <v>26</v>
      </c>
      <c r="Q181" s="70"/>
      <c r="R181" s="79">
        <f>L181+P181</f>
        <v>7658</v>
      </c>
      <c r="S181" s="85"/>
      <c r="T181" s="412"/>
      <c r="V181" s="420"/>
      <c r="Y181" s="409"/>
      <c r="AA181" s="225"/>
      <c r="AC181" s="101">
        <v>532</v>
      </c>
      <c r="AQ181" s="212"/>
      <c r="AR181" s="154"/>
    </row>
    <row r="182" spans="1:49" x14ac:dyDescent="0.25">
      <c r="A182" s="425">
        <v>113</v>
      </c>
      <c r="B182" s="80"/>
      <c r="C182" s="81" t="s">
        <v>371</v>
      </c>
      <c r="D182" s="80"/>
      <c r="E182" s="80"/>
      <c r="F182" s="396">
        <v>312</v>
      </c>
      <c r="G182" s="70"/>
      <c r="H182" s="225">
        <f t="shared" si="49"/>
        <v>13832</v>
      </c>
      <c r="I182" s="70"/>
      <c r="J182" s="349">
        <f>$J$181+$AG$13</f>
        <v>18.170000000000002</v>
      </c>
      <c r="K182" s="162"/>
      <c r="L182" s="79">
        <f t="shared" si="50"/>
        <v>5669</v>
      </c>
      <c r="M182" s="70"/>
      <c r="N182" s="156">
        <f t="shared" si="51"/>
        <v>0.4</v>
      </c>
      <c r="O182" s="70"/>
      <c r="P182" s="79">
        <f>ROUND($P$211/$H$211*H182,0)</f>
        <v>14</v>
      </c>
      <c r="Q182" s="70"/>
      <c r="R182" s="79">
        <f t="shared" si="52"/>
        <v>5683</v>
      </c>
      <c r="S182" s="85"/>
      <c r="T182" s="412"/>
      <c r="V182" s="420"/>
      <c r="Y182" s="409"/>
      <c r="AA182" s="225"/>
      <c r="AC182" s="101">
        <v>532</v>
      </c>
      <c r="AQ182" s="212"/>
      <c r="AR182" s="154"/>
    </row>
    <row r="183" spans="1:49" x14ac:dyDescent="0.25">
      <c r="A183" s="425">
        <v>114</v>
      </c>
      <c r="B183" s="80"/>
      <c r="C183" s="81" t="s">
        <v>683</v>
      </c>
      <c r="D183" s="80"/>
      <c r="E183" s="80"/>
      <c r="F183" s="396">
        <v>132</v>
      </c>
      <c r="G183" s="70"/>
      <c r="H183" s="225">
        <f t="shared" si="49"/>
        <v>5852</v>
      </c>
      <c r="I183" s="70"/>
      <c r="J183" s="349">
        <f>ROUND(AC405+(AC405*$AG$1),2)</f>
        <v>38.299999999999997</v>
      </c>
      <c r="K183" s="162"/>
      <c r="L183" s="79">
        <f t="shared" si="50"/>
        <v>5056</v>
      </c>
      <c r="M183" s="70"/>
      <c r="N183" s="156">
        <f t="shared" si="51"/>
        <v>0.3</v>
      </c>
      <c r="O183" s="70"/>
      <c r="P183" s="79">
        <f t="shared" ref="P183" si="53">ROUND($P$211/$H$211*H183,0)</f>
        <v>6</v>
      </c>
      <c r="Q183" s="70"/>
      <c r="R183" s="79">
        <f t="shared" ref="R183" si="54">L183+P183</f>
        <v>5062</v>
      </c>
      <c r="S183" s="85"/>
      <c r="T183" s="412"/>
      <c r="V183" s="420"/>
      <c r="Y183" s="409"/>
      <c r="AA183" s="225"/>
      <c r="AC183" s="101">
        <v>532</v>
      </c>
      <c r="AQ183" s="212"/>
      <c r="AR183" s="154"/>
    </row>
    <row r="184" spans="1:49" x14ac:dyDescent="0.25">
      <c r="A184" s="425">
        <v>115</v>
      </c>
      <c r="B184" s="80"/>
      <c r="C184" s="81" t="s">
        <v>684</v>
      </c>
      <c r="D184" s="80"/>
      <c r="E184" s="80"/>
      <c r="F184" s="396">
        <v>12</v>
      </c>
      <c r="G184" s="70"/>
      <c r="H184" s="225">
        <f t="shared" si="49"/>
        <v>532</v>
      </c>
      <c r="I184" s="70"/>
      <c r="J184" s="349">
        <f t="shared" ref="J184:J189" si="55">ROUND(AC406+(AC406*$AG$1),2)</f>
        <v>29.83</v>
      </c>
      <c r="K184" s="162"/>
      <c r="L184" s="79">
        <f t="shared" si="50"/>
        <v>358</v>
      </c>
      <c r="M184" s="70"/>
      <c r="N184" s="156">
        <f t="shared" si="51"/>
        <v>0</v>
      </c>
      <c r="O184" s="70"/>
      <c r="P184" s="79">
        <f t="shared" ref="P184:P198" si="56">ROUND($P$211/$H$211*H184,0)</f>
        <v>1</v>
      </c>
      <c r="Q184" s="70"/>
      <c r="R184" s="79">
        <f t="shared" ref="R184:R190" si="57">L184+P184</f>
        <v>359</v>
      </c>
      <c r="S184" s="85"/>
      <c r="T184" s="412"/>
      <c r="V184" s="420"/>
      <c r="Y184" s="409"/>
      <c r="AA184" s="225"/>
      <c r="AC184" s="101">
        <v>532</v>
      </c>
      <c r="AQ184" s="212"/>
      <c r="AR184" s="154"/>
    </row>
    <row r="185" spans="1:49" x14ac:dyDescent="0.25">
      <c r="A185" s="425">
        <v>116</v>
      </c>
      <c r="B185" s="80"/>
      <c r="C185" s="81" t="s">
        <v>685</v>
      </c>
      <c r="D185" s="80"/>
      <c r="E185" s="80"/>
      <c r="F185" s="396">
        <v>312</v>
      </c>
      <c r="G185" s="70"/>
      <c r="H185" s="225">
        <f t="shared" si="49"/>
        <v>13832</v>
      </c>
      <c r="I185" s="70"/>
      <c r="J185" s="349">
        <f t="shared" si="55"/>
        <v>39.31</v>
      </c>
      <c r="K185" s="162"/>
      <c r="L185" s="79">
        <f t="shared" si="50"/>
        <v>12265</v>
      </c>
      <c r="M185" s="70"/>
      <c r="N185" s="156">
        <f t="shared" si="51"/>
        <v>0.8</v>
      </c>
      <c r="O185" s="70"/>
      <c r="P185" s="79">
        <f t="shared" si="56"/>
        <v>14</v>
      </c>
      <c r="Q185" s="70"/>
      <c r="R185" s="79">
        <f t="shared" si="57"/>
        <v>12279</v>
      </c>
      <c r="S185" s="85"/>
      <c r="T185" s="412"/>
      <c r="V185" s="420"/>
      <c r="Y185" s="409"/>
      <c r="AA185" s="225"/>
      <c r="AC185" s="101">
        <v>532</v>
      </c>
      <c r="AQ185" s="212"/>
      <c r="AR185" s="154"/>
    </row>
    <row r="186" spans="1:49" x14ac:dyDescent="0.25">
      <c r="A186" s="425">
        <v>117</v>
      </c>
      <c r="B186" s="80"/>
      <c r="C186" s="82" t="s">
        <v>373</v>
      </c>
      <c r="D186" s="80"/>
      <c r="E186" s="80"/>
      <c r="F186" s="396">
        <v>888</v>
      </c>
      <c r="G186" s="70"/>
      <c r="H186" s="225">
        <f t="shared" si="49"/>
        <v>39368</v>
      </c>
      <c r="I186" s="70"/>
      <c r="J186" s="349">
        <f t="shared" si="55"/>
        <v>15.43</v>
      </c>
      <c r="K186" s="162"/>
      <c r="L186" s="79">
        <f t="shared" si="50"/>
        <v>13702</v>
      </c>
      <c r="M186" s="70"/>
      <c r="N186" s="156">
        <f t="shared" si="51"/>
        <v>0.9</v>
      </c>
      <c r="O186" s="70"/>
      <c r="P186" s="79">
        <f t="shared" si="56"/>
        <v>40</v>
      </c>
      <c r="Q186" s="70"/>
      <c r="R186" s="79">
        <f t="shared" si="57"/>
        <v>13742</v>
      </c>
      <c r="S186" s="85"/>
      <c r="T186" s="412"/>
      <c r="V186" s="420"/>
      <c r="Y186" s="409"/>
      <c r="AA186" s="225"/>
      <c r="AC186" s="101">
        <v>532</v>
      </c>
      <c r="AQ186" s="212"/>
      <c r="AR186" s="154"/>
    </row>
    <row r="187" spans="1:49" x14ac:dyDescent="0.25">
      <c r="A187" s="425">
        <v>118</v>
      </c>
      <c r="B187" s="80"/>
      <c r="C187" s="82" t="s">
        <v>518</v>
      </c>
      <c r="D187" s="80"/>
      <c r="E187" s="80"/>
      <c r="F187" s="396">
        <v>0</v>
      </c>
      <c r="G187" s="70"/>
      <c r="H187" s="225">
        <f t="shared" si="49"/>
        <v>0</v>
      </c>
      <c r="I187" s="70"/>
      <c r="J187" s="349">
        <f t="shared" si="55"/>
        <v>12.23</v>
      </c>
      <c r="K187" s="162"/>
      <c r="L187" s="79">
        <f t="shared" si="50"/>
        <v>0</v>
      </c>
      <c r="M187" s="70"/>
      <c r="N187" s="156">
        <f t="shared" si="51"/>
        <v>0</v>
      </c>
      <c r="O187" s="70"/>
      <c r="P187" s="79">
        <f t="shared" si="56"/>
        <v>0</v>
      </c>
      <c r="Q187" s="70"/>
      <c r="R187" s="79">
        <f t="shared" si="57"/>
        <v>0</v>
      </c>
      <c r="S187" s="85"/>
      <c r="T187" s="412"/>
      <c r="V187" s="420"/>
      <c r="Y187" s="409"/>
      <c r="AA187" s="225"/>
      <c r="AC187" s="101">
        <v>487</v>
      </c>
      <c r="AQ187" s="212"/>
      <c r="AR187" s="154"/>
    </row>
    <row r="188" spans="1:49" x14ac:dyDescent="0.25">
      <c r="A188" s="425">
        <v>119</v>
      </c>
      <c r="B188" s="80"/>
      <c r="C188" s="82" t="s">
        <v>384</v>
      </c>
      <c r="D188" s="80"/>
      <c r="E188" s="80"/>
      <c r="F188" s="396">
        <v>696</v>
      </c>
      <c r="G188" s="70"/>
      <c r="H188" s="225">
        <f t="shared" si="49"/>
        <v>28246</v>
      </c>
      <c r="I188" s="70"/>
      <c r="J188" s="349">
        <f>$J$187+$AG$13</f>
        <v>17.149999999999999</v>
      </c>
      <c r="K188" s="162"/>
      <c r="L188" s="79">
        <f t="shared" si="50"/>
        <v>11936</v>
      </c>
      <c r="M188" s="70"/>
      <c r="N188" s="156">
        <f t="shared" si="51"/>
        <v>0.8</v>
      </c>
      <c r="O188" s="70"/>
      <c r="P188" s="79">
        <f t="shared" si="56"/>
        <v>29</v>
      </c>
      <c r="Q188" s="70"/>
      <c r="R188" s="79">
        <f t="shared" si="57"/>
        <v>11965</v>
      </c>
      <c r="S188" s="85"/>
      <c r="T188" s="412"/>
      <c r="V188" s="420"/>
      <c r="Y188" s="409"/>
      <c r="AA188" s="225"/>
      <c r="AC188" s="101">
        <v>487</v>
      </c>
      <c r="AQ188" s="212"/>
      <c r="AR188" s="154"/>
    </row>
    <row r="189" spans="1:49" x14ac:dyDescent="0.25">
      <c r="A189" s="425">
        <v>120</v>
      </c>
      <c r="B189" s="80"/>
      <c r="C189" s="82" t="s">
        <v>519</v>
      </c>
      <c r="D189" s="80"/>
      <c r="E189" s="80"/>
      <c r="F189" s="396">
        <v>0</v>
      </c>
      <c r="G189" s="70"/>
      <c r="H189" s="225">
        <f t="shared" si="49"/>
        <v>0</v>
      </c>
      <c r="I189" s="70"/>
      <c r="J189" s="349">
        <f t="shared" si="55"/>
        <v>15.43</v>
      </c>
      <c r="K189" s="162"/>
      <c r="L189" s="79">
        <f t="shared" si="50"/>
        <v>0</v>
      </c>
      <c r="M189" s="70"/>
      <c r="N189" s="156">
        <f t="shared" si="51"/>
        <v>0</v>
      </c>
      <c r="O189" s="70"/>
      <c r="P189" s="79">
        <f t="shared" si="56"/>
        <v>0</v>
      </c>
      <c r="Q189" s="70"/>
      <c r="R189" s="79">
        <f t="shared" si="57"/>
        <v>0</v>
      </c>
      <c r="S189" s="85"/>
      <c r="T189" s="412"/>
      <c r="V189" s="420"/>
      <c r="Y189" s="409"/>
      <c r="AA189" s="225"/>
      <c r="AC189" s="101">
        <v>532</v>
      </c>
      <c r="AQ189" s="212"/>
      <c r="AR189" s="154"/>
    </row>
    <row r="190" spans="1:49" x14ac:dyDescent="0.25">
      <c r="A190" s="425">
        <v>121</v>
      </c>
      <c r="B190" s="80"/>
      <c r="C190" s="82" t="s">
        <v>372</v>
      </c>
      <c r="D190" s="80"/>
      <c r="E190" s="80"/>
      <c r="F190" s="396">
        <v>0</v>
      </c>
      <c r="G190" s="70"/>
      <c r="H190" s="225">
        <f t="shared" si="49"/>
        <v>0</v>
      </c>
      <c r="I190" s="70"/>
      <c r="J190" s="349">
        <f>$J$189+$AG$9</f>
        <v>28.82</v>
      </c>
      <c r="K190" s="162"/>
      <c r="L190" s="79">
        <f t="shared" si="50"/>
        <v>0</v>
      </c>
      <c r="M190" s="70"/>
      <c r="N190" s="156">
        <f t="shared" si="51"/>
        <v>0</v>
      </c>
      <c r="O190" s="70"/>
      <c r="P190" s="79">
        <f t="shared" si="56"/>
        <v>0</v>
      </c>
      <c r="Q190" s="70"/>
      <c r="R190" s="79">
        <f t="shared" si="57"/>
        <v>0</v>
      </c>
      <c r="S190" s="85"/>
      <c r="T190" s="412"/>
      <c r="V190" s="420"/>
      <c r="Y190" s="409"/>
      <c r="AA190" s="225"/>
      <c r="AC190" s="101">
        <v>532</v>
      </c>
      <c r="AQ190" s="212"/>
      <c r="AR190" s="154"/>
    </row>
    <row r="191" spans="1:49" x14ac:dyDescent="0.25">
      <c r="A191" s="425">
        <v>122</v>
      </c>
      <c r="B191" s="427"/>
      <c r="C191" s="138" t="s">
        <v>620</v>
      </c>
      <c r="D191" s="427"/>
      <c r="E191" s="80"/>
      <c r="F191" s="396">
        <v>0</v>
      </c>
      <c r="G191" s="70"/>
      <c r="H191" s="225">
        <f t="shared" si="49"/>
        <v>0</v>
      </c>
      <c r="I191" s="70"/>
      <c r="J191" s="349">
        <f>$J$189+$AG$13</f>
        <v>20.350000000000001</v>
      </c>
      <c r="K191" s="162"/>
      <c r="L191" s="79">
        <f t="shared" si="50"/>
        <v>0</v>
      </c>
      <c r="M191" s="70"/>
      <c r="N191" s="156">
        <f t="shared" si="51"/>
        <v>0</v>
      </c>
      <c r="O191" s="70"/>
      <c r="P191" s="79">
        <f t="shared" si="56"/>
        <v>0</v>
      </c>
      <c r="Q191" s="70"/>
      <c r="R191" s="79">
        <f t="shared" ref="R191:R192" si="58">L191+P191</f>
        <v>0</v>
      </c>
      <c r="S191" s="85"/>
      <c r="T191" s="412"/>
      <c r="V191" s="420"/>
      <c r="Y191" s="409"/>
      <c r="AA191" s="225"/>
      <c r="AC191" s="101">
        <v>532</v>
      </c>
      <c r="AQ191" s="212"/>
      <c r="AR191" s="154"/>
    </row>
    <row r="192" spans="1:49" x14ac:dyDescent="0.25">
      <c r="A192" s="425">
        <v>123</v>
      </c>
      <c r="B192" s="427"/>
      <c r="C192" s="138" t="s">
        <v>621</v>
      </c>
      <c r="D192" s="427"/>
      <c r="E192" s="80"/>
      <c r="F192" s="396">
        <v>0</v>
      </c>
      <c r="G192" s="70"/>
      <c r="H192" s="225">
        <f t="shared" si="49"/>
        <v>0</v>
      </c>
      <c r="I192" s="70"/>
      <c r="J192" s="349">
        <f>$J$189+$AG$14</f>
        <v>29.83</v>
      </c>
      <c r="K192" s="162"/>
      <c r="L192" s="79">
        <f t="shared" si="50"/>
        <v>0</v>
      </c>
      <c r="M192" s="70"/>
      <c r="N192" s="156">
        <f t="shared" si="51"/>
        <v>0</v>
      </c>
      <c r="O192" s="70"/>
      <c r="P192" s="79">
        <f t="shared" si="56"/>
        <v>0</v>
      </c>
      <c r="Q192" s="70"/>
      <c r="R192" s="79">
        <f t="shared" si="58"/>
        <v>0</v>
      </c>
      <c r="S192" s="85"/>
      <c r="T192" s="412"/>
      <c r="V192" s="420"/>
      <c r="Y192" s="409"/>
      <c r="AA192" s="225"/>
      <c r="AC192" s="101">
        <v>532</v>
      </c>
      <c r="AQ192" s="212"/>
      <c r="AR192" s="154"/>
    </row>
    <row r="193" spans="1:53" x14ac:dyDescent="0.25">
      <c r="A193" s="425">
        <v>124</v>
      </c>
      <c r="B193" s="80"/>
      <c r="C193" s="81" t="s">
        <v>509</v>
      </c>
      <c r="D193" s="80"/>
      <c r="E193" s="80"/>
      <c r="F193" s="225">
        <v>0</v>
      </c>
      <c r="G193" s="70"/>
      <c r="H193" s="225">
        <f t="shared" si="49"/>
        <v>0</v>
      </c>
      <c r="I193" s="78"/>
      <c r="J193" s="349">
        <f t="shared" ref="J193" si="59">ROUND(AC415+(AC415*$AG$1),2)</f>
        <v>13.59</v>
      </c>
      <c r="K193" s="352"/>
      <c r="L193" s="79">
        <f t="shared" si="50"/>
        <v>0</v>
      </c>
      <c r="M193" s="79"/>
      <c r="N193" s="156">
        <f t="shared" si="51"/>
        <v>0</v>
      </c>
      <c r="O193" s="156"/>
      <c r="P193" s="79">
        <f t="shared" si="56"/>
        <v>0</v>
      </c>
      <c r="Q193" s="79"/>
      <c r="R193" s="79">
        <f t="shared" ref="R193" si="60">L193+P193</f>
        <v>0</v>
      </c>
      <c r="S193" s="85"/>
      <c r="V193" s="420"/>
      <c r="Y193" s="409"/>
      <c r="AA193" s="225"/>
      <c r="AC193" s="101">
        <v>1023</v>
      </c>
      <c r="AG193" s="297"/>
      <c r="AH193" s="154"/>
      <c r="AQ193" s="212"/>
      <c r="AR193" s="202"/>
    </row>
    <row r="194" spans="1:53" x14ac:dyDescent="0.25">
      <c r="A194" s="425">
        <v>125</v>
      </c>
      <c r="B194" s="80"/>
      <c r="C194" s="81" t="s">
        <v>512</v>
      </c>
      <c r="D194" s="80"/>
      <c r="E194" s="80"/>
      <c r="F194" s="225">
        <v>169</v>
      </c>
      <c r="G194" s="70"/>
      <c r="H194" s="225">
        <f t="shared" si="49"/>
        <v>14407</v>
      </c>
      <c r="I194" s="78"/>
      <c r="J194" s="349">
        <f>$J$193+$AG$15</f>
        <v>22.97</v>
      </c>
      <c r="K194" s="352"/>
      <c r="L194" s="79">
        <f t="shared" si="50"/>
        <v>3882</v>
      </c>
      <c r="M194" s="79"/>
      <c r="N194" s="156">
        <f t="shared" si="51"/>
        <v>0.3</v>
      </c>
      <c r="O194" s="156"/>
      <c r="P194" s="79">
        <f t="shared" si="56"/>
        <v>15</v>
      </c>
      <c r="Q194" s="79"/>
      <c r="R194" s="79">
        <f t="shared" si="52"/>
        <v>3897</v>
      </c>
      <c r="S194" s="85"/>
      <c r="V194" s="420"/>
      <c r="Y194" s="409"/>
      <c r="AA194" s="225"/>
      <c r="AC194" s="101">
        <v>1023</v>
      </c>
      <c r="AG194" s="297"/>
      <c r="AH194" s="154"/>
      <c r="AQ194" s="212"/>
      <c r="AR194" s="202"/>
    </row>
    <row r="195" spans="1:53" x14ac:dyDescent="0.25">
      <c r="A195" s="428">
        <v>126</v>
      </c>
      <c r="B195" s="80"/>
      <c r="C195" s="81" t="s">
        <v>510</v>
      </c>
      <c r="D195" s="80"/>
      <c r="E195" s="80"/>
      <c r="F195" s="225">
        <v>0</v>
      </c>
      <c r="G195" s="70"/>
      <c r="H195" s="225">
        <f t="shared" si="49"/>
        <v>0</v>
      </c>
      <c r="I195" s="78"/>
      <c r="J195" s="349">
        <f t="shared" ref="J195" si="61">ROUND(AC417+(AC417*$AG$1),2)</f>
        <v>17.97</v>
      </c>
      <c r="K195" s="352"/>
      <c r="L195" s="79">
        <f t="shared" si="50"/>
        <v>0</v>
      </c>
      <c r="M195" s="79"/>
      <c r="N195" s="156">
        <f t="shared" si="51"/>
        <v>0</v>
      </c>
      <c r="O195" s="156"/>
      <c r="P195" s="163">
        <f t="shared" si="56"/>
        <v>0</v>
      </c>
      <c r="Q195" s="79"/>
      <c r="R195" s="79">
        <f>L195+P195</f>
        <v>0</v>
      </c>
      <c r="S195" s="85"/>
      <c r="T195" s="412"/>
      <c r="U195" s="102"/>
      <c r="V195" s="420"/>
      <c r="W195" s="102"/>
      <c r="X195" s="102"/>
      <c r="Y195" s="409"/>
      <c r="Z195" s="102"/>
      <c r="AA195" s="225"/>
      <c r="AB195" s="102"/>
      <c r="AC195" s="101">
        <v>1959</v>
      </c>
      <c r="AD195" s="102"/>
      <c r="AE195" s="102"/>
      <c r="AF195" s="102"/>
      <c r="AG195" s="208"/>
      <c r="AH195" s="102"/>
      <c r="AI195" s="102"/>
      <c r="AJ195" s="102"/>
      <c r="AK195" s="208"/>
      <c r="AL195" s="102"/>
      <c r="AM195" s="102"/>
      <c r="AN195" s="102"/>
      <c r="AO195" s="102"/>
      <c r="AP195" s="102"/>
      <c r="AQ195" s="212"/>
      <c r="AR195" s="102"/>
      <c r="AS195" s="102"/>
    </row>
    <row r="196" spans="1:53" x14ac:dyDescent="0.25">
      <c r="A196" s="428">
        <v>127</v>
      </c>
      <c r="B196" s="80"/>
      <c r="C196" s="81" t="s">
        <v>511</v>
      </c>
      <c r="D196" s="80"/>
      <c r="E196" s="80"/>
      <c r="F196" s="225">
        <v>36</v>
      </c>
      <c r="G196" s="70"/>
      <c r="H196" s="225">
        <f t="shared" si="49"/>
        <v>5877</v>
      </c>
      <c r="I196" s="78"/>
      <c r="J196" s="349">
        <f>$J$195+$AG$15</f>
        <v>27.35</v>
      </c>
      <c r="K196" s="352"/>
      <c r="L196" s="79">
        <f t="shared" si="50"/>
        <v>985</v>
      </c>
      <c r="M196" s="79"/>
      <c r="N196" s="156">
        <f t="shared" si="51"/>
        <v>0.1</v>
      </c>
      <c r="O196" s="156"/>
      <c r="P196" s="163">
        <f t="shared" si="56"/>
        <v>6</v>
      </c>
      <c r="Q196" s="79"/>
      <c r="R196" s="79">
        <f>L196+P196</f>
        <v>991</v>
      </c>
      <c r="S196" s="85"/>
      <c r="T196" s="412"/>
      <c r="U196" s="102"/>
      <c r="V196" s="420"/>
      <c r="W196" s="102"/>
      <c r="X196" s="102"/>
      <c r="Y196" s="409"/>
      <c r="Z196" s="102"/>
      <c r="AA196" s="225"/>
      <c r="AB196" s="102"/>
      <c r="AC196" s="101">
        <v>1959</v>
      </c>
      <c r="AD196" s="102"/>
      <c r="AE196" s="102"/>
      <c r="AF196" s="102"/>
      <c r="AG196" s="208"/>
      <c r="AH196" s="102"/>
      <c r="AI196" s="102"/>
      <c r="AJ196" s="102"/>
      <c r="AK196" s="208"/>
      <c r="AL196" s="102"/>
      <c r="AM196" s="102"/>
      <c r="AN196" s="102"/>
      <c r="AO196" s="102"/>
      <c r="AP196" s="102"/>
      <c r="AQ196" s="212"/>
      <c r="AR196" s="102"/>
      <c r="AS196" s="102"/>
    </row>
    <row r="197" spans="1:53" x14ac:dyDescent="0.25">
      <c r="A197" s="429">
        <v>128</v>
      </c>
      <c r="B197" s="80"/>
      <c r="C197" s="81" t="s">
        <v>513</v>
      </c>
      <c r="D197" s="80"/>
      <c r="E197" s="80"/>
      <c r="F197" s="225">
        <v>204</v>
      </c>
      <c r="G197" s="70"/>
      <c r="H197" s="225">
        <f t="shared" si="49"/>
        <v>33303</v>
      </c>
      <c r="I197" s="78"/>
      <c r="J197" s="349">
        <f>$J$195+$AG$16</f>
        <v>27.589999999999996</v>
      </c>
      <c r="K197" s="352"/>
      <c r="L197" s="79">
        <f t="shared" si="50"/>
        <v>5628</v>
      </c>
      <c r="M197" s="79"/>
      <c r="N197" s="198">
        <f t="shared" si="51"/>
        <v>0.4</v>
      </c>
      <c r="O197" s="198"/>
      <c r="P197" s="163">
        <f t="shared" si="56"/>
        <v>34</v>
      </c>
      <c r="Q197" s="79"/>
      <c r="R197" s="79">
        <f>L197+P197</f>
        <v>5662</v>
      </c>
      <c r="S197" s="85"/>
      <c r="T197" s="412"/>
      <c r="U197" s="102"/>
      <c r="V197" s="420"/>
      <c r="W197" s="102"/>
      <c r="X197" s="102"/>
      <c r="Y197" s="409"/>
      <c r="Z197" s="102"/>
      <c r="AA197" s="225"/>
      <c r="AB197" s="102"/>
      <c r="AC197" s="101">
        <v>1959</v>
      </c>
      <c r="AD197" s="102"/>
      <c r="AE197" s="102"/>
      <c r="AF197" s="102"/>
      <c r="AG197" s="208"/>
      <c r="AH197" s="102"/>
      <c r="AI197" s="102"/>
      <c r="AJ197" s="102"/>
      <c r="AK197" s="208"/>
      <c r="AL197" s="102"/>
      <c r="AM197" s="102"/>
      <c r="AN197" s="102"/>
      <c r="AO197" s="102"/>
      <c r="AP197" s="102"/>
      <c r="AQ197" s="212"/>
      <c r="AR197" s="102"/>
      <c r="AS197" s="102"/>
    </row>
    <row r="198" spans="1:53" x14ac:dyDescent="0.25">
      <c r="A198" s="429">
        <v>129</v>
      </c>
      <c r="B198" s="80"/>
      <c r="C198" s="81" t="s">
        <v>514</v>
      </c>
      <c r="D198" s="80"/>
      <c r="E198" s="80"/>
      <c r="F198" s="225">
        <v>0</v>
      </c>
      <c r="G198" s="70"/>
      <c r="H198" s="225">
        <f t="shared" si="49"/>
        <v>0</v>
      </c>
      <c r="I198" s="78"/>
      <c r="J198" s="349">
        <f t="shared" ref="J198" si="62">ROUND(AC420+(AC420*$AG$1),2)</f>
        <v>26.62</v>
      </c>
      <c r="K198" s="352"/>
      <c r="L198" s="79">
        <f t="shared" si="50"/>
        <v>0</v>
      </c>
      <c r="M198" s="79"/>
      <c r="N198" s="341">
        <f t="shared" si="51"/>
        <v>0</v>
      </c>
      <c r="O198" s="156"/>
      <c r="P198" s="167">
        <f t="shared" si="56"/>
        <v>0</v>
      </c>
      <c r="Q198" s="79"/>
      <c r="R198" s="79">
        <f>L198+P198</f>
        <v>0</v>
      </c>
      <c r="S198" s="85"/>
      <c r="T198" s="412"/>
      <c r="U198" s="102"/>
      <c r="V198" s="420"/>
      <c r="W198" s="102"/>
      <c r="X198" s="102"/>
      <c r="Y198" s="409"/>
      <c r="Z198" s="102"/>
      <c r="AA198" s="225"/>
      <c r="AB198" s="102"/>
      <c r="AC198" s="101">
        <v>1959</v>
      </c>
      <c r="AD198" s="102"/>
      <c r="AE198" s="102"/>
      <c r="AF198" s="102"/>
      <c r="AG198" s="208"/>
      <c r="AH198" s="102"/>
      <c r="AI198" s="102"/>
      <c r="AJ198" s="102"/>
      <c r="AK198" s="208"/>
      <c r="AL198" s="102"/>
      <c r="AM198" s="102"/>
      <c r="AN198" s="102"/>
      <c r="AO198" s="102"/>
      <c r="AP198" s="102"/>
      <c r="AQ198" s="212"/>
      <c r="AR198" s="102"/>
      <c r="AS198" s="102"/>
    </row>
    <row r="199" spans="1:53" ht="20.100000000000001" customHeight="1" x14ac:dyDescent="0.25">
      <c r="A199" s="429">
        <v>130</v>
      </c>
      <c r="B199" s="80"/>
      <c r="C199" s="265" t="s">
        <v>347</v>
      </c>
      <c r="D199" s="80"/>
      <c r="E199" s="80"/>
      <c r="F199" s="169">
        <f>SUM(F98:F198)</f>
        <v>18145</v>
      </c>
      <c r="G199" s="70"/>
      <c r="H199" s="169">
        <f>SUM(H98:H198)</f>
        <v>1244438</v>
      </c>
      <c r="I199" s="79"/>
      <c r="J199" s="70"/>
      <c r="K199" s="70"/>
      <c r="L199" s="169">
        <f>SUM(L98:L198)</f>
        <v>301043</v>
      </c>
      <c r="M199" s="79"/>
      <c r="N199" s="303">
        <f>ROUND((L199/L$211)*100,1)</f>
        <v>20.100000000000001</v>
      </c>
      <c r="O199" s="158"/>
      <c r="P199" s="342">
        <f>ROUND(H199*CUR_FAC,0)</f>
        <v>1279</v>
      </c>
      <c r="Q199" s="79"/>
      <c r="R199" s="169">
        <f>SUM(R98:R198)</f>
        <v>302322</v>
      </c>
      <c r="V199" s="103"/>
      <c r="W199" s="103"/>
      <c r="X199" s="103"/>
      <c r="Y199" s="103"/>
      <c r="Z199" s="103"/>
      <c r="AA199" s="169"/>
      <c r="AC199" s="103"/>
      <c r="AD199" s="103"/>
      <c r="AE199" s="103"/>
      <c r="AF199" s="103"/>
      <c r="AG199" s="185"/>
      <c r="AH199" s="103"/>
      <c r="AI199" s="103"/>
      <c r="AJ199" s="103"/>
      <c r="AK199" s="185"/>
      <c r="AL199" s="103"/>
      <c r="AM199" s="103"/>
      <c r="AN199" s="103"/>
      <c r="AO199" s="103"/>
      <c r="AP199" s="103"/>
      <c r="AQ199" s="212"/>
      <c r="AR199" s="103"/>
      <c r="AS199" s="103"/>
    </row>
    <row r="200" spans="1:53" ht="20.100000000000001" customHeight="1" x14ac:dyDescent="0.25">
      <c r="A200" s="425">
        <v>131</v>
      </c>
      <c r="B200" s="80"/>
      <c r="C200" s="253" t="s">
        <v>779</v>
      </c>
      <c r="D200" s="80"/>
      <c r="E200" s="80"/>
      <c r="F200" s="163"/>
      <c r="G200" s="70"/>
      <c r="H200" s="163"/>
      <c r="I200" s="79"/>
      <c r="J200" s="70"/>
      <c r="K200" s="70"/>
      <c r="L200" s="163"/>
      <c r="M200" s="79"/>
      <c r="N200" s="198"/>
      <c r="O200" s="158"/>
      <c r="P200" s="200"/>
      <c r="Q200" s="79"/>
      <c r="R200" s="163"/>
      <c r="V200" s="103"/>
      <c r="W200" s="103"/>
      <c r="X200" s="103"/>
      <c r="Y200" s="103"/>
      <c r="Z200" s="103"/>
      <c r="AA200" s="163"/>
      <c r="AC200" s="103"/>
      <c r="AD200" s="103"/>
      <c r="AE200" s="103"/>
      <c r="AF200" s="103"/>
      <c r="AG200" s="185"/>
      <c r="AH200" s="103"/>
      <c r="AI200" s="103"/>
      <c r="AJ200" s="103"/>
      <c r="AK200" s="185"/>
      <c r="AL200" s="103"/>
      <c r="AM200" s="103"/>
      <c r="AN200" s="103"/>
      <c r="AO200" s="103"/>
      <c r="AP200" s="103"/>
      <c r="AQ200" s="212"/>
      <c r="AR200" s="103"/>
      <c r="AS200" s="103"/>
    </row>
    <row r="201" spans="1:53" ht="20.100000000000001" customHeight="1" x14ac:dyDescent="0.25">
      <c r="A201" s="425">
        <v>132</v>
      </c>
      <c r="B201" s="80"/>
      <c r="C201" s="153" t="str">
        <f>ESM_Name</f>
        <v>ENVIRONMENTAL SURCHARGE MECHANISM RIDER (ESM)</v>
      </c>
      <c r="D201" s="80"/>
      <c r="E201" s="80"/>
      <c r="F201" s="163"/>
      <c r="G201" s="70"/>
      <c r="H201" s="163"/>
      <c r="I201" s="79"/>
      <c r="J201" s="430">
        <f>PRO_ESM</f>
        <v>0</v>
      </c>
      <c r="K201" s="70"/>
      <c r="L201" s="163">
        <f>ROUND(($R$199+$R$94)*J201,0)</f>
        <v>0</v>
      </c>
      <c r="M201" s="79"/>
      <c r="N201" s="198">
        <f t="shared" ref="N201:N203" si="63">ROUND((L201/L$211)*100,1)</f>
        <v>0</v>
      </c>
      <c r="O201" s="158"/>
      <c r="P201" s="200"/>
      <c r="Q201" s="79"/>
      <c r="R201" s="163">
        <f t="shared" ref="R201:R203" si="64">L201+P201</f>
        <v>0</v>
      </c>
      <c r="V201" s="103"/>
      <c r="W201" s="103"/>
      <c r="X201" s="103"/>
      <c r="Y201" s="103"/>
      <c r="Z201" s="103"/>
      <c r="AA201" s="163"/>
      <c r="AC201" s="103"/>
      <c r="AD201" s="103"/>
      <c r="AE201" s="103"/>
      <c r="AF201" s="103"/>
      <c r="AG201" s="185"/>
      <c r="AH201" s="103"/>
      <c r="AI201" s="103"/>
      <c r="AJ201" s="103"/>
      <c r="AK201" s="185"/>
      <c r="AL201" s="103"/>
      <c r="AM201" s="103"/>
      <c r="AN201" s="103"/>
      <c r="AO201" s="103"/>
      <c r="AP201" s="103"/>
      <c r="AQ201" s="212"/>
      <c r="AR201" s="103"/>
      <c r="AS201" s="103"/>
    </row>
    <row r="202" spans="1:53" ht="20.100000000000001" customHeight="1" x14ac:dyDescent="0.25">
      <c r="A202" s="425">
        <v>133</v>
      </c>
      <c r="B202" s="80"/>
      <c r="C202" s="153" t="str">
        <f>DCI_Name</f>
        <v>DISTRIBUTION CAPITAL INVESTMENT RIDER (DCI)</v>
      </c>
      <c r="D202" s="80"/>
      <c r="E202" s="80"/>
      <c r="F202" s="163"/>
      <c r="G202" s="70"/>
      <c r="H202" s="163"/>
      <c r="I202" s="79"/>
      <c r="J202" s="430">
        <f>PRO_DCI_SL</f>
        <v>0</v>
      </c>
      <c r="K202" s="70"/>
      <c r="L202" s="163">
        <f>ROUND(($H$199+$H$94)*J202,0)</f>
        <v>0</v>
      </c>
      <c r="M202" s="79"/>
      <c r="N202" s="198">
        <f t="shared" si="63"/>
        <v>0</v>
      </c>
      <c r="O202" s="158"/>
      <c r="P202" s="200"/>
      <c r="Q202" s="79"/>
      <c r="R202" s="163">
        <f t="shared" si="64"/>
        <v>0</v>
      </c>
      <c r="V202" s="103"/>
      <c r="W202" s="103"/>
      <c r="X202" s="103"/>
      <c r="Y202" s="103"/>
      <c r="Z202" s="103"/>
      <c r="AA202" s="163"/>
      <c r="AC202" s="103"/>
      <c r="AD202" s="103"/>
      <c r="AE202" s="103"/>
      <c r="AF202" s="103"/>
      <c r="AG202" s="185"/>
      <c r="AH202" s="103"/>
      <c r="AI202" s="103"/>
      <c r="AJ202" s="103"/>
      <c r="AK202" s="185"/>
      <c r="AL202" s="103"/>
      <c r="AM202" s="103"/>
      <c r="AN202" s="103"/>
      <c r="AO202" s="103"/>
      <c r="AP202" s="103"/>
      <c r="AQ202" s="212"/>
      <c r="AR202" s="103"/>
      <c r="AS202" s="103"/>
    </row>
    <row r="203" spans="1:53" ht="20.100000000000001" customHeight="1" x14ac:dyDescent="0.25">
      <c r="A203" s="425">
        <v>134</v>
      </c>
      <c r="B203" s="80"/>
      <c r="C203" s="153" t="str">
        <f>FTR_Name</f>
        <v>FERC TRANSMISSION COST RECOVERY RECONCILIATION (FTR)</v>
      </c>
      <c r="D203" s="80"/>
      <c r="E203" s="80"/>
      <c r="F203" s="163"/>
      <c r="G203" s="70"/>
      <c r="H203" s="163"/>
      <c r="I203" s="79"/>
      <c r="J203" s="430">
        <f>PRO_FTR_SL</f>
        <v>0</v>
      </c>
      <c r="K203" s="70"/>
      <c r="L203" s="163">
        <f>ROUND(($H$199+$H$94)*J203,0)</f>
        <v>0</v>
      </c>
      <c r="M203" s="79"/>
      <c r="N203" s="198">
        <f t="shared" si="63"/>
        <v>0</v>
      </c>
      <c r="O203" s="158"/>
      <c r="P203" s="200"/>
      <c r="Q203" s="79"/>
      <c r="R203" s="163">
        <f t="shared" si="64"/>
        <v>0</v>
      </c>
      <c r="V203" s="103"/>
      <c r="W203" s="103"/>
      <c r="X203" s="103"/>
      <c r="Y203" s="103"/>
      <c r="Z203" s="103"/>
      <c r="AA203" s="163"/>
      <c r="AC203" s="103"/>
      <c r="AD203" s="103"/>
      <c r="AE203" s="103"/>
      <c r="AF203" s="103"/>
      <c r="AG203" s="185"/>
      <c r="AH203" s="103"/>
      <c r="AI203" s="103"/>
      <c r="AJ203" s="103"/>
      <c r="AK203" s="185"/>
      <c r="AL203" s="103"/>
      <c r="AM203" s="103"/>
      <c r="AN203" s="103"/>
      <c r="AO203" s="103"/>
      <c r="AP203" s="103"/>
      <c r="AQ203" s="212"/>
      <c r="AR203" s="103"/>
      <c r="AS203" s="103"/>
    </row>
    <row r="204" spans="1:53" ht="15.75" customHeight="1" x14ac:dyDescent="0.25">
      <c r="A204" s="428">
        <v>135</v>
      </c>
      <c r="B204" s="80"/>
      <c r="C204" s="153" t="str">
        <f>PSM_Name</f>
        <v>PROFIT SHARING MECHANISM (PSM)</v>
      </c>
      <c r="D204" s="80"/>
      <c r="E204" s="80"/>
      <c r="F204" s="163"/>
      <c r="G204" s="70"/>
      <c r="H204" s="163"/>
      <c r="I204" s="79"/>
      <c r="J204" s="430">
        <f>PRO_PSM</f>
        <v>-4.5600000000000003E-4</v>
      </c>
      <c r="K204" s="70"/>
      <c r="L204" s="167">
        <f>ROUND(($H$199+$H$94)*J204,0)</f>
        <v>-4943</v>
      </c>
      <c r="M204" s="79"/>
      <c r="N204" s="166">
        <f>ROUND((L204/L$211)*100,1)</f>
        <v>-0.3</v>
      </c>
      <c r="O204" s="158"/>
      <c r="P204" s="353"/>
      <c r="Q204" s="79"/>
      <c r="R204" s="167">
        <f t="shared" ref="R204" si="65">L204+P204</f>
        <v>-4943</v>
      </c>
      <c r="V204" s="103"/>
      <c r="W204" s="103"/>
      <c r="X204" s="103"/>
      <c r="Y204" s="103"/>
      <c r="Z204" s="103"/>
      <c r="AA204" s="163"/>
      <c r="AC204" s="103"/>
      <c r="AD204" s="103"/>
      <c r="AE204" s="103"/>
      <c r="AF204" s="103"/>
      <c r="AG204" s="185"/>
      <c r="AH204" s="103"/>
      <c r="AI204" s="103"/>
      <c r="AJ204" s="103"/>
      <c r="AK204" s="185"/>
      <c r="AL204" s="103"/>
      <c r="AM204" s="103"/>
      <c r="AN204" s="103"/>
      <c r="AO204" s="103"/>
      <c r="AP204" s="103"/>
      <c r="AQ204" s="212"/>
      <c r="AR204" s="103"/>
      <c r="AS204" s="103"/>
    </row>
    <row r="205" spans="1:53" ht="20.100000000000001" customHeight="1" x14ac:dyDescent="0.25">
      <c r="A205" s="428">
        <v>136</v>
      </c>
      <c r="B205" s="80"/>
      <c r="C205" s="253" t="s">
        <v>585</v>
      </c>
      <c r="D205" s="80"/>
      <c r="E205" s="80"/>
      <c r="F205" s="163"/>
      <c r="G205" s="70"/>
      <c r="H205" s="163"/>
      <c r="I205" s="79"/>
      <c r="J205" s="70"/>
      <c r="K205" s="70"/>
      <c r="L205" s="169">
        <f>SUM(L201:L204)</f>
        <v>-4943</v>
      </c>
      <c r="M205" s="79"/>
      <c r="N205" s="170">
        <f>ROUND((L205/L$211)*100,1)</f>
        <v>-0.3</v>
      </c>
      <c r="O205" s="158"/>
      <c r="P205" s="342"/>
      <c r="Q205" s="79"/>
      <c r="R205" s="169">
        <f>SUM(R201:R204)</f>
        <v>-4943</v>
      </c>
      <c r="V205" s="103"/>
      <c r="W205" s="103"/>
      <c r="X205" s="103"/>
      <c r="Y205" s="103"/>
      <c r="Z205" s="103"/>
      <c r="AA205" s="163"/>
      <c r="AC205" s="103"/>
      <c r="AD205" s="103"/>
      <c r="AE205" s="103"/>
      <c r="AF205" s="103"/>
      <c r="AG205" s="185"/>
      <c r="AH205" s="103"/>
      <c r="AI205" s="103"/>
      <c r="AJ205" s="103"/>
      <c r="AK205" s="185"/>
      <c r="AL205" s="103"/>
      <c r="AM205" s="103"/>
      <c r="AN205" s="103"/>
      <c r="AO205" s="103"/>
      <c r="AP205" s="103"/>
      <c r="AQ205" s="212"/>
      <c r="AR205" s="103"/>
      <c r="AS205" s="103"/>
    </row>
    <row r="206" spans="1:53" ht="15.75" customHeight="1" x14ac:dyDescent="0.25">
      <c r="A206" s="428"/>
      <c r="B206" s="80"/>
      <c r="C206" s="253"/>
      <c r="D206" s="80"/>
      <c r="E206" s="80"/>
      <c r="F206" s="163"/>
      <c r="G206" s="70"/>
      <c r="H206" s="163"/>
      <c r="I206" s="79"/>
      <c r="J206" s="70"/>
      <c r="K206" s="70"/>
      <c r="L206" s="163"/>
      <c r="M206" s="79"/>
      <c r="N206" s="198"/>
      <c r="O206" s="158"/>
      <c r="P206" s="200"/>
      <c r="Q206" s="79"/>
      <c r="R206" s="163"/>
      <c r="V206" s="103"/>
      <c r="W206" s="103"/>
      <c r="X206" s="103"/>
      <c r="Y206" s="103"/>
      <c r="Z206" s="103"/>
      <c r="AA206" s="163"/>
      <c r="AC206" s="103"/>
      <c r="AD206" s="103"/>
      <c r="AE206" s="103"/>
      <c r="AF206" s="103"/>
      <c r="AG206" s="185"/>
      <c r="AH206" s="103"/>
      <c r="AI206" s="103"/>
      <c r="AJ206" s="103"/>
      <c r="AK206" s="185"/>
      <c r="AL206" s="103"/>
      <c r="AM206" s="103"/>
      <c r="AN206" s="103"/>
      <c r="AO206" s="103"/>
      <c r="AP206" s="103"/>
      <c r="AQ206" s="212"/>
      <c r="AR206" s="103"/>
      <c r="AS206" s="103"/>
    </row>
    <row r="207" spans="1:53" ht="20.100000000000001" customHeight="1" x14ac:dyDescent="0.25">
      <c r="A207" s="159">
        <v>137</v>
      </c>
      <c r="C207" s="397" t="s">
        <v>407</v>
      </c>
      <c r="F207" s="163"/>
      <c r="G207" s="85"/>
      <c r="H207" s="200"/>
      <c r="I207" s="163"/>
      <c r="J207" s="85"/>
      <c r="K207" s="85"/>
      <c r="L207" s="85"/>
      <c r="M207" s="85"/>
      <c r="N207" s="431"/>
      <c r="O207" s="85"/>
      <c r="P207" s="163"/>
      <c r="Q207" s="163"/>
      <c r="R207" s="198"/>
      <c r="S207" s="199"/>
      <c r="T207" s="432"/>
      <c r="U207" s="163"/>
      <c r="V207" s="163"/>
      <c r="Z207" s="103"/>
      <c r="AA207" s="200"/>
      <c r="AB207" s="103"/>
      <c r="AC207" s="103"/>
      <c r="AD207" s="103"/>
      <c r="AE207" s="103"/>
      <c r="AG207" s="185"/>
      <c r="AH207" s="103"/>
      <c r="AI207" s="103"/>
      <c r="AJ207" s="103"/>
      <c r="AK207" s="185"/>
      <c r="AL207" s="103"/>
      <c r="AM207" s="103"/>
      <c r="AN207" s="103"/>
      <c r="AO207" s="103"/>
      <c r="AP207" s="103"/>
      <c r="AQ207" s="185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</row>
    <row r="208" spans="1:53" x14ac:dyDescent="0.25">
      <c r="A208" s="101">
        <v>138</v>
      </c>
      <c r="C208" s="154" t="s">
        <v>408</v>
      </c>
      <c r="F208" s="225">
        <v>5647</v>
      </c>
      <c r="G208" s="85"/>
      <c r="H208" s="163"/>
      <c r="I208" s="78"/>
      <c r="J208" s="349">
        <f>ROUND(AC430+(AC430*$AG$1),2)</f>
        <v>0.57999999999999996</v>
      </c>
      <c r="K208" s="352"/>
      <c r="L208" s="79">
        <f t="shared" ref="L208:L209" si="66">ROUND((F208*J208),0)</f>
        <v>3275</v>
      </c>
      <c r="M208" s="79"/>
      <c r="N208" s="198">
        <f>ROUND((L208/L$211)*100,1)</f>
        <v>0.2</v>
      </c>
      <c r="O208" s="198"/>
      <c r="P208" s="163"/>
      <c r="Q208" s="79"/>
      <c r="R208" s="79">
        <f>L208+P208</f>
        <v>3275</v>
      </c>
      <c r="S208" s="198"/>
      <c r="T208" s="432"/>
      <c r="U208" s="163"/>
      <c r="V208" s="433"/>
      <c r="Y208" s="409"/>
      <c r="Z208" s="103"/>
      <c r="AA208" s="163"/>
      <c r="AB208" s="103"/>
      <c r="AC208" s="103"/>
      <c r="AD208" s="103"/>
      <c r="AE208" s="103"/>
      <c r="AG208" s="185"/>
      <c r="AH208" s="103"/>
      <c r="AI208" s="103"/>
      <c r="AJ208" s="103"/>
      <c r="AK208" s="185"/>
      <c r="AL208" s="103"/>
      <c r="AM208" s="103"/>
      <c r="AN208" s="103"/>
      <c r="AO208" s="103"/>
      <c r="AP208" s="103"/>
      <c r="AQ208" s="185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</row>
    <row r="209" spans="1:53" x14ac:dyDescent="0.25">
      <c r="A209" s="101">
        <v>139</v>
      </c>
      <c r="C209" s="154" t="s">
        <v>409</v>
      </c>
      <c r="F209" s="287">
        <v>20991</v>
      </c>
      <c r="G209" s="70"/>
      <c r="H209" s="230"/>
      <c r="I209" s="78"/>
      <c r="J209" s="349">
        <f>ROUND(AC431+(AC431*$AG$1),2)</f>
        <v>0.84</v>
      </c>
      <c r="K209" s="352"/>
      <c r="L209" s="79">
        <f t="shared" si="66"/>
        <v>17632</v>
      </c>
      <c r="M209" s="79"/>
      <c r="N209" s="341">
        <f>ROUND((L209/L$211)*100,1)</f>
        <v>1.2</v>
      </c>
      <c r="O209" s="198"/>
      <c r="P209" s="163"/>
      <c r="Q209" s="79"/>
      <c r="R209" s="167">
        <f>L209+P209</f>
        <v>17632</v>
      </c>
      <c r="S209" s="198"/>
      <c r="T209" s="432"/>
      <c r="U209" s="163"/>
      <c r="V209" s="433"/>
      <c r="Y209" s="409"/>
      <c r="Z209" s="103"/>
      <c r="AA209" s="230"/>
      <c r="AB209" s="103"/>
      <c r="AC209" s="103"/>
      <c r="AD209" s="103"/>
      <c r="AE209" s="103"/>
      <c r="AG209" s="185"/>
      <c r="AH209" s="103"/>
      <c r="AI209" s="103"/>
      <c r="AJ209" s="103"/>
      <c r="AK209" s="185"/>
      <c r="AL209" s="103"/>
      <c r="AM209" s="103"/>
      <c r="AN209" s="103"/>
      <c r="AO209" s="103"/>
      <c r="AP209" s="103"/>
      <c r="AQ209" s="185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</row>
    <row r="210" spans="1:53" ht="20.100000000000001" customHeight="1" x14ac:dyDescent="0.25">
      <c r="A210" s="101">
        <v>140</v>
      </c>
      <c r="C210" s="397" t="s">
        <v>410</v>
      </c>
      <c r="F210" s="126">
        <f>SUM(F208:F209)</f>
        <v>26638</v>
      </c>
      <c r="G210" s="70"/>
      <c r="H210" s="230"/>
      <c r="I210" s="78"/>
      <c r="J210" s="352"/>
      <c r="K210" s="352"/>
      <c r="L210" s="126">
        <f>SUM(L208:L209)</f>
        <v>20907</v>
      </c>
      <c r="M210" s="352"/>
      <c r="N210" s="303">
        <f>ROUND((L210/L$211)*100,1)</f>
        <v>1.4</v>
      </c>
      <c r="O210" s="352"/>
      <c r="P210" s="169">
        <v>0</v>
      </c>
      <c r="Q210" s="79"/>
      <c r="R210" s="167">
        <f>SUM(R208:R209)</f>
        <v>20907</v>
      </c>
      <c r="S210" s="198"/>
      <c r="T210" s="432"/>
      <c r="U210" s="163"/>
      <c r="V210" s="163"/>
      <c r="Z210" s="103"/>
      <c r="AA210" s="230"/>
      <c r="AB210" s="103"/>
      <c r="AC210" s="103"/>
      <c r="AD210" s="103"/>
      <c r="AE210" s="103"/>
      <c r="AG210" s="185"/>
      <c r="AH210" s="103"/>
      <c r="AI210" s="103"/>
      <c r="AJ210" s="103"/>
      <c r="AK210" s="185"/>
      <c r="AL210" s="103"/>
      <c r="AM210" s="103"/>
      <c r="AN210" s="103"/>
      <c r="AO210" s="103"/>
      <c r="AP210" s="103"/>
      <c r="AQ210" s="185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</row>
    <row r="211" spans="1:53" ht="24.75" customHeight="1" thickBot="1" x14ac:dyDescent="0.3">
      <c r="A211" s="101">
        <v>141</v>
      </c>
      <c r="B211" s="80"/>
      <c r="C211" s="253" t="s">
        <v>604</v>
      </c>
      <c r="D211" s="80"/>
      <c r="E211" s="80"/>
      <c r="F211" s="205">
        <f>F94+F199</f>
        <v>138477</v>
      </c>
      <c r="G211" s="70"/>
      <c r="H211" s="205">
        <f>H94+H199</f>
        <v>10839811</v>
      </c>
      <c r="I211" s="79"/>
      <c r="J211" s="70"/>
      <c r="K211" s="70"/>
      <c r="L211" s="205">
        <f>L94+L199+L205+L210</f>
        <v>1495655</v>
      </c>
      <c r="M211" s="79"/>
      <c r="N211" s="434">
        <v>100</v>
      </c>
      <c r="O211" s="156"/>
      <c r="P211" s="435">
        <f>ROUND(H211*CUR_FAC,0)</f>
        <v>11143</v>
      </c>
      <c r="Q211" s="79"/>
      <c r="R211" s="205">
        <f>R94+R199+R205+R210</f>
        <v>1506798</v>
      </c>
      <c r="T211" s="202"/>
      <c r="V211" s="154"/>
      <c r="Y211" s="406"/>
      <c r="AA211" s="205"/>
      <c r="AC211" s="200"/>
      <c r="AD211" s="200"/>
      <c r="AE211" s="300"/>
      <c r="AF211" s="300"/>
      <c r="AG211" s="209"/>
      <c r="AH211" s="200"/>
      <c r="AI211" s="210"/>
      <c r="AJ211" s="210"/>
      <c r="AK211" s="209"/>
      <c r="AL211" s="200"/>
      <c r="AM211" s="201"/>
      <c r="AN211" s="201"/>
      <c r="AO211" s="200"/>
      <c r="AP211" s="200"/>
      <c r="AQ211" s="212"/>
      <c r="AR211" s="200"/>
      <c r="AS211" s="210"/>
    </row>
    <row r="212" spans="1:53" ht="16.5" thickTop="1" x14ac:dyDescent="0.25">
      <c r="A212" s="159"/>
      <c r="B212" s="80"/>
      <c r="C212" s="82"/>
      <c r="D212" s="80"/>
      <c r="E212" s="80"/>
      <c r="F212" s="163"/>
      <c r="G212" s="70"/>
      <c r="H212" s="163"/>
      <c r="I212" s="79"/>
      <c r="J212" s="70"/>
      <c r="K212" s="70"/>
      <c r="L212" s="163"/>
      <c r="M212" s="79"/>
      <c r="N212" s="198"/>
      <c r="O212" s="156"/>
      <c r="P212" s="163"/>
      <c r="Q212" s="79"/>
      <c r="R212" s="163"/>
      <c r="T212" s="202"/>
      <c r="V212" s="154"/>
      <c r="AA212" s="252"/>
      <c r="AC212" s="200"/>
      <c r="AD212" s="200"/>
      <c r="AE212" s="300"/>
      <c r="AF212" s="300"/>
      <c r="AG212" s="209"/>
      <c r="AH212" s="200"/>
      <c r="AI212" s="210"/>
      <c r="AJ212" s="210"/>
      <c r="AK212" s="209"/>
      <c r="AL212" s="200"/>
      <c r="AM212" s="201"/>
      <c r="AN212" s="201"/>
      <c r="AO212" s="200"/>
      <c r="AP212" s="200"/>
      <c r="AQ212" s="212"/>
      <c r="AR212" s="200"/>
      <c r="AS212" s="210"/>
    </row>
    <row r="213" spans="1:53" x14ac:dyDescent="0.25">
      <c r="A213" s="173" t="s">
        <v>80</v>
      </c>
      <c r="B213" s="174"/>
      <c r="C213" s="146"/>
      <c r="D213" s="146"/>
      <c r="E213" s="146"/>
      <c r="F213" s="146"/>
      <c r="G213" s="146"/>
      <c r="H213" s="146"/>
      <c r="I213" s="146"/>
      <c r="J213" s="175" t="s">
        <v>314</v>
      </c>
      <c r="K213" s="146"/>
      <c r="L213" s="176"/>
      <c r="M213" s="146"/>
      <c r="N213" s="174"/>
      <c r="O213" s="146"/>
      <c r="P213" s="177" t="s">
        <v>319</v>
      </c>
      <c r="Q213" s="417"/>
      <c r="R213" s="417"/>
      <c r="S213" s="80"/>
      <c r="T213" s="80"/>
      <c r="U213" s="80"/>
      <c r="V213" s="80"/>
      <c r="AA213" s="200"/>
      <c r="AC213" s="200"/>
      <c r="AD213" s="200"/>
      <c r="AE213" s="213"/>
      <c r="AF213" s="213"/>
      <c r="AG213" s="209"/>
      <c r="AH213" s="200"/>
      <c r="AI213" s="210"/>
      <c r="AJ213" s="210"/>
      <c r="AK213" s="209"/>
      <c r="AL213" s="200"/>
      <c r="AM213" s="201"/>
      <c r="AN213" s="201"/>
      <c r="AO213" s="200"/>
      <c r="AP213" s="200"/>
      <c r="AQ213" s="212"/>
      <c r="AR213" s="200"/>
      <c r="AS213" s="210"/>
    </row>
    <row r="214" spans="1:53" x14ac:dyDescent="0.25">
      <c r="A214" s="173" t="str">
        <f>"(1A) REFLECTS FUEL COST RECOVERY INCLUDED IN BASE RATES OF "&amp;TEXT(CUR_BASE_FUEL,"$0.000000;($0.000000)")&amp;"  PER KWH."</f>
        <v>(1A) REFLECTS FUEL COST RECOVERY INCLUDED IN BASE RATES OF $0.023837  PER KWH.</v>
      </c>
      <c r="B214" s="146"/>
      <c r="C214" s="146"/>
      <c r="D214" s="146"/>
      <c r="E214" s="146"/>
      <c r="F214" s="180"/>
      <c r="G214" s="146"/>
      <c r="H214" s="146"/>
      <c r="I214" s="146"/>
      <c r="J214" s="177" t="s">
        <v>316</v>
      </c>
      <c r="K214" s="146"/>
      <c r="L214" s="176"/>
      <c r="M214" s="146"/>
      <c r="N214" s="174"/>
      <c r="O214" s="146"/>
      <c r="P214" s="175" t="s">
        <v>320</v>
      </c>
      <c r="Q214" s="417"/>
      <c r="R214" s="417"/>
      <c r="S214" s="80"/>
      <c r="T214" s="80"/>
      <c r="U214" s="80"/>
      <c r="V214" s="80"/>
      <c r="AA214" s="200"/>
      <c r="AC214" s="200"/>
      <c r="AD214" s="200"/>
      <c r="AE214" s="213"/>
      <c r="AF214" s="213"/>
      <c r="AG214" s="209"/>
      <c r="AH214" s="200"/>
      <c r="AI214" s="210"/>
      <c r="AJ214" s="210"/>
      <c r="AK214" s="209"/>
      <c r="AL214" s="200"/>
      <c r="AM214" s="201"/>
      <c r="AN214" s="201"/>
      <c r="AO214" s="200"/>
      <c r="AP214" s="200"/>
      <c r="AQ214" s="212"/>
      <c r="AR214" s="200"/>
      <c r="AS214" s="210"/>
    </row>
    <row r="215" spans="1:53" x14ac:dyDescent="0.25">
      <c r="A215" s="173" t="str">
        <f>"(2) REFLECTS FUEL COMPONENT OF "&amp;TEXT(CUR_FAC,"$0.000000;($0.000000)")&amp;"  PER KWH."</f>
        <v>(2) REFLECTS FUEL COMPONENT OF $0.001028  PER KWH.</v>
      </c>
      <c r="B215" s="146"/>
      <c r="C215" s="146"/>
      <c r="D215" s="146"/>
      <c r="E215" s="146"/>
      <c r="F215" s="180"/>
      <c r="G215" s="146"/>
      <c r="H215" s="146"/>
      <c r="I215" s="146"/>
      <c r="J215" s="177" t="s">
        <v>317</v>
      </c>
      <c r="K215" s="146"/>
      <c r="L215" s="176"/>
      <c r="M215" s="146"/>
      <c r="N215" s="174"/>
      <c r="O215" s="146"/>
      <c r="P215" s="175" t="s">
        <v>321</v>
      </c>
      <c r="Q215" s="417"/>
      <c r="R215" s="417"/>
      <c r="S215" s="80"/>
      <c r="T215" s="80"/>
      <c r="U215" s="80"/>
      <c r="V215" s="80"/>
      <c r="AA215" s="200"/>
      <c r="AC215" s="200"/>
      <c r="AD215" s="200"/>
      <c r="AE215" s="213"/>
      <c r="AF215" s="213"/>
      <c r="AG215" s="209"/>
      <c r="AH215" s="200"/>
      <c r="AI215" s="210"/>
      <c r="AJ215" s="210"/>
      <c r="AK215" s="209"/>
      <c r="AL215" s="200"/>
      <c r="AM215" s="201"/>
      <c r="AN215" s="201"/>
      <c r="AO215" s="200"/>
      <c r="AP215" s="200"/>
      <c r="AQ215" s="212"/>
      <c r="AR215" s="200"/>
      <c r="AS215" s="210"/>
    </row>
    <row r="216" spans="1:53" x14ac:dyDescent="0.25">
      <c r="A216" s="175" t="s">
        <v>315</v>
      </c>
      <c r="B216" s="146"/>
      <c r="C216" s="146"/>
      <c r="D216" s="146"/>
      <c r="E216" s="146"/>
      <c r="F216" s="180"/>
      <c r="G216" s="146"/>
      <c r="H216" s="146"/>
      <c r="I216" s="146"/>
      <c r="J216" s="175" t="s">
        <v>318</v>
      </c>
      <c r="K216" s="146"/>
      <c r="L216" s="176"/>
      <c r="M216" s="146"/>
      <c r="N216" s="174"/>
      <c r="O216" s="146"/>
      <c r="P216" s="175" t="s">
        <v>322</v>
      </c>
      <c r="Q216" s="417"/>
      <c r="R216" s="417"/>
      <c r="S216" s="80"/>
      <c r="T216" s="80"/>
      <c r="U216" s="80"/>
      <c r="V216" s="80"/>
      <c r="AA216" s="200"/>
      <c r="AC216" s="200"/>
      <c r="AD216" s="200"/>
      <c r="AE216" s="304"/>
      <c r="AF216" s="304"/>
      <c r="AG216" s="209"/>
      <c r="AH216" s="200"/>
      <c r="AI216" s="210"/>
      <c r="AJ216" s="210"/>
      <c r="AK216" s="209"/>
      <c r="AL216" s="200"/>
      <c r="AM216" s="201"/>
      <c r="AN216" s="201"/>
      <c r="AO216" s="200"/>
      <c r="AP216" s="200"/>
      <c r="AQ216" s="212"/>
      <c r="AR216" s="200"/>
      <c r="AS216" s="210"/>
    </row>
    <row r="217" spans="1:53" x14ac:dyDescent="0.25">
      <c r="A217" s="175" t="s">
        <v>313</v>
      </c>
      <c r="B217" s="146"/>
      <c r="C217" s="146"/>
      <c r="D217" s="146"/>
      <c r="E217" s="146"/>
      <c r="F217" s="180"/>
      <c r="G217" s="146"/>
      <c r="H217" s="146"/>
      <c r="I217" s="146"/>
      <c r="J217" s="175" t="s">
        <v>438</v>
      </c>
      <c r="K217" s="174"/>
      <c r="L217" s="181"/>
      <c r="M217" s="174"/>
      <c r="N217" s="174"/>
      <c r="O217" s="174"/>
      <c r="P217" s="175" t="s">
        <v>323</v>
      </c>
      <c r="Q217" s="417"/>
      <c r="R217" s="417"/>
      <c r="S217" s="80"/>
      <c r="T217" s="80"/>
      <c r="U217" s="80"/>
      <c r="V217" s="80"/>
    </row>
    <row r="218" spans="1:53" ht="18" customHeight="1" x14ac:dyDescent="0.25">
      <c r="A218" s="81"/>
      <c r="B218" s="80"/>
      <c r="C218" s="80"/>
      <c r="D218" s="80"/>
      <c r="E218" s="80"/>
      <c r="F218" s="182"/>
      <c r="G218" s="80"/>
      <c r="H218" s="80"/>
      <c r="I218" s="80"/>
      <c r="J218" s="81"/>
      <c r="V218" s="154"/>
      <c r="AA218" s="200"/>
      <c r="AC218" s="200"/>
      <c r="AD218" s="200"/>
      <c r="AE218" s="305"/>
      <c r="AF218" s="305"/>
      <c r="AG218" s="209"/>
      <c r="AH218" s="200"/>
      <c r="AI218" s="210"/>
      <c r="AJ218" s="210"/>
      <c r="AK218" s="209"/>
      <c r="AL218" s="200"/>
      <c r="AM218" s="210"/>
      <c r="AN218" s="210"/>
      <c r="AO218" s="200"/>
      <c r="AP218" s="200"/>
      <c r="AQ218" s="212"/>
      <c r="AR218" s="200"/>
      <c r="AS218" s="210"/>
    </row>
    <row r="219" spans="1:53" ht="15" customHeight="1" x14ac:dyDescent="0.25">
      <c r="A219" s="81"/>
      <c r="B219" s="80"/>
      <c r="C219" s="80"/>
      <c r="D219" s="80"/>
      <c r="E219" s="80"/>
      <c r="F219" s="229"/>
      <c r="G219" s="80"/>
      <c r="H219" s="229"/>
      <c r="I219" s="80"/>
      <c r="J219" s="81"/>
      <c r="K219" s="80"/>
      <c r="L219" s="80"/>
      <c r="M219" s="80"/>
      <c r="N219" s="182"/>
      <c r="O219" s="80"/>
      <c r="P219" s="367"/>
      <c r="Q219" s="80"/>
      <c r="R219" s="80"/>
      <c r="V219" s="154"/>
      <c r="AA219" s="252"/>
      <c r="AC219" s="252"/>
      <c r="AD219" s="252"/>
      <c r="AE219" s="305"/>
      <c r="AF219" s="305"/>
      <c r="AG219" s="209"/>
      <c r="AH219" s="200"/>
      <c r="AI219" s="210"/>
      <c r="AJ219" s="210"/>
      <c r="AK219" s="209"/>
      <c r="AL219" s="200"/>
      <c r="AO219" s="200"/>
      <c r="AP219" s="200"/>
      <c r="AQ219" s="212"/>
      <c r="AR219" s="200"/>
      <c r="AS219" s="210"/>
    </row>
    <row r="220" spans="1:53" x14ac:dyDescent="0.25">
      <c r="B220" s="80"/>
      <c r="C220" s="80"/>
      <c r="D220" s="80"/>
      <c r="E220" s="80"/>
      <c r="F220" s="80"/>
      <c r="G220" s="80"/>
      <c r="H220" s="80"/>
      <c r="I220" s="80"/>
      <c r="K220" s="80"/>
      <c r="L220" s="80"/>
      <c r="M220" s="80"/>
      <c r="N220" s="80"/>
      <c r="O220" s="80"/>
      <c r="Q220" s="80"/>
      <c r="R220" s="80"/>
    </row>
    <row r="221" spans="1:53" x14ac:dyDescent="0.25">
      <c r="B221" s="80"/>
      <c r="C221" s="80"/>
      <c r="D221" s="80"/>
      <c r="E221" s="80"/>
      <c r="F221" s="80"/>
      <c r="G221" s="80"/>
      <c r="H221" s="80"/>
      <c r="I221" s="80"/>
      <c r="K221" s="80"/>
      <c r="L221" s="80"/>
      <c r="M221" s="80"/>
      <c r="N221" s="80"/>
      <c r="O221" s="80"/>
      <c r="Q221" s="80"/>
      <c r="R221" s="80"/>
      <c r="T221" s="202"/>
      <c r="V221" s="154"/>
      <c r="AA221" s="200"/>
      <c r="AC221" s="252"/>
      <c r="AD221" s="252"/>
      <c r="AE221" s="300"/>
      <c r="AF221" s="300"/>
      <c r="AG221" s="209"/>
      <c r="AH221" s="200"/>
      <c r="AI221" s="210"/>
      <c r="AJ221" s="210"/>
      <c r="AK221" s="209"/>
      <c r="AL221" s="200"/>
      <c r="AM221" s="201"/>
      <c r="AN221" s="201"/>
      <c r="AO221" s="202"/>
      <c r="AP221" s="202"/>
      <c r="AQ221" s="212"/>
      <c r="AR221" s="200"/>
      <c r="AS221" s="210"/>
    </row>
    <row r="222" spans="1:53" x14ac:dyDescent="0.25">
      <c r="A222" s="202"/>
      <c r="C222" s="154"/>
      <c r="F222" s="163"/>
      <c r="G222" s="85"/>
      <c r="H222" s="200"/>
      <c r="I222" s="163"/>
      <c r="J222" s="85"/>
      <c r="K222" s="85"/>
      <c r="L222" s="85"/>
      <c r="M222" s="85"/>
      <c r="N222" s="85"/>
      <c r="O222" s="85"/>
      <c r="P222" s="163"/>
      <c r="Q222" s="163"/>
      <c r="R222" s="198"/>
      <c r="S222" s="199"/>
      <c r="T222" s="163"/>
      <c r="U222" s="163"/>
      <c r="V222" s="163"/>
      <c r="Z222" s="103"/>
      <c r="AA222" s="103"/>
      <c r="AB222" s="103"/>
      <c r="AC222" s="103"/>
      <c r="AD222" s="103"/>
      <c r="AE222" s="103"/>
      <c r="AG222" s="185"/>
      <c r="AH222" s="103"/>
      <c r="AI222" s="103"/>
      <c r="AJ222" s="103"/>
      <c r="AK222" s="185"/>
      <c r="AL222" s="103"/>
      <c r="AM222" s="103"/>
      <c r="AN222" s="103"/>
      <c r="AO222" s="103"/>
      <c r="AP222" s="103"/>
      <c r="AQ222" s="185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</row>
    <row r="223" spans="1:53" x14ac:dyDescent="0.25">
      <c r="A223" s="202"/>
      <c r="C223" s="154"/>
      <c r="F223" s="163"/>
      <c r="G223" s="110"/>
      <c r="H223" s="163"/>
      <c r="I223" s="163"/>
      <c r="J223" s="110"/>
      <c r="K223" s="110"/>
      <c r="L223" s="163"/>
      <c r="M223" s="163"/>
      <c r="N223" s="163"/>
      <c r="O223" s="163"/>
      <c r="P223" s="163"/>
      <c r="Q223" s="163"/>
      <c r="R223" s="163"/>
      <c r="S223" s="198"/>
      <c r="T223" s="494" t="str">
        <f>NAME</f>
        <v>DUKE ENERGY KENTUCKY, INC.</v>
      </c>
      <c r="U223" s="494"/>
      <c r="V223" s="494"/>
      <c r="W223" s="494"/>
      <c r="X223" s="494"/>
      <c r="Y223" s="494"/>
      <c r="Z223" s="494"/>
      <c r="AA223" s="494"/>
      <c r="AB223" s="494"/>
      <c r="AC223" s="494"/>
      <c r="AD223" s="494"/>
      <c r="AE223" s="494"/>
      <c r="AF223" s="494"/>
      <c r="AG223" s="494"/>
      <c r="AH223" s="494"/>
      <c r="AI223" s="494"/>
      <c r="AJ223" s="494"/>
      <c r="AK223" s="494"/>
      <c r="AL223" s="494"/>
      <c r="AM223" s="494"/>
      <c r="AN223" s="494"/>
      <c r="AO223" s="494"/>
      <c r="AP223" s="494"/>
      <c r="AQ223" s="494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</row>
    <row r="224" spans="1:53" x14ac:dyDescent="0.25">
      <c r="A224" s="202"/>
      <c r="C224" s="154"/>
      <c r="F224" s="230"/>
      <c r="G224" s="110"/>
      <c r="H224" s="230"/>
      <c r="I224" s="230"/>
      <c r="J224" s="230"/>
      <c r="K224" s="230"/>
      <c r="L224" s="433"/>
      <c r="M224" s="230"/>
      <c r="N224" s="230"/>
      <c r="O224" s="230"/>
      <c r="P224" s="163"/>
      <c r="Q224" s="163"/>
      <c r="R224" s="163"/>
      <c r="S224" s="198"/>
      <c r="T224" s="150" t="str">
        <f>CASE_NO</f>
        <v>CASE NO.   2017-00321</v>
      </c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</row>
    <row r="225" spans="1:53" x14ac:dyDescent="0.25">
      <c r="A225" s="202"/>
      <c r="C225" s="154"/>
      <c r="F225" s="230"/>
      <c r="G225" s="110"/>
      <c r="H225" s="230"/>
      <c r="I225" s="230"/>
      <c r="J225" s="230"/>
      <c r="K225" s="230"/>
      <c r="L225" s="230"/>
      <c r="M225" s="230"/>
      <c r="N225" s="230"/>
      <c r="O225" s="230"/>
      <c r="P225" s="230"/>
      <c r="Q225" s="163"/>
      <c r="R225" s="230"/>
      <c r="S225" s="198"/>
      <c r="T225" s="187" t="str">
        <f>TITLE</f>
        <v>ANNUALIZED BASE YEAR REVENUES AT PROPOSED VS. MOST CURRENT RATES</v>
      </c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</row>
    <row r="226" spans="1:53" x14ac:dyDescent="0.25">
      <c r="A226" s="202"/>
      <c r="C226" s="154"/>
      <c r="F226" s="252"/>
      <c r="G226" s="109"/>
      <c r="H226" s="252"/>
      <c r="I226" s="252"/>
      <c r="J226" s="252"/>
      <c r="K226" s="252"/>
      <c r="L226" s="200"/>
      <c r="M226" s="200"/>
      <c r="N226" s="200"/>
      <c r="O226" s="200"/>
      <c r="P226" s="200"/>
      <c r="Q226" s="200"/>
      <c r="R226" s="200"/>
      <c r="T226" s="150" t="str">
        <f>DATE</f>
        <v>FOR THE TWELVE MONTHS ENDED November 30, 2017</v>
      </c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200"/>
      <c r="AS226" s="210"/>
    </row>
    <row r="227" spans="1:53" x14ac:dyDescent="0.25">
      <c r="F227" s="211"/>
      <c r="H227" s="200"/>
      <c r="I227" s="200"/>
      <c r="J227" s="305"/>
      <c r="K227" s="305"/>
      <c r="L227" s="211"/>
      <c r="M227" s="211"/>
      <c r="N227" s="211"/>
      <c r="O227" s="211"/>
      <c r="P227" s="211"/>
      <c r="Q227" s="211"/>
      <c r="R227" s="211"/>
      <c r="T227" s="150" t="str">
        <f>SERVICE</f>
        <v>(ELECTRIC SERVICE)</v>
      </c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200"/>
      <c r="AS227" s="210"/>
    </row>
    <row r="228" spans="1:53" x14ac:dyDescent="0.25">
      <c r="F228" s="211"/>
      <c r="H228" s="200"/>
      <c r="I228" s="200"/>
      <c r="J228" s="305"/>
      <c r="K228" s="305"/>
      <c r="L228" s="211"/>
      <c r="M228" s="211"/>
      <c r="N228" s="211"/>
      <c r="O228" s="211"/>
      <c r="P228" s="211"/>
      <c r="Q228" s="211"/>
      <c r="R228" s="211"/>
      <c r="T228" s="159" t="str">
        <f>DATA_PERIOD</f>
        <v>DATA: __X__ BASE PERIOD   ____FORECASTED PERIOD</v>
      </c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82" t="s">
        <v>179</v>
      </c>
      <c r="AP228" s="159"/>
      <c r="AQ228" s="159"/>
    </row>
    <row r="229" spans="1:53" x14ac:dyDescent="0.25">
      <c r="A229" s="202"/>
      <c r="C229" s="154"/>
      <c r="F229" s="252"/>
      <c r="H229" s="252"/>
      <c r="I229" s="252"/>
      <c r="J229" s="328"/>
      <c r="K229" s="328"/>
      <c r="L229" s="200"/>
      <c r="M229" s="200"/>
      <c r="N229" s="210"/>
      <c r="O229" s="210"/>
      <c r="P229" s="200"/>
      <c r="Q229" s="200"/>
      <c r="R229" s="200"/>
      <c r="S229" s="200"/>
      <c r="T229" s="159" t="str">
        <f>TYPE</f>
        <v>TYPE OF FILING: _X_ ORIGINAL   ___UPDATED  ___ REVISED</v>
      </c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81" t="str">
        <f>R7</f>
        <v>PAGE 13  OF  22</v>
      </c>
      <c r="AP229" s="159"/>
      <c r="AQ229" s="159"/>
      <c r="AR229" s="200"/>
      <c r="AS229" s="210"/>
    </row>
    <row r="230" spans="1:53" x14ac:dyDescent="0.25">
      <c r="A230" s="202"/>
      <c r="C230" s="154"/>
      <c r="F230" s="252"/>
      <c r="H230" s="252"/>
      <c r="I230" s="252"/>
      <c r="J230" s="300"/>
      <c r="K230" s="300"/>
      <c r="L230" s="200"/>
      <c r="M230" s="200"/>
      <c r="N230" s="210"/>
      <c r="O230" s="210"/>
      <c r="P230" s="200"/>
      <c r="Q230" s="200"/>
      <c r="R230" s="200"/>
      <c r="T230" s="82" t="s">
        <v>192</v>
      </c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188"/>
      <c r="AH230" s="80"/>
      <c r="AI230" s="80"/>
      <c r="AJ230" s="80"/>
      <c r="AK230" s="188"/>
      <c r="AL230" s="80"/>
      <c r="AM230" s="80"/>
      <c r="AN230" s="80"/>
      <c r="AO230" s="82" t="s">
        <v>4</v>
      </c>
      <c r="AP230" s="82"/>
      <c r="AQ230" s="184"/>
    </row>
    <row r="231" spans="1:53" x14ac:dyDescent="0.25">
      <c r="F231" s="200"/>
      <c r="H231" s="211"/>
      <c r="I231" s="211"/>
      <c r="J231" s="305"/>
      <c r="K231" s="305"/>
      <c r="L231" s="211"/>
      <c r="M231" s="211"/>
      <c r="N231" s="211"/>
      <c r="O231" s="211"/>
      <c r="P231" s="211"/>
      <c r="Q231" s="211"/>
      <c r="R231" s="211"/>
      <c r="T231" s="258" t="str">
        <f>TIME</f>
        <v>6 Months Actual and 6 Months Projected</v>
      </c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F231" s="82"/>
      <c r="AG231" s="188"/>
      <c r="AH231" s="80"/>
      <c r="AI231" s="80"/>
      <c r="AJ231" s="80"/>
      <c r="AK231" s="188"/>
      <c r="AL231" s="80"/>
      <c r="AM231" s="80"/>
      <c r="AN231" s="80"/>
      <c r="AO231" s="189" t="str">
        <f>WIT</f>
        <v>B. L. SAILERS</v>
      </c>
      <c r="AP231" s="159"/>
      <c r="AQ231" s="184"/>
      <c r="AR231" s="200"/>
      <c r="AS231" s="210"/>
    </row>
    <row r="232" spans="1:53" x14ac:dyDescent="0.25">
      <c r="F232" s="200"/>
      <c r="H232" s="211"/>
      <c r="I232" s="211"/>
      <c r="J232" s="305"/>
      <c r="K232" s="305"/>
      <c r="L232" s="211"/>
      <c r="M232" s="211"/>
      <c r="N232" s="211"/>
      <c r="O232" s="211"/>
      <c r="P232" s="211"/>
      <c r="Q232" s="211"/>
      <c r="R232" s="211"/>
      <c r="T232" s="187" t="s">
        <v>152</v>
      </c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87"/>
      <c r="AF232" s="187"/>
      <c r="AG232" s="190"/>
      <c r="AH232" s="150"/>
      <c r="AI232" s="150"/>
      <c r="AJ232" s="150"/>
      <c r="AK232" s="190"/>
      <c r="AL232" s="150"/>
      <c r="AM232" s="150"/>
      <c r="AN232" s="150"/>
      <c r="AO232" s="187"/>
      <c r="AP232" s="187"/>
      <c r="AQ232" s="184"/>
      <c r="AR232" s="200"/>
      <c r="AS232" s="210"/>
    </row>
    <row r="233" spans="1:53" x14ac:dyDescent="0.25">
      <c r="F233" s="200"/>
      <c r="H233" s="211"/>
      <c r="I233" s="211"/>
      <c r="J233" s="305"/>
      <c r="K233" s="305"/>
      <c r="L233" s="211"/>
      <c r="M233" s="211"/>
      <c r="N233" s="211"/>
      <c r="O233" s="211"/>
      <c r="P233" s="211"/>
      <c r="Q233" s="211"/>
      <c r="R233" s="21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91"/>
      <c r="AH233" s="151"/>
      <c r="AI233" s="151"/>
      <c r="AJ233" s="151"/>
      <c r="AK233" s="191"/>
      <c r="AL233" s="151"/>
      <c r="AM233" s="151"/>
      <c r="AN233" s="151"/>
      <c r="AO233" s="151"/>
      <c r="AP233" s="151"/>
      <c r="AQ233" s="192"/>
    </row>
    <row r="234" spans="1:53" ht="18" customHeight="1" x14ac:dyDescent="0.25">
      <c r="A234" s="202"/>
      <c r="C234" s="154"/>
      <c r="F234" s="200"/>
      <c r="H234" s="200"/>
      <c r="I234" s="200"/>
      <c r="J234" s="305"/>
      <c r="K234" s="305"/>
      <c r="L234" s="200"/>
      <c r="M234" s="200"/>
      <c r="N234" s="200"/>
      <c r="O234" s="200"/>
      <c r="P234" s="200"/>
      <c r="Q234" s="200"/>
      <c r="R234" s="200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93" t="s">
        <v>8</v>
      </c>
      <c r="AF234" s="193"/>
      <c r="AG234" s="194" t="s">
        <v>7</v>
      </c>
      <c r="AH234" s="193"/>
      <c r="AI234" s="193" t="s">
        <v>9</v>
      </c>
      <c r="AJ234" s="193"/>
      <c r="AK234" s="194" t="s">
        <v>10</v>
      </c>
      <c r="AL234" s="193"/>
      <c r="AM234" s="152"/>
      <c r="AN234" s="152"/>
      <c r="AO234" s="193" t="s">
        <v>8</v>
      </c>
      <c r="AP234" s="193"/>
      <c r="AQ234" s="194" t="s">
        <v>11</v>
      </c>
      <c r="AR234" s="200"/>
    </row>
    <row r="235" spans="1:53" x14ac:dyDescent="0.25">
      <c r="A235" s="202"/>
      <c r="C235" s="154"/>
      <c r="F235" s="200"/>
      <c r="H235" s="252"/>
      <c r="I235" s="252"/>
      <c r="J235" s="329"/>
      <c r="K235" s="329"/>
      <c r="L235" s="200"/>
      <c r="M235" s="200"/>
      <c r="N235" s="210"/>
      <c r="O235" s="210"/>
      <c r="P235" s="200"/>
      <c r="Q235" s="200"/>
      <c r="R235" s="200"/>
      <c r="T235" s="80"/>
      <c r="U235" s="80"/>
      <c r="V235" s="80"/>
      <c r="W235" s="80"/>
      <c r="X235" s="80"/>
      <c r="Y235" s="80"/>
      <c r="Z235" s="80"/>
      <c r="AA235" s="80"/>
      <c r="AB235" s="80"/>
      <c r="AC235" s="83" t="s">
        <v>14</v>
      </c>
      <c r="AD235" s="83"/>
      <c r="AE235" s="83" t="s">
        <v>12</v>
      </c>
      <c r="AF235" s="83"/>
      <c r="AG235" s="195" t="s">
        <v>13</v>
      </c>
      <c r="AH235" s="83"/>
      <c r="AI235" s="83" t="s">
        <v>15</v>
      </c>
      <c r="AJ235" s="83"/>
      <c r="AK235" s="195" t="s">
        <v>16</v>
      </c>
      <c r="AL235" s="83"/>
      <c r="AM235" s="80"/>
      <c r="AN235" s="80"/>
      <c r="AO235" s="83" t="s">
        <v>11</v>
      </c>
      <c r="AP235" s="83"/>
      <c r="AQ235" s="195" t="s">
        <v>9</v>
      </c>
    </row>
    <row r="236" spans="1:53" x14ac:dyDescent="0.25">
      <c r="A236" s="202"/>
      <c r="C236" s="154"/>
      <c r="H236" s="252"/>
      <c r="I236" s="252"/>
      <c r="J236" s="329"/>
      <c r="K236" s="329"/>
      <c r="L236" s="200"/>
      <c r="M236" s="200"/>
      <c r="N236" s="210"/>
      <c r="O236" s="210"/>
      <c r="P236" s="200"/>
      <c r="Q236" s="200"/>
      <c r="R236" s="200"/>
      <c r="T236" s="83" t="s">
        <v>17</v>
      </c>
      <c r="U236" s="80"/>
      <c r="V236" s="83" t="s">
        <v>18</v>
      </c>
      <c r="W236" s="83" t="s">
        <v>19</v>
      </c>
      <c r="X236" s="83"/>
      <c r="Y236" s="83" t="s">
        <v>20</v>
      </c>
      <c r="Z236" s="80"/>
      <c r="AA236" s="80"/>
      <c r="AB236" s="80"/>
      <c r="AC236" s="83" t="s">
        <v>8</v>
      </c>
      <c r="AD236" s="83"/>
      <c r="AE236" s="83" t="s">
        <v>21</v>
      </c>
      <c r="AF236" s="83"/>
      <c r="AG236" s="195" t="s">
        <v>21</v>
      </c>
      <c r="AH236" s="83"/>
      <c r="AI236" s="83" t="s">
        <v>22</v>
      </c>
      <c r="AJ236" s="83"/>
      <c r="AK236" s="195" t="s">
        <v>22</v>
      </c>
      <c r="AL236" s="83"/>
      <c r="AM236" s="83" t="s">
        <v>21</v>
      </c>
      <c r="AN236" s="83"/>
      <c r="AO236" s="83" t="s">
        <v>9</v>
      </c>
      <c r="AP236" s="83"/>
      <c r="AQ236" s="195" t="s">
        <v>23</v>
      </c>
      <c r="AT236" s="104" t="s">
        <v>521</v>
      </c>
      <c r="AX236" s="101" t="s">
        <v>404</v>
      </c>
      <c r="AY236" s="101" t="s">
        <v>405</v>
      </c>
    </row>
    <row r="237" spans="1:53" x14ac:dyDescent="0.25">
      <c r="F237" s="200"/>
      <c r="H237" s="200"/>
      <c r="I237" s="200"/>
      <c r="J237" s="305"/>
      <c r="K237" s="305"/>
      <c r="L237" s="211"/>
      <c r="M237" s="211"/>
      <c r="N237" s="211"/>
      <c r="O237" s="211"/>
      <c r="P237" s="211"/>
      <c r="Q237" s="211"/>
      <c r="R237" s="211"/>
      <c r="T237" s="83" t="s">
        <v>24</v>
      </c>
      <c r="U237" s="80"/>
      <c r="V237" s="83" t="s">
        <v>25</v>
      </c>
      <c r="W237" s="83" t="s">
        <v>26</v>
      </c>
      <c r="X237" s="83"/>
      <c r="Y237" s="83" t="s">
        <v>27</v>
      </c>
      <c r="Z237" s="80"/>
      <c r="AA237" s="83" t="s">
        <v>28</v>
      </c>
      <c r="AB237" s="83"/>
      <c r="AC237" s="196" t="s">
        <v>432</v>
      </c>
      <c r="AD237" s="83"/>
      <c r="AE237" s="83" t="s">
        <v>9</v>
      </c>
      <c r="AF237" s="83"/>
      <c r="AG237" s="195" t="s">
        <v>9</v>
      </c>
      <c r="AH237" s="83"/>
      <c r="AI237" s="256" t="s">
        <v>31</v>
      </c>
      <c r="AJ237" s="256"/>
      <c r="AK237" s="257" t="s">
        <v>32</v>
      </c>
      <c r="AL237" s="83"/>
      <c r="AM237" s="83" t="s">
        <v>430</v>
      </c>
      <c r="AN237" s="83"/>
      <c r="AO237" s="256" t="s">
        <v>33</v>
      </c>
      <c r="AP237" s="256"/>
      <c r="AQ237" s="257" t="s">
        <v>34</v>
      </c>
      <c r="AT237" s="104" t="s">
        <v>522</v>
      </c>
      <c r="AW237" s="101" t="s">
        <v>403</v>
      </c>
      <c r="AX237" s="101" t="s">
        <v>402</v>
      </c>
      <c r="AY237" s="101" t="s">
        <v>402</v>
      </c>
    </row>
    <row r="238" spans="1:53" x14ac:dyDescent="0.25">
      <c r="A238" s="202"/>
      <c r="C238" s="154"/>
      <c r="F238" s="200"/>
      <c r="H238" s="200"/>
      <c r="I238" s="200"/>
      <c r="J238" s="213"/>
      <c r="K238" s="213"/>
      <c r="L238" s="200"/>
      <c r="M238" s="200"/>
      <c r="N238" s="210"/>
      <c r="O238" s="210"/>
      <c r="P238" s="200"/>
      <c r="Q238" s="200"/>
      <c r="R238" s="200"/>
      <c r="T238" s="80"/>
      <c r="U238" s="80"/>
      <c r="V238" s="256" t="s">
        <v>35</v>
      </c>
      <c r="W238" s="256" t="s">
        <v>36</v>
      </c>
      <c r="X238" s="256"/>
      <c r="Y238" s="256" t="s">
        <v>37</v>
      </c>
      <c r="Z238" s="258"/>
      <c r="AA238" s="256" t="s">
        <v>38</v>
      </c>
      <c r="AB238" s="256"/>
      <c r="AC238" s="256" t="s">
        <v>44</v>
      </c>
      <c r="AD238" s="256"/>
      <c r="AE238" s="256" t="s">
        <v>45</v>
      </c>
      <c r="AF238" s="256"/>
      <c r="AG238" s="257" t="s">
        <v>46</v>
      </c>
      <c r="AH238" s="256"/>
      <c r="AI238" s="256" t="s">
        <v>47</v>
      </c>
      <c r="AJ238" s="256"/>
      <c r="AK238" s="257" t="s">
        <v>48</v>
      </c>
      <c r="AL238" s="256"/>
      <c r="AM238" s="256" t="s">
        <v>42</v>
      </c>
      <c r="AN238" s="256"/>
      <c r="AO238" s="256" t="s">
        <v>49</v>
      </c>
      <c r="AP238" s="256"/>
      <c r="AQ238" s="257" t="s">
        <v>50</v>
      </c>
      <c r="AT238" s="104" t="s">
        <v>523</v>
      </c>
    </row>
    <row r="239" spans="1:53" ht="17.100000000000001" customHeight="1" x14ac:dyDescent="0.25">
      <c r="F239" s="200"/>
      <c r="H239" s="200"/>
      <c r="I239" s="200"/>
      <c r="J239" s="305"/>
      <c r="K239" s="305"/>
      <c r="L239" s="211"/>
      <c r="M239" s="211"/>
      <c r="N239" s="211"/>
      <c r="O239" s="211"/>
      <c r="P239" s="211"/>
      <c r="Q239" s="211"/>
      <c r="R239" s="211"/>
      <c r="T239" s="152"/>
      <c r="U239" s="152"/>
      <c r="V239" s="152"/>
      <c r="W239" s="152"/>
      <c r="X239" s="152"/>
      <c r="Y239" s="152"/>
      <c r="Z239" s="152"/>
      <c r="AA239" s="376" t="s">
        <v>51</v>
      </c>
      <c r="AB239" s="376"/>
      <c r="AC239" s="375" t="s">
        <v>71</v>
      </c>
      <c r="AD239" s="376"/>
      <c r="AE239" s="376" t="s">
        <v>52</v>
      </c>
      <c r="AF239" s="376"/>
      <c r="AG239" s="381" t="s">
        <v>53</v>
      </c>
      <c r="AH239" s="376"/>
      <c r="AI239" s="376" t="s">
        <v>52</v>
      </c>
      <c r="AJ239" s="376"/>
      <c r="AK239" s="381" t="s">
        <v>53</v>
      </c>
      <c r="AL239" s="376"/>
      <c r="AM239" s="376" t="s">
        <v>52</v>
      </c>
      <c r="AN239" s="376"/>
      <c r="AO239" s="376" t="s">
        <v>52</v>
      </c>
      <c r="AP239" s="376"/>
      <c r="AQ239" s="381" t="s">
        <v>53</v>
      </c>
      <c r="AX239" s="101">
        <f>CUR_BASE_FUEL</f>
        <v>2.3837000000000001E-2</v>
      </c>
      <c r="AY239" s="101">
        <f>PRO_BASE_FUEL</f>
        <v>2.3837000000000001E-2</v>
      </c>
    </row>
    <row r="240" spans="1:53" x14ac:dyDescent="0.25">
      <c r="A240" s="202"/>
      <c r="C240" s="154"/>
      <c r="F240" s="252"/>
      <c r="H240" s="252"/>
      <c r="I240" s="252"/>
      <c r="J240" s="320"/>
      <c r="K240" s="320"/>
      <c r="L240" s="200"/>
      <c r="M240" s="200"/>
      <c r="N240" s="210"/>
      <c r="O240" s="210"/>
      <c r="P240" s="200"/>
      <c r="Q240" s="200"/>
      <c r="R240" s="200"/>
      <c r="T240" s="216">
        <v>1</v>
      </c>
      <c r="U240" s="80"/>
      <c r="V240" s="253" t="s">
        <v>81</v>
      </c>
      <c r="W240" s="265" t="s">
        <v>339</v>
      </c>
      <c r="X240" s="82"/>
      <c r="Y240" s="70"/>
      <c r="Z240" s="70"/>
      <c r="AA240" s="70"/>
      <c r="AB240" s="70"/>
      <c r="AC240" s="70"/>
      <c r="AD240" s="70"/>
      <c r="AE240" s="70"/>
      <c r="AF240" s="70"/>
      <c r="AG240" s="164"/>
      <c r="AH240" s="70"/>
      <c r="AI240" s="70"/>
      <c r="AJ240" s="70"/>
      <c r="AK240" s="164"/>
      <c r="AL240" s="70"/>
      <c r="AM240" s="70"/>
      <c r="AN240" s="70"/>
      <c r="AO240" s="70"/>
      <c r="AP240" s="70"/>
      <c r="AQ240" s="165"/>
    </row>
    <row r="241" spans="1:51" x14ac:dyDescent="0.25">
      <c r="A241" s="202"/>
      <c r="C241" s="154"/>
      <c r="F241" s="200"/>
      <c r="H241" s="200"/>
      <c r="I241" s="200"/>
      <c r="J241" s="305"/>
      <c r="K241" s="305"/>
      <c r="L241" s="200"/>
      <c r="M241" s="200"/>
      <c r="N241" s="210"/>
      <c r="O241" s="210"/>
      <c r="P241" s="200"/>
      <c r="Q241" s="200"/>
      <c r="R241" s="200"/>
      <c r="S241" s="200"/>
      <c r="T241" s="216">
        <v>2</v>
      </c>
      <c r="U241" s="80"/>
      <c r="V241" s="253" t="s">
        <v>83</v>
      </c>
      <c r="W241" s="258"/>
      <c r="X241" s="80"/>
      <c r="Y241" s="78"/>
      <c r="Z241" s="70"/>
      <c r="AA241" s="78"/>
      <c r="AB241" s="70"/>
      <c r="AC241" s="70"/>
      <c r="AD241" s="70"/>
      <c r="AE241" s="70"/>
      <c r="AF241" s="70"/>
      <c r="AG241" s="164"/>
      <c r="AH241" s="70"/>
      <c r="AI241" s="70"/>
      <c r="AJ241" s="70"/>
      <c r="AK241" s="164"/>
      <c r="AL241" s="70"/>
      <c r="AM241" s="70"/>
      <c r="AN241" s="70"/>
      <c r="AO241" s="70"/>
      <c r="AP241" s="70"/>
      <c r="AQ241" s="165"/>
    </row>
    <row r="242" spans="1:51" x14ac:dyDescent="0.25">
      <c r="F242" s="211"/>
      <c r="H242" s="211"/>
      <c r="I242" s="211"/>
      <c r="J242" s="305"/>
      <c r="K242" s="305"/>
      <c r="L242" s="211"/>
      <c r="M242" s="211"/>
      <c r="N242" s="211"/>
      <c r="O242" s="211"/>
      <c r="P242" s="211"/>
      <c r="Q242" s="211"/>
      <c r="R242" s="211"/>
      <c r="S242" s="200"/>
      <c r="T242" s="216">
        <v>3</v>
      </c>
      <c r="U242" s="80"/>
      <c r="V242" s="265" t="s">
        <v>223</v>
      </c>
      <c r="W242" s="258"/>
      <c r="X242" s="80"/>
      <c r="Y242" s="70"/>
      <c r="Z242" s="70"/>
      <c r="AA242" s="70"/>
      <c r="AB242" s="78"/>
      <c r="AC242" s="268"/>
      <c r="AD242" s="268"/>
      <c r="AE242" s="79"/>
      <c r="AF242" s="79"/>
      <c r="AG242" s="155"/>
      <c r="AH242" s="156"/>
      <c r="AI242" s="79"/>
      <c r="AJ242" s="79"/>
      <c r="AK242" s="155"/>
      <c r="AL242" s="158"/>
      <c r="AM242" s="79"/>
      <c r="AN242" s="79"/>
      <c r="AO242" s="79"/>
      <c r="AP242" s="79"/>
      <c r="AQ242" s="157"/>
    </row>
    <row r="243" spans="1:51" x14ac:dyDescent="0.25">
      <c r="F243" s="211"/>
      <c r="H243" s="211"/>
      <c r="I243" s="211"/>
      <c r="J243" s="305"/>
      <c r="K243" s="305"/>
      <c r="L243" s="211"/>
      <c r="M243" s="211"/>
      <c r="N243" s="211"/>
      <c r="O243" s="211"/>
      <c r="P243" s="211"/>
      <c r="Q243" s="211"/>
      <c r="R243" s="211"/>
      <c r="T243" s="216">
        <v>4</v>
      </c>
      <c r="U243" s="80"/>
      <c r="V243" s="81" t="str">
        <f>C21</f>
        <v xml:space="preserve">     7,000 LUMEN</v>
      </c>
      <c r="W243" s="80"/>
      <c r="X243" s="80"/>
      <c r="Y243" s="78">
        <f t="shared" ref="Y243:Y253" si="67">F21</f>
        <v>67685</v>
      </c>
      <c r="Z243" s="70"/>
      <c r="AA243" s="78">
        <f t="shared" ref="AA243:AA253" si="68">H21</f>
        <v>4529255</v>
      </c>
      <c r="AB243" s="78"/>
      <c r="AC243" s="349">
        <v>7.11</v>
      </c>
      <c r="AD243" s="352"/>
      <c r="AE243" s="79">
        <f>ROUND((Y243*AC243),0)</f>
        <v>481240</v>
      </c>
      <c r="AF243" s="79"/>
      <c r="AG243" s="155">
        <f t="shared" ref="AG243:AG253" si="69">ROUND((AE243/AE$433)*100,1)</f>
        <v>36</v>
      </c>
      <c r="AH243" s="156"/>
      <c r="AI243" s="79">
        <f t="shared" ref="AI243:AI253" si="70">L21-AE243</f>
        <v>57533</v>
      </c>
      <c r="AJ243" s="79"/>
      <c r="AK243" s="157">
        <f>IF(AE243=0,"0.0 ",ROUND((AI243/AE243)*100,1))</f>
        <v>12</v>
      </c>
      <c r="AL243" s="158"/>
      <c r="AM243" s="79">
        <f>ROUND($AM$433/$AA$433*AA243,0)+1</f>
        <v>4657</v>
      </c>
      <c r="AN243" s="79"/>
      <c r="AO243" s="79">
        <f>AE243+AM243</f>
        <v>485897</v>
      </c>
      <c r="AP243" s="79"/>
      <c r="AQ243" s="157">
        <f>IF(AO243=0,"0.0 ",ROUND((AI243/AO243)*100,1))</f>
        <v>11.8</v>
      </c>
      <c r="AS243" s="109"/>
      <c r="AT243" s="394">
        <f>AC243-AX243</f>
        <v>5.51</v>
      </c>
      <c r="AW243" s="225">
        <f>803</f>
        <v>803</v>
      </c>
      <c r="AX243" s="101">
        <f>ROUND((AW243/12)*CUR_BASE_FUEL,2)</f>
        <v>1.6</v>
      </c>
      <c r="AY243" s="101">
        <f>ROUND((AW243/12)*PRO_BASE_FUEL,2)</f>
        <v>1.6</v>
      </c>
    </row>
    <row r="244" spans="1:51" x14ac:dyDescent="0.25">
      <c r="A244" s="202"/>
      <c r="C244" s="154"/>
      <c r="T244" s="216">
        <v>5</v>
      </c>
      <c r="U244" s="80"/>
      <c r="V244" s="81" t="str">
        <f t="shared" ref="V244:V280" si="71">C22</f>
        <v xml:space="preserve">     7,000 LUMEN (OPEN)</v>
      </c>
      <c r="W244" s="80"/>
      <c r="X244" s="80"/>
      <c r="Y244" s="78">
        <f t="shared" si="67"/>
        <v>61</v>
      </c>
      <c r="Z244" s="70"/>
      <c r="AA244" s="78">
        <f t="shared" si="68"/>
        <v>4336</v>
      </c>
      <c r="AB244" s="78"/>
      <c r="AC244" s="349">
        <v>5.94</v>
      </c>
      <c r="AD244" s="70"/>
      <c r="AE244" s="79">
        <f t="shared" ref="AE244:AE252" si="72">ROUND((Y244*AC244),0)</f>
        <v>362</v>
      </c>
      <c r="AF244" s="70"/>
      <c r="AG244" s="155">
        <f t="shared" si="69"/>
        <v>0</v>
      </c>
      <c r="AH244" s="70"/>
      <c r="AI244" s="79">
        <f t="shared" si="70"/>
        <v>44</v>
      </c>
      <c r="AJ244" s="70"/>
      <c r="AK244" s="155">
        <f>IF(AE244=0,"0.0 ",ROUND((AI244/AE244)*100,1))</f>
        <v>12.2</v>
      </c>
      <c r="AL244" s="70"/>
      <c r="AM244" s="79">
        <f t="shared" ref="AM244:AM249" si="73">ROUND($AM$433/$AA$433*AA244,0)</f>
        <v>4</v>
      </c>
      <c r="AN244" s="70"/>
      <c r="AO244" s="79">
        <f t="shared" ref="AO244:AO252" si="74">AE244+AM244</f>
        <v>366</v>
      </c>
      <c r="AP244" s="70"/>
      <c r="AQ244" s="157">
        <f t="shared" ref="AQ244:AQ280" si="75">IF(AO244=0,"0.0 ",ROUND((AI244/AO244)*100,1))</f>
        <v>12</v>
      </c>
      <c r="AS244" s="109"/>
      <c r="AT244" s="394">
        <f>AC244-AX244</f>
        <v>4.25</v>
      </c>
      <c r="AW244" s="225">
        <f>853</f>
        <v>853</v>
      </c>
      <c r="AX244" s="101">
        <f t="shared" ref="AX244:AX252" si="76">ROUND((AW244/12)*CUR_BASE_FUEL,2)</f>
        <v>1.69</v>
      </c>
      <c r="AY244" s="101">
        <f t="shared" ref="AY244:AY252" si="77">ROUND((AW244/12)*PRO_BASE_FUEL,2)</f>
        <v>1.69</v>
      </c>
    </row>
    <row r="245" spans="1:51" x14ac:dyDescent="0.25">
      <c r="A245" s="202"/>
      <c r="C245" s="154"/>
      <c r="F245" s="200"/>
      <c r="H245" s="200"/>
      <c r="I245" s="200"/>
      <c r="L245" s="200"/>
      <c r="M245" s="200"/>
      <c r="N245" s="210"/>
      <c r="O245" s="210"/>
      <c r="P245" s="252"/>
      <c r="Q245" s="252"/>
      <c r="R245" s="200"/>
      <c r="T245" s="216">
        <v>6</v>
      </c>
      <c r="U245" s="80"/>
      <c r="V245" s="81" t="str">
        <f t="shared" si="71"/>
        <v xml:space="preserve">     7,000 LUMEN (4)</v>
      </c>
      <c r="W245" s="80"/>
      <c r="X245" s="80"/>
      <c r="Y245" s="78">
        <f t="shared" si="67"/>
        <v>36</v>
      </c>
      <c r="Z245" s="70"/>
      <c r="AA245" s="78">
        <f t="shared" si="68"/>
        <v>2409</v>
      </c>
      <c r="AB245" s="78"/>
      <c r="AC245" s="349">
        <f>AC243+$AC$6</f>
        <v>11.45</v>
      </c>
      <c r="AD245" s="352"/>
      <c r="AE245" s="79">
        <f t="shared" si="72"/>
        <v>412</v>
      </c>
      <c r="AF245" s="79"/>
      <c r="AG245" s="155">
        <f t="shared" si="69"/>
        <v>0</v>
      </c>
      <c r="AH245" s="156"/>
      <c r="AI245" s="79">
        <f t="shared" si="70"/>
        <v>50</v>
      </c>
      <c r="AJ245" s="79"/>
      <c r="AK245" s="157">
        <f>IF(AE245=0,"0.0 ",ROUND((AI245/AE245)*100,1))</f>
        <v>12.1</v>
      </c>
      <c r="AL245" s="158"/>
      <c r="AM245" s="79">
        <f t="shared" si="73"/>
        <v>2</v>
      </c>
      <c r="AN245" s="79"/>
      <c r="AO245" s="79">
        <f t="shared" si="74"/>
        <v>414</v>
      </c>
      <c r="AP245" s="79"/>
      <c r="AQ245" s="157">
        <f t="shared" si="75"/>
        <v>12.1</v>
      </c>
      <c r="AS245" s="109"/>
      <c r="AW245" s="225"/>
    </row>
    <row r="246" spans="1:51" x14ac:dyDescent="0.25">
      <c r="F246" s="211"/>
      <c r="H246" s="211"/>
      <c r="I246" s="211"/>
      <c r="J246" s="305"/>
      <c r="K246" s="305"/>
      <c r="L246" s="211"/>
      <c r="M246" s="211"/>
      <c r="N246" s="211"/>
      <c r="O246" s="211"/>
      <c r="P246" s="211"/>
      <c r="Q246" s="211"/>
      <c r="R246" s="211"/>
      <c r="T246" s="216">
        <v>7</v>
      </c>
      <c r="U246" s="80"/>
      <c r="V246" s="81" t="str">
        <f t="shared" si="71"/>
        <v xml:space="preserve">     7,000 LUMEN (5)</v>
      </c>
      <c r="W246" s="80"/>
      <c r="X246" s="80"/>
      <c r="Y246" s="78">
        <f t="shared" si="67"/>
        <v>560</v>
      </c>
      <c r="Z246" s="70"/>
      <c r="AA246" s="78">
        <f t="shared" si="68"/>
        <v>37473</v>
      </c>
      <c r="AB246" s="78"/>
      <c r="AC246" s="349">
        <f>AC243+$AC$7</f>
        <v>11.510000000000002</v>
      </c>
      <c r="AD246" s="352"/>
      <c r="AE246" s="79">
        <f t="shared" si="72"/>
        <v>6446</v>
      </c>
      <c r="AF246" s="79"/>
      <c r="AG246" s="155">
        <f t="shared" si="69"/>
        <v>0.5</v>
      </c>
      <c r="AH246" s="156"/>
      <c r="AI246" s="79">
        <f t="shared" si="70"/>
        <v>767</v>
      </c>
      <c r="AJ246" s="79"/>
      <c r="AK246" s="157">
        <f t="shared" ref="AK246:AK279" si="78">IF(AE246=0,"0.0 ",ROUND((AI246/AE246)*100,1))</f>
        <v>11.9</v>
      </c>
      <c r="AL246" s="158"/>
      <c r="AM246" s="79">
        <f t="shared" si="73"/>
        <v>39</v>
      </c>
      <c r="AN246" s="79"/>
      <c r="AO246" s="79">
        <f t="shared" si="74"/>
        <v>6485</v>
      </c>
      <c r="AP246" s="79"/>
      <c r="AQ246" s="157">
        <f t="shared" si="75"/>
        <v>11.8</v>
      </c>
      <c r="AS246" s="109"/>
      <c r="AW246" s="225"/>
    </row>
    <row r="247" spans="1:51" x14ac:dyDescent="0.25">
      <c r="T247" s="216">
        <v>8</v>
      </c>
      <c r="U247" s="80"/>
      <c r="V247" s="81" t="str">
        <f t="shared" si="71"/>
        <v xml:space="preserve">     7,000 LUMEN (6)</v>
      </c>
      <c r="W247" s="80"/>
      <c r="X247" s="80"/>
      <c r="Y247" s="78">
        <f t="shared" si="67"/>
        <v>119</v>
      </c>
      <c r="Z247" s="70"/>
      <c r="AA247" s="78">
        <f t="shared" si="68"/>
        <v>7963</v>
      </c>
      <c r="AB247" s="78"/>
      <c r="AC247" s="349">
        <f>AC243+$AC$8</f>
        <v>12.379999999999999</v>
      </c>
      <c r="AD247" s="352"/>
      <c r="AE247" s="79">
        <f t="shared" si="72"/>
        <v>1473</v>
      </c>
      <c r="AF247" s="79"/>
      <c r="AG247" s="155">
        <f t="shared" si="69"/>
        <v>0.1</v>
      </c>
      <c r="AH247" s="156"/>
      <c r="AI247" s="79">
        <f t="shared" si="70"/>
        <v>176</v>
      </c>
      <c r="AJ247" s="79"/>
      <c r="AK247" s="157">
        <f t="shared" si="78"/>
        <v>11.9</v>
      </c>
      <c r="AL247" s="158"/>
      <c r="AM247" s="79">
        <f t="shared" si="73"/>
        <v>8</v>
      </c>
      <c r="AN247" s="79"/>
      <c r="AO247" s="79">
        <f t="shared" si="74"/>
        <v>1481</v>
      </c>
      <c r="AP247" s="79"/>
      <c r="AQ247" s="157">
        <f t="shared" si="75"/>
        <v>11.9</v>
      </c>
      <c r="AS247" s="109"/>
      <c r="AW247" s="225"/>
    </row>
    <row r="248" spans="1:51" x14ac:dyDescent="0.25">
      <c r="C248" s="154"/>
      <c r="L248" s="200"/>
      <c r="M248" s="200"/>
      <c r="N248" s="200"/>
      <c r="O248" s="200"/>
      <c r="P248" s="200"/>
      <c r="Q248" s="200"/>
      <c r="R248" s="200"/>
      <c r="S248" s="200"/>
      <c r="T248" s="216">
        <v>9</v>
      </c>
      <c r="U248" s="80"/>
      <c r="V248" s="81" t="str">
        <f t="shared" si="71"/>
        <v xml:space="preserve">     7,000 LUMEN (8A)</v>
      </c>
      <c r="W248" s="80"/>
      <c r="X248" s="80"/>
      <c r="Y248" s="78">
        <f t="shared" si="67"/>
        <v>132</v>
      </c>
      <c r="Z248" s="70"/>
      <c r="AA248" s="78">
        <f t="shared" si="68"/>
        <v>8833</v>
      </c>
      <c r="AB248" s="78"/>
      <c r="AC248" s="349">
        <f>AC243+$AC$11</f>
        <v>14.120000000000001</v>
      </c>
      <c r="AD248" s="352"/>
      <c r="AE248" s="79">
        <f t="shared" si="72"/>
        <v>1864</v>
      </c>
      <c r="AF248" s="79"/>
      <c r="AG248" s="155">
        <f t="shared" si="69"/>
        <v>0.1</v>
      </c>
      <c r="AH248" s="156"/>
      <c r="AI248" s="79">
        <f t="shared" si="70"/>
        <v>222</v>
      </c>
      <c r="AJ248" s="79"/>
      <c r="AK248" s="157">
        <f t="shared" si="78"/>
        <v>11.9</v>
      </c>
      <c r="AL248" s="158"/>
      <c r="AM248" s="79">
        <f t="shared" si="73"/>
        <v>9</v>
      </c>
      <c r="AN248" s="79"/>
      <c r="AO248" s="79">
        <f t="shared" si="74"/>
        <v>1873</v>
      </c>
      <c r="AP248" s="79"/>
      <c r="AQ248" s="157">
        <f t="shared" si="75"/>
        <v>11.9</v>
      </c>
      <c r="AS248" s="109"/>
      <c r="AW248" s="225"/>
    </row>
    <row r="249" spans="1:51" x14ac:dyDescent="0.25">
      <c r="C249" s="154"/>
      <c r="L249" s="200"/>
      <c r="M249" s="200"/>
      <c r="N249" s="200"/>
      <c r="O249" s="200"/>
      <c r="P249" s="200"/>
      <c r="Q249" s="200"/>
      <c r="R249" s="200"/>
      <c r="S249" s="200"/>
      <c r="T249" s="216">
        <v>10</v>
      </c>
      <c r="U249" s="80"/>
      <c r="V249" s="81" t="str">
        <f t="shared" si="71"/>
        <v xml:space="preserve">    10,000 LUMEN</v>
      </c>
      <c r="W249" s="80"/>
      <c r="X249" s="80"/>
      <c r="Y249" s="78">
        <f t="shared" si="67"/>
        <v>2199</v>
      </c>
      <c r="Z249" s="70"/>
      <c r="AA249" s="78">
        <f t="shared" si="68"/>
        <v>209638</v>
      </c>
      <c r="AB249" s="78"/>
      <c r="AC249" s="349">
        <v>8.2100000000000009</v>
      </c>
      <c r="AD249" s="352"/>
      <c r="AE249" s="79">
        <f t="shared" si="72"/>
        <v>18054</v>
      </c>
      <c r="AF249" s="79"/>
      <c r="AG249" s="155">
        <f t="shared" si="69"/>
        <v>1.4</v>
      </c>
      <c r="AH249" s="156"/>
      <c r="AI249" s="79">
        <f t="shared" si="70"/>
        <v>2155</v>
      </c>
      <c r="AJ249" s="79"/>
      <c r="AK249" s="157">
        <f>IF(AE249=0,"0.0 ",ROUND((AI249/AE249)*100,1))</f>
        <v>11.9</v>
      </c>
      <c r="AL249" s="158"/>
      <c r="AM249" s="79">
        <f t="shared" si="73"/>
        <v>216</v>
      </c>
      <c r="AN249" s="79"/>
      <c r="AO249" s="79">
        <f t="shared" si="74"/>
        <v>18270</v>
      </c>
      <c r="AP249" s="79"/>
      <c r="AQ249" s="157">
        <f>IF(AO249=0,"0.0 ",ROUND((AI249/AO249)*100,1))</f>
        <v>11.8</v>
      </c>
      <c r="AS249" s="109"/>
      <c r="AW249" s="225"/>
    </row>
    <row r="250" spans="1:51" x14ac:dyDescent="0.25">
      <c r="C250" s="154"/>
      <c r="L250" s="200"/>
      <c r="M250" s="200"/>
      <c r="N250" s="200"/>
      <c r="O250" s="200"/>
      <c r="P250" s="200"/>
      <c r="Q250" s="200"/>
      <c r="R250" s="200"/>
      <c r="S250" s="200"/>
      <c r="T250" s="216">
        <v>11</v>
      </c>
      <c r="U250" s="80"/>
      <c r="V250" s="81" t="str">
        <f t="shared" si="71"/>
        <v xml:space="preserve">    10,000 LUMEN (5)</v>
      </c>
      <c r="W250" s="80"/>
      <c r="X250" s="80"/>
      <c r="Y250" s="78">
        <f t="shared" si="67"/>
        <v>7</v>
      </c>
      <c r="Z250" s="70"/>
      <c r="AA250" s="78">
        <f t="shared" si="68"/>
        <v>667</v>
      </c>
      <c r="AB250" s="78"/>
      <c r="AC250" s="349">
        <f>AC249+$AC$7</f>
        <v>12.610000000000001</v>
      </c>
      <c r="AD250" s="352"/>
      <c r="AE250" s="79">
        <f>ROUND((Y250*AC250),0)</f>
        <v>88</v>
      </c>
      <c r="AF250" s="79"/>
      <c r="AG250" s="155">
        <f t="shared" si="69"/>
        <v>0</v>
      </c>
      <c r="AH250" s="156"/>
      <c r="AI250" s="79">
        <f t="shared" si="70"/>
        <v>11</v>
      </c>
      <c r="AJ250" s="79"/>
      <c r="AK250" s="157">
        <f t="shared" si="78"/>
        <v>12.5</v>
      </c>
      <c r="AL250" s="158"/>
      <c r="AM250" s="79">
        <f>ROUND($AM$433/$AA$433*AA250,0)</f>
        <v>1</v>
      </c>
      <c r="AN250" s="79"/>
      <c r="AO250" s="79">
        <f t="shared" si="74"/>
        <v>89</v>
      </c>
      <c r="AP250" s="79"/>
      <c r="AQ250" s="157">
        <f t="shared" si="75"/>
        <v>12.4</v>
      </c>
      <c r="AS250" s="109"/>
      <c r="AT250" s="394">
        <f>AC250-AX250</f>
        <v>10.340000000000002</v>
      </c>
      <c r="AW250" s="225">
        <v>1144</v>
      </c>
      <c r="AX250" s="101">
        <f t="shared" si="76"/>
        <v>2.27</v>
      </c>
      <c r="AY250" s="101">
        <f t="shared" si="77"/>
        <v>2.27</v>
      </c>
    </row>
    <row r="251" spans="1:51" x14ac:dyDescent="0.25">
      <c r="C251" s="154"/>
      <c r="L251" s="200"/>
      <c r="M251" s="200"/>
      <c r="N251" s="200"/>
      <c r="O251" s="200"/>
      <c r="P251" s="200"/>
      <c r="Q251" s="200"/>
      <c r="R251" s="200"/>
      <c r="S251" s="200"/>
      <c r="T251" s="216">
        <v>12</v>
      </c>
      <c r="U251" s="80"/>
      <c r="V251" s="81" t="str">
        <f t="shared" si="71"/>
        <v xml:space="preserve">    21,000 LUMEN</v>
      </c>
      <c r="W251" s="80"/>
      <c r="X251" s="80"/>
      <c r="Y251" s="78">
        <f t="shared" si="67"/>
        <v>9600</v>
      </c>
      <c r="Z251" s="70"/>
      <c r="AA251" s="78">
        <f t="shared" si="68"/>
        <v>1431200</v>
      </c>
      <c r="AB251" s="78"/>
      <c r="AC251" s="349">
        <v>10.99</v>
      </c>
      <c r="AD251" s="352"/>
      <c r="AE251" s="79">
        <f>ROUND((Y251*AC251),0)</f>
        <v>105504</v>
      </c>
      <c r="AF251" s="79"/>
      <c r="AG251" s="155">
        <f t="shared" si="69"/>
        <v>7.9</v>
      </c>
      <c r="AH251" s="156"/>
      <c r="AI251" s="79">
        <f t="shared" si="70"/>
        <v>12576</v>
      </c>
      <c r="AJ251" s="79"/>
      <c r="AK251" s="157">
        <f>IF(AE251=0,"0.0 ",ROUND((AI251/AE251)*100,1))</f>
        <v>11.9</v>
      </c>
      <c r="AL251" s="158"/>
      <c r="AM251" s="79">
        <f>ROUND($AM$433/$AA$433*AA251,0)</f>
        <v>1471</v>
      </c>
      <c r="AN251" s="79"/>
      <c r="AO251" s="79">
        <f t="shared" si="74"/>
        <v>106975</v>
      </c>
      <c r="AP251" s="79"/>
      <c r="AQ251" s="157">
        <f>IF(AO251=0,"0.0 ",ROUND((AI251/AO251)*100,1))</f>
        <v>11.8</v>
      </c>
      <c r="AS251" s="109"/>
      <c r="AW251" s="225"/>
    </row>
    <row r="252" spans="1:51" x14ac:dyDescent="0.25">
      <c r="A252" s="154"/>
      <c r="T252" s="216">
        <v>13</v>
      </c>
      <c r="U252" s="80"/>
      <c r="V252" s="81" t="str">
        <f t="shared" si="71"/>
        <v xml:space="preserve">    21,000 LUMEN (5)</v>
      </c>
      <c r="W252" s="80"/>
      <c r="X252" s="80"/>
      <c r="Y252" s="78">
        <f t="shared" si="67"/>
        <v>132</v>
      </c>
      <c r="Z252" s="70"/>
      <c r="AA252" s="78">
        <f t="shared" si="68"/>
        <v>19679</v>
      </c>
      <c r="AB252" s="78"/>
      <c r="AC252" s="349">
        <f>AC251+$AC$7</f>
        <v>15.39</v>
      </c>
      <c r="AD252" s="162"/>
      <c r="AE252" s="79">
        <f t="shared" si="72"/>
        <v>2031</v>
      </c>
      <c r="AF252" s="70"/>
      <c r="AG252" s="155">
        <f t="shared" si="69"/>
        <v>0.2</v>
      </c>
      <c r="AH252" s="70"/>
      <c r="AI252" s="79">
        <f t="shared" si="70"/>
        <v>242</v>
      </c>
      <c r="AJ252" s="70"/>
      <c r="AK252" s="155">
        <f>IF(AE252=0,"0.0 ",ROUND((AI252/AE252)*100,1))</f>
        <v>11.9</v>
      </c>
      <c r="AL252" s="70"/>
      <c r="AM252" s="79">
        <f>ROUND($AM$433/$AA$433*AA252,0)</f>
        <v>20</v>
      </c>
      <c r="AN252" s="70"/>
      <c r="AO252" s="79">
        <f t="shared" si="74"/>
        <v>2051</v>
      </c>
      <c r="AP252" s="70"/>
      <c r="AQ252" s="157">
        <f t="shared" si="75"/>
        <v>11.8</v>
      </c>
      <c r="AS252" s="109"/>
      <c r="AT252" s="394">
        <f>AC252-AX252</f>
        <v>11.84</v>
      </c>
      <c r="AW252" s="225">
        <v>1789</v>
      </c>
      <c r="AX252" s="101">
        <f t="shared" si="76"/>
        <v>3.55</v>
      </c>
      <c r="AY252" s="101">
        <f t="shared" si="77"/>
        <v>3.55</v>
      </c>
    </row>
    <row r="253" spans="1:51" x14ac:dyDescent="0.25">
      <c r="A253" s="154"/>
      <c r="T253" s="216">
        <v>14</v>
      </c>
      <c r="U253" s="80"/>
      <c r="V253" s="81" t="str">
        <f t="shared" si="71"/>
        <v xml:space="preserve">    21,000 LUMEN (6)</v>
      </c>
      <c r="W253" s="80"/>
      <c r="X253" s="80"/>
      <c r="Y253" s="78">
        <f t="shared" si="67"/>
        <v>132</v>
      </c>
      <c r="Z253" s="70"/>
      <c r="AA253" s="78">
        <f t="shared" si="68"/>
        <v>19679</v>
      </c>
      <c r="AB253" s="78"/>
      <c r="AC253" s="349">
        <f>AC251+$AC$8</f>
        <v>16.259999999999998</v>
      </c>
      <c r="AD253" s="352"/>
      <c r="AE253" s="79">
        <f t="shared" ref="AE253:AE271" si="79">ROUND((Y253*AC253),0)</f>
        <v>2146</v>
      </c>
      <c r="AF253" s="79"/>
      <c r="AG253" s="155">
        <f t="shared" si="69"/>
        <v>0.2</v>
      </c>
      <c r="AH253" s="156"/>
      <c r="AI253" s="79">
        <f t="shared" si="70"/>
        <v>256</v>
      </c>
      <c r="AJ253" s="79"/>
      <c r="AK253" s="157">
        <f t="shared" si="78"/>
        <v>11.9</v>
      </c>
      <c r="AL253" s="158"/>
      <c r="AM253" s="79">
        <f>ROUND($AM$433/$AA$433*AA253,0)</f>
        <v>20</v>
      </c>
      <c r="AN253" s="79"/>
      <c r="AO253" s="79">
        <f t="shared" ref="AO253:AO271" si="80">AE253+AM253</f>
        <v>2166</v>
      </c>
      <c r="AP253" s="79"/>
      <c r="AQ253" s="157">
        <f t="shared" si="75"/>
        <v>11.8</v>
      </c>
      <c r="AS253" s="109"/>
      <c r="AW253" s="225"/>
    </row>
    <row r="254" spans="1:51" x14ac:dyDescent="0.25">
      <c r="A254" s="154"/>
      <c r="T254" s="216">
        <v>15</v>
      </c>
      <c r="U254" s="80"/>
      <c r="V254" s="253" t="s">
        <v>348</v>
      </c>
      <c r="W254" s="80"/>
      <c r="X254" s="80"/>
      <c r="Y254" s="78"/>
      <c r="Z254" s="70"/>
      <c r="AA254" s="78"/>
      <c r="AB254" s="78"/>
      <c r="AC254" s="352"/>
      <c r="AD254" s="352"/>
      <c r="AE254" s="79"/>
      <c r="AF254" s="79"/>
      <c r="AG254" s="155"/>
      <c r="AH254" s="156"/>
      <c r="AI254" s="79"/>
      <c r="AJ254" s="79"/>
      <c r="AK254" s="157"/>
      <c r="AL254" s="158"/>
      <c r="AM254" s="161"/>
      <c r="AN254" s="79"/>
      <c r="AO254" s="79"/>
      <c r="AP254" s="79"/>
      <c r="AQ254" s="157"/>
      <c r="AS254" s="109"/>
      <c r="AW254" s="225"/>
    </row>
    <row r="255" spans="1:51" x14ac:dyDescent="0.25">
      <c r="A255" s="154"/>
      <c r="T255" s="216">
        <v>16</v>
      </c>
      <c r="U255" s="80"/>
      <c r="V255" s="81" t="str">
        <f t="shared" si="71"/>
        <v xml:space="preserve">    14,000 LUMEN</v>
      </c>
      <c r="W255" s="80"/>
      <c r="X255" s="80"/>
      <c r="Y255" s="78">
        <f t="shared" ref="Y255:Y261" si="81">F33</f>
        <v>336</v>
      </c>
      <c r="Z255" s="70"/>
      <c r="AA255" s="78">
        <f t="shared" ref="AA255:AA261" si="82">H33</f>
        <v>22484</v>
      </c>
      <c r="AB255" s="78"/>
      <c r="AC255" s="349">
        <v>7.11</v>
      </c>
      <c r="AD255" s="352"/>
      <c r="AE255" s="79">
        <f>ROUND((Y255*AC255),0)</f>
        <v>2389</v>
      </c>
      <c r="AF255" s="79"/>
      <c r="AG255" s="155">
        <f t="shared" ref="AG255:AG261" si="83">ROUND((AE255/AE$433)*100,1)</f>
        <v>0.2</v>
      </c>
      <c r="AH255" s="156"/>
      <c r="AI255" s="79">
        <f t="shared" ref="AI255:AI261" si="84">L33-AE255</f>
        <v>286</v>
      </c>
      <c r="AJ255" s="79"/>
      <c r="AK255" s="157">
        <f>IF(AE255=0,"0.0 ",ROUND((AI255/AE255)*100,1))</f>
        <v>12</v>
      </c>
      <c r="AL255" s="158"/>
      <c r="AM255" s="79">
        <f t="shared" ref="AM255:AM261" si="85">ROUND($AM$433/$AA$433*AA255,0)</f>
        <v>23</v>
      </c>
      <c r="AN255" s="79"/>
      <c r="AO255" s="79">
        <f>AE255+AM255</f>
        <v>2412</v>
      </c>
      <c r="AP255" s="79"/>
      <c r="AQ255" s="157">
        <f>IF(AO255=0,"0.0 ",ROUND((AI255/AO255)*100,1))</f>
        <v>11.9</v>
      </c>
      <c r="AS255" s="109"/>
      <c r="AT255" s="394">
        <f>AC255-AX255</f>
        <v>5.51</v>
      </c>
      <c r="AW255" s="225">
        <v>803</v>
      </c>
      <c r="AX255" s="101">
        <f>ROUND((AW255/12)*CUR_BASE_FUEL,2)</f>
        <v>1.6</v>
      </c>
      <c r="AY255" s="101">
        <f>ROUND((AW255/12)*PRO_BASE_FUEL,2)</f>
        <v>1.6</v>
      </c>
    </row>
    <row r="256" spans="1:51" x14ac:dyDescent="0.25">
      <c r="A256" s="154"/>
      <c r="T256" s="216">
        <v>17</v>
      </c>
      <c r="U256" s="139"/>
      <c r="V256" s="81" t="str">
        <f t="shared" si="71"/>
        <v xml:space="preserve">    14,000 LUMEN (5)</v>
      </c>
      <c r="W256" s="139"/>
      <c r="X256" s="80"/>
      <c r="Y256" s="78">
        <f t="shared" si="81"/>
        <v>48</v>
      </c>
      <c r="Z256" s="70"/>
      <c r="AA256" s="78">
        <f t="shared" si="82"/>
        <v>3212</v>
      </c>
      <c r="AB256" s="78"/>
      <c r="AC256" s="349">
        <f>$AC$255+$AC$7</f>
        <v>11.510000000000002</v>
      </c>
      <c r="AD256" s="352"/>
      <c r="AE256" s="79">
        <f t="shared" ref="AE256:AE258" si="86">ROUND((Y256*AC256),0)</f>
        <v>552</v>
      </c>
      <c r="AF256" s="79"/>
      <c r="AG256" s="155">
        <f t="shared" si="83"/>
        <v>0</v>
      </c>
      <c r="AH256" s="156"/>
      <c r="AI256" s="79">
        <f t="shared" si="84"/>
        <v>66</v>
      </c>
      <c r="AJ256" s="79"/>
      <c r="AK256" s="157">
        <f t="shared" ref="AK256:AK258" si="87">IF(AE256=0,"0.0 ",ROUND((AI256/AE256)*100,1))</f>
        <v>12</v>
      </c>
      <c r="AL256" s="158"/>
      <c r="AM256" s="79">
        <f t="shared" si="85"/>
        <v>3</v>
      </c>
      <c r="AN256" s="79"/>
      <c r="AO256" s="79">
        <f t="shared" ref="AO256:AO258" si="88">AE256+AM256</f>
        <v>555</v>
      </c>
      <c r="AP256" s="79"/>
      <c r="AQ256" s="157">
        <f t="shared" ref="AQ256:AQ258" si="89">IF(AO256=0,"0.0 ",ROUND((AI256/AO256)*100,1))</f>
        <v>11.9</v>
      </c>
      <c r="AS256" s="109"/>
      <c r="AT256" s="394"/>
      <c r="AW256" s="225"/>
    </row>
    <row r="257" spans="1:51" x14ac:dyDescent="0.25">
      <c r="A257" s="154"/>
      <c r="T257" s="216">
        <v>18</v>
      </c>
      <c r="U257" s="139"/>
      <c r="V257" s="81" t="str">
        <f t="shared" si="71"/>
        <v xml:space="preserve">    14,000 LUMEN (6)</v>
      </c>
      <c r="W257" s="139"/>
      <c r="X257" s="80"/>
      <c r="Y257" s="78">
        <f t="shared" si="81"/>
        <v>91</v>
      </c>
      <c r="Z257" s="70"/>
      <c r="AA257" s="78">
        <f t="shared" si="82"/>
        <v>6089</v>
      </c>
      <c r="AB257" s="78"/>
      <c r="AC257" s="349">
        <f>$AC$255+$AC$8</f>
        <v>12.379999999999999</v>
      </c>
      <c r="AD257" s="352"/>
      <c r="AE257" s="79">
        <f t="shared" si="86"/>
        <v>1127</v>
      </c>
      <c r="AF257" s="79"/>
      <c r="AG257" s="155">
        <f t="shared" si="83"/>
        <v>0.1</v>
      </c>
      <c r="AH257" s="156"/>
      <c r="AI257" s="79">
        <f t="shared" si="84"/>
        <v>134</v>
      </c>
      <c r="AJ257" s="79"/>
      <c r="AK257" s="157">
        <f t="shared" si="87"/>
        <v>11.9</v>
      </c>
      <c r="AL257" s="158"/>
      <c r="AM257" s="79">
        <f t="shared" si="85"/>
        <v>6</v>
      </c>
      <c r="AN257" s="79"/>
      <c r="AO257" s="79">
        <f t="shared" si="88"/>
        <v>1133</v>
      </c>
      <c r="AP257" s="79"/>
      <c r="AQ257" s="157">
        <f t="shared" si="89"/>
        <v>11.8</v>
      </c>
      <c r="AS257" s="109"/>
      <c r="AT257" s="394"/>
      <c r="AW257" s="225"/>
    </row>
    <row r="258" spans="1:51" x14ac:dyDescent="0.25">
      <c r="A258" s="154"/>
      <c r="T258" s="216">
        <v>19</v>
      </c>
      <c r="U258" s="139"/>
      <c r="V258" s="81" t="str">
        <f t="shared" si="71"/>
        <v xml:space="preserve">    14,000 LUMEN (10)</v>
      </c>
      <c r="W258" s="139"/>
      <c r="X258" s="80"/>
      <c r="Y258" s="78">
        <f t="shared" si="81"/>
        <v>12</v>
      </c>
      <c r="Z258" s="70"/>
      <c r="AA258" s="78">
        <f t="shared" si="82"/>
        <v>803</v>
      </c>
      <c r="AB258" s="78"/>
      <c r="AC258" s="349">
        <f>$AC$255+$AC$13</f>
        <v>11.510000000000002</v>
      </c>
      <c r="AD258" s="352"/>
      <c r="AE258" s="79">
        <f t="shared" si="86"/>
        <v>138</v>
      </c>
      <c r="AF258" s="79"/>
      <c r="AG258" s="155">
        <f t="shared" si="83"/>
        <v>0</v>
      </c>
      <c r="AH258" s="156"/>
      <c r="AI258" s="79">
        <f t="shared" si="84"/>
        <v>17</v>
      </c>
      <c r="AJ258" s="79"/>
      <c r="AK258" s="157">
        <f t="shared" si="87"/>
        <v>12.3</v>
      </c>
      <c r="AL258" s="158"/>
      <c r="AM258" s="79">
        <f t="shared" si="85"/>
        <v>1</v>
      </c>
      <c r="AN258" s="79"/>
      <c r="AO258" s="79">
        <f t="shared" si="88"/>
        <v>139</v>
      </c>
      <c r="AP258" s="79"/>
      <c r="AQ258" s="157">
        <f t="shared" si="89"/>
        <v>12.2</v>
      </c>
      <c r="AS258" s="109"/>
      <c r="AT258" s="394"/>
      <c r="AW258" s="225"/>
    </row>
    <row r="259" spans="1:51" x14ac:dyDescent="0.25">
      <c r="A259" s="154"/>
      <c r="T259" s="216">
        <v>20</v>
      </c>
      <c r="U259" s="80"/>
      <c r="V259" s="81" t="str">
        <f t="shared" si="71"/>
        <v xml:space="preserve">    20,500 LUMEN</v>
      </c>
      <c r="W259" s="80"/>
      <c r="X259" s="80"/>
      <c r="Y259" s="78">
        <f t="shared" si="81"/>
        <v>168</v>
      </c>
      <c r="Z259" s="70"/>
      <c r="AA259" s="78">
        <f t="shared" si="82"/>
        <v>16016</v>
      </c>
      <c r="AB259" s="78"/>
      <c r="AC259" s="349">
        <v>8.2100000000000009</v>
      </c>
      <c r="AD259" s="352"/>
      <c r="AE259" s="79">
        <f>ROUND((Y259*AC259),0)</f>
        <v>1379</v>
      </c>
      <c r="AF259" s="79"/>
      <c r="AG259" s="155">
        <f t="shared" si="83"/>
        <v>0.1</v>
      </c>
      <c r="AH259" s="156"/>
      <c r="AI259" s="79">
        <f t="shared" si="84"/>
        <v>165</v>
      </c>
      <c r="AJ259" s="79"/>
      <c r="AK259" s="157">
        <f>IF(AE259=0,"0.0 ",ROUND((AI259/AE259)*100,1))</f>
        <v>12</v>
      </c>
      <c r="AL259" s="158"/>
      <c r="AM259" s="79">
        <f t="shared" si="85"/>
        <v>16</v>
      </c>
      <c r="AN259" s="79"/>
      <c r="AO259" s="79">
        <f>AE259+AM259</f>
        <v>1395</v>
      </c>
      <c r="AP259" s="79"/>
      <c r="AQ259" s="157">
        <f>IF(AO259=0,"0.0 ",ROUND((AI259/AO259)*100,1))</f>
        <v>11.8</v>
      </c>
      <c r="AS259" s="109"/>
      <c r="AT259" s="394">
        <f>AC259-AX259</f>
        <v>5.9400000000000013</v>
      </c>
      <c r="AW259" s="225">
        <v>1144</v>
      </c>
      <c r="AX259" s="101">
        <f>ROUND((AW259/12)*CUR_BASE_FUEL,2)</f>
        <v>2.27</v>
      </c>
      <c r="AY259" s="101">
        <f>ROUND((AW259/12)*PRO_BASE_FUEL,2)</f>
        <v>2.27</v>
      </c>
    </row>
    <row r="260" spans="1:51" x14ac:dyDescent="0.25">
      <c r="A260" s="154"/>
      <c r="T260" s="216">
        <v>21</v>
      </c>
      <c r="U260" s="140"/>
      <c r="V260" s="81" t="str">
        <f t="shared" si="71"/>
        <v xml:space="preserve">    20,500 LUMEN (6)</v>
      </c>
      <c r="W260" s="140"/>
      <c r="X260" s="80"/>
      <c r="Y260" s="78">
        <f t="shared" si="81"/>
        <v>24</v>
      </c>
      <c r="Z260" s="70"/>
      <c r="AA260" s="78">
        <f t="shared" si="82"/>
        <v>2288</v>
      </c>
      <c r="AB260" s="78"/>
      <c r="AC260" s="349">
        <f>$AC$259+$AC$8</f>
        <v>13.48</v>
      </c>
      <c r="AD260" s="352"/>
      <c r="AE260" s="79">
        <f>ROUND((Y260*AC260),0)</f>
        <v>324</v>
      </c>
      <c r="AF260" s="79"/>
      <c r="AG260" s="155">
        <f t="shared" si="83"/>
        <v>0</v>
      </c>
      <c r="AH260" s="156"/>
      <c r="AI260" s="79">
        <f t="shared" si="84"/>
        <v>38</v>
      </c>
      <c r="AJ260" s="79"/>
      <c r="AK260" s="157">
        <f>IF(AE260=0,"0.0 ",ROUND((AI260/AE260)*100,1))</f>
        <v>11.7</v>
      </c>
      <c r="AL260" s="158"/>
      <c r="AM260" s="79">
        <f t="shared" si="85"/>
        <v>2</v>
      </c>
      <c r="AN260" s="79"/>
      <c r="AO260" s="79">
        <f>AE260+AM260</f>
        <v>326</v>
      </c>
      <c r="AP260" s="79"/>
      <c r="AQ260" s="157">
        <f>IF(AO260=0,"0.0 ",ROUND((AI260/AO260)*100,1))</f>
        <v>11.7</v>
      </c>
      <c r="AS260" s="109"/>
      <c r="AT260" s="394"/>
      <c r="AW260" s="225"/>
    </row>
    <row r="261" spans="1:51" x14ac:dyDescent="0.25">
      <c r="A261" s="154"/>
      <c r="T261" s="216">
        <v>22</v>
      </c>
      <c r="U261" s="80"/>
      <c r="V261" s="81" t="str">
        <f t="shared" si="71"/>
        <v xml:space="preserve">    36,000 LUMEN</v>
      </c>
      <c r="W261" s="80"/>
      <c r="X261" s="80"/>
      <c r="Y261" s="78">
        <f t="shared" si="81"/>
        <v>0</v>
      </c>
      <c r="Z261" s="70"/>
      <c r="AA261" s="78">
        <f t="shared" si="82"/>
        <v>0</v>
      </c>
      <c r="AB261" s="78"/>
      <c r="AC261" s="349">
        <v>10.99</v>
      </c>
      <c r="AD261" s="352"/>
      <c r="AE261" s="79">
        <f>ROUND((Y261*AC261),0)</f>
        <v>0</v>
      </c>
      <c r="AF261" s="79"/>
      <c r="AG261" s="155">
        <f t="shared" si="83"/>
        <v>0</v>
      </c>
      <c r="AH261" s="156"/>
      <c r="AI261" s="79">
        <f t="shared" si="84"/>
        <v>0</v>
      </c>
      <c r="AJ261" s="79"/>
      <c r="AK261" s="157" t="str">
        <f>IF(AE261=0,"0.0 ",ROUND((AI261/AE261)*100,1))</f>
        <v xml:space="preserve">0.0 </v>
      </c>
      <c r="AL261" s="158"/>
      <c r="AM261" s="79">
        <f t="shared" si="85"/>
        <v>0</v>
      </c>
      <c r="AN261" s="79"/>
      <c r="AO261" s="79">
        <f>AE261+AM261</f>
        <v>0</v>
      </c>
      <c r="AP261" s="79"/>
      <c r="AQ261" s="157" t="str">
        <f>IF(AO261=0,"0.0 ",ROUND((AI261/AO261)*100,1))</f>
        <v xml:space="preserve">0.0 </v>
      </c>
      <c r="AS261" s="109"/>
      <c r="AT261" s="394">
        <f>AC261-AX261</f>
        <v>7.44</v>
      </c>
      <c r="AW261" s="225">
        <v>1789</v>
      </c>
      <c r="AX261" s="101">
        <f>ROUND((AW261/12)*CUR_BASE_FUEL,2)</f>
        <v>3.55</v>
      </c>
      <c r="AY261" s="101">
        <f>ROUND((AW261/12)*PRO_BASE_FUEL,2)</f>
        <v>3.55</v>
      </c>
    </row>
    <row r="262" spans="1:51" x14ac:dyDescent="0.25">
      <c r="J262" s="202"/>
      <c r="K262" s="202"/>
      <c r="T262" s="216">
        <v>23</v>
      </c>
      <c r="U262" s="80"/>
      <c r="V262" s="265" t="s">
        <v>224</v>
      </c>
      <c r="W262" s="80"/>
      <c r="X262" s="80"/>
      <c r="Y262" s="160"/>
      <c r="Z262" s="70"/>
      <c r="AA262" s="161"/>
      <c r="AB262" s="70"/>
      <c r="AC262" s="162"/>
      <c r="AD262" s="352"/>
      <c r="AE262" s="79"/>
      <c r="AF262" s="79"/>
      <c r="AG262" s="155"/>
      <c r="AH262" s="156"/>
      <c r="AI262" s="79"/>
      <c r="AJ262" s="79"/>
      <c r="AK262" s="157"/>
      <c r="AL262" s="158"/>
      <c r="AM262" s="79"/>
      <c r="AN262" s="79"/>
      <c r="AO262" s="79"/>
      <c r="AP262" s="79"/>
      <c r="AQ262" s="157"/>
      <c r="AS262" s="109"/>
      <c r="AW262" s="229"/>
    </row>
    <row r="263" spans="1:51" x14ac:dyDescent="0.25">
      <c r="J263" s="202"/>
      <c r="K263" s="202"/>
      <c r="T263" s="216">
        <v>24</v>
      </c>
      <c r="U263" s="80"/>
      <c r="V263" s="81" t="str">
        <f t="shared" si="71"/>
        <v xml:space="preserve">     9,500 LUMEN</v>
      </c>
      <c r="W263" s="80"/>
      <c r="X263" s="80"/>
      <c r="Y263" s="78">
        <f t="shared" ref="Y263:Y280" si="90">F41</f>
        <v>19202</v>
      </c>
      <c r="Z263" s="70"/>
      <c r="AA263" s="78">
        <f t="shared" ref="AA263:AA280" si="91">H41</f>
        <v>779281</v>
      </c>
      <c r="AB263" s="78"/>
      <c r="AC263" s="349">
        <v>7.87</v>
      </c>
      <c r="AD263" s="352"/>
      <c r="AE263" s="79">
        <f>ROUND((Y263*AC263),0)</f>
        <v>151120</v>
      </c>
      <c r="AF263" s="79"/>
      <c r="AG263" s="155">
        <f t="shared" ref="AG263:AG280" si="92">ROUND((AE263/AE$433)*100,1)</f>
        <v>11.3</v>
      </c>
      <c r="AH263" s="156"/>
      <c r="AI263" s="79">
        <f t="shared" ref="AI263:AI280" si="93">L41-AE263</f>
        <v>18050</v>
      </c>
      <c r="AJ263" s="79"/>
      <c r="AK263" s="157">
        <f>IF(AE263=0,"0.0 ",ROUND((AI263/AE263)*100,1))</f>
        <v>11.9</v>
      </c>
      <c r="AL263" s="158"/>
      <c r="AM263" s="79">
        <f t="shared" ref="AM263:AM269" si="94">ROUND($AM$433/$AA$433*AA263,0)</f>
        <v>801</v>
      </c>
      <c r="AN263" s="79"/>
      <c r="AO263" s="79">
        <f>AE263+AM263</f>
        <v>151921</v>
      </c>
      <c r="AP263" s="79"/>
      <c r="AQ263" s="157">
        <f>IF(AO263=0,"0.0 ",ROUND((AI263/AO263)*100,1))</f>
        <v>11.9</v>
      </c>
      <c r="AS263" s="109"/>
      <c r="AT263" s="394">
        <f>AC263-AX263</f>
        <v>6.9</v>
      </c>
      <c r="AW263" s="225">
        <v>487</v>
      </c>
      <c r="AX263" s="101">
        <f>ROUND((AW263/12)*CUR_BASE_FUEL,2)</f>
        <v>0.97</v>
      </c>
      <c r="AY263" s="101">
        <f>ROUND((AW263/12)*PRO_BASE_FUEL,2)</f>
        <v>0.97</v>
      </c>
    </row>
    <row r="264" spans="1:51" x14ac:dyDescent="0.25">
      <c r="J264" s="202"/>
      <c r="K264" s="202"/>
      <c r="T264" s="216">
        <v>25</v>
      </c>
      <c r="U264" s="80"/>
      <c r="V264" s="81" t="str">
        <f t="shared" si="71"/>
        <v xml:space="preserve">     9,500 LUMEN (OPEN)</v>
      </c>
      <c r="W264" s="80"/>
      <c r="X264" s="80"/>
      <c r="Y264" s="78">
        <f t="shared" si="90"/>
        <v>120</v>
      </c>
      <c r="Z264" s="70"/>
      <c r="AA264" s="78">
        <f t="shared" si="91"/>
        <v>4870</v>
      </c>
      <c r="AB264" s="78"/>
      <c r="AC264" s="349">
        <v>5.91</v>
      </c>
      <c r="AD264" s="352"/>
      <c r="AE264" s="79">
        <f t="shared" si="79"/>
        <v>709</v>
      </c>
      <c r="AF264" s="79"/>
      <c r="AG264" s="155">
        <f t="shared" si="92"/>
        <v>0.1</v>
      </c>
      <c r="AH264" s="156"/>
      <c r="AI264" s="79">
        <f t="shared" si="93"/>
        <v>84</v>
      </c>
      <c r="AJ264" s="79"/>
      <c r="AK264" s="157">
        <f t="shared" si="78"/>
        <v>11.8</v>
      </c>
      <c r="AL264" s="158"/>
      <c r="AM264" s="79">
        <f t="shared" si="94"/>
        <v>5</v>
      </c>
      <c r="AN264" s="79"/>
      <c r="AO264" s="79">
        <f t="shared" si="80"/>
        <v>714</v>
      </c>
      <c r="AP264" s="79"/>
      <c r="AQ264" s="157">
        <f t="shared" si="75"/>
        <v>11.8</v>
      </c>
      <c r="AS264" s="109"/>
      <c r="AT264" s="394">
        <f>AC264-AX264</f>
        <v>4.9400000000000004</v>
      </c>
      <c r="AW264" s="225">
        <v>487</v>
      </c>
      <c r="AX264" s="101">
        <f t="shared" ref="AX264:AX277" si="95">ROUND((AW264/12)*CUR_BASE_FUEL,2)</f>
        <v>0.97</v>
      </c>
      <c r="AY264" s="101">
        <f t="shared" ref="AY264:AY277" si="96">ROUND((AW264/12)*PRO_BASE_FUEL,2)</f>
        <v>0.97</v>
      </c>
    </row>
    <row r="265" spans="1:51" x14ac:dyDescent="0.25">
      <c r="H265" s="154"/>
      <c r="I265" s="154"/>
      <c r="T265" s="216">
        <v>26</v>
      </c>
      <c r="U265" s="80"/>
      <c r="V265" s="81" t="str">
        <f t="shared" si="71"/>
        <v xml:space="preserve">     9,500 LUMEN (4)</v>
      </c>
      <c r="W265" s="80"/>
      <c r="X265" s="80"/>
      <c r="Y265" s="78">
        <f t="shared" si="90"/>
        <v>48</v>
      </c>
      <c r="Z265" s="70"/>
      <c r="AA265" s="78">
        <f t="shared" si="91"/>
        <v>1948</v>
      </c>
      <c r="AB265" s="78"/>
      <c r="AC265" s="349">
        <f>AC263+$AC$6</f>
        <v>12.21</v>
      </c>
      <c r="AD265" s="352"/>
      <c r="AE265" s="79">
        <f t="shared" si="79"/>
        <v>586</v>
      </c>
      <c r="AF265" s="79"/>
      <c r="AG265" s="155">
        <f t="shared" si="92"/>
        <v>0</v>
      </c>
      <c r="AH265" s="156"/>
      <c r="AI265" s="79">
        <f t="shared" si="93"/>
        <v>70</v>
      </c>
      <c r="AJ265" s="79"/>
      <c r="AK265" s="157">
        <f t="shared" si="78"/>
        <v>11.9</v>
      </c>
      <c r="AL265" s="158"/>
      <c r="AM265" s="79">
        <f t="shared" si="94"/>
        <v>2</v>
      </c>
      <c r="AN265" s="79"/>
      <c r="AO265" s="79">
        <f t="shared" si="80"/>
        <v>588</v>
      </c>
      <c r="AP265" s="79"/>
      <c r="AQ265" s="157">
        <f t="shared" si="75"/>
        <v>11.9</v>
      </c>
      <c r="AS265" s="109"/>
      <c r="AW265" s="225"/>
    </row>
    <row r="266" spans="1:51" x14ac:dyDescent="0.25">
      <c r="H266" s="154"/>
      <c r="I266" s="154"/>
      <c r="T266" s="216">
        <v>27</v>
      </c>
      <c r="U266" s="80"/>
      <c r="V266" s="81" t="str">
        <f t="shared" si="71"/>
        <v xml:space="preserve">     9,500 LUMEN (5)</v>
      </c>
      <c r="W266" s="80"/>
      <c r="X266" s="80"/>
      <c r="Y266" s="78">
        <f t="shared" si="90"/>
        <v>685</v>
      </c>
      <c r="Z266" s="70"/>
      <c r="AA266" s="78">
        <f t="shared" si="91"/>
        <v>27800</v>
      </c>
      <c r="AB266" s="78"/>
      <c r="AC266" s="349">
        <f>AC263+$AC$7</f>
        <v>12.27</v>
      </c>
      <c r="AD266" s="352"/>
      <c r="AE266" s="79">
        <f t="shared" si="79"/>
        <v>8405</v>
      </c>
      <c r="AF266" s="79"/>
      <c r="AG266" s="155">
        <f t="shared" si="92"/>
        <v>0.6</v>
      </c>
      <c r="AH266" s="156"/>
      <c r="AI266" s="79">
        <f t="shared" si="93"/>
        <v>1000</v>
      </c>
      <c r="AJ266" s="79"/>
      <c r="AK266" s="157">
        <f t="shared" si="78"/>
        <v>11.9</v>
      </c>
      <c r="AL266" s="158"/>
      <c r="AM266" s="79">
        <f t="shared" si="94"/>
        <v>29</v>
      </c>
      <c r="AN266" s="79"/>
      <c r="AO266" s="79">
        <f t="shared" si="80"/>
        <v>8434</v>
      </c>
      <c r="AP266" s="79"/>
      <c r="AQ266" s="157">
        <f t="shared" si="75"/>
        <v>11.9</v>
      </c>
      <c r="AS266" s="109"/>
      <c r="AW266" s="225"/>
    </row>
    <row r="267" spans="1:51" x14ac:dyDescent="0.25">
      <c r="J267" s="202"/>
      <c r="K267" s="202"/>
      <c r="T267" s="216">
        <v>28</v>
      </c>
      <c r="U267" s="80"/>
      <c r="V267" s="81" t="str">
        <f t="shared" si="71"/>
        <v xml:space="preserve">     9,500 LUMEN (6)</v>
      </c>
      <c r="W267" s="80"/>
      <c r="X267" s="80"/>
      <c r="Y267" s="78">
        <f t="shared" si="90"/>
        <v>685</v>
      </c>
      <c r="Z267" s="70"/>
      <c r="AA267" s="78">
        <f t="shared" si="91"/>
        <v>27800</v>
      </c>
      <c r="AB267" s="78"/>
      <c r="AC267" s="349">
        <f>AC263+$AC$8</f>
        <v>13.14</v>
      </c>
      <c r="AD267" s="352"/>
      <c r="AE267" s="79">
        <f t="shared" si="79"/>
        <v>9001</v>
      </c>
      <c r="AF267" s="79"/>
      <c r="AG267" s="155">
        <f t="shared" si="92"/>
        <v>0.7</v>
      </c>
      <c r="AH267" s="156"/>
      <c r="AI267" s="79">
        <f t="shared" si="93"/>
        <v>1075</v>
      </c>
      <c r="AJ267" s="79"/>
      <c r="AK267" s="157">
        <f t="shared" si="78"/>
        <v>11.9</v>
      </c>
      <c r="AL267" s="158"/>
      <c r="AM267" s="79">
        <f t="shared" si="94"/>
        <v>29</v>
      </c>
      <c r="AN267" s="79"/>
      <c r="AO267" s="79">
        <f t="shared" si="80"/>
        <v>9030</v>
      </c>
      <c r="AP267" s="79"/>
      <c r="AQ267" s="157">
        <f t="shared" si="75"/>
        <v>11.9</v>
      </c>
      <c r="AS267" s="109"/>
      <c r="AW267" s="225"/>
    </row>
    <row r="268" spans="1:51" x14ac:dyDescent="0.25">
      <c r="J268" s="202"/>
      <c r="K268" s="202"/>
      <c r="T268" s="216">
        <v>29</v>
      </c>
      <c r="U268" s="80"/>
      <c r="V268" s="81" t="str">
        <f t="shared" si="71"/>
        <v xml:space="preserve">   16,000 LUMEN</v>
      </c>
      <c r="W268" s="80"/>
      <c r="X268" s="80"/>
      <c r="Y268" s="78">
        <f t="shared" si="90"/>
        <v>372</v>
      </c>
      <c r="Z268" s="70"/>
      <c r="AA268" s="78">
        <f t="shared" si="91"/>
        <v>22041</v>
      </c>
      <c r="AB268" s="78"/>
      <c r="AC268" s="349">
        <v>8.58</v>
      </c>
      <c r="AD268" s="352"/>
      <c r="AE268" s="79">
        <f t="shared" si="79"/>
        <v>3192</v>
      </c>
      <c r="AF268" s="79"/>
      <c r="AG268" s="155">
        <f t="shared" si="92"/>
        <v>0.2</v>
      </c>
      <c r="AH268" s="156"/>
      <c r="AI268" s="79">
        <f t="shared" si="93"/>
        <v>379</v>
      </c>
      <c r="AJ268" s="79"/>
      <c r="AK268" s="157">
        <f t="shared" si="78"/>
        <v>11.9</v>
      </c>
      <c r="AL268" s="158"/>
      <c r="AM268" s="79">
        <f t="shared" si="94"/>
        <v>23</v>
      </c>
      <c r="AN268" s="79"/>
      <c r="AO268" s="79">
        <f t="shared" si="80"/>
        <v>3215</v>
      </c>
      <c r="AP268" s="79"/>
      <c r="AQ268" s="157">
        <f t="shared" si="75"/>
        <v>11.8</v>
      </c>
      <c r="AS268" s="109"/>
      <c r="AT268" s="394">
        <f>AC268-AX268</f>
        <v>7.17</v>
      </c>
      <c r="AW268" s="225">
        <v>711</v>
      </c>
      <c r="AX268" s="101">
        <f t="shared" si="95"/>
        <v>1.41</v>
      </c>
      <c r="AY268" s="101">
        <f t="shared" si="96"/>
        <v>1.41</v>
      </c>
    </row>
    <row r="269" spans="1:51" x14ac:dyDescent="0.25">
      <c r="J269" s="202"/>
      <c r="K269" s="202"/>
      <c r="T269" s="216">
        <v>30</v>
      </c>
      <c r="U269" s="80"/>
      <c r="V269" s="81" t="str">
        <f t="shared" si="71"/>
        <v xml:space="preserve">   16,000 LUMEN (5)</v>
      </c>
      <c r="W269" s="80"/>
      <c r="X269" s="80"/>
      <c r="Y269" s="78">
        <f t="shared" si="90"/>
        <v>12</v>
      </c>
      <c r="Z269" s="70"/>
      <c r="AA269" s="78">
        <f t="shared" si="91"/>
        <v>711</v>
      </c>
      <c r="AB269" s="78"/>
      <c r="AC269" s="349">
        <f>$AC$268+$AC$7</f>
        <v>12.98</v>
      </c>
      <c r="AD269" s="352"/>
      <c r="AE269" s="79">
        <f>ROUND((Y269*AC269),0)</f>
        <v>156</v>
      </c>
      <c r="AF269" s="79"/>
      <c r="AG269" s="155">
        <f t="shared" si="92"/>
        <v>0</v>
      </c>
      <c r="AH269" s="156"/>
      <c r="AI269" s="79">
        <f t="shared" si="93"/>
        <v>18</v>
      </c>
      <c r="AJ269" s="79"/>
      <c r="AK269" s="157">
        <f>IF(AE269=0,"0.0 ",ROUND((AI269/AE269)*100,1))</f>
        <v>11.5</v>
      </c>
      <c r="AL269" s="158"/>
      <c r="AM269" s="79">
        <f t="shared" si="94"/>
        <v>1</v>
      </c>
      <c r="AN269" s="79"/>
      <c r="AO269" s="79">
        <f>AE269+AM269</f>
        <v>157</v>
      </c>
      <c r="AP269" s="79"/>
      <c r="AQ269" s="157">
        <f>IF(AO269=0,"0.0 ",ROUND((AI269/AO269)*100,1))</f>
        <v>11.5</v>
      </c>
      <c r="AS269" s="109"/>
      <c r="AW269" s="225"/>
    </row>
    <row r="270" spans="1:51" x14ac:dyDescent="0.25">
      <c r="J270" s="202"/>
      <c r="K270" s="202"/>
      <c r="T270" s="216">
        <v>31</v>
      </c>
      <c r="U270" s="141"/>
      <c r="V270" s="81" t="str">
        <f t="shared" si="71"/>
        <v xml:space="preserve">   16,000 LUMEN (6)</v>
      </c>
      <c r="W270" s="141"/>
      <c r="X270" s="80"/>
      <c r="Y270" s="78">
        <f t="shared" si="90"/>
        <v>108</v>
      </c>
      <c r="Z270" s="70"/>
      <c r="AA270" s="78">
        <f t="shared" si="91"/>
        <v>6399</v>
      </c>
      <c r="AB270" s="78"/>
      <c r="AC270" s="349">
        <f>$AC$268+$AC$8</f>
        <v>13.85</v>
      </c>
      <c r="AD270" s="352"/>
      <c r="AE270" s="79">
        <f>ROUND((Y270*AC270),0)</f>
        <v>1496</v>
      </c>
      <c r="AF270" s="79"/>
      <c r="AG270" s="155">
        <f t="shared" si="92"/>
        <v>0.1</v>
      </c>
      <c r="AH270" s="156"/>
      <c r="AI270" s="79">
        <f t="shared" si="93"/>
        <v>178</v>
      </c>
      <c r="AJ270" s="79"/>
      <c r="AK270" s="157">
        <f>IF(AE270=0,"0.0 ",ROUND((AI270/AE270)*100,1))</f>
        <v>11.9</v>
      </c>
      <c r="AL270" s="158"/>
      <c r="AM270" s="79">
        <f t="shared" ref="AM270" si="97">ROUND($AM$433/$AA$433*AA270,0)</f>
        <v>7</v>
      </c>
      <c r="AN270" s="79"/>
      <c r="AO270" s="79">
        <f>AE270+AM270</f>
        <v>1503</v>
      </c>
      <c r="AP270" s="79"/>
      <c r="AQ270" s="157">
        <f>IF(AO270=0,"0.0 ",ROUND((AI270/AO270)*100,1))</f>
        <v>11.8</v>
      </c>
      <c r="AS270" s="109"/>
      <c r="AW270" s="225"/>
    </row>
    <row r="271" spans="1:51" x14ac:dyDescent="0.25">
      <c r="L271" s="154"/>
      <c r="M271" s="154"/>
      <c r="T271" s="216">
        <v>32</v>
      </c>
      <c r="U271" s="80"/>
      <c r="V271" s="81" t="str">
        <f t="shared" si="71"/>
        <v xml:space="preserve">   22,000 LUMEN</v>
      </c>
      <c r="W271" s="80"/>
      <c r="X271" s="80"/>
      <c r="Y271" s="78">
        <f t="shared" si="90"/>
        <v>5435</v>
      </c>
      <c r="Z271" s="70"/>
      <c r="AA271" s="78">
        <f t="shared" si="91"/>
        <v>429365</v>
      </c>
      <c r="AB271" s="78"/>
      <c r="AC271" s="349">
        <v>11.13</v>
      </c>
      <c r="AD271" s="162"/>
      <c r="AE271" s="79">
        <f t="shared" si="79"/>
        <v>60492</v>
      </c>
      <c r="AF271" s="70"/>
      <c r="AG271" s="155">
        <f t="shared" si="92"/>
        <v>4.5</v>
      </c>
      <c r="AH271" s="70"/>
      <c r="AI271" s="79">
        <f t="shared" si="93"/>
        <v>7174</v>
      </c>
      <c r="AJ271" s="70"/>
      <c r="AK271" s="155">
        <f>IF(AE271=0,"0.0 ",ROUND((AI271/AE271)*100,1))</f>
        <v>11.9</v>
      </c>
      <c r="AL271" s="70"/>
      <c r="AM271" s="79">
        <f t="shared" ref="AM271:AM280" si="98">ROUND($AM$433/$AA$433*AA271,0)</f>
        <v>441</v>
      </c>
      <c r="AN271" s="70"/>
      <c r="AO271" s="79">
        <f t="shared" si="80"/>
        <v>60933</v>
      </c>
      <c r="AP271" s="70"/>
      <c r="AQ271" s="157">
        <f t="shared" si="75"/>
        <v>11.8</v>
      </c>
      <c r="AS271" s="109"/>
      <c r="AT271" s="394">
        <f>AC271-AX271</f>
        <v>9.25</v>
      </c>
      <c r="AW271" s="225">
        <v>948</v>
      </c>
      <c r="AX271" s="101">
        <f t="shared" si="95"/>
        <v>1.88</v>
      </c>
      <c r="AY271" s="101">
        <f t="shared" si="96"/>
        <v>1.88</v>
      </c>
    </row>
    <row r="272" spans="1:51" x14ac:dyDescent="0.25">
      <c r="L272" s="154"/>
      <c r="M272" s="154"/>
      <c r="T272" s="416">
        <v>33</v>
      </c>
      <c r="U272" s="80"/>
      <c r="V272" s="81" t="str">
        <f t="shared" si="71"/>
        <v xml:space="preserve">   22,000 LUMEN (4)</v>
      </c>
      <c r="W272" s="80"/>
      <c r="X272" s="80"/>
      <c r="Y272" s="78">
        <f t="shared" si="90"/>
        <v>36</v>
      </c>
      <c r="Z272" s="70"/>
      <c r="AA272" s="78">
        <f t="shared" si="91"/>
        <v>2844</v>
      </c>
      <c r="AB272" s="78"/>
      <c r="AC272" s="349">
        <f>AC271+$AC$6</f>
        <v>15.47</v>
      </c>
      <c r="AD272" s="162"/>
      <c r="AE272" s="79">
        <f t="shared" ref="AE272:AE278" si="99">ROUND((Y272*AC272),0)</f>
        <v>557</v>
      </c>
      <c r="AF272" s="79"/>
      <c r="AG272" s="155">
        <f t="shared" si="92"/>
        <v>0</v>
      </c>
      <c r="AH272" s="70"/>
      <c r="AI272" s="79">
        <f t="shared" si="93"/>
        <v>66</v>
      </c>
      <c r="AJ272" s="70"/>
      <c r="AK272" s="157">
        <f t="shared" si="78"/>
        <v>11.8</v>
      </c>
      <c r="AL272" s="70"/>
      <c r="AM272" s="79">
        <f t="shared" si="98"/>
        <v>3</v>
      </c>
      <c r="AN272" s="70"/>
      <c r="AO272" s="79">
        <f t="shared" ref="AO272:AO280" si="100">AE272+AM272</f>
        <v>560</v>
      </c>
      <c r="AP272" s="70"/>
      <c r="AQ272" s="157">
        <f t="shared" si="75"/>
        <v>11.8</v>
      </c>
      <c r="AS272" s="109"/>
      <c r="AW272" s="225"/>
    </row>
    <row r="273" spans="1:51" x14ac:dyDescent="0.25">
      <c r="A273" s="202"/>
      <c r="R273" s="154"/>
      <c r="T273" s="416">
        <v>34</v>
      </c>
      <c r="U273" s="80"/>
      <c r="V273" s="81" t="str">
        <f t="shared" si="71"/>
        <v xml:space="preserve">   22,000 LUMEN (5)</v>
      </c>
      <c r="W273" s="80"/>
      <c r="X273" s="80"/>
      <c r="Y273" s="78">
        <f t="shared" si="90"/>
        <v>219</v>
      </c>
      <c r="Z273" s="70"/>
      <c r="AA273" s="78">
        <f t="shared" si="91"/>
        <v>17301</v>
      </c>
      <c r="AB273" s="78"/>
      <c r="AC273" s="349">
        <f>AC271+$AC$7</f>
        <v>15.530000000000001</v>
      </c>
      <c r="AD273" s="352"/>
      <c r="AE273" s="79">
        <f t="shared" si="99"/>
        <v>3401</v>
      </c>
      <c r="AF273" s="79"/>
      <c r="AG273" s="155">
        <f t="shared" si="92"/>
        <v>0.3</v>
      </c>
      <c r="AH273" s="156"/>
      <c r="AI273" s="79">
        <f t="shared" si="93"/>
        <v>403</v>
      </c>
      <c r="AJ273" s="79"/>
      <c r="AK273" s="157">
        <f t="shared" si="78"/>
        <v>11.8</v>
      </c>
      <c r="AL273" s="158"/>
      <c r="AM273" s="79">
        <f t="shared" si="98"/>
        <v>18</v>
      </c>
      <c r="AN273" s="79"/>
      <c r="AO273" s="79">
        <f t="shared" si="100"/>
        <v>3419</v>
      </c>
      <c r="AP273" s="79"/>
      <c r="AQ273" s="157">
        <f t="shared" si="75"/>
        <v>11.8</v>
      </c>
      <c r="AS273" s="109"/>
      <c r="AW273" s="225"/>
    </row>
    <row r="274" spans="1:51" x14ac:dyDescent="0.25">
      <c r="A274" s="202"/>
      <c r="R274" s="154"/>
      <c r="T274" s="416">
        <v>35</v>
      </c>
      <c r="U274" s="80"/>
      <c r="V274" s="81" t="str">
        <f t="shared" si="71"/>
        <v xml:space="preserve">   22,000 LUMEN (6)</v>
      </c>
      <c r="W274" s="80"/>
      <c r="X274" s="80"/>
      <c r="Y274" s="78">
        <f t="shared" si="90"/>
        <v>72</v>
      </c>
      <c r="Z274" s="70"/>
      <c r="AA274" s="78">
        <f t="shared" si="91"/>
        <v>5688</v>
      </c>
      <c r="AB274" s="78"/>
      <c r="AC274" s="349">
        <f>AC271+$AC$8</f>
        <v>16.399999999999999</v>
      </c>
      <c r="AD274" s="352"/>
      <c r="AE274" s="79">
        <f t="shared" si="99"/>
        <v>1181</v>
      </c>
      <c r="AF274" s="79"/>
      <c r="AG274" s="155">
        <f t="shared" si="92"/>
        <v>0.1</v>
      </c>
      <c r="AH274" s="156"/>
      <c r="AI274" s="79">
        <f t="shared" si="93"/>
        <v>140</v>
      </c>
      <c r="AJ274" s="79"/>
      <c r="AK274" s="157">
        <f t="shared" si="78"/>
        <v>11.9</v>
      </c>
      <c r="AL274" s="158"/>
      <c r="AM274" s="79">
        <f t="shared" si="98"/>
        <v>6</v>
      </c>
      <c r="AN274" s="79"/>
      <c r="AO274" s="79">
        <f t="shared" si="100"/>
        <v>1187</v>
      </c>
      <c r="AP274" s="79"/>
      <c r="AQ274" s="157">
        <f t="shared" si="75"/>
        <v>11.8</v>
      </c>
      <c r="AS274" s="109"/>
      <c r="AW274" s="225"/>
    </row>
    <row r="275" spans="1:51" x14ac:dyDescent="0.25">
      <c r="A275" s="202"/>
      <c r="R275" s="154"/>
      <c r="T275" s="216">
        <v>36</v>
      </c>
      <c r="U275" s="80"/>
      <c r="V275" s="81" t="str">
        <f t="shared" si="71"/>
        <v xml:space="preserve">   22,000 LUMEN (8)</v>
      </c>
      <c r="W275" s="80"/>
      <c r="X275" s="80"/>
      <c r="Y275" s="78">
        <f t="shared" si="90"/>
        <v>12</v>
      </c>
      <c r="Z275" s="70"/>
      <c r="AA275" s="78">
        <f t="shared" si="91"/>
        <v>948</v>
      </c>
      <c r="AB275" s="78"/>
      <c r="AC275" s="349">
        <f>AC271+$AC$10</f>
        <v>18.07</v>
      </c>
      <c r="AD275" s="352"/>
      <c r="AE275" s="79">
        <f t="shared" si="99"/>
        <v>217</v>
      </c>
      <c r="AF275" s="79"/>
      <c r="AG275" s="155">
        <f t="shared" si="92"/>
        <v>0</v>
      </c>
      <c r="AH275" s="156"/>
      <c r="AI275" s="79">
        <f t="shared" si="93"/>
        <v>26</v>
      </c>
      <c r="AJ275" s="79"/>
      <c r="AK275" s="157">
        <f>IF(AE275=0,"0.0 ",ROUND((AI275/AE275)*100,1))</f>
        <v>12</v>
      </c>
      <c r="AL275" s="158"/>
      <c r="AM275" s="79">
        <f t="shared" si="98"/>
        <v>1</v>
      </c>
      <c r="AN275" s="79"/>
      <c r="AO275" s="79">
        <f>AE275+AM275</f>
        <v>218</v>
      </c>
      <c r="AP275" s="79"/>
      <c r="AQ275" s="157">
        <f>IF(AO275=0,"0.0 ",ROUND((AI275/AO275)*100,1))</f>
        <v>11.9</v>
      </c>
      <c r="AS275" s="109"/>
      <c r="AW275" s="225"/>
    </row>
    <row r="276" spans="1:51" x14ac:dyDescent="0.25">
      <c r="A276" s="202"/>
      <c r="R276" s="154"/>
      <c r="T276" s="216">
        <v>37</v>
      </c>
      <c r="U276" s="80"/>
      <c r="V276" s="81" t="str">
        <f t="shared" si="71"/>
        <v xml:space="preserve">   27,500 LUMEN</v>
      </c>
      <c r="W276" s="80"/>
      <c r="X276" s="80"/>
      <c r="Y276" s="78">
        <f t="shared" si="90"/>
        <v>96</v>
      </c>
      <c r="Z276" s="70"/>
      <c r="AA276" s="78">
        <f t="shared" si="91"/>
        <v>7584</v>
      </c>
      <c r="AB276" s="78"/>
      <c r="AC276" s="349">
        <v>11.13</v>
      </c>
      <c r="AD276" s="352"/>
      <c r="AE276" s="79">
        <f t="shared" si="99"/>
        <v>1068</v>
      </c>
      <c r="AF276" s="79"/>
      <c r="AG276" s="155">
        <f t="shared" si="92"/>
        <v>0.1</v>
      </c>
      <c r="AH276" s="156"/>
      <c r="AI276" s="79">
        <f t="shared" si="93"/>
        <v>127</v>
      </c>
      <c r="AJ276" s="79"/>
      <c r="AK276" s="157">
        <f>IF(AE276=0,"0.0 ",ROUND((AI276/AE276)*100,1))</f>
        <v>11.9</v>
      </c>
      <c r="AL276" s="158"/>
      <c r="AM276" s="79">
        <f t="shared" si="98"/>
        <v>8</v>
      </c>
      <c r="AN276" s="79"/>
      <c r="AO276" s="79">
        <f>AE276+AM276</f>
        <v>1076</v>
      </c>
      <c r="AP276" s="79"/>
      <c r="AQ276" s="157">
        <f>IF(AO276=0,"0.0 ",ROUND((AI276/AO276)*100,1))</f>
        <v>11.8</v>
      </c>
      <c r="AS276" s="109"/>
      <c r="AT276" s="394">
        <f>AC276-AX276</f>
        <v>9.25</v>
      </c>
      <c r="AW276" s="225">
        <v>948</v>
      </c>
      <c r="AX276" s="101">
        <f t="shared" si="95"/>
        <v>1.88</v>
      </c>
      <c r="AY276" s="101">
        <f t="shared" si="96"/>
        <v>1.88</v>
      </c>
    </row>
    <row r="277" spans="1:51" x14ac:dyDescent="0.25">
      <c r="A277" s="202"/>
      <c r="R277" s="154"/>
      <c r="T277" s="216">
        <v>38</v>
      </c>
      <c r="U277" s="80"/>
      <c r="V277" s="81" t="str">
        <f t="shared" si="71"/>
        <v xml:space="preserve">   27,500 LUMEN (6)</v>
      </c>
      <c r="W277" s="80"/>
      <c r="X277" s="80"/>
      <c r="Y277" s="78">
        <f t="shared" si="90"/>
        <v>12</v>
      </c>
      <c r="Z277" s="70"/>
      <c r="AA277" s="78">
        <f t="shared" si="91"/>
        <v>948</v>
      </c>
      <c r="AB277" s="78"/>
      <c r="AC277" s="349">
        <f>AC276+$AC$8</f>
        <v>16.399999999999999</v>
      </c>
      <c r="AD277" s="352"/>
      <c r="AE277" s="163">
        <f t="shared" si="99"/>
        <v>197</v>
      </c>
      <c r="AF277" s="79"/>
      <c r="AG277" s="155">
        <f t="shared" si="92"/>
        <v>0</v>
      </c>
      <c r="AH277" s="156"/>
      <c r="AI277" s="79">
        <f t="shared" si="93"/>
        <v>23</v>
      </c>
      <c r="AJ277" s="79"/>
      <c r="AK277" s="157">
        <f t="shared" si="78"/>
        <v>11.7</v>
      </c>
      <c r="AL277" s="158"/>
      <c r="AM277" s="79">
        <f t="shared" si="98"/>
        <v>1</v>
      </c>
      <c r="AN277" s="163"/>
      <c r="AO277" s="79">
        <f t="shared" si="100"/>
        <v>198</v>
      </c>
      <c r="AP277" s="79"/>
      <c r="AQ277" s="157">
        <f t="shared" si="75"/>
        <v>11.6</v>
      </c>
      <c r="AS277" s="109"/>
      <c r="AT277" s="394">
        <f>AC277-AX277</f>
        <v>12.509999999999998</v>
      </c>
      <c r="AW277" s="225">
        <v>1959</v>
      </c>
      <c r="AX277" s="101">
        <f t="shared" si="95"/>
        <v>3.89</v>
      </c>
      <c r="AY277" s="101">
        <f t="shared" si="96"/>
        <v>3.89</v>
      </c>
    </row>
    <row r="278" spans="1:51" x14ac:dyDescent="0.25">
      <c r="A278" s="202"/>
      <c r="R278" s="154"/>
      <c r="T278" s="216">
        <v>39</v>
      </c>
      <c r="U278" s="80"/>
      <c r="V278" s="81" t="str">
        <f t="shared" si="71"/>
        <v xml:space="preserve">   50,000 LUMEN</v>
      </c>
      <c r="W278" s="80"/>
      <c r="X278" s="80"/>
      <c r="Y278" s="78">
        <f t="shared" si="90"/>
        <v>10369</v>
      </c>
      <c r="Z278" s="70"/>
      <c r="AA278" s="78">
        <f t="shared" si="91"/>
        <v>1692739</v>
      </c>
      <c r="AB278" s="78"/>
      <c r="AC278" s="349">
        <v>14.95</v>
      </c>
      <c r="AD278" s="352"/>
      <c r="AE278" s="79">
        <f t="shared" si="99"/>
        <v>155017</v>
      </c>
      <c r="AF278" s="79"/>
      <c r="AG278" s="155">
        <f t="shared" si="92"/>
        <v>11.6</v>
      </c>
      <c r="AH278" s="156"/>
      <c r="AI278" s="79">
        <f t="shared" si="93"/>
        <v>18456</v>
      </c>
      <c r="AJ278" s="79"/>
      <c r="AK278" s="157">
        <f>IF(AE278=0,"0.0 ",ROUND((AI278/AE278)*100,1))</f>
        <v>11.9</v>
      </c>
      <c r="AL278" s="158"/>
      <c r="AM278" s="79">
        <f t="shared" si="98"/>
        <v>1740</v>
      </c>
      <c r="AN278" s="79"/>
      <c r="AO278" s="79">
        <f t="shared" si="100"/>
        <v>156757</v>
      </c>
      <c r="AP278" s="79"/>
      <c r="AQ278" s="157">
        <f>IF(AO278=0,"0.0 ",ROUND((AI278/AO278)*100,1))</f>
        <v>11.8</v>
      </c>
      <c r="AS278" s="109"/>
      <c r="AW278" s="225"/>
    </row>
    <row r="279" spans="1:51" x14ac:dyDescent="0.25">
      <c r="A279" s="103"/>
      <c r="C279" s="103"/>
      <c r="D279" s="103"/>
      <c r="E279" s="103"/>
      <c r="F279" s="103"/>
      <c r="J279" s="103"/>
      <c r="K279" s="103"/>
      <c r="L279" s="103"/>
      <c r="M279" s="103"/>
      <c r="N279" s="103"/>
      <c r="O279" s="103"/>
      <c r="P279" s="103"/>
      <c r="Q279" s="103"/>
      <c r="R279" s="103"/>
      <c r="T279" s="216">
        <v>40</v>
      </c>
      <c r="U279" s="80"/>
      <c r="V279" s="81" t="str">
        <f t="shared" si="71"/>
        <v xml:space="preserve">   50,000 LUMEN (5)</v>
      </c>
      <c r="W279" s="80"/>
      <c r="X279" s="80"/>
      <c r="Y279" s="78">
        <f t="shared" si="90"/>
        <v>312</v>
      </c>
      <c r="Z279" s="70"/>
      <c r="AA279" s="78">
        <f t="shared" si="91"/>
        <v>50934</v>
      </c>
      <c r="AB279" s="78"/>
      <c r="AC279" s="349">
        <f>AC278+$AC$7</f>
        <v>19.350000000000001</v>
      </c>
      <c r="AD279" s="162"/>
      <c r="AE279" s="79">
        <f t="shared" ref="AE279:AE280" si="101">ROUND((Y279*AC279),0)</f>
        <v>6037</v>
      </c>
      <c r="AF279" s="79"/>
      <c r="AG279" s="155">
        <f t="shared" si="92"/>
        <v>0.5</v>
      </c>
      <c r="AH279" s="79"/>
      <c r="AI279" s="79">
        <f t="shared" si="93"/>
        <v>718</v>
      </c>
      <c r="AJ279" s="79"/>
      <c r="AK279" s="157">
        <f t="shared" si="78"/>
        <v>11.9</v>
      </c>
      <c r="AL279" s="158"/>
      <c r="AM279" s="79">
        <f t="shared" si="98"/>
        <v>52</v>
      </c>
      <c r="AN279" s="163">
        <f>SUM(AN245:AN277)</f>
        <v>0</v>
      </c>
      <c r="AO279" s="79">
        <f t="shared" si="100"/>
        <v>6089</v>
      </c>
      <c r="AP279" s="79"/>
      <c r="AQ279" s="157">
        <f t="shared" si="75"/>
        <v>11.8</v>
      </c>
      <c r="AS279" s="109"/>
      <c r="AW279" s="225"/>
    </row>
    <row r="280" spans="1:51" x14ac:dyDescent="0.25">
      <c r="C280" s="103"/>
      <c r="D280" s="103"/>
      <c r="E280" s="103"/>
      <c r="F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T280" s="216">
        <v>41</v>
      </c>
      <c r="U280" s="80"/>
      <c r="V280" s="81" t="str">
        <f t="shared" si="71"/>
        <v xml:space="preserve">   50,000 LUMEN (6)</v>
      </c>
      <c r="W280" s="80"/>
      <c r="X280" s="80"/>
      <c r="Y280" s="78">
        <f t="shared" si="90"/>
        <v>619</v>
      </c>
      <c r="Z280" s="70"/>
      <c r="AA280" s="78">
        <f t="shared" si="91"/>
        <v>101052</v>
      </c>
      <c r="AB280" s="78"/>
      <c r="AC280" s="349">
        <f>AC278+$AC$8</f>
        <v>20.22</v>
      </c>
      <c r="AD280" s="162"/>
      <c r="AE280" s="79">
        <f t="shared" si="101"/>
        <v>12516</v>
      </c>
      <c r="AF280" s="70"/>
      <c r="AG280" s="155">
        <f t="shared" si="92"/>
        <v>0.9</v>
      </c>
      <c r="AH280" s="70"/>
      <c r="AI280" s="79">
        <f t="shared" si="93"/>
        <v>1492</v>
      </c>
      <c r="AJ280" s="70"/>
      <c r="AK280" s="155">
        <f>IF(AE280=0,"0.0 ",ROUND((AI280/AE280)*100,1))</f>
        <v>11.9</v>
      </c>
      <c r="AL280" s="70"/>
      <c r="AM280" s="79">
        <f t="shared" si="98"/>
        <v>104</v>
      </c>
      <c r="AN280" s="85"/>
      <c r="AO280" s="79">
        <f t="shared" si="100"/>
        <v>12620</v>
      </c>
      <c r="AP280" s="70"/>
      <c r="AQ280" s="157">
        <f t="shared" si="75"/>
        <v>11.8</v>
      </c>
      <c r="AS280" s="109"/>
      <c r="AW280" s="225"/>
    </row>
    <row r="281" spans="1:51" x14ac:dyDescent="0.25">
      <c r="AS281" s="109"/>
    </row>
    <row r="282" spans="1:51" x14ac:dyDescent="0.25">
      <c r="A282" s="202"/>
      <c r="C282" s="154"/>
      <c r="D282" s="154"/>
      <c r="E282" s="154"/>
      <c r="T282" s="173" t="s">
        <v>80</v>
      </c>
      <c r="U282" s="174"/>
      <c r="V282" s="146"/>
      <c r="W282" s="146"/>
      <c r="X282" s="146"/>
      <c r="Y282" s="146"/>
      <c r="Z282" s="146"/>
      <c r="AA282" s="146"/>
      <c r="AB282" s="146"/>
      <c r="AC282" s="174"/>
      <c r="AD282" s="146"/>
      <c r="AE282" s="175" t="s">
        <v>314</v>
      </c>
      <c r="AF282" s="146"/>
      <c r="AG282" s="176"/>
      <c r="AH282" s="146"/>
      <c r="AI282" s="174"/>
      <c r="AJ282" s="146"/>
      <c r="AK282" s="177" t="s">
        <v>319</v>
      </c>
      <c r="AL282" s="146"/>
      <c r="AM282" s="146"/>
      <c r="AN282" s="178"/>
      <c r="AO282" s="178"/>
      <c r="AP282" s="178"/>
      <c r="AQ282" s="179"/>
      <c r="AS282" s="109"/>
      <c r="AW282" s="80"/>
    </row>
    <row r="283" spans="1:51" x14ac:dyDescent="0.25">
      <c r="A283" s="202"/>
      <c r="C283" s="154"/>
      <c r="D283" s="154"/>
      <c r="E283" s="154"/>
      <c r="T283" s="173" t="str">
        <f>"(1A) REFLECTS FUEL COST RECOVERY INCLUDED IN BASE RATES OF "&amp;TEXT(CUR_BASE_FUEL,"$0.000000;($0.000000)")&amp;"  PER KWH."</f>
        <v>(1A) REFLECTS FUEL COST RECOVERY INCLUDED IN BASE RATES OF $0.023837  PER KWH.</v>
      </c>
      <c r="U283" s="146"/>
      <c r="V283" s="146"/>
      <c r="W283" s="146"/>
      <c r="X283" s="146"/>
      <c r="Y283" s="180"/>
      <c r="Z283" s="146"/>
      <c r="AA283" s="146"/>
      <c r="AB283" s="146"/>
      <c r="AC283" s="174"/>
      <c r="AD283" s="146"/>
      <c r="AE283" s="177" t="s">
        <v>316</v>
      </c>
      <c r="AF283" s="146"/>
      <c r="AG283" s="176"/>
      <c r="AH283" s="146"/>
      <c r="AI283" s="174"/>
      <c r="AJ283" s="146"/>
      <c r="AK283" s="175" t="s">
        <v>320</v>
      </c>
      <c r="AL283" s="146"/>
      <c r="AM283" s="146"/>
      <c r="AN283" s="178"/>
      <c r="AO283" s="178"/>
      <c r="AP283" s="178"/>
      <c r="AQ283" s="179"/>
      <c r="AS283" s="109"/>
      <c r="AW283" s="80"/>
    </row>
    <row r="284" spans="1:51" x14ac:dyDescent="0.25">
      <c r="A284" s="202"/>
      <c r="C284" s="154"/>
      <c r="D284" s="154"/>
      <c r="E284" s="154"/>
      <c r="T284" s="173" t="str">
        <f>"(2) REFLECTS FUEL COMPONENT OF "&amp;TEXT(CUR_FAC,"$0.000000;($0.000000)")&amp;"  PER KWH."</f>
        <v>(2) REFLECTS FUEL COMPONENT OF $0.001028  PER KWH.</v>
      </c>
      <c r="U284" s="146"/>
      <c r="V284" s="146"/>
      <c r="W284" s="146"/>
      <c r="X284" s="146"/>
      <c r="Y284" s="180"/>
      <c r="Z284" s="146"/>
      <c r="AA284" s="146"/>
      <c r="AB284" s="146"/>
      <c r="AC284" s="174"/>
      <c r="AD284" s="146"/>
      <c r="AE284" s="177" t="s">
        <v>317</v>
      </c>
      <c r="AF284" s="146"/>
      <c r="AG284" s="176"/>
      <c r="AH284" s="146"/>
      <c r="AI284" s="174"/>
      <c r="AJ284" s="146"/>
      <c r="AK284" s="175" t="s">
        <v>321</v>
      </c>
      <c r="AL284" s="146"/>
      <c r="AM284" s="146"/>
      <c r="AN284" s="178"/>
      <c r="AO284" s="178"/>
      <c r="AP284" s="178"/>
      <c r="AQ284" s="179"/>
      <c r="AS284" s="109"/>
      <c r="AW284" s="80"/>
    </row>
    <row r="285" spans="1:51" x14ac:dyDescent="0.25">
      <c r="A285" s="202"/>
      <c r="C285" s="154"/>
      <c r="D285" s="154"/>
      <c r="E285" s="154"/>
      <c r="T285" s="175" t="s">
        <v>315</v>
      </c>
      <c r="U285" s="146"/>
      <c r="V285" s="146"/>
      <c r="W285" s="146"/>
      <c r="X285" s="146"/>
      <c r="Y285" s="180"/>
      <c r="Z285" s="146"/>
      <c r="AA285" s="146"/>
      <c r="AB285" s="146"/>
      <c r="AC285" s="174"/>
      <c r="AD285" s="146"/>
      <c r="AE285" s="175" t="s">
        <v>318</v>
      </c>
      <c r="AF285" s="146"/>
      <c r="AG285" s="176"/>
      <c r="AH285" s="146"/>
      <c r="AI285" s="174"/>
      <c r="AJ285" s="146"/>
      <c r="AK285" s="175" t="s">
        <v>322</v>
      </c>
      <c r="AL285" s="146"/>
      <c r="AM285" s="146"/>
      <c r="AN285" s="178"/>
      <c r="AO285" s="178"/>
      <c r="AP285" s="178"/>
      <c r="AQ285" s="179"/>
      <c r="AS285" s="109"/>
      <c r="AW285" s="80"/>
    </row>
    <row r="286" spans="1:51" x14ac:dyDescent="0.25">
      <c r="A286" s="202"/>
      <c r="C286" s="154"/>
      <c r="D286" s="154"/>
      <c r="E286" s="154"/>
      <c r="T286" s="175" t="s">
        <v>313</v>
      </c>
      <c r="U286" s="146"/>
      <c r="V286" s="146"/>
      <c r="W286" s="146"/>
      <c r="X286" s="146"/>
      <c r="Y286" s="180"/>
      <c r="Z286" s="146"/>
      <c r="AA286" s="146"/>
      <c r="AB286" s="146"/>
      <c r="AC286" s="174"/>
      <c r="AD286" s="174"/>
      <c r="AE286" s="175" t="s">
        <v>438</v>
      </c>
      <c r="AF286" s="174"/>
      <c r="AG286" s="181"/>
      <c r="AH286" s="174"/>
      <c r="AI286" s="174"/>
      <c r="AJ286" s="174"/>
      <c r="AK286" s="175" t="s">
        <v>323</v>
      </c>
      <c r="AL286" s="146"/>
      <c r="AM286" s="146"/>
      <c r="AN286" s="178"/>
      <c r="AO286" s="178"/>
      <c r="AP286" s="178"/>
      <c r="AQ286" s="179"/>
      <c r="AS286" s="109"/>
      <c r="AW286" s="80"/>
    </row>
    <row r="287" spans="1:51" x14ac:dyDescent="0.25">
      <c r="A287" s="202"/>
      <c r="C287" s="154"/>
      <c r="D287" s="154"/>
      <c r="E287" s="154"/>
      <c r="T287" s="81"/>
      <c r="U287" s="80"/>
      <c r="V287" s="80"/>
      <c r="W287" s="80"/>
      <c r="X287" s="80"/>
      <c r="Y287" s="182"/>
      <c r="Z287" s="80"/>
      <c r="AA287" s="80"/>
      <c r="AB287" s="80"/>
      <c r="AC287" s="81"/>
      <c r="AN287" s="80"/>
      <c r="AO287" s="80"/>
      <c r="AP287" s="80"/>
      <c r="AQ287" s="184"/>
      <c r="AS287" s="109"/>
      <c r="AW287" s="80"/>
    </row>
    <row r="288" spans="1:51" x14ac:dyDescent="0.25">
      <c r="A288" s="202"/>
      <c r="C288" s="154"/>
      <c r="D288" s="154"/>
      <c r="E288" s="154"/>
      <c r="T288" s="103"/>
      <c r="U288" s="103"/>
      <c r="V288" s="103"/>
      <c r="AA288" s="103"/>
      <c r="AB288" s="103"/>
      <c r="AC288" s="103"/>
      <c r="AD288" s="103"/>
      <c r="AE288" s="103"/>
      <c r="AF288" s="103"/>
      <c r="AG288" s="185"/>
      <c r="AH288" s="103"/>
      <c r="AI288" s="103"/>
      <c r="AJ288" s="103"/>
      <c r="AK288" s="185"/>
      <c r="AL288" s="103"/>
      <c r="AM288" s="103"/>
      <c r="AN288" s="103"/>
      <c r="AO288" s="103"/>
      <c r="AP288" s="103"/>
      <c r="AS288" s="109"/>
      <c r="AW288" s="80"/>
    </row>
    <row r="289" spans="1:51" x14ac:dyDescent="0.25">
      <c r="A289" s="202"/>
      <c r="C289" s="154"/>
      <c r="D289" s="154"/>
      <c r="E289" s="154"/>
      <c r="T289" s="494" t="str">
        <f>NAME</f>
        <v>DUKE ENERGY KENTUCKY, INC.</v>
      </c>
      <c r="U289" s="494"/>
      <c r="V289" s="494"/>
      <c r="W289" s="494"/>
      <c r="X289" s="494"/>
      <c r="Y289" s="494"/>
      <c r="Z289" s="494"/>
      <c r="AA289" s="494"/>
      <c r="AB289" s="494"/>
      <c r="AC289" s="494"/>
      <c r="AD289" s="494"/>
      <c r="AE289" s="494"/>
      <c r="AF289" s="494"/>
      <c r="AG289" s="494"/>
      <c r="AH289" s="494"/>
      <c r="AI289" s="494"/>
      <c r="AJ289" s="494"/>
      <c r="AK289" s="494"/>
      <c r="AL289" s="494"/>
      <c r="AM289" s="494"/>
      <c r="AN289" s="494"/>
      <c r="AO289" s="494"/>
      <c r="AP289" s="494"/>
      <c r="AQ289" s="494"/>
      <c r="AS289" s="109"/>
      <c r="AW289" s="150"/>
    </row>
    <row r="290" spans="1:51" x14ac:dyDescent="0.25">
      <c r="A290" s="202"/>
      <c r="C290" s="154"/>
      <c r="D290" s="154"/>
      <c r="E290" s="154"/>
      <c r="T290" s="150" t="str">
        <f>CASE_NO</f>
        <v>CASE NO.   2017-00321</v>
      </c>
      <c r="U290" s="150"/>
      <c r="V290" s="150"/>
      <c r="W290" s="150"/>
      <c r="X290" s="150"/>
      <c r="Y290" s="150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S290" s="109"/>
      <c r="AW290" s="150"/>
    </row>
    <row r="291" spans="1:51" x14ac:dyDescent="0.25">
      <c r="A291" s="202"/>
      <c r="C291" s="154"/>
      <c r="D291" s="154"/>
      <c r="E291" s="154"/>
      <c r="T291" s="187" t="str">
        <f>TITLE</f>
        <v>ANNUALIZED BASE YEAR REVENUES AT PROPOSED VS. MOST CURRENT RATES</v>
      </c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S291" s="109"/>
      <c r="AW291" s="150"/>
    </row>
    <row r="292" spans="1:51" x14ac:dyDescent="0.25">
      <c r="A292" s="202"/>
      <c r="C292" s="154"/>
      <c r="D292" s="154"/>
      <c r="E292" s="154"/>
      <c r="T292" s="150" t="str">
        <f>DATE</f>
        <v>FOR THE TWELVE MONTHS ENDED November 30, 2017</v>
      </c>
      <c r="U292" s="150"/>
      <c r="V292" s="150"/>
      <c r="W292" s="150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S292" s="109"/>
      <c r="AW292" s="150"/>
    </row>
    <row r="293" spans="1:51" x14ac:dyDescent="0.25">
      <c r="A293" s="202"/>
      <c r="C293" s="154"/>
      <c r="D293" s="154"/>
      <c r="E293" s="154"/>
      <c r="T293" s="150" t="str">
        <f>SERVICE</f>
        <v>(ELECTRIC SERVICE)</v>
      </c>
      <c r="U293" s="150"/>
      <c r="V293" s="150"/>
      <c r="W293" s="150"/>
      <c r="X293" s="150"/>
      <c r="Y293" s="150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S293" s="109"/>
      <c r="AW293" s="150"/>
    </row>
    <row r="294" spans="1:51" x14ac:dyDescent="0.25">
      <c r="A294" s="202"/>
      <c r="C294" s="154"/>
      <c r="D294" s="154"/>
      <c r="E294" s="154"/>
      <c r="T294" s="159" t="str">
        <f>DATA_PERIOD</f>
        <v>DATA: __X__ BASE PERIOD   ____FORECASTED PERIOD</v>
      </c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G294" s="188"/>
      <c r="AI294" s="80"/>
      <c r="AJ294" s="80"/>
      <c r="AK294" s="188"/>
      <c r="AL294" s="80"/>
      <c r="AM294" s="80"/>
      <c r="AO294" s="82" t="s">
        <v>179</v>
      </c>
      <c r="AP294" s="82"/>
      <c r="AQ294" s="184"/>
      <c r="AS294" s="109"/>
      <c r="AW294" s="80"/>
    </row>
    <row r="295" spans="1:51" x14ac:dyDescent="0.25">
      <c r="A295" s="202"/>
      <c r="C295" s="154"/>
      <c r="D295" s="154"/>
      <c r="E295" s="154"/>
      <c r="T295" s="159" t="str">
        <f>TYPE</f>
        <v>TYPE OF FILING: _X_ ORIGINAL   ___UPDATED  ___ REVISED</v>
      </c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G295" s="188"/>
      <c r="AI295" s="80"/>
      <c r="AJ295" s="80"/>
      <c r="AK295" s="188"/>
      <c r="AL295" s="80"/>
      <c r="AM295" s="80"/>
      <c r="AO295" s="81" t="str">
        <f>R73</f>
        <v>PAGE 14  OF  22</v>
      </c>
      <c r="AP295" s="82"/>
      <c r="AQ295" s="184"/>
      <c r="AS295" s="109"/>
      <c r="AW295" s="80"/>
    </row>
    <row r="296" spans="1:51" x14ac:dyDescent="0.25">
      <c r="A296" s="202"/>
      <c r="C296" s="154"/>
      <c r="D296" s="154"/>
      <c r="E296" s="154"/>
      <c r="T296" s="82" t="s">
        <v>192</v>
      </c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188"/>
      <c r="AH296" s="80"/>
      <c r="AI296" s="80"/>
      <c r="AJ296" s="80"/>
      <c r="AK296" s="188"/>
      <c r="AL296" s="80"/>
      <c r="AM296" s="80"/>
      <c r="AN296" s="80"/>
      <c r="AO296" s="82" t="s">
        <v>4</v>
      </c>
      <c r="AP296" s="82"/>
      <c r="AQ296" s="184"/>
      <c r="AS296" s="109"/>
      <c r="AW296" s="80"/>
    </row>
    <row r="297" spans="1:51" x14ac:dyDescent="0.25">
      <c r="A297" s="202"/>
      <c r="C297" s="154"/>
      <c r="D297" s="154"/>
      <c r="E297" s="154"/>
      <c r="T297" s="258" t="str">
        <f>TIME</f>
        <v>6 Months Actual and 6 Months Projected</v>
      </c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F297" s="82"/>
      <c r="AG297" s="188"/>
      <c r="AH297" s="80"/>
      <c r="AI297" s="80"/>
      <c r="AJ297" s="80"/>
      <c r="AK297" s="188"/>
      <c r="AL297" s="80"/>
      <c r="AM297" s="80"/>
      <c r="AN297" s="80"/>
      <c r="AO297" s="189" t="str">
        <f>WIT</f>
        <v>B. L. SAILERS</v>
      </c>
      <c r="AP297" s="159"/>
      <c r="AQ297" s="184"/>
      <c r="AS297" s="109"/>
      <c r="AW297" s="80"/>
    </row>
    <row r="298" spans="1:51" x14ac:dyDescent="0.25">
      <c r="A298" s="202"/>
      <c r="C298" s="154"/>
      <c r="D298" s="154"/>
      <c r="E298" s="154"/>
      <c r="T298" s="187" t="s">
        <v>152</v>
      </c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87"/>
      <c r="AF298" s="187"/>
      <c r="AG298" s="190"/>
      <c r="AH298" s="150"/>
      <c r="AI298" s="150"/>
      <c r="AJ298" s="150"/>
      <c r="AK298" s="190"/>
      <c r="AL298" s="150"/>
      <c r="AM298" s="150"/>
      <c r="AN298" s="150"/>
      <c r="AO298" s="187"/>
      <c r="AP298" s="187"/>
      <c r="AQ298" s="184"/>
      <c r="AS298" s="109"/>
      <c r="AW298" s="150"/>
    </row>
    <row r="299" spans="1:51" x14ac:dyDescent="0.25">
      <c r="A299" s="202"/>
      <c r="C299" s="154"/>
      <c r="D299" s="154"/>
      <c r="E299" s="154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91"/>
      <c r="AH299" s="151"/>
      <c r="AI299" s="151"/>
      <c r="AJ299" s="151"/>
      <c r="AK299" s="191"/>
      <c r="AL299" s="151"/>
      <c r="AM299" s="151"/>
      <c r="AN299" s="151"/>
      <c r="AO299" s="151"/>
      <c r="AP299" s="151"/>
      <c r="AQ299" s="192"/>
      <c r="AS299" s="109"/>
      <c r="AW299" s="102"/>
    </row>
    <row r="300" spans="1:51" ht="18" customHeight="1" x14ac:dyDescent="0.25">
      <c r="A300" s="202"/>
      <c r="C300" s="154"/>
      <c r="D300" s="154"/>
      <c r="E300" s="154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93" t="s">
        <v>8</v>
      </c>
      <c r="AF300" s="193"/>
      <c r="AG300" s="194" t="s">
        <v>7</v>
      </c>
      <c r="AH300" s="193"/>
      <c r="AI300" s="193" t="s">
        <v>9</v>
      </c>
      <c r="AJ300" s="193"/>
      <c r="AK300" s="194" t="s">
        <v>10</v>
      </c>
      <c r="AL300" s="193"/>
      <c r="AM300" s="152"/>
      <c r="AN300" s="152"/>
      <c r="AO300" s="193" t="s">
        <v>8</v>
      </c>
      <c r="AP300" s="193"/>
      <c r="AQ300" s="194" t="s">
        <v>11</v>
      </c>
      <c r="AS300" s="109"/>
    </row>
    <row r="301" spans="1:51" x14ac:dyDescent="0.25">
      <c r="A301" s="202"/>
      <c r="C301" s="154"/>
      <c r="D301" s="154"/>
      <c r="E301" s="154"/>
      <c r="T301" s="80"/>
      <c r="U301" s="80"/>
      <c r="V301" s="80"/>
      <c r="W301" s="80"/>
      <c r="X301" s="80"/>
      <c r="Y301" s="80"/>
      <c r="Z301" s="80"/>
      <c r="AA301" s="80"/>
      <c r="AB301" s="80"/>
      <c r="AC301" s="83" t="s">
        <v>14</v>
      </c>
      <c r="AD301" s="83"/>
      <c r="AE301" s="83" t="s">
        <v>12</v>
      </c>
      <c r="AF301" s="83"/>
      <c r="AG301" s="195" t="s">
        <v>13</v>
      </c>
      <c r="AH301" s="83"/>
      <c r="AI301" s="83" t="s">
        <v>15</v>
      </c>
      <c r="AJ301" s="83"/>
      <c r="AK301" s="195" t="s">
        <v>16</v>
      </c>
      <c r="AL301" s="83"/>
      <c r="AM301" s="80"/>
      <c r="AN301" s="80"/>
      <c r="AO301" s="83" t="s">
        <v>11</v>
      </c>
      <c r="AP301" s="83"/>
      <c r="AQ301" s="195" t="s">
        <v>9</v>
      </c>
      <c r="AS301" s="109"/>
      <c r="AT301" s="104" t="s">
        <v>521</v>
      </c>
    </row>
    <row r="302" spans="1:51" x14ac:dyDescent="0.25">
      <c r="A302" s="202"/>
      <c r="C302" s="154"/>
      <c r="D302" s="154"/>
      <c r="E302" s="154"/>
      <c r="T302" s="83" t="s">
        <v>17</v>
      </c>
      <c r="U302" s="80"/>
      <c r="V302" s="83" t="s">
        <v>18</v>
      </c>
      <c r="W302" s="83" t="s">
        <v>19</v>
      </c>
      <c r="X302" s="83"/>
      <c r="Y302" s="83" t="s">
        <v>20</v>
      </c>
      <c r="Z302" s="80"/>
      <c r="AA302" s="80"/>
      <c r="AB302" s="80"/>
      <c r="AC302" s="83" t="s">
        <v>8</v>
      </c>
      <c r="AD302" s="83"/>
      <c r="AE302" s="83" t="s">
        <v>21</v>
      </c>
      <c r="AF302" s="83"/>
      <c r="AG302" s="195" t="s">
        <v>21</v>
      </c>
      <c r="AH302" s="83"/>
      <c r="AI302" s="83" t="s">
        <v>22</v>
      </c>
      <c r="AJ302" s="83"/>
      <c r="AK302" s="195" t="s">
        <v>22</v>
      </c>
      <c r="AL302" s="83"/>
      <c r="AM302" s="83" t="s">
        <v>21</v>
      </c>
      <c r="AN302" s="83"/>
      <c r="AO302" s="83" t="s">
        <v>9</v>
      </c>
      <c r="AP302" s="83"/>
      <c r="AQ302" s="195" t="s">
        <v>23</v>
      </c>
      <c r="AS302" s="109"/>
      <c r="AT302" s="104" t="s">
        <v>522</v>
      </c>
    </row>
    <row r="303" spans="1:51" x14ac:dyDescent="0.25">
      <c r="A303" s="202"/>
      <c r="C303" s="154"/>
      <c r="D303" s="154"/>
      <c r="E303" s="154"/>
      <c r="T303" s="83" t="s">
        <v>24</v>
      </c>
      <c r="U303" s="80"/>
      <c r="V303" s="83" t="s">
        <v>25</v>
      </c>
      <c r="W303" s="83" t="s">
        <v>26</v>
      </c>
      <c r="X303" s="83"/>
      <c r="Y303" s="83" t="s">
        <v>27</v>
      </c>
      <c r="Z303" s="80"/>
      <c r="AA303" s="83" t="s">
        <v>28</v>
      </c>
      <c r="AB303" s="83"/>
      <c r="AC303" s="196" t="s">
        <v>432</v>
      </c>
      <c r="AD303" s="83"/>
      <c r="AE303" s="83" t="s">
        <v>9</v>
      </c>
      <c r="AF303" s="83"/>
      <c r="AG303" s="195" t="s">
        <v>9</v>
      </c>
      <c r="AH303" s="83"/>
      <c r="AI303" s="256" t="s">
        <v>31</v>
      </c>
      <c r="AJ303" s="256"/>
      <c r="AK303" s="257" t="s">
        <v>32</v>
      </c>
      <c r="AL303" s="83"/>
      <c r="AM303" s="83" t="s">
        <v>430</v>
      </c>
      <c r="AN303" s="83"/>
      <c r="AO303" s="256" t="s">
        <v>33</v>
      </c>
      <c r="AP303" s="256"/>
      <c r="AQ303" s="257" t="s">
        <v>34</v>
      </c>
      <c r="AS303" s="109"/>
      <c r="AT303" s="104" t="s">
        <v>523</v>
      </c>
      <c r="AW303" s="103"/>
      <c r="AX303" s="101" t="s">
        <v>404</v>
      </c>
      <c r="AY303" s="101" t="s">
        <v>405</v>
      </c>
    </row>
    <row r="304" spans="1:51" x14ac:dyDescent="0.25">
      <c r="A304" s="202"/>
      <c r="C304" s="154"/>
      <c r="D304" s="154"/>
      <c r="E304" s="154"/>
      <c r="T304" s="80"/>
      <c r="U304" s="80"/>
      <c r="V304" s="256" t="s">
        <v>35</v>
      </c>
      <c r="W304" s="256" t="s">
        <v>36</v>
      </c>
      <c r="X304" s="256"/>
      <c r="Y304" s="256" t="s">
        <v>37</v>
      </c>
      <c r="Z304" s="258"/>
      <c r="AA304" s="256" t="s">
        <v>38</v>
      </c>
      <c r="AB304" s="256"/>
      <c r="AC304" s="256" t="s">
        <v>44</v>
      </c>
      <c r="AD304" s="256"/>
      <c r="AE304" s="256" t="s">
        <v>45</v>
      </c>
      <c r="AF304" s="256"/>
      <c r="AG304" s="257" t="s">
        <v>46</v>
      </c>
      <c r="AH304" s="256"/>
      <c r="AI304" s="256" t="s">
        <v>47</v>
      </c>
      <c r="AJ304" s="256"/>
      <c r="AK304" s="257" t="s">
        <v>48</v>
      </c>
      <c r="AL304" s="256"/>
      <c r="AM304" s="256" t="s">
        <v>42</v>
      </c>
      <c r="AN304" s="256"/>
      <c r="AO304" s="256" t="s">
        <v>49</v>
      </c>
      <c r="AP304" s="256"/>
      <c r="AQ304" s="257" t="s">
        <v>50</v>
      </c>
      <c r="AS304" s="109"/>
      <c r="AW304" s="101" t="s">
        <v>403</v>
      </c>
      <c r="AX304" s="101" t="s">
        <v>402</v>
      </c>
      <c r="AY304" s="101" t="s">
        <v>402</v>
      </c>
    </row>
    <row r="305" spans="1:51" ht="17.100000000000001" customHeight="1" x14ac:dyDescent="0.25">
      <c r="A305" s="202"/>
      <c r="C305" s="154"/>
      <c r="D305" s="154"/>
      <c r="E305" s="154"/>
      <c r="T305" s="152"/>
      <c r="U305" s="152"/>
      <c r="V305" s="152"/>
      <c r="W305" s="152"/>
      <c r="X305" s="152"/>
      <c r="Y305" s="152"/>
      <c r="Z305" s="152"/>
      <c r="AA305" s="376" t="s">
        <v>51</v>
      </c>
      <c r="AB305" s="376"/>
      <c r="AC305" s="375" t="s">
        <v>71</v>
      </c>
      <c r="AD305" s="376"/>
      <c r="AE305" s="376" t="s">
        <v>52</v>
      </c>
      <c r="AF305" s="376"/>
      <c r="AG305" s="381" t="s">
        <v>53</v>
      </c>
      <c r="AH305" s="376"/>
      <c r="AI305" s="376" t="s">
        <v>52</v>
      </c>
      <c r="AJ305" s="376"/>
      <c r="AK305" s="381" t="s">
        <v>53</v>
      </c>
      <c r="AL305" s="376"/>
      <c r="AM305" s="376" t="s">
        <v>52</v>
      </c>
      <c r="AN305" s="376"/>
      <c r="AO305" s="376" t="s">
        <v>52</v>
      </c>
      <c r="AP305" s="376"/>
      <c r="AQ305" s="381" t="s">
        <v>53</v>
      </c>
      <c r="AS305" s="109"/>
      <c r="AW305" s="103"/>
    </row>
    <row r="306" spans="1:51" x14ac:dyDescent="0.25">
      <c r="A306" s="202"/>
      <c r="C306" s="154"/>
      <c r="D306" s="154"/>
      <c r="E306" s="154"/>
      <c r="T306" s="418">
        <v>42</v>
      </c>
      <c r="U306" s="80"/>
      <c r="V306" s="253" t="s">
        <v>81</v>
      </c>
      <c r="W306" s="265" t="s">
        <v>346</v>
      </c>
      <c r="X306" s="82"/>
      <c r="Y306" s="70"/>
      <c r="Z306" s="70"/>
      <c r="AA306" s="70"/>
      <c r="AB306" s="70"/>
      <c r="AC306" s="70"/>
      <c r="AD306" s="70"/>
      <c r="AE306" s="70"/>
      <c r="AF306" s="70"/>
      <c r="AG306" s="164"/>
      <c r="AH306" s="70"/>
      <c r="AI306" s="70"/>
      <c r="AJ306" s="70"/>
      <c r="AK306" s="164"/>
      <c r="AL306" s="70"/>
      <c r="AM306" s="70"/>
      <c r="AN306" s="70"/>
      <c r="AO306" s="70"/>
      <c r="AP306" s="70"/>
      <c r="AQ306" s="165"/>
      <c r="AS306" s="109"/>
      <c r="AW306" s="70"/>
    </row>
    <row r="307" spans="1:51" x14ac:dyDescent="0.25">
      <c r="A307" s="202"/>
      <c r="C307" s="154"/>
      <c r="D307" s="154"/>
      <c r="E307" s="154"/>
      <c r="T307" s="418">
        <v>43</v>
      </c>
      <c r="U307" s="80"/>
      <c r="V307" s="253" t="s">
        <v>622</v>
      </c>
      <c r="W307" s="265"/>
      <c r="X307" s="82"/>
      <c r="Y307" s="70"/>
      <c r="Z307" s="70"/>
      <c r="AA307" s="70"/>
      <c r="AB307" s="70"/>
      <c r="AC307" s="70"/>
      <c r="AD307" s="70"/>
      <c r="AE307" s="70"/>
      <c r="AF307" s="70"/>
      <c r="AG307" s="164"/>
      <c r="AH307" s="70"/>
      <c r="AI307" s="70"/>
      <c r="AJ307" s="70"/>
      <c r="AK307" s="164"/>
      <c r="AL307" s="70"/>
      <c r="AM307" s="70"/>
      <c r="AN307" s="70"/>
      <c r="AO307" s="70"/>
      <c r="AP307" s="70"/>
      <c r="AQ307" s="165"/>
      <c r="AS307" s="109"/>
      <c r="AW307" s="70"/>
    </row>
    <row r="308" spans="1:51" x14ac:dyDescent="0.25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T308" s="418">
        <v>44</v>
      </c>
      <c r="U308" s="80"/>
      <c r="V308" s="253" t="s">
        <v>225</v>
      </c>
      <c r="W308" s="80"/>
      <c r="X308" s="80"/>
      <c r="Y308" s="78"/>
      <c r="Z308" s="70"/>
      <c r="AA308" s="78"/>
      <c r="AB308" s="78"/>
      <c r="AC308" s="352"/>
      <c r="AD308" s="162"/>
      <c r="AE308" s="70"/>
      <c r="AF308" s="70"/>
      <c r="AG308" s="164"/>
      <c r="AH308" s="70"/>
      <c r="AI308" s="70"/>
      <c r="AJ308" s="70"/>
      <c r="AK308" s="164"/>
      <c r="AL308" s="70"/>
      <c r="AM308" s="70"/>
      <c r="AN308" s="70"/>
      <c r="AO308" s="70"/>
      <c r="AP308" s="70"/>
      <c r="AQ308" s="165"/>
      <c r="AS308" s="109"/>
      <c r="AW308" s="225"/>
    </row>
    <row r="309" spans="1:51" x14ac:dyDescent="0.25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T309" s="418">
        <v>45</v>
      </c>
      <c r="U309" s="80"/>
      <c r="V309" s="81" t="str">
        <f>C87</f>
        <v xml:space="preserve">     9,500 LUMEN RECTILINEAR</v>
      </c>
      <c r="W309" s="80"/>
      <c r="X309" s="80"/>
      <c r="Y309" s="78">
        <f t="shared" ref="Y309:Y315" si="102">F87</f>
        <v>0</v>
      </c>
      <c r="Z309" s="70"/>
      <c r="AA309" s="78">
        <f t="shared" ref="AA309:AA315" si="103">H87</f>
        <v>0</v>
      </c>
      <c r="AB309" s="78"/>
      <c r="AC309" s="349">
        <v>9.7799999999999994</v>
      </c>
      <c r="AD309" s="162"/>
      <c r="AE309" s="79">
        <f t="shared" ref="AE309:AE315" si="104">ROUND((Y309*AC309),0)</f>
        <v>0</v>
      </c>
      <c r="AF309" s="79"/>
      <c r="AG309" s="155">
        <f t="shared" ref="AG309:AG316" si="105">ROUND((AE309/AE$433)*100,1)</f>
        <v>0</v>
      </c>
      <c r="AH309" s="156"/>
      <c r="AI309" s="79">
        <f t="shared" ref="AI309:AI315" si="106">L87-AE309</f>
        <v>0</v>
      </c>
      <c r="AJ309" s="79"/>
      <c r="AK309" s="157" t="str">
        <f t="shared" ref="AK309:AK316" si="107">IF(AE309=0,"0.0 ",ROUND((AI309/AE309)*100,1))</f>
        <v xml:space="preserve">0.0 </v>
      </c>
      <c r="AL309" s="158"/>
      <c r="AM309" s="79">
        <f t="shared" ref="AM309:AM315" si="108">ROUND($AM$433/$AA$433*AA309,0)</f>
        <v>0</v>
      </c>
      <c r="AN309" s="79"/>
      <c r="AO309" s="79">
        <f>AE309+AM309</f>
        <v>0</v>
      </c>
      <c r="AP309" s="79"/>
      <c r="AQ309" s="157" t="str">
        <f t="shared" ref="AQ309:AQ316" si="109">IF(AO309=0,"0.0 ",ROUND((AI309/AO309)*100,1))</f>
        <v xml:space="preserve">0.0 </v>
      </c>
      <c r="AS309" s="109"/>
      <c r="AT309" s="394">
        <f>AC309-AX309</f>
        <v>8.8099999999999987</v>
      </c>
      <c r="AW309" s="225">
        <v>487</v>
      </c>
      <c r="AX309" s="101">
        <f t="shared" ref="AX309:AX314" si="110">ROUND((AW309/12)*CUR_BASE_FUEL,2)</f>
        <v>0.97</v>
      </c>
      <c r="AY309" s="101">
        <f t="shared" ref="AY309:AY314" si="111">ROUND((AW309/12)*PRO_BASE_FUEL,2)</f>
        <v>0.97</v>
      </c>
    </row>
    <row r="310" spans="1:51" x14ac:dyDescent="0.25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T310" s="418">
        <v>46</v>
      </c>
      <c r="U310" s="80"/>
      <c r="V310" s="81" t="str">
        <f t="shared" ref="V310:V315" si="112">C88</f>
        <v xml:space="preserve">   22,000 LUMEN RECTILINEAR</v>
      </c>
      <c r="W310" s="80"/>
      <c r="X310" s="80"/>
      <c r="Y310" s="78">
        <f t="shared" si="102"/>
        <v>12</v>
      </c>
      <c r="Z310" s="70"/>
      <c r="AA310" s="78">
        <f t="shared" si="103"/>
        <v>1023</v>
      </c>
      <c r="AB310" s="78"/>
      <c r="AC310" s="349">
        <v>12.09</v>
      </c>
      <c r="AD310" s="352"/>
      <c r="AE310" s="79">
        <f t="shared" si="104"/>
        <v>145</v>
      </c>
      <c r="AF310" s="79"/>
      <c r="AG310" s="155">
        <f t="shared" si="105"/>
        <v>0</v>
      </c>
      <c r="AH310" s="156"/>
      <c r="AI310" s="79">
        <f t="shared" si="106"/>
        <v>17</v>
      </c>
      <c r="AJ310" s="79"/>
      <c r="AK310" s="157">
        <f t="shared" si="107"/>
        <v>11.7</v>
      </c>
      <c r="AL310" s="158"/>
      <c r="AM310" s="79">
        <f t="shared" si="108"/>
        <v>1</v>
      </c>
      <c r="AN310" s="79"/>
      <c r="AO310" s="79">
        <f t="shared" ref="AO310:AO315" si="113">AE310+AM310</f>
        <v>146</v>
      </c>
      <c r="AP310" s="79"/>
      <c r="AQ310" s="157">
        <f t="shared" si="109"/>
        <v>11.6</v>
      </c>
      <c r="AS310" s="109"/>
      <c r="AT310" s="394">
        <f>AC310-AX310</f>
        <v>10.06</v>
      </c>
      <c r="AW310" s="229">
        <v>1023</v>
      </c>
      <c r="AX310" s="101">
        <f t="shared" si="110"/>
        <v>2.0299999999999998</v>
      </c>
      <c r="AY310" s="101">
        <f t="shared" si="111"/>
        <v>2.0299999999999998</v>
      </c>
    </row>
    <row r="311" spans="1:51" x14ac:dyDescent="0.25"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T311" s="419">
        <v>47</v>
      </c>
      <c r="U311" s="80"/>
      <c r="V311" s="81" t="str">
        <f t="shared" si="112"/>
        <v xml:space="preserve">   50,000 LUMEN RECTILINEAR</v>
      </c>
      <c r="W311" s="80"/>
      <c r="X311" s="80"/>
      <c r="Y311" s="78">
        <f t="shared" si="102"/>
        <v>132</v>
      </c>
      <c r="Z311" s="70"/>
      <c r="AA311" s="78">
        <f t="shared" si="103"/>
        <v>21549</v>
      </c>
      <c r="AB311" s="78"/>
      <c r="AC311" s="349">
        <v>16</v>
      </c>
      <c r="AD311" s="352"/>
      <c r="AE311" s="79">
        <f t="shared" si="104"/>
        <v>2112</v>
      </c>
      <c r="AF311" s="79"/>
      <c r="AG311" s="155">
        <f t="shared" si="105"/>
        <v>0.2</v>
      </c>
      <c r="AH311" s="156"/>
      <c r="AI311" s="79">
        <f t="shared" si="106"/>
        <v>251</v>
      </c>
      <c r="AJ311" s="79"/>
      <c r="AK311" s="157">
        <f t="shared" si="107"/>
        <v>11.9</v>
      </c>
      <c r="AL311" s="158"/>
      <c r="AM311" s="79">
        <f t="shared" si="108"/>
        <v>22</v>
      </c>
      <c r="AN311" s="79"/>
      <c r="AO311" s="79">
        <f t="shared" si="113"/>
        <v>2134</v>
      </c>
      <c r="AP311" s="79"/>
      <c r="AQ311" s="157">
        <f t="shared" si="109"/>
        <v>11.8</v>
      </c>
      <c r="AS311" s="109"/>
      <c r="AT311" s="394">
        <f>AC311-AX311</f>
        <v>12.11</v>
      </c>
      <c r="AW311" s="225">
        <v>1959</v>
      </c>
      <c r="AX311" s="101">
        <f t="shared" si="110"/>
        <v>3.89</v>
      </c>
      <c r="AY311" s="101">
        <f t="shared" si="111"/>
        <v>3.89</v>
      </c>
    </row>
    <row r="312" spans="1:51" x14ac:dyDescent="0.25"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T312" s="419">
        <v>48</v>
      </c>
      <c r="U312" s="80"/>
      <c r="V312" s="81" t="str">
        <f t="shared" si="112"/>
        <v xml:space="preserve">   50,000 LUMEN RECTILINEAR (5)</v>
      </c>
      <c r="W312" s="80"/>
      <c r="X312" s="80"/>
      <c r="Y312" s="78">
        <f t="shared" si="102"/>
        <v>180</v>
      </c>
      <c r="Z312" s="70"/>
      <c r="AA312" s="78">
        <f t="shared" si="103"/>
        <v>29385</v>
      </c>
      <c r="AB312" s="78"/>
      <c r="AC312" s="349">
        <f>AC311+$AC$7</f>
        <v>20.399999999999999</v>
      </c>
      <c r="AD312" s="352"/>
      <c r="AE312" s="79">
        <f t="shared" si="104"/>
        <v>3672</v>
      </c>
      <c r="AF312" s="79"/>
      <c r="AG312" s="155">
        <f t="shared" si="105"/>
        <v>0.3</v>
      </c>
      <c r="AH312" s="156"/>
      <c r="AI312" s="79">
        <f t="shared" si="106"/>
        <v>436</v>
      </c>
      <c r="AJ312" s="79"/>
      <c r="AK312" s="157">
        <f t="shared" si="107"/>
        <v>11.9</v>
      </c>
      <c r="AL312" s="158"/>
      <c r="AM312" s="79">
        <f t="shared" si="108"/>
        <v>30</v>
      </c>
      <c r="AN312" s="79"/>
      <c r="AO312" s="79">
        <f t="shared" si="113"/>
        <v>3702</v>
      </c>
      <c r="AP312" s="79"/>
      <c r="AQ312" s="157">
        <f t="shared" si="109"/>
        <v>11.8</v>
      </c>
      <c r="AS312" s="109"/>
      <c r="AW312" s="225"/>
    </row>
    <row r="313" spans="1:51" x14ac:dyDescent="0.25"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T313" s="419">
        <v>49</v>
      </c>
      <c r="U313" s="80"/>
      <c r="V313" s="81" t="str">
        <f t="shared" si="112"/>
        <v xml:space="preserve">   50,000 LUMEN RECTILINEAR (6)</v>
      </c>
      <c r="W313" s="80"/>
      <c r="X313" s="80"/>
      <c r="Y313" s="78">
        <f t="shared" si="102"/>
        <v>0</v>
      </c>
      <c r="Z313" s="70"/>
      <c r="AA313" s="78">
        <f t="shared" si="103"/>
        <v>0</v>
      </c>
      <c r="AB313" s="78"/>
      <c r="AC313" s="349">
        <f>AC311+$AC$8</f>
        <v>21.27</v>
      </c>
      <c r="AD313" s="352"/>
      <c r="AE313" s="79">
        <f t="shared" si="104"/>
        <v>0</v>
      </c>
      <c r="AF313" s="79"/>
      <c r="AG313" s="155">
        <f t="shared" si="105"/>
        <v>0</v>
      </c>
      <c r="AH313" s="156"/>
      <c r="AI313" s="79">
        <f t="shared" si="106"/>
        <v>0</v>
      </c>
      <c r="AJ313" s="79"/>
      <c r="AK313" s="157" t="str">
        <f t="shared" si="107"/>
        <v xml:space="preserve">0.0 </v>
      </c>
      <c r="AL313" s="158"/>
      <c r="AM313" s="79">
        <f t="shared" si="108"/>
        <v>0</v>
      </c>
      <c r="AN313" s="79"/>
      <c r="AO313" s="79">
        <f t="shared" si="113"/>
        <v>0</v>
      </c>
      <c r="AP313" s="79"/>
      <c r="AQ313" s="157" t="str">
        <f t="shared" si="109"/>
        <v xml:space="preserve">0.0 </v>
      </c>
      <c r="AS313" s="109"/>
      <c r="AW313" s="225"/>
    </row>
    <row r="314" spans="1:51" x14ac:dyDescent="0.25">
      <c r="A314" s="202"/>
      <c r="C314" s="154"/>
      <c r="D314" s="154"/>
      <c r="E314" s="154"/>
      <c r="T314" s="419">
        <v>50</v>
      </c>
      <c r="U314" s="80"/>
      <c r="V314" s="81" t="str">
        <f t="shared" si="112"/>
        <v xml:space="preserve">   50,000 LUMEN SETBACK</v>
      </c>
      <c r="W314" s="80"/>
      <c r="X314" s="80"/>
      <c r="Y314" s="78">
        <f t="shared" si="102"/>
        <v>216</v>
      </c>
      <c r="Z314" s="70"/>
      <c r="AA314" s="78">
        <f t="shared" si="103"/>
        <v>35262</v>
      </c>
      <c r="AB314" s="78"/>
      <c r="AC314" s="349">
        <v>23.79</v>
      </c>
      <c r="AD314" s="352"/>
      <c r="AE314" s="79">
        <f t="shared" si="104"/>
        <v>5139</v>
      </c>
      <c r="AF314" s="79"/>
      <c r="AG314" s="155">
        <f t="shared" si="105"/>
        <v>0.4</v>
      </c>
      <c r="AH314" s="156"/>
      <c r="AI314" s="79">
        <f t="shared" si="106"/>
        <v>611</v>
      </c>
      <c r="AJ314" s="79"/>
      <c r="AK314" s="157">
        <f t="shared" si="107"/>
        <v>11.9</v>
      </c>
      <c r="AL314" s="158"/>
      <c r="AM314" s="79">
        <f t="shared" si="108"/>
        <v>36</v>
      </c>
      <c r="AN314" s="79"/>
      <c r="AO314" s="79">
        <f t="shared" si="113"/>
        <v>5175</v>
      </c>
      <c r="AP314" s="79"/>
      <c r="AQ314" s="157">
        <f t="shared" si="109"/>
        <v>11.8</v>
      </c>
      <c r="AS314" s="109"/>
      <c r="AT314" s="394">
        <f>AC314-AX314</f>
        <v>19.899999999999999</v>
      </c>
      <c r="AW314" s="225">
        <v>1959</v>
      </c>
      <c r="AX314" s="101">
        <f t="shared" si="110"/>
        <v>3.89</v>
      </c>
      <c r="AY314" s="101">
        <f t="shared" si="111"/>
        <v>3.89</v>
      </c>
    </row>
    <row r="315" spans="1:51" x14ac:dyDescent="0.25">
      <c r="A315" s="202"/>
      <c r="C315" s="154"/>
      <c r="D315" s="154"/>
      <c r="E315" s="154"/>
      <c r="T315" s="419">
        <v>51</v>
      </c>
      <c r="U315" s="80"/>
      <c r="V315" s="81" t="str">
        <f t="shared" si="112"/>
        <v xml:space="preserve">   50,000 LUMEN SETBACK (6)</v>
      </c>
      <c r="W315" s="80"/>
      <c r="X315" s="80"/>
      <c r="Y315" s="78">
        <f t="shared" si="102"/>
        <v>36</v>
      </c>
      <c r="Z315" s="70"/>
      <c r="AA315" s="78">
        <f t="shared" si="103"/>
        <v>5877</v>
      </c>
      <c r="AB315" s="78"/>
      <c r="AC315" s="349">
        <f>AC314+$AC$8</f>
        <v>29.06</v>
      </c>
      <c r="AD315" s="352"/>
      <c r="AE315" s="79">
        <f t="shared" si="104"/>
        <v>1046</v>
      </c>
      <c r="AF315" s="79"/>
      <c r="AG315" s="166">
        <f t="shared" si="105"/>
        <v>0.1</v>
      </c>
      <c r="AH315" s="156"/>
      <c r="AI315" s="167">
        <f t="shared" si="106"/>
        <v>125</v>
      </c>
      <c r="AJ315" s="79"/>
      <c r="AK315" s="168">
        <f t="shared" si="107"/>
        <v>12</v>
      </c>
      <c r="AL315" s="158"/>
      <c r="AM315" s="79">
        <f t="shared" si="108"/>
        <v>6</v>
      </c>
      <c r="AN315" s="79"/>
      <c r="AO315" s="167">
        <f t="shared" si="113"/>
        <v>1052</v>
      </c>
      <c r="AP315" s="79"/>
      <c r="AQ315" s="157">
        <f t="shared" si="109"/>
        <v>11.9</v>
      </c>
      <c r="AS315" s="109"/>
      <c r="AW315" s="230"/>
      <c r="AX315" s="85"/>
      <c r="AY315" s="85"/>
    </row>
    <row r="316" spans="1:51" ht="20.100000000000001" customHeight="1" x14ac:dyDescent="0.25">
      <c r="A316" s="202"/>
      <c r="C316" s="154"/>
      <c r="D316" s="154"/>
      <c r="E316" s="154"/>
      <c r="T316" s="419">
        <v>52</v>
      </c>
      <c r="U316" s="80"/>
      <c r="V316" s="265" t="s">
        <v>345</v>
      </c>
      <c r="W316" s="80"/>
      <c r="X316" s="80"/>
      <c r="Y316" s="169">
        <f>SUM(Y243:Y315)</f>
        <v>120332</v>
      </c>
      <c r="Z316" s="70"/>
      <c r="AA316" s="169">
        <f>SUM(AA243:AA315)</f>
        <v>9595373</v>
      </c>
      <c r="AB316" s="79"/>
      <c r="AC316" s="162"/>
      <c r="AD316" s="352"/>
      <c r="AE316" s="169">
        <f>SUM(AE243:AE315)</f>
        <v>1052991</v>
      </c>
      <c r="AF316" s="79"/>
      <c r="AG316" s="170">
        <f t="shared" si="105"/>
        <v>78.8</v>
      </c>
      <c r="AH316" s="156"/>
      <c r="AI316" s="169">
        <f>SUM(AI243:AI315)</f>
        <v>125657</v>
      </c>
      <c r="AJ316" s="79"/>
      <c r="AK316" s="171">
        <f t="shared" si="107"/>
        <v>11.9</v>
      </c>
      <c r="AL316" s="158"/>
      <c r="AM316" s="398">
        <f>ROUND(AA316*CUR_FAC,0)</f>
        <v>9864</v>
      </c>
      <c r="AN316" s="79"/>
      <c r="AO316" s="169">
        <f>SUM(AO243:AO315)</f>
        <v>1062855</v>
      </c>
      <c r="AP316" s="79"/>
      <c r="AQ316" s="157">
        <f t="shared" si="109"/>
        <v>11.8</v>
      </c>
      <c r="AS316" s="109"/>
      <c r="AW316" s="163"/>
    </row>
    <row r="317" spans="1:51" x14ac:dyDescent="0.25">
      <c r="A317" s="202"/>
      <c r="C317" s="154"/>
      <c r="D317" s="154"/>
      <c r="E317" s="154"/>
      <c r="T317" s="418"/>
      <c r="U317" s="80"/>
      <c r="V317" s="253"/>
      <c r="W317" s="265"/>
      <c r="X317" s="82"/>
      <c r="Y317" s="70"/>
      <c r="Z317" s="70"/>
      <c r="AA317" s="70"/>
      <c r="AB317" s="70"/>
      <c r="AC317" s="70"/>
      <c r="AD317" s="70"/>
      <c r="AE317" s="70"/>
      <c r="AF317" s="70"/>
      <c r="AG317" s="164"/>
      <c r="AH317" s="70"/>
      <c r="AI317" s="70"/>
      <c r="AJ317" s="70"/>
      <c r="AK317" s="164"/>
      <c r="AL317" s="70"/>
      <c r="AM317" s="70"/>
      <c r="AN317" s="70"/>
      <c r="AO317" s="70"/>
      <c r="AP317" s="70"/>
      <c r="AQ317" s="165"/>
      <c r="AS317" s="109"/>
      <c r="AW317" s="70"/>
    </row>
    <row r="318" spans="1:51" x14ac:dyDescent="0.25">
      <c r="A318" s="202"/>
      <c r="D318" s="154"/>
      <c r="E318" s="154"/>
      <c r="T318" s="418">
        <v>53</v>
      </c>
      <c r="U318" s="80"/>
      <c r="V318" s="253" t="s">
        <v>84</v>
      </c>
      <c r="W318" s="258"/>
      <c r="X318" s="80"/>
      <c r="Y318" s="70"/>
      <c r="Z318" s="70"/>
      <c r="AA318" s="70"/>
      <c r="AB318" s="70"/>
      <c r="AC318" s="162"/>
      <c r="AD318" s="352"/>
      <c r="AE318" s="79"/>
      <c r="AF318" s="79"/>
      <c r="AG318" s="155"/>
      <c r="AH318" s="156"/>
      <c r="AI318" s="79"/>
      <c r="AJ318" s="79"/>
      <c r="AK318" s="157"/>
      <c r="AL318" s="158"/>
      <c r="AM318" s="79"/>
      <c r="AN318" s="79"/>
      <c r="AO318" s="79"/>
      <c r="AP318" s="79"/>
      <c r="AQ318" s="157"/>
      <c r="AS318" s="109"/>
      <c r="AW318" s="70"/>
    </row>
    <row r="319" spans="1:51" x14ac:dyDescent="0.25">
      <c r="A319" s="202"/>
      <c r="D319" s="154"/>
      <c r="E319" s="154"/>
      <c r="T319" s="418">
        <v>54</v>
      </c>
      <c r="U319" s="80"/>
      <c r="V319" s="265" t="s">
        <v>226</v>
      </c>
      <c r="W319" s="258"/>
      <c r="X319" s="80"/>
      <c r="Y319" s="70"/>
      <c r="Z319" s="70"/>
      <c r="AA319" s="70"/>
      <c r="AB319" s="70"/>
      <c r="AC319" s="162"/>
      <c r="AD319" s="352"/>
      <c r="AE319" s="79"/>
      <c r="AF319" s="79"/>
      <c r="AG319" s="155"/>
      <c r="AH319" s="156"/>
      <c r="AI319" s="79"/>
      <c r="AJ319" s="79"/>
      <c r="AK319" s="155"/>
      <c r="AL319" s="158"/>
      <c r="AM319" s="79"/>
      <c r="AN319" s="79"/>
      <c r="AO319" s="79"/>
      <c r="AP319" s="79"/>
      <c r="AQ319" s="157"/>
      <c r="AS319" s="109"/>
      <c r="AW319" s="70"/>
    </row>
    <row r="320" spans="1:51" x14ac:dyDescent="0.25">
      <c r="T320" s="418">
        <v>55</v>
      </c>
      <c r="U320" s="80"/>
      <c r="V320" s="81" t="str">
        <f t="shared" ref="V320:V329" si="114">C98</f>
        <v xml:space="preserve">     7,000 LUMEN</v>
      </c>
      <c r="W320" s="80"/>
      <c r="X320" s="80"/>
      <c r="Y320" s="78">
        <f t="shared" ref="Y320:Y329" si="115">F98</f>
        <v>60</v>
      </c>
      <c r="Z320" s="70"/>
      <c r="AA320" s="78">
        <f t="shared" ref="AA320:AA329" si="116">H98</f>
        <v>4370</v>
      </c>
      <c r="AB320" s="78"/>
      <c r="AC320" s="349">
        <v>7.24</v>
      </c>
      <c r="AD320" s="352"/>
      <c r="AE320" s="79">
        <f t="shared" ref="AE320:AE329" si="117">ROUND((Y320*AC320),0)</f>
        <v>434</v>
      </c>
      <c r="AF320" s="79"/>
      <c r="AG320" s="155">
        <f t="shared" ref="AG320:AG329" si="118">ROUND((AE320/AE$433)*100,1)</f>
        <v>0</v>
      </c>
      <c r="AH320" s="156"/>
      <c r="AI320" s="79">
        <f t="shared" ref="AI320:AI329" si="119">L98-AE320</f>
        <v>52</v>
      </c>
      <c r="AJ320" s="79"/>
      <c r="AK320" s="157">
        <f t="shared" ref="AK320:AK333" si="120">IF(AE320=0,"0.0 ",ROUND((AI320/AE320)*100,1))</f>
        <v>12</v>
      </c>
      <c r="AL320" s="158"/>
      <c r="AM320" s="79">
        <f>ROUND($AM$433/$AA$433*AA320,0)</f>
        <v>4</v>
      </c>
      <c r="AN320" s="79"/>
      <c r="AO320" s="79">
        <f t="shared" ref="AO320:AO326" si="121">AE320+AM320</f>
        <v>438</v>
      </c>
      <c r="AP320" s="79"/>
      <c r="AQ320" s="157">
        <f t="shared" ref="AQ320:AQ404" si="122">IF(AO320=0,"0.0 ",ROUND((AI320/AO320)*100,1))</f>
        <v>11.9</v>
      </c>
      <c r="AS320" s="109"/>
      <c r="AT320" s="394">
        <f>AC320-AX320</f>
        <v>5.5</v>
      </c>
      <c r="AW320" s="225">
        <v>874</v>
      </c>
      <c r="AX320" s="101">
        <f t="shared" ref="AX320:AX328" si="123">ROUND((AW320/12)*CUR_BASE_FUEL,2)</f>
        <v>1.74</v>
      </c>
      <c r="AY320" s="101">
        <f t="shared" ref="AY320:AY328" si="124">ROUND((AW320/12)*PRO_BASE_FUEL,2)</f>
        <v>1.74</v>
      </c>
    </row>
    <row r="321" spans="1:51" x14ac:dyDescent="0.25">
      <c r="T321" s="418">
        <v>56</v>
      </c>
      <c r="U321" s="80"/>
      <c r="V321" s="81" t="str">
        <f t="shared" si="114"/>
        <v xml:space="preserve">     7,000 LUMEN (OPEN)</v>
      </c>
      <c r="W321" s="80"/>
      <c r="X321" s="80"/>
      <c r="Y321" s="78">
        <f t="shared" si="115"/>
        <v>0</v>
      </c>
      <c r="Z321" s="70"/>
      <c r="AA321" s="78">
        <f t="shared" si="116"/>
        <v>0</v>
      </c>
      <c r="AB321" s="78"/>
      <c r="AC321" s="349">
        <v>5.94</v>
      </c>
      <c r="AD321" s="352"/>
      <c r="AE321" s="79">
        <f t="shared" ref="AE321" si="125">ROUND((Y321*AC321),0)</f>
        <v>0</v>
      </c>
      <c r="AF321" s="79"/>
      <c r="AG321" s="155">
        <f t="shared" si="118"/>
        <v>0</v>
      </c>
      <c r="AH321" s="156"/>
      <c r="AI321" s="79">
        <f t="shared" si="119"/>
        <v>0</v>
      </c>
      <c r="AJ321" s="79"/>
      <c r="AK321" s="157" t="str">
        <f t="shared" ref="AK321" si="126">IF(AE321=0,"0.0 ",ROUND((AI321/AE321)*100,1))</f>
        <v xml:space="preserve">0.0 </v>
      </c>
      <c r="AL321" s="158"/>
      <c r="AM321" s="79">
        <f t="shared" ref="AM321" si="127">ROUND($AM$433/$AA$433*AA321,0)</f>
        <v>0</v>
      </c>
      <c r="AN321" s="79"/>
      <c r="AO321" s="79">
        <f t="shared" ref="AO321" si="128">AE321+AM321</f>
        <v>0</v>
      </c>
      <c r="AP321" s="79"/>
      <c r="AQ321" s="157" t="str">
        <f t="shared" ref="AQ321" si="129">IF(AO321=0,"0.0 ",ROUND((AI321/AO321)*100,1))</f>
        <v xml:space="preserve">0.0 </v>
      </c>
      <c r="AS321" s="109"/>
      <c r="AT321" s="394">
        <f>AC321-AX321</f>
        <v>4.25</v>
      </c>
      <c r="AW321" s="225">
        <v>853</v>
      </c>
      <c r="AX321" s="101">
        <f t="shared" ref="AX321" si="130">ROUND((AW321/12)*CUR_BASE_FUEL,2)</f>
        <v>1.69</v>
      </c>
      <c r="AY321" s="101">
        <f t="shared" ref="AY321" si="131">ROUND((AW321/12)*PRO_BASE_FUEL,2)</f>
        <v>1.69</v>
      </c>
    </row>
    <row r="322" spans="1:51" x14ac:dyDescent="0.25">
      <c r="T322" s="419">
        <v>57</v>
      </c>
      <c r="U322" s="80"/>
      <c r="V322" s="81" t="str">
        <f t="shared" si="114"/>
        <v xml:space="preserve">     7,000 LUMEN (4)</v>
      </c>
      <c r="W322" s="80"/>
      <c r="X322" s="80"/>
      <c r="Y322" s="78">
        <f t="shared" si="115"/>
        <v>600</v>
      </c>
      <c r="Z322" s="70"/>
      <c r="AA322" s="78">
        <f t="shared" si="116"/>
        <v>43700</v>
      </c>
      <c r="AB322" s="78"/>
      <c r="AC322" s="349">
        <f>AC320+$AC$6</f>
        <v>11.58</v>
      </c>
      <c r="AD322" s="352"/>
      <c r="AE322" s="79">
        <f t="shared" si="117"/>
        <v>6948</v>
      </c>
      <c r="AF322" s="79"/>
      <c r="AG322" s="155">
        <f t="shared" si="118"/>
        <v>0.5</v>
      </c>
      <c r="AH322" s="156"/>
      <c r="AI322" s="79">
        <f t="shared" si="119"/>
        <v>828</v>
      </c>
      <c r="AJ322" s="79"/>
      <c r="AK322" s="157">
        <f t="shared" si="120"/>
        <v>11.9</v>
      </c>
      <c r="AL322" s="158"/>
      <c r="AM322" s="79">
        <f t="shared" ref="AM322:AM328" si="132">ROUND($AM$433/$AA$433*AA322,0)</f>
        <v>45</v>
      </c>
      <c r="AN322" s="79"/>
      <c r="AO322" s="79">
        <f t="shared" si="121"/>
        <v>6993</v>
      </c>
      <c r="AP322" s="79"/>
      <c r="AQ322" s="157">
        <f t="shared" si="122"/>
        <v>11.8</v>
      </c>
      <c r="AS322" s="109"/>
      <c r="AW322" s="225"/>
    </row>
    <row r="323" spans="1:51" x14ac:dyDescent="0.25">
      <c r="A323" s="202"/>
      <c r="C323" s="154"/>
      <c r="F323" s="252"/>
      <c r="H323" s="252"/>
      <c r="I323" s="252"/>
      <c r="J323" s="300"/>
      <c r="K323" s="300"/>
      <c r="L323" s="200"/>
      <c r="M323" s="200"/>
      <c r="N323" s="210"/>
      <c r="O323" s="210"/>
      <c r="R323" s="200"/>
      <c r="T323" s="419">
        <v>58</v>
      </c>
      <c r="U323" s="80"/>
      <c r="V323" s="81" t="str">
        <f t="shared" si="114"/>
        <v xml:space="preserve">     7,000 LUMEN (5)</v>
      </c>
      <c r="W323" s="80"/>
      <c r="X323" s="80"/>
      <c r="Y323" s="78">
        <f t="shared" si="115"/>
        <v>12</v>
      </c>
      <c r="Z323" s="70"/>
      <c r="AA323" s="78">
        <f t="shared" si="116"/>
        <v>874</v>
      </c>
      <c r="AB323" s="78"/>
      <c r="AC323" s="349">
        <f>AC320+$AC$7</f>
        <v>11.64</v>
      </c>
      <c r="AD323" s="352"/>
      <c r="AE323" s="79">
        <f t="shared" si="117"/>
        <v>140</v>
      </c>
      <c r="AF323" s="79"/>
      <c r="AG323" s="155">
        <f t="shared" si="118"/>
        <v>0</v>
      </c>
      <c r="AH323" s="156"/>
      <c r="AI323" s="79">
        <f t="shared" si="119"/>
        <v>16</v>
      </c>
      <c r="AJ323" s="79"/>
      <c r="AK323" s="157">
        <f t="shared" si="120"/>
        <v>11.4</v>
      </c>
      <c r="AL323" s="158"/>
      <c r="AM323" s="79">
        <f t="shared" si="132"/>
        <v>1</v>
      </c>
      <c r="AN323" s="79"/>
      <c r="AO323" s="79">
        <f t="shared" si="121"/>
        <v>141</v>
      </c>
      <c r="AP323" s="79"/>
      <c r="AQ323" s="157">
        <f t="shared" si="122"/>
        <v>11.3</v>
      </c>
      <c r="AS323" s="109"/>
      <c r="AW323" s="225"/>
    </row>
    <row r="324" spans="1:51" x14ac:dyDescent="0.25">
      <c r="A324" s="202"/>
      <c r="C324" s="154"/>
      <c r="F324" s="252"/>
      <c r="H324" s="252"/>
      <c r="I324" s="252"/>
      <c r="J324" s="300"/>
      <c r="K324" s="300"/>
      <c r="L324" s="200"/>
      <c r="M324" s="200"/>
      <c r="N324" s="210"/>
      <c r="O324" s="210"/>
      <c r="P324" s="202"/>
      <c r="Q324" s="202"/>
      <c r="R324" s="200"/>
      <c r="T324" s="418">
        <v>59</v>
      </c>
      <c r="U324" s="80"/>
      <c r="V324" s="81" t="str">
        <f t="shared" si="114"/>
        <v xml:space="preserve">     7,000 LUMEN (8)</v>
      </c>
      <c r="W324" s="80"/>
      <c r="X324" s="80"/>
      <c r="Y324" s="78">
        <f t="shared" si="115"/>
        <v>360</v>
      </c>
      <c r="Z324" s="70"/>
      <c r="AA324" s="78">
        <f t="shared" si="116"/>
        <v>26220</v>
      </c>
      <c r="AB324" s="78"/>
      <c r="AC324" s="349">
        <f>AC320+$AC$10</f>
        <v>14.18</v>
      </c>
      <c r="AD324" s="352"/>
      <c r="AE324" s="79">
        <f t="shared" si="117"/>
        <v>5105</v>
      </c>
      <c r="AF324" s="79"/>
      <c r="AG324" s="155">
        <f t="shared" si="118"/>
        <v>0.4</v>
      </c>
      <c r="AH324" s="156"/>
      <c r="AI324" s="79">
        <f t="shared" si="119"/>
        <v>605</v>
      </c>
      <c r="AJ324" s="79"/>
      <c r="AK324" s="157">
        <f t="shared" si="120"/>
        <v>11.9</v>
      </c>
      <c r="AL324" s="158"/>
      <c r="AM324" s="79">
        <f t="shared" si="132"/>
        <v>27</v>
      </c>
      <c r="AN324" s="79"/>
      <c r="AO324" s="79">
        <f t="shared" si="121"/>
        <v>5132</v>
      </c>
      <c r="AP324" s="79"/>
      <c r="AQ324" s="157">
        <f t="shared" si="122"/>
        <v>11.8</v>
      </c>
      <c r="AS324" s="109"/>
      <c r="AW324" s="225"/>
    </row>
    <row r="325" spans="1:51" x14ac:dyDescent="0.25">
      <c r="F325" s="211"/>
      <c r="H325" s="200"/>
      <c r="I325" s="200"/>
      <c r="J325" s="305"/>
      <c r="K325" s="305"/>
      <c r="L325" s="211"/>
      <c r="M325" s="211"/>
      <c r="N325" s="211"/>
      <c r="O325" s="211"/>
      <c r="P325" s="211"/>
      <c r="Q325" s="211"/>
      <c r="R325" s="211"/>
      <c r="T325" s="418">
        <v>60</v>
      </c>
      <c r="U325" s="80"/>
      <c r="V325" s="81" t="str">
        <f t="shared" si="114"/>
        <v xml:space="preserve">  10,000 LUMEN</v>
      </c>
      <c r="W325" s="80"/>
      <c r="X325" s="80"/>
      <c r="Y325" s="78">
        <f t="shared" si="115"/>
        <v>0</v>
      </c>
      <c r="Z325" s="70"/>
      <c r="AA325" s="78">
        <f t="shared" si="116"/>
        <v>0</v>
      </c>
      <c r="AB325" s="78"/>
      <c r="AC325" s="349">
        <v>8.36</v>
      </c>
      <c r="AD325" s="352"/>
      <c r="AE325" s="79">
        <f t="shared" si="117"/>
        <v>0</v>
      </c>
      <c r="AF325" s="79"/>
      <c r="AG325" s="155">
        <f t="shared" si="118"/>
        <v>0</v>
      </c>
      <c r="AH325" s="156"/>
      <c r="AI325" s="79">
        <f t="shared" si="119"/>
        <v>0</v>
      </c>
      <c r="AJ325" s="79"/>
      <c r="AK325" s="157" t="str">
        <f t="shared" si="120"/>
        <v xml:space="preserve">0.0 </v>
      </c>
      <c r="AL325" s="158"/>
      <c r="AM325" s="79">
        <f t="shared" si="132"/>
        <v>0</v>
      </c>
      <c r="AN325" s="79"/>
      <c r="AO325" s="79">
        <f t="shared" si="121"/>
        <v>0</v>
      </c>
      <c r="AP325" s="79"/>
      <c r="AQ325" s="157" t="str">
        <f t="shared" si="122"/>
        <v xml:space="preserve">0.0 </v>
      </c>
      <c r="AS325" s="109"/>
      <c r="AT325" s="394">
        <f>AC325-AX325</f>
        <v>5.9499999999999993</v>
      </c>
      <c r="AW325" s="225">
        <v>1215</v>
      </c>
      <c r="AX325" s="101">
        <f t="shared" si="123"/>
        <v>2.41</v>
      </c>
      <c r="AY325" s="101">
        <f t="shared" si="124"/>
        <v>2.41</v>
      </c>
    </row>
    <row r="326" spans="1:51" x14ac:dyDescent="0.25">
      <c r="A326" s="202"/>
      <c r="C326" s="154"/>
      <c r="F326" s="200"/>
      <c r="H326" s="200"/>
      <c r="I326" s="200"/>
      <c r="J326" s="305"/>
      <c r="K326" s="305"/>
      <c r="L326" s="200"/>
      <c r="M326" s="200"/>
      <c r="N326" s="210"/>
      <c r="O326" s="210"/>
      <c r="P326" s="200"/>
      <c r="Q326" s="200"/>
      <c r="R326" s="200"/>
      <c r="T326" s="418">
        <v>61</v>
      </c>
      <c r="U326" s="80"/>
      <c r="V326" s="81" t="str">
        <f t="shared" si="114"/>
        <v xml:space="preserve">  10,000 LUMEN (4)</v>
      </c>
      <c r="W326" s="80"/>
      <c r="X326" s="80"/>
      <c r="Y326" s="78">
        <f t="shared" si="115"/>
        <v>84</v>
      </c>
      <c r="Z326" s="70"/>
      <c r="AA326" s="78">
        <f t="shared" si="116"/>
        <v>8505</v>
      </c>
      <c r="AB326" s="78"/>
      <c r="AC326" s="349">
        <f>AC325+$AC$6</f>
        <v>12.7</v>
      </c>
      <c r="AD326" s="162"/>
      <c r="AE326" s="79">
        <f t="shared" si="117"/>
        <v>1067</v>
      </c>
      <c r="AF326" s="70"/>
      <c r="AG326" s="155">
        <f t="shared" si="118"/>
        <v>0.1</v>
      </c>
      <c r="AH326" s="70"/>
      <c r="AI326" s="79">
        <f t="shared" si="119"/>
        <v>127</v>
      </c>
      <c r="AJ326" s="70"/>
      <c r="AK326" s="157">
        <f t="shared" si="120"/>
        <v>11.9</v>
      </c>
      <c r="AL326" s="70"/>
      <c r="AM326" s="79">
        <f t="shared" si="132"/>
        <v>9</v>
      </c>
      <c r="AN326" s="70"/>
      <c r="AO326" s="79">
        <f t="shared" si="121"/>
        <v>1076</v>
      </c>
      <c r="AP326" s="70"/>
      <c r="AQ326" s="157">
        <f t="shared" si="122"/>
        <v>11.8</v>
      </c>
      <c r="AS326" s="109"/>
      <c r="AW326" s="225"/>
    </row>
    <row r="327" spans="1:51" x14ac:dyDescent="0.25">
      <c r="F327" s="211"/>
      <c r="H327" s="200"/>
      <c r="I327" s="200"/>
      <c r="J327" s="305"/>
      <c r="K327" s="305"/>
      <c r="L327" s="211"/>
      <c r="M327" s="211"/>
      <c r="N327" s="211"/>
      <c r="O327" s="211"/>
      <c r="P327" s="211"/>
      <c r="Q327" s="211"/>
      <c r="R327" s="211"/>
      <c r="T327" s="418">
        <v>62</v>
      </c>
      <c r="U327" s="80"/>
      <c r="V327" s="81" t="str">
        <f t="shared" si="114"/>
        <v xml:space="preserve">  10,000 LUMEN (8)</v>
      </c>
      <c r="W327" s="80"/>
      <c r="X327" s="80"/>
      <c r="Y327" s="78">
        <f t="shared" si="115"/>
        <v>156</v>
      </c>
      <c r="Z327" s="70"/>
      <c r="AA327" s="78">
        <f t="shared" si="116"/>
        <v>15795</v>
      </c>
      <c r="AB327" s="78"/>
      <c r="AC327" s="349">
        <f>AC325+$AC$10</f>
        <v>15.3</v>
      </c>
      <c r="AD327" s="352"/>
      <c r="AE327" s="79">
        <f t="shared" si="117"/>
        <v>2387</v>
      </c>
      <c r="AF327" s="79"/>
      <c r="AG327" s="155">
        <f t="shared" si="118"/>
        <v>0.2</v>
      </c>
      <c r="AH327" s="156"/>
      <c r="AI327" s="79">
        <f t="shared" si="119"/>
        <v>282</v>
      </c>
      <c r="AJ327" s="79"/>
      <c r="AK327" s="157">
        <f t="shared" si="120"/>
        <v>11.8</v>
      </c>
      <c r="AL327" s="158"/>
      <c r="AM327" s="79">
        <f t="shared" si="132"/>
        <v>16</v>
      </c>
      <c r="AN327" s="79"/>
      <c r="AO327" s="79">
        <f t="shared" ref="AO327:AO344" si="133">AE327+AM327</f>
        <v>2403</v>
      </c>
      <c r="AP327" s="79"/>
      <c r="AQ327" s="157">
        <f t="shared" si="122"/>
        <v>11.7</v>
      </c>
      <c r="AS327" s="109"/>
      <c r="AW327" s="225"/>
    </row>
    <row r="328" spans="1:51" x14ac:dyDescent="0.25">
      <c r="F328" s="200"/>
      <c r="H328" s="200"/>
      <c r="I328" s="200"/>
      <c r="J328" s="305"/>
      <c r="K328" s="305"/>
      <c r="L328" s="200"/>
      <c r="M328" s="200"/>
      <c r="N328" s="210"/>
      <c r="O328" s="210"/>
      <c r="P328" s="200"/>
      <c r="Q328" s="200"/>
      <c r="R328" s="200"/>
      <c r="T328" s="419">
        <v>63</v>
      </c>
      <c r="U328" s="80"/>
      <c r="V328" s="81" t="str">
        <f t="shared" si="114"/>
        <v xml:space="preserve">  21,000 LUMEN</v>
      </c>
      <c r="W328" s="80"/>
      <c r="X328" s="80"/>
      <c r="Y328" s="78">
        <f t="shared" si="115"/>
        <v>96</v>
      </c>
      <c r="Z328" s="70"/>
      <c r="AA328" s="78">
        <f t="shared" si="116"/>
        <v>15312</v>
      </c>
      <c r="AB328" s="78"/>
      <c r="AC328" s="349">
        <v>11.25</v>
      </c>
      <c r="AD328" s="352"/>
      <c r="AE328" s="79">
        <f t="shared" si="117"/>
        <v>1080</v>
      </c>
      <c r="AF328" s="79"/>
      <c r="AG328" s="155">
        <f t="shared" si="118"/>
        <v>0.1</v>
      </c>
      <c r="AH328" s="156"/>
      <c r="AI328" s="79">
        <f t="shared" si="119"/>
        <v>129</v>
      </c>
      <c r="AJ328" s="79"/>
      <c r="AK328" s="157">
        <f t="shared" si="120"/>
        <v>11.9</v>
      </c>
      <c r="AL328" s="158"/>
      <c r="AM328" s="79">
        <f t="shared" si="132"/>
        <v>16</v>
      </c>
      <c r="AN328" s="79"/>
      <c r="AO328" s="79">
        <f t="shared" si="133"/>
        <v>1096</v>
      </c>
      <c r="AP328" s="79"/>
      <c r="AQ328" s="157">
        <f t="shared" si="122"/>
        <v>11.8</v>
      </c>
      <c r="AS328" s="109"/>
      <c r="AT328" s="394">
        <f>AC328-AX328</f>
        <v>7.45</v>
      </c>
      <c r="AW328" s="225">
        <v>1914</v>
      </c>
      <c r="AX328" s="101">
        <f t="shared" si="123"/>
        <v>3.8</v>
      </c>
      <c r="AY328" s="101">
        <f t="shared" si="124"/>
        <v>3.8</v>
      </c>
    </row>
    <row r="329" spans="1:51" x14ac:dyDescent="0.25">
      <c r="A329" s="202"/>
      <c r="C329" s="154"/>
      <c r="F329" s="252"/>
      <c r="H329" s="252"/>
      <c r="I329" s="252"/>
      <c r="J329" s="300"/>
      <c r="K329" s="300"/>
      <c r="L329" s="200"/>
      <c r="M329" s="200"/>
      <c r="N329" s="210"/>
      <c r="O329" s="210"/>
      <c r="P329" s="200"/>
      <c r="Q329" s="200"/>
      <c r="R329" s="200"/>
      <c r="T329" s="419">
        <v>64</v>
      </c>
      <c r="U329" s="80"/>
      <c r="V329" s="81" t="str">
        <f t="shared" si="114"/>
        <v xml:space="preserve">  21,000 LUMEN (8)</v>
      </c>
      <c r="W329" s="80"/>
      <c r="X329" s="80"/>
      <c r="Y329" s="78">
        <f t="shared" si="115"/>
        <v>132</v>
      </c>
      <c r="Z329" s="70"/>
      <c r="AA329" s="78">
        <f t="shared" si="116"/>
        <v>21054</v>
      </c>
      <c r="AB329" s="78"/>
      <c r="AC329" s="349">
        <f>AC328+$AC$10</f>
        <v>18.190000000000001</v>
      </c>
      <c r="AD329" s="352"/>
      <c r="AE329" s="79">
        <f t="shared" si="117"/>
        <v>2401</v>
      </c>
      <c r="AF329" s="79"/>
      <c r="AG329" s="155">
        <f t="shared" si="118"/>
        <v>0.2</v>
      </c>
      <c r="AH329" s="156"/>
      <c r="AI329" s="79">
        <f t="shared" si="119"/>
        <v>285</v>
      </c>
      <c r="AJ329" s="79"/>
      <c r="AK329" s="157">
        <f t="shared" si="120"/>
        <v>11.9</v>
      </c>
      <c r="AL329" s="158"/>
      <c r="AM329" s="79">
        <f>ROUND($AM$433/$AA$433*AA329,0)</f>
        <v>22</v>
      </c>
      <c r="AN329" s="79"/>
      <c r="AO329" s="79">
        <f t="shared" si="133"/>
        <v>2423</v>
      </c>
      <c r="AP329" s="79"/>
      <c r="AQ329" s="157">
        <f t="shared" si="122"/>
        <v>11.8</v>
      </c>
      <c r="AS329" s="109"/>
      <c r="AW329" s="225"/>
    </row>
    <row r="330" spans="1:51" x14ac:dyDescent="0.25">
      <c r="A330" s="202"/>
      <c r="C330" s="154"/>
      <c r="F330" s="252"/>
      <c r="H330" s="252"/>
      <c r="I330" s="252"/>
      <c r="J330" s="300"/>
      <c r="K330" s="300"/>
      <c r="L330" s="200"/>
      <c r="M330" s="200"/>
      <c r="N330" s="210"/>
      <c r="O330" s="210"/>
      <c r="P330" s="200"/>
      <c r="Q330" s="200"/>
      <c r="R330" s="200"/>
      <c r="T330" s="419">
        <v>65</v>
      </c>
      <c r="U330" s="80"/>
      <c r="V330" s="253" t="s">
        <v>348</v>
      </c>
      <c r="W330" s="80"/>
      <c r="X330" s="80"/>
      <c r="Y330" s="78"/>
      <c r="Z330" s="70"/>
      <c r="AA330" s="78"/>
      <c r="AB330" s="78"/>
      <c r="AC330" s="352"/>
      <c r="AD330" s="352"/>
      <c r="AE330" s="79"/>
      <c r="AF330" s="79"/>
      <c r="AG330" s="155"/>
      <c r="AH330" s="156"/>
      <c r="AI330" s="79"/>
      <c r="AJ330" s="79"/>
      <c r="AK330" s="157"/>
      <c r="AL330" s="158"/>
      <c r="AM330" s="161"/>
      <c r="AN330" s="79"/>
      <c r="AO330" s="79"/>
      <c r="AP330" s="79"/>
      <c r="AQ330" s="157"/>
      <c r="AS330" s="109"/>
      <c r="AW330" s="225"/>
    </row>
    <row r="331" spans="1:51" x14ac:dyDescent="0.25">
      <c r="A331" s="202"/>
      <c r="C331" s="154"/>
      <c r="F331" s="252"/>
      <c r="H331" s="252"/>
      <c r="I331" s="252"/>
      <c r="J331" s="300"/>
      <c r="K331" s="300"/>
      <c r="L331" s="200"/>
      <c r="M331" s="200"/>
      <c r="N331" s="210"/>
      <c r="O331" s="210"/>
      <c r="P331" s="200"/>
      <c r="Q331" s="200"/>
      <c r="R331" s="200"/>
      <c r="T331" s="419">
        <v>66</v>
      </c>
      <c r="U331" s="80"/>
      <c r="V331" s="81" t="str">
        <f t="shared" ref="V331:V333" si="134">C109</f>
        <v xml:space="preserve">    14,000 LUMEN</v>
      </c>
      <c r="W331" s="80"/>
      <c r="X331" s="80"/>
      <c r="Y331" s="78">
        <f>F109</f>
        <v>0</v>
      </c>
      <c r="Z331" s="70"/>
      <c r="AA331" s="78">
        <f>H109</f>
        <v>0</v>
      </c>
      <c r="AB331" s="78"/>
      <c r="AC331" s="349">
        <v>7.24</v>
      </c>
      <c r="AD331" s="352"/>
      <c r="AE331" s="79">
        <f>ROUND((Y331*AC331),0)</f>
        <v>0</v>
      </c>
      <c r="AF331" s="79"/>
      <c r="AG331" s="155">
        <f>ROUND((AE331/AE$433)*100,1)</f>
        <v>0</v>
      </c>
      <c r="AH331" s="156"/>
      <c r="AI331" s="79">
        <f>L109-AE331</f>
        <v>0</v>
      </c>
      <c r="AJ331" s="79"/>
      <c r="AK331" s="157" t="str">
        <f t="shared" si="120"/>
        <v xml:space="preserve">0.0 </v>
      </c>
      <c r="AL331" s="158"/>
      <c r="AM331" s="79">
        <f>ROUND($AM$433/$AA$433*AA331,0)</f>
        <v>0</v>
      </c>
      <c r="AN331" s="79"/>
      <c r="AO331" s="79">
        <f>AE331+AM331</f>
        <v>0</v>
      </c>
      <c r="AP331" s="79"/>
      <c r="AQ331" s="157" t="str">
        <f>IF(AO331=0,"0.0 ",ROUND((AI331/AO331)*100,1))</f>
        <v xml:space="preserve">0.0 </v>
      </c>
      <c r="AS331" s="109"/>
      <c r="AT331" s="394">
        <f>AC331-AX331</f>
        <v>5.5</v>
      </c>
      <c r="AW331" s="225">
        <v>874</v>
      </c>
      <c r="AX331" s="101">
        <f>ROUND((AW331/12)*CUR_BASE_FUEL,2)</f>
        <v>1.74</v>
      </c>
      <c r="AY331" s="101">
        <f>ROUND((AW331/12)*PRO_BASE_FUEL,2)</f>
        <v>1.74</v>
      </c>
    </row>
    <row r="332" spans="1:51" x14ac:dyDescent="0.25">
      <c r="A332" s="202"/>
      <c r="C332" s="154"/>
      <c r="F332" s="252"/>
      <c r="H332" s="252"/>
      <c r="I332" s="252"/>
      <c r="J332" s="300"/>
      <c r="K332" s="300"/>
      <c r="L332" s="200"/>
      <c r="M332" s="200"/>
      <c r="N332" s="210"/>
      <c r="O332" s="210"/>
      <c r="P332" s="200"/>
      <c r="Q332" s="200"/>
      <c r="R332" s="200"/>
      <c r="T332" s="419">
        <v>67</v>
      </c>
      <c r="U332" s="80"/>
      <c r="V332" s="81" t="str">
        <f t="shared" si="134"/>
        <v xml:space="preserve">    20,500 LUMEN</v>
      </c>
      <c r="W332" s="80"/>
      <c r="X332" s="80"/>
      <c r="Y332" s="78">
        <f>F110</f>
        <v>0</v>
      </c>
      <c r="Z332" s="70"/>
      <c r="AA332" s="78">
        <f>H110</f>
        <v>0</v>
      </c>
      <c r="AB332" s="78"/>
      <c r="AC332" s="349">
        <v>8.36</v>
      </c>
      <c r="AD332" s="352"/>
      <c r="AE332" s="79">
        <f>ROUND((Y332*AC332),0)</f>
        <v>0</v>
      </c>
      <c r="AF332" s="79"/>
      <c r="AG332" s="155">
        <f>ROUND((AE332/AE$433)*100,1)</f>
        <v>0</v>
      </c>
      <c r="AH332" s="156"/>
      <c r="AI332" s="79">
        <f>L110-AE332</f>
        <v>0</v>
      </c>
      <c r="AJ332" s="79"/>
      <c r="AK332" s="157" t="str">
        <f t="shared" si="120"/>
        <v xml:space="preserve">0.0 </v>
      </c>
      <c r="AL332" s="158"/>
      <c r="AM332" s="79">
        <f>ROUND($AM$433/$AA$433*AA332,0)</f>
        <v>0</v>
      </c>
      <c r="AN332" s="79"/>
      <c r="AO332" s="79">
        <f>AE332+AM332</f>
        <v>0</v>
      </c>
      <c r="AP332" s="79"/>
      <c r="AQ332" s="157" t="str">
        <f>IF(AO332=0,"0.0 ",ROUND((AI332/AO332)*100,1))</f>
        <v xml:space="preserve">0.0 </v>
      </c>
      <c r="AS332" s="109"/>
      <c r="AT332" s="394">
        <f>AC332-AX332</f>
        <v>5.9499999999999993</v>
      </c>
      <c r="AW332" s="225">
        <v>1215</v>
      </c>
      <c r="AX332" s="101">
        <f>ROUND((AW332/12)*CUR_BASE_FUEL,2)</f>
        <v>2.41</v>
      </c>
      <c r="AY332" s="101">
        <f>ROUND((AW332/12)*PRO_BASE_FUEL,2)</f>
        <v>2.41</v>
      </c>
    </row>
    <row r="333" spans="1:51" x14ac:dyDescent="0.25">
      <c r="A333" s="202"/>
      <c r="C333" s="154"/>
      <c r="F333" s="252"/>
      <c r="H333" s="252"/>
      <c r="I333" s="252"/>
      <c r="J333" s="300"/>
      <c r="K333" s="300"/>
      <c r="L333" s="200"/>
      <c r="M333" s="200"/>
      <c r="N333" s="210"/>
      <c r="O333" s="210"/>
      <c r="P333" s="200"/>
      <c r="Q333" s="200"/>
      <c r="R333" s="200"/>
      <c r="T333" s="419">
        <v>68</v>
      </c>
      <c r="U333" s="80"/>
      <c r="V333" s="81" t="str">
        <f t="shared" si="134"/>
        <v xml:space="preserve">    36,000 LUMEN</v>
      </c>
      <c r="W333" s="80"/>
      <c r="X333" s="80"/>
      <c r="Y333" s="78">
        <f>F111</f>
        <v>0</v>
      </c>
      <c r="Z333" s="70"/>
      <c r="AA333" s="78">
        <f>H111</f>
        <v>0</v>
      </c>
      <c r="AB333" s="78"/>
      <c r="AC333" s="349">
        <v>11.25</v>
      </c>
      <c r="AD333" s="352"/>
      <c r="AE333" s="79">
        <f>ROUND((Y333*AC333),0)</f>
        <v>0</v>
      </c>
      <c r="AF333" s="79"/>
      <c r="AG333" s="155">
        <f>ROUND((AE333/AE$433)*100,1)</f>
        <v>0</v>
      </c>
      <c r="AH333" s="156"/>
      <c r="AI333" s="79">
        <f>L111-AE333</f>
        <v>0</v>
      </c>
      <c r="AJ333" s="79"/>
      <c r="AK333" s="157" t="str">
        <f t="shared" si="120"/>
        <v xml:space="preserve">0.0 </v>
      </c>
      <c r="AL333" s="158"/>
      <c r="AM333" s="79">
        <f>ROUND($AM$433/$AA$433*AA333,0)</f>
        <v>0</v>
      </c>
      <c r="AN333" s="79"/>
      <c r="AO333" s="79">
        <f>AE333+AM333</f>
        <v>0</v>
      </c>
      <c r="AP333" s="79"/>
      <c r="AQ333" s="157" t="str">
        <f>IF(AO333=0,"0.0 ",ROUND((AI333/AO333)*100,1))</f>
        <v xml:space="preserve">0.0 </v>
      </c>
      <c r="AS333" s="109"/>
      <c r="AT333" s="394">
        <f>AC333-AX333</f>
        <v>7.45</v>
      </c>
      <c r="AW333" s="225">
        <v>1914</v>
      </c>
      <c r="AX333" s="101">
        <f>ROUND((AW333/12)*CUR_BASE_FUEL,2)</f>
        <v>3.8</v>
      </c>
      <c r="AY333" s="101">
        <f>ROUND((AW333/12)*PRO_BASE_FUEL,2)</f>
        <v>3.8</v>
      </c>
    </row>
    <row r="334" spans="1:51" x14ac:dyDescent="0.25">
      <c r="A334" s="202"/>
      <c r="C334" s="154"/>
      <c r="F334" s="252"/>
      <c r="H334" s="252"/>
      <c r="I334" s="252"/>
      <c r="J334" s="300"/>
      <c r="K334" s="300"/>
      <c r="L334" s="200"/>
      <c r="M334" s="200"/>
      <c r="N334" s="210"/>
      <c r="O334" s="210"/>
      <c r="P334" s="200"/>
      <c r="Q334" s="200"/>
      <c r="R334" s="200"/>
      <c r="T334" s="419">
        <v>69</v>
      </c>
      <c r="U334" s="80"/>
      <c r="V334" s="265" t="s">
        <v>224</v>
      </c>
      <c r="W334" s="80"/>
      <c r="X334" s="80"/>
      <c r="Y334" s="78"/>
      <c r="Z334" s="70"/>
      <c r="AA334" s="78"/>
      <c r="AB334" s="70"/>
      <c r="AC334" s="162"/>
      <c r="AD334" s="352"/>
      <c r="AE334" s="79"/>
      <c r="AF334" s="79"/>
      <c r="AG334" s="155"/>
      <c r="AH334" s="156"/>
      <c r="AI334" s="79"/>
      <c r="AJ334" s="79"/>
      <c r="AK334" s="157"/>
      <c r="AL334" s="158"/>
      <c r="AM334" s="79"/>
      <c r="AN334" s="79"/>
      <c r="AO334" s="79"/>
      <c r="AP334" s="79"/>
      <c r="AQ334" s="157"/>
      <c r="AS334" s="109"/>
      <c r="AW334" s="80"/>
    </row>
    <row r="335" spans="1:51" x14ac:dyDescent="0.25">
      <c r="A335" s="202"/>
      <c r="C335" s="154"/>
      <c r="F335" s="252"/>
      <c r="H335" s="252"/>
      <c r="I335" s="252"/>
      <c r="J335" s="300"/>
      <c r="K335" s="300"/>
      <c r="L335" s="200"/>
      <c r="M335" s="200"/>
      <c r="N335" s="210"/>
      <c r="O335" s="210"/>
      <c r="P335" s="200"/>
      <c r="Q335" s="200"/>
      <c r="R335" s="200"/>
      <c r="T335" s="419">
        <v>70</v>
      </c>
      <c r="U335" s="80"/>
      <c r="V335" s="81" t="str">
        <f t="shared" ref="V335:V361" si="135">C113</f>
        <v xml:space="preserve">     9,500 LUMEN </v>
      </c>
      <c r="W335" s="80"/>
      <c r="X335" s="80"/>
      <c r="Y335" s="78">
        <f>F113</f>
        <v>0</v>
      </c>
      <c r="Z335" s="70"/>
      <c r="AA335" s="78">
        <f>H113</f>
        <v>0</v>
      </c>
      <c r="AB335" s="78"/>
      <c r="AC335" s="349">
        <v>7.87</v>
      </c>
      <c r="AD335" s="352"/>
      <c r="AE335" s="79">
        <f t="shared" ref="AE335:AE336" si="136">ROUND((Y335*AC335),0)</f>
        <v>0</v>
      </c>
      <c r="AF335" s="79"/>
      <c r="AG335" s="155">
        <f t="shared" ref="AG335:AG351" si="137">ROUND((AE335/AE$433)*100,1)</f>
        <v>0</v>
      </c>
      <c r="AH335" s="156"/>
      <c r="AI335" s="79">
        <f t="shared" ref="AI335:AI351" si="138">L113-AE335</f>
        <v>0</v>
      </c>
      <c r="AJ335" s="79"/>
      <c r="AK335" s="157" t="str">
        <f t="shared" ref="AK335:AK336" si="139">IF(AE335=0,"0.0 ",ROUND((AI335/AE335)*100,1))</f>
        <v xml:space="preserve">0.0 </v>
      </c>
      <c r="AL335" s="158"/>
      <c r="AM335" s="79">
        <f t="shared" ref="AM335:AM341" si="140">ROUND($AM$433/$AA$433*AA335,0)</f>
        <v>0</v>
      </c>
      <c r="AN335" s="79"/>
      <c r="AO335" s="79">
        <f t="shared" ref="AO335:AO336" si="141">AE335+AM335</f>
        <v>0</v>
      </c>
      <c r="AP335" s="79"/>
      <c r="AQ335" s="157" t="str">
        <f t="shared" ref="AQ335:AQ336" si="142">IF(AO335=0,"0.0 ",ROUND((AI335/AO335)*100,1))</f>
        <v xml:space="preserve">0.0 </v>
      </c>
      <c r="AS335" s="109"/>
      <c r="AT335" s="394">
        <f>AC335-AX335</f>
        <v>6.9</v>
      </c>
      <c r="AW335" s="225">
        <v>487</v>
      </c>
      <c r="AX335" s="101">
        <f t="shared" ref="AX335" si="143">ROUND((AW335/12)*CUR_BASE_FUEL,2)</f>
        <v>0.97</v>
      </c>
      <c r="AY335" s="101">
        <f t="shared" ref="AY335" si="144">ROUND((AW335/12)*PRO_BASE_FUEL,2)</f>
        <v>0.97</v>
      </c>
    </row>
    <row r="336" spans="1:51" x14ac:dyDescent="0.25">
      <c r="A336" s="202"/>
      <c r="C336" s="154"/>
      <c r="F336" s="252"/>
      <c r="H336" s="252"/>
      <c r="I336" s="252"/>
      <c r="J336" s="300"/>
      <c r="K336" s="300"/>
      <c r="L336" s="200"/>
      <c r="M336" s="200"/>
      <c r="N336" s="210"/>
      <c r="O336" s="210"/>
      <c r="P336" s="200"/>
      <c r="Q336" s="200"/>
      <c r="R336" s="200"/>
      <c r="T336" s="419">
        <v>71</v>
      </c>
      <c r="U336" s="142"/>
      <c r="V336" s="81" t="str">
        <f t="shared" si="135"/>
        <v xml:space="preserve">     9,500 LUMEN (6) </v>
      </c>
      <c r="W336" s="142"/>
      <c r="X336" s="80"/>
      <c r="Y336" s="78">
        <f t="shared" ref="Y336" si="145">F114</f>
        <v>24</v>
      </c>
      <c r="Z336" s="70"/>
      <c r="AA336" s="78">
        <f t="shared" ref="AA336" si="146">H114</f>
        <v>974</v>
      </c>
      <c r="AB336" s="78"/>
      <c r="AC336" s="349">
        <f>$AC$335+$AC$8</f>
        <v>13.14</v>
      </c>
      <c r="AD336" s="352"/>
      <c r="AE336" s="79">
        <f t="shared" si="136"/>
        <v>315</v>
      </c>
      <c r="AF336" s="79"/>
      <c r="AG336" s="155">
        <f t="shared" si="137"/>
        <v>0</v>
      </c>
      <c r="AH336" s="156"/>
      <c r="AI336" s="79">
        <f t="shared" si="138"/>
        <v>38</v>
      </c>
      <c r="AJ336" s="79"/>
      <c r="AK336" s="157">
        <f t="shared" si="139"/>
        <v>12.1</v>
      </c>
      <c r="AL336" s="158"/>
      <c r="AM336" s="79">
        <f t="shared" si="140"/>
        <v>1</v>
      </c>
      <c r="AN336" s="79"/>
      <c r="AO336" s="79">
        <f t="shared" si="141"/>
        <v>316</v>
      </c>
      <c r="AP336" s="79"/>
      <c r="AQ336" s="157">
        <f t="shared" si="142"/>
        <v>12</v>
      </c>
      <c r="AS336" s="109"/>
      <c r="AT336" s="394"/>
      <c r="AW336" s="225"/>
    </row>
    <row r="337" spans="1:51" x14ac:dyDescent="0.25">
      <c r="A337" s="202"/>
      <c r="C337" s="154"/>
      <c r="F337" s="252"/>
      <c r="H337" s="252"/>
      <c r="I337" s="252"/>
      <c r="J337" s="300"/>
      <c r="K337" s="300"/>
      <c r="L337" s="200"/>
      <c r="M337" s="200"/>
      <c r="N337" s="210"/>
      <c r="O337" s="210"/>
      <c r="P337" s="200"/>
      <c r="Q337" s="200"/>
      <c r="R337" s="200"/>
      <c r="T337" s="418">
        <v>72</v>
      </c>
      <c r="U337" s="80"/>
      <c r="V337" s="81" t="str">
        <f t="shared" si="135"/>
        <v xml:space="preserve">     9,500 LUMEN (8)</v>
      </c>
      <c r="W337" s="80"/>
      <c r="X337" s="80"/>
      <c r="Y337" s="78">
        <f>F115</f>
        <v>588</v>
      </c>
      <c r="Z337" s="70"/>
      <c r="AA337" s="78">
        <f>H115</f>
        <v>23863</v>
      </c>
      <c r="AB337" s="78"/>
      <c r="AC337" s="349">
        <f>$AC$335+$AC$10</f>
        <v>14.81</v>
      </c>
      <c r="AD337" s="352"/>
      <c r="AE337" s="79">
        <f t="shared" ref="AE337:AE351" si="147">ROUND((Y337*AC337),0)</f>
        <v>8708</v>
      </c>
      <c r="AF337" s="79"/>
      <c r="AG337" s="155">
        <f t="shared" si="137"/>
        <v>0.7</v>
      </c>
      <c r="AH337" s="156"/>
      <c r="AI337" s="79">
        <f t="shared" si="138"/>
        <v>1035</v>
      </c>
      <c r="AJ337" s="79"/>
      <c r="AK337" s="157">
        <f t="shared" ref="AK337:AK351" si="148">IF(AE337=0,"0.0 ",ROUND((AI337/AE337)*100,1))</f>
        <v>11.9</v>
      </c>
      <c r="AL337" s="158"/>
      <c r="AM337" s="79">
        <f t="shared" si="140"/>
        <v>25</v>
      </c>
      <c r="AN337" s="79"/>
      <c r="AO337" s="79">
        <f t="shared" si="133"/>
        <v>8733</v>
      </c>
      <c r="AP337" s="79"/>
      <c r="AQ337" s="157">
        <f t="shared" si="122"/>
        <v>11.9</v>
      </c>
      <c r="AS337" s="109"/>
      <c r="AT337" s="394">
        <f>AC337-AX337</f>
        <v>13.84</v>
      </c>
      <c r="AW337" s="225">
        <v>487</v>
      </c>
      <c r="AX337" s="101">
        <f t="shared" ref="AX337:AX349" si="149">ROUND((AW337/12)*CUR_BASE_FUEL,2)</f>
        <v>0.97</v>
      </c>
      <c r="AY337" s="101">
        <f t="shared" ref="AY337:AY349" si="150">ROUND((AW337/12)*PRO_BASE_FUEL,2)</f>
        <v>0.97</v>
      </c>
    </row>
    <row r="338" spans="1:51" x14ac:dyDescent="0.25">
      <c r="A338" s="202"/>
      <c r="C338" s="154"/>
      <c r="F338" s="252"/>
      <c r="H338" s="252"/>
      <c r="I338" s="252"/>
      <c r="J338" s="300"/>
      <c r="K338" s="300"/>
      <c r="L338" s="200"/>
      <c r="M338" s="200"/>
      <c r="N338" s="210"/>
      <c r="O338" s="210"/>
      <c r="P338" s="200"/>
      <c r="Q338" s="200"/>
      <c r="R338" s="200"/>
      <c r="T338" s="418">
        <v>73</v>
      </c>
      <c r="U338" s="143"/>
      <c r="V338" s="81" t="str">
        <f t="shared" si="135"/>
        <v xml:space="preserve">     9,500 LUMEN (10)</v>
      </c>
      <c r="W338" s="143"/>
      <c r="X338" s="80"/>
      <c r="Y338" s="78">
        <f>F116</f>
        <v>24</v>
      </c>
      <c r="Z338" s="70"/>
      <c r="AA338" s="78">
        <f>H116</f>
        <v>974</v>
      </c>
      <c r="AB338" s="78"/>
      <c r="AC338" s="349">
        <f>$AC$335+$AC$13</f>
        <v>12.27</v>
      </c>
      <c r="AD338" s="352"/>
      <c r="AE338" s="79">
        <f t="shared" ref="AE338:AE339" si="151">ROUND((Y338*AC338),0)</f>
        <v>294</v>
      </c>
      <c r="AF338" s="79"/>
      <c r="AG338" s="155">
        <f t="shared" si="137"/>
        <v>0</v>
      </c>
      <c r="AH338" s="156"/>
      <c r="AI338" s="79">
        <f t="shared" si="138"/>
        <v>36</v>
      </c>
      <c r="AJ338" s="79"/>
      <c r="AK338" s="157">
        <f t="shared" ref="AK338:AK339" si="152">IF(AE338=0,"0.0 ",ROUND((AI338/AE338)*100,1))</f>
        <v>12.2</v>
      </c>
      <c r="AL338" s="158"/>
      <c r="AM338" s="79">
        <f t="shared" si="140"/>
        <v>1</v>
      </c>
      <c r="AN338" s="79"/>
      <c r="AO338" s="79">
        <f t="shared" ref="AO338:AO339" si="153">AE338+AM338</f>
        <v>295</v>
      </c>
      <c r="AP338" s="79"/>
      <c r="AQ338" s="157">
        <f t="shared" ref="AQ338:AQ339" si="154">IF(AO338=0,"0.0 ",ROUND((AI338/AO338)*100,1))</f>
        <v>12.2</v>
      </c>
      <c r="AS338" s="109"/>
      <c r="AT338" s="394"/>
      <c r="AW338" s="225"/>
    </row>
    <row r="339" spans="1:51" x14ac:dyDescent="0.25">
      <c r="A339" s="202"/>
      <c r="C339" s="154"/>
      <c r="F339" s="252"/>
      <c r="H339" s="252"/>
      <c r="I339" s="252"/>
      <c r="J339" s="300"/>
      <c r="K339" s="300"/>
      <c r="L339" s="200"/>
      <c r="M339" s="200"/>
      <c r="N339" s="210"/>
      <c r="O339" s="210"/>
      <c r="P339" s="200"/>
      <c r="Q339" s="200"/>
      <c r="R339" s="200"/>
      <c r="T339" s="418">
        <v>74</v>
      </c>
      <c r="U339" s="143"/>
      <c r="V339" s="81" t="str">
        <f t="shared" si="135"/>
        <v xml:space="preserve">     9,500 LUMEN (13)</v>
      </c>
      <c r="W339" s="143"/>
      <c r="X339" s="80"/>
      <c r="Y339" s="78">
        <f>F117</f>
        <v>12</v>
      </c>
      <c r="Z339" s="70"/>
      <c r="AA339" s="78">
        <f>H117</f>
        <v>487</v>
      </c>
      <c r="AB339" s="78"/>
      <c r="AC339" s="349">
        <f>$AC$335+$AC$16</f>
        <v>16.47</v>
      </c>
      <c r="AD339" s="352"/>
      <c r="AE339" s="79">
        <f t="shared" si="151"/>
        <v>198</v>
      </c>
      <c r="AF339" s="79"/>
      <c r="AG339" s="155">
        <f t="shared" si="137"/>
        <v>0</v>
      </c>
      <c r="AH339" s="156"/>
      <c r="AI339" s="79">
        <f t="shared" si="138"/>
        <v>23</v>
      </c>
      <c r="AJ339" s="79"/>
      <c r="AK339" s="157">
        <f t="shared" si="152"/>
        <v>11.6</v>
      </c>
      <c r="AL339" s="158"/>
      <c r="AM339" s="79">
        <f t="shared" si="140"/>
        <v>1</v>
      </c>
      <c r="AN339" s="79"/>
      <c r="AO339" s="79">
        <f t="shared" si="153"/>
        <v>199</v>
      </c>
      <c r="AP339" s="79"/>
      <c r="AQ339" s="157">
        <f t="shared" si="154"/>
        <v>11.6</v>
      </c>
      <c r="AS339" s="109"/>
      <c r="AT339" s="394"/>
      <c r="AW339" s="225"/>
    </row>
    <row r="340" spans="1:51" x14ac:dyDescent="0.25">
      <c r="A340" s="202"/>
      <c r="C340" s="154"/>
      <c r="F340" s="252"/>
      <c r="H340" s="252"/>
      <c r="I340" s="252"/>
      <c r="J340" s="300"/>
      <c r="K340" s="300"/>
      <c r="L340" s="200"/>
      <c r="M340" s="200"/>
      <c r="N340" s="210"/>
      <c r="O340" s="210"/>
      <c r="P340" s="200"/>
      <c r="Q340" s="200"/>
      <c r="R340" s="200"/>
      <c r="T340" s="418">
        <v>75</v>
      </c>
      <c r="U340" s="80"/>
      <c r="V340" s="81" t="str">
        <f t="shared" si="135"/>
        <v xml:space="preserve">     9,500 LUMEN (OPEN)</v>
      </c>
      <c r="W340" s="80"/>
      <c r="X340" s="80"/>
      <c r="Y340" s="78">
        <f>F118</f>
        <v>0</v>
      </c>
      <c r="Z340" s="70"/>
      <c r="AA340" s="78">
        <f>H118</f>
        <v>0</v>
      </c>
      <c r="AB340" s="78"/>
      <c r="AC340" s="349">
        <v>5.99</v>
      </c>
      <c r="AD340" s="352"/>
      <c r="AE340" s="79">
        <f t="shared" si="147"/>
        <v>0</v>
      </c>
      <c r="AF340" s="79"/>
      <c r="AG340" s="155">
        <f t="shared" si="137"/>
        <v>0</v>
      </c>
      <c r="AH340" s="156"/>
      <c r="AI340" s="79">
        <f t="shared" si="138"/>
        <v>0</v>
      </c>
      <c r="AJ340" s="79"/>
      <c r="AK340" s="157" t="str">
        <f t="shared" si="148"/>
        <v xml:space="preserve">0.0 </v>
      </c>
      <c r="AL340" s="158"/>
      <c r="AM340" s="79">
        <f t="shared" si="140"/>
        <v>0</v>
      </c>
      <c r="AN340" s="79"/>
      <c r="AO340" s="79">
        <f>AE340+AM340</f>
        <v>0</v>
      </c>
      <c r="AP340" s="79"/>
      <c r="AQ340" s="157" t="str">
        <f>IF(AO340=0,"0.0 ",ROUND((AI340/AO340)*100,1))</f>
        <v xml:space="preserve">0.0 </v>
      </c>
      <c r="AS340" s="109"/>
      <c r="AT340" s="394">
        <f>AC340-AX340</f>
        <v>5.0200000000000005</v>
      </c>
      <c r="AW340" s="225">
        <v>487</v>
      </c>
      <c r="AX340" s="101">
        <f t="shared" si="149"/>
        <v>0.97</v>
      </c>
      <c r="AY340" s="101">
        <f t="shared" si="150"/>
        <v>0.97</v>
      </c>
    </row>
    <row r="341" spans="1:51" x14ac:dyDescent="0.25">
      <c r="A341" s="202"/>
      <c r="C341" s="154"/>
      <c r="F341" s="252"/>
      <c r="H341" s="252"/>
      <c r="I341" s="252"/>
      <c r="J341" s="300"/>
      <c r="K341" s="300"/>
      <c r="L341" s="200"/>
      <c r="M341" s="200"/>
      <c r="N341" s="210"/>
      <c r="O341" s="210"/>
      <c r="P341" s="200"/>
      <c r="Q341" s="200"/>
      <c r="R341" s="200"/>
      <c r="T341" s="418">
        <v>76</v>
      </c>
      <c r="U341" s="80"/>
      <c r="V341" s="81" t="str">
        <f t="shared" si="135"/>
        <v xml:space="preserve">   16,000 LUMEN</v>
      </c>
      <c r="W341" s="80"/>
      <c r="X341" s="80"/>
      <c r="Y341" s="78">
        <f>F119</f>
        <v>0</v>
      </c>
      <c r="Z341" s="70"/>
      <c r="AA341" s="78">
        <f>H119</f>
        <v>0</v>
      </c>
      <c r="AB341" s="78"/>
      <c r="AC341" s="349">
        <v>8.5500000000000007</v>
      </c>
      <c r="AD341" s="352"/>
      <c r="AE341" s="79">
        <f t="shared" si="147"/>
        <v>0</v>
      </c>
      <c r="AF341" s="79"/>
      <c r="AG341" s="155">
        <f t="shared" si="137"/>
        <v>0</v>
      </c>
      <c r="AH341" s="156"/>
      <c r="AI341" s="79">
        <f t="shared" si="138"/>
        <v>0</v>
      </c>
      <c r="AJ341" s="79"/>
      <c r="AK341" s="157" t="str">
        <f t="shared" si="148"/>
        <v xml:space="preserve">0.0 </v>
      </c>
      <c r="AL341" s="158"/>
      <c r="AM341" s="79">
        <f t="shared" si="140"/>
        <v>0</v>
      </c>
      <c r="AN341" s="79"/>
      <c r="AO341" s="79">
        <f>AE341+AM341</f>
        <v>0</v>
      </c>
      <c r="AP341" s="79"/>
      <c r="AQ341" s="157" t="str">
        <f>IF(AO341=0,"0.0 ",ROUND((AI341/AO341)*100,1))</f>
        <v xml:space="preserve">0.0 </v>
      </c>
      <c r="AS341" s="109"/>
      <c r="AT341" s="394">
        <f>AC341-AX341</f>
        <v>7.1400000000000006</v>
      </c>
      <c r="AW341" s="225">
        <v>711</v>
      </c>
      <c r="AX341" s="101">
        <f t="shared" si="149"/>
        <v>1.41</v>
      </c>
      <c r="AY341" s="101">
        <f t="shared" si="150"/>
        <v>1.41</v>
      </c>
    </row>
    <row r="342" spans="1:51" x14ac:dyDescent="0.25">
      <c r="A342" s="202"/>
      <c r="C342" s="154"/>
      <c r="F342" s="252"/>
      <c r="H342" s="252"/>
      <c r="I342" s="252"/>
      <c r="J342" s="300"/>
      <c r="K342" s="300"/>
      <c r="L342" s="200"/>
      <c r="M342" s="200"/>
      <c r="N342" s="210"/>
      <c r="O342" s="210"/>
      <c r="P342" s="200"/>
      <c r="Q342" s="200"/>
      <c r="R342" s="200"/>
      <c r="T342" s="418">
        <v>77</v>
      </c>
      <c r="U342" s="144"/>
      <c r="V342" s="81" t="str">
        <f t="shared" si="135"/>
        <v xml:space="preserve">   16,000 LUMEN (6)</v>
      </c>
      <c r="W342" s="144"/>
      <c r="X342" s="80"/>
      <c r="Y342" s="78">
        <f t="shared" ref="Y342" si="155">F120</f>
        <v>25</v>
      </c>
      <c r="Z342" s="70"/>
      <c r="AA342" s="78">
        <f t="shared" ref="AA342" si="156">H120</f>
        <v>1481</v>
      </c>
      <c r="AB342" s="78"/>
      <c r="AC342" s="349">
        <f>$AC$341+$AC$8</f>
        <v>13.82</v>
      </c>
      <c r="AD342" s="352"/>
      <c r="AE342" s="79">
        <f t="shared" ref="AE342" si="157">ROUND((Y342*AC342),0)</f>
        <v>346</v>
      </c>
      <c r="AF342" s="79"/>
      <c r="AG342" s="155">
        <f t="shared" si="137"/>
        <v>0</v>
      </c>
      <c r="AH342" s="156"/>
      <c r="AI342" s="79">
        <f t="shared" si="138"/>
        <v>41</v>
      </c>
      <c r="AJ342" s="79"/>
      <c r="AK342" s="157">
        <f t="shared" ref="AK342" si="158">IF(AE342=0,"0.0 ",ROUND((AI342/AE342)*100,1))</f>
        <v>11.8</v>
      </c>
      <c r="AL342" s="158"/>
      <c r="AM342" s="79">
        <f t="shared" ref="AM342" si="159">ROUND($AM$433/$AA$433*AA342,0)</f>
        <v>2</v>
      </c>
      <c r="AN342" s="79"/>
      <c r="AO342" s="79">
        <f>AE342+AM342</f>
        <v>348</v>
      </c>
      <c r="AP342" s="79"/>
      <c r="AQ342" s="157">
        <f>IF(AO342=0,"0.0 ",ROUND((AI342/AO342)*100,1))</f>
        <v>11.8</v>
      </c>
      <c r="AS342" s="109"/>
      <c r="AT342" s="394"/>
      <c r="AW342" s="225"/>
    </row>
    <row r="343" spans="1:51" x14ac:dyDescent="0.25">
      <c r="A343" s="202"/>
      <c r="C343" s="154"/>
      <c r="F343" s="252"/>
      <c r="H343" s="252"/>
      <c r="I343" s="252"/>
      <c r="J343" s="300"/>
      <c r="K343" s="300"/>
      <c r="L343" s="200"/>
      <c r="M343" s="200"/>
      <c r="N343" s="210"/>
      <c r="O343" s="210"/>
      <c r="P343" s="200"/>
      <c r="Q343" s="200"/>
      <c r="R343" s="200"/>
      <c r="T343" s="418">
        <v>78</v>
      </c>
      <c r="U343" s="80"/>
      <c r="V343" s="81" t="str">
        <f t="shared" si="135"/>
        <v xml:space="preserve">   22,000 LUMEN</v>
      </c>
      <c r="W343" s="80"/>
      <c r="X343" s="80"/>
      <c r="Y343" s="78">
        <f t="shared" ref="Y343:Y351" si="160">F121</f>
        <v>228</v>
      </c>
      <c r="Z343" s="70"/>
      <c r="AA343" s="78">
        <f t="shared" ref="AA343:AA351" si="161">H121</f>
        <v>18012</v>
      </c>
      <c r="AB343" s="78"/>
      <c r="AC343" s="349">
        <v>11.13</v>
      </c>
      <c r="AD343" s="352"/>
      <c r="AE343" s="79">
        <f t="shared" si="147"/>
        <v>2538</v>
      </c>
      <c r="AF343" s="79"/>
      <c r="AG343" s="155">
        <f t="shared" si="137"/>
        <v>0.2</v>
      </c>
      <c r="AH343" s="156"/>
      <c r="AI343" s="79">
        <f t="shared" si="138"/>
        <v>301</v>
      </c>
      <c r="AJ343" s="79"/>
      <c r="AK343" s="157">
        <f t="shared" si="148"/>
        <v>11.9</v>
      </c>
      <c r="AL343" s="158"/>
      <c r="AM343" s="79">
        <f t="shared" ref="AM343:AM351" si="162">ROUND($AM$433/$AA$433*AA343,0)</f>
        <v>19</v>
      </c>
      <c r="AN343" s="79"/>
      <c r="AO343" s="79">
        <f t="shared" si="133"/>
        <v>2557</v>
      </c>
      <c r="AP343" s="79"/>
      <c r="AQ343" s="157">
        <f t="shared" si="122"/>
        <v>11.8</v>
      </c>
      <c r="AS343" s="109"/>
      <c r="AT343" s="394">
        <f>AC343-AX343</f>
        <v>9.25</v>
      </c>
      <c r="AW343" s="225">
        <v>948</v>
      </c>
      <c r="AX343" s="101">
        <f t="shared" si="149"/>
        <v>1.88</v>
      </c>
      <c r="AY343" s="101">
        <f t="shared" si="150"/>
        <v>1.88</v>
      </c>
    </row>
    <row r="344" spans="1:51" x14ac:dyDescent="0.25">
      <c r="F344" s="200"/>
      <c r="H344" s="211"/>
      <c r="I344" s="211"/>
      <c r="J344" s="305"/>
      <c r="K344" s="305"/>
      <c r="L344" s="211"/>
      <c r="M344" s="211"/>
      <c r="N344" s="211"/>
      <c r="O344" s="211"/>
      <c r="P344" s="211"/>
      <c r="Q344" s="211"/>
      <c r="R344" s="211"/>
      <c r="T344" s="418">
        <v>79</v>
      </c>
      <c r="U344" s="80"/>
      <c r="V344" s="81" t="str">
        <f t="shared" si="135"/>
        <v xml:space="preserve">   22,000 LUMEN (5)</v>
      </c>
      <c r="W344" s="80"/>
      <c r="X344" s="80"/>
      <c r="Y344" s="78">
        <f t="shared" si="160"/>
        <v>60</v>
      </c>
      <c r="Z344" s="70"/>
      <c r="AA344" s="78">
        <f t="shared" si="161"/>
        <v>4740</v>
      </c>
      <c r="AB344" s="78"/>
      <c r="AC344" s="349">
        <f>AC343+$AC$7</f>
        <v>15.530000000000001</v>
      </c>
      <c r="AD344" s="162"/>
      <c r="AE344" s="79">
        <f t="shared" si="147"/>
        <v>932</v>
      </c>
      <c r="AF344" s="70"/>
      <c r="AG344" s="155">
        <f t="shared" si="137"/>
        <v>0.1</v>
      </c>
      <c r="AH344" s="70"/>
      <c r="AI344" s="79">
        <f t="shared" si="138"/>
        <v>110</v>
      </c>
      <c r="AJ344" s="70"/>
      <c r="AK344" s="157">
        <f t="shared" si="148"/>
        <v>11.8</v>
      </c>
      <c r="AL344" s="70"/>
      <c r="AM344" s="79">
        <f t="shared" si="162"/>
        <v>5</v>
      </c>
      <c r="AN344" s="70"/>
      <c r="AO344" s="79">
        <f t="shared" si="133"/>
        <v>937</v>
      </c>
      <c r="AP344" s="70"/>
      <c r="AQ344" s="157">
        <f t="shared" si="122"/>
        <v>11.7</v>
      </c>
      <c r="AS344" s="109"/>
      <c r="AW344" s="225"/>
    </row>
    <row r="345" spans="1:51" x14ac:dyDescent="0.25">
      <c r="F345" s="200"/>
      <c r="H345" s="211"/>
      <c r="I345" s="211"/>
      <c r="J345" s="305"/>
      <c r="K345" s="305"/>
      <c r="L345" s="211"/>
      <c r="M345" s="211"/>
      <c r="N345" s="211"/>
      <c r="O345" s="211"/>
      <c r="P345" s="211"/>
      <c r="Q345" s="211"/>
      <c r="R345" s="211"/>
      <c r="T345" s="418">
        <v>80</v>
      </c>
      <c r="U345" s="80"/>
      <c r="V345" s="81" t="str">
        <f t="shared" si="135"/>
        <v xml:space="preserve">   22,000 LUMEN (8)</v>
      </c>
      <c r="W345" s="80"/>
      <c r="X345" s="80"/>
      <c r="Y345" s="78">
        <f t="shared" si="160"/>
        <v>528</v>
      </c>
      <c r="Z345" s="70"/>
      <c r="AA345" s="78">
        <f t="shared" si="161"/>
        <v>41712</v>
      </c>
      <c r="AB345" s="78"/>
      <c r="AC345" s="349">
        <f>AC343+$AC$10</f>
        <v>18.07</v>
      </c>
      <c r="AD345" s="162"/>
      <c r="AE345" s="79">
        <f t="shared" si="147"/>
        <v>9541</v>
      </c>
      <c r="AF345" s="70"/>
      <c r="AG345" s="155">
        <f t="shared" si="137"/>
        <v>0.7</v>
      </c>
      <c r="AH345" s="70"/>
      <c r="AI345" s="79">
        <f t="shared" si="138"/>
        <v>1130</v>
      </c>
      <c r="AJ345" s="70"/>
      <c r="AK345" s="157">
        <f t="shared" si="148"/>
        <v>11.8</v>
      </c>
      <c r="AL345" s="70"/>
      <c r="AM345" s="79">
        <f t="shared" si="162"/>
        <v>43</v>
      </c>
      <c r="AN345" s="70"/>
      <c r="AO345" s="79">
        <f>AE345+AM345</f>
        <v>9584</v>
      </c>
      <c r="AP345" s="70"/>
      <c r="AQ345" s="157">
        <f>IF(AO345=0,"0.0 ",ROUND((AI345/AO345)*100,1))</f>
        <v>11.8</v>
      </c>
      <c r="AS345" s="109"/>
      <c r="AW345" s="225"/>
    </row>
    <row r="346" spans="1:51" x14ac:dyDescent="0.25">
      <c r="F346" s="200"/>
      <c r="H346" s="211"/>
      <c r="I346" s="211"/>
      <c r="J346" s="305"/>
      <c r="K346" s="305"/>
      <c r="L346" s="211"/>
      <c r="M346" s="211"/>
      <c r="N346" s="211"/>
      <c r="O346" s="211"/>
      <c r="P346" s="211"/>
      <c r="Q346" s="211"/>
      <c r="R346" s="211"/>
      <c r="T346" s="418">
        <v>81</v>
      </c>
      <c r="U346" s="80"/>
      <c r="V346" s="81" t="str">
        <f t="shared" si="135"/>
        <v xml:space="preserve">   22,000 LUMEN (8A)</v>
      </c>
      <c r="W346" s="80"/>
      <c r="X346" s="80"/>
      <c r="Y346" s="78">
        <f t="shared" si="160"/>
        <v>48</v>
      </c>
      <c r="Z346" s="70"/>
      <c r="AA346" s="78">
        <f t="shared" si="161"/>
        <v>3792</v>
      </c>
      <c r="AB346" s="78"/>
      <c r="AC346" s="349">
        <f>AC343+$AC$11</f>
        <v>18.14</v>
      </c>
      <c r="AD346" s="162"/>
      <c r="AE346" s="79">
        <f>ROUND((Y346*AC346),0)</f>
        <v>871</v>
      </c>
      <c r="AF346" s="70"/>
      <c r="AG346" s="155">
        <f t="shared" si="137"/>
        <v>0.1</v>
      </c>
      <c r="AH346" s="70"/>
      <c r="AI346" s="79">
        <f t="shared" si="138"/>
        <v>103</v>
      </c>
      <c r="AJ346" s="70"/>
      <c r="AK346" s="157">
        <f>IF(AE346=0,"0.0 ",ROUND((AI346/AE346)*100,1))</f>
        <v>11.8</v>
      </c>
      <c r="AL346" s="70"/>
      <c r="AM346" s="79">
        <f t="shared" si="162"/>
        <v>4</v>
      </c>
      <c r="AN346" s="70"/>
      <c r="AO346" s="79">
        <f>AE346+AM346</f>
        <v>875</v>
      </c>
      <c r="AP346" s="70"/>
      <c r="AQ346" s="157">
        <f>IF(AO346=0,"0.0 ",ROUND((AI346/AO346)*100,1))</f>
        <v>11.8</v>
      </c>
      <c r="AS346" s="109"/>
      <c r="AW346" s="225"/>
    </row>
    <row r="347" spans="1:51" x14ac:dyDescent="0.25">
      <c r="F347" s="200"/>
      <c r="H347" s="211"/>
      <c r="I347" s="211"/>
      <c r="J347" s="305"/>
      <c r="K347" s="305"/>
      <c r="L347" s="211"/>
      <c r="M347" s="211"/>
      <c r="N347" s="211"/>
      <c r="O347" s="211"/>
      <c r="P347" s="211"/>
      <c r="Q347" s="211"/>
      <c r="R347" s="211"/>
      <c r="T347" s="418">
        <v>82</v>
      </c>
      <c r="U347" s="145"/>
      <c r="V347" s="81" t="str">
        <f t="shared" si="135"/>
        <v xml:space="preserve">   27,500 LUMEN</v>
      </c>
      <c r="W347" s="145"/>
      <c r="X347" s="80"/>
      <c r="Y347" s="78">
        <f t="shared" si="160"/>
        <v>0</v>
      </c>
      <c r="Z347" s="70"/>
      <c r="AA347" s="78">
        <f t="shared" si="161"/>
        <v>0</v>
      </c>
      <c r="AB347" s="78"/>
      <c r="AC347" s="349">
        <v>11.13</v>
      </c>
      <c r="AD347" s="162"/>
      <c r="AE347" s="79">
        <f t="shared" ref="AE347" si="163">ROUND((Y347*AC347),0)</f>
        <v>0</v>
      </c>
      <c r="AF347" s="79"/>
      <c r="AG347" s="155">
        <f t="shared" si="137"/>
        <v>0</v>
      </c>
      <c r="AH347" s="156"/>
      <c r="AI347" s="79">
        <f t="shared" si="138"/>
        <v>0</v>
      </c>
      <c r="AJ347" s="79"/>
      <c r="AK347" s="157" t="str">
        <f t="shared" ref="AK347" si="164">IF(AE347=0,"0.0 ",ROUND((AI347/AE347)*100,1))</f>
        <v xml:space="preserve">0.0 </v>
      </c>
      <c r="AL347" s="158"/>
      <c r="AM347" s="79">
        <f t="shared" si="162"/>
        <v>0</v>
      </c>
      <c r="AN347" s="79"/>
      <c r="AO347" s="79">
        <f t="shared" ref="AO347" si="165">AE347+AM347</f>
        <v>0</v>
      </c>
      <c r="AP347" s="79"/>
      <c r="AQ347" s="157" t="str">
        <f t="shared" ref="AQ347" si="166">IF(AO347=0,"0.0 ",ROUND((AI347/AO347)*100,1))</f>
        <v xml:space="preserve">0.0 </v>
      </c>
      <c r="AS347" s="109"/>
      <c r="AW347" s="225"/>
    </row>
    <row r="348" spans="1:51" x14ac:dyDescent="0.25">
      <c r="F348" s="200"/>
      <c r="H348" s="211"/>
      <c r="I348" s="211"/>
      <c r="J348" s="305"/>
      <c r="K348" s="305"/>
      <c r="L348" s="211"/>
      <c r="M348" s="211"/>
      <c r="N348" s="211"/>
      <c r="O348" s="211"/>
      <c r="P348" s="211"/>
      <c r="Q348" s="211"/>
      <c r="R348" s="211"/>
      <c r="T348" s="418">
        <v>83</v>
      </c>
      <c r="U348" s="145"/>
      <c r="V348" s="81" t="str">
        <f t="shared" si="135"/>
        <v xml:space="preserve">   27,500 LUMEN (9)</v>
      </c>
      <c r="W348" s="145"/>
      <c r="X348" s="80"/>
      <c r="Y348" s="78">
        <f t="shared" si="160"/>
        <v>252</v>
      </c>
      <c r="Z348" s="70"/>
      <c r="AA348" s="78">
        <f t="shared" si="161"/>
        <v>19908</v>
      </c>
      <c r="AB348" s="78"/>
      <c r="AC348" s="349">
        <f>$AC$347+$AC$12</f>
        <v>24.990000000000002</v>
      </c>
      <c r="AD348" s="162"/>
      <c r="AE348" s="79">
        <f>ROUND((Y348*AC348),0)</f>
        <v>6297</v>
      </c>
      <c r="AF348" s="70"/>
      <c r="AG348" s="155">
        <f t="shared" si="137"/>
        <v>0.5</v>
      </c>
      <c r="AH348" s="70"/>
      <c r="AI348" s="79">
        <f t="shared" si="138"/>
        <v>749</v>
      </c>
      <c r="AJ348" s="70"/>
      <c r="AK348" s="157">
        <f>IF(AE348=0,"0.0 ",ROUND((AI348/AE348)*100,1))</f>
        <v>11.9</v>
      </c>
      <c r="AL348" s="70"/>
      <c r="AM348" s="79">
        <f t="shared" si="162"/>
        <v>20</v>
      </c>
      <c r="AN348" s="70"/>
      <c r="AO348" s="79">
        <f>AE348+AM348</f>
        <v>6317</v>
      </c>
      <c r="AP348" s="70"/>
      <c r="AQ348" s="157">
        <f>IF(AO348=0,"0.0 ",ROUND((AI348/AO348)*100,1))</f>
        <v>11.9</v>
      </c>
      <c r="AS348" s="109"/>
      <c r="AW348" s="225"/>
    </row>
    <row r="349" spans="1:51" x14ac:dyDescent="0.25">
      <c r="A349" s="202"/>
      <c r="C349" s="154"/>
      <c r="F349" s="200"/>
      <c r="H349" s="200"/>
      <c r="I349" s="200"/>
      <c r="J349" s="305"/>
      <c r="K349" s="305"/>
      <c r="L349" s="200"/>
      <c r="M349" s="200"/>
      <c r="N349" s="210"/>
      <c r="O349" s="210"/>
      <c r="P349" s="200"/>
      <c r="Q349" s="200"/>
      <c r="R349" s="200"/>
      <c r="T349" s="418">
        <v>84</v>
      </c>
      <c r="U349" s="80"/>
      <c r="V349" s="81" t="str">
        <f t="shared" si="135"/>
        <v xml:space="preserve">   50,000 LUMEN</v>
      </c>
      <c r="W349" s="80"/>
      <c r="X349" s="80"/>
      <c r="Y349" s="78">
        <f t="shared" si="160"/>
        <v>336</v>
      </c>
      <c r="Z349" s="70"/>
      <c r="AA349" s="78">
        <f t="shared" si="161"/>
        <v>54852</v>
      </c>
      <c r="AB349" s="78"/>
      <c r="AC349" s="349">
        <v>14.95</v>
      </c>
      <c r="AD349" s="352"/>
      <c r="AE349" s="79">
        <f t="shared" si="147"/>
        <v>5023</v>
      </c>
      <c r="AF349" s="70"/>
      <c r="AG349" s="155">
        <f t="shared" si="137"/>
        <v>0.4</v>
      </c>
      <c r="AH349" s="70"/>
      <c r="AI349" s="79">
        <f t="shared" si="138"/>
        <v>598</v>
      </c>
      <c r="AJ349" s="70"/>
      <c r="AK349" s="157">
        <f t="shared" si="148"/>
        <v>11.9</v>
      </c>
      <c r="AL349" s="70"/>
      <c r="AM349" s="79">
        <f t="shared" si="162"/>
        <v>56</v>
      </c>
      <c r="AN349" s="70"/>
      <c r="AO349" s="79">
        <f>AE349+AM349</f>
        <v>5079</v>
      </c>
      <c r="AP349" s="70"/>
      <c r="AQ349" s="157">
        <f>IF(AO349=0,"0.0 ",ROUND((AI349/AO349)*100,1))</f>
        <v>11.8</v>
      </c>
      <c r="AS349" s="109"/>
      <c r="AT349" s="394">
        <f>AC349-AX349</f>
        <v>11.059999999999999</v>
      </c>
      <c r="AW349" s="225">
        <v>1959</v>
      </c>
      <c r="AX349" s="101">
        <f t="shared" si="149"/>
        <v>3.89</v>
      </c>
      <c r="AY349" s="101">
        <f t="shared" si="150"/>
        <v>3.89</v>
      </c>
    </row>
    <row r="350" spans="1:51" x14ac:dyDescent="0.25">
      <c r="A350" s="202"/>
      <c r="C350" s="154"/>
      <c r="F350" s="200"/>
      <c r="H350" s="200"/>
      <c r="I350" s="200"/>
      <c r="J350" s="305"/>
      <c r="K350" s="305"/>
      <c r="L350" s="200"/>
      <c r="M350" s="200"/>
      <c r="N350" s="210"/>
      <c r="O350" s="210"/>
      <c r="P350" s="200"/>
      <c r="Q350" s="200"/>
      <c r="R350" s="200"/>
      <c r="T350" s="418">
        <v>85</v>
      </c>
      <c r="U350" s="80"/>
      <c r="V350" s="81" t="str">
        <f t="shared" si="135"/>
        <v xml:space="preserve">   50,000 LUMEN (8)</v>
      </c>
      <c r="W350" s="80"/>
      <c r="X350" s="80"/>
      <c r="Y350" s="78">
        <f t="shared" si="160"/>
        <v>72</v>
      </c>
      <c r="Z350" s="70"/>
      <c r="AA350" s="78">
        <f t="shared" si="161"/>
        <v>11754</v>
      </c>
      <c r="AB350" s="78"/>
      <c r="AC350" s="349">
        <f>AC349+$AC$10</f>
        <v>21.89</v>
      </c>
      <c r="AD350" s="352"/>
      <c r="AE350" s="79">
        <f t="shared" si="147"/>
        <v>1576</v>
      </c>
      <c r="AF350" s="70"/>
      <c r="AG350" s="155">
        <f t="shared" si="137"/>
        <v>0.1</v>
      </c>
      <c r="AH350" s="70"/>
      <c r="AI350" s="79">
        <f t="shared" si="138"/>
        <v>187</v>
      </c>
      <c r="AJ350" s="70"/>
      <c r="AK350" s="157">
        <f t="shared" si="148"/>
        <v>11.9</v>
      </c>
      <c r="AL350" s="70"/>
      <c r="AM350" s="79">
        <f t="shared" si="162"/>
        <v>12</v>
      </c>
      <c r="AN350" s="70"/>
      <c r="AO350" s="79">
        <f>AE350+AM350</f>
        <v>1588</v>
      </c>
      <c r="AP350" s="70"/>
      <c r="AQ350" s="157">
        <f>IF(AO350=0,"0.0 ",ROUND((AI350/AO350)*100,1))</f>
        <v>11.8</v>
      </c>
      <c r="AS350" s="109"/>
      <c r="AW350" s="225"/>
    </row>
    <row r="351" spans="1:51" x14ac:dyDescent="0.25">
      <c r="A351" s="202"/>
      <c r="C351" s="154"/>
      <c r="F351" s="200"/>
      <c r="H351" s="200"/>
      <c r="I351" s="200"/>
      <c r="J351" s="305"/>
      <c r="K351" s="305"/>
      <c r="L351" s="200"/>
      <c r="M351" s="200"/>
      <c r="N351" s="210"/>
      <c r="O351" s="210"/>
      <c r="P351" s="200"/>
      <c r="Q351" s="200"/>
      <c r="R351" s="200"/>
      <c r="T351" s="418">
        <v>86</v>
      </c>
      <c r="U351" s="80"/>
      <c r="V351" s="81" t="str">
        <f t="shared" si="135"/>
        <v xml:space="preserve">   50,000 LUMEN (9)</v>
      </c>
      <c r="W351" s="80"/>
      <c r="X351" s="80"/>
      <c r="Y351" s="78">
        <f t="shared" si="160"/>
        <v>132</v>
      </c>
      <c r="Z351" s="70"/>
      <c r="AA351" s="78">
        <f t="shared" si="161"/>
        <v>21549</v>
      </c>
      <c r="AB351" s="78"/>
      <c r="AC351" s="349">
        <f>AC349+$AC$12</f>
        <v>28.81</v>
      </c>
      <c r="AD351" s="352"/>
      <c r="AE351" s="79">
        <f t="shared" si="147"/>
        <v>3803</v>
      </c>
      <c r="AF351" s="70"/>
      <c r="AG351" s="155">
        <f t="shared" si="137"/>
        <v>0.3</v>
      </c>
      <c r="AH351" s="70"/>
      <c r="AI351" s="79">
        <f t="shared" si="138"/>
        <v>453</v>
      </c>
      <c r="AJ351" s="70"/>
      <c r="AK351" s="157">
        <f t="shared" si="148"/>
        <v>11.9</v>
      </c>
      <c r="AL351" s="70"/>
      <c r="AM351" s="79">
        <f t="shared" si="162"/>
        <v>22</v>
      </c>
      <c r="AN351" s="70"/>
      <c r="AO351" s="79">
        <f>AE351+AM351</f>
        <v>3825</v>
      </c>
      <c r="AP351" s="70"/>
      <c r="AQ351" s="157">
        <f>IF(AO351=0,"0.0 ",ROUND((AI351/AO351)*100,1))</f>
        <v>11.8</v>
      </c>
      <c r="AS351" s="109"/>
      <c r="AW351" s="225"/>
    </row>
    <row r="352" spans="1:51" x14ac:dyDescent="0.25">
      <c r="F352" s="200"/>
      <c r="H352" s="211"/>
      <c r="I352" s="211"/>
      <c r="J352" s="305"/>
      <c r="K352" s="305"/>
      <c r="L352" s="211"/>
      <c r="M352" s="211"/>
      <c r="N352" s="211"/>
      <c r="O352" s="211"/>
      <c r="P352" s="211"/>
      <c r="Q352" s="211"/>
      <c r="R352" s="211"/>
      <c r="T352" s="418">
        <v>87</v>
      </c>
      <c r="U352" s="80"/>
      <c r="V352" s="265" t="s">
        <v>367</v>
      </c>
      <c r="W352" s="80"/>
      <c r="X352" s="80"/>
      <c r="Y352" s="78"/>
      <c r="Z352" s="70"/>
      <c r="AA352" s="78"/>
      <c r="AB352" s="70"/>
      <c r="AC352" s="162"/>
      <c r="AD352" s="352"/>
      <c r="AE352" s="79"/>
      <c r="AF352" s="79"/>
      <c r="AG352" s="155"/>
      <c r="AH352" s="156"/>
      <c r="AI352" s="79"/>
      <c r="AJ352" s="79"/>
      <c r="AK352" s="157"/>
      <c r="AL352" s="158"/>
      <c r="AM352" s="79"/>
      <c r="AN352" s="79"/>
      <c r="AO352" s="79"/>
      <c r="AP352" s="79"/>
      <c r="AQ352" s="157"/>
      <c r="AS352" s="109"/>
      <c r="AW352" s="80"/>
    </row>
    <row r="353" spans="1:51" x14ac:dyDescent="0.25">
      <c r="F353" s="200"/>
      <c r="H353" s="200"/>
      <c r="I353" s="200"/>
      <c r="J353" s="305"/>
      <c r="K353" s="305"/>
      <c r="L353" s="200"/>
      <c r="M353" s="200"/>
      <c r="N353" s="200"/>
      <c r="O353" s="200"/>
      <c r="P353" s="200"/>
      <c r="Q353" s="200"/>
      <c r="R353" s="200"/>
      <c r="T353" s="418">
        <v>88</v>
      </c>
      <c r="U353" s="80"/>
      <c r="V353" s="81" t="str">
        <f t="shared" si="135"/>
        <v xml:space="preserve">  7,000 LUMEN  TOWN &amp; COUNTRY</v>
      </c>
      <c r="W353" s="80"/>
      <c r="X353" s="80"/>
      <c r="Y353" s="78">
        <f t="shared" ref="Y353:Y361" si="167">F131</f>
        <v>0</v>
      </c>
      <c r="Z353" s="70"/>
      <c r="AA353" s="78">
        <f t="shared" ref="AA353:AA361" si="168">H131</f>
        <v>0</v>
      </c>
      <c r="AB353" s="78"/>
      <c r="AC353" s="349">
        <v>7.48</v>
      </c>
      <c r="AD353" s="352"/>
      <c r="AE353" s="79">
        <f t="shared" ref="AE353:AE361" si="169">ROUND((Y353*AC353),0)</f>
        <v>0</v>
      </c>
      <c r="AF353" s="79"/>
      <c r="AG353" s="155">
        <f t="shared" ref="AG353:AG361" si="170">ROUND((AE353/AE$433)*100,1)</f>
        <v>0</v>
      </c>
      <c r="AH353" s="156"/>
      <c r="AI353" s="79">
        <f t="shared" ref="AI353:AI361" si="171">L131-AE353</f>
        <v>0</v>
      </c>
      <c r="AJ353" s="79"/>
      <c r="AK353" s="157" t="str">
        <f t="shared" ref="AK353:AK361" si="172">IF(AE353=0,"0.0 ",ROUND((AI353/AE353)*100,1))</f>
        <v xml:space="preserve">0.0 </v>
      </c>
      <c r="AL353" s="158"/>
      <c r="AM353" s="79">
        <f t="shared" ref="AM353:AM358" si="173">ROUND($AM$433/$AA$433*AA353,0)</f>
        <v>0</v>
      </c>
      <c r="AN353" s="79"/>
      <c r="AO353" s="79">
        <f t="shared" ref="AO353:AO361" si="174">AE353+AM353</f>
        <v>0</v>
      </c>
      <c r="AP353" s="79"/>
      <c r="AQ353" s="157" t="str">
        <f t="shared" si="122"/>
        <v xml:space="preserve">0.0 </v>
      </c>
      <c r="AS353" s="109"/>
      <c r="AT353" s="394">
        <f>AC353-AX353</f>
        <v>5.7900000000000009</v>
      </c>
      <c r="AW353" s="225">
        <v>853</v>
      </c>
      <c r="AX353" s="101">
        <f t="shared" ref="AX353:AX361" si="175">ROUND((AW353/12)*CUR_BASE_FUEL,2)</f>
        <v>1.69</v>
      </c>
      <c r="AY353" s="101">
        <f t="shared" ref="AY353:AY361" si="176">ROUND((AW353/12)*PRO_BASE_FUEL,2)</f>
        <v>1.69</v>
      </c>
    </row>
    <row r="354" spans="1:51" x14ac:dyDescent="0.25">
      <c r="F354" s="200"/>
      <c r="H354" s="200"/>
      <c r="I354" s="200"/>
      <c r="J354" s="305"/>
      <c r="K354" s="305"/>
      <c r="L354" s="200"/>
      <c r="M354" s="200"/>
      <c r="N354" s="200"/>
      <c r="O354" s="200"/>
      <c r="P354" s="200"/>
      <c r="Q354" s="200"/>
      <c r="R354" s="200"/>
      <c r="T354" s="418">
        <v>89</v>
      </c>
      <c r="U354" s="80"/>
      <c r="V354" s="81" t="str">
        <f t="shared" si="135"/>
        <v xml:space="preserve">  7,000 LUMEN TOWN &amp; COUNTRY (3)</v>
      </c>
      <c r="W354" s="80"/>
      <c r="X354" s="80"/>
      <c r="Y354" s="78">
        <f t="shared" si="167"/>
        <v>216</v>
      </c>
      <c r="Z354" s="70"/>
      <c r="AA354" s="78">
        <f t="shared" si="168"/>
        <v>15354</v>
      </c>
      <c r="AB354" s="78"/>
      <c r="AC354" s="349">
        <f>AC353+$AC$5</f>
        <v>11.88</v>
      </c>
      <c r="AD354" s="352"/>
      <c r="AE354" s="79">
        <f t="shared" si="169"/>
        <v>2566</v>
      </c>
      <c r="AF354" s="79"/>
      <c r="AG354" s="155">
        <f t="shared" si="170"/>
        <v>0.2</v>
      </c>
      <c r="AH354" s="156"/>
      <c r="AI354" s="79">
        <f t="shared" si="171"/>
        <v>305</v>
      </c>
      <c r="AJ354" s="79"/>
      <c r="AK354" s="157">
        <f t="shared" si="172"/>
        <v>11.9</v>
      </c>
      <c r="AL354" s="158"/>
      <c r="AM354" s="79">
        <f t="shared" si="173"/>
        <v>16</v>
      </c>
      <c r="AN354" s="79"/>
      <c r="AO354" s="79">
        <f t="shared" si="174"/>
        <v>2582</v>
      </c>
      <c r="AP354" s="79"/>
      <c r="AQ354" s="157">
        <f t="shared" si="122"/>
        <v>11.8</v>
      </c>
      <c r="AS354" s="109"/>
      <c r="AW354" s="225"/>
    </row>
    <row r="355" spans="1:51" x14ac:dyDescent="0.25">
      <c r="F355" s="200"/>
      <c r="H355" s="200"/>
      <c r="I355" s="200"/>
      <c r="J355" s="305"/>
      <c r="K355" s="305"/>
      <c r="L355" s="200"/>
      <c r="M355" s="200"/>
      <c r="N355" s="200"/>
      <c r="O355" s="200"/>
      <c r="P355" s="200"/>
      <c r="Q355" s="200"/>
      <c r="R355" s="200"/>
      <c r="T355" s="418">
        <v>90</v>
      </c>
      <c r="U355" s="80"/>
      <c r="V355" s="81" t="str">
        <f t="shared" si="135"/>
        <v xml:space="preserve">  7,000 LUMEN TOWN &amp; COUNTRY (10)</v>
      </c>
      <c r="W355" s="80"/>
      <c r="X355" s="80"/>
      <c r="Y355" s="78">
        <f t="shared" si="167"/>
        <v>5888</v>
      </c>
      <c r="Z355" s="70"/>
      <c r="AA355" s="78">
        <f t="shared" si="168"/>
        <v>418539</v>
      </c>
      <c r="AB355" s="78"/>
      <c r="AC355" s="349">
        <f>AC353+$AC$13</f>
        <v>11.88</v>
      </c>
      <c r="AD355" s="352"/>
      <c r="AE355" s="79">
        <f t="shared" si="169"/>
        <v>69949</v>
      </c>
      <c r="AF355" s="79"/>
      <c r="AG355" s="155">
        <f t="shared" si="170"/>
        <v>5.2</v>
      </c>
      <c r="AH355" s="156"/>
      <c r="AI355" s="79">
        <f t="shared" si="171"/>
        <v>8303</v>
      </c>
      <c r="AJ355" s="79"/>
      <c r="AK355" s="157">
        <f t="shared" si="172"/>
        <v>11.9</v>
      </c>
      <c r="AL355" s="158"/>
      <c r="AM355" s="79">
        <f t="shared" si="173"/>
        <v>430</v>
      </c>
      <c r="AN355" s="79"/>
      <c r="AO355" s="79">
        <f t="shared" si="174"/>
        <v>70379</v>
      </c>
      <c r="AP355" s="79"/>
      <c r="AQ355" s="157">
        <f t="shared" si="122"/>
        <v>11.8</v>
      </c>
      <c r="AS355" s="109"/>
      <c r="AW355" s="225"/>
    </row>
    <row r="356" spans="1:51" x14ac:dyDescent="0.25">
      <c r="F356" s="200"/>
      <c r="H356" s="200"/>
      <c r="I356" s="200"/>
      <c r="J356" s="305"/>
      <c r="K356" s="305"/>
      <c r="L356" s="200"/>
      <c r="M356" s="200"/>
      <c r="N356" s="200"/>
      <c r="O356" s="200"/>
      <c r="P356" s="200"/>
      <c r="Q356" s="200"/>
      <c r="R356" s="200"/>
      <c r="T356" s="418">
        <v>91</v>
      </c>
      <c r="U356" s="80"/>
      <c r="V356" s="81" t="str">
        <f t="shared" si="135"/>
        <v xml:space="preserve">  7,000 LUMEN HOLOPHANE</v>
      </c>
      <c r="W356" s="80"/>
      <c r="X356" s="80"/>
      <c r="Y356" s="78">
        <f t="shared" si="167"/>
        <v>24</v>
      </c>
      <c r="Z356" s="70"/>
      <c r="AA356" s="78">
        <f t="shared" si="168"/>
        <v>1748</v>
      </c>
      <c r="AB356" s="78"/>
      <c r="AC356" s="349">
        <v>9.4</v>
      </c>
      <c r="AD356" s="352"/>
      <c r="AE356" s="79">
        <f t="shared" si="169"/>
        <v>226</v>
      </c>
      <c r="AF356" s="79"/>
      <c r="AG356" s="155">
        <f t="shared" si="170"/>
        <v>0</v>
      </c>
      <c r="AH356" s="156"/>
      <c r="AI356" s="79">
        <f t="shared" si="171"/>
        <v>26</v>
      </c>
      <c r="AJ356" s="79"/>
      <c r="AK356" s="157">
        <f t="shared" si="172"/>
        <v>11.5</v>
      </c>
      <c r="AL356" s="158"/>
      <c r="AM356" s="79">
        <f t="shared" si="173"/>
        <v>2</v>
      </c>
      <c r="AN356" s="79"/>
      <c r="AO356" s="79">
        <f t="shared" si="174"/>
        <v>228</v>
      </c>
      <c r="AP356" s="79"/>
      <c r="AQ356" s="157">
        <f t="shared" si="122"/>
        <v>11.4</v>
      </c>
      <c r="AS356" s="109"/>
      <c r="AT356" s="394">
        <f>AC356-AX356</f>
        <v>7.66</v>
      </c>
      <c r="AW356" s="225">
        <v>874</v>
      </c>
      <c r="AX356" s="101">
        <f t="shared" si="175"/>
        <v>1.74</v>
      </c>
      <c r="AY356" s="101">
        <f t="shared" si="176"/>
        <v>1.74</v>
      </c>
    </row>
    <row r="357" spans="1:51" x14ac:dyDescent="0.25">
      <c r="F357" s="200"/>
      <c r="H357" s="200"/>
      <c r="I357" s="200"/>
      <c r="J357" s="305"/>
      <c r="K357" s="305"/>
      <c r="L357" s="200"/>
      <c r="M357" s="200"/>
      <c r="N357" s="200"/>
      <c r="O357" s="200"/>
      <c r="P357" s="200"/>
      <c r="Q357" s="200"/>
      <c r="R357" s="200"/>
      <c r="T357" s="418">
        <v>92</v>
      </c>
      <c r="U357" s="80"/>
      <c r="V357" s="81" t="str">
        <f t="shared" si="135"/>
        <v xml:space="preserve">  7,000 LUMEN HOLOPHANE (10)</v>
      </c>
      <c r="W357" s="80"/>
      <c r="X357" s="80"/>
      <c r="Y357" s="78">
        <f t="shared" si="167"/>
        <v>1909</v>
      </c>
      <c r="Z357" s="70"/>
      <c r="AA357" s="78">
        <f t="shared" si="168"/>
        <v>139039</v>
      </c>
      <c r="AB357" s="78"/>
      <c r="AC357" s="349">
        <f>AC356+$AC$13</f>
        <v>13.8</v>
      </c>
      <c r="AD357" s="352"/>
      <c r="AE357" s="79">
        <f t="shared" si="169"/>
        <v>26344</v>
      </c>
      <c r="AF357" s="79"/>
      <c r="AG357" s="155">
        <f t="shared" si="170"/>
        <v>2</v>
      </c>
      <c r="AH357" s="156"/>
      <c r="AI357" s="79">
        <f t="shared" si="171"/>
        <v>3131</v>
      </c>
      <c r="AJ357" s="79"/>
      <c r="AK357" s="157">
        <f t="shared" si="172"/>
        <v>11.9</v>
      </c>
      <c r="AL357" s="158"/>
      <c r="AM357" s="79">
        <f t="shared" si="173"/>
        <v>143</v>
      </c>
      <c r="AN357" s="79"/>
      <c r="AO357" s="79">
        <f t="shared" si="174"/>
        <v>26487</v>
      </c>
      <c r="AP357" s="79"/>
      <c r="AQ357" s="157">
        <f t="shared" si="122"/>
        <v>11.8</v>
      </c>
      <c r="AS357" s="109"/>
      <c r="AW357" s="225"/>
    </row>
    <row r="358" spans="1:51" x14ac:dyDescent="0.25">
      <c r="F358" s="200"/>
      <c r="H358" s="200"/>
      <c r="I358" s="200"/>
      <c r="J358" s="305"/>
      <c r="K358" s="305"/>
      <c r="L358" s="200"/>
      <c r="M358" s="200"/>
      <c r="N358" s="200"/>
      <c r="O358" s="200"/>
      <c r="P358" s="200"/>
      <c r="Q358" s="200"/>
      <c r="R358" s="200"/>
      <c r="T358" s="418">
        <v>93</v>
      </c>
      <c r="U358" s="80"/>
      <c r="V358" s="81" t="str">
        <f t="shared" si="135"/>
        <v xml:space="preserve">  7,000 LUMEN GAS REPLICA (7)</v>
      </c>
      <c r="W358" s="80"/>
      <c r="X358" s="80"/>
      <c r="Y358" s="78">
        <f t="shared" si="167"/>
        <v>96</v>
      </c>
      <c r="Z358" s="70"/>
      <c r="AA358" s="78">
        <f t="shared" si="168"/>
        <v>6992</v>
      </c>
      <c r="AB358" s="78"/>
      <c r="AC358" s="349">
        <f>21.48+AC9</f>
        <v>33.450000000000003</v>
      </c>
      <c r="AD358" s="352"/>
      <c r="AE358" s="79">
        <f t="shared" si="169"/>
        <v>3211</v>
      </c>
      <c r="AF358" s="79"/>
      <c r="AG358" s="155">
        <f t="shared" si="170"/>
        <v>0.2</v>
      </c>
      <c r="AH358" s="156"/>
      <c r="AI358" s="79">
        <f t="shared" si="171"/>
        <v>382</v>
      </c>
      <c r="AJ358" s="79"/>
      <c r="AK358" s="157">
        <f t="shared" si="172"/>
        <v>11.9</v>
      </c>
      <c r="AL358" s="158"/>
      <c r="AM358" s="79">
        <f t="shared" si="173"/>
        <v>7</v>
      </c>
      <c r="AN358" s="79"/>
      <c r="AO358" s="79">
        <f t="shared" si="174"/>
        <v>3218</v>
      </c>
      <c r="AP358" s="79"/>
      <c r="AQ358" s="157">
        <f t="shared" si="122"/>
        <v>11.9</v>
      </c>
      <c r="AS358" s="109"/>
      <c r="AT358" s="394">
        <f>AC358-AX358</f>
        <v>31.710000000000004</v>
      </c>
      <c r="AW358" s="225">
        <v>874</v>
      </c>
      <c r="AX358" s="101">
        <f t="shared" si="175"/>
        <v>1.74</v>
      </c>
      <c r="AY358" s="101">
        <f t="shared" si="176"/>
        <v>1.74</v>
      </c>
    </row>
    <row r="359" spans="1:51" x14ac:dyDescent="0.25">
      <c r="F359" s="200"/>
      <c r="H359" s="200"/>
      <c r="I359" s="200"/>
      <c r="J359" s="305"/>
      <c r="K359" s="305"/>
      <c r="L359" s="200"/>
      <c r="M359" s="200"/>
      <c r="N359" s="200"/>
      <c r="O359" s="200"/>
      <c r="P359" s="200"/>
      <c r="Q359" s="200"/>
      <c r="R359" s="200"/>
      <c r="T359" s="418">
        <v>94</v>
      </c>
      <c r="U359" s="80"/>
      <c r="V359" s="81" t="str">
        <f t="shared" si="135"/>
        <v xml:space="preserve">  7,000 LUMEN GRANVILLE </v>
      </c>
      <c r="W359" s="80"/>
      <c r="X359" s="80"/>
      <c r="Y359" s="78">
        <f t="shared" si="167"/>
        <v>0</v>
      </c>
      <c r="Z359" s="70"/>
      <c r="AA359" s="78">
        <f t="shared" si="168"/>
        <v>0</v>
      </c>
      <c r="AB359" s="78"/>
      <c r="AC359" s="349">
        <v>7.56</v>
      </c>
      <c r="AD359" s="352"/>
      <c r="AE359" s="79">
        <f>ROUND((Y359*AC359),0)</f>
        <v>0</v>
      </c>
      <c r="AF359" s="79"/>
      <c r="AG359" s="155">
        <f t="shared" si="170"/>
        <v>0</v>
      </c>
      <c r="AH359" s="156"/>
      <c r="AI359" s="79">
        <f t="shared" si="171"/>
        <v>0</v>
      </c>
      <c r="AJ359" s="79"/>
      <c r="AK359" s="157" t="str">
        <f t="shared" ref="AK359" si="177">IF(AE359=0,"0.0 ",ROUND((AI359/AE359)*100,1))</f>
        <v xml:space="preserve">0.0 </v>
      </c>
      <c r="AL359" s="158"/>
      <c r="AM359" s="79">
        <f t="shared" ref="AM359" si="178">ROUND($AM$433/$AA$433*AA359,0)</f>
        <v>0</v>
      </c>
      <c r="AN359" s="79"/>
      <c r="AO359" s="79">
        <f>AE359+AM359</f>
        <v>0</v>
      </c>
      <c r="AP359" s="79"/>
      <c r="AQ359" s="157" t="str">
        <f>IF(AO359=0,"0.0 ",ROUND((AI359/AO359)*100,1))</f>
        <v xml:space="preserve">0.0 </v>
      </c>
      <c r="AS359" s="109"/>
      <c r="AT359" s="394">
        <f>AC359-AX359</f>
        <v>5.8699999999999992</v>
      </c>
      <c r="AW359" s="225">
        <v>853</v>
      </c>
      <c r="AX359" s="101">
        <f t="shared" ref="AX359" si="179">ROUND((AW359/12)*CUR_BASE_FUEL,2)</f>
        <v>1.69</v>
      </c>
      <c r="AY359" s="101">
        <f t="shared" ref="AY359" si="180">ROUND((AW359/12)*PRO_BASE_FUEL,2)</f>
        <v>1.69</v>
      </c>
    </row>
    <row r="360" spans="1:51" x14ac:dyDescent="0.25">
      <c r="F360" s="200"/>
      <c r="H360" s="200"/>
      <c r="I360" s="200"/>
      <c r="J360" s="305"/>
      <c r="K360" s="305"/>
      <c r="L360" s="200"/>
      <c r="M360" s="200"/>
      <c r="N360" s="200"/>
      <c r="O360" s="200"/>
      <c r="P360" s="200"/>
      <c r="Q360" s="200"/>
      <c r="R360" s="200"/>
      <c r="T360" s="418">
        <v>95</v>
      </c>
      <c r="U360" s="80"/>
      <c r="V360" s="81" t="str">
        <f t="shared" si="135"/>
        <v xml:space="preserve">  7,000 LUMEN GRANVILLE (7)</v>
      </c>
      <c r="W360" s="80"/>
      <c r="X360" s="80"/>
      <c r="Y360" s="78">
        <f t="shared" si="167"/>
        <v>0</v>
      </c>
      <c r="Z360" s="70"/>
      <c r="AA360" s="78">
        <f t="shared" si="168"/>
        <v>0</v>
      </c>
      <c r="AB360" s="78"/>
      <c r="AC360" s="349">
        <f>AC359+$AC$9</f>
        <v>19.53</v>
      </c>
      <c r="AD360" s="352"/>
      <c r="AE360" s="79">
        <f>ROUND((Y360*AC360),0)</f>
        <v>0</v>
      </c>
      <c r="AF360" s="79"/>
      <c r="AG360" s="155">
        <f t="shared" si="170"/>
        <v>0</v>
      </c>
      <c r="AH360" s="156"/>
      <c r="AI360" s="79">
        <f t="shared" si="171"/>
        <v>0</v>
      </c>
      <c r="AJ360" s="79"/>
      <c r="AK360" s="157" t="str">
        <f t="shared" si="172"/>
        <v xml:space="preserve">0.0 </v>
      </c>
      <c r="AL360" s="158"/>
      <c r="AM360" s="79">
        <f>ROUND($AM$433/$AA$433*AA360,0)</f>
        <v>0</v>
      </c>
      <c r="AN360" s="79"/>
      <c r="AO360" s="79">
        <f>AE360+AM360</f>
        <v>0</v>
      </c>
      <c r="AP360" s="79"/>
      <c r="AQ360" s="157" t="str">
        <f>IF(AO360=0,"0.0 ",ROUND((AI360/AO360)*100,1))</f>
        <v xml:space="preserve">0.0 </v>
      </c>
      <c r="AS360" s="109"/>
      <c r="AT360" s="394"/>
      <c r="AW360" s="225"/>
    </row>
    <row r="361" spans="1:51" x14ac:dyDescent="0.25">
      <c r="A361" s="202"/>
      <c r="C361" s="154"/>
      <c r="F361" s="252"/>
      <c r="H361" s="252"/>
      <c r="I361" s="252"/>
      <c r="J361" s="320"/>
      <c r="K361" s="320"/>
      <c r="L361" s="200"/>
      <c r="M361" s="200"/>
      <c r="N361" s="210"/>
      <c r="O361" s="210"/>
      <c r="P361" s="252"/>
      <c r="Q361" s="252"/>
      <c r="R361" s="200"/>
      <c r="T361" s="418">
        <v>96</v>
      </c>
      <c r="U361" s="80"/>
      <c r="V361" s="81" t="str">
        <f t="shared" si="135"/>
        <v xml:space="preserve">  7,000 LUMEN ASPEN</v>
      </c>
      <c r="W361" s="80"/>
      <c r="X361" s="80"/>
      <c r="Y361" s="78">
        <f t="shared" si="167"/>
        <v>24</v>
      </c>
      <c r="Z361" s="70"/>
      <c r="AA361" s="78">
        <f t="shared" si="168"/>
        <v>1748</v>
      </c>
      <c r="AB361" s="78"/>
      <c r="AC361" s="349">
        <v>13.61</v>
      </c>
      <c r="AD361" s="352"/>
      <c r="AE361" s="79">
        <f t="shared" si="169"/>
        <v>327</v>
      </c>
      <c r="AF361" s="79"/>
      <c r="AG361" s="155">
        <f t="shared" si="170"/>
        <v>0</v>
      </c>
      <c r="AH361" s="156"/>
      <c r="AI361" s="79">
        <f t="shared" si="171"/>
        <v>39</v>
      </c>
      <c r="AJ361" s="79"/>
      <c r="AK361" s="157">
        <f t="shared" si="172"/>
        <v>11.9</v>
      </c>
      <c r="AL361" s="158"/>
      <c r="AM361" s="79">
        <f>ROUND($AM$433/$AA$433*AA361,0)</f>
        <v>2</v>
      </c>
      <c r="AN361" s="79"/>
      <c r="AO361" s="79">
        <f t="shared" si="174"/>
        <v>329</v>
      </c>
      <c r="AP361" s="79"/>
      <c r="AQ361" s="157">
        <f t="shared" si="122"/>
        <v>11.9</v>
      </c>
      <c r="AS361" s="109"/>
      <c r="AT361" s="394">
        <f>AC361-AX361</f>
        <v>11.87</v>
      </c>
      <c r="AW361" s="225">
        <v>874</v>
      </c>
      <c r="AX361" s="101">
        <f t="shared" si="175"/>
        <v>1.74</v>
      </c>
      <c r="AY361" s="101">
        <f t="shared" si="176"/>
        <v>1.74</v>
      </c>
    </row>
    <row r="362" spans="1:51" x14ac:dyDescent="0.25">
      <c r="A362" s="202"/>
      <c r="C362" s="154"/>
      <c r="F362" s="252"/>
      <c r="H362" s="252"/>
      <c r="I362" s="252"/>
      <c r="J362" s="320"/>
      <c r="K362" s="320"/>
      <c r="L362" s="200"/>
      <c r="M362" s="200"/>
      <c r="N362" s="210"/>
      <c r="O362" s="210"/>
      <c r="P362" s="252"/>
      <c r="Q362" s="252"/>
      <c r="R362" s="200"/>
      <c r="T362" s="159"/>
      <c r="U362" s="80"/>
      <c r="V362" s="82"/>
      <c r="W362" s="80"/>
      <c r="X362" s="80"/>
      <c r="Y362" s="78"/>
      <c r="Z362" s="70"/>
      <c r="AA362" s="78"/>
      <c r="AB362" s="78"/>
      <c r="AC362" s="349"/>
      <c r="AD362" s="352"/>
      <c r="AE362" s="79"/>
      <c r="AF362" s="79"/>
      <c r="AG362" s="155"/>
      <c r="AH362" s="156"/>
      <c r="AI362" s="79"/>
      <c r="AJ362" s="79"/>
      <c r="AK362" s="157"/>
      <c r="AL362" s="158"/>
      <c r="AM362" s="79"/>
      <c r="AN362" s="79"/>
      <c r="AO362" s="79"/>
      <c r="AP362" s="79"/>
      <c r="AQ362" s="157"/>
      <c r="AS362" s="109"/>
      <c r="AT362" s="394"/>
      <c r="AW362" s="78"/>
      <c r="AX362" s="85"/>
      <c r="AY362" s="85"/>
    </row>
    <row r="363" spans="1:51" x14ac:dyDescent="0.25">
      <c r="A363" s="202"/>
      <c r="C363" s="154"/>
      <c r="F363" s="252"/>
      <c r="H363" s="252"/>
      <c r="I363" s="252"/>
      <c r="J363" s="320"/>
      <c r="K363" s="320"/>
      <c r="L363" s="200"/>
      <c r="M363" s="200"/>
      <c r="N363" s="210"/>
      <c r="O363" s="210"/>
      <c r="P363" s="252"/>
      <c r="Q363" s="252"/>
      <c r="R363" s="200"/>
      <c r="T363" s="173" t="s">
        <v>80</v>
      </c>
      <c r="U363" s="174"/>
      <c r="V363" s="146"/>
      <c r="W363" s="146"/>
      <c r="X363" s="146"/>
      <c r="Y363" s="146"/>
      <c r="Z363" s="146"/>
      <c r="AA363" s="146"/>
      <c r="AB363" s="146"/>
      <c r="AC363" s="174"/>
      <c r="AD363" s="146"/>
      <c r="AE363" s="175" t="s">
        <v>314</v>
      </c>
      <c r="AF363" s="146"/>
      <c r="AG363" s="176"/>
      <c r="AH363" s="146"/>
      <c r="AI363" s="174"/>
      <c r="AJ363" s="146"/>
      <c r="AK363" s="177" t="s">
        <v>319</v>
      </c>
      <c r="AL363" s="146"/>
      <c r="AM363" s="146"/>
      <c r="AN363" s="146"/>
      <c r="AO363" s="146"/>
      <c r="AP363" s="178"/>
      <c r="AQ363" s="179"/>
      <c r="AS363" s="109"/>
      <c r="AT363" s="394"/>
      <c r="AW363" s="78"/>
      <c r="AX363" s="85"/>
      <c r="AY363" s="85"/>
    </row>
    <row r="364" spans="1:51" x14ac:dyDescent="0.25">
      <c r="A364" s="202"/>
      <c r="C364" s="154"/>
      <c r="F364" s="252"/>
      <c r="H364" s="252"/>
      <c r="I364" s="252"/>
      <c r="J364" s="320"/>
      <c r="K364" s="320"/>
      <c r="L364" s="200"/>
      <c r="M364" s="200"/>
      <c r="N364" s="210"/>
      <c r="O364" s="210"/>
      <c r="P364" s="252"/>
      <c r="Q364" s="252"/>
      <c r="R364" s="200"/>
      <c r="T364" s="173" t="str">
        <f>"(1A) REFLECTS FUEL COST RECOVERY INCLUDED IN BASE RATES OF "&amp;TEXT(CUR_BASE_FUEL,"$0.000000;($0.000000)")&amp;"  PER KWH."</f>
        <v>(1A) REFLECTS FUEL COST RECOVERY INCLUDED IN BASE RATES OF $0.023837  PER KWH.</v>
      </c>
      <c r="U364" s="146"/>
      <c r="V364" s="146"/>
      <c r="W364" s="146"/>
      <c r="X364" s="146"/>
      <c r="Y364" s="180"/>
      <c r="Z364" s="146"/>
      <c r="AA364" s="146"/>
      <c r="AB364" s="146"/>
      <c r="AC364" s="174"/>
      <c r="AD364" s="146"/>
      <c r="AE364" s="177" t="s">
        <v>316</v>
      </c>
      <c r="AF364" s="146"/>
      <c r="AG364" s="176"/>
      <c r="AH364" s="146"/>
      <c r="AI364" s="174"/>
      <c r="AJ364" s="146"/>
      <c r="AK364" s="175" t="s">
        <v>320</v>
      </c>
      <c r="AL364" s="146"/>
      <c r="AM364" s="146"/>
      <c r="AN364" s="146"/>
      <c r="AO364" s="146"/>
      <c r="AP364" s="178"/>
      <c r="AQ364" s="179"/>
      <c r="AS364" s="109"/>
      <c r="AT364" s="394"/>
      <c r="AW364" s="78"/>
      <c r="AX364" s="85"/>
      <c r="AY364" s="85"/>
    </row>
    <row r="365" spans="1:51" x14ac:dyDescent="0.25">
      <c r="A365" s="202"/>
      <c r="C365" s="154"/>
      <c r="F365" s="252"/>
      <c r="H365" s="252"/>
      <c r="I365" s="252"/>
      <c r="J365" s="320"/>
      <c r="K365" s="320"/>
      <c r="L365" s="200"/>
      <c r="M365" s="200"/>
      <c r="N365" s="210"/>
      <c r="O365" s="210"/>
      <c r="P365" s="252"/>
      <c r="Q365" s="252"/>
      <c r="R365" s="200"/>
      <c r="T365" s="173" t="str">
        <f>"(2) REFLECTS FUEL COMPONENT OF "&amp;TEXT(CUR_FAC,"$0.000000;($0.000000)")&amp;"  PER KWH."</f>
        <v>(2) REFLECTS FUEL COMPONENT OF $0.001028  PER KWH.</v>
      </c>
      <c r="U365" s="146"/>
      <c r="V365" s="146"/>
      <c r="W365" s="146"/>
      <c r="X365" s="146"/>
      <c r="Y365" s="180"/>
      <c r="Z365" s="146"/>
      <c r="AA365" s="146"/>
      <c r="AB365" s="146"/>
      <c r="AC365" s="174"/>
      <c r="AD365" s="146"/>
      <c r="AE365" s="177" t="s">
        <v>317</v>
      </c>
      <c r="AF365" s="146"/>
      <c r="AG365" s="176"/>
      <c r="AH365" s="146"/>
      <c r="AI365" s="174"/>
      <c r="AJ365" s="146"/>
      <c r="AK365" s="175" t="s">
        <v>321</v>
      </c>
      <c r="AL365" s="146"/>
      <c r="AM365" s="146"/>
      <c r="AN365" s="146"/>
      <c r="AO365" s="146"/>
      <c r="AP365" s="178"/>
      <c r="AQ365" s="179"/>
      <c r="AS365" s="109"/>
      <c r="AT365" s="394"/>
      <c r="AW365" s="78"/>
      <c r="AX365" s="85"/>
      <c r="AY365" s="85"/>
    </row>
    <row r="366" spans="1:51" x14ac:dyDescent="0.25">
      <c r="A366" s="202"/>
      <c r="C366" s="154"/>
      <c r="F366" s="252"/>
      <c r="H366" s="252"/>
      <c r="I366" s="252"/>
      <c r="J366" s="320"/>
      <c r="K366" s="320"/>
      <c r="L366" s="200"/>
      <c r="M366" s="200"/>
      <c r="N366" s="210"/>
      <c r="O366" s="210"/>
      <c r="P366" s="252"/>
      <c r="Q366" s="252"/>
      <c r="R366" s="200"/>
      <c r="T366" s="175" t="s">
        <v>315</v>
      </c>
      <c r="U366" s="146"/>
      <c r="V366" s="146"/>
      <c r="W366" s="146"/>
      <c r="X366" s="146"/>
      <c r="Y366" s="180"/>
      <c r="Z366" s="146"/>
      <c r="AA366" s="146"/>
      <c r="AB366" s="146"/>
      <c r="AC366" s="174"/>
      <c r="AD366" s="146"/>
      <c r="AE366" s="175" t="s">
        <v>318</v>
      </c>
      <c r="AF366" s="146"/>
      <c r="AG366" s="176"/>
      <c r="AH366" s="146"/>
      <c r="AI366" s="174"/>
      <c r="AJ366" s="146"/>
      <c r="AK366" s="175" t="s">
        <v>322</v>
      </c>
      <c r="AL366" s="146"/>
      <c r="AM366" s="146"/>
      <c r="AN366" s="146"/>
      <c r="AO366" s="146"/>
      <c r="AP366" s="178"/>
      <c r="AQ366" s="179"/>
      <c r="AS366" s="109"/>
      <c r="AT366" s="394"/>
      <c r="AW366" s="78"/>
      <c r="AX366" s="85"/>
      <c r="AY366" s="85"/>
    </row>
    <row r="367" spans="1:51" x14ac:dyDescent="0.25">
      <c r="A367" s="202"/>
      <c r="C367" s="154"/>
      <c r="F367" s="252"/>
      <c r="H367" s="252"/>
      <c r="I367" s="252"/>
      <c r="J367" s="320"/>
      <c r="K367" s="320"/>
      <c r="L367" s="200"/>
      <c r="M367" s="200"/>
      <c r="N367" s="210"/>
      <c r="O367" s="210"/>
      <c r="P367" s="252"/>
      <c r="Q367" s="252"/>
      <c r="R367" s="200"/>
      <c r="T367" s="175" t="s">
        <v>313</v>
      </c>
      <c r="U367" s="146"/>
      <c r="V367" s="146"/>
      <c r="W367" s="146"/>
      <c r="X367" s="146"/>
      <c r="Y367" s="180"/>
      <c r="Z367" s="146"/>
      <c r="AA367" s="146"/>
      <c r="AB367" s="146"/>
      <c r="AC367" s="174"/>
      <c r="AD367" s="174"/>
      <c r="AE367" s="175" t="s">
        <v>438</v>
      </c>
      <c r="AF367" s="174"/>
      <c r="AG367" s="181"/>
      <c r="AH367" s="174"/>
      <c r="AI367" s="174"/>
      <c r="AJ367" s="174"/>
      <c r="AK367" s="175" t="s">
        <v>323</v>
      </c>
      <c r="AL367" s="146"/>
      <c r="AM367" s="146"/>
      <c r="AN367" s="146"/>
      <c r="AO367" s="146"/>
      <c r="AP367" s="178"/>
      <c r="AQ367" s="179"/>
      <c r="AS367" s="109"/>
      <c r="AT367" s="394"/>
      <c r="AW367" s="78"/>
      <c r="AX367" s="85"/>
      <c r="AY367" s="85"/>
    </row>
    <row r="368" spans="1:51" x14ac:dyDescent="0.25">
      <c r="A368" s="202"/>
      <c r="C368" s="154"/>
      <c r="F368" s="252"/>
      <c r="H368" s="252"/>
      <c r="I368" s="252"/>
      <c r="J368" s="320"/>
      <c r="K368" s="320"/>
      <c r="L368" s="200"/>
      <c r="M368" s="200"/>
      <c r="N368" s="210"/>
      <c r="O368" s="210"/>
      <c r="P368" s="252"/>
      <c r="Q368" s="252"/>
      <c r="R368" s="200"/>
      <c r="T368" s="81"/>
      <c r="U368" s="80"/>
      <c r="V368" s="80"/>
      <c r="W368" s="80"/>
      <c r="X368" s="80"/>
      <c r="Y368" s="182"/>
      <c r="Z368" s="80"/>
      <c r="AA368" s="80"/>
      <c r="AB368" s="80"/>
      <c r="AC368" s="81"/>
      <c r="AN368" s="80"/>
      <c r="AO368" s="80"/>
      <c r="AP368" s="80"/>
      <c r="AQ368" s="184"/>
      <c r="AS368" s="109"/>
      <c r="AT368" s="394"/>
      <c r="AW368" s="78"/>
      <c r="AX368" s="85"/>
      <c r="AY368" s="85"/>
    </row>
    <row r="369" spans="1:51" x14ac:dyDescent="0.25">
      <c r="A369" s="202"/>
      <c r="C369" s="154"/>
      <c r="F369" s="252"/>
      <c r="H369" s="252"/>
      <c r="I369" s="252"/>
      <c r="J369" s="320"/>
      <c r="K369" s="320"/>
      <c r="L369" s="200"/>
      <c r="M369" s="200"/>
      <c r="N369" s="210"/>
      <c r="O369" s="210"/>
      <c r="P369" s="252"/>
      <c r="Q369" s="252"/>
      <c r="R369" s="200"/>
      <c r="T369" s="159"/>
      <c r="U369" s="80"/>
      <c r="V369" s="82"/>
      <c r="W369" s="80"/>
      <c r="X369" s="80"/>
      <c r="Y369" s="78"/>
      <c r="Z369" s="70"/>
      <c r="AA369" s="78"/>
      <c r="AB369" s="78"/>
      <c r="AC369" s="349"/>
      <c r="AD369" s="352"/>
      <c r="AE369" s="79"/>
      <c r="AF369" s="79"/>
      <c r="AG369" s="155"/>
      <c r="AH369" s="156"/>
      <c r="AI369" s="79"/>
      <c r="AJ369" s="79"/>
      <c r="AK369" s="157"/>
      <c r="AL369" s="158"/>
      <c r="AM369" s="79"/>
      <c r="AN369" s="79"/>
      <c r="AO369" s="79"/>
      <c r="AP369" s="79"/>
      <c r="AQ369" s="157"/>
      <c r="AS369" s="109"/>
      <c r="AT369" s="394"/>
      <c r="AW369" s="78"/>
      <c r="AX369" s="85"/>
      <c r="AY369" s="85"/>
    </row>
    <row r="370" spans="1:51" x14ac:dyDescent="0.25">
      <c r="A370" s="202"/>
      <c r="C370" s="154"/>
      <c r="F370" s="252"/>
      <c r="H370" s="252"/>
      <c r="I370" s="252"/>
      <c r="J370" s="320"/>
      <c r="K370" s="320"/>
      <c r="L370" s="200"/>
      <c r="M370" s="200"/>
      <c r="N370" s="210"/>
      <c r="O370" s="210"/>
      <c r="P370" s="252"/>
      <c r="Q370" s="252"/>
      <c r="R370" s="200"/>
      <c r="T370" s="494" t="str">
        <f>NAME</f>
        <v>DUKE ENERGY KENTUCKY, INC.</v>
      </c>
      <c r="U370" s="494"/>
      <c r="V370" s="494"/>
      <c r="W370" s="494"/>
      <c r="X370" s="494"/>
      <c r="Y370" s="494"/>
      <c r="Z370" s="494"/>
      <c r="AA370" s="494"/>
      <c r="AB370" s="494"/>
      <c r="AC370" s="494"/>
      <c r="AD370" s="494"/>
      <c r="AE370" s="494"/>
      <c r="AF370" s="494"/>
      <c r="AG370" s="494"/>
      <c r="AH370" s="494"/>
      <c r="AI370" s="494"/>
      <c r="AJ370" s="494"/>
      <c r="AK370" s="494"/>
      <c r="AL370" s="494"/>
      <c r="AM370" s="494"/>
      <c r="AN370" s="494"/>
      <c r="AO370" s="494"/>
      <c r="AP370" s="494"/>
      <c r="AQ370" s="494"/>
      <c r="AS370" s="109"/>
      <c r="AW370" s="150"/>
    </row>
    <row r="371" spans="1:51" x14ac:dyDescent="0.25">
      <c r="A371" s="202"/>
      <c r="C371" s="154"/>
      <c r="F371" s="252"/>
      <c r="H371" s="252"/>
      <c r="I371" s="252"/>
      <c r="J371" s="320"/>
      <c r="K371" s="320"/>
      <c r="L371" s="200"/>
      <c r="M371" s="200"/>
      <c r="N371" s="210"/>
      <c r="O371" s="210"/>
      <c r="P371" s="252"/>
      <c r="Q371" s="252"/>
      <c r="R371" s="200"/>
      <c r="T371" s="150" t="str">
        <f>CASE_NO</f>
        <v>CASE NO.   2017-00321</v>
      </c>
      <c r="U371" s="150"/>
      <c r="V371" s="150"/>
      <c r="W371" s="150"/>
      <c r="X371" s="150"/>
      <c r="Y371" s="150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S371" s="109"/>
      <c r="AW371" s="150"/>
    </row>
    <row r="372" spans="1:51" x14ac:dyDescent="0.25">
      <c r="A372" s="202"/>
      <c r="C372" s="154"/>
      <c r="F372" s="252"/>
      <c r="H372" s="252"/>
      <c r="I372" s="252"/>
      <c r="J372" s="320"/>
      <c r="K372" s="320"/>
      <c r="L372" s="200"/>
      <c r="M372" s="200"/>
      <c r="N372" s="210"/>
      <c r="O372" s="210"/>
      <c r="P372" s="252"/>
      <c r="Q372" s="252"/>
      <c r="R372" s="200"/>
      <c r="T372" s="187" t="str">
        <f>TITLE</f>
        <v>ANNUALIZED BASE YEAR REVENUES AT PROPOSED VS. MOST CURRENT RATES</v>
      </c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S372" s="109"/>
      <c r="AW372" s="150"/>
    </row>
    <row r="373" spans="1:51" x14ac:dyDescent="0.25">
      <c r="A373" s="202"/>
      <c r="C373" s="154"/>
      <c r="F373" s="252"/>
      <c r="H373" s="252"/>
      <c r="I373" s="252"/>
      <c r="J373" s="320"/>
      <c r="K373" s="320"/>
      <c r="L373" s="200"/>
      <c r="M373" s="200"/>
      <c r="N373" s="210"/>
      <c r="O373" s="210"/>
      <c r="P373" s="252"/>
      <c r="Q373" s="252"/>
      <c r="R373" s="200"/>
      <c r="T373" s="150" t="str">
        <f>DATE</f>
        <v>FOR THE TWELVE MONTHS ENDED November 30, 2017</v>
      </c>
      <c r="U373" s="150"/>
      <c r="V373" s="150"/>
      <c r="W373" s="150"/>
      <c r="X373" s="150"/>
      <c r="Y373" s="150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S373" s="109"/>
      <c r="AW373" s="150"/>
    </row>
    <row r="374" spans="1:51" x14ac:dyDescent="0.25">
      <c r="A374" s="202"/>
      <c r="C374" s="154"/>
      <c r="F374" s="252"/>
      <c r="H374" s="252"/>
      <c r="I374" s="252"/>
      <c r="J374" s="320"/>
      <c r="K374" s="320"/>
      <c r="L374" s="200"/>
      <c r="M374" s="200"/>
      <c r="N374" s="210"/>
      <c r="O374" s="210"/>
      <c r="P374" s="252"/>
      <c r="Q374" s="252"/>
      <c r="R374" s="200"/>
      <c r="T374" s="150" t="str">
        <f>SERVICE</f>
        <v>(ELECTRIC SERVICE)</v>
      </c>
      <c r="U374" s="150"/>
      <c r="V374" s="150"/>
      <c r="W374" s="150"/>
      <c r="X374" s="150"/>
      <c r="Y374" s="150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S374" s="109"/>
      <c r="AW374" s="150"/>
    </row>
    <row r="375" spans="1:51" x14ac:dyDescent="0.25">
      <c r="A375" s="202"/>
      <c r="C375" s="154"/>
      <c r="F375" s="252"/>
      <c r="H375" s="252"/>
      <c r="I375" s="252"/>
      <c r="J375" s="320"/>
      <c r="K375" s="320"/>
      <c r="L375" s="200"/>
      <c r="M375" s="200"/>
      <c r="N375" s="210"/>
      <c r="O375" s="210"/>
      <c r="P375" s="252"/>
      <c r="Q375" s="252"/>
      <c r="R375" s="200"/>
      <c r="T375" s="159" t="str">
        <f>DATA_PERIOD</f>
        <v>DATA: __X__ BASE PERIOD   ____FORECASTED PERIOD</v>
      </c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G375" s="188"/>
      <c r="AI375" s="80"/>
      <c r="AJ375" s="80"/>
      <c r="AK375" s="188"/>
      <c r="AL375" s="80"/>
      <c r="AM375" s="80"/>
      <c r="AO375" s="82" t="s">
        <v>179</v>
      </c>
      <c r="AP375" s="82"/>
      <c r="AQ375" s="184"/>
      <c r="AS375" s="109"/>
      <c r="AW375" s="80"/>
    </row>
    <row r="376" spans="1:51" x14ac:dyDescent="0.25">
      <c r="A376" s="202"/>
      <c r="C376" s="154"/>
      <c r="F376" s="252"/>
      <c r="H376" s="252"/>
      <c r="I376" s="252"/>
      <c r="J376" s="320"/>
      <c r="K376" s="320"/>
      <c r="L376" s="200"/>
      <c r="M376" s="200"/>
      <c r="N376" s="210"/>
      <c r="O376" s="210"/>
      <c r="P376" s="252"/>
      <c r="Q376" s="252"/>
      <c r="R376" s="200"/>
      <c r="T376" s="159" t="str">
        <f>TYPE</f>
        <v>TYPE OF FILING: _X_ ORIGINAL   ___UPDATED  ___ REVISED</v>
      </c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G376" s="188"/>
      <c r="AI376" s="80"/>
      <c r="AJ376" s="80"/>
      <c r="AK376" s="188"/>
      <c r="AL376" s="80"/>
      <c r="AM376" s="80"/>
      <c r="AO376" s="81" t="str">
        <f>R154</f>
        <v>PAGE 15  OF  22</v>
      </c>
      <c r="AP376" s="82"/>
      <c r="AQ376" s="184"/>
      <c r="AS376" s="109"/>
      <c r="AW376" s="80"/>
    </row>
    <row r="377" spans="1:51" x14ac:dyDescent="0.25">
      <c r="A377" s="202"/>
      <c r="C377" s="154"/>
      <c r="F377" s="252"/>
      <c r="H377" s="252"/>
      <c r="I377" s="252"/>
      <c r="J377" s="320"/>
      <c r="K377" s="320"/>
      <c r="L377" s="200"/>
      <c r="M377" s="200"/>
      <c r="N377" s="210"/>
      <c r="O377" s="210"/>
      <c r="P377" s="252"/>
      <c r="Q377" s="252"/>
      <c r="R377" s="200"/>
      <c r="T377" s="82" t="s">
        <v>192</v>
      </c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188"/>
      <c r="AH377" s="80"/>
      <c r="AI377" s="80"/>
      <c r="AJ377" s="80"/>
      <c r="AK377" s="188"/>
      <c r="AL377" s="80"/>
      <c r="AM377" s="80"/>
      <c r="AN377" s="80"/>
      <c r="AO377" s="82" t="s">
        <v>4</v>
      </c>
      <c r="AP377" s="82"/>
      <c r="AQ377" s="184"/>
      <c r="AS377" s="109"/>
      <c r="AW377" s="80"/>
    </row>
    <row r="378" spans="1:51" x14ac:dyDescent="0.25">
      <c r="A378" s="202"/>
      <c r="C378" s="154"/>
      <c r="F378" s="252"/>
      <c r="H378" s="252"/>
      <c r="I378" s="252"/>
      <c r="J378" s="320"/>
      <c r="K378" s="320"/>
      <c r="L378" s="200"/>
      <c r="M378" s="200"/>
      <c r="N378" s="210"/>
      <c r="O378" s="210"/>
      <c r="P378" s="252"/>
      <c r="Q378" s="252"/>
      <c r="R378" s="200"/>
      <c r="T378" s="258" t="str">
        <f>TIME</f>
        <v>6 Months Actual and 6 Months Projected</v>
      </c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F378" s="82"/>
      <c r="AG378" s="188"/>
      <c r="AH378" s="80"/>
      <c r="AI378" s="80"/>
      <c r="AJ378" s="80"/>
      <c r="AK378" s="188"/>
      <c r="AL378" s="80"/>
      <c r="AM378" s="80"/>
      <c r="AN378" s="80"/>
      <c r="AO378" s="189" t="str">
        <f>WIT</f>
        <v>B. L. SAILERS</v>
      </c>
      <c r="AP378" s="159"/>
      <c r="AQ378" s="184"/>
      <c r="AS378" s="109"/>
      <c r="AW378" s="80"/>
    </row>
    <row r="379" spans="1:51" x14ac:dyDescent="0.25">
      <c r="A379" s="202"/>
      <c r="C379" s="154"/>
      <c r="F379" s="252"/>
      <c r="H379" s="252"/>
      <c r="I379" s="252"/>
      <c r="J379" s="320"/>
      <c r="K379" s="320"/>
      <c r="L379" s="200"/>
      <c r="M379" s="200"/>
      <c r="N379" s="210"/>
      <c r="O379" s="210"/>
      <c r="P379" s="252"/>
      <c r="Q379" s="252"/>
      <c r="R379" s="200"/>
      <c r="T379" s="187" t="s">
        <v>152</v>
      </c>
      <c r="U379" s="150"/>
      <c r="V379" s="150"/>
      <c r="W379" s="150"/>
      <c r="X379" s="150"/>
      <c r="Y379" s="150"/>
      <c r="Z379" s="150"/>
      <c r="AA379" s="150"/>
      <c r="AB379" s="150"/>
      <c r="AC379" s="150"/>
      <c r="AD379" s="150"/>
      <c r="AE379" s="187"/>
      <c r="AF379" s="187"/>
      <c r="AG379" s="190"/>
      <c r="AH379" s="150"/>
      <c r="AI379" s="150"/>
      <c r="AJ379" s="150"/>
      <c r="AK379" s="190"/>
      <c r="AL379" s="150"/>
      <c r="AM379" s="150"/>
      <c r="AN379" s="150"/>
      <c r="AO379" s="187"/>
      <c r="AP379" s="187"/>
      <c r="AQ379" s="184"/>
      <c r="AS379" s="109"/>
      <c r="AW379" s="150"/>
    </row>
    <row r="380" spans="1:51" x14ac:dyDescent="0.25">
      <c r="A380" s="202"/>
      <c r="C380" s="154"/>
      <c r="F380" s="252"/>
      <c r="H380" s="252"/>
      <c r="I380" s="252"/>
      <c r="J380" s="320"/>
      <c r="K380" s="320"/>
      <c r="L380" s="200"/>
      <c r="M380" s="200"/>
      <c r="N380" s="210"/>
      <c r="O380" s="210"/>
      <c r="P380" s="252"/>
      <c r="Q380" s="252"/>
      <c r="R380" s="200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91"/>
      <c r="AH380" s="151"/>
      <c r="AI380" s="151"/>
      <c r="AJ380" s="151"/>
      <c r="AK380" s="191"/>
      <c r="AL380" s="151"/>
      <c r="AM380" s="151"/>
      <c r="AN380" s="151"/>
      <c r="AO380" s="151"/>
      <c r="AP380" s="151"/>
      <c r="AQ380" s="192"/>
      <c r="AS380" s="109"/>
      <c r="AW380" s="102"/>
    </row>
    <row r="381" spans="1:51" ht="18" customHeight="1" x14ac:dyDescent="0.25">
      <c r="A381" s="202"/>
      <c r="C381" s="154"/>
      <c r="F381" s="252"/>
      <c r="H381" s="252"/>
      <c r="I381" s="252"/>
      <c r="J381" s="320"/>
      <c r="K381" s="320"/>
      <c r="L381" s="200"/>
      <c r="M381" s="200"/>
      <c r="N381" s="210"/>
      <c r="O381" s="210"/>
      <c r="P381" s="252"/>
      <c r="Q381" s="252"/>
      <c r="R381" s="200"/>
      <c r="T381" s="152"/>
      <c r="U381" s="152"/>
      <c r="V381" s="152"/>
      <c r="W381" s="152"/>
      <c r="X381" s="152"/>
      <c r="Y381" s="152"/>
      <c r="Z381" s="152"/>
      <c r="AA381" s="152"/>
      <c r="AB381" s="152"/>
      <c r="AC381" s="152"/>
      <c r="AD381" s="152"/>
      <c r="AE381" s="193" t="s">
        <v>8</v>
      </c>
      <c r="AF381" s="193"/>
      <c r="AG381" s="194" t="s">
        <v>7</v>
      </c>
      <c r="AH381" s="193"/>
      <c r="AI381" s="193" t="s">
        <v>9</v>
      </c>
      <c r="AJ381" s="193"/>
      <c r="AK381" s="194" t="s">
        <v>10</v>
      </c>
      <c r="AL381" s="193"/>
      <c r="AM381" s="152"/>
      <c r="AN381" s="152"/>
      <c r="AO381" s="193" t="s">
        <v>8</v>
      </c>
      <c r="AP381" s="193"/>
      <c r="AQ381" s="194" t="s">
        <v>11</v>
      </c>
      <c r="AS381" s="109"/>
    </row>
    <row r="382" spans="1:51" x14ac:dyDescent="0.25">
      <c r="A382" s="202"/>
      <c r="C382" s="154"/>
      <c r="F382" s="252"/>
      <c r="H382" s="252"/>
      <c r="I382" s="252"/>
      <c r="J382" s="320"/>
      <c r="K382" s="320"/>
      <c r="L382" s="200"/>
      <c r="M382" s="200"/>
      <c r="N382" s="210"/>
      <c r="O382" s="210"/>
      <c r="P382" s="252"/>
      <c r="Q382" s="252"/>
      <c r="R382" s="200"/>
      <c r="T382" s="80"/>
      <c r="U382" s="80"/>
      <c r="V382" s="80"/>
      <c r="W382" s="80"/>
      <c r="X382" s="80"/>
      <c r="Y382" s="80"/>
      <c r="Z382" s="80"/>
      <c r="AA382" s="80"/>
      <c r="AB382" s="80"/>
      <c r="AC382" s="83" t="s">
        <v>14</v>
      </c>
      <c r="AD382" s="83"/>
      <c r="AE382" s="83" t="s">
        <v>12</v>
      </c>
      <c r="AF382" s="83"/>
      <c r="AG382" s="195" t="s">
        <v>13</v>
      </c>
      <c r="AH382" s="83"/>
      <c r="AI382" s="83" t="s">
        <v>15</v>
      </c>
      <c r="AJ382" s="83"/>
      <c r="AK382" s="195" t="s">
        <v>16</v>
      </c>
      <c r="AL382" s="83"/>
      <c r="AM382" s="80"/>
      <c r="AN382" s="80"/>
      <c r="AO382" s="83" t="s">
        <v>11</v>
      </c>
      <c r="AP382" s="83"/>
      <c r="AQ382" s="195" t="s">
        <v>9</v>
      </c>
      <c r="AS382" s="109"/>
      <c r="AT382" s="104" t="s">
        <v>521</v>
      </c>
    </row>
    <row r="383" spans="1:51" x14ac:dyDescent="0.25">
      <c r="A383" s="202"/>
      <c r="C383" s="154"/>
      <c r="F383" s="252"/>
      <c r="H383" s="252"/>
      <c r="I383" s="252"/>
      <c r="J383" s="320"/>
      <c r="K383" s="320"/>
      <c r="L383" s="200"/>
      <c r="M383" s="200"/>
      <c r="N383" s="210"/>
      <c r="O383" s="210"/>
      <c r="P383" s="252"/>
      <c r="Q383" s="252"/>
      <c r="R383" s="200"/>
      <c r="T383" s="83" t="s">
        <v>17</v>
      </c>
      <c r="U383" s="80"/>
      <c r="V383" s="83" t="s">
        <v>18</v>
      </c>
      <c r="W383" s="83" t="s">
        <v>19</v>
      </c>
      <c r="X383" s="83"/>
      <c r="Y383" s="83" t="s">
        <v>20</v>
      </c>
      <c r="Z383" s="80"/>
      <c r="AA383" s="80"/>
      <c r="AB383" s="80"/>
      <c r="AC383" s="83" t="s">
        <v>8</v>
      </c>
      <c r="AD383" s="83"/>
      <c r="AE383" s="83" t="s">
        <v>21</v>
      </c>
      <c r="AF383" s="83"/>
      <c r="AG383" s="195" t="s">
        <v>21</v>
      </c>
      <c r="AH383" s="83"/>
      <c r="AI383" s="83" t="s">
        <v>22</v>
      </c>
      <c r="AJ383" s="83"/>
      <c r="AK383" s="195" t="s">
        <v>22</v>
      </c>
      <c r="AL383" s="83"/>
      <c r="AM383" s="83" t="s">
        <v>21</v>
      </c>
      <c r="AN383" s="83"/>
      <c r="AO383" s="83" t="s">
        <v>9</v>
      </c>
      <c r="AP383" s="83"/>
      <c r="AQ383" s="195" t="s">
        <v>23</v>
      </c>
      <c r="AS383" s="109"/>
      <c r="AT383" s="104" t="s">
        <v>522</v>
      </c>
    </row>
    <row r="384" spans="1:51" x14ac:dyDescent="0.25">
      <c r="A384" s="202"/>
      <c r="C384" s="154"/>
      <c r="F384" s="252"/>
      <c r="H384" s="252"/>
      <c r="I384" s="252"/>
      <c r="J384" s="320"/>
      <c r="K384" s="320"/>
      <c r="L384" s="200"/>
      <c r="M384" s="200"/>
      <c r="N384" s="210"/>
      <c r="O384" s="210"/>
      <c r="P384" s="252"/>
      <c r="Q384" s="252"/>
      <c r="R384" s="200"/>
      <c r="T384" s="83" t="s">
        <v>24</v>
      </c>
      <c r="U384" s="80"/>
      <c r="V384" s="83" t="s">
        <v>25</v>
      </c>
      <c r="W384" s="83" t="s">
        <v>26</v>
      </c>
      <c r="X384" s="83"/>
      <c r="Y384" s="83" t="s">
        <v>27</v>
      </c>
      <c r="Z384" s="80"/>
      <c r="AA384" s="83" t="s">
        <v>28</v>
      </c>
      <c r="AB384" s="83"/>
      <c r="AC384" s="196" t="s">
        <v>432</v>
      </c>
      <c r="AD384" s="83"/>
      <c r="AE384" s="83" t="s">
        <v>9</v>
      </c>
      <c r="AF384" s="83"/>
      <c r="AG384" s="195" t="s">
        <v>9</v>
      </c>
      <c r="AH384" s="83"/>
      <c r="AI384" s="256" t="s">
        <v>31</v>
      </c>
      <c r="AJ384" s="256"/>
      <c r="AK384" s="257" t="s">
        <v>32</v>
      </c>
      <c r="AL384" s="83"/>
      <c r="AM384" s="83" t="s">
        <v>430</v>
      </c>
      <c r="AN384" s="83"/>
      <c r="AO384" s="256" t="s">
        <v>33</v>
      </c>
      <c r="AP384" s="256"/>
      <c r="AQ384" s="257" t="s">
        <v>34</v>
      </c>
      <c r="AS384" s="109"/>
      <c r="AT384" s="104" t="s">
        <v>523</v>
      </c>
      <c r="AW384" s="103"/>
      <c r="AX384" s="101" t="s">
        <v>404</v>
      </c>
      <c r="AY384" s="101" t="s">
        <v>405</v>
      </c>
    </row>
    <row r="385" spans="1:51" x14ac:dyDescent="0.25">
      <c r="A385" s="202"/>
      <c r="C385" s="154"/>
      <c r="F385" s="252"/>
      <c r="H385" s="252"/>
      <c r="I385" s="252"/>
      <c r="J385" s="320"/>
      <c r="K385" s="320"/>
      <c r="L385" s="200"/>
      <c r="M385" s="200"/>
      <c r="N385" s="210"/>
      <c r="O385" s="210"/>
      <c r="P385" s="252"/>
      <c r="Q385" s="252"/>
      <c r="R385" s="200"/>
      <c r="T385" s="80"/>
      <c r="U385" s="80"/>
      <c r="V385" s="256" t="s">
        <v>35</v>
      </c>
      <c r="W385" s="256" t="s">
        <v>36</v>
      </c>
      <c r="X385" s="256"/>
      <c r="Y385" s="256" t="s">
        <v>37</v>
      </c>
      <c r="Z385" s="258"/>
      <c r="AA385" s="256" t="s">
        <v>38</v>
      </c>
      <c r="AB385" s="256"/>
      <c r="AC385" s="256" t="s">
        <v>44</v>
      </c>
      <c r="AD385" s="256"/>
      <c r="AE385" s="256" t="s">
        <v>45</v>
      </c>
      <c r="AF385" s="256"/>
      <c r="AG385" s="257" t="s">
        <v>46</v>
      </c>
      <c r="AH385" s="256"/>
      <c r="AI385" s="256" t="s">
        <v>47</v>
      </c>
      <c r="AJ385" s="256"/>
      <c r="AK385" s="257" t="s">
        <v>48</v>
      </c>
      <c r="AL385" s="256"/>
      <c r="AM385" s="256" t="s">
        <v>42</v>
      </c>
      <c r="AN385" s="256"/>
      <c r="AO385" s="256" t="s">
        <v>49</v>
      </c>
      <c r="AP385" s="256"/>
      <c r="AQ385" s="257" t="s">
        <v>50</v>
      </c>
      <c r="AS385" s="109"/>
      <c r="AW385" s="101" t="s">
        <v>403</v>
      </c>
      <c r="AX385" s="101" t="s">
        <v>402</v>
      </c>
      <c r="AY385" s="101" t="s">
        <v>402</v>
      </c>
    </row>
    <row r="386" spans="1:51" ht="17.100000000000001" customHeight="1" x14ac:dyDescent="0.25">
      <c r="A386" s="202"/>
      <c r="C386" s="154"/>
      <c r="F386" s="252"/>
      <c r="H386" s="252"/>
      <c r="I386" s="252"/>
      <c r="J386" s="320"/>
      <c r="K386" s="320"/>
      <c r="L386" s="200"/>
      <c r="M386" s="200"/>
      <c r="N386" s="210"/>
      <c r="O386" s="210"/>
      <c r="P386" s="252"/>
      <c r="Q386" s="252"/>
      <c r="R386" s="200"/>
      <c r="T386" s="152"/>
      <c r="U386" s="152"/>
      <c r="V386" s="152"/>
      <c r="W386" s="152"/>
      <c r="X386" s="152"/>
      <c r="Y386" s="152"/>
      <c r="Z386" s="152"/>
      <c r="AA386" s="376" t="s">
        <v>51</v>
      </c>
      <c r="AB386" s="376"/>
      <c r="AC386" s="375" t="s">
        <v>71</v>
      </c>
      <c r="AD386" s="376"/>
      <c r="AE386" s="376" t="s">
        <v>52</v>
      </c>
      <c r="AF386" s="376"/>
      <c r="AG386" s="381" t="s">
        <v>53</v>
      </c>
      <c r="AH386" s="376"/>
      <c r="AI386" s="376" t="s">
        <v>52</v>
      </c>
      <c r="AJ386" s="376"/>
      <c r="AK386" s="381" t="s">
        <v>53</v>
      </c>
      <c r="AL386" s="376"/>
      <c r="AM386" s="376" t="s">
        <v>52</v>
      </c>
      <c r="AN386" s="376"/>
      <c r="AO386" s="376" t="s">
        <v>52</v>
      </c>
      <c r="AP386" s="376"/>
      <c r="AQ386" s="381" t="s">
        <v>53</v>
      </c>
      <c r="AS386" s="109"/>
      <c r="AW386" s="103"/>
    </row>
    <row r="387" spans="1:51" x14ac:dyDescent="0.25">
      <c r="A387" s="202"/>
      <c r="C387" s="154"/>
      <c r="F387" s="252"/>
      <c r="H387" s="252"/>
      <c r="I387" s="252"/>
      <c r="J387" s="320"/>
      <c r="K387" s="320"/>
      <c r="L387" s="200"/>
      <c r="M387" s="200"/>
      <c r="N387" s="210"/>
      <c r="O387" s="210"/>
      <c r="P387" s="252"/>
      <c r="Q387" s="252"/>
      <c r="R387" s="200"/>
      <c r="T387" s="425">
        <v>97</v>
      </c>
      <c r="U387" s="80"/>
      <c r="V387" s="253" t="s">
        <v>81</v>
      </c>
      <c r="W387" s="265" t="s">
        <v>346</v>
      </c>
      <c r="X387" s="82"/>
      <c r="Y387" s="70"/>
      <c r="Z387" s="70"/>
      <c r="AA387" s="70"/>
      <c r="AB387" s="70"/>
      <c r="AC387" s="70"/>
      <c r="AD387" s="70"/>
      <c r="AE387" s="70"/>
      <c r="AF387" s="70"/>
      <c r="AG387" s="164"/>
      <c r="AH387" s="70"/>
      <c r="AI387" s="70"/>
      <c r="AJ387" s="70"/>
      <c r="AK387" s="164"/>
      <c r="AL387" s="70"/>
      <c r="AM387" s="70"/>
      <c r="AN387" s="70"/>
      <c r="AO387" s="70"/>
      <c r="AP387" s="70"/>
      <c r="AQ387" s="165"/>
      <c r="AS387" s="109"/>
      <c r="AW387" s="70"/>
    </row>
    <row r="388" spans="1:51" x14ac:dyDescent="0.25">
      <c r="A388" s="202"/>
      <c r="C388" s="154"/>
      <c r="F388" s="252"/>
      <c r="H388" s="252"/>
      <c r="I388" s="252"/>
      <c r="J388" s="320"/>
      <c r="K388" s="320"/>
      <c r="L388" s="200"/>
      <c r="M388" s="200"/>
      <c r="N388" s="210"/>
      <c r="O388" s="210"/>
      <c r="P388" s="252"/>
      <c r="Q388" s="252"/>
      <c r="R388" s="200"/>
      <c r="T388" s="425">
        <v>98</v>
      </c>
      <c r="U388" s="80"/>
      <c r="V388" s="253" t="s">
        <v>524</v>
      </c>
      <c r="W388" s="258"/>
      <c r="X388" s="80"/>
      <c r="Y388" s="70"/>
      <c r="Z388" s="70"/>
      <c r="AA388" s="70"/>
      <c r="AB388" s="70"/>
      <c r="AC388" s="162"/>
      <c r="AD388" s="352"/>
      <c r="AE388" s="79"/>
      <c r="AF388" s="79"/>
      <c r="AG388" s="155"/>
      <c r="AH388" s="156"/>
      <c r="AI388" s="79"/>
      <c r="AJ388" s="79"/>
      <c r="AK388" s="157"/>
      <c r="AL388" s="158"/>
      <c r="AM388" s="79"/>
      <c r="AN388" s="79"/>
      <c r="AO388" s="79"/>
      <c r="AP388" s="79"/>
      <c r="AQ388" s="157"/>
      <c r="AS388" s="109"/>
      <c r="AW388" s="70"/>
    </row>
    <row r="389" spans="1:51" x14ac:dyDescent="0.25">
      <c r="A389" s="202"/>
      <c r="C389" s="154"/>
      <c r="F389" s="252"/>
      <c r="H389" s="252"/>
      <c r="I389" s="252"/>
      <c r="J389" s="320"/>
      <c r="K389" s="320"/>
      <c r="L389" s="200"/>
      <c r="M389" s="200"/>
      <c r="N389" s="210"/>
      <c r="O389" s="210"/>
      <c r="P389" s="252"/>
      <c r="Q389" s="252"/>
      <c r="R389" s="200"/>
      <c r="T389" s="425">
        <v>99</v>
      </c>
      <c r="U389" s="80"/>
      <c r="V389" s="253" t="s">
        <v>375</v>
      </c>
      <c r="W389" s="80"/>
      <c r="X389" s="80"/>
      <c r="Y389" s="78"/>
      <c r="Z389" s="70"/>
      <c r="AA389" s="78"/>
      <c r="AB389" s="78"/>
      <c r="AC389" s="352"/>
      <c r="AD389" s="352"/>
      <c r="AE389" s="79"/>
      <c r="AF389" s="79"/>
      <c r="AG389" s="155"/>
      <c r="AH389" s="156"/>
      <c r="AI389" s="79"/>
      <c r="AJ389" s="79"/>
      <c r="AK389" s="157"/>
      <c r="AL389" s="158"/>
      <c r="AM389" s="161"/>
      <c r="AN389" s="79"/>
      <c r="AO389" s="79"/>
      <c r="AP389" s="79"/>
      <c r="AQ389" s="157"/>
      <c r="AS389" s="109"/>
      <c r="AW389" s="229"/>
    </row>
    <row r="390" spans="1:51" x14ac:dyDescent="0.25">
      <c r="A390" s="202"/>
      <c r="C390" s="154"/>
      <c r="F390" s="252"/>
      <c r="H390" s="252"/>
      <c r="I390" s="252"/>
      <c r="J390" s="320"/>
      <c r="K390" s="320"/>
      <c r="L390" s="200"/>
      <c r="M390" s="200"/>
      <c r="N390" s="210"/>
      <c r="O390" s="210"/>
      <c r="P390" s="252"/>
      <c r="Q390" s="252"/>
      <c r="R390" s="200"/>
      <c r="T390" s="425">
        <v>100</v>
      </c>
      <c r="U390" s="147"/>
      <c r="V390" s="148" t="str">
        <f>C168</f>
        <v xml:space="preserve"> 14,000 LUMEN TRADITIONAIRE</v>
      </c>
      <c r="W390" s="147"/>
      <c r="X390" s="80"/>
      <c r="Y390" s="78">
        <f t="shared" ref="Y390:Y398" si="181">F168</f>
        <v>0</v>
      </c>
      <c r="Z390" s="70"/>
      <c r="AA390" s="78">
        <f t="shared" ref="AA390:AA398" si="182">H168</f>
        <v>0</v>
      </c>
      <c r="AB390" s="78"/>
      <c r="AC390" s="349">
        <v>7.48</v>
      </c>
      <c r="AD390" s="352"/>
      <c r="AE390" s="79">
        <f t="shared" ref="AE390:AE398" si="183">ROUND((Y390*AC390),0)</f>
        <v>0</v>
      </c>
      <c r="AF390" s="79"/>
      <c r="AG390" s="155">
        <f t="shared" ref="AG390:AG398" si="184">ROUND((AE390/AE$433)*100,1)</f>
        <v>0</v>
      </c>
      <c r="AH390" s="156"/>
      <c r="AI390" s="79">
        <f t="shared" ref="AI390:AI398" si="185">L168-AE390</f>
        <v>0</v>
      </c>
      <c r="AJ390" s="79"/>
      <c r="AK390" s="157" t="str">
        <f t="shared" ref="AK390:AK398" si="186">IF(AE390=0,"0.0 ",ROUND((AI390/AE390)*100,1))</f>
        <v xml:space="preserve">0.0 </v>
      </c>
      <c r="AL390" s="158"/>
      <c r="AM390" s="79">
        <f t="shared" ref="AM390:AM398" si="187">ROUND($AM$433/$AA$433*AA390,0)</f>
        <v>0</v>
      </c>
      <c r="AN390" s="79"/>
      <c r="AO390" s="79">
        <f t="shared" ref="AO390:AO398" si="188">AE390+AM390</f>
        <v>0</v>
      </c>
      <c r="AP390" s="79"/>
      <c r="AQ390" s="157" t="str">
        <f t="shared" ref="AQ390:AQ398" si="189">IF(AO390=0,"0.0 ",ROUND((AI390/AO390)*100,1))</f>
        <v xml:space="preserve">0.0 </v>
      </c>
      <c r="AS390" s="109"/>
      <c r="AT390" s="394">
        <f>AC390-AX390</f>
        <v>5.7900000000000009</v>
      </c>
      <c r="AW390" s="225">
        <v>853</v>
      </c>
      <c r="AX390" s="101">
        <f>ROUND((AW390/12)*CUR_BASE_FUEL,2)</f>
        <v>1.69</v>
      </c>
      <c r="AY390" s="101">
        <f>ROUND((AW390/12)*PRO_BASE_FUEL,2)</f>
        <v>1.69</v>
      </c>
    </row>
    <row r="391" spans="1:51" x14ac:dyDescent="0.25">
      <c r="A391" s="202"/>
      <c r="C391" s="154"/>
      <c r="F391" s="252"/>
      <c r="H391" s="252"/>
      <c r="I391" s="252"/>
      <c r="J391" s="320"/>
      <c r="K391" s="320"/>
      <c r="L391" s="200"/>
      <c r="M391" s="200"/>
      <c r="N391" s="210"/>
      <c r="O391" s="210"/>
      <c r="P391" s="252"/>
      <c r="Q391" s="252"/>
      <c r="R391" s="200"/>
      <c r="T391" s="425">
        <v>101</v>
      </c>
      <c r="U391" s="147"/>
      <c r="V391" s="148" t="str">
        <f t="shared" ref="V391:V398" si="190">C169</f>
        <v xml:space="preserve"> 14,000 LUMEN TRADITIONAIRE (7)</v>
      </c>
      <c r="W391" s="147"/>
      <c r="X391" s="80"/>
      <c r="Y391" s="78">
        <f t="shared" si="181"/>
        <v>60</v>
      </c>
      <c r="Z391" s="70"/>
      <c r="AA391" s="78">
        <f t="shared" si="182"/>
        <v>4265</v>
      </c>
      <c r="AB391" s="78"/>
      <c r="AC391" s="349">
        <f>$AC$390+$AC$9</f>
        <v>19.450000000000003</v>
      </c>
      <c r="AD391" s="352"/>
      <c r="AE391" s="79">
        <f t="shared" si="183"/>
        <v>1167</v>
      </c>
      <c r="AF391" s="79"/>
      <c r="AG391" s="155">
        <f t="shared" si="184"/>
        <v>0.1</v>
      </c>
      <c r="AH391" s="156"/>
      <c r="AI391" s="79">
        <f t="shared" si="185"/>
        <v>139</v>
      </c>
      <c r="AJ391" s="79"/>
      <c r="AK391" s="157">
        <f t="shared" si="186"/>
        <v>11.9</v>
      </c>
      <c r="AL391" s="158"/>
      <c r="AM391" s="79">
        <f t="shared" si="187"/>
        <v>4</v>
      </c>
      <c r="AN391" s="79"/>
      <c r="AO391" s="79">
        <f t="shared" si="188"/>
        <v>1171</v>
      </c>
      <c r="AP391" s="79"/>
      <c r="AQ391" s="157">
        <f t="shared" si="189"/>
        <v>11.9</v>
      </c>
      <c r="AS391" s="109"/>
      <c r="AT391" s="394"/>
      <c r="AW391" s="225"/>
    </row>
    <row r="392" spans="1:51" x14ac:dyDescent="0.25">
      <c r="A392" s="202"/>
      <c r="C392" s="154"/>
      <c r="F392" s="252"/>
      <c r="H392" s="252"/>
      <c r="I392" s="252"/>
      <c r="J392" s="320"/>
      <c r="K392" s="320"/>
      <c r="L392" s="200"/>
      <c r="M392" s="200"/>
      <c r="N392" s="210"/>
      <c r="O392" s="210"/>
      <c r="P392" s="252"/>
      <c r="Q392" s="252"/>
      <c r="R392" s="200"/>
      <c r="T392" s="425">
        <v>102</v>
      </c>
      <c r="U392" s="147"/>
      <c r="V392" s="148" t="str">
        <f t="shared" si="190"/>
        <v xml:space="preserve"> 14,000 LUMEN TRADITIONAIRE (10)</v>
      </c>
      <c r="W392" s="147"/>
      <c r="X392" s="80"/>
      <c r="Y392" s="78">
        <f t="shared" si="181"/>
        <v>468</v>
      </c>
      <c r="Z392" s="70"/>
      <c r="AA392" s="78">
        <f t="shared" si="182"/>
        <v>33267</v>
      </c>
      <c r="AB392" s="78"/>
      <c r="AC392" s="349">
        <f>AC390+$AC$13</f>
        <v>11.88</v>
      </c>
      <c r="AD392" s="352"/>
      <c r="AE392" s="79">
        <f t="shared" si="183"/>
        <v>5560</v>
      </c>
      <c r="AF392" s="79"/>
      <c r="AG392" s="155">
        <f t="shared" si="184"/>
        <v>0.4</v>
      </c>
      <c r="AH392" s="156"/>
      <c r="AI392" s="79">
        <f t="shared" si="185"/>
        <v>660</v>
      </c>
      <c r="AJ392" s="79"/>
      <c r="AK392" s="157">
        <f t="shared" si="186"/>
        <v>11.9</v>
      </c>
      <c r="AL392" s="158"/>
      <c r="AM392" s="79">
        <f t="shared" si="187"/>
        <v>34</v>
      </c>
      <c r="AN392" s="79"/>
      <c r="AO392" s="79">
        <f t="shared" si="188"/>
        <v>5594</v>
      </c>
      <c r="AP392" s="79"/>
      <c r="AQ392" s="157">
        <f t="shared" si="189"/>
        <v>11.8</v>
      </c>
      <c r="AS392" s="109"/>
      <c r="AT392" s="394"/>
      <c r="AW392" s="225"/>
    </row>
    <row r="393" spans="1:51" x14ac:dyDescent="0.25">
      <c r="A393" s="202"/>
      <c r="C393" s="154"/>
      <c r="F393" s="252"/>
      <c r="H393" s="252"/>
      <c r="I393" s="252"/>
      <c r="J393" s="320"/>
      <c r="K393" s="320"/>
      <c r="L393" s="200"/>
      <c r="M393" s="200"/>
      <c r="N393" s="210"/>
      <c r="O393" s="210"/>
      <c r="P393" s="252"/>
      <c r="Q393" s="252"/>
      <c r="R393" s="200"/>
      <c r="T393" s="425">
        <v>103</v>
      </c>
      <c r="U393" s="147"/>
      <c r="V393" s="148" t="str">
        <f t="shared" si="190"/>
        <v xml:space="preserve"> 14,000 LUMEN GRANVILLE</v>
      </c>
      <c r="W393" s="147"/>
      <c r="X393" s="80"/>
      <c r="Y393" s="78">
        <f t="shared" si="181"/>
        <v>0</v>
      </c>
      <c r="Z393" s="70"/>
      <c r="AA393" s="78">
        <f t="shared" si="182"/>
        <v>0</v>
      </c>
      <c r="AB393" s="78"/>
      <c r="AC393" s="349">
        <v>13.61</v>
      </c>
      <c r="AD393" s="352"/>
      <c r="AE393" s="79">
        <f t="shared" si="183"/>
        <v>0</v>
      </c>
      <c r="AF393" s="79"/>
      <c r="AG393" s="155">
        <f t="shared" si="184"/>
        <v>0</v>
      </c>
      <c r="AH393" s="156"/>
      <c r="AI393" s="79">
        <f t="shared" si="185"/>
        <v>0</v>
      </c>
      <c r="AJ393" s="79"/>
      <c r="AK393" s="157" t="str">
        <f t="shared" si="186"/>
        <v xml:space="preserve">0.0 </v>
      </c>
      <c r="AL393" s="158"/>
      <c r="AM393" s="79">
        <f t="shared" si="187"/>
        <v>0</v>
      </c>
      <c r="AN393" s="79"/>
      <c r="AO393" s="79">
        <f t="shared" si="188"/>
        <v>0</v>
      </c>
      <c r="AP393" s="79"/>
      <c r="AQ393" s="157" t="str">
        <f t="shared" si="189"/>
        <v xml:space="preserve">0.0 </v>
      </c>
      <c r="AS393" s="109"/>
      <c r="AT393" s="394">
        <f>AC393-AX393</f>
        <v>11.87</v>
      </c>
      <c r="AW393" s="225">
        <v>874</v>
      </c>
      <c r="AX393" s="101">
        <f>ROUND((AW393/12)*CUR_BASE_FUEL,2)</f>
        <v>1.74</v>
      </c>
      <c r="AY393" s="101">
        <f>ROUND((AW393/12)*PRO_BASE_FUEL,2)</f>
        <v>1.74</v>
      </c>
    </row>
    <row r="394" spans="1:51" x14ac:dyDescent="0.25">
      <c r="A394" s="202"/>
      <c r="C394" s="154"/>
      <c r="F394" s="252"/>
      <c r="H394" s="252"/>
      <c r="I394" s="252"/>
      <c r="J394" s="320"/>
      <c r="K394" s="320"/>
      <c r="L394" s="200"/>
      <c r="M394" s="200"/>
      <c r="N394" s="210"/>
      <c r="O394" s="210"/>
      <c r="P394" s="252"/>
      <c r="Q394" s="252"/>
      <c r="R394" s="200"/>
      <c r="T394" s="425">
        <v>104</v>
      </c>
      <c r="U394" s="147"/>
      <c r="V394" s="148" t="str">
        <f t="shared" si="190"/>
        <v xml:space="preserve"> 14,000 LUMEN GRANVILLE (11)</v>
      </c>
      <c r="W394" s="147"/>
      <c r="X394" s="80"/>
      <c r="Y394" s="78">
        <f t="shared" si="181"/>
        <v>0</v>
      </c>
      <c r="Z394" s="70"/>
      <c r="AA394" s="78">
        <f t="shared" si="182"/>
        <v>0</v>
      </c>
      <c r="AB394" s="78"/>
      <c r="AC394" s="349">
        <f>$AC$393+$AC$14</f>
        <v>26.479999999999997</v>
      </c>
      <c r="AD394" s="352"/>
      <c r="AE394" s="79">
        <f t="shared" si="183"/>
        <v>0</v>
      </c>
      <c r="AF394" s="79"/>
      <c r="AG394" s="155">
        <f t="shared" si="184"/>
        <v>0</v>
      </c>
      <c r="AH394" s="156"/>
      <c r="AI394" s="79">
        <f t="shared" si="185"/>
        <v>0</v>
      </c>
      <c r="AJ394" s="79"/>
      <c r="AK394" s="157" t="str">
        <f t="shared" si="186"/>
        <v xml:space="preserve">0.0 </v>
      </c>
      <c r="AL394" s="158"/>
      <c r="AM394" s="79">
        <f t="shared" si="187"/>
        <v>0</v>
      </c>
      <c r="AN394" s="79"/>
      <c r="AO394" s="79">
        <f t="shared" si="188"/>
        <v>0</v>
      </c>
      <c r="AP394" s="79"/>
      <c r="AQ394" s="157" t="str">
        <f t="shared" si="189"/>
        <v xml:space="preserve">0.0 </v>
      </c>
      <c r="AS394" s="109"/>
      <c r="AT394" s="394"/>
      <c r="AW394" s="225"/>
    </row>
    <row r="395" spans="1:51" x14ac:dyDescent="0.25">
      <c r="A395" s="202"/>
      <c r="C395" s="154"/>
      <c r="F395" s="252"/>
      <c r="H395" s="252"/>
      <c r="I395" s="252"/>
      <c r="J395" s="320"/>
      <c r="K395" s="320"/>
      <c r="L395" s="200"/>
      <c r="M395" s="200"/>
      <c r="N395" s="210"/>
      <c r="O395" s="210"/>
      <c r="P395" s="252"/>
      <c r="Q395" s="252"/>
      <c r="R395" s="200"/>
      <c r="T395" s="425">
        <v>105</v>
      </c>
      <c r="U395" s="147"/>
      <c r="V395" s="148" t="str">
        <f t="shared" si="190"/>
        <v xml:space="preserve"> 14,000 LUMEN GAS REPLICA</v>
      </c>
      <c r="W395" s="147"/>
      <c r="X395" s="80"/>
      <c r="Y395" s="78">
        <f t="shared" si="181"/>
        <v>0</v>
      </c>
      <c r="Z395" s="70"/>
      <c r="AA395" s="78">
        <f t="shared" si="182"/>
        <v>0</v>
      </c>
      <c r="AB395" s="78"/>
      <c r="AC395" s="349">
        <v>21.57</v>
      </c>
      <c r="AD395" s="352"/>
      <c r="AE395" s="79">
        <f t="shared" si="183"/>
        <v>0</v>
      </c>
      <c r="AF395" s="79"/>
      <c r="AG395" s="155">
        <f t="shared" si="184"/>
        <v>0</v>
      </c>
      <c r="AH395" s="156"/>
      <c r="AI395" s="79">
        <f t="shared" si="185"/>
        <v>0</v>
      </c>
      <c r="AJ395" s="79"/>
      <c r="AK395" s="157" t="str">
        <f t="shared" si="186"/>
        <v xml:space="preserve">0.0 </v>
      </c>
      <c r="AL395" s="158"/>
      <c r="AM395" s="79">
        <f t="shared" si="187"/>
        <v>0</v>
      </c>
      <c r="AN395" s="79"/>
      <c r="AO395" s="79">
        <f t="shared" si="188"/>
        <v>0</v>
      </c>
      <c r="AP395" s="79"/>
      <c r="AQ395" s="157" t="str">
        <f t="shared" si="189"/>
        <v xml:space="preserve">0.0 </v>
      </c>
      <c r="AS395" s="109"/>
      <c r="AT395" s="394">
        <f>AC395-AX395</f>
        <v>19.830000000000002</v>
      </c>
      <c r="AW395" s="225">
        <v>874</v>
      </c>
      <c r="AX395" s="101">
        <f>ROUND((AW395/12)*CUR_BASE_FUEL,2)</f>
        <v>1.74</v>
      </c>
      <c r="AY395" s="101">
        <f>ROUND((AW395/12)*PRO_BASE_FUEL,2)</f>
        <v>1.74</v>
      </c>
    </row>
    <row r="396" spans="1:51" x14ac:dyDescent="0.25">
      <c r="A396" s="202"/>
      <c r="C396" s="154"/>
      <c r="F396" s="252"/>
      <c r="H396" s="252"/>
      <c r="I396" s="252"/>
      <c r="J396" s="320"/>
      <c r="K396" s="320"/>
      <c r="L396" s="200"/>
      <c r="M396" s="200"/>
      <c r="N396" s="210"/>
      <c r="O396" s="210"/>
      <c r="P396" s="252"/>
      <c r="Q396" s="252"/>
      <c r="R396" s="200"/>
      <c r="T396" s="425">
        <v>106</v>
      </c>
      <c r="U396" s="147"/>
      <c r="V396" s="148" t="str">
        <f t="shared" si="190"/>
        <v xml:space="preserve"> 14,500 LUMEN GAS REPLICA </v>
      </c>
      <c r="W396" s="147"/>
      <c r="X396" s="80"/>
      <c r="Y396" s="78">
        <f t="shared" si="181"/>
        <v>0</v>
      </c>
      <c r="Z396" s="70"/>
      <c r="AA396" s="78">
        <f t="shared" si="182"/>
        <v>0</v>
      </c>
      <c r="AB396" s="78"/>
      <c r="AC396" s="349">
        <v>21.57</v>
      </c>
      <c r="AD396" s="352"/>
      <c r="AE396" s="79">
        <f t="shared" si="183"/>
        <v>0</v>
      </c>
      <c r="AF396" s="79"/>
      <c r="AG396" s="155">
        <f t="shared" si="184"/>
        <v>0</v>
      </c>
      <c r="AH396" s="156"/>
      <c r="AI396" s="79">
        <f t="shared" si="185"/>
        <v>0</v>
      </c>
      <c r="AJ396" s="79"/>
      <c r="AK396" s="157" t="str">
        <f t="shared" si="186"/>
        <v xml:space="preserve">0.0 </v>
      </c>
      <c r="AL396" s="158"/>
      <c r="AM396" s="79">
        <f t="shared" si="187"/>
        <v>0</v>
      </c>
      <c r="AN396" s="79"/>
      <c r="AO396" s="79">
        <f t="shared" si="188"/>
        <v>0</v>
      </c>
      <c r="AP396" s="79"/>
      <c r="AQ396" s="157" t="str">
        <f t="shared" si="189"/>
        <v xml:space="preserve">0.0 </v>
      </c>
      <c r="AS396" s="109"/>
      <c r="AT396" s="394"/>
      <c r="AW396" s="225"/>
    </row>
    <row r="397" spans="1:51" x14ac:dyDescent="0.25">
      <c r="A397" s="202"/>
      <c r="C397" s="154"/>
      <c r="F397" s="252"/>
      <c r="H397" s="252"/>
      <c r="I397" s="252"/>
      <c r="J397" s="320"/>
      <c r="K397" s="320"/>
      <c r="L397" s="200"/>
      <c r="M397" s="200"/>
      <c r="N397" s="210"/>
      <c r="O397" s="210"/>
      <c r="P397" s="252"/>
      <c r="Q397" s="252"/>
      <c r="R397" s="200"/>
      <c r="T397" s="425">
        <v>107</v>
      </c>
      <c r="U397" s="147"/>
      <c r="V397" s="148" t="str">
        <f t="shared" si="190"/>
        <v xml:space="preserve"> 14,500 LUMEN GAS REPLICA (7)</v>
      </c>
      <c r="W397" s="147"/>
      <c r="X397" s="80"/>
      <c r="Y397" s="78">
        <f t="shared" si="181"/>
        <v>240</v>
      </c>
      <c r="Z397" s="70"/>
      <c r="AA397" s="78">
        <f t="shared" si="182"/>
        <v>17480</v>
      </c>
      <c r="AB397" s="78"/>
      <c r="AC397" s="349">
        <f>$AC$396+$AC$9</f>
        <v>33.54</v>
      </c>
      <c r="AD397" s="352"/>
      <c r="AE397" s="79">
        <f t="shared" si="183"/>
        <v>8050</v>
      </c>
      <c r="AF397" s="79"/>
      <c r="AG397" s="155">
        <f t="shared" si="184"/>
        <v>0.6</v>
      </c>
      <c r="AH397" s="156"/>
      <c r="AI397" s="79">
        <f t="shared" si="185"/>
        <v>955</v>
      </c>
      <c r="AJ397" s="79"/>
      <c r="AK397" s="157">
        <f t="shared" si="186"/>
        <v>11.9</v>
      </c>
      <c r="AL397" s="158"/>
      <c r="AM397" s="79">
        <f t="shared" si="187"/>
        <v>18</v>
      </c>
      <c r="AN397" s="79"/>
      <c r="AO397" s="79">
        <f t="shared" si="188"/>
        <v>8068</v>
      </c>
      <c r="AP397" s="79"/>
      <c r="AQ397" s="157">
        <f t="shared" si="189"/>
        <v>11.8</v>
      </c>
      <c r="AS397" s="109"/>
      <c r="AT397" s="394"/>
      <c r="AW397" s="78"/>
      <c r="AX397" s="85"/>
      <c r="AY397" s="85"/>
    </row>
    <row r="398" spans="1:51" x14ac:dyDescent="0.25">
      <c r="A398" s="202"/>
      <c r="C398" s="154"/>
      <c r="F398" s="252"/>
      <c r="H398" s="252"/>
      <c r="I398" s="252"/>
      <c r="J398" s="320"/>
      <c r="K398" s="320"/>
      <c r="L398" s="200"/>
      <c r="M398" s="200"/>
      <c r="N398" s="210"/>
      <c r="O398" s="210"/>
      <c r="P398" s="252"/>
      <c r="Q398" s="252"/>
      <c r="R398" s="200"/>
      <c r="T398" s="425">
        <v>108</v>
      </c>
      <c r="U398" s="147"/>
      <c r="V398" s="148" t="str">
        <f t="shared" si="190"/>
        <v xml:space="preserve"> 14,500 LUMEN GAS REPLICA (10)</v>
      </c>
      <c r="W398" s="147"/>
      <c r="X398" s="80"/>
      <c r="Y398" s="78">
        <f t="shared" si="181"/>
        <v>60</v>
      </c>
      <c r="Z398" s="70"/>
      <c r="AA398" s="78">
        <f t="shared" si="182"/>
        <v>4370</v>
      </c>
      <c r="AB398" s="78"/>
      <c r="AC398" s="349">
        <f>$AC$396+$AC$13</f>
        <v>25.97</v>
      </c>
      <c r="AD398" s="352"/>
      <c r="AE398" s="79">
        <f t="shared" si="183"/>
        <v>1558</v>
      </c>
      <c r="AF398" s="79"/>
      <c r="AG398" s="155">
        <f t="shared" si="184"/>
        <v>0.1</v>
      </c>
      <c r="AH398" s="156"/>
      <c r="AI398" s="79">
        <f t="shared" si="185"/>
        <v>185</v>
      </c>
      <c r="AJ398" s="79"/>
      <c r="AK398" s="157">
        <f t="shared" si="186"/>
        <v>11.9</v>
      </c>
      <c r="AL398" s="158"/>
      <c r="AM398" s="79">
        <f t="shared" si="187"/>
        <v>4</v>
      </c>
      <c r="AN398" s="79"/>
      <c r="AO398" s="79">
        <f t="shared" si="188"/>
        <v>1562</v>
      </c>
      <c r="AP398" s="79"/>
      <c r="AQ398" s="157">
        <f t="shared" si="189"/>
        <v>11.8</v>
      </c>
      <c r="AS398" s="109"/>
      <c r="AT398" s="394"/>
      <c r="AW398" s="78"/>
      <c r="AX398" s="85"/>
      <c r="AY398" s="85"/>
    </row>
    <row r="399" spans="1:51" x14ac:dyDescent="0.25">
      <c r="T399" s="425"/>
      <c r="V399" s="148"/>
      <c r="AS399" s="109"/>
    </row>
    <row r="400" spans="1:51" x14ac:dyDescent="0.25">
      <c r="A400" s="202"/>
      <c r="C400" s="154"/>
      <c r="F400" s="252"/>
      <c r="H400" s="252"/>
      <c r="I400" s="252"/>
      <c r="J400" s="320"/>
      <c r="K400" s="320"/>
      <c r="L400" s="200"/>
      <c r="M400" s="200"/>
      <c r="N400" s="210"/>
      <c r="O400" s="210"/>
      <c r="P400" s="252"/>
      <c r="Q400" s="252"/>
      <c r="R400" s="200"/>
      <c r="T400" s="425">
        <v>109</v>
      </c>
      <c r="U400" s="80"/>
      <c r="V400" s="265" t="s">
        <v>225</v>
      </c>
      <c r="W400" s="80"/>
      <c r="X400" s="80"/>
      <c r="Y400" s="78"/>
      <c r="Z400" s="70"/>
      <c r="AA400" s="78"/>
      <c r="AB400" s="70"/>
      <c r="AC400" s="162"/>
      <c r="AD400" s="352"/>
      <c r="AE400" s="79"/>
      <c r="AF400" s="79"/>
      <c r="AG400" s="197"/>
      <c r="AH400" s="198"/>
      <c r="AI400" s="163"/>
      <c r="AJ400" s="163"/>
      <c r="AK400" s="172"/>
      <c r="AL400" s="199"/>
      <c r="AM400" s="163"/>
      <c r="AN400" s="163"/>
      <c r="AO400" s="163"/>
      <c r="AP400" s="163"/>
      <c r="AQ400" s="172"/>
      <c r="AS400" s="109"/>
      <c r="AW400" s="70"/>
    </row>
    <row r="401" spans="1:51" x14ac:dyDescent="0.25">
      <c r="F401" s="211"/>
      <c r="H401" s="211"/>
      <c r="I401" s="211"/>
      <c r="J401" s="305"/>
      <c r="K401" s="305"/>
      <c r="L401" s="211"/>
      <c r="M401" s="211"/>
      <c r="N401" s="211"/>
      <c r="O401" s="211"/>
      <c r="P401" s="211"/>
      <c r="Q401" s="211"/>
      <c r="R401" s="211"/>
      <c r="T401" s="425">
        <v>110</v>
      </c>
      <c r="U401" s="80"/>
      <c r="V401" s="148" t="str">
        <f t="shared" ref="V401:V420" si="191">C179</f>
        <v xml:space="preserve">  9,500 LUMEN TOWN &amp; COUNTRY</v>
      </c>
      <c r="W401" s="80"/>
      <c r="X401" s="80"/>
      <c r="Y401" s="78">
        <f t="shared" ref="Y401:Y416" si="192">F179</f>
        <v>98</v>
      </c>
      <c r="Z401" s="70"/>
      <c r="AA401" s="78">
        <f t="shared" ref="AA401:AA416" si="193">H179</f>
        <v>3977</v>
      </c>
      <c r="AB401" s="70"/>
      <c r="AC401" s="399">
        <v>10.93</v>
      </c>
      <c r="AD401" s="70"/>
      <c r="AE401" s="79">
        <f t="shared" ref="AE401:AE404" si="194">ROUND((Y401*AC401),0)</f>
        <v>1071</v>
      </c>
      <c r="AF401" s="79"/>
      <c r="AG401" s="155">
        <f t="shared" ref="AG401:AG419" si="195">ROUND((AE401/AE$433)*100,1)</f>
        <v>0.1</v>
      </c>
      <c r="AH401" s="198"/>
      <c r="AI401" s="79">
        <f t="shared" ref="AI401:AI420" si="196">L179-AE401</f>
        <v>128</v>
      </c>
      <c r="AJ401" s="163"/>
      <c r="AK401" s="157">
        <f t="shared" ref="AK401:AK433" si="197">IF(AE401=0,"0.0 ",ROUND((AI401/AE401)*100,1))</f>
        <v>12</v>
      </c>
      <c r="AL401" s="199"/>
      <c r="AM401" s="79">
        <f>ROUND($AM$433/$AA$433*AA401,0)</f>
        <v>4</v>
      </c>
      <c r="AN401" s="163"/>
      <c r="AO401" s="79">
        <f t="shared" ref="AO401:AO404" si="198">AE401+AM401</f>
        <v>1075</v>
      </c>
      <c r="AP401" s="163"/>
      <c r="AQ401" s="157">
        <f t="shared" si="122"/>
        <v>11.9</v>
      </c>
      <c r="AS401" s="109"/>
      <c r="AT401" s="394">
        <f>AC401-AX401</f>
        <v>9.9599999999999991</v>
      </c>
      <c r="AW401" s="225">
        <v>487</v>
      </c>
      <c r="AX401" s="101">
        <f t="shared" ref="AX401:AX420" si="199">ROUND((AW401/12)*CUR_BASE_FUEL,2)</f>
        <v>0.97</v>
      </c>
      <c r="AY401" s="101">
        <f t="shared" ref="AY401:AY420" si="200">ROUND((AW401/12)*PRO_BASE_FUEL,2)</f>
        <v>0.97</v>
      </c>
    </row>
    <row r="402" spans="1:51" x14ac:dyDescent="0.25">
      <c r="F402" s="211"/>
      <c r="H402" s="211"/>
      <c r="I402" s="211"/>
      <c r="J402" s="305"/>
      <c r="K402" s="305"/>
      <c r="L402" s="211"/>
      <c r="M402" s="211"/>
      <c r="N402" s="211"/>
      <c r="O402" s="211"/>
      <c r="P402" s="211"/>
      <c r="Q402" s="211"/>
      <c r="R402" s="211"/>
      <c r="T402" s="425">
        <v>111</v>
      </c>
      <c r="U402" s="80"/>
      <c r="V402" s="148" t="str">
        <f t="shared" si="191"/>
        <v xml:space="preserve">  9,500 LUMEN TOWN &amp; COUNTRY (10)</v>
      </c>
      <c r="W402" s="80"/>
      <c r="X402" s="80"/>
      <c r="Y402" s="78">
        <f t="shared" si="192"/>
        <v>1896</v>
      </c>
      <c r="Z402" s="70"/>
      <c r="AA402" s="78">
        <f t="shared" si="193"/>
        <v>76946</v>
      </c>
      <c r="AB402" s="70"/>
      <c r="AC402" s="399">
        <f>AC401+$AC$13</f>
        <v>15.33</v>
      </c>
      <c r="AD402" s="70"/>
      <c r="AE402" s="79">
        <f t="shared" si="194"/>
        <v>29066</v>
      </c>
      <c r="AF402" s="70"/>
      <c r="AG402" s="155">
        <f t="shared" si="195"/>
        <v>2.2000000000000002</v>
      </c>
      <c r="AH402" s="85"/>
      <c r="AI402" s="79">
        <f t="shared" si="196"/>
        <v>3450</v>
      </c>
      <c r="AJ402" s="85"/>
      <c r="AK402" s="157">
        <f t="shared" si="197"/>
        <v>11.9</v>
      </c>
      <c r="AL402" s="85"/>
      <c r="AM402" s="79">
        <f>ROUND($AM$433/$AA$433*AA402,0)</f>
        <v>79</v>
      </c>
      <c r="AN402" s="85"/>
      <c r="AO402" s="79">
        <f t="shared" si="198"/>
        <v>29145</v>
      </c>
      <c r="AP402" s="85"/>
      <c r="AQ402" s="157">
        <f t="shared" si="122"/>
        <v>11.8</v>
      </c>
      <c r="AS402" s="109"/>
      <c r="AW402" s="225"/>
    </row>
    <row r="403" spans="1:51" x14ac:dyDescent="0.25">
      <c r="A403" s="202"/>
      <c r="C403" s="154"/>
      <c r="F403" s="200"/>
      <c r="H403" s="200"/>
      <c r="I403" s="200"/>
      <c r="J403" s="213"/>
      <c r="K403" s="213"/>
      <c r="L403" s="200"/>
      <c r="M403" s="200"/>
      <c r="N403" s="210"/>
      <c r="O403" s="210"/>
      <c r="P403" s="200"/>
      <c r="Q403" s="200"/>
      <c r="R403" s="200"/>
      <c r="T403" s="425">
        <v>112</v>
      </c>
      <c r="U403" s="80"/>
      <c r="V403" s="148" t="str">
        <f t="shared" si="191"/>
        <v xml:space="preserve">  9,500 LUMEN HOLOPHANE</v>
      </c>
      <c r="W403" s="80"/>
      <c r="X403" s="80"/>
      <c r="Y403" s="78">
        <f t="shared" si="192"/>
        <v>576</v>
      </c>
      <c r="Z403" s="70"/>
      <c r="AA403" s="78">
        <f t="shared" si="193"/>
        <v>25536</v>
      </c>
      <c r="AB403" s="70"/>
      <c r="AC403" s="399">
        <v>11.84</v>
      </c>
      <c r="AD403" s="284"/>
      <c r="AE403" s="79">
        <f t="shared" si="194"/>
        <v>6820</v>
      </c>
      <c r="AF403" s="79"/>
      <c r="AG403" s="155">
        <f t="shared" si="195"/>
        <v>0.5</v>
      </c>
      <c r="AH403" s="198"/>
      <c r="AI403" s="79">
        <f t="shared" si="196"/>
        <v>812</v>
      </c>
      <c r="AJ403" s="163"/>
      <c r="AK403" s="157">
        <f t="shared" si="197"/>
        <v>11.9</v>
      </c>
      <c r="AL403" s="199"/>
      <c r="AM403" s="79">
        <f>ROUND($AM$433/$AA$433*AA403,0)</f>
        <v>26</v>
      </c>
      <c r="AN403" s="163"/>
      <c r="AO403" s="79">
        <f t="shared" si="198"/>
        <v>6846</v>
      </c>
      <c r="AP403" s="163"/>
      <c r="AQ403" s="157">
        <f t="shared" si="122"/>
        <v>11.9</v>
      </c>
      <c r="AS403" s="109"/>
      <c r="AT403" s="394">
        <f>AC403-AX403</f>
        <v>10.78</v>
      </c>
      <c r="AW403" s="225">
        <v>532</v>
      </c>
      <c r="AX403" s="101">
        <f t="shared" si="199"/>
        <v>1.06</v>
      </c>
      <c r="AY403" s="101">
        <f t="shared" si="200"/>
        <v>1.06</v>
      </c>
    </row>
    <row r="404" spans="1:51" x14ac:dyDescent="0.25">
      <c r="A404" s="202"/>
      <c r="C404" s="154"/>
      <c r="F404" s="200"/>
      <c r="H404" s="200"/>
      <c r="I404" s="200"/>
      <c r="J404" s="213"/>
      <c r="K404" s="213"/>
      <c r="L404" s="200"/>
      <c r="M404" s="200"/>
      <c r="N404" s="210"/>
      <c r="O404" s="210"/>
      <c r="P404" s="200"/>
      <c r="Q404" s="200"/>
      <c r="R404" s="200"/>
      <c r="T404" s="425">
        <v>113</v>
      </c>
      <c r="U404" s="80"/>
      <c r="V404" s="148" t="str">
        <f t="shared" si="191"/>
        <v xml:space="preserve">  9,500 LUMEN HOLOPHANE (10)</v>
      </c>
      <c r="W404" s="80"/>
      <c r="X404" s="80"/>
      <c r="Y404" s="78">
        <f t="shared" si="192"/>
        <v>312</v>
      </c>
      <c r="Z404" s="70"/>
      <c r="AA404" s="78">
        <f t="shared" si="193"/>
        <v>13832</v>
      </c>
      <c r="AB404" s="70"/>
      <c r="AC404" s="399">
        <f>AC403+$AC$13</f>
        <v>16.240000000000002</v>
      </c>
      <c r="AD404" s="284"/>
      <c r="AE404" s="79">
        <f t="shared" si="194"/>
        <v>5067</v>
      </c>
      <c r="AF404" s="79"/>
      <c r="AG404" s="155">
        <f t="shared" si="195"/>
        <v>0.4</v>
      </c>
      <c r="AH404" s="198"/>
      <c r="AI404" s="79">
        <f t="shared" si="196"/>
        <v>602</v>
      </c>
      <c r="AJ404" s="163"/>
      <c r="AK404" s="157">
        <f t="shared" si="197"/>
        <v>11.9</v>
      </c>
      <c r="AL404" s="199"/>
      <c r="AM404" s="79">
        <f>ROUND($AM$433/$AA$433*AA404,0)</f>
        <v>14</v>
      </c>
      <c r="AN404" s="163"/>
      <c r="AO404" s="79">
        <f t="shared" si="198"/>
        <v>5081</v>
      </c>
      <c r="AP404" s="163"/>
      <c r="AQ404" s="157">
        <f t="shared" si="122"/>
        <v>11.8</v>
      </c>
      <c r="AS404" s="109"/>
      <c r="AW404" s="225"/>
    </row>
    <row r="405" spans="1:51" x14ac:dyDescent="0.25">
      <c r="A405" s="202"/>
      <c r="C405" s="154"/>
      <c r="F405" s="200"/>
      <c r="H405" s="200"/>
      <c r="I405" s="200"/>
      <c r="J405" s="213"/>
      <c r="K405" s="213"/>
      <c r="L405" s="200"/>
      <c r="M405" s="200"/>
      <c r="N405" s="210"/>
      <c r="O405" s="210"/>
      <c r="P405" s="200"/>
      <c r="Q405" s="200"/>
      <c r="R405" s="200"/>
      <c r="T405" s="425">
        <v>114</v>
      </c>
      <c r="U405" s="80"/>
      <c r="V405" s="148" t="str">
        <f t="shared" si="191"/>
        <v xml:space="preserve">  9,500 LUMEN GAS REPLICA (7)</v>
      </c>
      <c r="W405" s="80"/>
      <c r="X405" s="80"/>
      <c r="Y405" s="78">
        <f t="shared" si="192"/>
        <v>132</v>
      </c>
      <c r="Z405" s="70"/>
      <c r="AA405" s="78">
        <f t="shared" si="193"/>
        <v>5852</v>
      </c>
      <c r="AB405" s="70"/>
      <c r="AC405" s="399">
        <f>22.26+AC9</f>
        <v>34.230000000000004</v>
      </c>
      <c r="AD405" s="284"/>
      <c r="AE405" s="79">
        <f t="shared" ref="AE405" si="201">ROUND((Y405*AC405),0)</f>
        <v>4518</v>
      </c>
      <c r="AF405" s="79"/>
      <c r="AG405" s="155">
        <f t="shared" si="195"/>
        <v>0.3</v>
      </c>
      <c r="AH405" s="198"/>
      <c r="AI405" s="79">
        <f t="shared" si="196"/>
        <v>538</v>
      </c>
      <c r="AJ405" s="163"/>
      <c r="AK405" s="157">
        <f t="shared" ref="AK405" si="202">IF(AE405=0,"0.0 ",ROUND((AI405/AE405)*100,1))</f>
        <v>11.9</v>
      </c>
      <c r="AL405" s="199"/>
      <c r="AM405" s="79">
        <f t="shared" ref="AM405" si="203">ROUND($AM$433/$AA$433*AA405,0)</f>
        <v>6</v>
      </c>
      <c r="AN405" s="163"/>
      <c r="AO405" s="79">
        <f t="shared" ref="AO405" si="204">AE405+AM405</f>
        <v>4524</v>
      </c>
      <c r="AP405" s="163"/>
      <c r="AQ405" s="157">
        <f t="shared" ref="AQ405" si="205">IF(AO405=0,"0.0 ",ROUND((AI405/AO405)*100,1))</f>
        <v>11.9</v>
      </c>
      <c r="AS405" s="109"/>
      <c r="AT405" s="394">
        <f>AC405-AX405</f>
        <v>33.260000000000005</v>
      </c>
      <c r="AW405" s="225">
        <v>487</v>
      </c>
      <c r="AX405" s="101">
        <f t="shared" ref="AX405" si="206">ROUND((AW405/12)*CUR_BASE_FUEL,2)</f>
        <v>0.97</v>
      </c>
      <c r="AY405" s="101">
        <f t="shared" ref="AY405" si="207">ROUND((AW405/12)*PRO_BASE_FUEL,2)</f>
        <v>0.97</v>
      </c>
    </row>
    <row r="406" spans="1:51" x14ac:dyDescent="0.25">
      <c r="A406" s="202"/>
      <c r="C406" s="154"/>
      <c r="F406" s="200"/>
      <c r="H406" s="200"/>
      <c r="I406" s="200"/>
      <c r="J406" s="213"/>
      <c r="K406" s="213"/>
      <c r="L406" s="200"/>
      <c r="M406" s="200"/>
      <c r="N406" s="210"/>
      <c r="O406" s="210"/>
      <c r="P406" s="200"/>
      <c r="Q406" s="200"/>
      <c r="R406" s="200"/>
      <c r="T406" s="425">
        <v>115</v>
      </c>
      <c r="U406" s="80"/>
      <c r="V406" s="148" t="str">
        <f t="shared" si="191"/>
        <v xml:space="preserve">  9,500 LUMEN GAS REPLICA (10)</v>
      </c>
      <c r="W406" s="80"/>
      <c r="X406" s="80"/>
      <c r="Y406" s="78">
        <f t="shared" si="192"/>
        <v>12</v>
      </c>
      <c r="Z406" s="70"/>
      <c r="AA406" s="78">
        <f t="shared" si="193"/>
        <v>532</v>
      </c>
      <c r="AB406" s="70"/>
      <c r="AC406" s="399">
        <f>22.26+AC13</f>
        <v>26.660000000000004</v>
      </c>
      <c r="AD406" s="284"/>
      <c r="AE406" s="79">
        <f t="shared" ref="AE406:AE420" si="208">ROUND((Y406*AC406),0)</f>
        <v>320</v>
      </c>
      <c r="AF406" s="79"/>
      <c r="AG406" s="155">
        <f t="shared" si="195"/>
        <v>0</v>
      </c>
      <c r="AH406" s="198"/>
      <c r="AI406" s="79">
        <f t="shared" si="196"/>
        <v>38</v>
      </c>
      <c r="AJ406" s="163"/>
      <c r="AK406" s="157">
        <f t="shared" si="197"/>
        <v>11.9</v>
      </c>
      <c r="AL406" s="199"/>
      <c r="AM406" s="79">
        <f t="shared" ref="AM406:AM420" si="209">ROUND($AM$433/$AA$433*AA406,0)</f>
        <v>1</v>
      </c>
      <c r="AN406" s="163"/>
      <c r="AO406" s="79">
        <f t="shared" ref="AO406:AO420" si="210">AE406+AM406</f>
        <v>321</v>
      </c>
      <c r="AP406" s="163"/>
      <c r="AQ406" s="157">
        <f t="shared" ref="AQ406:AQ412" si="211">IF(AO406=0,"0.0 ",ROUND((AI406/AO406)*100,1))</f>
        <v>11.8</v>
      </c>
      <c r="AS406" s="109"/>
      <c r="AT406" s="394">
        <f t="shared" ref="AT406:AT420" si="212">AC406-AX406</f>
        <v>25.600000000000005</v>
      </c>
      <c r="AW406" s="225">
        <v>532</v>
      </c>
      <c r="AX406" s="101">
        <f t="shared" si="199"/>
        <v>1.06</v>
      </c>
      <c r="AY406" s="101">
        <f t="shared" si="200"/>
        <v>1.06</v>
      </c>
    </row>
    <row r="407" spans="1:51" x14ac:dyDescent="0.25">
      <c r="C407" s="154"/>
      <c r="F407" s="200"/>
      <c r="H407" s="200"/>
      <c r="I407" s="200"/>
      <c r="J407" s="213"/>
      <c r="K407" s="213"/>
      <c r="L407" s="200"/>
      <c r="M407" s="200"/>
      <c r="N407" s="200"/>
      <c r="O407" s="200"/>
      <c r="P407" s="200"/>
      <c r="Q407" s="200"/>
      <c r="R407" s="200"/>
      <c r="T407" s="425">
        <v>116</v>
      </c>
      <c r="U407" s="80"/>
      <c r="V407" s="148" t="str">
        <f t="shared" si="191"/>
        <v xml:space="preserve">  9,500 LUMEN GAS REPLICA (11)</v>
      </c>
      <c r="W407" s="80"/>
      <c r="X407" s="80"/>
      <c r="Y407" s="78">
        <f t="shared" si="192"/>
        <v>312</v>
      </c>
      <c r="Z407" s="70"/>
      <c r="AA407" s="78">
        <f t="shared" si="193"/>
        <v>13832</v>
      </c>
      <c r="AB407" s="78"/>
      <c r="AC407" s="399">
        <f>22.26+AC14</f>
        <v>35.130000000000003</v>
      </c>
      <c r="AD407" s="70"/>
      <c r="AE407" s="79">
        <f t="shared" si="208"/>
        <v>10961</v>
      </c>
      <c r="AF407" s="79"/>
      <c r="AG407" s="155">
        <f t="shared" si="195"/>
        <v>0.8</v>
      </c>
      <c r="AH407" s="198"/>
      <c r="AI407" s="79">
        <f t="shared" si="196"/>
        <v>1304</v>
      </c>
      <c r="AJ407" s="163"/>
      <c r="AK407" s="157">
        <f>IF(AE407=0,"0.0 ",ROUND((AI407/AE407)*100,1))</f>
        <v>11.9</v>
      </c>
      <c r="AL407" s="199"/>
      <c r="AM407" s="79">
        <f t="shared" si="209"/>
        <v>14</v>
      </c>
      <c r="AN407" s="230"/>
      <c r="AO407" s="79">
        <f t="shared" si="210"/>
        <v>10975</v>
      </c>
      <c r="AP407" s="163"/>
      <c r="AQ407" s="157">
        <f t="shared" si="211"/>
        <v>11.9</v>
      </c>
      <c r="AS407" s="109"/>
      <c r="AT407" s="394">
        <f>AC407-AX407</f>
        <v>34.07</v>
      </c>
      <c r="AW407" s="225">
        <v>532</v>
      </c>
      <c r="AX407" s="101">
        <f>ROUND((AW407/12)*CUR_BASE_FUEL,2)</f>
        <v>1.06</v>
      </c>
      <c r="AY407" s="101">
        <f>ROUND((AW407/12)*PRO_BASE_FUEL,2)</f>
        <v>1.06</v>
      </c>
    </row>
    <row r="408" spans="1:51" x14ac:dyDescent="0.25">
      <c r="C408" s="154"/>
      <c r="F408" s="200"/>
      <c r="H408" s="200"/>
      <c r="I408" s="200"/>
      <c r="J408" s="213"/>
      <c r="K408" s="213"/>
      <c r="L408" s="200"/>
      <c r="M408" s="200"/>
      <c r="N408" s="200"/>
      <c r="O408" s="200"/>
      <c r="P408" s="200"/>
      <c r="Q408" s="200"/>
      <c r="R408" s="200"/>
      <c r="T408" s="425">
        <v>117</v>
      </c>
      <c r="U408" s="80"/>
      <c r="V408" s="148" t="str">
        <f t="shared" si="191"/>
        <v xml:space="preserve">  9,500 LUMEN ASPEN (7)</v>
      </c>
      <c r="W408" s="80"/>
      <c r="X408" s="80"/>
      <c r="Y408" s="78">
        <f t="shared" si="192"/>
        <v>888</v>
      </c>
      <c r="Z408" s="70"/>
      <c r="AA408" s="78">
        <f t="shared" si="193"/>
        <v>39368</v>
      </c>
      <c r="AB408" s="78"/>
      <c r="AC408" s="399">
        <v>13.79</v>
      </c>
      <c r="AD408" s="70"/>
      <c r="AE408" s="79">
        <f t="shared" si="208"/>
        <v>12246</v>
      </c>
      <c r="AF408" s="79"/>
      <c r="AG408" s="155">
        <f t="shared" si="195"/>
        <v>0.9</v>
      </c>
      <c r="AH408" s="198"/>
      <c r="AI408" s="79">
        <f t="shared" si="196"/>
        <v>1456</v>
      </c>
      <c r="AJ408" s="163"/>
      <c r="AK408" s="157">
        <f>IF(AE408=0,"0.0 ",ROUND((AI408/AE408)*100,1))</f>
        <v>11.9</v>
      </c>
      <c r="AL408" s="199"/>
      <c r="AM408" s="79">
        <f t="shared" si="209"/>
        <v>40</v>
      </c>
      <c r="AN408" s="230"/>
      <c r="AO408" s="79">
        <f t="shared" si="210"/>
        <v>12286</v>
      </c>
      <c r="AP408" s="163"/>
      <c r="AQ408" s="157">
        <f t="shared" si="211"/>
        <v>11.9</v>
      </c>
      <c r="AS408" s="109"/>
      <c r="AT408" s="394"/>
      <c r="AW408" s="225"/>
    </row>
    <row r="409" spans="1:51" x14ac:dyDescent="0.25">
      <c r="J409" s="202"/>
      <c r="K409" s="202"/>
      <c r="T409" s="425">
        <v>118</v>
      </c>
      <c r="U409" s="80"/>
      <c r="V409" s="148" t="str">
        <f t="shared" si="191"/>
        <v xml:space="preserve">  9,500 LUMEN TRADITIONAIRE</v>
      </c>
      <c r="W409" s="80"/>
      <c r="X409" s="80"/>
      <c r="Y409" s="78">
        <f t="shared" si="192"/>
        <v>0</v>
      </c>
      <c r="Z409" s="70"/>
      <c r="AA409" s="78">
        <f t="shared" si="193"/>
        <v>0</v>
      </c>
      <c r="AB409" s="78"/>
      <c r="AC409" s="399">
        <v>10.93</v>
      </c>
      <c r="AD409" s="70"/>
      <c r="AE409" s="79">
        <f t="shared" si="208"/>
        <v>0</v>
      </c>
      <c r="AF409" s="70"/>
      <c r="AG409" s="155">
        <f t="shared" si="195"/>
        <v>0</v>
      </c>
      <c r="AH409" s="70"/>
      <c r="AI409" s="79">
        <f t="shared" si="196"/>
        <v>0</v>
      </c>
      <c r="AJ409" s="70"/>
      <c r="AK409" s="157" t="str">
        <f>IF(AE409=0,"0.0 ",ROUND((AI409/AE409)*100,1))</f>
        <v xml:space="preserve">0.0 </v>
      </c>
      <c r="AL409" s="70"/>
      <c r="AM409" s="79">
        <f t="shared" si="209"/>
        <v>0</v>
      </c>
      <c r="AN409" s="70"/>
      <c r="AO409" s="79">
        <f t="shared" si="210"/>
        <v>0</v>
      </c>
      <c r="AP409" s="70"/>
      <c r="AQ409" s="157" t="str">
        <f t="shared" si="211"/>
        <v xml:space="preserve">0.0 </v>
      </c>
      <c r="AS409" s="109"/>
      <c r="AT409" s="394">
        <f>AC409-AX409</f>
        <v>9.9599999999999991</v>
      </c>
      <c r="AW409" s="225">
        <v>487</v>
      </c>
      <c r="AX409" s="101">
        <f>ROUND((AW409/12)*CUR_BASE_FUEL,2)</f>
        <v>0.97</v>
      </c>
      <c r="AY409" s="101">
        <f>ROUND((AW409/12)*PRO_BASE_FUEL,2)</f>
        <v>0.97</v>
      </c>
    </row>
    <row r="410" spans="1:51" x14ac:dyDescent="0.25">
      <c r="J410" s="202"/>
      <c r="K410" s="202"/>
      <c r="T410" s="425">
        <v>119</v>
      </c>
      <c r="U410" s="80"/>
      <c r="V410" s="148" t="str">
        <f t="shared" si="191"/>
        <v xml:space="preserve">  9,500 LUMEN TRADITIONAIRE (10)</v>
      </c>
      <c r="W410" s="80"/>
      <c r="X410" s="80"/>
      <c r="Y410" s="78">
        <f t="shared" si="192"/>
        <v>696</v>
      </c>
      <c r="Z410" s="70"/>
      <c r="AA410" s="78">
        <f t="shared" si="193"/>
        <v>28246</v>
      </c>
      <c r="AB410" s="78"/>
      <c r="AC410" s="399">
        <f>AC409+$AC$13</f>
        <v>15.33</v>
      </c>
      <c r="AD410" s="70"/>
      <c r="AE410" s="79">
        <f t="shared" si="208"/>
        <v>10670</v>
      </c>
      <c r="AF410" s="70"/>
      <c r="AG410" s="155">
        <f t="shared" si="195"/>
        <v>0.8</v>
      </c>
      <c r="AH410" s="70"/>
      <c r="AI410" s="79">
        <f t="shared" si="196"/>
        <v>1266</v>
      </c>
      <c r="AJ410" s="70"/>
      <c r="AK410" s="157">
        <f>IF(AE410=0,"0.0 ",ROUND((AI410/AE410)*100,1))</f>
        <v>11.9</v>
      </c>
      <c r="AL410" s="70"/>
      <c r="AM410" s="79">
        <f t="shared" si="209"/>
        <v>29</v>
      </c>
      <c r="AN410" s="70"/>
      <c r="AO410" s="79">
        <f t="shared" si="210"/>
        <v>10699</v>
      </c>
      <c r="AP410" s="70"/>
      <c r="AQ410" s="157">
        <f t="shared" si="211"/>
        <v>11.8</v>
      </c>
      <c r="AS410" s="109"/>
      <c r="AT410" s="394"/>
      <c r="AW410" s="225"/>
    </row>
    <row r="411" spans="1:51" x14ac:dyDescent="0.25">
      <c r="A411" s="202"/>
      <c r="C411" s="154"/>
      <c r="F411" s="200"/>
      <c r="H411" s="200"/>
      <c r="I411" s="200"/>
      <c r="J411" s="213"/>
      <c r="K411" s="213"/>
      <c r="L411" s="200"/>
      <c r="M411" s="200"/>
      <c r="N411" s="210"/>
      <c r="O411" s="210"/>
      <c r="P411" s="200"/>
      <c r="Q411" s="200"/>
      <c r="R411" s="200"/>
      <c r="T411" s="425">
        <v>120</v>
      </c>
      <c r="U411" s="80"/>
      <c r="V411" s="148" t="str">
        <f t="shared" si="191"/>
        <v xml:space="preserve">  9,500 LUMEN GRANVILLE </v>
      </c>
      <c r="W411" s="80"/>
      <c r="X411" s="80"/>
      <c r="Y411" s="78">
        <f t="shared" si="192"/>
        <v>0</v>
      </c>
      <c r="Z411" s="70"/>
      <c r="AA411" s="78">
        <f t="shared" si="193"/>
        <v>0</v>
      </c>
      <c r="AB411" s="70"/>
      <c r="AC411" s="399">
        <v>13.79</v>
      </c>
      <c r="AD411" s="284"/>
      <c r="AE411" s="79">
        <f t="shared" si="208"/>
        <v>0</v>
      </c>
      <c r="AF411" s="79"/>
      <c r="AG411" s="155">
        <f t="shared" si="195"/>
        <v>0</v>
      </c>
      <c r="AH411" s="198"/>
      <c r="AI411" s="79">
        <f t="shared" si="196"/>
        <v>0</v>
      </c>
      <c r="AJ411" s="163"/>
      <c r="AK411" s="157" t="str">
        <f t="shared" ref="AK411" si="213">IF(AE411=0,"0.0 ",ROUND((AI411/AE411)*100,1))</f>
        <v xml:space="preserve">0.0 </v>
      </c>
      <c r="AL411" s="199"/>
      <c r="AM411" s="79">
        <f t="shared" si="209"/>
        <v>0</v>
      </c>
      <c r="AN411" s="163"/>
      <c r="AO411" s="79">
        <f t="shared" si="210"/>
        <v>0</v>
      </c>
      <c r="AP411" s="163"/>
      <c r="AQ411" s="157" t="str">
        <f t="shared" si="211"/>
        <v xml:space="preserve">0.0 </v>
      </c>
      <c r="AS411" s="109"/>
      <c r="AT411" s="394">
        <f t="shared" ref="AT411" si="214">AC411-AX411</f>
        <v>12.729999999999999</v>
      </c>
      <c r="AW411" s="225">
        <v>532</v>
      </c>
      <c r="AX411" s="101">
        <f t="shared" ref="AX411" si="215">ROUND((AW411/12)*CUR_BASE_FUEL,2)</f>
        <v>1.06</v>
      </c>
      <c r="AY411" s="101">
        <f t="shared" ref="AY411" si="216">ROUND((AW411/12)*PRO_BASE_FUEL,2)</f>
        <v>1.06</v>
      </c>
    </row>
    <row r="412" spans="1:51" x14ac:dyDescent="0.25">
      <c r="A412" s="202"/>
      <c r="C412" s="154"/>
      <c r="F412" s="200"/>
      <c r="H412" s="200"/>
      <c r="I412" s="200"/>
      <c r="J412" s="213"/>
      <c r="K412" s="213"/>
      <c r="L412" s="200"/>
      <c r="M412" s="200"/>
      <c r="N412" s="210"/>
      <c r="O412" s="210"/>
      <c r="P412" s="200"/>
      <c r="Q412" s="200"/>
      <c r="R412" s="200"/>
      <c r="T412" s="425">
        <v>121</v>
      </c>
      <c r="U412" s="80"/>
      <c r="V412" s="148" t="str">
        <f t="shared" si="191"/>
        <v xml:space="preserve">  9,500 LUMEN GRANVILLE (7)</v>
      </c>
      <c r="W412" s="80"/>
      <c r="X412" s="80"/>
      <c r="Y412" s="78">
        <f t="shared" si="192"/>
        <v>0</v>
      </c>
      <c r="Z412" s="70"/>
      <c r="AA412" s="78">
        <f t="shared" si="193"/>
        <v>0</v>
      </c>
      <c r="AB412" s="70"/>
      <c r="AC412" s="399">
        <f>$AC$411+$AC$9</f>
        <v>25.759999999999998</v>
      </c>
      <c r="AD412" s="284"/>
      <c r="AE412" s="79">
        <f t="shared" si="208"/>
        <v>0</v>
      </c>
      <c r="AF412" s="79"/>
      <c r="AG412" s="155">
        <f t="shared" si="195"/>
        <v>0</v>
      </c>
      <c r="AH412" s="198"/>
      <c r="AI412" s="79">
        <f t="shared" si="196"/>
        <v>0</v>
      </c>
      <c r="AJ412" s="163"/>
      <c r="AK412" s="157" t="str">
        <f t="shared" si="197"/>
        <v xml:space="preserve">0.0 </v>
      </c>
      <c r="AL412" s="199"/>
      <c r="AM412" s="79">
        <f t="shared" si="209"/>
        <v>0</v>
      </c>
      <c r="AN412" s="163"/>
      <c r="AO412" s="79">
        <f t="shared" si="210"/>
        <v>0</v>
      </c>
      <c r="AP412" s="163"/>
      <c r="AQ412" s="157" t="str">
        <f t="shared" si="211"/>
        <v xml:space="preserve">0.0 </v>
      </c>
      <c r="AS412" s="109"/>
      <c r="AT412" s="394"/>
      <c r="AW412" s="225"/>
    </row>
    <row r="413" spans="1:51" x14ac:dyDescent="0.25">
      <c r="A413" s="202"/>
      <c r="C413" s="154"/>
      <c r="F413" s="200"/>
      <c r="H413" s="200"/>
      <c r="I413" s="200"/>
      <c r="J413" s="213"/>
      <c r="K413" s="213"/>
      <c r="L413" s="200"/>
      <c r="M413" s="200"/>
      <c r="N413" s="210"/>
      <c r="O413" s="210"/>
      <c r="P413" s="200"/>
      <c r="Q413" s="200"/>
      <c r="R413" s="200"/>
      <c r="T413" s="425">
        <v>122</v>
      </c>
      <c r="U413" s="149"/>
      <c r="V413" s="148" t="str">
        <f t="shared" si="191"/>
        <v xml:space="preserve">  9,500 LUMEN GRANVILLE (10)</v>
      </c>
      <c r="W413" s="149"/>
      <c r="X413" s="80"/>
      <c r="Y413" s="78">
        <f t="shared" si="192"/>
        <v>0</v>
      </c>
      <c r="Z413" s="70"/>
      <c r="AA413" s="78">
        <f t="shared" si="193"/>
        <v>0</v>
      </c>
      <c r="AB413" s="70"/>
      <c r="AC413" s="399">
        <f>$AC$411+$AC$13</f>
        <v>18.189999999999998</v>
      </c>
      <c r="AD413" s="284"/>
      <c r="AE413" s="79">
        <f t="shared" ref="AE413:AE414" si="217">ROUND((Y413*AC413),0)</f>
        <v>0</v>
      </c>
      <c r="AF413" s="79"/>
      <c r="AG413" s="155">
        <f t="shared" si="195"/>
        <v>0</v>
      </c>
      <c r="AH413" s="198"/>
      <c r="AI413" s="79">
        <f t="shared" si="196"/>
        <v>0</v>
      </c>
      <c r="AJ413" s="163"/>
      <c r="AK413" s="157" t="str">
        <f t="shared" ref="AK413:AK414" si="218">IF(AE413=0,"0.0 ",ROUND((AI413/AE413)*100,1))</f>
        <v xml:space="preserve">0.0 </v>
      </c>
      <c r="AL413" s="199"/>
      <c r="AM413" s="79">
        <f t="shared" si="209"/>
        <v>0</v>
      </c>
      <c r="AN413" s="163"/>
      <c r="AO413" s="79">
        <f t="shared" ref="AO413:AO414" si="219">AE413+AM413</f>
        <v>0</v>
      </c>
      <c r="AP413" s="163"/>
      <c r="AQ413" s="157" t="str">
        <f t="shared" ref="AQ413:AQ414" si="220">IF(AO413=0,"0.0 ",ROUND((AI413/AO413)*100,1))</f>
        <v xml:space="preserve">0.0 </v>
      </c>
      <c r="AS413" s="109"/>
      <c r="AT413" s="394"/>
      <c r="AW413" s="225"/>
    </row>
    <row r="414" spans="1:51" x14ac:dyDescent="0.25">
      <c r="A414" s="202"/>
      <c r="C414" s="154"/>
      <c r="F414" s="200"/>
      <c r="H414" s="200"/>
      <c r="I414" s="200"/>
      <c r="J414" s="213"/>
      <c r="K414" s="213"/>
      <c r="L414" s="200"/>
      <c r="M414" s="200"/>
      <c r="N414" s="210"/>
      <c r="O414" s="210"/>
      <c r="P414" s="200"/>
      <c r="Q414" s="200"/>
      <c r="R414" s="200"/>
      <c r="T414" s="425">
        <v>123</v>
      </c>
      <c r="U414" s="149"/>
      <c r="V414" s="148" t="str">
        <f t="shared" si="191"/>
        <v xml:space="preserve">  9,500 LUMEN GRANVILLE (11)</v>
      </c>
      <c r="W414" s="149"/>
      <c r="X414" s="80"/>
      <c r="Y414" s="78">
        <f t="shared" si="192"/>
        <v>0</v>
      </c>
      <c r="Z414" s="70"/>
      <c r="AA414" s="78">
        <f t="shared" si="193"/>
        <v>0</v>
      </c>
      <c r="AB414" s="70"/>
      <c r="AC414" s="399">
        <f>$AC$411+$AC$14</f>
        <v>26.659999999999997</v>
      </c>
      <c r="AD414" s="284"/>
      <c r="AE414" s="79">
        <f t="shared" si="217"/>
        <v>0</v>
      </c>
      <c r="AF414" s="79"/>
      <c r="AG414" s="155">
        <f t="shared" si="195"/>
        <v>0</v>
      </c>
      <c r="AH414" s="198"/>
      <c r="AI414" s="79">
        <f t="shared" si="196"/>
        <v>0</v>
      </c>
      <c r="AJ414" s="163"/>
      <c r="AK414" s="157" t="str">
        <f t="shared" si="218"/>
        <v xml:space="preserve">0.0 </v>
      </c>
      <c r="AL414" s="199"/>
      <c r="AM414" s="79">
        <f t="shared" si="209"/>
        <v>0</v>
      </c>
      <c r="AN414" s="163"/>
      <c r="AO414" s="79">
        <f t="shared" si="219"/>
        <v>0</v>
      </c>
      <c r="AP414" s="163"/>
      <c r="AQ414" s="157" t="str">
        <f t="shared" si="220"/>
        <v xml:space="preserve">0.0 </v>
      </c>
      <c r="AS414" s="109"/>
      <c r="AT414" s="394"/>
      <c r="AW414" s="225"/>
    </row>
    <row r="415" spans="1:51" x14ac:dyDescent="0.25">
      <c r="J415" s="202"/>
      <c r="K415" s="202"/>
      <c r="T415" s="425">
        <v>124</v>
      </c>
      <c r="U415" s="80"/>
      <c r="V415" s="148" t="str">
        <f t="shared" si="191"/>
        <v xml:space="preserve">  22,000 LUMEN RECTILINEAR</v>
      </c>
      <c r="W415" s="80"/>
      <c r="X415" s="80"/>
      <c r="Y415" s="78">
        <f t="shared" si="192"/>
        <v>0</v>
      </c>
      <c r="Z415" s="70"/>
      <c r="AA415" s="78">
        <f t="shared" si="193"/>
        <v>0</v>
      </c>
      <c r="AB415" s="78"/>
      <c r="AC415" s="349">
        <v>12.15</v>
      </c>
      <c r="AD415" s="70"/>
      <c r="AE415" s="79">
        <f t="shared" si="208"/>
        <v>0</v>
      </c>
      <c r="AF415" s="70"/>
      <c r="AG415" s="155">
        <f t="shared" si="195"/>
        <v>0</v>
      </c>
      <c r="AH415" s="70"/>
      <c r="AI415" s="79">
        <f t="shared" si="196"/>
        <v>0</v>
      </c>
      <c r="AJ415" s="70"/>
      <c r="AK415" s="157" t="str">
        <f>IF(AE415=0,"0.0 ",ROUND((AI415/AE415)*100,1))</f>
        <v xml:space="preserve">0.0 </v>
      </c>
      <c r="AL415" s="70"/>
      <c r="AM415" s="79">
        <f t="shared" si="209"/>
        <v>0</v>
      </c>
      <c r="AN415" s="70"/>
      <c r="AO415" s="79">
        <f t="shared" si="210"/>
        <v>0</v>
      </c>
      <c r="AP415" s="70"/>
      <c r="AQ415" s="157" t="str">
        <f t="shared" ref="AQ415" si="221">IF(AO415=0,"0.0 ",ROUND((AI415/AO415)*100,1))</f>
        <v xml:space="preserve">0.0 </v>
      </c>
      <c r="AS415" s="109"/>
      <c r="AT415" s="394">
        <f t="shared" ref="AT415" si="222">AC415-AX415</f>
        <v>10.120000000000001</v>
      </c>
      <c r="AW415" s="225">
        <v>1023</v>
      </c>
      <c r="AX415" s="101">
        <f t="shared" ref="AX415" si="223">ROUND((AW415/12)*CUR_BASE_FUEL,2)</f>
        <v>2.0299999999999998</v>
      </c>
      <c r="AY415" s="101">
        <f t="shared" ref="AY415" si="224">ROUND((AW415/12)*PRO_BASE_FUEL,2)</f>
        <v>2.0299999999999998</v>
      </c>
    </row>
    <row r="416" spans="1:51" x14ac:dyDescent="0.25">
      <c r="J416" s="202"/>
      <c r="K416" s="202"/>
      <c r="T416" s="425">
        <v>125</v>
      </c>
      <c r="U416" s="80"/>
      <c r="V416" s="148" t="str">
        <f t="shared" si="191"/>
        <v xml:space="preserve">  22,000 LUMEN RECTILINEAR (12)</v>
      </c>
      <c r="W416" s="80"/>
      <c r="X416" s="80"/>
      <c r="Y416" s="78">
        <f t="shared" si="192"/>
        <v>169</v>
      </c>
      <c r="Z416" s="70"/>
      <c r="AA416" s="78">
        <f t="shared" si="193"/>
        <v>14407</v>
      </c>
      <c r="AB416" s="78"/>
      <c r="AC416" s="349">
        <f>AC415+$AC$15</f>
        <v>20.53</v>
      </c>
      <c r="AD416" s="70"/>
      <c r="AE416" s="79">
        <f t="shared" si="208"/>
        <v>3470</v>
      </c>
      <c r="AF416" s="70"/>
      <c r="AG416" s="155">
        <f t="shared" si="195"/>
        <v>0.3</v>
      </c>
      <c r="AH416" s="70"/>
      <c r="AI416" s="79">
        <f t="shared" si="196"/>
        <v>412</v>
      </c>
      <c r="AJ416" s="70"/>
      <c r="AK416" s="157">
        <f>IF(AE416=0,"0.0 ",ROUND((AI416/AE416)*100,1))</f>
        <v>11.9</v>
      </c>
      <c r="AL416" s="70"/>
      <c r="AM416" s="79">
        <f t="shared" si="209"/>
        <v>15</v>
      </c>
      <c r="AN416" s="70"/>
      <c r="AO416" s="79">
        <f t="shared" si="210"/>
        <v>3485</v>
      </c>
      <c r="AP416" s="70"/>
      <c r="AQ416" s="157">
        <f t="shared" ref="AQ416:AQ433" si="225">IF(AO416=0,"0.0 ",ROUND((AI416/AO416)*100,1))</f>
        <v>11.8</v>
      </c>
      <c r="AS416" s="109"/>
      <c r="AT416" s="394"/>
      <c r="AW416" s="225"/>
    </row>
    <row r="417" spans="1:51" x14ac:dyDescent="0.25">
      <c r="J417" s="202"/>
      <c r="K417" s="202"/>
      <c r="T417" s="428">
        <v>126</v>
      </c>
      <c r="U417" s="80"/>
      <c r="V417" s="148" t="str">
        <f t="shared" si="191"/>
        <v xml:space="preserve">  50,000 LUMEN RECTILINEAR</v>
      </c>
      <c r="W417" s="80"/>
      <c r="X417" s="80"/>
      <c r="Y417" s="78">
        <f t="shared" ref="Y417" si="226">F195</f>
        <v>0</v>
      </c>
      <c r="Z417" s="70"/>
      <c r="AA417" s="78">
        <f t="shared" ref="AA417" si="227">H195</f>
        <v>0</v>
      </c>
      <c r="AB417" s="78"/>
      <c r="AC417" s="349">
        <v>16.059999999999999</v>
      </c>
      <c r="AD417" s="80"/>
      <c r="AE417" s="163">
        <f t="shared" si="208"/>
        <v>0</v>
      </c>
      <c r="AF417" s="80"/>
      <c r="AG417" s="197">
        <f t="shared" si="195"/>
        <v>0</v>
      </c>
      <c r="AH417" s="80"/>
      <c r="AI417" s="79">
        <f t="shared" si="196"/>
        <v>0</v>
      </c>
      <c r="AJ417" s="80"/>
      <c r="AK417" s="172" t="str">
        <f t="shared" ref="AK417" si="228">IF(AE417=0,"0.0 ",ROUND((AI417/AE417)*100,1))</f>
        <v xml:space="preserve">0.0 </v>
      </c>
      <c r="AL417" s="200"/>
      <c r="AM417" s="79">
        <f t="shared" si="209"/>
        <v>0</v>
      </c>
      <c r="AN417" s="201"/>
      <c r="AO417" s="79">
        <f t="shared" si="210"/>
        <v>0</v>
      </c>
      <c r="AP417" s="200"/>
      <c r="AQ417" s="157" t="str">
        <f t="shared" ref="AQ417" si="229">IF(AO417=0,"0.0 ",ROUND((AI417/AO417)*100,1))</f>
        <v xml:space="preserve">0.0 </v>
      </c>
      <c r="AS417" s="109"/>
      <c r="AT417" s="394">
        <f t="shared" ref="AT417" si="230">AC417-AX417</f>
        <v>12.169999999999998</v>
      </c>
      <c r="AW417" s="225">
        <v>1959</v>
      </c>
      <c r="AX417" s="101">
        <f t="shared" ref="AX417" si="231">ROUND((AW417/12)*CUR_BASE_FUEL,2)</f>
        <v>3.89</v>
      </c>
      <c r="AY417" s="101">
        <f t="shared" ref="AY417" si="232">ROUND((AW417/12)*PRO_BASE_FUEL,2)</f>
        <v>3.89</v>
      </c>
    </row>
    <row r="418" spans="1:51" x14ac:dyDescent="0.25">
      <c r="J418" s="202"/>
      <c r="K418" s="202"/>
      <c r="T418" s="428">
        <v>127</v>
      </c>
      <c r="U418" s="80"/>
      <c r="V418" s="148" t="str">
        <f t="shared" si="191"/>
        <v xml:space="preserve">  50,000 LUMEN RECTILINEAR (12)</v>
      </c>
      <c r="W418" s="80"/>
      <c r="X418" s="80"/>
      <c r="Y418" s="78">
        <f>F196</f>
        <v>36</v>
      </c>
      <c r="Z418" s="70"/>
      <c r="AA418" s="78">
        <f>H196</f>
        <v>5877</v>
      </c>
      <c r="AB418" s="78"/>
      <c r="AC418" s="349">
        <f>AC417+$AC$15</f>
        <v>24.439999999999998</v>
      </c>
      <c r="AD418" s="80"/>
      <c r="AE418" s="163">
        <f t="shared" si="208"/>
        <v>880</v>
      </c>
      <c r="AF418" s="80"/>
      <c r="AG418" s="197">
        <f t="shared" si="195"/>
        <v>0.1</v>
      </c>
      <c r="AH418" s="80"/>
      <c r="AI418" s="79">
        <f t="shared" si="196"/>
        <v>105</v>
      </c>
      <c r="AJ418" s="80"/>
      <c r="AK418" s="172">
        <f t="shared" si="197"/>
        <v>11.9</v>
      </c>
      <c r="AL418" s="200"/>
      <c r="AM418" s="79">
        <f t="shared" si="209"/>
        <v>6</v>
      </c>
      <c r="AN418" s="201"/>
      <c r="AO418" s="79">
        <f t="shared" si="210"/>
        <v>886</v>
      </c>
      <c r="AP418" s="200"/>
      <c r="AQ418" s="157">
        <f t="shared" si="225"/>
        <v>11.9</v>
      </c>
      <c r="AS418" s="109"/>
      <c r="AT418" s="394"/>
      <c r="AW418" s="225"/>
    </row>
    <row r="419" spans="1:51" x14ac:dyDescent="0.25">
      <c r="J419" s="202"/>
      <c r="K419" s="202"/>
      <c r="T419" s="429">
        <v>128</v>
      </c>
      <c r="U419" s="80"/>
      <c r="V419" s="148" t="str">
        <f t="shared" si="191"/>
        <v xml:space="preserve">  50,000 LUMEN RECTILINEAR (13)</v>
      </c>
      <c r="W419" s="80"/>
      <c r="X419" s="80"/>
      <c r="Y419" s="78">
        <f>F197</f>
        <v>204</v>
      </c>
      <c r="Z419" s="70"/>
      <c r="AA419" s="78">
        <f>H197</f>
        <v>33303</v>
      </c>
      <c r="AB419" s="78"/>
      <c r="AC419" s="349">
        <f>AC417+$AC$16</f>
        <v>24.659999999999997</v>
      </c>
      <c r="AD419" s="80"/>
      <c r="AE419" s="163">
        <f t="shared" si="208"/>
        <v>5031</v>
      </c>
      <c r="AF419" s="80"/>
      <c r="AG419" s="197">
        <f t="shared" si="195"/>
        <v>0.4</v>
      </c>
      <c r="AH419" s="80"/>
      <c r="AI419" s="79">
        <f t="shared" si="196"/>
        <v>597</v>
      </c>
      <c r="AJ419" s="80"/>
      <c r="AK419" s="172">
        <f t="shared" si="197"/>
        <v>11.9</v>
      </c>
      <c r="AL419" s="200"/>
      <c r="AM419" s="79">
        <f t="shared" si="209"/>
        <v>34</v>
      </c>
      <c r="AN419" s="201"/>
      <c r="AO419" s="79">
        <f t="shared" si="210"/>
        <v>5065</v>
      </c>
      <c r="AP419" s="200"/>
      <c r="AQ419" s="157">
        <f t="shared" si="225"/>
        <v>11.8</v>
      </c>
      <c r="AS419" s="109"/>
      <c r="AT419" s="394"/>
      <c r="AW419" s="225"/>
    </row>
    <row r="420" spans="1:51" x14ac:dyDescent="0.25">
      <c r="T420" s="429">
        <v>129</v>
      </c>
      <c r="U420" s="80"/>
      <c r="V420" s="148" t="str">
        <f t="shared" si="191"/>
        <v xml:space="preserve">  50,000 LUMEN SETBACK</v>
      </c>
      <c r="W420" s="80"/>
      <c r="X420" s="80"/>
      <c r="Y420" s="78">
        <f>F198</f>
        <v>0</v>
      </c>
      <c r="Z420" s="70"/>
      <c r="AA420" s="78">
        <f>H198</f>
        <v>0</v>
      </c>
      <c r="AC420" s="349">
        <v>23.79</v>
      </c>
      <c r="AE420" s="167">
        <f t="shared" si="208"/>
        <v>0</v>
      </c>
      <c r="AG420" s="166">
        <f>ROUND((AE420/AE$433)*100,1)</f>
        <v>0</v>
      </c>
      <c r="AI420" s="167">
        <f t="shared" si="196"/>
        <v>0</v>
      </c>
      <c r="AK420" s="168" t="str">
        <f t="shared" si="197"/>
        <v xml:space="preserve">0.0 </v>
      </c>
      <c r="AL420" s="200"/>
      <c r="AM420" s="167">
        <f t="shared" si="209"/>
        <v>0</v>
      </c>
      <c r="AN420" s="201"/>
      <c r="AO420" s="167">
        <f t="shared" si="210"/>
        <v>0</v>
      </c>
      <c r="AP420" s="200"/>
      <c r="AQ420" s="172" t="str">
        <f t="shared" si="225"/>
        <v xml:space="preserve">0.0 </v>
      </c>
      <c r="AR420" s="200"/>
      <c r="AS420" s="109"/>
      <c r="AT420" s="394">
        <f t="shared" si="212"/>
        <v>19.899999999999999</v>
      </c>
      <c r="AW420" s="225">
        <v>1959</v>
      </c>
      <c r="AX420" s="101">
        <f t="shared" si="199"/>
        <v>3.89</v>
      </c>
      <c r="AY420" s="101">
        <f t="shared" si="200"/>
        <v>3.89</v>
      </c>
    </row>
    <row r="421" spans="1:51" ht="20.100000000000001" customHeight="1" x14ac:dyDescent="0.25">
      <c r="A421" s="154"/>
      <c r="R421" s="154"/>
      <c r="T421" s="429">
        <v>130</v>
      </c>
      <c r="U421" s="80"/>
      <c r="V421" s="265" t="s">
        <v>347</v>
      </c>
      <c r="W421" s="80"/>
      <c r="X421" s="80"/>
      <c r="Y421" s="169">
        <f>SUM(Y320:Y420)</f>
        <v>18145</v>
      </c>
      <c r="Z421" s="70"/>
      <c r="AA421" s="169">
        <f>SUM(AA320:AA420)</f>
        <v>1244438</v>
      </c>
      <c r="AB421" s="79"/>
      <c r="AD421" s="80"/>
      <c r="AE421" s="167">
        <f>SUM(AE320:AE420)</f>
        <v>269082</v>
      </c>
      <c r="AF421" s="80"/>
      <c r="AG421" s="166">
        <f>ROUND((AE421/AE$433)*100,1)+0.1</f>
        <v>20.200000000000003</v>
      </c>
      <c r="AH421" s="80"/>
      <c r="AI421" s="167">
        <f>SUM(AI320:AI420)</f>
        <v>31961</v>
      </c>
      <c r="AJ421" s="80"/>
      <c r="AK421" s="168">
        <f t="shared" si="197"/>
        <v>11.9</v>
      </c>
      <c r="AL421" s="200"/>
      <c r="AM421" s="400">
        <f>ROUND(AA421*CUR_FAC,0)</f>
        <v>1279</v>
      </c>
      <c r="AN421" s="201"/>
      <c r="AO421" s="167">
        <f>SUM(AO320:AO420)</f>
        <v>270361</v>
      </c>
      <c r="AP421" s="200"/>
      <c r="AQ421" s="157">
        <f t="shared" si="225"/>
        <v>11.8</v>
      </c>
      <c r="AS421" s="109"/>
    </row>
    <row r="422" spans="1:51" ht="20.100000000000001" customHeight="1" x14ac:dyDescent="0.25">
      <c r="A422" s="154"/>
      <c r="R422" s="154"/>
      <c r="T422" s="425">
        <f>A200</f>
        <v>131</v>
      </c>
      <c r="U422" s="80"/>
      <c r="V422" s="253" t="s">
        <v>779</v>
      </c>
      <c r="W422" s="80"/>
      <c r="X422" s="80"/>
      <c r="Y422" s="163"/>
      <c r="Z422" s="70"/>
      <c r="AA422" s="163"/>
      <c r="AB422" s="79"/>
      <c r="AD422" s="80"/>
      <c r="AE422" s="163"/>
      <c r="AF422" s="80"/>
      <c r="AG422" s="197"/>
      <c r="AH422" s="80"/>
      <c r="AI422" s="163"/>
      <c r="AJ422" s="80"/>
      <c r="AK422" s="172"/>
      <c r="AL422" s="200"/>
      <c r="AM422" s="109"/>
      <c r="AN422" s="201"/>
      <c r="AO422" s="163"/>
      <c r="AP422" s="200"/>
      <c r="AQ422" s="157"/>
      <c r="AS422" s="109"/>
    </row>
    <row r="423" spans="1:51" ht="20.100000000000001" customHeight="1" x14ac:dyDescent="0.25">
      <c r="A423" s="154"/>
      <c r="R423" s="154"/>
      <c r="T423" s="425">
        <f t="shared" ref="T423:T432" si="233">A201</f>
        <v>132</v>
      </c>
      <c r="U423" s="80"/>
      <c r="V423" s="153" t="str">
        <f t="shared" ref="V423:V425" si="234">C201</f>
        <v>ENVIRONMENTAL SURCHARGE MECHANISM RIDER (ESM)</v>
      </c>
      <c r="W423" s="80"/>
      <c r="X423" s="80"/>
      <c r="Y423" s="163"/>
      <c r="Z423" s="70"/>
      <c r="AA423" s="163"/>
      <c r="AB423" s="79"/>
      <c r="AC423" s="401">
        <f>CUR_ESM</f>
        <v>0</v>
      </c>
      <c r="AD423" s="80"/>
      <c r="AE423" s="163">
        <f>ROUND(($AO$421+$AO$316)*AC423,0)</f>
        <v>0</v>
      </c>
      <c r="AF423" s="80"/>
      <c r="AG423" s="197">
        <f t="shared" ref="AG423:AG425" si="235">ROUND((AE423/AE$433)*100,1)</f>
        <v>0</v>
      </c>
      <c r="AH423" s="80"/>
      <c r="AI423" s="163">
        <f t="shared" ref="AI423:AI425" si="236">L201-AE423</f>
        <v>0</v>
      </c>
      <c r="AJ423" s="80"/>
      <c r="AK423" s="172" t="str">
        <f t="shared" ref="AK423:AK425" si="237">IF(AE423=0,"0.0 ",ROUND((AI423/AE423)*100,1))</f>
        <v xml:space="preserve">0.0 </v>
      </c>
      <c r="AL423" s="200"/>
      <c r="AM423" s="109"/>
      <c r="AN423" s="201"/>
      <c r="AO423" s="163">
        <f t="shared" ref="AO423:AO425" si="238">AE423+AM423</f>
        <v>0</v>
      </c>
      <c r="AP423" s="200"/>
      <c r="AQ423" s="157" t="str">
        <f t="shared" ref="AQ423:AQ425" si="239">IF(AO423=0,"0.0 ",ROUND((AI423/AO423)*100,1))</f>
        <v xml:space="preserve">0.0 </v>
      </c>
      <c r="AS423" s="109"/>
    </row>
    <row r="424" spans="1:51" ht="20.100000000000001" customHeight="1" x14ac:dyDescent="0.25">
      <c r="A424" s="154"/>
      <c r="R424" s="154"/>
      <c r="T424" s="425">
        <f t="shared" si="233"/>
        <v>133</v>
      </c>
      <c r="U424" s="80"/>
      <c r="V424" s="153" t="str">
        <f t="shared" si="234"/>
        <v>DISTRIBUTION CAPITAL INVESTMENT RIDER (DCI)</v>
      </c>
      <c r="W424" s="80"/>
      <c r="X424" s="80"/>
      <c r="Y424" s="163"/>
      <c r="Z424" s="70"/>
      <c r="AA424" s="163"/>
      <c r="AB424" s="79"/>
      <c r="AC424" s="401">
        <f>CUR_DCI_SL</f>
        <v>0</v>
      </c>
      <c r="AD424" s="80"/>
      <c r="AE424" s="163">
        <f>ROUND(($AA$421+$AA$316)*AC424,0)</f>
        <v>0</v>
      </c>
      <c r="AF424" s="80"/>
      <c r="AG424" s="197">
        <f t="shared" si="235"/>
        <v>0</v>
      </c>
      <c r="AH424" s="80"/>
      <c r="AI424" s="163">
        <f t="shared" si="236"/>
        <v>0</v>
      </c>
      <c r="AJ424" s="80"/>
      <c r="AK424" s="172" t="str">
        <f t="shared" si="237"/>
        <v xml:space="preserve">0.0 </v>
      </c>
      <c r="AL424" s="200"/>
      <c r="AM424" s="109"/>
      <c r="AN424" s="201"/>
      <c r="AO424" s="163">
        <f t="shared" si="238"/>
        <v>0</v>
      </c>
      <c r="AP424" s="200"/>
      <c r="AQ424" s="157" t="str">
        <f t="shared" si="239"/>
        <v xml:space="preserve">0.0 </v>
      </c>
      <c r="AS424" s="109"/>
    </row>
    <row r="425" spans="1:51" ht="20.100000000000001" customHeight="1" x14ac:dyDescent="0.25">
      <c r="A425" s="154"/>
      <c r="R425" s="154"/>
      <c r="T425" s="425">
        <f t="shared" si="233"/>
        <v>134</v>
      </c>
      <c r="U425" s="80"/>
      <c r="V425" s="153" t="str">
        <f t="shared" si="234"/>
        <v>FERC TRANSMISSION COST RECOVERY RECONCILIATION (FTR)</v>
      </c>
      <c r="W425" s="80"/>
      <c r="X425" s="80"/>
      <c r="Y425" s="163"/>
      <c r="Z425" s="70"/>
      <c r="AA425" s="163"/>
      <c r="AB425" s="79"/>
      <c r="AC425" s="401">
        <f>CUR_FTR_SL</f>
        <v>0</v>
      </c>
      <c r="AD425" s="80"/>
      <c r="AE425" s="163">
        <f>ROUND(($AA$421+$AA$316)*AC425,0)</f>
        <v>0</v>
      </c>
      <c r="AF425" s="80"/>
      <c r="AG425" s="197">
        <f t="shared" si="235"/>
        <v>0</v>
      </c>
      <c r="AH425" s="80"/>
      <c r="AI425" s="163">
        <f t="shared" si="236"/>
        <v>0</v>
      </c>
      <c r="AJ425" s="80"/>
      <c r="AK425" s="172" t="str">
        <f t="shared" si="237"/>
        <v xml:space="preserve">0.0 </v>
      </c>
      <c r="AL425" s="200"/>
      <c r="AM425" s="109"/>
      <c r="AN425" s="201"/>
      <c r="AO425" s="163">
        <f t="shared" si="238"/>
        <v>0</v>
      </c>
      <c r="AP425" s="200"/>
      <c r="AQ425" s="157" t="str">
        <f t="shared" si="239"/>
        <v xml:space="preserve">0.0 </v>
      </c>
      <c r="AS425" s="109"/>
    </row>
    <row r="426" spans="1:51" ht="15.75" customHeight="1" x14ac:dyDescent="0.25">
      <c r="A426" s="154"/>
      <c r="R426" s="154"/>
      <c r="T426" s="425">
        <f t="shared" si="233"/>
        <v>135</v>
      </c>
      <c r="U426" s="80"/>
      <c r="V426" s="153" t="str">
        <f>C204</f>
        <v>PROFIT SHARING MECHANISM (PSM)</v>
      </c>
      <c r="W426" s="80"/>
      <c r="X426" s="80"/>
      <c r="Y426" s="163"/>
      <c r="Z426" s="70"/>
      <c r="AA426" s="163"/>
      <c r="AB426" s="79"/>
      <c r="AC426" s="401">
        <f>RS_PSM</f>
        <v>-4.5600000000000003E-4</v>
      </c>
      <c r="AD426" s="80"/>
      <c r="AE426" s="167">
        <f>ROUND(($AA$421+$AA$316)*AC426,0)</f>
        <v>-4943</v>
      </c>
      <c r="AF426" s="80"/>
      <c r="AG426" s="166">
        <f t="shared" ref="AG426:AG427" si="240">ROUND((AE426/AE$433)*100,1)</f>
        <v>-0.4</v>
      </c>
      <c r="AH426" s="80"/>
      <c r="AI426" s="167">
        <f>L204-AE426</f>
        <v>0</v>
      </c>
      <c r="AJ426" s="80"/>
      <c r="AK426" s="168">
        <f t="shared" ref="AK426" si="241">IF(AE426=0,"0.0 ",ROUND((AI426/AE426)*100,1))</f>
        <v>0</v>
      </c>
      <c r="AL426" s="200"/>
      <c r="AM426" s="400"/>
      <c r="AN426" s="201"/>
      <c r="AO426" s="167">
        <f t="shared" ref="AO426" si="242">AE426+AM426</f>
        <v>-4943</v>
      </c>
      <c r="AP426" s="70"/>
      <c r="AQ426" s="157">
        <f t="shared" ref="AQ426" si="243">IF(AO426=0,"0.0 ",ROUND((AI426/AO426)*100,1))</f>
        <v>0</v>
      </c>
      <c r="AS426" s="109"/>
    </row>
    <row r="427" spans="1:51" ht="20.100000000000001" customHeight="1" x14ac:dyDescent="0.25">
      <c r="A427" s="154"/>
      <c r="R427" s="154"/>
      <c r="T427" s="425">
        <f t="shared" si="233"/>
        <v>136</v>
      </c>
      <c r="U427" s="80"/>
      <c r="V427" s="253" t="s">
        <v>585</v>
      </c>
      <c r="W427" s="80"/>
      <c r="X427" s="80"/>
      <c r="Y427" s="163"/>
      <c r="Z427" s="70"/>
      <c r="AA427" s="163"/>
      <c r="AB427" s="79"/>
      <c r="AD427" s="80"/>
      <c r="AE427" s="169">
        <f>SUM(AE423:AE426)</f>
        <v>-4943</v>
      </c>
      <c r="AF427" s="80"/>
      <c r="AG427" s="170">
        <f t="shared" si="240"/>
        <v>-0.4</v>
      </c>
      <c r="AH427" s="80"/>
      <c r="AI427" s="169">
        <f>SUM(AI423:AI426)</f>
        <v>0</v>
      </c>
      <c r="AJ427" s="80"/>
      <c r="AK427" s="171">
        <f>IF(AE427=0,"0.0 ",ROUND((AI427/AE427)*100,1))</f>
        <v>0</v>
      </c>
      <c r="AL427" s="200"/>
      <c r="AM427" s="398"/>
      <c r="AN427" s="201"/>
      <c r="AO427" s="169">
        <f>SUM(AO423:AO426)</f>
        <v>-4943</v>
      </c>
      <c r="AP427" s="200"/>
      <c r="AQ427" s="157">
        <f t="shared" si="225"/>
        <v>0</v>
      </c>
      <c r="AS427" s="109"/>
    </row>
    <row r="428" spans="1:51" ht="15.75" customHeight="1" x14ac:dyDescent="0.25">
      <c r="A428" s="154"/>
      <c r="R428" s="154"/>
      <c r="T428" s="425"/>
      <c r="U428" s="80"/>
      <c r="V428" s="265"/>
      <c r="W428" s="80"/>
      <c r="X428" s="80"/>
      <c r="Y428" s="163"/>
      <c r="Z428" s="70"/>
      <c r="AA428" s="163"/>
      <c r="AB428" s="79"/>
      <c r="AD428" s="80"/>
      <c r="AE428" s="163"/>
      <c r="AF428" s="80"/>
      <c r="AG428" s="197"/>
      <c r="AH428" s="80"/>
      <c r="AI428" s="163"/>
      <c r="AJ428" s="80"/>
      <c r="AK428" s="172"/>
      <c r="AL428" s="200"/>
      <c r="AM428" s="109"/>
      <c r="AN428" s="201"/>
      <c r="AO428" s="163"/>
      <c r="AP428" s="200"/>
      <c r="AQ428" s="157"/>
      <c r="AS428" s="109"/>
    </row>
    <row r="429" spans="1:51" ht="21" customHeight="1" x14ac:dyDescent="0.25">
      <c r="A429" s="154"/>
      <c r="R429" s="154"/>
      <c r="T429" s="425">
        <f t="shared" si="233"/>
        <v>137</v>
      </c>
      <c r="V429" s="397" t="s">
        <v>407</v>
      </c>
      <c r="X429" s="80"/>
      <c r="Y429" s="163"/>
      <c r="Z429" s="85"/>
      <c r="AA429" s="163"/>
      <c r="AB429" s="79"/>
      <c r="AD429" s="80"/>
      <c r="AE429" s="163"/>
      <c r="AF429" s="80"/>
      <c r="AG429" s="197"/>
      <c r="AH429" s="80"/>
      <c r="AI429" s="163"/>
      <c r="AJ429" s="80"/>
      <c r="AK429" s="172"/>
      <c r="AL429" s="200"/>
      <c r="AM429" s="110"/>
      <c r="AN429" s="201"/>
      <c r="AO429" s="163"/>
      <c r="AP429" s="200"/>
      <c r="AQ429" s="157"/>
      <c r="AS429" s="109"/>
    </row>
    <row r="430" spans="1:51" x14ac:dyDescent="0.25">
      <c r="A430" s="154"/>
      <c r="R430" s="154"/>
      <c r="T430" s="425">
        <f t="shared" si="233"/>
        <v>138</v>
      </c>
      <c r="V430" s="154" t="s">
        <v>408</v>
      </c>
      <c r="X430" s="80"/>
      <c r="Y430" s="78">
        <f>F208</f>
        <v>5647</v>
      </c>
      <c r="Z430" s="85"/>
      <c r="AA430" s="163"/>
      <c r="AB430" s="79"/>
      <c r="AC430" s="402">
        <v>0.52</v>
      </c>
      <c r="AD430" s="80"/>
      <c r="AE430" s="163">
        <f>ROUND((Y430*AC430),0)</f>
        <v>2936</v>
      </c>
      <c r="AF430" s="80"/>
      <c r="AG430" s="197">
        <f>ROUND((AE430/AE$433)*100,1)</f>
        <v>0.2</v>
      </c>
      <c r="AH430" s="80"/>
      <c r="AI430" s="79">
        <f>L208-AE430</f>
        <v>339</v>
      </c>
      <c r="AJ430" s="80"/>
      <c r="AK430" s="172">
        <f>IF(AE430=0,"0.0 ",ROUND((AI430/AE430)*100,1))</f>
        <v>11.5</v>
      </c>
      <c r="AL430" s="200"/>
      <c r="AM430" s="161"/>
      <c r="AN430" s="201"/>
      <c r="AO430" s="79">
        <f>AE430+AM430</f>
        <v>2936</v>
      </c>
      <c r="AP430" s="200"/>
      <c r="AQ430" s="157">
        <f>IF(AO430=0,"0.0 ",ROUND((AI430/AO430)*100,1))</f>
        <v>11.5</v>
      </c>
      <c r="AS430" s="109"/>
    </row>
    <row r="431" spans="1:51" x14ac:dyDescent="0.25">
      <c r="A431" s="154"/>
      <c r="R431" s="154"/>
      <c r="T431" s="425">
        <f t="shared" si="233"/>
        <v>139</v>
      </c>
      <c r="V431" s="154" t="s">
        <v>409</v>
      </c>
      <c r="X431" s="80"/>
      <c r="Y431" s="78">
        <f>F209</f>
        <v>20991</v>
      </c>
      <c r="Z431" s="70"/>
      <c r="AA431" s="163"/>
      <c r="AB431" s="79"/>
      <c r="AC431" s="402">
        <v>0.75</v>
      </c>
      <c r="AD431" s="80"/>
      <c r="AE431" s="167">
        <f>ROUND((Y431*AC431),0)</f>
        <v>15743</v>
      </c>
      <c r="AF431" s="80"/>
      <c r="AG431" s="166">
        <f>ROUND((AE431/AE$433)*100,1)</f>
        <v>1.2</v>
      </c>
      <c r="AH431" s="80"/>
      <c r="AI431" s="167">
        <f>L209-AE431</f>
        <v>1889</v>
      </c>
      <c r="AJ431" s="80"/>
      <c r="AK431" s="168">
        <f>IF(AE431=0,"0.0 ",ROUND((AI431/AE431)*100,1))</f>
        <v>12</v>
      </c>
      <c r="AL431" s="200"/>
      <c r="AM431" s="203"/>
      <c r="AN431" s="201"/>
      <c r="AO431" s="167">
        <f>AE431+AM431</f>
        <v>15743</v>
      </c>
      <c r="AP431" s="200"/>
      <c r="AQ431" s="157">
        <f>IF(AO431=0,"0.0 ",ROUND((AI431/AO431)*100,1))</f>
        <v>12</v>
      </c>
      <c r="AS431" s="109"/>
    </row>
    <row r="432" spans="1:51" ht="20.100000000000001" customHeight="1" x14ac:dyDescent="0.25">
      <c r="A432" s="154"/>
      <c r="R432" s="154"/>
      <c r="T432" s="425">
        <f t="shared" si="233"/>
        <v>140</v>
      </c>
      <c r="V432" s="397" t="s">
        <v>410</v>
      </c>
      <c r="X432" s="80"/>
      <c r="Y432" s="204">
        <f>SUM(Y430:Y431)</f>
        <v>26638</v>
      </c>
      <c r="Z432" s="70"/>
      <c r="AA432" s="163"/>
      <c r="AB432" s="79"/>
      <c r="AD432" s="80"/>
      <c r="AE432" s="163">
        <f>SUM(AE430:AE431)</f>
        <v>18679</v>
      </c>
      <c r="AF432" s="80"/>
      <c r="AG432" s="166">
        <f>ROUND((AE432/AE$433)*100,1)</f>
        <v>1.4</v>
      </c>
      <c r="AH432" s="80"/>
      <c r="AI432" s="163">
        <f>SUM(AI430:AI431)</f>
        <v>2228</v>
      </c>
      <c r="AJ432" s="80"/>
      <c r="AK432" s="168">
        <f t="shared" si="197"/>
        <v>11.9</v>
      </c>
      <c r="AL432" s="200"/>
      <c r="AM432" s="203">
        <v>0</v>
      </c>
      <c r="AN432" s="201"/>
      <c r="AO432" s="163">
        <f>SUM(AO430:AO431)</f>
        <v>18679</v>
      </c>
      <c r="AP432" s="200"/>
      <c r="AQ432" s="157">
        <f>IF(AO432=0,"0.0 ",ROUND((AI432/AO432)*100,1))</f>
        <v>11.9</v>
      </c>
      <c r="AS432" s="109"/>
    </row>
    <row r="433" spans="1:45" ht="25.5" customHeight="1" thickBot="1" x14ac:dyDescent="0.3">
      <c r="L433" s="154"/>
      <c r="M433" s="154"/>
      <c r="R433" s="202"/>
      <c r="T433" s="425">
        <f>A211</f>
        <v>141</v>
      </c>
      <c r="U433" s="80"/>
      <c r="V433" s="253" t="s">
        <v>603</v>
      </c>
      <c r="W433" s="80"/>
      <c r="X433" s="80"/>
      <c r="Y433" s="205">
        <f>Y316+Y421</f>
        <v>138477</v>
      </c>
      <c r="Z433" s="70"/>
      <c r="AA433" s="205">
        <f>AA316+AA421</f>
        <v>10839811</v>
      </c>
      <c r="AB433" s="79"/>
      <c r="AD433" s="80"/>
      <c r="AE433" s="205">
        <f>AE316+AE421+AE427+AE432</f>
        <v>1335809</v>
      </c>
      <c r="AF433" s="80"/>
      <c r="AG433" s="206">
        <v>100</v>
      </c>
      <c r="AH433" s="80"/>
      <c r="AI433" s="205">
        <f>AI316+AI421+AI427+AI432</f>
        <v>159846</v>
      </c>
      <c r="AJ433" s="80"/>
      <c r="AK433" s="207">
        <f t="shared" si="197"/>
        <v>12</v>
      </c>
      <c r="AL433" s="80"/>
      <c r="AM433" s="403">
        <f>ROUND(AA433*CUR_FAC,0)</f>
        <v>11143</v>
      </c>
      <c r="AN433" s="80"/>
      <c r="AO433" s="205">
        <f>AO316+AO421+AO427+AO432</f>
        <v>1346952</v>
      </c>
      <c r="AP433" s="80"/>
      <c r="AQ433" s="157">
        <f t="shared" si="225"/>
        <v>11.9</v>
      </c>
      <c r="AS433" s="109"/>
    </row>
    <row r="434" spans="1:45" ht="16.5" thickTop="1" x14ac:dyDescent="0.25">
      <c r="L434" s="154"/>
      <c r="M434" s="154"/>
      <c r="R434" s="202"/>
      <c r="U434" s="80"/>
      <c r="V434" s="82"/>
      <c r="W434" s="80"/>
      <c r="X434" s="80"/>
      <c r="Y434" s="163"/>
      <c r="Z434" s="70"/>
      <c r="AA434" s="163"/>
      <c r="AB434" s="79"/>
      <c r="AD434" s="80"/>
      <c r="AE434" s="163"/>
      <c r="AF434" s="80"/>
      <c r="AG434" s="197"/>
      <c r="AH434" s="80"/>
      <c r="AI434" s="163"/>
      <c r="AJ434" s="80"/>
      <c r="AK434" s="172"/>
      <c r="AL434" s="80"/>
      <c r="AM434" s="110"/>
      <c r="AN434" s="80"/>
      <c r="AO434" s="163"/>
      <c r="AP434" s="80"/>
      <c r="AQ434" s="157"/>
    </row>
    <row r="435" spans="1:45" x14ac:dyDescent="0.25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T435" s="173" t="s">
        <v>80</v>
      </c>
      <c r="U435" s="174"/>
      <c r="V435" s="146"/>
      <c r="W435" s="146"/>
      <c r="X435" s="146"/>
      <c r="Y435" s="146"/>
      <c r="Z435" s="146"/>
      <c r="AA435" s="146"/>
      <c r="AB435" s="146"/>
      <c r="AC435" s="174"/>
      <c r="AD435" s="146"/>
      <c r="AE435" s="175" t="s">
        <v>314</v>
      </c>
      <c r="AF435" s="146"/>
      <c r="AG435" s="176"/>
      <c r="AH435" s="146"/>
      <c r="AI435" s="174"/>
      <c r="AJ435" s="146"/>
      <c r="AK435" s="177" t="s">
        <v>319</v>
      </c>
      <c r="AL435" s="146"/>
      <c r="AM435" s="146"/>
      <c r="AN435" s="146"/>
      <c r="AO435" s="146"/>
      <c r="AP435" s="80"/>
      <c r="AQ435" s="184"/>
    </row>
    <row r="436" spans="1:45" x14ac:dyDescent="0.25">
      <c r="L436" s="103"/>
      <c r="M436" s="103"/>
      <c r="N436" s="103"/>
      <c r="O436" s="103"/>
      <c r="R436" s="103"/>
      <c r="T436" s="173" t="str">
        <f>"(1A) REFLECTS FUEL COST RECOVERY INCLUDED IN BASE RATES OF "&amp;TEXT(CUR_BASE_FUEL,"$0.000000;($0.000000)")&amp;"  PER KWH."</f>
        <v>(1A) REFLECTS FUEL COST RECOVERY INCLUDED IN BASE RATES OF $0.023837  PER KWH.</v>
      </c>
      <c r="U436" s="146"/>
      <c r="V436" s="146"/>
      <c r="W436" s="146"/>
      <c r="X436" s="146"/>
      <c r="Y436" s="180"/>
      <c r="Z436" s="146"/>
      <c r="AA436" s="146"/>
      <c r="AB436" s="146"/>
      <c r="AC436" s="174"/>
      <c r="AD436" s="146"/>
      <c r="AE436" s="177" t="s">
        <v>316</v>
      </c>
      <c r="AF436" s="146"/>
      <c r="AG436" s="176"/>
      <c r="AH436" s="146"/>
      <c r="AI436" s="174"/>
      <c r="AJ436" s="146"/>
      <c r="AK436" s="175" t="s">
        <v>320</v>
      </c>
      <c r="AL436" s="146"/>
      <c r="AM436" s="146"/>
      <c r="AN436" s="146"/>
      <c r="AO436" s="146"/>
      <c r="AP436" s="80"/>
      <c r="AQ436" s="184"/>
    </row>
    <row r="437" spans="1:45" x14ac:dyDescent="0.25">
      <c r="L437" s="103"/>
      <c r="M437" s="103"/>
      <c r="N437" s="103"/>
      <c r="O437" s="103"/>
      <c r="R437" s="103"/>
      <c r="T437" s="173" t="str">
        <f>"(2) REFLECTS FUEL COMPONENT OF "&amp;TEXT(CUR_FAC,"$0.000000;($0.000000)")&amp;"  PER KWH."</f>
        <v>(2) REFLECTS FUEL COMPONENT OF $0.001028  PER KWH.</v>
      </c>
      <c r="U437" s="146"/>
      <c r="V437" s="146"/>
      <c r="W437" s="146"/>
      <c r="X437" s="146"/>
      <c r="Y437" s="180"/>
      <c r="Z437" s="146"/>
      <c r="AA437" s="146"/>
      <c r="AB437" s="146"/>
      <c r="AC437" s="174"/>
      <c r="AD437" s="146"/>
      <c r="AE437" s="177" t="s">
        <v>317</v>
      </c>
      <c r="AF437" s="146"/>
      <c r="AG437" s="176"/>
      <c r="AH437" s="146"/>
      <c r="AI437" s="174"/>
      <c r="AJ437" s="146"/>
      <c r="AK437" s="175" t="s">
        <v>321</v>
      </c>
      <c r="AL437" s="146"/>
      <c r="AM437" s="146"/>
      <c r="AN437" s="146"/>
      <c r="AO437" s="146"/>
      <c r="AP437" s="80"/>
      <c r="AQ437" s="184"/>
    </row>
    <row r="438" spans="1:45" x14ac:dyDescent="0.25">
      <c r="L438" s="103"/>
      <c r="M438" s="103"/>
      <c r="N438" s="103"/>
      <c r="O438" s="103"/>
      <c r="R438" s="103"/>
      <c r="T438" s="175" t="s">
        <v>315</v>
      </c>
      <c r="U438" s="146"/>
      <c r="V438" s="146"/>
      <c r="W438" s="146"/>
      <c r="X438" s="146"/>
      <c r="Y438" s="180"/>
      <c r="Z438" s="146"/>
      <c r="AA438" s="146"/>
      <c r="AB438" s="146"/>
      <c r="AC438" s="174"/>
      <c r="AD438" s="146"/>
      <c r="AE438" s="175" t="s">
        <v>318</v>
      </c>
      <c r="AF438" s="146"/>
      <c r="AG438" s="176"/>
      <c r="AH438" s="146"/>
      <c r="AI438" s="174"/>
      <c r="AJ438" s="146"/>
      <c r="AK438" s="175" t="s">
        <v>322</v>
      </c>
      <c r="AL438" s="146"/>
      <c r="AM438" s="146"/>
      <c r="AN438" s="146"/>
      <c r="AO438" s="146"/>
      <c r="AP438" s="80"/>
      <c r="AQ438" s="184"/>
    </row>
    <row r="439" spans="1:45" x14ac:dyDescent="0.25">
      <c r="A439" s="103"/>
      <c r="C439" s="103"/>
      <c r="D439" s="103"/>
      <c r="E439" s="103"/>
      <c r="F439" s="103"/>
      <c r="J439" s="103"/>
      <c r="K439" s="103"/>
      <c r="L439" s="103"/>
      <c r="M439" s="103"/>
      <c r="N439" s="103"/>
      <c r="O439" s="103"/>
      <c r="P439" s="103"/>
      <c r="Q439" s="103"/>
      <c r="R439" s="103"/>
      <c r="T439" s="175" t="s">
        <v>313</v>
      </c>
      <c r="U439" s="146"/>
      <c r="V439" s="146"/>
      <c r="W439" s="146"/>
      <c r="X439" s="146"/>
      <c r="Y439" s="180"/>
      <c r="Z439" s="146"/>
      <c r="AA439" s="146"/>
      <c r="AB439" s="146"/>
      <c r="AC439" s="174"/>
      <c r="AD439" s="174"/>
      <c r="AE439" s="175" t="s">
        <v>438</v>
      </c>
      <c r="AF439" s="174"/>
      <c r="AG439" s="181"/>
      <c r="AH439" s="174"/>
      <c r="AI439" s="174"/>
      <c r="AJ439" s="174"/>
      <c r="AK439" s="175" t="s">
        <v>323</v>
      </c>
      <c r="AL439" s="146"/>
      <c r="AM439" s="146"/>
      <c r="AN439" s="146"/>
      <c r="AO439" s="146"/>
      <c r="AP439" s="80"/>
      <c r="AQ439" s="184"/>
    </row>
    <row r="440" spans="1:45" x14ac:dyDescent="0.25">
      <c r="A440" s="103"/>
      <c r="C440" s="103"/>
      <c r="D440" s="103"/>
      <c r="E440" s="103"/>
      <c r="F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U440" s="103"/>
      <c r="V440" s="103"/>
      <c r="AA440" s="103"/>
      <c r="AB440" s="103"/>
      <c r="AD440" s="103"/>
      <c r="AE440" s="103"/>
      <c r="AF440" s="103"/>
      <c r="AG440" s="185"/>
      <c r="AH440" s="103"/>
      <c r="AI440" s="103"/>
      <c r="AJ440" s="103"/>
      <c r="AK440" s="185"/>
      <c r="AL440" s="103"/>
      <c r="AM440" s="103"/>
      <c r="AN440" s="103"/>
      <c r="AO440" s="103"/>
      <c r="AP440" s="103"/>
    </row>
    <row r="441" spans="1:45" x14ac:dyDescent="0.25">
      <c r="C441" s="103"/>
      <c r="D441" s="103"/>
      <c r="E441" s="103"/>
      <c r="F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T441" s="103"/>
      <c r="U441" s="103"/>
      <c r="V441" s="103"/>
      <c r="AA441" s="103"/>
      <c r="AB441" s="103"/>
      <c r="AC441" s="103"/>
      <c r="AD441" s="103"/>
      <c r="AE441" s="103"/>
      <c r="AF441" s="103"/>
      <c r="AG441" s="185"/>
      <c r="AH441" s="103"/>
      <c r="AI441" s="103"/>
      <c r="AJ441" s="103"/>
      <c r="AK441" s="185"/>
      <c r="AL441" s="103"/>
      <c r="AM441" s="103"/>
      <c r="AN441" s="103"/>
      <c r="AO441" s="103"/>
      <c r="AP441" s="103"/>
    </row>
    <row r="442" spans="1:45" x14ac:dyDescent="0.25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208"/>
      <c r="AH442" s="102"/>
      <c r="AI442" s="102"/>
      <c r="AJ442" s="102"/>
      <c r="AK442" s="208"/>
      <c r="AL442" s="102"/>
      <c r="AM442" s="102"/>
      <c r="AN442" s="102"/>
      <c r="AO442" s="102"/>
      <c r="AP442" s="102"/>
    </row>
    <row r="443" spans="1:45" x14ac:dyDescent="0.25"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AA443" s="103"/>
      <c r="AB443" s="103"/>
      <c r="AC443" s="103"/>
      <c r="AD443" s="103"/>
      <c r="AE443" s="103"/>
      <c r="AF443" s="103"/>
      <c r="AG443" s="185"/>
      <c r="AH443" s="103"/>
      <c r="AI443" s="103"/>
      <c r="AJ443" s="103"/>
      <c r="AK443" s="185"/>
      <c r="AL443" s="103"/>
      <c r="AM443" s="103"/>
      <c r="AN443" s="103"/>
      <c r="AO443" s="103"/>
      <c r="AP443" s="103"/>
    </row>
    <row r="444" spans="1:45" x14ac:dyDescent="0.25">
      <c r="A444" s="202"/>
      <c r="C444" s="154"/>
      <c r="D444" s="154"/>
      <c r="E444" s="154"/>
      <c r="T444" s="154"/>
      <c r="U444" s="154"/>
    </row>
    <row r="446" spans="1:45" x14ac:dyDescent="0.25">
      <c r="A446" s="202"/>
      <c r="C446" s="154"/>
      <c r="F446" s="252"/>
      <c r="H446" s="317"/>
      <c r="I446" s="317"/>
      <c r="J446" s="300"/>
      <c r="K446" s="300"/>
      <c r="L446" s="200"/>
      <c r="M446" s="200"/>
      <c r="N446" s="202"/>
      <c r="O446" s="202"/>
      <c r="P446" s="202"/>
      <c r="Q446" s="202"/>
      <c r="R446" s="200"/>
      <c r="T446" s="154"/>
      <c r="V446" s="200"/>
      <c r="AA446" s="202"/>
      <c r="AB446" s="300"/>
      <c r="AC446" s="200"/>
      <c r="AD446" s="200"/>
      <c r="AE446" s="202"/>
      <c r="AF446" s="202"/>
      <c r="AG446" s="209"/>
      <c r="AH446" s="200"/>
      <c r="AI446" s="326"/>
      <c r="AJ446" s="326"/>
      <c r="AK446" s="209"/>
      <c r="AL446" s="200"/>
      <c r="AM446" s="200"/>
      <c r="AN446" s="200"/>
      <c r="AO446" s="327"/>
      <c r="AP446" s="327"/>
    </row>
    <row r="447" spans="1:45" x14ac:dyDescent="0.25">
      <c r="F447" s="252"/>
      <c r="H447" s="317"/>
      <c r="I447" s="317"/>
      <c r="J447" s="317"/>
      <c r="K447" s="317"/>
      <c r="R447" s="200"/>
      <c r="V447" s="200"/>
      <c r="AB447" s="317"/>
    </row>
    <row r="448" spans="1:45" x14ac:dyDescent="0.25">
      <c r="A448" s="202"/>
      <c r="C448" s="154"/>
      <c r="F448" s="252"/>
      <c r="H448" s="252"/>
      <c r="I448" s="252"/>
      <c r="J448" s="320"/>
      <c r="K448" s="320"/>
      <c r="L448" s="200"/>
      <c r="M448" s="200"/>
      <c r="N448" s="210"/>
      <c r="O448" s="210"/>
      <c r="P448" s="252"/>
      <c r="Q448" s="252"/>
      <c r="R448" s="200"/>
      <c r="T448" s="154"/>
      <c r="V448" s="200"/>
      <c r="AA448" s="200"/>
      <c r="AB448" s="304"/>
      <c r="AC448" s="200"/>
      <c r="AD448" s="200"/>
      <c r="AE448" s="210"/>
      <c r="AF448" s="210"/>
      <c r="AG448" s="209"/>
      <c r="AH448" s="200"/>
      <c r="AI448" s="201"/>
      <c r="AJ448" s="201"/>
      <c r="AK448" s="325"/>
      <c r="AL448" s="252"/>
      <c r="AM448" s="200"/>
      <c r="AN448" s="200"/>
      <c r="AO448" s="210"/>
      <c r="AP448" s="210"/>
    </row>
    <row r="449" spans="1:42" x14ac:dyDescent="0.25">
      <c r="F449" s="211"/>
      <c r="H449" s="211"/>
      <c r="I449" s="211"/>
      <c r="J449" s="305"/>
      <c r="K449" s="305"/>
      <c r="L449" s="211"/>
      <c r="M449" s="211"/>
      <c r="N449" s="211"/>
      <c r="O449" s="211"/>
      <c r="P449" s="211"/>
      <c r="Q449" s="211"/>
      <c r="R449" s="211"/>
      <c r="V449" s="211"/>
      <c r="AA449" s="211"/>
      <c r="AB449" s="305"/>
      <c r="AC449" s="211"/>
      <c r="AD449" s="211"/>
      <c r="AE449" s="211"/>
      <c r="AF449" s="211"/>
      <c r="AG449" s="212"/>
      <c r="AH449" s="211"/>
      <c r="AK449" s="212"/>
      <c r="AL449" s="211"/>
      <c r="AM449" s="211"/>
      <c r="AN449" s="211"/>
    </row>
    <row r="450" spans="1:42" x14ac:dyDescent="0.25">
      <c r="A450" s="202"/>
      <c r="D450" s="154"/>
      <c r="E450" s="154"/>
      <c r="F450" s="200"/>
      <c r="H450" s="200"/>
      <c r="I450" s="200"/>
      <c r="J450" s="213"/>
      <c r="K450" s="213"/>
      <c r="L450" s="200"/>
      <c r="M450" s="200"/>
      <c r="N450" s="210"/>
      <c r="O450" s="210"/>
      <c r="P450" s="200"/>
      <c r="Q450" s="200"/>
      <c r="R450" s="200"/>
      <c r="U450" s="154"/>
      <c r="V450" s="200"/>
      <c r="AA450" s="200"/>
      <c r="AB450" s="213"/>
      <c r="AC450" s="200"/>
      <c r="AD450" s="200"/>
      <c r="AE450" s="210"/>
      <c r="AF450" s="210"/>
      <c r="AG450" s="209"/>
      <c r="AH450" s="200"/>
      <c r="AI450" s="201"/>
      <c r="AJ450" s="201"/>
      <c r="AK450" s="209"/>
      <c r="AL450" s="200"/>
      <c r="AM450" s="200"/>
      <c r="AN450" s="200"/>
      <c r="AO450" s="210"/>
      <c r="AP450" s="210"/>
    </row>
    <row r="451" spans="1:42" x14ac:dyDescent="0.25">
      <c r="F451" s="211"/>
      <c r="H451" s="211"/>
      <c r="I451" s="211"/>
      <c r="J451" s="305"/>
      <c r="K451" s="305"/>
      <c r="L451" s="211"/>
      <c r="M451" s="211"/>
      <c r="N451" s="211"/>
      <c r="O451" s="211"/>
      <c r="P451" s="211"/>
      <c r="Q451" s="211"/>
      <c r="R451" s="211"/>
      <c r="V451" s="211"/>
      <c r="AA451" s="211"/>
      <c r="AB451" s="305"/>
      <c r="AC451" s="211"/>
      <c r="AD451" s="211"/>
      <c r="AE451" s="211"/>
      <c r="AF451" s="211"/>
      <c r="AG451" s="212"/>
      <c r="AH451" s="211"/>
      <c r="AK451" s="212"/>
      <c r="AL451" s="211"/>
      <c r="AM451" s="211"/>
      <c r="AN451" s="211"/>
    </row>
    <row r="452" spans="1:42" x14ac:dyDescent="0.25">
      <c r="R452" s="200"/>
    </row>
    <row r="453" spans="1:42" x14ac:dyDescent="0.25">
      <c r="R453" s="200"/>
    </row>
    <row r="454" spans="1:42" x14ac:dyDescent="0.25">
      <c r="R454" s="200"/>
    </row>
    <row r="455" spans="1:42" x14ac:dyDescent="0.25">
      <c r="A455" s="202"/>
      <c r="C455" s="154"/>
      <c r="D455" s="154"/>
      <c r="E455" s="154"/>
      <c r="H455" s="200"/>
      <c r="I455" s="200"/>
      <c r="J455" s="213"/>
      <c r="K455" s="213"/>
      <c r="L455" s="200"/>
      <c r="M455" s="200"/>
      <c r="N455" s="210"/>
      <c r="O455" s="210"/>
      <c r="P455" s="200"/>
      <c r="Q455" s="200"/>
      <c r="R455" s="200"/>
      <c r="T455" s="154"/>
      <c r="U455" s="154"/>
      <c r="AA455" s="200"/>
      <c r="AB455" s="213"/>
      <c r="AC455" s="200"/>
      <c r="AD455" s="200"/>
      <c r="AE455" s="210"/>
      <c r="AF455" s="210"/>
    </row>
    <row r="456" spans="1:42" x14ac:dyDescent="0.25">
      <c r="H456" s="200"/>
      <c r="I456" s="200"/>
      <c r="J456" s="213"/>
      <c r="K456" s="213"/>
      <c r="L456" s="200"/>
      <c r="M456" s="200"/>
      <c r="N456" s="210"/>
      <c r="O456" s="210"/>
      <c r="P456" s="200"/>
      <c r="Q456" s="200"/>
      <c r="R456" s="200"/>
      <c r="AA456" s="200"/>
      <c r="AB456" s="213"/>
      <c r="AC456" s="200"/>
      <c r="AD456" s="200"/>
      <c r="AE456" s="210"/>
      <c r="AF456" s="210"/>
    </row>
    <row r="457" spans="1:42" x14ac:dyDescent="0.25">
      <c r="A457" s="202"/>
      <c r="C457" s="154"/>
      <c r="F457" s="252"/>
      <c r="H457" s="252"/>
      <c r="I457" s="252"/>
      <c r="J457" s="214"/>
      <c r="K457" s="214"/>
      <c r="L457" s="252"/>
      <c r="M457" s="252"/>
      <c r="N457" s="210"/>
      <c r="O457" s="210"/>
      <c r="P457" s="200"/>
      <c r="Q457" s="200"/>
      <c r="R457" s="200"/>
      <c r="T457" s="154"/>
      <c r="V457" s="200"/>
      <c r="AA457" s="200"/>
      <c r="AB457" s="214"/>
      <c r="AC457" s="200"/>
      <c r="AD457" s="200"/>
      <c r="AE457" s="210"/>
      <c r="AF457" s="210"/>
      <c r="AG457" s="209"/>
      <c r="AH457" s="200"/>
      <c r="AI457" s="201"/>
      <c r="AJ457" s="201"/>
      <c r="AK457" s="209"/>
      <c r="AL457" s="200"/>
      <c r="AM457" s="200"/>
      <c r="AN457" s="200"/>
      <c r="AO457" s="210"/>
      <c r="AP457" s="210"/>
    </row>
    <row r="458" spans="1:42" x14ac:dyDescent="0.25">
      <c r="F458" s="252"/>
      <c r="H458" s="317"/>
      <c r="I458" s="317"/>
      <c r="J458" s="317"/>
      <c r="K458" s="317"/>
      <c r="R458" s="200"/>
      <c r="V458" s="200"/>
      <c r="AB458" s="317"/>
    </row>
    <row r="459" spans="1:42" x14ac:dyDescent="0.25">
      <c r="A459" s="202"/>
      <c r="C459" s="154"/>
      <c r="F459" s="252"/>
      <c r="H459" s="252"/>
      <c r="I459" s="252"/>
      <c r="J459" s="300"/>
      <c r="K459" s="300"/>
      <c r="L459" s="200"/>
      <c r="M459" s="200"/>
      <c r="N459" s="210"/>
      <c r="O459" s="210"/>
      <c r="P459" s="200"/>
      <c r="Q459" s="200"/>
      <c r="R459" s="200"/>
      <c r="T459" s="154"/>
      <c r="V459" s="200"/>
      <c r="AA459" s="200"/>
      <c r="AB459" s="300"/>
      <c r="AC459" s="200"/>
      <c r="AD459" s="200"/>
      <c r="AE459" s="210"/>
      <c r="AF459" s="210"/>
      <c r="AG459" s="209"/>
      <c r="AH459" s="200"/>
      <c r="AI459" s="201"/>
      <c r="AJ459" s="201"/>
      <c r="AK459" s="209"/>
      <c r="AL459" s="200"/>
      <c r="AM459" s="200"/>
      <c r="AN459" s="200"/>
      <c r="AO459" s="210"/>
      <c r="AP459" s="210"/>
    </row>
    <row r="460" spans="1:42" x14ac:dyDescent="0.25">
      <c r="F460" s="252"/>
      <c r="H460" s="317"/>
      <c r="I460" s="317"/>
      <c r="J460" s="317"/>
      <c r="K460" s="317"/>
      <c r="R460" s="200"/>
      <c r="V460" s="200"/>
      <c r="AB460" s="317"/>
    </row>
    <row r="461" spans="1:42" x14ac:dyDescent="0.25">
      <c r="A461" s="202"/>
      <c r="C461" s="154"/>
      <c r="F461" s="252"/>
      <c r="H461" s="252"/>
      <c r="I461" s="252"/>
      <c r="J461" s="320"/>
      <c r="K461" s="320"/>
      <c r="L461" s="200"/>
      <c r="M461" s="200"/>
      <c r="N461" s="210"/>
      <c r="O461" s="210"/>
      <c r="P461" s="200"/>
      <c r="Q461" s="200"/>
      <c r="R461" s="200"/>
      <c r="T461" s="154"/>
      <c r="V461" s="200"/>
      <c r="AA461" s="200"/>
      <c r="AB461" s="304"/>
      <c r="AC461" s="200"/>
      <c r="AD461" s="200"/>
      <c r="AE461" s="210"/>
      <c r="AF461" s="210"/>
      <c r="AG461" s="209"/>
      <c r="AH461" s="200"/>
      <c r="AI461" s="201"/>
      <c r="AJ461" s="201"/>
      <c r="AK461" s="209"/>
      <c r="AL461" s="200"/>
      <c r="AM461" s="200"/>
      <c r="AN461" s="200"/>
      <c r="AO461" s="210"/>
      <c r="AP461" s="210"/>
    </row>
    <row r="462" spans="1:42" x14ac:dyDescent="0.25">
      <c r="F462" s="211"/>
      <c r="H462" s="211"/>
      <c r="I462" s="211"/>
      <c r="J462" s="305"/>
      <c r="K462" s="305"/>
      <c r="L462" s="211"/>
      <c r="M462" s="211"/>
      <c r="N462" s="211"/>
      <c r="O462" s="211"/>
      <c r="P462" s="211"/>
      <c r="Q462" s="211"/>
      <c r="R462" s="211"/>
      <c r="S462" s="200"/>
      <c r="V462" s="211"/>
      <c r="AA462" s="211"/>
      <c r="AB462" s="305"/>
      <c r="AC462" s="211"/>
      <c r="AD462" s="211"/>
      <c r="AE462" s="211"/>
      <c r="AF462" s="211"/>
      <c r="AG462" s="212"/>
      <c r="AH462" s="211"/>
      <c r="AK462" s="212"/>
      <c r="AL462" s="211"/>
      <c r="AM462" s="211"/>
      <c r="AN462" s="211"/>
    </row>
    <row r="463" spans="1:42" x14ac:dyDescent="0.25">
      <c r="A463" s="202"/>
      <c r="D463" s="154"/>
      <c r="E463" s="154"/>
      <c r="F463" s="200"/>
      <c r="H463" s="200"/>
      <c r="I463" s="200"/>
      <c r="J463" s="213"/>
      <c r="K463" s="213"/>
      <c r="L463" s="200"/>
      <c r="M463" s="200"/>
      <c r="N463" s="210"/>
      <c r="O463" s="210"/>
      <c r="P463" s="252"/>
      <c r="Q463" s="252"/>
      <c r="R463" s="200"/>
      <c r="S463" s="200"/>
      <c r="U463" s="154"/>
      <c r="V463" s="200"/>
      <c r="AA463" s="200"/>
      <c r="AB463" s="213"/>
      <c r="AC463" s="200"/>
      <c r="AD463" s="200"/>
      <c r="AE463" s="210"/>
      <c r="AF463" s="210"/>
      <c r="AG463" s="209"/>
      <c r="AH463" s="200"/>
      <c r="AI463" s="201"/>
      <c r="AJ463" s="201"/>
      <c r="AK463" s="325"/>
      <c r="AL463" s="252"/>
      <c r="AM463" s="200"/>
      <c r="AN463" s="200"/>
      <c r="AO463" s="210"/>
      <c r="AP463" s="210"/>
    </row>
    <row r="464" spans="1:42" x14ac:dyDescent="0.25">
      <c r="F464" s="211"/>
      <c r="H464" s="211"/>
      <c r="I464" s="211"/>
      <c r="J464" s="305"/>
      <c r="K464" s="305"/>
      <c r="L464" s="211"/>
      <c r="M464" s="211"/>
      <c r="N464" s="211"/>
      <c r="O464" s="211"/>
      <c r="P464" s="211"/>
      <c r="Q464" s="211"/>
      <c r="R464" s="211"/>
      <c r="S464" s="200"/>
      <c r="V464" s="211"/>
      <c r="AA464" s="211"/>
      <c r="AB464" s="305"/>
      <c r="AC464" s="211"/>
      <c r="AD464" s="211"/>
      <c r="AE464" s="211"/>
      <c r="AF464" s="211"/>
      <c r="AG464" s="212"/>
      <c r="AH464" s="211"/>
      <c r="AK464" s="212"/>
      <c r="AL464" s="211"/>
      <c r="AM464" s="211"/>
      <c r="AN464" s="211"/>
    </row>
    <row r="465" spans="1:42" x14ac:dyDescent="0.25">
      <c r="R465" s="200"/>
    </row>
    <row r="466" spans="1:42" x14ac:dyDescent="0.25">
      <c r="F466" s="200"/>
      <c r="H466" s="200"/>
      <c r="I466" s="200"/>
      <c r="J466" s="213"/>
      <c r="K466" s="213"/>
      <c r="L466" s="200"/>
      <c r="M466" s="200"/>
      <c r="N466" s="200"/>
      <c r="O466" s="200"/>
      <c r="P466" s="200"/>
      <c r="Q466" s="200"/>
      <c r="R466" s="200"/>
      <c r="V466" s="200"/>
      <c r="AA466" s="200"/>
      <c r="AB466" s="213"/>
      <c r="AC466" s="200"/>
      <c r="AD466" s="200"/>
      <c r="AE466" s="200"/>
      <c r="AF466" s="200"/>
    </row>
    <row r="467" spans="1:42" x14ac:dyDescent="0.25">
      <c r="C467" s="154"/>
      <c r="F467" s="200"/>
      <c r="H467" s="200"/>
      <c r="I467" s="200"/>
      <c r="J467" s="213"/>
      <c r="K467" s="213"/>
      <c r="L467" s="200"/>
      <c r="M467" s="200"/>
      <c r="N467" s="200"/>
      <c r="O467" s="200"/>
      <c r="P467" s="200"/>
      <c r="Q467" s="200"/>
      <c r="R467" s="200"/>
      <c r="T467" s="154"/>
      <c r="V467" s="200"/>
      <c r="AA467" s="200"/>
      <c r="AB467" s="213"/>
      <c r="AC467" s="200"/>
      <c r="AD467" s="200"/>
      <c r="AE467" s="200"/>
      <c r="AF467" s="200"/>
    </row>
    <row r="468" spans="1:42" x14ac:dyDescent="0.25">
      <c r="C468" s="154"/>
      <c r="T468" s="154"/>
    </row>
    <row r="469" spans="1:42" x14ac:dyDescent="0.25">
      <c r="A469" s="154"/>
    </row>
    <row r="471" spans="1:42" x14ac:dyDescent="0.25">
      <c r="J471" s="202"/>
      <c r="K471" s="202"/>
      <c r="AB471" s="202"/>
    </row>
    <row r="472" spans="1:42" x14ac:dyDescent="0.25">
      <c r="H472" s="154"/>
      <c r="I472" s="154"/>
      <c r="AA472" s="154"/>
    </row>
    <row r="473" spans="1:42" x14ac:dyDescent="0.25">
      <c r="J473" s="202"/>
      <c r="K473" s="202"/>
      <c r="AB473" s="202"/>
    </row>
    <row r="474" spans="1:42" x14ac:dyDescent="0.25">
      <c r="L474" s="154"/>
      <c r="M474" s="154"/>
      <c r="AC474" s="154"/>
      <c r="AD474" s="154"/>
    </row>
    <row r="475" spans="1:42" x14ac:dyDescent="0.25">
      <c r="A475" s="202"/>
      <c r="R475" s="154"/>
      <c r="AM475" s="154"/>
      <c r="AN475" s="154"/>
    </row>
    <row r="476" spans="1:42" x14ac:dyDescent="0.25">
      <c r="A476" s="202"/>
      <c r="R476" s="154"/>
      <c r="AM476" s="154"/>
      <c r="AN476" s="154"/>
    </row>
    <row r="477" spans="1:42" x14ac:dyDescent="0.25">
      <c r="A477" s="154"/>
      <c r="R477" s="154"/>
      <c r="AM477" s="154"/>
      <c r="AN477" s="154"/>
    </row>
    <row r="478" spans="1:42" x14ac:dyDescent="0.25">
      <c r="L478" s="154"/>
      <c r="M478" s="154"/>
      <c r="R478" s="202"/>
      <c r="AC478" s="154"/>
      <c r="AD478" s="154"/>
      <c r="AM478" s="202"/>
      <c r="AN478" s="202"/>
    </row>
    <row r="479" spans="1:42" x14ac:dyDescent="0.25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208"/>
      <c r="AH479" s="102"/>
      <c r="AI479" s="102"/>
      <c r="AJ479" s="102"/>
      <c r="AK479" s="208"/>
      <c r="AL479" s="102"/>
      <c r="AM479" s="102"/>
      <c r="AN479" s="102"/>
      <c r="AO479" s="102"/>
      <c r="AP479" s="102"/>
    </row>
    <row r="480" spans="1:42" x14ac:dyDescent="0.25">
      <c r="L480" s="103"/>
      <c r="M480" s="103"/>
      <c r="N480" s="103"/>
      <c r="O480" s="103"/>
      <c r="R480" s="103"/>
      <c r="AC480" s="103"/>
      <c r="AD480" s="103"/>
      <c r="AE480" s="103"/>
      <c r="AF480" s="103"/>
      <c r="AG480" s="185"/>
      <c r="AH480" s="103"/>
      <c r="AI480" s="103"/>
      <c r="AJ480" s="103"/>
      <c r="AM480" s="103"/>
      <c r="AN480" s="103"/>
      <c r="AO480" s="103"/>
      <c r="AP480" s="103"/>
    </row>
    <row r="481" spans="1:42" x14ac:dyDescent="0.25">
      <c r="L481" s="103"/>
      <c r="M481" s="103"/>
      <c r="N481" s="103"/>
      <c r="O481" s="103"/>
      <c r="R481" s="103"/>
      <c r="AB481" s="103"/>
      <c r="AC481" s="103"/>
      <c r="AD481" s="103"/>
      <c r="AE481" s="103"/>
      <c r="AF481" s="103"/>
      <c r="AG481" s="185"/>
      <c r="AH481" s="103"/>
      <c r="AI481" s="103"/>
      <c r="AJ481" s="103"/>
      <c r="AM481" s="103"/>
      <c r="AN481" s="103"/>
      <c r="AO481" s="103"/>
      <c r="AP481" s="103"/>
    </row>
    <row r="482" spans="1:42" x14ac:dyDescent="0.25">
      <c r="A482" s="103"/>
      <c r="C482" s="103"/>
      <c r="D482" s="103"/>
      <c r="E482" s="103"/>
      <c r="F482" s="103"/>
      <c r="J482" s="103"/>
      <c r="K482" s="103"/>
      <c r="L482" s="103"/>
      <c r="M482" s="103"/>
      <c r="N482" s="103"/>
      <c r="O482" s="103"/>
      <c r="P482" s="103"/>
      <c r="Q482" s="103"/>
      <c r="R482" s="103"/>
      <c r="T482" s="103"/>
      <c r="U482" s="103"/>
      <c r="V482" s="103"/>
      <c r="AB482" s="103"/>
      <c r="AC482" s="103"/>
      <c r="AD482" s="103"/>
      <c r="AE482" s="103"/>
      <c r="AF482" s="103"/>
      <c r="AG482" s="185"/>
      <c r="AH482" s="103"/>
      <c r="AI482" s="103"/>
      <c r="AJ482" s="103"/>
      <c r="AK482" s="185"/>
      <c r="AL482" s="103"/>
      <c r="AM482" s="103"/>
      <c r="AN482" s="103"/>
      <c r="AO482" s="103"/>
      <c r="AP482" s="103"/>
    </row>
    <row r="483" spans="1:42" x14ac:dyDescent="0.25">
      <c r="A483" s="103"/>
      <c r="C483" s="103"/>
      <c r="D483" s="103"/>
      <c r="E483" s="103"/>
      <c r="F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T483" s="103"/>
      <c r="U483" s="103"/>
      <c r="V483" s="103"/>
      <c r="AA483" s="103"/>
      <c r="AB483" s="103"/>
      <c r="AC483" s="103"/>
      <c r="AD483" s="103"/>
      <c r="AE483" s="103"/>
      <c r="AF483" s="103"/>
      <c r="AG483" s="185"/>
      <c r="AH483" s="103"/>
      <c r="AI483" s="103"/>
      <c r="AJ483" s="103"/>
      <c r="AK483" s="185"/>
      <c r="AL483" s="103"/>
      <c r="AM483" s="103"/>
      <c r="AN483" s="103"/>
      <c r="AO483" s="103"/>
      <c r="AP483" s="103"/>
    </row>
    <row r="484" spans="1:42" x14ac:dyDescent="0.25">
      <c r="C484" s="103"/>
      <c r="D484" s="103"/>
      <c r="E484" s="103"/>
      <c r="F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T484" s="103"/>
      <c r="U484" s="103"/>
      <c r="V484" s="103"/>
      <c r="AA484" s="103"/>
      <c r="AB484" s="103"/>
      <c r="AC484" s="103"/>
      <c r="AD484" s="103"/>
      <c r="AE484" s="103"/>
      <c r="AF484" s="103"/>
      <c r="AG484" s="185"/>
      <c r="AH484" s="103"/>
      <c r="AI484" s="103"/>
      <c r="AJ484" s="103"/>
      <c r="AK484" s="185"/>
      <c r="AL484" s="103"/>
      <c r="AM484" s="103"/>
      <c r="AN484" s="103"/>
      <c r="AO484" s="103"/>
      <c r="AP484" s="103"/>
    </row>
    <row r="485" spans="1:42" x14ac:dyDescent="0.25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208"/>
      <c r="AH485" s="102"/>
      <c r="AI485" s="102"/>
      <c r="AJ485" s="102"/>
      <c r="AK485" s="208"/>
      <c r="AL485" s="102"/>
      <c r="AM485" s="102"/>
      <c r="AN485" s="102"/>
      <c r="AO485" s="102"/>
      <c r="AP485" s="102"/>
    </row>
    <row r="486" spans="1:42" x14ac:dyDescent="0.25"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AA486" s="103"/>
      <c r="AB486" s="103"/>
      <c r="AC486" s="103"/>
      <c r="AD486" s="103"/>
      <c r="AE486" s="103"/>
      <c r="AF486" s="103"/>
      <c r="AG486" s="185"/>
      <c r="AH486" s="103"/>
      <c r="AI486" s="103"/>
      <c r="AJ486" s="103"/>
      <c r="AK486" s="185"/>
      <c r="AL486" s="103"/>
      <c r="AM486" s="103"/>
      <c r="AN486" s="103"/>
      <c r="AO486" s="103"/>
      <c r="AP486" s="103"/>
    </row>
    <row r="487" spans="1:42" x14ac:dyDescent="0.25">
      <c r="A487" s="202"/>
      <c r="C487" s="154"/>
      <c r="D487" s="154"/>
      <c r="E487" s="154"/>
      <c r="T487" s="154"/>
      <c r="U487" s="154"/>
    </row>
    <row r="488" spans="1:42" x14ac:dyDescent="0.25">
      <c r="A488" s="202"/>
      <c r="D488" s="154"/>
      <c r="E488" s="154"/>
      <c r="U488" s="154"/>
    </row>
    <row r="490" spans="1:42" x14ac:dyDescent="0.25">
      <c r="A490" s="202"/>
      <c r="C490" s="154"/>
      <c r="F490" s="200"/>
      <c r="J490" s="215"/>
      <c r="K490" s="215"/>
      <c r="L490" s="200"/>
      <c r="M490" s="200"/>
      <c r="R490" s="200"/>
      <c r="T490" s="154"/>
      <c r="V490" s="200"/>
      <c r="AB490" s="215"/>
      <c r="AC490" s="200"/>
      <c r="AD490" s="200"/>
      <c r="AM490" s="200"/>
      <c r="AN490" s="200"/>
    </row>
    <row r="491" spans="1:42" x14ac:dyDescent="0.25">
      <c r="F491" s="200"/>
      <c r="R491" s="200"/>
      <c r="V491" s="200"/>
      <c r="AM491" s="200"/>
      <c r="AN491" s="200"/>
    </row>
    <row r="492" spans="1:42" x14ac:dyDescent="0.25">
      <c r="A492" s="202"/>
      <c r="C492" s="154"/>
      <c r="F492" s="252"/>
      <c r="H492" s="252"/>
      <c r="I492" s="252"/>
      <c r="J492" s="300"/>
      <c r="K492" s="300"/>
      <c r="L492" s="200"/>
      <c r="M492" s="200"/>
      <c r="N492" s="210"/>
      <c r="O492" s="210"/>
      <c r="P492" s="200"/>
      <c r="Q492" s="200"/>
      <c r="R492" s="200"/>
      <c r="T492" s="154"/>
      <c r="V492" s="200"/>
      <c r="AA492" s="200"/>
      <c r="AB492" s="300"/>
      <c r="AC492" s="200"/>
      <c r="AD492" s="200"/>
      <c r="AE492" s="210"/>
      <c r="AF492" s="210"/>
      <c r="AG492" s="209"/>
      <c r="AH492" s="200"/>
      <c r="AI492" s="201"/>
      <c r="AJ492" s="201"/>
      <c r="AK492" s="209"/>
      <c r="AL492" s="200"/>
      <c r="AM492" s="200"/>
      <c r="AN492" s="200"/>
      <c r="AO492" s="210"/>
      <c r="AP492" s="210"/>
    </row>
    <row r="493" spans="1:42" x14ac:dyDescent="0.25">
      <c r="A493" s="202"/>
      <c r="C493" s="154"/>
      <c r="F493" s="252"/>
      <c r="H493" s="317"/>
      <c r="I493" s="317"/>
      <c r="J493" s="300"/>
      <c r="K493" s="300"/>
      <c r="L493" s="200"/>
      <c r="M493" s="200"/>
      <c r="N493" s="210"/>
      <c r="O493" s="210"/>
      <c r="P493" s="200"/>
      <c r="Q493" s="200"/>
      <c r="R493" s="200"/>
      <c r="T493" s="154"/>
      <c r="V493" s="200"/>
      <c r="AA493" s="200"/>
      <c r="AB493" s="300"/>
      <c r="AC493" s="200"/>
      <c r="AD493" s="200"/>
      <c r="AE493" s="210"/>
      <c r="AF493" s="210"/>
      <c r="AG493" s="209"/>
      <c r="AH493" s="200"/>
      <c r="AI493" s="201"/>
      <c r="AJ493" s="201"/>
      <c r="AK493" s="209"/>
      <c r="AL493" s="200"/>
      <c r="AM493" s="200"/>
      <c r="AN493" s="200"/>
      <c r="AO493" s="210"/>
      <c r="AP493" s="210"/>
    </row>
    <row r="494" spans="1:42" x14ac:dyDescent="0.25">
      <c r="F494" s="211"/>
      <c r="H494" s="200"/>
      <c r="I494" s="200"/>
      <c r="J494" s="305"/>
      <c r="K494" s="305"/>
      <c r="L494" s="211"/>
      <c r="M494" s="211"/>
      <c r="N494" s="211"/>
      <c r="O494" s="211"/>
      <c r="P494" s="211"/>
      <c r="Q494" s="211"/>
      <c r="R494" s="211"/>
      <c r="V494" s="211"/>
      <c r="AA494" s="200"/>
      <c r="AB494" s="305"/>
      <c r="AC494" s="211"/>
      <c r="AD494" s="211"/>
      <c r="AE494" s="211"/>
      <c r="AF494" s="211"/>
      <c r="AG494" s="212"/>
      <c r="AH494" s="211"/>
      <c r="AK494" s="212"/>
      <c r="AL494" s="211"/>
      <c r="AM494" s="211"/>
      <c r="AN494" s="211"/>
    </row>
    <row r="495" spans="1:42" x14ac:dyDescent="0.25">
      <c r="A495" s="202"/>
      <c r="C495" s="154"/>
      <c r="F495" s="200"/>
      <c r="H495" s="200"/>
      <c r="I495" s="200"/>
      <c r="J495" s="213"/>
      <c r="K495" s="213"/>
      <c r="L495" s="200"/>
      <c r="M495" s="200"/>
      <c r="N495" s="210"/>
      <c r="O495" s="210"/>
      <c r="P495" s="200"/>
      <c r="Q495" s="200"/>
      <c r="R495" s="200"/>
      <c r="T495" s="154"/>
      <c r="V495" s="200"/>
      <c r="AA495" s="200"/>
      <c r="AB495" s="213"/>
      <c r="AC495" s="200"/>
      <c r="AD495" s="200"/>
      <c r="AE495" s="210"/>
      <c r="AF495" s="210"/>
      <c r="AG495" s="209"/>
      <c r="AH495" s="200"/>
      <c r="AI495" s="201"/>
      <c r="AJ495" s="201"/>
      <c r="AK495" s="209"/>
      <c r="AL495" s="200"/>
      <c r="AM495" s="200"/>
      <c r="AN495" s="200"/>
      <c r="AO495" s="210"/>
      <c r="AP495" s="210"/>
    </row>
    <row r="496" spans="1:42" x14ac:dyDescent="0.25">
      <c r="F496" s="211"/>
      <c r="H496" s="200"/>
      <c r="I496" s="200"/>
      <c r="J496" s="305"/>
      <c r="K496" s="305"/>
      <c r="L496" s="211"/>
      <c r="M496" s="211"/>
      <c r="N496" s="211"/>
      <c r="O496" s="211"/>
      <c r="P496" s="211"/>
      <c r="Q496" s="211"/>
      <c r="R496" s="211"/>
      <c r="V496" s="211"/>
      <c r="AA496" s="200"/>
      <c r="AB496" s="305"/>
      <c r="AC496" s="211"/>
      <c r="AD496" s="211"/>
      <c r="AE496" s="211"/>
      <c r="AF496" s="211"/>
      <c r="AG496" s="212"/>
      <c r="AH496" s="211"/>
      <c r="AK496" s="212"/>
      <c r="AL496" s="211"/>
      <c r="AM496" s="211"/>
      <c r="AN496" s="211"/>
    </row>
    <row r="497" spans="1:42" x14ac:dyDescent="0.25">
      <c r="F497" s="200"/>
      <c r="R497" s="200"/>
      <c r="V497" s="200"/>
      <c r="AM497" s="200"/>
      <c r="AN497" s="200"/>
    </row>
    <row r="498" spans="1:42" x14ac:dyDescent="0.25">
      <c r="A498" s="202"/>
      <c r="C498" s="154"/>
      <c r="F498" s="200"/>
      <c r="R498" s="200"/>
      <c r="T498" s="154"/>
      <c r="V498" s="200"/>
      <c r="AM498" s="200"/>
      <c r="AN498" s="200"/>
    </row>
    <row r="499" spans="1:42" x14ac:dyDescent="0.25">
      <c r="F499" s="200"/>
      <c r="R499" s="200"/>
      <c r="V499" s="200"/>
      <c r="AM499" s="200"/>
      <c r="AN499" s="200"/>
    </row>
    <row r="500" spans="1:42" x14ac:dyDescent="0.25">
      <c r="A500" s="202"/>
      <c r="C500" s="154"/>
      <c r="F500" s="200"/>
      <c r="H500" s="252"/>
      <c r="I500" s="252"/>
      <c r="J500" s="320"/>
      <c r="K500" s="320"/>
      <c r="L500" s="200"/>
      <c r="M500" s="200"/>
      <c r="N500" s="210"/>
      <c r="O500" s="210"/>
      <c r="P500" s="252"/>
      <c r="Q500" s="252"/>
      <c r="R500" s="200"/>
      <c r="T500" s="154"/>
      <c r="V500" s="200"/>
      <c r="AA500" s="200"/>
      <c r="AB500" s="304"/>
      <c r="AC500" s="200"/>
      <c r="AD500" s="200"/>
      <c r="AE500" s="210"/>
      <c r="AF500" s="210"/>
      <c r="AG500" s="209"/>
      <c r="AH500" s="200"/>
      <c r="AI500" s="201"/>
      <c r="AJ500" s="201"/>
      <c r="AK500" s="325"/>
      <c r="AL500" s="252"/>
      <c r="AM500" s="200"/>
      <c r="AN500" s="200"/>
      <c r="AO500" s="210"/>
      <c r="AP500" s="210"/>
    </row>
    <row r="501" spans="1:42" x14ac:dyDescent="0.25">
      <c r="H501" s="211"/>
      <c r="I501" s="211"/>
      <c r="J501" s="305"/>
      <c r="K501" s="305"/>
      <c r="L501" s="211"/>
      <c r="M501" s="211"/>
      <c r="N501" s="211"/>
      <c r="O501" s="211"/>
      <c r="P501" s="211"/>
      <c r="Q501" s="211"/>
      <c r="R501" s="211"/>
      <c r="V501" s="211"/>
      <c r="AA501" s="211"/>
      <c r="AB501" s="305"/>
      <c r="AC501" s="211"/>
      <c r="AD501" s="211"/>
      <c r="AE501" s="211"/>
      <c r="AF501" s="211"/>
      <c r="AG501" s="212"/>
      <c r="AH501" s="211"/>
      <c r="AK501" s="212"/>
      <c r="AL501" s="211"/>
      <c r="AM501" s="211"/>
      <c r="AN501" s="211"/>
    </row>
    <row r="502" spans="1:42" x14ac:dyDescent="0.25">
      <c r="F502" s="211"/>
    </row>
    <row r="503" spans="1:42" x14ac:dyDescent="0.25">
      <c r="A503" s="202"/>
      <c r="C503" s="154"/>
      <c r="F503" s="200"/>
      <c r="H503" s="200"/>
      <c r="I503" s="200"/>
      <c r="J503" s="215"/>
      <c r="K503" s="215"/>
      <c r="L503" s="200"/>
      <c r="M503" s="200"/>
      <c r="N503" s="210"/>
      <c r="O503" s="210"/>
      <c r="P503" s="200"/>
      <c r="Q503" s="200"/>
      <c r="R503" s="200"/>
      <c r="T503" s="154"/>
      <c r="V503" s="200"/>
      <c r="AA503" s="200"/>
      <c r="AB503" s="215"/>
      <c r="AC503" s="200"/>
      <c r="AD503" s="200"/>
      <c r="AE503" s="210"/>
      <c r="AF503" s="210"/>
      <c r="AG503" s="209"/>
      <c r="AH503" s="200"/>
      <c r="AI503" s="201"/>
      <c r="AJ503" s="201"/>
      <c r="AK503" s="209"/>
      <c r="AL503" s="200"/>
      <c r="AM503" s="200"/>
      <c r="AN503" s="200"/>
      <c r="AO503" s="210"/>
      <c r="AP503" s="210"/>
    </row>
    <row r="504" spans="1:42" x14ac:dyDescent="0.25">
      <c r="F504" s="211"/>
      <c r="H504" s="211"/>
      <c r="I504" s="211"/>
      <c r="J504" s="305"/>
      <c r="K504" s="305"/>
      <c r="L504" s="211"/>
      <c r="M504" s="211"/>
      <c r="N504" s="211"/>
      <c r="O504" s="211"/>
      <c r="P504" s="211"/>
      <c r="Q504" s="211"/>
      <c r="R504" s="211"/>
      <c r="V504" s="211"/>
      <c r="AA504" s="211"/>
      <c r="AB504" s="305"/>
      <c r="AC504" s="211"/>
      <c r="AD504" s="211"/>
      <c r="AE504" s="211"/>
      <c r="AF504" s="211"/>
      <c r="AG504" s="212"/>
      <c r="AH504" s="211"/>
      <c r="AK504" s="212"/>
      <c r="AL504" s="211"/>
      <c r="AM504" s="211"/>
      <c r="AN504" s="211"/>
    </row>
    <row r="505" spans="1:42" x14ac:dyDescent="0.25">
      <c r="R505" s="200"/>
      <c r="AI505" s="200"/>
      <c r="AJ505" s="200"/>
    </row>
    <row r="506" spans="1:42" x14ac:dyDescent="0.25">
      <c r="F506" s="200"/>
      <c r="H506" s="200"/>
      <c r="I506" s="200"/>
      <c r="J506" s="213"/>
      <c r="K506" s="213"/>
      <c r="L506" s="200"/>
      <c r="M506" s="200"/>
      <c r="N506" s="200"/>
      <c r="O506" s="200"/>
      <c r="P506" s="200"/>
      <c r="Q506" s="200"/>
      <c r="R506" s="200"/>
      <c r="V506" s="200"/>
      <c r="AA506" s="200"/>
      <c r="AB506" s="213"/>
      <c r="AC506" s="200"/>
      <c r="AD506" s="200"/>
      <c r="AE506" s="200"/>
      <c r="AF506" s="200"/>
      <c r="AG506" s="209"/>
      <c r="AH506" s="200"/>
      <c r="AI506" s="200"/>
      <c r="AJ506" s="200"/>
    </row>
    <row r="507" spans="1:42" x14ac:dyDescent="0.25">
      <c r="C507" s="154"/>
      <c r="F507" s="200"/>
      <c r="H507" s="200"/>
      <c r="I507" s="200"/>
      <c r="J507" s="213"/>
      <c r="K507" s="213"/>
      <c r="L507" s="200"/>
      <c r="M507" s="200"/>
      <c r="N507" s="200"/>
      <c r="O507" s="200"/>
      <c r="P507" s="200"/>
      <c r="Q507" s="200"/>
      <c r="R507" s="200"/>
      <c r="T507" s="154"/>
      <c r="V507" s="200"/>
      <c r="AA507" s="200"/>
      <c r="AB507" s="213"/>
      <c r="AC507" s="200"/>
      <c r="AD507" s="200"/>
      <c r="AE507" s="200"/>
      <c r="AF507" s="200"/>
      <c r="AG507" s="209"/>
      <c r="AH507" s="200"/>
      <c r="AI507" s="200"/>
      <c r="AJ507" s="200"/>
    </row>
    <row r="508" spans="1:42" x14ac:dyDescent="0.25">
      <c r="A508" s="154"/>
    </row>
    <row r="510" spans="1:42" x14ac:dyDescent="0.25">
      <c r="J510" s="202"/>
      <c r="K510" s="202"/>
      <c r="AB510" s="202"/>
    </row>
    <row r="511" spans="1:42" x14ac:dyDescent="0.25">
      <c r="H511" s="154"/>
      <c r="I511" s="154"/>
      <c r="AA511" s="154"/>
    </row>
    <row r="512" spans="1:42" x14ac:dyDescent="0.25">
      <c r="J512" s="202"/>
      <c r="K512" s="202"/>
      <c r="AB512" s="202"/>
    </row>
    <row r="513" spans="1:42" x14ac:dyDescent="0.25">
      <c r="L513" s="154"/>
      <c r="M513" s="154"/>
      <c r="AC513" s="154"/>
      <c r="AD513" s="154"/>
    </row>
    <row r="514" spans="1:42" x14ac:dyDescent="0.25">
      <c r="A514" s="202"/>
      <c r="R514" s="154"/>
      <c r="AM514" s="154"/>
      <c r="AN514" s="154"/>
    </row>
    <row r="515" spans="1:42" x14ac:dyDescent="0.25">
      <c r="A515" s="202"/>
      <c r="R515" s="154"/>
      <c r="AM515" s="154"/>
      <c r="AN515" s="154"/>
    </row>
    <row r="516" spans="1:42" x14ac:dyDescent="0.25">
      <c r="A516" s="154"/>
      <c r="R516" s="154"/>
      <c r="AM516" s="154"/>
      <c r="AN516" s="154"/>
    </row>
    <row r="517" spans="1:42" x14ac:dyDescent="0.25">
      <c r="L517" s="154"/>
      <c r="M517" s="154"/>
      <c r="R517" s="202"/>
      <c r="AC517" s="154"/>
      <c r="AD517" s="154"/>
      <c r="AM517" s="202"/>
      <c r="AN517" s="202"/>
    </row>
    <row r="518" spans="1:42" x14ac:dyDescent="0.25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208"/>
      <c r="AH518" s="102"/>
      <c r="AI518" s="102"/>
      <c r="AJ518" s="102"/>
      <c r="AK518" s="208"/>
      <c r="AL518" s="102"/>
      <c r="AM518" s="102"/>
      <c r="AN518" s="102"/>
      <c r="AO518" s="102"/>
      <c r="AP518" s="102"/>
    </row>
    <row r="519" spans="1:42" x14ac:dyDescent="0.25">
      <c r="L519" s="103"/>
      <c r="M519" s="103"/>
      <c r="N519" s="103"/>
      <c r="O519" s="103"/>
      <c r="R519" s="103"/>
      <c r="AC519" s="103"/>
      <c r="AD519" s="103"/>
      <c r="AE519" s="103"/>
      <c r="AF519" s="103"/>
      <c r="AG519" s="185"/>
      <c r="AH519" s="103"/>
      <c r="AI519" s="103"/>
      <c r="AJ519" s="103"/>
      <c r="AM519" s="103"/>
      <c r="AN519" s="103"/>
      <c r="AO519" s="103"/>
      <c r="AP519" s="103"/>
    </row>
    <row r="520" spans="1:42" x14ac:dyDescent="0.25">
      <c r="L520" s="103"/>
      <c r="M520" s="103"/>
      <c r="N520" s="103"/>
      <c r="O520" s="103"/>
      <c r="R520" s="103"/>
      <c r="AB520" s="103"/>
      <c r="AC520" s="103"/>
      <c r="AD520" s="103"/>
      <c r="AE520" s="103"/>
      <c r="AF520" s="103"/>
      <c r="AG520" s="185"/>
      <c r="AH520" s="103"/>
      <c r="AI520" s="103"/>
      <c r="AJ520" s="103"/>
      <c r="AM520" s="103"/>
      <c r="AN520" s="103"/>
      <c r="AO520" s="103"/>
      <c r="AP520" s="103"/>
    </row>
    <row r="521" spans="1:42" x14ac:dyDescent="0.25">
      <c r="A521" s="103"/>
      <c r="C521" s="103"/>
      <c r="D521" s="103"/>
      <c r="E521" s="103"/>
      <c r="F521" s="103"/>
      <c r="J521" s="103"/>
      <c r="K521" s="103"/>
      <c r="L521" s="103"/>
      <c r="M521" s="103"/>
      <c r="N521" s="103"/>
      <c r="O521" s="103"/>
      <c r="P521" s="103"/>
      <c r="Q521" s="103"/>
      <c r="R521" s="103"/>
      <c r="T521" s="103"/>
      <c r="U521" s="103"/>
      <c r="V521" s="103"/>
      <c r="AB521" s="103"/>
      <c r="AC521" s="103"/>
      <c r="AD521" s="103"/>
      <c r="AE521" s="103"/>
      <c r="AF521" s="103"/>
      <c r="AG521" s="185"/>
      <c r="AH521" s="103"/>
      <c r="AI521" s="103"/>
      <c r="AJ521" s="103"/>
      <c r="AK521" s="185"/>
      <c r="AL521" s="103"/>
      <c r="AM521" s="103"/>
      <c r="AN521" s="103"/>
      <c r="AO521" s="103"/>
      <c r="AP521" s="103"/>
    </row>
    <row r="522" spans="1:42" x14ac:dyDescent="0.25">
      <c r="A522" s="103"/>
      <c r="C522" s="103"/>
      <c r="D522" s="103"/>
      <c r="E522" s="103"/>
      <c r="F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T522" s="103"/>
      <c r="U522" s="103"/>
      <c r="V522" s="103"/>
      <c r="AA522" s="103"/>
      <c r="AB522" s="103"/>
      <c r="AC522" s="103"/>
      <c r="AD522" s="103"/>
      <c r="AE522" s="103"/>
      <c r="AF522" s="103"/>
      <c r="AG522" s="185"/>
      <c r="AH522" s="103"/>
      <c r="AI522" s="103"/>
      <c r="AJ522" s="103"/>
      <c r="AK522" s="185"/>
      <c r="AL522" s="103"/>
      <c r="AM522" s="103"/>
      <c r="AN522" s="103"/>
      <c r="AO522" s="103"/>
      <c r="AP522" s="103"/>
    </row>
    <row r="523" spans="1:42" x14ac:dyDescent="0.25">
      <c r="C523" s="103"/>
      <c r="D523" s="103"/>
      <c r="E523" s="103"/>
      <c r="F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T523" s="103"/>
      <c r="U523" s="103"/>
      <c r="V523" s="103"/>
      <c r="AA523" s="103"/>
      <c r="AB523" s="103"/>
      <c r="AC523" s="103"/>
      <c r="AD523" s="103"/>
      <c r="AE523" s="103"/>
      <c r="AF523" s="103"/>
      <c r="AG523" s="185"/>
      <c r="AH523" s="103"/>
      <c r="AI523" s="103"/>
      <c r="AJ523" s="103"/>
      <c r="AK523" s="185"/>
      <c r="AL523" s="103"/>
      <c r="AM523" s="103"/>
      <c r="AN523" s="103"/>
      <c r="AO523" s="103"/>
      <c r="AP523" s="103"/>
    </row>
    <row r="524" spans="1:42" x14ac:dyDescent="0.25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208"/>
      <c r="AH524" s="102"/>
      <c r="AI524" s="102"/>
      <c r="AJ524" s="102"/>
      <c r="AK524" s="208"/>
      <c r="AL524" s="102"/>
      <c r="AM524" s="102"/>
      <c r="AN524" s="102"/>
      <c r="AO524" s="102"/>
      <c r="AP524" s="102"/>
    </row>
    <row r="525" spans="1:42" x14ac:dyDescent="0.25"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AA525" s="103"/>
      <c r="AB525" s="103"/>
      <c r="AC525" s="103"/>
      <c r="AD525" s="103"/>
      <c r="AE525" s="103"/>
      <c r="AF525" s="103"/>
      <c r="AG525" s="185"/>
      <c r="AH525" s="103"/>
      <c r="AI525" s="103"/>
      <c r="AJ525" s="103"/>
      <c r="AK525" s="185"/>
      <c r="AL525" s="103"/>
      <c r="AM525" s="103"/>
      <c r="AN525" s="103"/>
      <c r="AO525" s="103"/>
      <c r="AP525" s="103"/>
    </row>
    <row r="526" spans="1:42" x14ac:dyDescent="0.25">
      <c r="A526" s="202"/>
      <c r="C526" s="154"/>
      <c r="D526" s="154"/>
      <c r="E526" s="154"/>
      <c r="T526" s="154"/>
      <c r="U526" s="154"/>
    </row>
    <row r="527" spans="1:42" x14ac:dyDescent="0.25">
      <c r="A527" s="202"/>
      <c r="C527" s="154"/>
      <c r="T527" s="154"/>
    </row>
    <row r="529" spans="1:42" x14ac:dyDescent="0.25">
      <c r="A529" s="202"/>
      <c r="C529" s="154"/>
      <c r="F529" s="252"/>
      <c r="H529" s="252"/>
      <c r="I529" s="252"/>
      <c r="J529" s="300"/>
      <c r="K529" s="300"/>
      <c r="L529" s="200"/>
      <c r="M529" s="200"/>
      <c r="N529" s="210"/>
      <c r="O529" s="210"/>
      <c r="P529" s="202"/>
      <c r="Q529" s="202"/>
      <c r="R529" s="200"/>
      <c r="T529" s="154"/>
      <c r="V529" s="200"/>
      <c r="AA529" s="252"/>
      <c r="AB529" s="300"/>
      <c r="AC529" s="200"/>
      <c r="AD529" s="200"/>
      <c r="AE529" s="210"/>
      <c r="AF529" s="210"/>
      <c r="AG529" s="209"/>
      <c r="AH529" s="200"/>
      <c r="AI529" s="201"/>
      <c r="AJ529" s="201"/>
      <c r="AK529" s="209"/>
      <c r="AL529" s="202"/>
      <c r="AM529" s="200"/>
      <c r="AN529" s="200"/>
      <c r="AO529" s="210"/>
      <c r="AP529" s="210"/>
    </row>
    <row r="530" spans="1:42" x14ac:dyDescent="0.25">
      <c r="F530" s="211"/>
      <c r="H530" s="200"/>
      <c r="I530" s="200"/>
      <c r="J530" s="305"/>
      <c r="K530" s="305"/>
      <c r="L530" s="211"/>
      <c r="M530" s="211"/>
      <c r="N530" s="211"/>
      <c r="O530" s="211"/>
      <c r="P530" s="211"/>
      <c r="Q530" s="211"/>
      <c r="R530" s="211"/>
      <c r="V530" s="211"/>
      <c r="AA530" s="200"/>
      <c r="AB530" s="305"/>
      <c r="AC530" s="211"/>
      <c r="AD530" s="211"/>
      <c r="AE530" s="211"/>
      <c r="AF530" s="211"/>
      <c r="AG530" s="212"/>
      <c r="AH530" s="211"/>
      <c r="AK530" s="212"/>
      <c r="AL530" s="211"/>
      <c r="AM530" s="211"/>
      <c r="AN530" s="211"/>
      <c r="AO530" s="210"/>
      <c r="AP530" s="210"/>
    </row>
    <row r="531" spans="1:42" x14ac:dyDescent="0.25">
      <c r="A531" s="202"/>
      <c r="C531" s="154"/>
      <c r="F531" s="252"/>
      <c r="H531" s="252"/>
      <c r="I531" s="252"/>
      <c r="J531" s="328"/>
      <c r="K531" s="328"/>
      <c r="L531" s="200"/>
      <c r="M531" s="200"/>
      <c r="N531" s="210"/>
      <c r="O531" s="210"/>
      <c r="P531" s="200"/>
      <c r="Q531" s="200"/>
      <c r="R531" s="200"/>
      <c r="S531" s="200"/>
      <c r="T531" s="154"/>
      <c r="V531" s="252"/>
      <c r="AA531" s="252"/>
      <c r="AB531" s="328"/>
      <c r="AC531" s="200"/>
      <c r="AD531" s="200"/>
      <c r="AE531" s="210"/>
      <c r="AF531" s="210"/>
      <c r="AG531" s="209"/>
      <c r="AH531" s="200"/>
      <c r="AI531" s="210"/>
      <c r="AJ531" s="210"/>
      <c r="AK531" s="209"/>
      <c r="AL531" s="200"/>
      <c r="AM531" s="200"/>
      <c r="AN531" s="200"/>
      <c r="AO531" s="210"/>
      <c r="AP531" s="210"/>
    </row>
    <row r="532" spans="1:42" x14ac:dyDescent="0.25">
      <c r="A532" s="202"/>
      <c r="C532" s="154"/>
      <c r="F532" s="252"/>
      <c r="H532" s="252"/>
      <c r="I532" s="252"/>
      <c r="J532" s="300"/>
      <c r="K532" s="300"/>
      <c r="L532" s="200"/>
      <c r="M532" s="200"/>
      <c r="N532" s="210"/>
      <c r="O532" s="210"/>
      <c r="P532" s="200"/>
      <c r="Q532" s="200"/>
      <c r="R532" s="200"/>
      <c r="T532" s="154"/>
      <c r="V532" s="252"/>
      <c r="AA532" s="200"/>
      <c r="AB532" s="300"/>
      <c r="AC532" s="200"/>
      <c r="AD532" s="200"/>
      <c r="AE532" s="210"/>
      <c r="AF532" s="210"/>
      <c r="AG532" s="209"/>
      <c r="AH532" s="200"/>
      <c r="AI532" s="201"/>
      <c r="AJ532" s="201"/>
      <c r="AK532" s="209"/>
      <c r="AL532" s="200"/>
      <c r="AM532" s="200"/>
      <c r="AN532" s="200"/>
      <c r="AO532" s="210"/>
      <c r="AP532" s="210"/>
    </row>
    <row r="533" spans="1:42" x14ac:dyDescent="0.25">
      <c r="A533" s="202"/>
      <c r="C533" s="154"/>
      <c r="F533" s="252"/>
      <c r="H533" s="252"/>
      <c r="I533" s="252"/>
      <c r="J533" s="300"/>
      <c r="K533" s="300"/>
      <c r="L533" s="200"/>
      <c r="M533" s="200"/>
      <c r="N533" s="210"/>
      <c r="O533" s="210"/>
      <c r="P533" s="200"/>
      <c r="Q533" s="200"/>
      <c r="R533" s="200"/>
      <c r="T533" s="154"/>
      <c r="V533" s="252"/>
      <c r="AA533" s="200"/>
      <c r="AB533" s="300"/>
      <c r="AC533" s="200"/>
      <c r="AD533" s="200"/>
      <c r="AE533" s="210"/>
      <c r="AF533" s="210"/>
      <c r="AG533" s="209"/>
      <c r="AH533" s="200"/>
      <c r="AI533" s="201"/>
      <c r="AJ533" s="201"/>
      <c r="AK533" s="209"/>
      <c r="AL533" s="200"/>
      <c r="AM533" s="200"/>
      <c r="AN533" s="200"/>
      <c r="AO533" s="210"/>
      <c r="AP533" s="210"/>
    </row>
    <row r="534" spans="1:42" x14ac:dyDescent="0.25">
      <c r="F534" s="211"/>
      <c r="H534" s="211"/>
      <c r="I534" s="211"/>
      <c r="J534" s="305"/>
      <c r="K534" s="305"/>
      <c r="L534" s="211"/>
      <c r="M534" s="211"/>
      <c r="N534" s="211"/>
      <c r="O534" s="211"/>
      <c r="P534" s="211"/>
      <c r="Q534" s="211"/>
      <c r="R534" s="211"/>
      <c r="V534" s="211"/>
      <c r="AA534" s="211"/>
      <c r="AB534" s="305"/>
      <c r="AC534" s="211"/>
      <c r="AD534" s="211"/>
      <c r="AE534" s="211"/>
      <c r="AF534" s="211"/>
      <c r="AG534" s="212"/>
      <c r="AH534" s="211"/>
      <c r="AK534" s="212"/>
      <c r="AL534" s="211"/>
      <c r="AM534" s="211"/>
      <c r="AN534" s="211"/>
      <c r="AO534" s="210"/>
      <c r="AP534" s="210"/>
    </row>
    <row r="535" spans="1:42" x14ac:dyDescent="0.25">
      <c r="A535" s="202"/>
      <c r="C535" s="154"/>
      <c r="F535" s="200"/>
      <c r="H535" s="200"/>
      <c r="I535" s="200"/>
      <c r="J535" s="213"/>
      <c r="K535" s="213"/>
      <c r="L535" s="200"/>
      <c r="M535" s="200"/>
      <c r="N535" s="210"/>
      <c r="O535" s="210"/>
      <c r="P535" s="200"/>
      <c r="Q535" s="200"/>
      <c r="R535" s="200"/>
      <c r="T535" s="154"/>
      <c r="V535" s="200"/>
      <c r="AA535" s="200"/>
      <c r="AB535" s="213"/>
      <c r="AC535" s="200"/>
      <c r="AD535" s="200"/>
      <c r="AE535" s="210"/>
      <c r="AF535" s="210"/>
      <c r="AG535" s="209"/>
      <c r="AH535" s="200"/>
      <c r="AI535" s="201"/>
      <c r="AJ535" s="201"/>
      <c r="AK535" s="209"/>
      <c r="AL535" s="200"/>
      <c r="AM535" s="200"/>
      <c r="AN535" s="200"/>
      <c r="AO535" s="210"/>
      <c r="AP535" s="210"/>
    </row>
    <row r="536" spans="1:42" x14ac:dyDescent="0.25">
      <c r="F536" s="211"/>
      <c r="H536" s="211"/>
      <c r="I536" s="211"/>
      <c r="J536" s="305"/>
      <c r="K536" s="305"/>
      <c r="L536" s="211"/>
      <c r="M536" s="211"/>
      <c r="N536" s="211"/>
      <c r="O536" s="211"/>
      <c r="P536" s="211"/>
      <c r="Q536" s="211"/>
      <c r="R536" s="211"/>
      <c r="V536" s="211"/>
      <c r="AA536" s="211"/>
      <c r="AB536" s="305"/>
      <c r="AC536" s="211"/>
      <c r="AD536" s="211"/>
      <c r="AE536" s="211"/>
      <c r="AF536" s="211"/>
      <c r="AG536" s="212"/>
      <c r="AH536" s="211"/>
      <c r="AK536" s="212"/>
      <c r="AL536" s="211"/>
      <c r="AM536" s="211"/>
      <c r="AN536" s="211"/>
      <c r="AO536" s="210"/>
      <c r="AP536" s="210"/>
    </row>
    <row r="537" spans="1:42" x14ac:dyDescent="0.25">
      <c r="A537" s="202"/>
      <c r="C537" s="154"/>
      <c r="F537" s="200"/>
      <c r="H537" s="200"/>
      <c r="I537" s="200"/>
      <c r="J537" s="213"/>
      <c r="K537" s="213"/>
      <c r="L537" s="200"/>
      <c r="M537" s="200"/>
      <c r="N537" s="210"/>
      <c r="O537" s="210"/>
      <c r="P537" s="200"/>
      <c r="Q537" s="200"/>
      <c r="R537" s="200"/>
      <c r="T537" s="154"/>
      <c r="V537" s="200"/>
      <c r="AA537" s="200"/>
      <c r="AB537" s="213"/>
      <c r="AC537" s="200"/>
      <c r="AD537" s="200"/>
      <c r="AE537" s="210"/>
      <c r="AF537" s="210"/>
      <c r="AG537" s="209"/>
      <c r="AH537" s="200"/>
      <c r="AI537" s="201"/>
      <c r="AJ537" s="201"/>
      <c r="AK537" s="209"/>
      <c r="AL537" s="200"/>
      <c r="AM537" s="200"/>
      <c r="AN537" s="200"/>
      <c r="AO537" s="210"/>
      <c r="AP537" s="210"/>
    </row>
    <row r="538" spans="1:42" x14ac:dyDescent="0.25">
      <c r="A538" s="202"/>
      <c r="C538" s="154"/>
      <c r="F538" s="200"/>
      <c r="H538" s="252"/>
      <c r="I538" s="252"/>
      <c r="J538" s="320"/>
      <c r="K538" s="320"/>
      <c r="L538" s="200"/>
      <c r="M538" s="200"/>
      <c r="N538" s="210"/>
      <c r="O538" s="210"/>
      <c r="P538" s="200"/>
      <c r="Q538" s="200"/>
      <c r="R538" s="200"/>
      <c r="T538" s="154"/>
      <c r="V538" s="200"/>
      <c r="AA538" s="200"/>
      <c r="AB538" s="304"/>
      <c r="AC538" s="200"/>
      <c r="AD538" s="200"/>
      <c r="AE538" s="210"/>
      <c r="AF538" s="210"/>
      <c r="AG538" s="209"/>
      <c r="AH538" s="200"/>
      <c r="AI538" s="201"/>
      <c r="AJ538" s="201"/>
      <c r="AK538" s="209"/>
      <c r="AL538" s="200"/>
      <c r="AM538" s="200"/>
      <c r="AN538" s="200"/>
      <c r="AO538" s="210"/>
      <c r="AP538" s="210"/>
    </row>
    <row r="539" spans="1:42" x14ac:dyDescent="0.25">
      <c r="H539" s="211"/>
      <c r="I539" s="211"/>
      <c r="J539" s="305"/>
      <c r="K539" s="305"/>
      <c r="L539" s="211"/>
      <c r="M539" s="211"/>
      <c r="N539" s="211"/>
      <c r="O539" s="211"/>
      <c r="P539" s="211"/>
      <c r="Q539" s="211"/>
      <c r="R539" s="211"/>
      <c r="V539" s="211"/>
      <c r="AA539" s="211"/>
      <c r="AB539" s="305"/>
      <c r="AC539" s="211"/>
      <c r="AD539" s="211"/>
      <c r="AE539" s="211"/>
      <c r="AF539" s="211"/>
      <c r="AG539" s="212"/>
      <c r="AH539" s="211"/>
      <c r="AK539" s="212"/>
      <c r="AL539" s="211"/>
      <c r="AM539" s="211"/>
      <c r="AN539" s="211"/>
      <c r="AO539" s="210"/>
      <c r="AP539" s="210"/>
    </row>
    <row r="540" spans="1:42" x14ac:dyDescent="0.25">
      <c r="F540" s="211"/>
    </row>
    <row r="541" spans="1:42" x14ac:dyDescent="0.25">
      <c r="A541" s="202"/>
      <c r="C541" s="154"/>
      <c r="F541" s="200"/>
      <c r="H541" s="200"/>
      <c r="I541" s="200"/>
      <c r="J541" s="305"/>
      <c r="K541" s="305"/>
      <c r="L541" s="200"/>
      <c r="M541" s="200"/>
      <c r="N541" s="210"/>
      <c r="O541" s="210"/>
      <c r="P541" s="200"/>
      <c r="Q541" s="200"/>
      <c r="R541" s="200"/>
      <c r="S541" s="200"/>
      <c r="T541" s="154"/>
      <c r="V541" s="200"/>
      <c r="AA541" s="200"/>
      <c r="AB541" s="305"/>
      <c r="AC541" s="200"/>
      <c r="AD541" s="200"/>
      <c r="AE541" s="210"/>
      <c r="AF541" s="210"/>
      <c r="AG541" s="209"/>
      <c r="AH541" s="200"/>
      <c r="AI541" s="210"/>
      <c r="AJ541" s="210"/>
      <c r="AK541" s="209"/>
      <c r="AL541" s="200"/>
      <c r="AM541" s="200"/>
      <c r="AN541" s="200"/>
      <c r="AO541" s="210"/>
      <c r="AP541" s="210"/>
    </row>
    <row r="542" spans="1:42" x14ac:dyDescent="0.25">
      <c r="F542" s="211"/>
      <c r="H542" s="211"/>
      <c r="I542" s="211"/>
      <c r="J542" s="305"/>
      <c r="K542" s="305"/>
      <c r="L542" s="211"/>
      <c r="M542" s="211"/>
      <c r="N542" s="211"/>
      <c r="O542" s="211"/>
      <c r="P542" s="211"/>
      <c r="Q542" s="211"/>
      <c r="R542" s="211"/>
      <c r="S542" s="200"/>
      <c r="V542" s="211"/>
      <c r="AA542" s="211"/>
      <c r="AB542" s="305"/>
      <c r="AC542" s="211"/>
      <c r="AD542" s="211"/>
      <c r="AE542" s="211"/>
      <c r="AF542" s="211"/>
      <c r="AG542" s="212"/>
      <c r="AH542" s="211"/>
      <c r="AK542" s="212"/>
      <c r="AL542" s="211"/>
      <c r="AM542" s="211"/>
      <c r="AN542" s="211"/>
      <c r="AO542" s="210"/>
      <c r="AP542" s="210"/>
    </row>
    <row r="543" spans="1:42" x14ac:dyDescent="0.25">
      <c r="A543" s="202"/>
      <c r="C543" s="154"/>
      <c r="H543" s="252"/>
      <c r="I543" s="252"/>
      <c r="J543" s="305"/>
      <c r="K543" s="305"/>
      <c r="L543" s="200"/>
      <c r="M543" s="200"/>
      <c r="N543" s="210"/>
      <c r="O543" s="210"/>
      <c r="P543" s="200"/>
      <c r="Q543" s="200"/>
      <c r="R543" s="200"/>
      <c r="S543" s="200"/>
      <c r="T543" s="154"/>
      <c r="V543" s="252"/>
      <c r="AA543" s="252"/>
      <c r="AB543" s="305"/>
      <c r="AC543" s="200"/>
      <c r="AD543" s="200"/>
      <c r="AE543" s="210"/>
      <c r="AF543" s="210"/>
      <c r="AG543" s="209"/>
      <c r="AH543" s="200"/>
      <c r="AK543" s="209"/>
      <c r="AL543" s="200"/>
      <c r="AM543" s="200"/>
      <c r="AN543" s="200"/>
      <c r="AO543" s="210"/>
      <c r="AP543" s="210"/>
    </row>
    <row r="544" spans="1:42" x14ac:dyDescent="0.25">
      <c r="F544" s="252"/>
    </row>
    <row r="545" spans="1:42" x14ac:dyDescent="0.25">
      <c r="A545" s="202"/>
      <c r="C545" s="154"/>
      <c r="F545" s="252"/>
      <c r="H545" s="252"/>
      <c r="I545" s="252"/>
      <c r="J545" s="300"/>
      <c r="K545" s="300"/>
      <c r="L545" s="200"/>
      <c r="M545" s="200"/>
      <c r="N545" s="210"/>
      <c r="O545" s="210"/>
      <c r="P545" s="202"/>
      <c r="Q545" s="202"/>
      <c r="R545" s="200"/>
      <c r="T545" s="154"/>
      <c r="V545" s="200"/>
      <c r="AA545" s="252"/>
      <c r="AB545" s="300"/>
      <c r="AC545" s="200"/>
      <c r="AD545" s="200"/>
      <c r="AE545" s="210"/>
      <c r="AF545" s="210"/>
      <c r="AG545" s="209"/>
      <c r="AH545" s="200"/>
      <c r="AI545" s="201"/>
      <c r="AJ545" s="201"/>
      <c r="AK545" s="209"/>
      <c r="AL545" s="202"/>
      <c r="AM545" s="200"/>
      <c r="AN545" s="200"/>
      <c r="AO545" s="210"/>
      <c r="AP545" s="210"/>
    </row>
    <row r="546" spans="1:42" x14ac:dyDescent="0.25">
      <c r="F546" s="211"/>
      <c r="H546" s="200"/>
      <c r="I546" s="200"/>
      <c r="J546" s="305"/>
      <c r="K546" s="305"/>
      <c r="L546" s="211"/>
      <c r="M546" s="211"/>
      <c r="N546" s="211"/>
      <c r="O546" s="211"/>
      <c r="P546" s="211"/>
      <c r="Q546" s="211"/>
      <c r="R546" s="211"/>
      <c r="V546" s="211"/>
      <c r="AA546" s="200"/>
      <c r="AB546" s="305"/>
      <c r="AC546" s="211"/>
      <c r="AD546" s="211"/>
      <c r="AE546" s="211"/>
      <c r="AF546" s="211"/>
      <c r="AG546" s="212"/>
      <c r="AH546" s="211"/>
      <c r="AK546" s="212"/>
      <c r="AL546" s="211"/>
      <c r="AM546" s="211"/>
      <c r="AN546" s="211"/>
      <c r="AO546" s="210"/>
      <c r="AP546" s="210"/>
    </row>
    <row r="547" spans="1:42" x14ac:dyDescent="0.25">
      <c r="A547" s="202"/>
      <c r="C547" s="154"/>
      <c r="F547" s="252"/>
      <c r="H547" s="252"/>
      <c r="I547" s="252"/>
      <c r="J547" s="328"/>
      <c r="K547" s="328"/>
      <c r="L547" s="200"/>
      <c r="M547" s="200"/>
      <c r="N547" s="210"/>
      <c r="O547" s="210"/>
      <c r="P547" s="200"/>
      <c r="Q547" s="200"/>
      <c r="R547" s="200"/>
      <c r="S547" s="200"/>
      <c r="T547" s="154"/>
      <c r="V547" s="252"/>
      <c r="AA547" s="252"/>
      <c r="AB547" s="328"/>
      <c r="AC547" s="200"/>
      <c r="AD547" s="200"/>
      <c r="AE547" s="210"/>
      <c r="AF547" s="210"/>
      <c r="AG547" s="209"/>
      <c r="AH547" s="200"/>
      <c r="AI547" s="210"/>
      <c r="AJ547" s="210"/>
      <c r="AK547" s="209"/>
      <c r="AL547" s="200"/>
      <c r="AM547" s="200"/>
      <c r="AN547" s="200"/>
      <c r="AO547" s="210"/>
      <c r="AP547" s="210"/>
    </row>
    <row r="548" spans="1:42" x14ac:dyDescent="0.25">
      <c r="A548" s="202"/>
      <c r="C548" s="154"/>
      <c r="F548" s="252"/>
      <c r="H548" s="252"/>
      <c r="I548" s="252"/>
      <c r="J548" s="300"/>
      <c r="K548" s="300"/>
      <c r="L548" s="200"/>
      <c r="M548" s="200"/>
      <c r="N548" s="210"/>
      <c r="O548" s="210"/>
      <c r="P548" s="200"/>
      <c r="Q548" s="200"/>
      <c r="R548" s="200"/>
      <c r="T548" s="154"/>
      <c r="V548" s="252"/>
      <c r="AA548" s="200"/>
      <c r="AB548" s="300"/>
      <c r="AC548" s="200"/>
      <c r="AD548" s="200"/>
      <c r="AE548" s="210"/>
      <c r="AF548" s="210"/>
      <c r="AG548" s="209"/>
      <c r="AH548" s="200"/>
      <c r="AI548" s="201"/>
      <c r="AJ548" s="201"/>
      <c r="AK548" s="209"/>
      <c r="AL548" s="200"/>
      <c r="AM548" s="200"/>
      <c r="AN548" s="200"/>
      <c r="AO548" s="210"/>
      <c r="AP548" s="210"/>
    </row>
    <row r="549" spans="1:42" x14ac:dyDescent="0.25">
      <c r="A549" s="202"/>
      <c r="C549" s="154"/>
      <c r="F549" s="252"/>
      <c r="H549" s="252"/>
      <c r="I549" s="252"/>
      <c r="J549" s="300"/>
      <c r="K549" s="300"/>
      <c r="L549" s="200"/>
      <c r="M549" s="200"/>
      <c r="N549" s="210"/>
      <c r="O549" s="210"/>
      <c r="P549" s="200"/>
      <c r="Q549" s="200"/>
      <c r="R549" s="200"/>
      <c r="T549" s="154"/>
      <c r="V549" s="252"/>
      <c r="AA549" s="200"/>
      <c r="AB549" s="300"/>
      <c r="AC549" s="200"/>
      <c r="AD549" s="200"/>
      <c r="AE549" s="210"/>
      <c r="AF549" s="210"/>
      <c r="AG549" s="209"/>
      <c r="AH549" s="200"/>
      <c r="AI549" s="201"/>
      <c r="AJ549" s="201"/>
      <c r="AK549" s="209"/>
      <c r="AL549" s="200"/>
      <c r="AM549" s="200"/>
      <c r="AN549" s="200"/>
      <c r="AO549" s="210"/>
      <c r="AP549" s="210"/>
    </row>
    <row r="550" spans="1:42" x14ac:dyDescent="0.25">
      <c r="F550" s="211"/>
      <c r="H550" s="211"/>
      <c r="I550" s="211"/>
      <c r="J550" s="305"/>
      <c r="K550" s="305"/>
      <c r="L550" s="211"/>
      <c r="M550" s="211"/>
      <c r="N550" s="211"/>
      <c r="O550" s="211"/>
      <c r="P550" s="211"/>
      <c r="Q550" s="211"/>
      <c r="R550" s="211"/>
      <c r="V550" s="211"/>
      <c r="AA550" s="211"/>
      <c r="AB550" s="305"/>
      <c r="AC550" s="211"/>
      <c r="AD550" s="211"/>
      <c r="AE550" s="211"/>
      <c r="AF550" s="211"/>
      <c r="AG550" s="212"/>
      <c r="AH550" s="211"/>
      <c r="AK550" s="212"/>
      <c r="AL550" s="211"/>
      <c r="AM550" s="211"/>
      <c r="AN550" s="211"/>
      <c r="AO550" s="210"/>
      <c r="AP550" s="210"/>
    </row>
    <row r="551" spans="1:42" x14ac:dyDescent="0.25">
      <c r="A551" s="202"/>
      <c r="C551" s="154"/>
      <c r="F551" s="200"/>
      <c r="H551" s="200"/>
      <c r="I551" s="200"/>
      <c r="J551" s="213"/>
      <c r="K551" s="213"/>
      <c r="L551" s="200"/>
      <c r="M551" s="200"/>
      <c r="N551" s="210"/>
      <c r="O551" s="210"/>
      <c r="P551" s="200"/>
      <c r="Q551" s="200"/>
      <c r="R551" s="200"/>
      <c r="T551" s="154"/>
      <c r="V551" s="200"/>
      <c r="AA551" s="200"/>
      <c r="AB551" s="213"/>
      <c r="AC551" s="200"/>
      <c r="AD551" s="200"/>
      <c r="AE551" s="210"/>
      <c r="AF551" s="210"/>
      <c r="AG551" s="209"/>
      <c r="AH551" s="200"/>
      <c r="AI551" s="201"/>
      <c r="AJ551" s="201"/>
      <c r="AK551" s="209"/>
      <c r="AL551" s="200"/>
      <c r="AM551" s="200"/>
      <c r="AN551" s="200"/>
      <c r="AO551" s="210"/>
      <c r="AP551" s="210"/>
    </row>
    <row r="552" spans="1:42" x14ac:dyDescent="0.25">
      <c r="F552" s="211"/>
      <c r="H552" s="211"/>
      <c r="I552" s="211"/>
      <c r="J552" s="305"/>
      <c r="K552" s="305"/>
      <c r="L552" s="211"/>
      <c r="M552" s="211"/>
      <c r="N552" s="211"/>
      <c r="O552" s="211"/>
      <c r="P552" s="211"/>
      <c r="Q552" s="211"/>
      <c r="R552" s="211"/>
      <c r="V552" s="211"/>
      <c r="AA552" s="211"/>
      <c r="AB552" s="305"/>
      <c r="AC552" s="211"/>
      <c r="AD552" s="211"/>
      <c r="AE552" s="211"/>
      <c r="AF552" s="211"/>
      <c r="AG552" s="212"/>
      <c r="AH552" s="211"/>
      <c r="AK552" s="212"/>
      <c r="AL552" s="211"/>
      <c r="AM552" s="211"/>
      <c r="AN552" s="211"/>
      <c r="AO552" s="210"/>
      <c r="AP552" s="210"/>
    </row>
    <row r="553" spans="1:42" x14ac:dyDescent="0.25">
      <c r="A553" s="202"/>
      <c r="C553" s="154"/>
      <c r="F553" s="200"/>
      <c r="H553" s="200"/>
      <c r="I553" s="200"/>
      <c r="J553" s="213"/>
      <c r="K553" s="213"/>
      <c r="L553" s="200"/>
      <c r="M553" s="200"/>
      <c r="N553" s="210"/>
      <c r="O553" s="210"/>
      <c r="P553" s="200"/>
      <c r="Q553" s="200"/>
      <c r="R553" s="200"/>
      <c r="T553" s="154"/>
      <c r="V553" s="200"/>
      <c r="AA553" s="200"/>
      <c r="AB553" s="213"/>
      <c r="AC553" s="200"/>
      <c r="AD553" s="200"/>
      <c r="AE553" s="210"/>
      <c r="AF553" s="210"/>
      <c r="AG553" s="209"/>
      <c r="AH553" s="200"/>
      <c r="AI553" s="201"/>
      <c r="AJ553" s="201"/>
      <c r="AK553" s="209"/>
      <c r="AL553" s="200"/>
      <c r="AM553" s="200"/>
      <c r="AN553" s="200"/>
      <c r="AO553" s="210"/>
      <c r="AP553" s="210"/>
    </row>
    <row r="554" spans="1:42" x14ac:dyDescent="0.25">
      <c r="A554" s="202"/>
      <c r="C554" s="154"/>
      <c r="F554" s="200"/>
      <c r="H554" s="252"/>
      <c r="I554" s="252"/>
      <c r="J554" s="320"/>
      <c r="K554" s="320"/>
      <c r="L554" s="200"/>
      <c r="M554" s="200"/>
      <c r="N554" s="210"/>
      <c r="O554" s="210"/>
      <c r="P554" s="200"/>
      <c r="Q554" s="200"/>
      <c r="R554" s="200"/>
      <c r="T554" s="154"/>
      <c r="V554" s="200"/>
      <c r="AA554" s="200"/>
      <c r="AB554" s="304"/>
      <c r="AC554" s="200"/>
      <c r="AD554" s="200"/>
      <c r="AE554" s="210"/>
      <c r="AF554" s="210"/>
      <c r="AG554" s="209"/>
      <c r="AH554" s="200"/>
      <c r="AI554" s="201"/>
      <c r="AJ554" s="201"/>
      <c r="AK554" s="209"/>
      <c r="AL554" s="200"/>
      <c r="AM554" s="200"/>
      <c r="AN554" s="200"/>
      <c r="AO554" s="210"/>
      <c r="AP554" s="210"/>
    </row>
    <row r="555" spans="1:42" x14ac:dyDescent="0.25">
      <c r="H555" s="211"/>
      <c r="I555" s="211"/>
      <c r="J555" s="305"/>
      <c r="K555" s="305"/>
      <c r="L555" s="211"/>
      <c r="M555" s="211"/>
      <c r="N555" s="211"/>
      <c r="O555" s="211"/>
      <c r="P555" s="211"/>
      <c r="Q555" s="211"/>
      <c r="R555" s="211"/>
      <c r="V555" s="211"/>
      <c r="AA555" s="211"/>
      <c r="AB555" s="305"/>
      <c r="AC555" s="211"/>
      <c r="AD555" s="211"/>
      <c r="AE555" s="211"/>
      <c r="AF555" s="211"/>
      <c r="AG555" s="212"/>
      <c r="AH555" s="211"/>
      <c r="AK555" s="212"/>
      <c r="AL555" s="211"/>
      <c r="AM555" s="211"/>
      <c r="AN555" s="211"/>
      <c r="AO555" s="210"/>
      <c r="AP555" s="210"/>
    </row>
    <row r="556" spans="1:42" x14ac:dyDescent="0.25">
      <c r="F556" s="211"/>
    </row>
    <row r="557" spans="1:42" x14ac:dyDescent="0.25">
      <c r="A557" s="202"/>
      <c r="C557" s="154"/>
      <c r="F557" s="200"/>
      <c r="H557" s="200"/>
      <c r="I557" s="200"/>
      <c r="J557" s="305"/>
      <c r="K557" s="305"/>
      <c r="L557" s="200"/>
      <c r="M557" s="200"/>
      <c r="N557" s="210"/>
      <c r="O557" s="210"/>
      <c r="P557" s="200"/>
      <c r="Q557" s="200"/>
      <c r="R557" s="200"/>
      <c r="S557" s="200"/>
      <c r="T557" s="154"/>
      <c r="V557" s="200"/>
      <c r="AA557" s="200"/>
      <c r="AB557" s="305"/>
      <c r="AC557" s="200"/>
      <c r="AD557" s="200"/>
      <c r="AE557" s="210"/>
      <c r="AF557" s="210"/>
      <c r="AG557" s="209"/>
      <c r="AH557" s="200"/>
      <c r="AI557" s="210"/>
      <c r="AJ557" s="210"/>
      <c r="AK557" s="209"/>
      <c r="AL557" s="200"/>
      <c r="AM557" s="200"/>
      <c r="AN557" s="200"/>
      <c r="AO557" s="210"/>
      <c r="AP557" s="210"/>
    </row>
    <row r="558" spans="1:42" x14ac:dyDescent="0.25">
      <c r="F558" s="211"/>
      <c r="H558" s="211"/>
      <c r="I558" s="211"/>
      <c r="J558" s="305"/>
      <c r="K558" s="305"/>
      <c r="L558" s="211"/>
      <c r="M558" s="211"/>
      <c r="N558" s="211"/>
      <c r="O558" s="211"/>
      <c r="P558" s="211"/>
      <c r="Q558" s="211"/>
      <c r="R558" s="211"/>
      <c r="S558" s="200"/>
      <c r="V558" s="211"/>
      <c r="AA558" s="211"/>
      <c r="AB558" s="305"/>
      <c r="AC558" s="211"/>
      <c r="AD558" s="211"/>
      <c r="AE558" s="211"/>
      <c r="AF558" s="211"/>
      <c r="AG558" s="212"/>
      <c r="AH558" s="211"/>
      <c r="AK558" s="212"/>
      <c r="AL558" s="211"/>
      <c r="AM558" s="211"/>
      <c r="AN558" s="211"/>
      <c r="AO558" s="210"/>
      <c r="AP558" s="210"/>
    </row>
    <row r="559" spans="1:42" x14ac:dyDescent="0.25">
      <c r="A559" s="202"/>
      <c r="C559" s="154"/>
      <c r="T559" s="154"/>
    </row>
    <row r="560" spans="1:42" x14ac:dyDescent="0.25">
      <c r="A560" s="202"/>
      <c r="C560" s="154"/>
      <c r="F560" s="200"/>
      <c r="H560" s="200"/>
      <c r="I560" s="200"/>
      <c r="L560" s="200"/>
      <c r="M560" s="200"/>
      <c r="N560" s="210"/>
      <c r="O560" s="210"/>
      <c r="P560" s="252"/>
      <c r="Q560" s="252"/>
      <c r="R560" s="200"/>
      <c r="T560" s="154"/>
      <c r="V560" s="200"/>
      <c r="AA560" s="200"/>
      <c r="AC560" s="200"/>
      <c r="AD560" s="200"/>
      <c r="AE560" s="210"/>
      <c r="AF560" s="210"/>
      <c r="AG560" s="209"/>
      <c r="AH560" s="200"/>
      <c r="AI560" s="210"/>
      <c r="AJ560" s="210"/>
      <c r="AK560" s="325"/>
      <c r="AL560" s="252"/>
      <c r="AM560" s="200"/>
      <c r="AN560" s="200"/>
      <c r="AO560" s="210"/>
      <c r="AP560" s="210"/>
    </row>
    <row r="561" spans="1:42" x14ac:dyDescent="0.25">
      <c r="H561" s="211"/>
      <c r="I561" s="211"/>
      <c r="J561" s="305"/>
      <c r="K561" s="305"/>
      <c r="L561" s="211"/>
      <c r="M561" s="211"/>
      <c r="N561" s="211"/>
      <c r="O561" s="211"/>
      <c r="P561" s="211"/>
      <c r="Q561" s="211"/>
      <c r="R561" s="211"/>
      <c r="V561" s="211"/>
      <c r="AA561" s="211"/>
      <c r="AB561" s="305"/>
      <c r="AC561" s="211"/>
      <c r="AD561" s="211"/>
      <c r="AE561" s="211"/>
      <c r="AF561" s="211"/>
      <c r="AG561" s="212"/>
      <c r="AH561" s="211"/>
      <c r="AK561" s="212"/>
      <c r="AL561" s="211"/>
      <c r="AM561" s="211"/>
      <c r="AN561" s="211"/>
    </row>
    <row r="562" spans="1:42" x14ac:dyDescent="0.25">
      <c r="F562" s="211"/>
    </row>
    <row r="563" spans="1:42" x14ac:dyDescent="0.25">
      <c r="C563" s="154"/>
      <c r="L563" s="200"/>
      <c r="M563" s="200"/>
      <c r="N563" s="200"/>
      <c r="O563" s="200"/>
      <c r="P563" s="200"/>
      <c r="Q563" s="200"/>
      <c r="R563" s="200"/>
      <c r="S563" s="200"/>
      <c r="T563" s="154"/>
      <c r="AC563" s="200"/>
      <c r="AD563" s="200"/>
      <c r="AE563" s="200"/>
      <c r="AF563" s="200"/>
      <c r="AK563" s="209"/>
      <c r="AL563" s="200"/>
      <c r="AM563" s="200"/>
      <c r="AN563" s="200"/>
    </row>
    <row r="564" spans="1:42" x14ac:dyDescent="0.25">
      <c r="A564" s="154"/>
    </row>
    <row r="565" spans="1:42" x14ac:dyDescent="0.25">
      <c r="J565" s="202"/>
      <c r="K565" s="202"/>
      <c r="AB565" s="202"/>
    </row>
    <row r="566" spans="1:42" x14ac:dyDescent="0.25">
      <c r="H566" s="154"/>
      <c r="I566" s="154"/>
      <c r="AA566" s="154"/>
    </row>
    <row r="567" spans="1:42" x14ac:dyDescent="0.25">
      <c r="J567" s="202"/>
      <c r="K567" s="202"/>
      <c r="AB567" s="202"/>
    </row>
    <row r="568" spans="1:42" x14ac:dyDescent="0.25">
      <c r="L568" s="154"/>
      <c r="M568" s="154"/>
      <c r="AC568" s="154"/>
      <c r="AD568" s="154"/>
    </row>
    <row r="569" spans="1:42" x14ac:dyDescent="0.25">
      <c r="A569" s="202"/>
      <c r="R569" s="154"/>
      <c r="AM569" s="154"/>
      <c r="AN569" s="154"/>
    </row>
    <row r="570" spans="1:42" x14ac:dyDescent="0.25">
      <c r="A570" s="202"/>
      <c r="R570" s="154"/>
      <c r="AM570" s="154"/>
      <c r="AN570" s="154"/>
    </row>
    <row r="571" spans="1:42" x14ac:dyDescent="0.25">
      <c r="A571" s="154"/>
      <c r="R571" s="154"/>
      <c r="AM571" s="154"/>
      <c r="AN571" s="154"/>
    </row>
    <row r="572" spans="1:42" x14ac:dyDescent="0.25">
      <c r="L572" s="154"/>
      <c r="M572" s="154"/>
      <c r="R572" s="202"/>
      <c r="AC572" s="154"/>
      <c r="AD572" s="154"/>
      <c r="AM572" s="202"/>
      <c r="AN572" s="202"/>
    </row>
    <row r="573" spans="1:42" x14ac:dyDescent="0.25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208"/>
      <c r="AH573" s="102"/>
      <c r="AI573" s="102"/>
      <c r="AJ573" s="102"/>
      <c r="AK573" s="208"/>
      <c r="AL573" s="102"/>
      <c r="AM573" s="102"/>
      <c r="AN573" s="102"/>
      <c r="AO573" s="102"/>
      <c r="AP573" s="102"/>
    </row>
    <row r="574" spans="1:42" x14ac:dyDescent="0.25">
      <c r="L574" s="103"/>
      <c r="M574" s="103"/>
      <c r="N574" s="103"/>
      <c r="O574" s="103"/>
      <c r="R574" s="103"/>
      <c r="AC574" s="103"/>
      <c r="AD574" s="103"/>
      <c r="AE574" s="103"/>
      <c r="AF574" s="103"/>
      <c r="AG574" s="185"/>
      <c r="AH574" s="103"/>
      <c r="AI574" s="103"/>
      <c r="AJ574" s="103"/>
      <c r="AM574" s="103"/>
      <c r="AN574" s="103"/>
      <c r="AO574" s="103"/>
      <c r="AP574" s="103"/>
    </row>
    <row r="575" spans="1:42" x14ac:dyDescent="0.25">
      <c r="L575" s="103"/>
      <c r="M575" s="103"/>
      <c r="N575" s="103"/>
      <c r="O575" s="103"/>
      <c r="R575" s="103"/>
      <c r="AB575" s="103"/>
      <c r="AC575" s="103"/>
      <c r="AD575" s="103"/>
      <c r="AE575" s="103"/>
      <c r="AF575" s="103"/>
      <c r="AG575" s="185"/>
      <c r="AH575" s="103"/>
      <c r="AI575" s="103"/>
      <c r="AJ575" s="103"/>
      <c r="AM575" s="103"/>
      <c r="AN575" s="103"/>
      <c r="AO575" s="103"/>
      <c r="AP575" s="103"/>
    </row>
    <row r="576" spans="1:42" x14ac:dyDescent="0.25">
      <c r="A576" s="103"/>
      <c r="C576" s="103"/>
      <c r="D576" s="103"/>
      <c r="E576" s="103"/>
      <c r="F576" s="103"/>
      <c r="J576" s="103"/>
      <c r="K576" s="103"/>
      <c r="L576" s="103"/>
      <c r="M576" s="103"/>
      <c r="N576" s="103"/>
      <c r="O576" s="103"/>
      <c r="P576" s="103"/>
      <c r="Q576" s="103"/>
      <c r="R576" s="103"/>
      <c r="T576" s="103"/>
      <c r="U576" s="103"/>
      <c r="V576" s="103"/>
      <c r="AB576" s="103"/>
      <c r="AC576" s="103"/>
      <c r="AD576" s="103"/>
      <c r="AE576" s="103"/>
      <c r="AF576" s="103"/>
      <c r="AG576" s="185"/>
      <c r="AH576" s="103"/>
      <c r="AI576" s="103"/>
      <c r="AJ576" s="103"/>
      <c r="AK576" s="185"/>
      <c r="AL576" s="103"/>
      <c r="AM576" s="103"/>
      <c r="AN576" s="103"/>
      <c r="AO576" s="103"/>
      <c r="AP576" s="103"/>
    </row>
    <row r="577" spans="1:42" x14ac:dyDescent="0.25">
      <c r="A577" s="103"/>
      <c r="C577" s="103"/>
      <c r="D577" s="103"/>
      <c r="E577" s="103"/>
      <c r="F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T577" s="103"/>
      <c r="U577" s="103"/>
      <c r="V577" s="103"/>
      <c r="AA577" s="103"/>
      <c r="AB577" s="103"/>
      <c r="AC577" s="103"/>
      <c r="AD577" s="103"/>
      <c r="AE577" s="103"/>
      <c r="AF577" s="103"/>
      <c r="AG577" s="185"/>
      <c r="AH577" s="103"/>
      <c r="AI577" s="103"/>
      <c r="AJ577" s="103"/>
      <c r="AK577" s="185"/>
      <c r="AL577" s="103"/>
      <c r="AM577" s="103"/>
      <c r="AN577" s="103"/>
      <c r="AO577" s="103"/>
      <c r="AP577" s="103"/>
    </row>
    <row r="578" spans="1:42" x14ac:dyDescent="0.25">
      <c r="C578" s="103"/>
      <c r="D578" s="103"/>
      <c r="E578" s="103"/>
      <c r="F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T578" s="103"/>
      <c r="U578" s="103"/>
      <c r="V578" s="103"/>
      <c r="AA578" s="103"/>
      <c r="AB578" s="103"/>
      <c r="AC578" s="103"/>
      <c r="AD578" s="103"/>
      <c r="AE578" s="103"/>
      <c r="AF578" s="103"/>
      <c r="AG578" s="185"/>
      <c r="AH578" s="103"/>
      <c r="AI578" s="103"/>
      <c r="AJ578" s="103"/>
      <c r="AK578" s="185"/>
      <c r="AL578" s="103"/>
      <c r="AM578" s="103"/>
      <c r="AN578" s="103"/>
      <c r="AO578" s="103"/>
      <c r="AP578" s="103"/>
    </row>
    <row r="579" spans="1:42" x14ac:dyDescent="0.25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208"/>
      <c r="AH579" s="102"/>
      <c r="AI579" s="102"/>
      <c r="AJ579" s="102"/>
      <c r="AK579" s="208"/>
      <c r="AL579" s="102"/>
      <c r="AM579" s="102"/>
      <c r="AN579" s="102"/>
      <c r="AO579" s="102"/>
      <c r="AP579" s="102"/>
    </row>
    <row r="580" spans="1:42" x14ac:dyDescent="0.25"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AA580" s="103"/>
      <c r="AB580" s="103"/>
      <c r="AC580" s="103"/>
      <c r="AD580" s="103"/>
      <c r="AE580" s="103"/>
      <c r="AF580" s="103"/>
      <c r="AG580" s="185"/>
      <c r="AH580" s="103"/>
      <c r="AI580" s="103"/>
      <c r="AJ580" s="103"/>
      <c r="AK580" s="185"/>
      <c r="AL580" s="103"/>
      <c r="AM580" s="103"/>
      <c r="AN580" s="103"/>
      <c r="AO580" s="103"/>
      <c r="AP580" s="103"/>
    </row>
    <row r="581" spans="1:42" x14ac:dyDescent="0.25">
      <c r="A581" s="202"/>
      <c r="C581" s="154"/>
      <c r="D581" s="154"/>
      <c r="E581" s="154"/>
      <c r="T581" s="154"/>
      <c r="U581" s="154"/>
    </row>
    <row r="582" spans="1:42" x14ac:dyDescent="0.25">
      <c r="D582" s="154"/>
      <c r="E582" s="154"/>
      <c r="U582" s="154"/>
    </row>
    <row r="584" spans="1:42" x14ac:dyDescent="0.25">
      <c r="A584" s="202"/>
      <c r="C584" s="154"/>
      <c r="T584" s="154"/>
    </row>
    <row r="585" spans="1:42" x14ac:dyDescent="0.25">
      <c r="A585" s="202"/>
      <c r="C585" s="154"/>
      <c r="F585" s="252"/>
      <c r="H585" s="252"/>
      <c r="I585" s="252"/>
      <c r="J585" s="329"/>
      <c r="K585" s="329"/>
      <c r="L585" s="200"/>
      <c r="M585" s="200"/>
      <c r="N585" s="210"/>
      <c r="O585" s="210"/>
      <c r="P585" s="200"/>
      <c r="Q585" s="200"/>
      <c r="R585" s="200"/>
      <c r="T585" s="154"/>
      <c r="V585" s="252"/>
      <c r="W585" s="200"/>
      <c r="X585" s="200"/>
      <c r="Y585" s="200"/>
      <c r="Z585" s="200"/>
      <c r="AA585" s="252"/>
      <c r="AB585" s="329"/>
      <c r="AC585" s="200"/>
      <c r="AD585" s="200"/>
      <c r="AE585" s="210"/>
      <c r="AF585" s="210"/>
      <c r="AG585" s="209"/>
      <c r="AH585" s="200"/>
      <c r="AI585" s="201"/>
      <c r="AJ585" s="201"/>
      <c r="AK585" s="209"/>
      <c r="AL585" s="200"/>
      <c r="AM585" s="200"/>
      <c r="AN585" s="200"/>
      <c r="AO585" s="210"/>
      <c r="AP585" s="210"/>
    </row>
    <row r="586" spans="1:42" x14ac:dyDescent="0.25">
      <c r="A586" s="202"/>
      <c r="C586" s="154"/>
      <c r="F586" s="200"/>
      <c r="H586" s="200"/>
      <c r="I586" s="200"/>
      <c r="J586" s="305"/>
      <c r="K586" s="305"/>
      <c r="L586" s="200"/>
      <c r="M586" s="200"/>
      <c r="N586" s="210"/>
      <c r="O586" s="210"/>
      <c r="P586" s="200"/>
      <c r="Q586" s="200"/>
      <c r="R586" s="200"/>
      <c r="T586" s="154"/>
      <c r="V586" s="252"/>
      <c r="W586" s="200"/>
      <c r="X586" s="200"/>
      <c r="Y586" s="200"/>
      <c r="Z586" s="200"/>
      <c r="AA586" s="252"/>
      <c r="AB586" s="305"/>
      <c r="AC586" s="200"/>
      <c r="AD586" s="200"/>
      <c r="AE586" s="210"/>
      <c r="AF586" s="210"/>
      <c r="AG586" s="209"/>
      <c r="AH586" s="200"/>
      <c r="AI586" s="201"/>
      <c r="AJ586" s="201"/>
      <c r="AK586" s="209"/>
      <c r="AL586" s="200"/>
      <c r="AM586" s="200"/>
      <c r="AN586" s="200"/>
      <c r="AO586" s="210"/>
      <c r="AP586" s="210"/>
    </row>
    <row r="587" spans="1:42" x14ac:dyDescent="0.25">
      <c r="A587" s="202"/>
      <c r="C587" s="154"/>
      <c r="F587" s="252"/>
      <c r="H587" s="252"/>
      <c r="I587" s="252"/>
      <c r="J587" s="329"/>
      <c r="K587" s="329"/>
      <c r="L587" s="200"/>
      <c r="M587" s="200"/>
      <c r="N587" s="210"/>
      <c r="O587" s="210"/>
      <c r="P587" s="200"/>
      <c r="Q587" s="200"/>
      <c r="R587" s="200"/>
      <c r="T587" s="154"/>
      <c r="V587" s="252"/>
      <c r="W587" s="200"/>
      <c r="X587" s="200"/>
      <c r="Y587" s="200"/>
      <c r="Z587" s="200"/>
      <c r="AA587" s="252"/>
      <c r="AB587" s="329"/>
      <c r="AC587" s="200"/>
      <c r="AD587" s="200"/>
      <c r="AE587" s="210"/>
      <c r="AF587" s="210"/>
      <c r="AG587" s="209"/>
      <c r="AH587" s="200"/>
      <c r="AI587" s="201"/>
      <c r="AJ587" s="201"/>
      <c r="AK587" s="209"/>
      <c r="AL587" s="200"/>
      <c r="AM587" s="200"/>
      <c r="AN587" s="200"/>
      <c r="AO587" s="210"/>
      <c r="AP587" s="210"/>
    </row>
    <row r="588" spans="1:42" x14ac:dyDescent="0.25">
      <c r="A588" s="202"/>
      <c r="C588" s="154"/>
      <c r="F588" s="252"/>
      <c r="H588" s="252"/>
      <c r="I588" s="252"/>
      <c r="J588" s="329"/>
      <c r="K588" s="329"/>
      <c r="L588" s="200"/>
      <c r="M588" s="200"/>
      <c r="N588" s="210"/>
      <c r="O588" s="210"/>
      <c r="P588" s="200"/>
      <c r="Q588" s="200"/>
      <c r="R588" s="200"/>
      <c r="T588" s="154"/>
      <c r="V588" s="252"/>
      <c r="W588" s="200"/>
      <c r="X588" s="200"/>
      <c r="Y588" s="200"/>
      <c r="Z588" s="200"/>
      <c r="AA588" s="252"/>
      <c r="AB588" s="329"/>
      <c r="AC588" s="200"/>
      <c r="AD588" s="200"/>
      <c r="AE588" s="210"/>
      <c r="AF588" s="210"/>
      <c r="AG588" s="209"/>
      <c r="AH588" s="200"/>
      <c r="AI588" s="201"/>
      <c r="AJ588" s="201"/>
      <c r="AK588" s="209"/>
      <c r="AL588" s="200"/>
      <c r="AM588" s="200"/>
      <c r="AN588" s="200"/>
      <c r="AO588" s="210"/>
      <c r="AP588" s="210"/>
    </row>
    <row r="589" spans="1:42" x14ac:dyDescent="0.25">
      <c r="A589" s="202"/>
      <c r="C589" s="154"/>
      <c r="F589" s="252"/>
      <c r="H589" s="252"/>
      <c r="I589" s="252"/>
      <c r="J589" s="329"/>
      <c r="K589" s="329"/>
      <c r="L589" s="200"/>
      <c r="M589" s="200"/>
      <c r="N589" s="210"/>
      <c r="O589" s="210"/>
      <c r="P589" s="200"/>
      <c r="Q589" s="200"/>
      <c r="R589" s="200"/>
      <c r="T589" s="154"/>
      <c r="V589" s="252"/>
      <c r="W589" s="200"/>
      <c r="X589" s="200"/>
      <c r="Y589" s="200"/>
      <c r="Z589" s="200"/>
      <c r="AA589" s="252"/>
      <c r="AB589" s="329"/>
      <c r="AC589" s="200"/>
      <c r="AD589" s="200"/>
      <c r="AE589" s="210"/>
      <c r="AF589" s="210"/>
      <c r="AG589" s="209"/>
      <c r="AH589" s="200"/>
      <c r="AI589" s="201"/>
      <c r="AJ589" s="201"/>
      <c r="AK589" s="209"/>
      <c r="AL589" s="200"/>
      <c r="AM589" s="200"/>
      <c r="AN589" s="200"/>
      <c r="AO589" s="210"/>
      <c r="AP589" s="210"/>
    </row>
    <row r="590" spans="1:42" x14ac:dyDescent="0.25">
      <c r="A590" s="202"/>
      <c r="C590" s="154"/>
      <c r="F590" s="200"/>
      <c r="H590" s="200"/>
      <c r="I590" s="200"/>
      <c r="J590" s="329"/>
      <c r="K590" s="329"/>
      <c r="L590" s="200"/>
      <c r="M590" s="200"/>
      <c r="N590" s="210"/>
      <c r="O590" s="210"/>
      <c r="P590" s="200"/>
      <c r="Q590" s="200"/>
      <c r="R590" s="200"/>
      <c r="T590" s="154"/>
      <c r="V590" s="252"/>
      <c r="W590" s="200"/>
      <c r="X590" s="200"/>
      <c r="Y590" s="200"/>
      <c r="Z590" s="200"/>
      <c r="AA590" s="252"/>
      <c r="AB590" s="329"/>
      <c r="AC590" s="200"/>
      <c r="AD590" s="200"/>
      <c r="AE590" s="210"/>
      <c r="AF590" s="210"/>
      <c r="AG590" s="209"/>
      <c r="AH590" s="200"/>
      <c r="AI590" s="201"/>
      <c r="AJ590" s="201"/>
      <c r="AK590" s="209"/>
      <c r="AL590" s="200"/>
      <c r="AM590" s="200"/>
      <c r="AN590" s="200"/>
      <c r="AO590" s="210"/>
      <c r="AP590" s="210"/>
    </row>
    <row r="591" spans="1:42" x14ac:dyDescent="0.25">
      <c r="A591" s="202"/>
      <c r="C591" s="154"/>
      <c r="F591" s="200"/>
      <c r="H591" s="200"/>
      <c r="I591" s="200"/>
      <c r="J591" s="329"/>
      <c r="K591" s="329"/>
      <c r="L591" s="200"/>
      <c r="M591" s="200"/>
      <c r="N591" s="210"/>
      <c r="O591" s="210"/>
      <c r="P591" s="200"/>
      <c r="Q591" s="200"/>
      <c r="R591" s="200"/>
      <c r="T591" s="154"/>
      <c r="V591" s="252"/>
      <c r="W591" s="200"/>
      <c r="X591" s="200"/>
      <c r="Y591" s="200"/>
      <c r="Z591" s="200"/>
      <c r="AA591" s="252"/>
      <c r="AB591" s="329"/>
      <c r="AC591" s="200"/>
      <c r="AD591" s="200"/>
      <c r="AE591" s="210"/>
      <c r="AF591" s="210"/>
      <c r="AG591" s="209"/>
      <c r="AH591" s="200"/>
      <c r="AI591" s="201"/>
      <c r="AJ591" s="201"/>
      <c r="AK591" s="209"/>
      <c r="AL591" s="200"/>
      <c r="AM591" s="200"/>
      <c r="AN591" s="200"/>
      <c r="AO591" s="210"/>
      <c r="AP591" s="210"/>
    </row>
    <row r="592" spans="1:42" x14ac:dyDescent="0.25">
      <c r="F592" s="331"/>
      <c r="H592" s="332"/>
      <c r="I592" s="332"/>
      <c r="J592" s="329"/>
      <c r="K592" s="329"/>
      <c r="L592" s="331"/>
      <c r="M592" s="331"/>
      <c r="N592" s="211"/>
      <c r="O592" s="211"/>
      <c r="P592" s="331"/>
      <c r="Q592" s="331"/>
      <c r="R592" s="331"/>
      <c r="V592" s="331"/>
      <c r="W592" s="200"/>
      <c r="X592" s="200"/>
      <c r="Y592" s="200"/>
      <c r="Z592" s="200"/>
      <c r="AA592" s="331"/>
      <c r="AB592" s="329"/>
      <c r="AC592" s="331"/>
      <c r="AD592" s="331"/>
      <c r="AE592" s="333"/>
      <c r="AF592" s="333"/>
      <c r="AG592" s="208"/>
      <c r="AH592" s="331"/>
      <c r="AI592" s="201"/>
      <c r="AJ592" s="201"/>
      <c r="AK592" s="208"/>
      <c r="AL592" s="331"/>
      <c r="AM592" s="331"/>
      <c r="AN592" s="331"/>
      <c r="AO592" s="210"/>
      <c r="AP592" s="210"/>
    </row>
    <row r="593" spans="1:42" x14ac:dyDescent="0.25">
      <c r="A593" s="202"/>
      <c r="C593" s="154"/>
      <c r="F593" s="200"/>
      <c r="H593" s="200"/>
      <c r="I593" s="200"/>
      <c r="J593" s="329"/>
      <c r="K593" s="329"/>
      <c r="L593" s="200"/>
      <c r="M593" s="200"/>
      <c r="N593" s="201"/>
      <c r="O593" s="201"/>
      <c r="P593" s="200"/>
      <c r="Q593" s="200"/>
      <c r="R593" s="200"/>
      <c r="T593" s="103"/>
      <c r="V593" s="200"/>
      <c r="W593" s="200"/>
      <c r="X593" s="200"/>
      <c r="Y593" s="200"/>
      <c r="Z593" s="200"/>
      <c r="AA593" s="200"/>
      <c r="AB593" s="329"/>
      <c r="AC593" s="200"/>
      <c r="AD593" s="200"/>
      <c r="AE593" s="201"/>
      <c r="AF593" s="201"/>
      <c r="AG593" s="209"/>
      <c r="AH593" s="200"/>
      <c r="AI593" s="201"/>
      <c r="AJ593" s="201"/>
      <c r="AK593" s="209"/>
      <c r="AL593" s="200"/>
      <c r="AM593" s="200"/>
      <c r="AN593" s="200"/>
      <c r="AO593" s="210"/>
      <c r="AP593" s="210"/>
    </row>
    <row r="594" spans="1:42" x14ac:dyDescent="0.25">
      <c r="F594" s="102"/>
      <c r="H594" s="102"/>
      <c r="I594" s="102"/>
      <c r="L594" s="102"/>
      <c r="M594" s="102"/>
      <c r="N594" s="333"/>
      <c r="O594" s="333"/>
      <c r="P594" s="331"/>
      <c r="Q594" s="331"/>
      <c r="R594" s="331"/>
      <c r="V594" s="331"/>
      <c r="AA594" s="331"/>
      <c r="AB594" s="305"/>
      <c r="AC594" s="331"/>
      <c r="AD594" s="331"/>
      <c r="AE594" s="331"/>
      <c r="AF594" s="331"/>
      <c r="AG594" s="208"/>
      <c r="AH594" s="331"/>
      <c r="AK594" s="208"/>
      <c r="AL594" s="331"/>
      <c r="AM594" s="331"/>
      <c r="AN594" s="331"/>
      <c r="AO594" s="333"/>
      <c r="AP594" s="333"/>
    </row>
    <row r="595" spans="1:42" x14ac:dyDescent="0.25">
      <c r="AK595" s="209"/>
      <c r="AL595" s="202"/>
    </row>
    <row r="599" spans="1:42" x14ac:dyDescent="0.25">
      <c r="N599" s="200"/>
      <c r="O599" s="200"/>
      <c r="P599" s="200"/>
      <c r="Q599" s="200"/>
      <c r="R599" s="200"/>
      <c r="V599" s="200"/>
      <c r="AA599" s="200"/>
      <c r="AB599" s="213"/>
      <c r="AC599" s="200"/>
      <c r="AD599" s="200"/>
      <c r="AE599" s="210"/>
      <c r="AF599" s="210"/>
      <c r="AG599" s="209"/>
      <c r="AH599" s="200"/>
      <c r="AI599" s="201"/>
      <c r="AJ599" s="201"/>
      <c r="AK599" s="209"/>
      <c r="AL599" s="200"/>
      <c r="AM599" s="200"/>
      <c r="AN599" s="200"/>
      <c r="AO599" s="210"/>
      <c r="AP599" s="210"/>
    </row>
    <row r="600" spans="1:42" x14ac:dyDescent="0.25">
      <c r="A600" s="202"/>
      <c r="C600" s="154"/>
      <c r="D600" s="154"/>
      <c r="E600" s="154"/>
      <c r="J600" s="334"/>
      <c r="K600" s="334"/>
      <c r="T600" s="154"/>
      <c r="U600" s="154"/>
      <c r="AB600" s="334"/>
      <c r="AG600" s="209"/>
      <c r="AH600" s="200"/>
      <c r="AK600" s="209"/>
      <c r="AL600" s="200"/>
      <c r="AM600" s="200"/>
      <c r="AN600" s="200"/>
      <c r="AO600" s="210"/>
      <c r="AP600" s="210"/>
    </row>
    <row r="601" spans="1:42" x14ac:dyDescent="0.25">
      <c r="D601" s="154"/>
      <c r="E601" s="154"/>
      <c r="F601" s="200"/>
      <c r="H601" s="200"/>
      <c r="I601" s="200"/>
      <c r="J601" s="329"/>
      <c r="K601" s="329"/>
      <c r="L601" s="200"/>
      <c r="M601" s="200"/>
      <c r="N601" s="210"/>
      <c r="O601" s="210"/>
      <c r="P601" s="200"/>
      <c r="Q601" s="200"/>
      <c r="R601" s="200"/>
      <c r="U601" s="154"/>
      <c r="V601" s="200"/>
      <c r="AA601" s="200"/>
      <c r="AB601" s="329"/>
      <c r="AC601" s="200"/>
      <c r="AD601" s="200"/>
      <c r="AE601" s="210"/>
      <c r="AF601" s="210"/>
      <c r="AG601" s="209"/>
      <c r="AH601" s="200"/>
      <c r="AI601" s="201"/>
      <c r="AJ601" s="201"/>
      <c r="AK601" s="209"/>
      <c r="AL601" s="200"/>
      <c r="AM601" s="200"/>
      <c r="AN601" s="200"/>
      <c r="AO601" s="210"/>
      <c r="AP601" s="210"/>
    </row>
    <row r="602" spans="1:42" x14ac:dyDescent="0.25">
      <c r="F602" s="200"/>
      <c r="H602" s="200"/>
      <c r="I602" s="200"/>
      <c r="J602" s="305"/>
      <c r="K602" s="305"/>
      <c r="L602" s="200"/>
      <c r="M602" s="200"/>
      <c r="N602" s="200"/>
      <c r="O602" s="200"/>
      <c r="P602" s="200"/>
      <c r="Q602" s="200"/>
      <c r="R602" s="200"/>
      <c r="V602" s="200"/>
      <c r="AA602" s="200"/>
      <c r="AB602" s="305"/>
      <c r="AC602" s="200"/>
      <c r="AD602" s="200"/>
      <c r="AE602" s="200"/>
      <c r="AF602" s="200"/>
      <c r="AG602" s="209"/>
      <c r="AH602" s="200"/>
      <c r="AI602" s="201"/>
      <c r="AJ602" s="201"/>
      <c r="AK602" s="325"/>
      <c r="AL602" s="252"/>
      <c r="AM602" s="200"/>
      <c r="AN602" s="200"/>
      <c r="AO602" s="210"/>
      <c r="AP602" s="210"/>
    </row>
    <row r="603" spans="1:42" x14ac:dyDescent="0.25">
      <c r="A603" s="202"/>
      <c r="C603" s="154"/>
      <c r="F603" s="252"/>
      <c r="H603" s="252"/>
      <c r="I603" s="252"/>
      <c r="J603" s="304"/>
      <c r="K603" s="304"/>
      <c r="L603" s="200"/>
      <c r="M603" s="200"/>
      <c r="N603" s="210"/>
      <c r="O603" s="210"/>
      <c r="P603" s="200"/>
      <c r="Q603" s="200"/>
      <c r="R603" s="200"/>
      <c r="T603" s="154"/>
      <c r="V603" s="252"/>
      <c r="AA603" s="252"/>
      <c r="AB603" s="304"/>
      <c r="AC603" s="200"/>
      <c r="AD603" s="200"/>
      <c r="AE603" s="210"/>
      <c r="AF603" s="210"/>
      <c r="AG603" s="209"/>
      <c r="AH603" s="200"/>
      <c r="AI603" s="201"/>
      <c r="AJ603" s="201"/>
      <c r="AK603" s="209"/>
      <c r="AL603" s="200"/>
      <c r="AM603" s="200"/>
      <c r="AN603" s="200"/>
      <c r="AO603" s="210"/>
      <c r="AP603" s="210"/>
    </row>
    <row r="604" spans="1:42" x14ac:dyDescent="0.25">
      <c r="F604" s="102"/>
      <c r="H604" s="102"/>
      <c r="I604" s="102"/>
      <c r="L604" s="102"/>
      <c r="M604" s="102"/>
      <c r="N604" s="102"/>
      <c r="O604" s="102"/>
      <c r="P604" s="102"/>
      <c r="Q604" s="102"/>
      <c r="R604" s="102"/>
      <c r="V604" s="102"/>
      <c r="AA604" s="102"/>
      <c r="AC604" s="102"/>
      <c r="AD604" s="102"/>
      <c r="AE604" s="102"/>
      <c r="AF604" s="102"/>
      <c r="AG604" s="208"/>
      <c r="AH604" s="102"/>
      <c r="AI604" s="102"/>
      <c r="AJ604" s="102"/>
      <c r="AK604" s="208"/>
      <c r="AL604" s="102"/>
      <c r="AM604" s="102"/>
      <c r="AN604" s="102"/>
      <c r="AO604" s="102"/>
      <c r="AP604" s="102"/>
    </row>
    <row r="605" spans="1:42" x14ac:dyDescent="0.25">
      <c r="A605" s="202"/>
      <c r="C605" s="103"/>
      <c r="F605" s="252"/>
      <c r="H605" s="252"/>
      <c r="I605" s="252"/>
      <c r="J605" s="300"/>
      <c r="K605" s="300"/>
      <c r="L605" s="252"/>
      <c r="M605" s="252"/>
      <c r="N605" s="210"/>
      <c r="O605" s="210"/>
      <c r="P605" s="252"/>
      <c r="Q605" s="252"/>
      <c r="R605" s="252"/>
      <c r="T605" s="103"/>
      <c r="V605" s="200"/>
      <c r="AA605" s="200"/>
      <c r="AB605" s="213"/>
      <c r="AC605" s="200"/>
      <c r="AD605" s="200"/>
      <c r="AE605" s="210"/>
      <c r="AF605" s="210"/>
      <c r="AG605" s="209"/>
      <c r="AH605" s="202"/>
      <c r="AI605" s="201"/>
      <c r="AJ605" s="201"/>
      <c r="AK605" s="209"/>
      <c r="AL605" s="200"/>
      <c r="AM605" s="200"/>
      <c r="AN605" s="200"/>
      <c r="AO605" s="210"/>
      <c r="AP605" s="210"/>
    </row>
    <row r="606" spans="1:42" x14ac:dyDescent="0.25">
      <c r="F606" s="331"/>
      <c r="H606" s="331"/>
      <c r="I606" s="331"/>
      <c r="J606" s="305"/>
      <c r="K606" s="305"/>
      <c r="L606" s="331"/>
      <c r="M606" s="331"/>
      <c r="N606" s="331"/>
      <c r="O606" s="331"/>
      <c r="P606" s="331"/>
      <c r="Q606" s="331"/>
      <c r="R606" s="331"/>
      <c r="V606" s="102"/>
      <c r="AA606" s="102"/>
      <c r="AC606" s="102"/>
      <c r="AD606" s="102"/>
      <c r="AE606" s="102"/>
      <c r="AF606" s="102"/>
      <c r="AG606" s="208"/>
      <c r="AH606" s="102"/>
      <c r="AI606" s="102"/>
      <c r="AJ606" s="102"/>
      <c r="AK606" s="208"/>
      <c r="AL606" s="102"/>
      <c r="AM606" s="102"/>
      <c r="AN606" s="102"/>
      <c r="AO606" s="102"/>
      <c r="AP606" s="102"/>
    </row>
    <row r="607" spans="1:42" x14ac:dyDescent="0.25">
      <c r="F607" s="252"/>
      <c r="H607" s="252"/>
      <c r="I607" s="252"/>
      <c r="J607" s="328"/>
      <c r="K607" s="328"/>
      <c r="L607" s="200"/>
      <c r="M607" s="200"/>
      <c r="N607" s="210"/>
      <c r="O607" s="210"/>
      <c r="P607" s="200"/>
      <c r="Q607" s="200"/>
      <c r="R607" s="200"/>
    </row>
    <row r="608" spans="1:42" x14ac:dyDescent="0.25">
      <c r="A608" s="154"/>
      <c r="F608" s="252"/>
      <c r="H608" s="252"/>
      <c r="I608" s="252"/>
      <c r="J608" s="300"/>
      <c r="K608" s="300"/>
      <c r="L608" s="200"/>
      <c r="M608" s="200"/>
      <c r="N608" s="210"/>
      <c r="O608" s="210"/>
      <c r="P608" s="200"/>
      <c r="Q608" s="200"/>
      <c r="R608" s="200"/>
    </row>
    <row r="609" spans="1:42" x14ac:dyDescent="0.25">
      <c r="F609" s="252"/>
      <c r="H609" s="252"/>
      <c r="I609" s="252"/>
      <c r="J609" s="300"/>
      <c r="K609" s="300"/>
      <c r="L609" s="200"/>
      <c r="M609" s="200"/>
      <c r="N609" s="210"/>
      <c r="O609" s="210"/>
      <c r="P609" s="200"/>
      <c r="Q609" s="200"/>
      <c r="R609" s="200"/>
    </row>
    <row r="610" spans="1:42" x14ac:dyDescent="0.25">
      <c r="A610" s="154"/>
    </row>
    <row r="612" spans="1:42" x14ac:dyDescent="0.25">
      <c r="J612" s="202"/>
      <c r="K612" s="202"/>
      <c r="AB612" s="202"/>
    </row>
    <row r="613" spans="1:42" x14ac:dyDescent="0.25">
      <c r="H613" s="154"/>
      <c r="I613" s="154"/>
      <c r="AA613" s="154"/>
    </row>
    <row r="614" spans="1:42" x14ac:dyDescent="0.25">
      <c r="J614" s="202"/>
      <c r="K614" s="202"/>
      <c r="AB614" s="202"/>
    </row>
    <row r="615" spans="1:42" x14ac:dyDescent="0.25">
      <c r="L615" s="154"/>
      <c r="M615" s="154"/>
      <c r="AC615" s="154"/>
      <c r="AD615" s="154"/>
    </row>
    <row r="616" spans="1:42" x14ac:dyDescent="0.25">
      <c r="A616" s="202"/>
      <c r="R616" s="154"/>
      <c r="AM616" s="154"/>
      <c r="AN616" s="154"/>
    </row>
    <row r="617" spans="1:42" x14ac:dyDescent="0.25">
      <c r="A617" s="202"/>
      <c r="R617" s="154"/>
      <c r="AM617" s="154"/>
      <c r="AN617" s="154"/>
    </row>
    <row r="618" spans="1:42" x14ac:dyDescent="0.25">
      <c r="A618" s="154"/>
      <c r="R618" s="154"/>
      <c r="AM618" s="154"/>
      <c r="AN618" s="154"/>
    </row>
    <row r="619" spans="1:42" x14ac:dyDescent="0.25">
      <c r="L619" s="154"/>
      <c r="M619" s="154"/>
      <c r="R619" s="202"/>
      <c r="AC619" s="154"/>
      <c r="AD619" s="154"/>
      <c r="AM619" s="202"/>
      <c r="AN619" s="202"/>
    </row>
    <row r="620" spans="1:42" x14ac:dyDescent="0.25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208"/>
      <c r="AH620" s="102"/>
      <c r="AI620" s="102"/>
      <c r="AJ620" s="102"/>
      <c r="AK620" s="208"/>
      <c r="AL620" s="102"/>
      <c r="AM620" s="102"/>
      <c r="AN620" s="102"/>
      <c r="AO620" s="102"/>
      <c r="AP620" s="102"/>
    </row>
    <row r="621" spans="1:42" x14ac:dyDescent="0.25">
      <c r="L621" s="103"/>
      <c r="M621" s="103"/>
      <c r="N621" s="103"/>
      <c r="O621" s="103"/>
      <c r="R621" s="103"/>
      <c r="AC621" s="103"/>
      <c r="AD621" s="103"/>
      <c r="AE621" s="103"/>
      <c r="AF621" s="103"/>
      <c r="AG621" s="185"/>
      <c r="AH621" s="103"/>
      <c r="AI621" s="103"/>
      <c r="AJ621" s="103"/>
      <c r="AM621" s="103"/>
      <c r="AN621" s="103"/>
      <c r="AO621" s="103"/>
      <c r="AP621" s="103"/>
    </row>
    <row r="622" spans="1:42" x14ac:dyDescent="0.25">
      <c r="L622" s="103"/>
      <c r="M622" s="103"/>
      <c r="N622" s="103"/>
      <c r="O622" s="103"/>
      <c r="R622" s="103"/>
      <c r="AB622" s="103"/>
      <c r="AC622" s="103"/>
      <c r="AD622" s="103"/>
      <c r="AE622" s="103"/>
      <c r="AF622" s="103"/>
      <c r="AG622" s="185"/>
      <c r="AH622" s="103"/>
      <c r="AI622" s="103"/>
      <c r="AJ622" s="103"/>
      <c r="AM622" s="103"/>
      <c r="AN622" s="103"/>
      <c r="AO622" s="103"/>
      <c r="AP622" s="103"/>
    </row>
    <row r="623" spans="1:42" x14ac:dyDescent="0.25">
      <c r="A623" s="103"/>
      <c r="C623" s="103"/>
      <c r="D623" s="103"/>
      <c r="E623" s="103"/>
      <c r="F623" s="103"/>
      <c r="J623" s="103"/>
      <c r="K623" s="103"/>
      <c r="L623" s="103"/>
      <c r="M623" s="103"/>
      <c r="N623" s="103"/>
      <c r="O623" s="103"/>
      <c r="P623" s="103"/>
      <c r="Q623" s="103"/>
      <c r="R623" s="103"/>
      <c r="T623" s="103"/>
      <c r="U623" s="103"/>
      <c r="V623" s="103"/>
      <c r="AB623" s="103"/>
      <c r="AC623" s="103"/>
      <c r="AD623" s="103"/>
      <c r="AE623" s="103"/>
      <c r="AF623" s="103"/>
      <c r="AG623" s="185"/>
      <c r="AH623" s="103"/>
      <c r="AI623" s="103"/>
      <c r="AJ623" s="103"/>
      <c r="AK623" s="185"/>
      <c r="AL623" s="103"/>
      <c r="AM623" s="103"/>
      <c r="AN623" s="103"/>
      <c r="AO623" s="103"/>
      <c r="AP623" s="103"/>
    </row>
    <row r="624" spans="1:42" x14ac:dyDescent="0.25">
      <c r="A624" s="103"/>
      <c r="C624" s="103"/>
      <c r="D624" s="103"/>
      <c r="E624" s="103"/>
      <c r="F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T624" s="103"/>
      <c r="U624" s="103"/>
      <c r="V624" s="103"/>
      <c r="AA624" s="103"/>
      <c r="AB624" s="103"/>
      <c r="AC624" s="103"/>
      <c r="AD624" s="103"/>
      <c r="AE624" s="103"/>
      <c r="AF624" s="103"/>
      <c r="AG624" s="185"/>
      <c r="AH624" s="103"/>
      <c r="AI624" s="103"/>
      <c r="AJ624" s="103"/>
      <c r="AK624" s="185"/>
      <c r="AL624" s="103"/>
      <c r="AM624" s="103"/>
      <c r="AN624" s="103"/>
      <c r="AO624" s="103"/>
      <c r="AP624" s="103"/>
    </row>
    <row r="625" spans="1:42" x14ac:dyDescent="0.25">
      <c r="C625" s="103"/>
      <c r="D625" s="103"/>
      <c r="E625" s="103"/>
      <c r="F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T625" s="103"/>
      <c r="U625" s="103"/>
      <c r="V625" s="103"/>
      <c r="AA625" s="103"/>
      <c r="AB625" s="103"/>
      <c r="AC625" s="103"/>
      <c r="AD625" s="103"/>
      <c r="AE625" s="103"/>
      <c r="AF625" s="103"/>
      <c r="AG625" s="185"/>
      <c r="AH625" s="103"/>
      <c r="AI625" s="103"/>
      <c r="AJ625" s="103"/>
      <c r="AK625" s="185"/>
      <c r="AL625" s="103"/>
      <c r="AM625" s="103"/>
      <c r="AN625" s="103"/>
      <c r="AO625" s="103"/>
      <c r="AP625" s="103"/>
    </row>
    <row r="626" spans="1:42" x14ac:dyDescent="0.25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208"/>
      <c r="AH626" s="102"/>
      <c r="AI626" s="102"/>
      <c r="AJ626" s="102"/>
      <c r="AK626" s="208"/>
      <c r="AL626" s="102"/>
      <c r="AM626" s="102"/>
      <c r="AN626" s="102"/>
      <c r="AO626" s="102"/>
      <c r="AP626" s="102"/>
    </row>
    <row r="627" spans="1:42" x14ac:dyDescent="0.25"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AA627" s="103"/>
      <c r="AB627" s="103"/>
      <c r="AC627" s="103"/>
      <c r="AD627" s="103"/>
      <c r="AE627" s="103"/>
      <c r="AF627" s="103"/>
      <c r="AG627" s="185"/>
      <c r="AH627" s="103"/>
      <c r="AI627" s="103"/>
      <c r="AJ627" s="103"/>
      <c r="AK627" s="185"/>
      <c r="AL627" s="103"/>
      <c r="AM627" s="103"/>
      <c r="AN627" s="103"/>
      <c r="AO627" s="103"/>
      <c r="AP627" s="103"/>
    </row>
    <row r="628" spans="1:42" x14ac:dyDescent="0.25">
      <c r="A628" s="202"/>
      <c r="C628" s="154"/>
      <c r="D628" s="154"/>
      <c r="E628" s="154"/>
      <c r="T628" s="154"/>
      <c r="U628" s="154"/>
    </row>
    <row r="630" spans="1:42" x14ac:dyDescent="0.25">
      <c r="A630" s="202"/>
      <c r="C630" s="154"/>
      <c r="T630" s="154"/>
    </row>
    <row r="631" spans="1:42" x14ac:dyDescent="0.25">
      <c r="A631" s="202"/>
      <c r="C631" s="154"/>
      <c r="F631" s="252"/>
      <c r="H631" s="252"/>
      <c r="I631" s="252"/>
      <c r="J631" s="305"/>
      <c r="K631" s="305"/>
      <c r="L631" s="200"/>
      <c r="M631" s="200"/>
      <c r="N631" s="210"/>
      <c r="O631" s="210"/>
      <c r="P631" s="200"/>
      <c r="Q631" s="200"/>
      <c r="R631" s="200"/>
      <c r="T631" s="154"/>
      <c r="V631" s="252"/>
      <c r="AA631" s="252"/>
      <c r="AB631" s="305"/>
      <c r="AC631" s="200"/>
      <c r="AD631" s="200"/>
      <c r="AE631" s="210"/>
      <c r="AF631" s="210"/>
      <c r="AG631" s="209"/>
      <c r="AH631" s="200"/>
      <c r="AI631" s="201"/>
      <c r="AJ631" s="201"/>
      <c r="AK631" s="209"/>
      <c r="AL631" s="200"/>
      <c r="AM631" s="200"/>
      <c r="AN631" s="200"/>
      <c r="AO631" s="210"/>
      <c r="AP631" s="210"/>
    </row>
    <row r="632" spans="1:42" x14ac:dyDescent="0.25">
      <c r="A632" s="202"/>
      <c r="C632" s="154"/>
      <c r="T632" s="154"/>
    </row>
    <row r="633" spans="1:42" x14ac:dyDescent="0.25">
      <c r="A633" s="202"/>
      <c r="C633" s="154"/>
      <c r="F633" s="252"/>
      <c r="H633" s="252"/>
      <c r="I633" s="252"/>
      <c r="J633" s="329"/>
      <c r="K633" s="329"/>
      <c r="L633" s="200"/>
      <c r="M633" s="200"/>
      <c r="N633" s="210"/>
      <c r="O633" s="210"/>
      <c r="P633" s="200"/>
      <c r="Q633" s="200"/>
      <c r="R633" s="200"/>
      <c r="T633" s="154"/>
      <c r="V633" s="200"/>
      <c r="AA633" s="200"/>
      <c r="AB633" s="329"/>
      <c r="AC633" s="200"/>
      <c r="AD633" s="200"/>
      <c r="AE633" s="210"/>
      <c r="AF633" s="210"/>
      <c r="AG633" s="209"/>
      <c r="AH633" s="200"/>
      <c r="AI633" s="201"/>
      <c r="AJ633" s="201"/>
      <c r="AK633" s="209"/>
      <c r="AL633" s="200"/>
      <c r="AM633" s="200"/>
      <c r="AN633" s="200"/>
      <c r="AO633" s="210"/>
      <c r="AP633" s="210"/>
    </row>
    <row r="634" spans="1:42" x14ac:dyDescent="0.25">
      <c r="A634" s="202"/>
      <c r="C634" s="154"/>
      <c r="F634" s="252"/>
      <c r="H634" s="252"/>
      <c r="I634" s="252"/>
      <c r="J634" s="329"/>
      <c r="K634" s="329"/>
      <c r="L634" s="200"/>
      <c r="M634" s="200"/>
      <c r="N634" s="210"/>
      <c r="O634" s="210"/>
      <c r="P634" s="200"/>
      <c r="Q634" s="200"/>
      <c r="R634" s="200"/>
      <c r="T634" s="154"/>
      <c r="V634" s="200"/>
      <c r="AA634" s="200"/>
      <c r="AB634" s="329"/>
      <c r="AC634" s="200"/>
      <c r="AD634" s="200"/>
      <c r="AE634" s="210"/>
      <c r="AF634" s="210"/>
      <c r="AG634" s="209"/>
      <c r="AH634" s="200"/>
      <c r="AI634" s="201"/>
      <c r="AJ634" s="201"/>
      <c r="AK634" s="209"/>
      <c r="AL634" s="200"/>
      <c r="AM634" s="200"/>
      <c r="AN634" s="200"/>
      <c r="AO634" s="210"/>
      <c r="AP634" s="210"/>
    </row>
    <row r="635" spans="1:42" x14ac:dyDescent="0.25">
      <c r="A635" s="202"/>
      <c r="C635" s="154"/>
      <c r="F635" s="252"/>
      <c r="H635" s="252"/>
      <c r="I635" s="252"/>
      <c r="J635" s="329"/>
      <c r="K635" s="329"/>
      <c r="L635" s="200"/>
      <c r="M635" s="200"/>
      <c r="N635" s="210"/>
      <c r="O635" s="210"/>
      <c r="P635" s="200"/>
      <c r="Q635" s="200"/>
      <c r="R635" s="200"/>
      <c r="T635" s="154"/>
      <c r="V635" s="200"/>
      <c r="AA635" s="200"/>
      <c r="AB635" s="329"/>
      <c r="AC635" s="200"/>
      <c r="AD635" s="200"/>
      <c r="AE635" s="210"/>
      <c r="AF635" s="210"/>
      <c r="AG635" s="209"/>
      <c r="AH635" s="200"/>
      <c r="AI635" s="201"/>
      <c r="AJ635" s="201"/>
      <c r="AK635" s="209"/>
      <c r="AL635" s="200"/>
      <c r="AM635" s="200"/>
      <c r="AN635" s="200"/>
      <c r="AO635" s="210"/>
      <c r="AP635" s="210"/>
    </row>
    <row r="636" spans="1:42" x14ac:dyDescent="0.25">
      <c r="A636" s="202"/>
      <c r="C636" s="154"/>
      <c r="F636" s="252"/>
      <c r="H636" s="252"/>
      <c r="I636" s="252"/>
      <c r="J636" s="329"/>
      <c r="K636" s="329"/>
      <c r="L636" s="200"/>
      <c r="M636" s="200"/>
      <c r="N636" s="210"/>
      <c r="O636" s="210"/>
      <c r="P636" s="200"/>
      <c r="Q636" s="200"/>
      <c r="R636" s="200"/>
      <c r="T636" s="154"/>
      <c r="V636" s="200"/>
      <c r="AA636" s="200"/>
      <c r="AB636" s="329"/>
      <c r="AC636" s="200"/>
      <c r="AD636" s="200"/>
      <c r="AE636" s="210"/>
      <c r="AF636" s="210"/>
      <c r="AG636" s="209"/>
      <c r="AH636" s="200"/>
      <c r="AI636" s="201"/>
      <c r="AJ636" s="201"/>
      <c r="AK636" s="209"/>
      <c r="AL636" s="200"/>
      <c r="AM636" s="200"/>
      <c r="AN636" s="200"/>
      <c r="AO636" s="210"/>
      <c r="AP636" s="210"/>
    </row>
    <row r="637" spans="1:42" x14ac:dyDescent="0.25">
      <c r="A637" s="202"/>
      <c r="C637" s="154"/>
      <c r="J637" s="334"/>
      <c r="K637" s="334"/>
      <c r="T637" s="154"/>
      <c r="AB637" s="334"/>
    </row>
    <row r="638" spans="1:42" x14ac:dyDescent="0.25">
      <c r="A638" s="202"/>
      <c r="C638" s="154"/>
      <c r="F638" s="252"/>
      <c r="H638" s="252"/>
      <c r="I638" s="252"/>
      <c r="J638" s="329"/>
      <c r="K638" s="329"/>
      <c r="L638" s="200"/>
      <c r="M638" s="200"/>
      <c r="N638" s="210"/>
      <c r="O638" s="210"/>
      <c r="P638" s="200"/>
      <c r="Q638" s="200"/>
      <c r="R638" s="200"/>
      <c r="T638" s="154"/>
      <c r="V638" s="200"/>
      <c r="AA638" s="200"/>
      <c r="AB638" s="329"/>
      <c r="AC638" s="200"/>
      <c r="AD638" s="200"/>
      <c r="AE638" s="210"/>
      <c r="AF638" s="210"/>
      <c r="AG638" s="209"/>
      <c r="AH638" s="200"/>
      <c r="AI638" s="201"/>
      <c r="AJ638" s="201"/>
      <c r="AK638" s="209"/>
      <c r="AL638" s="200"/>
      <c r="AM638" s="200"/>
      <c r="AN638" s="200"/>
      <c r="AO638" s="210"/>
      <c r="AP638" s="210"/>
    </row>
    <row r="639" spans="1:42" x14ac:dyDescent="0.25">
      <c r="A639" s="202"/>
      <c r="C639" s="154"/>
      <c r="F639" s="252"/>
      <c r="H639" s="252"/>
      <c r="I639" s="252"/>
      <c r="J639" s="329"/>
      <c r="K639" s="329"/>
      <c r="L639" s="200"/>
      <c r="M639" s="200"/>
      <c r="N639" s="210"/>
      <c r="O639" s="210"/>
      <c r="P639" s="200"/>
      <c r="Q639" s="200"/>
      <c r="R639" s="200"/>
      <c r="T639" s="154"/>
      <c r="V639" s="200"/>
      <c r="AA639" s="200"/>
      <c r="AB639" s="329"/>
      <c r="AC639" s="200"/>
      <c r="AD639" s="200"/>
      <c r="AE639" s="210"/>
      <c r="AF639" s="210"/>
      <c r="AG639" s="209"/>
      <c r="AH639" s="200"/>
      <c r="AI639" s="201"/>
      <c r="AJ639" s="201"/>
      <c r="AK639" s="209"/>
      <c r="AL639" s="200"/>
      <c r="AM639" s="200"/>
      <c r="AN639" s="200"/>
      <c r="AO639" s="210"/>
      <c r="AP639" s="210"/>
    </row>
    <row r="640" spans="1:42" x14ac:dyDescent="0.25">
      <c r="A640" s="202"/>
      <c r="C640" s="154"/>
      <c r="F640" s="252"/>
      <c r="H640" s="252"/>
      <c r="I640" s="252"/>
      <c r="J640" s="329"/>
      <c r="K640" s="329"/>
      <c r="L640" s="200"/>
      <c r="M640" s="200"/>
      <c r="N640" s="210"/>
      <c r="O640" s="210"/>
      <c r="P640" s="200"/>
      <c r="Q640" s="200"/>
      <c r="R640" s="200"/>
      <c r="T640" s="154"/>
      <c r="V640" s="200"/>
      <c r="AA640" s="200"/>
      <c r="AB640" s="329"/>
      <c r="AC640" s="200"/>
      <c r="AD640" s="200"/>
      <c r="AE640" s="210"/>
      <c r="AF640" s="210"/>
      <c r="AG640" s="209"/>
      <c r="AH640" s="200"/>
      <c r="AI640" s="201"/>
      <c r="AJ640" s="201"/>
      <c r="AK640" s="209"/>
      <c r="AL640" s="200"/>
      <c r="AM640" s="200"/>
      <c r="AN640" s="200"/>
      <c r="AO640" s="210"/>
      <c r="AP640" s="210"/>
    </row>
    <row r="641" spans="1:42" x14ac:dyDescent="0.25">
      <c r="A641" s="202"/>
      <c r="C641" s="154"/>
      <c r="J641" s="334"/>
      <c r="K641" s="334"/>
      <c r="T641" s="154"/>
      <c r="AB641" s="334"/>
    </row>
    <row r="642" spans="1:42" x14ac:dyDescent="0.25">
      <c r="A642" s="202"/>
      <c r="C642" s="154"/>
      <c r="F642" s="252"/>
      <c r="H642" s="252"/>
      <c r="I642" s="252"/>
      <c r="J642" s="329"/>
      <c r="K642" s="329"/>
      <c r="L642" s="200"/>
      <c r="M642" s="200"/>
      <c r="N642" s="210"/>
      <c r="O642" s="210"/>
      <c r="P642" s="200"/>
      <c r="Q642" s="200"/>
      <c r="R642" s="200"/>
      <c r="T642" s="154"/>
      <c r="V642" s="200"/>
      <c r="AA642" s="200"/>
      <c r="AB642" s="329"/>
      <c r="AC642" s="200"/>
      <c r="AD642" s="200"/>
      <c r="AE642" s="210"/>
      <c r="AF642" s="210"/>
      <c r="AG642" s="209"/>
      <c r="AH642" s="200"/>
      <c r="AI642" s="201"/>
      <c r="AJ642" s="201"/>
      <c r="AK642" s="209"/>
      <c r="AL642" s="200"/>
      <c r="AM642" s="200"/>
      <c r="AN642" s="200"/>
      <c r="AO642" s="210"/>
      <c r="AP642" s="210"/>
    </row>
    <row r="643" spans="1:42" x14ac:dyDescent="0.25">
      <c r="A643" s="202"/>
      <c r="C643" s="154"/>
      <c r="F643" s="252"/>
      <c r="H643" s="252"/>
      <c r="I643" s="252"/>
      <c r="J643" s="329"/>
      <c r="K643" s="329"/>
      <c r="L643" s="200"/>
      <c r="M643" s="200"/>
      <c r="N643" s="210"/>
      <c r="O643" s="210"/>
      <c r="P643" s="200"/>
      <c r="Q643" s="200"/>
      <c r="R643" s="200"/>
      <c r="T643" s="154"/>
      <c r="V643" s="200"/>
      <c r="AA643" s="200"/>
      <c r="AB643" s="329"/>
      <c r="AC643" s="200"/>
      <c r="AD643" s="200"/>
      <c r="AE643" s="210"/>
      <c r="AF643" s="210"/>
      <c r="AG643" s="209"/>
      <c r="AH643" s="200"/>
      <c r="AI643" s="201"/>
      <c r="AJ643" s="201"/>
      <c r="AK643" s="209"/>
      <c r="AL643" s="200"/>
      <c r="AM643" s="200"/>
      <c r="AN643" s="200"/>
      <c r="AO643" s="210"/>
      <c r="AP643" s="210"/>
    </row>
    <row r="644" spans="1:42" x14ac:dyDescent="0.25">
      <c r="A644" s="202"/>
      <c r="C644" s="154"/>
      <c r="J644" s="334"/>
      <c r="K644" s="334"/>
      <c r="T644" s="154"/>
      <c r="AB644" s="334"/>
    </row>
    <row r="645" spans="1:42" x14ac:dyDescent="0.25">
      <c r="A645" s="202"/>
      <c r="C645" s="154"/>
      <c r="F645" s="252"/>
      <c r="H645" s="252"/>
      <c r="I645" s="252"/>
      <c r="J645" s="329"/>
      <c r="K645" s="329"/>
      <c r="L645" s="200"/>
      <c r="M645" s="200"/>
      <c r="N645" s="210"/>
      <c r="O645" s="210"/>
      <c r="P645" s="200"/>
      <c r="Q645" s="200"/>
      <c r="R645" s="200"/>
      <c r="T645" s="154"/>
      <c r="V645" s="200"/>
      <c r="AA645" s="200"/>
      <c r="AB645" s="329"/>
      <c r="AC645" s="200"/>
      <c r="AD645" s="200"/>
      <c r="AE645" s="210"/>
      <c r="AF645" s="210"/>
      <c r="AG645" s="209"/>
      <c r="AH645" s="200"/>
      <c r="AI645" s="201"/>
      <c r="AJ645" s="201"/>
      <c r="AK645" s="209"/>
      <c r="AL645" s="200"/>
      <c r="AM645" s="200"/>
      <c r="AN645" s="200"/>
      <c r="AO645" s="210"/>
      <c r="AP645" s="210"/>
    </row>
    <row r="646" spans="1:42" x14ac:dyDescent="0.25">
      <c r="A646" s="202"/>
      <c r="C646" s="154"/>
      <c r="F646" s="252"/>
      <c r="H646" s="252"/>
      <c r="I646" s="252"/>
      <c r="J646" s="329"/>
      <c r="K646" s="329"/>
      <c r="L646" s="200"/>
      <c r="M646" s="200"/>
      <c r="N646" s="210"/>
      <c r="O646" s="210"/>
      <c r="P646" s="200"/>
      <c r="Q646" s="200"/>
      <c r="R646" s="200"/>
      <c r="T646" s="154"/>
      <c r="V646" s="200"/>
      <c r="AA646" s="200"/>
      <c r="AB646" s="329"/>
      <c r="AC646" s="200"/>
      <c r="AD646" s="200"/>
      <c r="AE646" s="210"/>
      <c r="AF646" s="210"/>
      <c r="AG646" s="209"/>
      <c r="AH646" s="200"/>
      <c r="AI646" s="201"/>
      <c r="AJ646" s="201"/>
      <c r="AK646" s="209"/>
      <c r="AL646" s="200"/>
      <c r="AM646" s="200"/>
      <c r="AN646" s="200"/>
      <c r="AO646" s="210"/>
      <c r="AP646" s="210"/>
    </row>
    <row r="647" spans="1:42" x14ac:dyDescent="0.25">
      <c r="A647" s="202"/>
      <c r="C647" s="154"/>
      <c r="F647" s="252"/>
      <c r="H647" s="252"/>
      <c r="I647" s="252"/>
      <c r="J647" s="329"/>
      <c r="K647" s="329"/>
      <c r="L647" s="200"/>
      <c r="M647" s="200"/>
      <c r="N647" s="210"/>
      <c r="O647" s="210"/>
      <c r="P647" s="200"/>
      <c r="Q647" s="200"/>
      <c r="R647" s="200"/>
      <c r="T647" s="154"/>
      <c r="V647" s="200"/>
      <c r="AA647" s="200"/>
      <c r="AB647" s="329"/>
      <c r="AC647" s="200"/>
      <c r="AD647" s="200"/>
      <c r="AE647" s="210"/>
      <c r="AF647" s="210"/>
      <c r="AG647" s="209"/>
      <c r="AH647" s="200"/>
      <c r="AI647" s="201"/>
      <c r="AJ647" s="201"/>
      <c r="AK647" s="209"/>
      <c r="AL647" s="200"/>
      <c r="AM647" s="200"/>
      <c r="AN647" s="200"/>
      <c r="AO647" s="210"/>
      <c r="AP647" s="210"/>
    </row>
    <row r="648" spans="1:42" x14ac:dyDescent="0.25">
      <c r="F648" s="211"/>
      <c r="H648" s="211"/>
      <c r="I648" s="211"/>
      <c r="J648" s="329"/>
      <c r="K648" s="329"/>
      <c r="L648" s="211"/>
      <c r="M648" s="211"/>
      <c r="N648" s="211"/>
      <c r="O648" s="211"/>
      <c r="P648" s="211"/>
      <c r="Q648" s="211"/>
      <c r="R648" s="211"/>
      <c r="V648" s="211"/>
      <c r="AA648" s="211"/>
      <c r="AB648" s="329"/>
      <c r="AC648" s="211"/>
      <c r="AD648" s="211"/>
      <c r="AE648" s="211"/>
      <c r="AF648" s="211"/>
      <c r="AG648" s="212"/>
      <c r="AH648" s="211"/>
      <c r="AK648" s="212"/>
      <c r="AL648" s="211"/>
      <c r="AM648" s="211"/>
      <c r="AN648" s="211"/>
    </row>
    <row r="649" spans="1:42" x14ac:dyDescent="0.25">
      <c r="A649" s="202"/>
      <c r="C649" s="103"/>
      <c r="F649" s="200"/>
      <c r="H649" s="200"/>
      <c r="I649" s="200"/>
      <c r="J649" s="334"/>
      <c r="K649" s="334"/>
      <c r="L649" s="200"/>
      <c r="M649" s="200"/>
      <c r="N649" s="201"/>
      <c r="O649" s="201"/>
      <c r="P649" s="200"/>
      <c r="Q649" s="200"/>
      <c r="R649" s="200"/>
      <c r="T649" s="103"/>
      <c r="V649" s="200"/>
      <c r="AA649" s="200"/>
      <c r="AB649" s="334"/>
      <c r="AC649" s="200"/>
      <c r="AD649" s="200"/>
      <c r="AE649" s="200"/>
      <c r="AF649" s="200"/>
      <c r="AG649" s="209"/>
      <c r="AH649" s="200"/>
      <c r="AI649" s="201"/>
      <c r="AJ649" s="201"/>
      <c r="AK649" s="209"/>
      <c r="AL649" s="200"/>
      <c r="AM649" s="200"/>
      <c r="AN649" s="200"/>
      <c r="AO649" s="210"/>
      <c r="AP649" s="210"/>
    </row>
    <row r="650" spans="1:42" x14ac:dyDescent="0.25">
      <c r="F650" s="211"/>
      <c r="H650" s="211"/>
      <c r="I650" s="211"/>
      <c r="J650" s="329"/>
      <c r="K650" s="329"/>
      <c r="L650" s="211"/>
      <c r="M650" s="211"/>
      <c r="N650" s="211"/>
      <c r="O650" s="211"/>
      <c r="P650" s="211"/>
      <c r="Q650" s="211"/>
      <c r="R650" s="211"/>
      <c r="V650" s="211"/>
      <c r="AA650" s="211"/>
      <c r="AB650" s="329"/>
      <c r="AC650" s="211"/>
      <c r="AD650" s="211"/>
      <c r="AE650" s="211"/>
      <c r="AF650" s="211"/>
      <c r="AG650" s="212"/>
      <c r="AH650" s="211"/>
      <c r="AK650" s="212"/>
      <c r="AL650" s="211"/>
      <c r="AM650" s="211"/>
      <c r="AN650" s="211"/>
    </row>
    <row r="651" spans="1:42" x14ac:dyDescent="0.25">
      <c r="A651" s="202"/>
      <c r="C651" s="154"/>
      <c r="J651" s="334"/>
      <c r="K651" s="334"/>
      <c r="T651" s="154"/>
      <c r="AB651" s="334"/>
    </row>
    <row r="652" spans="1:42" x14ac:dyDescent="0.25">
      <c r="A652" s="202"/>
      <c r="C652" s="154"/>
      <c r="J652" s="334"/>
      <c r="K652" s="334"/>
      <c r="T652" s="154"/>
      <c r="AB652" s="334"/>
    </row>
    <row r="653" spans="1:42" x14ac:dyDescent="0.25">
      <c r="A653" s="202"/>
      <c r="C653" s="154"/>
      <c r="F653" s="252"/>
      <c r="H653" s="252"/>
      <c r="I653" s="252"/>
      <c r="J653" s="329"/>
      <c r="K653" s="329"/>
      <c r="L653" s="200"/>
      <c r="M653" s="200"/>
      <c r="N653" s="210"/>
      <c r="O653" s="210"/>
      <c r="P653" s="200"/>
      <c r="Q653" s="200"/>
      <c r="R653" s="200"/>
      <c r="T653" s="154"/>
      <c r="V653" s="200"/>
      <c r="AA653" s="200"/>
      <c r="AB653" s="329"/>
      <c r="AC653" s="200"/>
      <c r="AD653" s="200"/>
      <c r="AE653" s="210"/>
      <c r="AF653" s="210"/>
      <c r="AG653" s="209"/>
      <c r="AH653" s="200"/>
      <c r="AI653" s="201"/>
      <c r="AJ653" s="201"/>
      <c r="AK653" s="209"/>
      <c r="AL653" s="200"/>
      <c r="AM653" s="200"/>
      <c r="AN653" s="200"/>
      <c r="AO653" s="210"/>
      <c r="AP653" s="210"/>
    </row>
    <row r="654" spans="1:42" x14ac:dyDescent="0.25">
      <c r="A654" s="202"/>
      <c r="C654" s="154"/>
      <c r="F654" s="252"/>
      <c r="H654" s="252"/>
      <c r="I654" s="252"/>
      <c r="J654" s="329"/>
      <c r="K654" s="329"/>
      <c r="L654" s="200"/>
      <c r="M654" s="200"/>
      <c r="N654" s="210"/>
      <c r="O654" s="210"/>
      <c r="P654" s="200"/>
      <c r="Q654" s="200"/>
      <c r="R654" s="200"/>
      <c r="T654" s="154"/>
      <c r="V654" s="200"/>
      <c r="AA654" s="200"/>
      <c r="AB654" s="329"/>
      <c r="AC654" s="200"/>
      <c r="AD654" s="200"/>
      <c r="AE654" s="210"/>
      <c r="AF654" s="210"/>
      <c r="AG654" s="209"/>
      <c r="AH654" s="200"/>
      <c r="AI654" s="201"/>
      <c r="AJ654" s="201"/>
      <c r="AK654" s="209"/>
      <c r="AL654" s="200"/>
      <c r="AM654" s="200"/>
      <c r="AN654" s="200"/>
      <c r="AO654" s="210"/>
      <c r="AP654" s="210"/>
    </row>
    <row r="655" spans="1:42" x14ac:dyDescent="0.25">
      <c r="A655" s="202"/>
      <c r="C655" s="154"/>
      <c r="F655" s="252"/>
      <c r="H655" s="252"/>
      <c r="I655" s="252"/>
      <c r="J655" s="329"/>
      <c r="K655" s="329"/>
      <c r="L655" s="200"/>
      <c r="M655" s="200"/>
      <c r="N655" s="210"/>
      <c r="O655" s="210"/>
      <c r="P655" s="200"/>
      <c r="Q655" s="200"/>
      <c r="R655" s="200"/>
      <c r="T655" s="154"/>
      <c r="V655" s="200"/>
      <c r="AA655" s="200"/>
      <c r="AB655" s="329"/>
      <c r="AC655" s="200"/>
      <c r="AD655" s="200"/>
      <c r="AE655" s="210"/>
      <c r="AF655" s="210"/>
      <c r="AG655" s="209"/>
      <c r="AH655" s="200"/>
      <c r="AI655" s="201"/>
      <c r="AJ655" s="201"/>
      <c r="AK655" s="209"/>
      <c r="AL655" s="200"/>
      <c r="AM655" s="200"/>
      <c r="AN655" s="200"/>
      <c r="AO655" s="210"/>
      <c r="AP655" s="210"/>
    </row>
    <row r="656" spans="1:42" x14ac:dyDescent="0.25">
      <c r="A656" s="202"/>
      <c r="C656" s="154"/>
      <c r="F656" s="252"/>
      <c r="H656" s="252"/>
      <c r="I656" s="252"/>
      <c r="J656" s="329"/>
      <c r="K656" s="329"/>
      <c r="L656" s="200"/>
      <c r="M656" s="200"/>
      <c r="N656" s="210"/>
      <c r="O656" s="210"/>
      <c r="P656" s="200"/>
      <c r="Q656" s="200"/>
      <c r="R656" s="200"/>
      <c r="T656" s="154"/>
      <c r="V656" s="200"/>
      <c r="AA656" s="200"/>
      <c r="AB656" s="329"/>
      <c r="AC656" s="200"/>
      <c r="AD656" s="200"/>
      <c r="AE656" s="210"/>
      <c r="AF656" s="210"/>
      <c r="AG656" s="209"/>
      <c r="AH656" s="200"/>
      <c r="AI656" s="201"/>
      <c r="AJ656" s="201"/>
      <c r="AK656" s="209"/>
      <c r="AL656" s="200"/>
      <c r="AM656" s="200"/>
      <c r="AN656" s="200"/>
      <c r="AO656" s="210"/>
      <c r="AP656" s="210"/>
    </row>
    <row r="657" spans="1:42" x14ac:dyDescent="0.25">
      <c r="A657" s="202"/>
      <c r="C657" s="154"/>
      <c r="F657" s="252"/>
      <c r="H657" s="252"/>
      <c r="I657" s="252"/>
      <c r="J657" s="329"/>
      <c r="K657" s="329"/>
      <c r="L657" s="200"/>
      <c r="M657" s="200"/>
      <c r="N657" s="210"/>
      <c r="O657" s="210"/>
      <c r="P657" s="200"/>
      <c r="Q657" s="200"/>
      <c r="R657" s="200"/>
      <c r="T657" s="154"/>
      <c r="V657" s="200"/>
      <c r="AA657" s="200"/>
      <c r="AB657" s="329"/>
      <c r="AC657" s="200"/>
      <c r="AD657" s="200"/>
      <c r="AE657" s="210"/>
      <c r="AF657" s="210"/>
      <c r="AG657" s="209"/>
      <c r="AH657" s="200"/>
      <c r="AI657" s="201"/>
      <c r="AJ657" s="201"/>
      <c r="AK657" s="209"/>
      <c r="AL657" s="200"/>
      <c r="AM657" s="200"/>
      <c r="AN657" s="200"/>
      <c r="AO657" s="210"/>
      <c r="AP657" s="210"/>
    </row>
    <row r="658" spans="1:42" x14ac:dyDescent="0.25">
      <c r="A658" s="202"/>
      <c r="C658" s="154"/>
      <c r="F658" s="252"/>
      <c r="H658" s="252"/>
      <c r="I658" s="252"/>
      <c r="J658" s="329"/>
      <c r="K658" s="329"/>
      <c r="L658" s="200"/>
      <c r="M658" s="200"/>
      <c r="N658" s="210"/>
      <c r="O658" s="210"/>
      <c r="P658" s="200"/>
      <c r="Q658" s="200"/>
      <c r="R658" s="200"/>
      <c r="T658" s="154"/>
      <c r="V658" s="200"/>
      <c r="AA658" s="200"/>
      <c r="AB658" s="329"/>
      <c r="AC658" s="200"/>
      <c r="AD658" s="200"/>
      <c r="AE658" s="210"/>
      <c r="AF658" s="210"/>
      <c r="AG658" s="209"/>
      <c r="AH658" s="200"/>
      <c r="AI658" s="201"/>
      <c r="AJ658" s="201"/>
      <c r="AK658" s="209"/>
      <c r="AL658" s="200"/>
      <c r="AM658" s="200"/>
      <c r="AN658" s="200"/>
      <c r="AO658" s="210"/>
      <c r="AP658" s="210"/>
    </row>
    <row r="659" spans="1:42" x14ac:dyDescent="0.25">
      <c r="A659" s="202"/>
      <c r="C659" s="154"/>
      <c r="F659" s="252"/>
      <c r="H659" s="252"/>
      <c r="I659" s="252"/>
      <c r="J659" s="329"/>
      <c r="K659" s="329"/>
      <c r="L659" s="200"/>
      <c r="M659" s="200"/>
      <c r="N659" s="210"/>
      <c r="O659" s="210"/>
      <c r="P659" s="200"/>
      <c r="Q659" s="200"/>
      <c r="R659" s="200"/>
      <c r="T659" s="154"/>
      <c r="V659" s="200"/>
      <c r="AA659" s="200"/>
      <c r="AB659" s="329"/>
      <c r="AC659" s="200"/>
      <c r="AD659" s="200"/>
      <c r="AE659" s="210"/>
      <c r="AF659" s="210"/>
      <c r="AG659" s="209"/>
      <c r="AH659" s="200"/>
      <c r="AI659" s="201"/>
      <c r="AJ659" s="201"/>
      <c r="AK659" s="209"/>
      <c r="AL659" s="200"/>
      <c r="AM659" s="200"/>
      <c r="AN659" s="200"/>
      <c r="AO659" s="210"/>
      <c r="AP659" s="210"/>
    </row>
    <row r="660" spans="1:42" x14ac:dyDescent="0.25">
      <c r="A660" s="202"/>
      <c r="C660" s="154"/>
      <c r="J660" s="334"/>
      <c r="K660" s="334"/>
      <c r="T660" s="154"/>
      <c r="AB660" s="334"/>
    </row>
    <row r="661" spans="1:42" x14ac:dyDescent="0.25">
      <c r="A661" s="202"/>
      <c r="C661" s="154"/>
      <c r="F661" s="252"/>
      <c r="H661" s="252"/>
      <c r="I661" s="252"/>
      <c r="J661" s="329"/>
      <c r="K661" s="329"/>
      <c r="L661" s="200"/>
      <c r="M661" s="200"/>
      <c r="N661" s="210"/>
      <c r="O661" s="210"/>
      <c r="P661" s="200"/>
      <c r="Q661" s="200"/>
      <c r="R661" s="200"/>
      <c r="T661" s="154"/>
      <c r="V661" s="200"/>
      <c r="AA661" s="200"/>
      <c r="AB661" s="329"/>
      <c r="AC661" s="200"/>
      <c r="AD661" s="200"/>
      <c r="AE661" s="210"/>
      <c r="AF661" s="210"/>
      <c r="AG661" s="209"/>
      <c r="AH661" s="200"/>
      <c r="AI661" s="201"/>
      <c r="AJ661" s="201"/>
      <c r="AK661" s="209"/>
      <c r="AL661" s="200"/>
      <c r="AM661" s="200"/>
      <c r="AN661" s="200"/>
      <c r="AO661" s="210"/>
      <c r="AP661" s="210"/>
    </row>
    <row r="662" spans="1:42" x14ac:dyDescent="0.25">
      <c r="A662" s="202"/>
      <c r="C662" s="154"/>
      <c r="F662" s="252"/>
      <c r="H662" s="252"/>
      <c r="I662" s="252"/>
      <c r="J662" s="329"/>
      <c r="K662" s="329"/>
      <c r="L662" s="200"/>
      <c r="M662" s="200"/>
      <c r="N662" s="210"/>
      <c r="O662" s="210"/>
      <c r="P662" s="200"/>
      <c r="Q662" s="200"/>
      <c r="R662" s="200"/>
      <c r="T662" s="154"/>
      <c r="V662" s="200"/>
      <c r="AA662" s="200"/>
      <c r="AB662" s="329"/>
      <c r="AC662" s="200"/>
      <c r="AD662" s="200"/>
      <c r="AE662" s="210"/>
      <c r="AF662" s="210"/>
      <c r="AG662" s="209"/>
      <c r="AH662" s="200"/>
      <c r="AI662" s="201"/>
      <c r="AJ662" s="201"/>
      <c r="AK662" s="209"/>
      <c r="AL662" s="200"/>
      <c r="AM662" s="200"/>
      <c r="AN662" s="200"/>
      <c r="AO662" s="210"/>
      <c r="AP662" s="210"/>
    </row>
    <row r="663" spans="1:42" x14ac:dyDescent="0.25">
      <c r="A663" s="202"/>
      <c r="C663" s="154"/>
      <c r="F663" s="252"/>
      <c r="H663" s="252"/>
      <c r="I663" s="252"/>
      <c r="J663" s="329"/>
      <c r="K663" s="329"/>
      <c r="L663" s="200"/>
      <c r="M663" s="200"/>
      <c r="N663" s="210"/>
      <c r="O663" s="210"/>
      <c r="P663" s="200"/>
      <c r="Q663" s="200"/>
      <c r="R663" s="200"/>
      <c r="T663" s="154"/>
      <c r="V663" s="200"/>
      <c r="AA663" s="200"/>
      <c r="AB663" s="329"/>
      <c r="AC663" s="200"/>
      <c r="AD663" s="200"/>
      <c r="AE663" s="210"/>
      <c r="AF663" s="210"/>
      <c r="AG663" s="209"/>
      <c r="AH663" s="200"/>
      <c r="AI663" s="201"/>
      <c r="AJ663" s="201"/>
      <c r="AK663" s="209"/>
      <c r="AL663" s="200"/>
      <c r="AM663" s="200"/>
      <c r="AN663" s="200"/>
      <c r="AO663" s="210"/>
      <c r="AP663" s="210"/>
    </row>
    <row r="664" spans="1:42" x14ac:dyDescent="0.25">
      <c r="A664" s="202"/>
      <c r="C664" s="154"/>
      <c r="F664" s="252"/>
      <c r="H664" s="252"/>
      <c r="I664" s="252"/>
      <c r="J664" s="329"/>
      <c r="K664" s="329"/>
      <c r="L664" s="200"/>
      <c r="M664" s="200"/>
      <c r="N664" s="210"/>
      <c r="O664" s="210"/>
      <c r="P664" s="200"/>
      <c r="Q664" s="200"/>
      <c r="R664" s="200"/>
      <c r="T664" s="154"/>
      <c r="V664" s="200"/>
      <c r="AA664" s="200"/>
      <c r="AB664" s="329"/>
      <c r="AC664" s="200"/>
      <c r="AD664" s="200"/>
      <c r="AE664" s="210"/>
      <c r="AF664" s="210"/>
      <c r="AG664" s="209"/>
      <c r="AH664" s="200"/>
      <c r="AI664" s="201"/>
      <c r="AJ664" s="201"/>
      <c r="AK664" s="209"/>
      <c r="AL664" s="200"/>
      <c r="AM664" s="200"/>
      <c r="AN664" s="200"/>
      <c r="AO664" s="210"/>
      <c r="AP664" s="210"/>
    </row>
    <row r="665" spans="1:42" x14ac:dyDescent="0.25">
      <c r="A665" s="202"/>
      <c r="C665" s="154"/>
      <c r="J665" s="334"/>
      <c r="K665" s="334"/>
      <c r="T665" s="154"/>
      <c r="AB665" s="334"/>
    </row>
    <row r="666" spans="1:42" x14ac:dyDescent="0.25">
      <c r="A666" s="202"/>
      <c r="C666" s="154"/>
      <c r="F666" s="252"/>
      <c r="H666" s="252"/>
      <c r="I666" s="252"/>
      <c r="J666" s="329"/>
      <c r="K666" s="329"/>
      <c r="L666" s="200"/>
      <c r="M666" s="200"/>
      <c r="N666" s="210"/>
      <c r="O666" s="210"/>
      <c r="P666" s="200"/>
      <c r="Q666" s="200"/>
      <c r="R666" s="200"/>
      <c r="T666" s="154"/>
      <c r="V666" s="200"/>
      <c r="AA666" s="200"/>
      <c r="AB666" s="329"/>
      <c r="AC666" s="200"/>
      <c r="AD666" s="200"/>
      <c r="AE666" s="210"/>
      <c r="AF666" s="210"/>
      <c r="AG666" s="209"/>
      <c r="AH666" s="200"/>
      <c r="AI666" s="201"/>
      <c r="AJ666" s="201"/>
      <c r="AK666" s="209"/>
      <c r="AL666" s="200"/>
      <c r="AM666" s="200"/>
      <c r="AN666" s="200"/>
      <c r="AO666" s="210"/>
      <c r="AP666" s="210"/>
    </row>
    <row r="667" spans="1:42" x14ac:dyDescent="0.25">
      <c r="A667" s="202"/>
      <c r="C667" s="154"/>
      <c r="F667" s="252"/>
      <c r="H667" s="252"/>
      <c r="I667" s="252"/>
      <c r="J667" s="329"/>
      <c r="K667" s="329"/>
      <c r="L667" s="200"/>
      <c r="M667" s="200"/>
      <c r="N667" s="210"/>
      <c r="O667" s="210"/>
      <c r="P667" s="200"/>
      <c r="Q667" s="200"/>
      <c r="R667" s="200"/>
      <c r="T667" s="154"/>
      <c r="V667" s="200"/>
      <c r="AA667" s="200"/>
      <c r="AB667" s="329"/>
      <c r="AC667" s="200"/>
      <c r="AD667" s="200"/>
      <c r="AE667" s="210"/>
      <c r="AF667" s="210"/>
      <c r="AG667" s="209"/>
      <c r="AH667" s="200"/>
      <c r="AI667" s="201"/>
      <c r="AJ667" s="201"/>
      <c r="AK667" s="209"/>
      <c r="AL667" s="200"/>
      <c r="AM667" s="200"/>
      <c r="AN667" s="200"/>
      <c r="AO667" s="210"/>
      <c r="AP667" s="210"/>
    </row>
    <row r="668" spans="1:42" x14ac:dyDescent="0.25">
      <c r="A668" s="202"/>
      <c r="C668" s="154"/>
      <c r="F668" s="252"/>
      <c r="H668" s="252"/>
      <c r="I668" s="252"/>
      <c r="J668" s="329"/>
      <c r="K668" s="329"/>
      <c r="L668" s="200"/>
      <c r="M668" s="200"/>
      <c r="N668" s="210"/>
      <c r="O668" s="210"/>
      <c r="P668" s="200"/>
      <c r="Q668" s="200"/>
      <c r="R668" s="200"/>
      <c r="T668" s="154"/>
      <c r="V668" s="200"/>
      <c r="AA668" s="200"/>
      <c r="AB668" s="329"/>
      <c r="AC668" s="200"/>
      <c r="AD668" s="200"/>
      <c r="AE668" s="210"/>
      <c r="AF668" s="210"/>
      <c r="AG668" s="209"/>
      <c r="AH668" s="200"/>
      <c r="AI668" s="201"/>
      <c r="AJ668" s="201"/>
      <c r="AK668" s="209"/>
      <c r="AL668" s="200"/>
      <c r="AM668" s="200"/>
      <c r="AN668" s="200"/>
      <c r="AO668" s="210"/>
      <c r="AP668" s="210"/>
    </row>
    <row r="669" spans="1:42" x14ac:dyDescent="0.25">
      <c r="A669" s="202"/>
      <c r="C669" s="154"/>
      <c r="F669" s="252"/>
      <c r="H669" s="252"/>
      <c r="I669" s="252"/>
      <c r="J669" s="329"/>
      <c r="K669" s="329"/>
      <c r="L669" s="200"/>
      <c r="M669" s="200"/>
      <c r="N669" s="210"/>
      <c r="O669" s="210"/>
      <c r="P669" s="200"/>
      <c r="Q669" s="200"/>
      <c r="R669" s="200"/>
      <c r="T669" s="154"/>
      <c r="V669" s="200"/>
      <c r="AA669" s="200"/>
      <c r="AB669" s="329"/>
      <c r="AC669" s="200"/>
      <c r="AD669" s="200"/>
      <c r="AE669" s="210"/>
      <c r="AF669" s="210"/>
      <c r="AG669" s="209"/>
      <c r="AH669" s="200"/>
      <c r="AI669" s="201"/>
      <c r="AJ669" s="201"/>
      <c r="AK669" s="209"/>
      <c r="AL669" s="200"/>
      <c r="AM669" s="200"/>
      <c r="AN669" s="200"/>
      <c r="AO669" s="210"/>
      <c r="AP669" s="210"/>
    </row>
    <row r="670" spans="1:42" x14ac:dyDescent="0.25">
      <c r="A670" s="202"/>
      <c r="C670" s="154"/>
      <c r="F670" s="252"/>
      <c r="H670" s="252"/>
      <c r="I670" s="252"/>
      <c r="J670" s="329"/>
      <c r="K670" s="329"/>
      <c r="L670" s="200"/>
      <c r="M670" s="200"/>
      <c r="N670" s="210"/>
      <c r="O670" s="210"/>
      <c r="P670" s="200"/>
      <c r="Q670" s="200"/>
      <c r="R670" s="200"/>
      <c r="T670" s="154"/>
      <c r="V670" s="200"/>
      <c r="AA670" s="200"/>
      <c r="AB670" s="329"/>
      <c r="AC670" s="200"/>
      <c r="AD670" s="200"/>
      <c r="AE670" s="210"/>
      <c r="AF670" s="210"/>
      <c r="AG670" s="209"/>
      <c r="AH670" s="200"/>
      <c r="AI670" s="201"/>
      <c r="AJ670" s="201"/>
      <c r="AK670" s="209"/>
      <c r="AL670" s="200"/>
      <c r="AM670" s="200"/>
      <c r="AN670" s="200"/>
      <c r="AO670" s="210"/>
      <c r="AP670" s="210"/>
    </row>
    <row r="671" spans="1:42" x14ac:dyDescent="0.25">
      <c r="F671" s="211"/>
      <c r="H671" s="211"/>
      <c r="I671" s="211"/>
      <c r="J671" s="305"/>
      <c r="K671" s="305"/>
      <c r="L671" s="211"/>
      <c r="M671" s="211"/>
      <c r="N671" s="211"/>
      <c r="O671" s="211"/>
      <c r="P671" s="211"/>
      <c r="Q671" s="211"/>
      <c r="R671" s="211"/>
      <c r="V671" s="211"/>
      <c r="AA671" s="211"/>
      <c r="AB671" s="329"/>
      <c r="AC671" s="211"/>
      <c r="AD671" s="211"/>
      <c r="AE671" s="211"/>
      <c r="AF671" s="211"/>
      <c r="AG671" s="212"/>
      <c r="AH671" s="211"/>
      <c r="AK671" s="212"/>
      <c r="AL671" s="211"/>
      <c r="AM671" s="211"/>
      <c r="AN671" s="211"/>
    </row>
    <row r="672" spans="1:42" x14ac:dyDescent="0.25">
      <c r="A672" s="202"/>
      <c r="C672" s="154"/>
      <c r="F672" s="200"/>
      <c r="H672" s="200"/>
      <c r="I672" s="200"/>
      <c r="L672" s="200"/>
      <c r="M672" s="200"/>
      <c r="N672" s="201"/>
      <c r="O672" s="201"/>
      <c r="P672" s="200"/>
      <c r="Q672" s="200"/>
      <c r="R672" s="200"/>
      <c r="T672" s="154"/>
      <c r="V672" s="200"/>
      <c r="AA672" s="200"/>
      <c r="AC672" s="200"/>
      <c r="AD672" s="200"/>
      <c r="AE672" s="210"/>
      <c r="AF672" s="210"/>
      <c r="AG672" s="209"/>
      <c r="AH672" s="200"/>
      <c r="AI672" s="201"/>
      <c r="AJ672" s="201"/>
      <c r="AK672" s="209"/>
      <c r="AL672" s="200"/>
      <c r="AM672" s="200"/>
      <c r="AN672" s="200"/>
      <c r="AO672" s="210"/>
      <c r="AP672" s="210"/>
    </row>
    <row r="673" spans="1:42" x14ac:dyDescent="0.25">
      <c r="F673" s="211"/>
      <c r="H673" s="211"/>
      <c r="I673" s="211"/>
      <c r="J673" s="305"/>
      <c r="K673" s="305"/>
      <c r="L673" s="211"/>
      <c r="M673" s="211"/>
      <c r="N673" s="211"/>
      <c r="O673" s="211"/>
      <c r="P673" s="211"/>
      <c r="Q673" s="211"/>
      <c r="R673" s="211"/>
      <c r="V673" s="211"/>
      <c r="AA673" s="211"/>
      <c r="AB673" s="305"/>
      <c r="AC673" s="211"/>
      <c r="AD673" s="211"/>
      <c r="AE673" s="211"/>
      <c r="AF673" s="211"/>
      <c r="AG673" s="212"/>
      <c r="AH673" s="211"/>
      <c r="AK673" s="212"/>
      <c r="AL673" s="211"/>
      <c r="AM673" s="211"/>
      <c r="AN673" s="211"/>
    </row>
    <row r="674" spans="1:42" x14ac:dyDescent="0.25">
      <c r="A674" s="202"/>
      <c r="C674" s="154"/>
      <c r="T674" s="154"/>
    </row>
    <row r="675" spans="1:42" x14ac:dyDescent="0.25">
      <c r="A675" s="202"/>
      <c r="C675" s="154"/>
      <c r="F675" s="252"/>
      <c r="H675" s="252"/>
      <c r="I675" s="252"/>
      <c r="J675" s="300"/>
      <c r="K675" s="300"/>
      <c r="L675" s="200"/>
      <c r="M675" s="200"/>
      <c r="N675" s="210"/>
      <c r="O675" s="210"/>
      <c r="P675" s="200"/>
      <c r="Q675" s="200"/>
      <c r="R675" s="200"/>
      <c r="T675" s="154"/>
      <c r="V675" s="200"/>
      <c r="AA675" s="200"/>
      <c r="AB675" s="300"/>
      <c r="AC675" s="200"/>
      <c r="AD675" s="200"/>
      <c r="AE675" s="210"/>
      <c r="AF675" s="210"/>
      <c r="AG675" s="209"/>
      <c r="AH675" s="200"/>
      <c r="AI675" s="201"/>
      <c r="AJ675" s="201"/>
      <c r="AK675" s="209"/>
      <c r="AL675" s="200"/>
      <c r="AM675" s="200"/>
      <c r="AN675" s="200"/>
      <c r="AO675" s="210"/>
      <c r="AP675" s="210"/>
    </row>
    <row r="676" spans="1:42" x14ac:dyDescent="0.25">
      <c r="A676" s="202"/>
      <c r="C676" s="154"/>
      <c r="F676" s="252"/>
      <c r="H676" s="252"/>
      <c r="I676" s="252"/>
      <c r="J676" s="300"/>
      <c r="K676" s="300"/>
      <c r="L676" s="200"/>
      <c r="M676" s="200"/>
      <c r="N676" s="210"/>
      <c r="O676" s="210"/>
      <c r="P676" s="200"/>
      <c r="Q676" s="200"/>
      <c r="R676" s="200"/>
      <c r="T676" s="154"/>
      <c r="V676" s="200"/>
      <c r="AA676" s="200"/>
      <c r="AB676" s="300"/>
      <c r="AC676" s="200"/>
      <c r="AD676" s="200"/>
      <c r="AE676" s="210"/>
      <c r="AF676" s="210"/>
      <c r="AG676" s="209"/>
      <c r="AH676" s="200"/>
      <c r="AI676" s="201"/>
      <c r="AJ676" s="201"/>
      <c r="AK676" s="209"/>
      <c r="AL676" s="200"/>
      <c r="AM676" s="200"/>
      <c r="AN676" s="200"/>
      <c r="AO676" s="210"/>
      <c r="AP676" s="210"/>
    </row>
    <row r="677" spans="1:42" x14ac:dyDescent="0.25">
      <c r="F677" s="211"/>
      <c r="H677" s="200"/>
      <c r="I677" s="200"/>
      <c r="J677" s="305"/>
      <c r="K677" s="305"/>
      <c r="L677" s="211"/>
      <c r="M677" s="211"/>
      <c r="N677" s="211"/>
      <c r="O677" s="211"/>
      <c r="P677" s="211"/>
      <c r="Q677" s="211"/>
      <c r="R677" s="211"/>
      <c r="V677" s="211"/>
      <c r="AA677" s="200"/>
      <c r="AB677" s="305"/>
      <c r="AC677" s="211"/>
      <c r="AD677" s="211"/>
      <c r="AE677" s="211"/>
      <c r="AF677" s="211"/>
      <c r="AG677" s="212"/>
      <c r="AH677" s="211"/>
      <c r="AK677" s="212"/>
      <c r="AL677" s="211"/>
      <c r="AM677" s="211"/>
      <c r="AN677" s="211"/>
    </row>
    <row r="678" spans="1:42" x14ac:dyDescent="0.25">
      <c r="F678" s="200"/>
      <c r="H678" s="200"/>
      <c r="I678" s="200"/>
      <c r="J678" s="305"/>
      <c r="K678" s="305"/>
      <c r="L678" s="200"/>
      <c r="M678" s="200"/>
      <c r="N678" s="200"/>
      <c r="O678" s="200"/>
      <c r="P678" s="200"/>
      <c r="Q678" s="200"/>
      <c r="R678" s="200"/>
      <c r="V678" s="200"/>
      <c r="AA678" s="200"/>
      <c r="AB678" s="305"/>
      <c r="AC678" s="200"/>
      <c r="AD678" s="200"/>
      <c r="AE678" s="200"/>
      <c r="AF678" s="200"/>
      <c r="AG678" s="209"/>
      <c r="AH678" s="200"/>
      <c r="AK678" s="209"/>
      <c r="AL678" s="200"/>
      <c r="AM678" s="200"/>
      <c r="AN678" s="200"/>
    </row>
    <row r="679" spans="1:42" x14ac:dyDescent="0.25">
      <c r="A679" s="202"/>
      <c r="C679" s="154"/>
      <c r="F679" s="200"/>
      <c r="H679" s="200"/>
      <c r="I679" s="200"/>
      <c r="L679" s="200"/>
      <c r="M679" s="200"/>
      <c r="N679" s="210"/>
      <c r="O679" s="210"/>
      <c r="P679" s="200"/>
      <c r="Q679" s="200"/>
      <c r="R679" s="200"/>
      <c r="T679" s="154"/>
      <c r="V679" s="200"/>
      <c r="AA679" s="200"/>
      <c r="AC679" s="200"/>
      <c r="AD679" s="200"/>
      <c r="AE679" s="210"/>
      <c r="AF679" s="210"/>
      <c r="AG679" s="209"/>
      <c r="AH679" s="200"/>
      <c r="AI679" s="201"/>
      <c r="AJ679" s="201"/>
      <c r="AK679" s="325"/>
      <c r="AL679" s="252"/>
      <c r="AM679" s="200"/>
      <c r="AN679" s="200"/>
      <c r="AO679" s="210"/>
      <c r="AP679" s="210"/>
    </row>
    <row r="680" spans="1:42" x14ac:dyDescent="0.25">
      <c r="H680" s="211"/>
      <c r="I680" s="211"/>
      <c r="J680" s="305"/>
      <c r="K680" s="305"/>
      <c r="L680" s="211"/>
      <c r="M680" s="211"/>
      <c r="N680" s="211"/>
      <c r="O680" s="211"/>
      <c r="P680" s="211"/>
      <c r="Q680" s="211"/>
      <c r="R680" s="211"/>
      <c r="V680" s="211"/>
      <c r="AA680" s="211"/>
      <c r="AB680" s="305"/>
      <c r="AC680" s="211"/>
      <c r="AD680" s="211"/>
      <c r="AE680" s="211"/>
      <c r="AF680" s="211"/>
      <c r="AG680" s="212"/>
      <c r="AH680" s="211"/>
      <c r="AK680" s="212"/>
      <c r="AL680" s="211"/>
      <c r="AM680" s="211"/>
      <c r="AN680" s="211"/>
    </row>
    <row r="681" spans="1:42" x14ac:dyDescent="0.25">
      <c r="F681" s="211"/>
    </row>
    <row r="682" spans="1:42" x14ac:dyDescent="0.25">
      <c r="A682" s="154"/>
      <c r="T682" s="154"/>
    </row>
    <row r="683" spans="1:42" x14ac:dyDescent="0.25">
      <c r="A683" s="154"/>
      <c r="T683" s="154"/>
    </row>
    <row r="684" spans="1:42" x14ac:dyDescent="0.25">
      <c r="A684" s="154"/>
      <c r="T684" s="154"/>
    </row>
    <row r="685" spans="1:42" x14ac:dyDescent="0.25">
      <c r="A685" s="154"/>
      <c r="T685" s="154"/>
    </row>
    <row r="686" spans="1:42" x14ac:dyDescent="0.25">
      <c r="A686" s="154"/>
      <c r="T686" s="154"/>
    </row>
    <row r="687" spans="1:42" x14ac:dyDescent="0.25">
      <c r="A687" s="154"/>
      <c r="T687" s="154"/>
    </row>
    <row r="688" spans="1:42" x14ac:dyDescent="0.25">
      <c r="A688" s="154"/>
      <c r="T688" s="154"/>
    </row>
    <row r="689" spans="1:42" x14ac:dyDescent="0.25">
      <c r="A689" s="154"/>
      <c r="T689" s="154"/>
    </row>
    <row r="690" spans="1:42" x14ac:dyDescent="0.25">
      <c r="A690" s="154"/>
      <c r="T690" s="154"/>
    </row>
    <row r="692" spans="1:42" x14ac:dyDescent="0.25">
      <c r="A692" s="154"/>
    </row>
    <row r="693" spans="1:42" x14ac:dyDescent="0.25">
      <c r="J693" s="202"/>
      <c r="K693" s="202"/>
      <c r="AB693" s="202"/>
    </row>
    <row r="694" spans="1:42" x14ac:dyDescent="0.25">
      <c r="H694" s="154"/>
      <c r="I694" s="154"/>
      <c r="AA694" s="154"/>
    </row>
    <row r="695" spans="1:42" x14ac:dyDescent="0.25">
      <c r="J695" s="202"/>
      <c r="K695" s="202"/>
      <c r="AB695" s="202"/>
    </row>
    <row r="696" spans="1:42" x14ac:dyDescent="0.25">
      <c r="L696" s="154"/>
      <c r="M696" s="154"/>
      <c r="AC696" s="154"/>
      <c r="AD696" s="154"/>
    </row>
    <row r="697" spans="1:42" x14ac:dyDescent="0.25">
      <c r="A697" s="202"/>
      <c r="R697" s="154"/>
      <c r="AM697" s="154"/>
      <c r="AN697" s="154"/>
    </row>
    <row r="698" spans="1:42" x14ac:dyDescent="0.25">
      <c r="A698" s="202"/>
      <c r="R698" s="154"/>
      <c r="AM698" s="154"/>
      <c r="AN698" s="154"/>
    </row>
    <row r="699" spans="1:42" x14ac:dyDescent="0.25">
      <c r="A699" s="154"/>
      <c r="R699" s="154"/>
      <c r="AM699" s="154"/>
      <c r="AN699" s="154"/>
    </row>
    <row r="700" spans="1:42" x14ac:dyDescent="0.25">
      <c r="L700" s="154"/>
      <c r="M700" s="154"/>
      <c r="R700" s="202"/>
      <c r="AC700" s="154"/>
      <c r="AD700" s="154"/>
      <c r="AM700" s="202"/>
      <c r="AN700" s="202"/>
    </row>
    <row r="701" spans="1:42" x14ac:dyDescent="0.25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208"/>
      <c r="AH701" s="102"/>
      <c r="AI701" s="102"/>
      <c r="AJ701" s="102"/>
      <c r="AK701" s="208"/>
      <c r="AL701" s="102"/>
      <c r="AM701" s="102"/>
      <c r="AN701" s="102"/>
      <c r="AO701" s="102"/>
      <c r="AP701" s="102"/>
    </row>
    <row r="702" spans="1:42" x14ac:dyDescent="0.25">
      <c r="L702" s="103"/>
      <c r="M702" s="103"/>
      <c r="N702" s="103"/>
      <c r="O702" s="103"/>
      <c r="R702" s="103"/>
      <c r="AC702" s="103"/>
      <c r="AD702" s="103"/>
      <c r="AE702" s="103"/>
      <c r="AF702" s="103"/>
      <c r="AG702" s="185"/>
      <c r="AH702" s="103"/>
      <c r="AI702" s="103"/>
      <c r="AJ702" s="103"/>
      <c r="AM702" s="103"/>
      <c r="AN702" s="103"/>
      <c r="AO702" s="103"/>
      <c r="AP702" s="103"/>
    </row>
    <row r="703" spans="1:42" x14ac:dyDescent="0.25">
      <c r="L703" s="103"/>
      <c r="M703" s="103"/>
      <c r="N703" s="103"/>
      <c r="O703" s="103"/>
      <c r="R703" s="103"/>
      <c r="AB703" s="103"/>
      <c r="AC703" s="103"/>
      <c r="AD703" s="103"/>
      <c r="AE703" s="103"/>
      <c r="AF703" s="103"/>
      <c r="AG703" s="185"/>
      <c r="AH703" s="103"/>
      <c r="AI703" s="103"/>
      <c r="AJ703" s="103"/>
      <c r="AM703" s="103"/>
      <c r="AN703" s="103"/>
      <c r="AO703" s="103"/>
      <c r="AP703" s="103"/>
    </row>
    <row r="704" spans="1:42" x14ac:dyDescent="0.25">
      <c r="A704" s="103"/>
      <c r="C704" s="103"/>
      <c r="D704" s="103"/>
      <c r="E704" s="103"/>
      <c r="F704" s="103"/>
      <c r="J704" s="103"/>
      <c r="K704" s="103"/>
      <c r="L704" s="103"/>
      <c r="M704" s="103"/>
      <c r="N704" s="103"/>
      <c r="O704" s="103"/>
      <c r="P704" s="103"/>
      <c r="Q704" s="103"/>
      <c r="R704" s="103"/>
      <c r="T704" s="103"/>
      <c r="U704" s="103"/>
      <c r="V704" s="103"/>
      <c r="AB704" s="103"/>
      <c r="AC704" s="103"/>
      <c r="AD704" s="103"/>
      <c r="AE704" s="103"/>
      <c r="AF704" s="103"/>
      <c r="AG704" s="185"/>
      <c r="AH704" s="103"/>
      <c r="AI704" s="103"/>
      <c r="AJ704" s="103"/>
      <c r="AK704" s="185"/>
      <c r="AL704" s="103"/>
      <c r="AM704" s="103"/>
      <c r="AN704" s="103"/>
      <c r="AO704" s="103"/>
      <c r="AP704" s="103"/>
    </row>
    <row r="705" spans="1:42" x14ac:dyDescent="0.25">
      <c r="A705" s="103"/>
      <c r="C705" s="103"/>
      <c r="D705" s="103"/>
      <c r="E705" s="103"/>
      <c r="F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T705" s="103"/>
      <c r="U705" s="103"/>
      <c r="V705" s="103"/>
      <c r="AA705" s="103"/>
      <c r="AB705" s="103"/>
      <c r="AC705" s="103"/>
      <c r="AD705" s="103"/>
      <c r="AE705" s="103"/>
      <c r="AF705" s="103"/>
      <c r="AG705" s="185"/>
      <c r="AH705" s="103"/>
      <c r="AI705" s="103"/>
      <c r="AJ705" s="103"/>
      <c r="AK705" s="185"/>
      <c r="AL705" s="103"/>
      <c r="AM705" s="103"/>
      <c r="AN705" s="103"/>
      <c r="AO705" s="103"/>
      <c r="AP705" s="103"/>
    </row>
    <row r="706" spans="1:42" x14ac:dyDescent="0.25">
      <c r="C706" s="103"/>
      <c r="D706" s="103"/>
      <c r="E706" s="103"/>
      <c r="F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T706" s="103"/>
      <c r="U706" s="103"/>
      <c r="V706" s="103"/>
      <c r="AA706" s="103"/>
      <c r="AB706" s="103"/>
      <c r="AC706" s="103"/>
      <c r="AD706" s="103"/>
      <c r="AE706" s="103"/>
      <c r="AF706" s="103"/>
      <c r="AG706" s="185"/>
      <c r="AH706" s="103"/>
      <c r="AI706" s="103"/>
      <c r="AJ706" s="103"/>
      <c r="AK706" s="185"/>
      <c r="AL706" s="103"/>
      <c r="AM706" s="103"/>
      <c r="AN706" s="103"/>
      <c r="AO706" s="103"/>
      <c r="AP706" s="103"/>
    </row>
    <row r="707" spans="1:42" x14ac:dyDescent="0.25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208"/>
      <c r="AH707" s="102"/>
      <c r="AI707" s="102"/>
      <c r="AJ707" s="102"/>
      <c r="AK707" s="208"/>
      <c r="AL707" s="102"/>
      <c r="AM707" s="102"/>
      <c r="AN707" s="102"/>
      <c r="AO707" s="102"/>
      <c r="AP707" s="102"/>
    </row>
    <row r="708" spans="1:42" x14ac:dyDescent="0.25"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AA708" s="103"/>
      <c r="AB708" s="103"/>
      <c r="AC708" s="103"/>
      <c r="AD708" s="103"/>
      <c r="AE708" s="103"/>
      <c r="AF708" s="103"/>
      <c r="AG708" s="185"/>
      <c r="AH708" s="103"/>
      <c r="AI708" s="103"/>
      <c r="AJ708" s="103"/>
      <c r="AK708" s="185"/>
      <c r="AL708" s="103"/>
      <c r="AM708" s="103"/>
      <c r="AN708" s="103"/>
      <c r="AO708" s="103"/>
      <c r="AP708" s="103"/>
    </row>
    <row r="709" spans="1:42" x14ac:dyDescent="0.25">
      <c r="A709" s="202"/>
      <c r="C709" s="154"/>
      <c r="D709" s="154"/>
      <c r="E709" s="154"/>
      <c r="T709" s="154"/>
      <c r="U709" s="154"/>
    </row>
    <row r="710" spans="1:42" x14ac:dyDescent="0.25">
      <c r="A710" s="202"/>
      <c r="D710" s="154"/>
      <c r="E710" s="154"/>
      <c r="U710" s="154"/>
    </row>
    <row r="712" spans="1:42" x14ac:dyDescent="0.25">
      <c r="A712" s="202"/>
      <c r="C712" s="154"/>
      <c r="F712" s="200"/>
      <c r="J712" s="215"/>
      <c r="K712" s="215"/>
      <c r="L712" s="200"/>
      <c r="M712" s="200"/>
      <c r="R712" s="200"/>
      <c r="T712" s="154"/>
      <c r="V712" s="200"/>
      <c r="AB712" s="215"/>
      <c r="AC712" s="200"/>
      <c r="AD712" s="200"/>
      <c r="AI712" s="200"/>
      <c r="AJ712" s="200"/>
      <c r="AM712" s="200"/>
      <c r="AN712" s="200"/>
    </row>
    <row r="713" spans="1:42" x14ac:dyDescent="0.25">
      <c r="A713" s="202"/>
      <c r="C713" s="154"/>
      <c r="F713" s="200"/>
      <c r="R713" s="200"/>
      <c r="T713" s="154"/>
      <c r="V713" s="200"/>
      <c r="AI713" s="200"/>
      <c r="AJ713" s="200"/>
      <c r="AM713" s="200"/>
      <c r="AN713" s="200"/>
    </row>
    <row r="714" spans="1:42" x14ac:dyDescent="0.25">
      <c r="AK714" s="209"/>
      <c r="AL714" s="200"/>
      <c r="AM714" s="200"/>
      <c r="AN714" s="200"/>
      <c r="AO714" s="210"/>
      <c r="AP714" s="210"/>
    </row>
    <row r="715" spans="1:42" x14ac:dyDescent="0.25">
      <c r="A715" s="202"/>
      <c r="C715" s="154"/>
      <c r="F715" s="252"/>
      <c r="H715" s="252"/>
      <c r="I715" s="252"/>
      <c r="J715" s="328"/>
      <c r="K715" s="328"/>
      <c r="L715" s="200"/>
      <c r="M715" s="200"/>
      <c r="N715" s="210"/>
      <c r="O715" s="210"/>
      <c r="P715" s="200"/>
      <c r="Q715" s="200"/>
      <c r="R715" s="200"/>
      <c r="T715" s="154"/>
      <c r="V715" s="200"/>
      <c r="AA715" s="200"/>
      <c r="AB715" s="328"/>
      <c r="AC715" s="200"/>
      <c r="AD715" s="200"/>
      <c r="AE715" s="210"/>
      <c r="AF715" s="210"/>
      <c r="AG715" s="209"/>
      <c r="AH715" s="200"/>
      <c r="AI715" s="201"/>
      <c r="AJ715" s="201"/>
      <c r="AK715" s="209"/>
      <c r="AL715" s="200"/>
      <c r="AM715" s="200"/>
      <c r="AN715" s="200"/>
      <c r="AO715" s="210"/>
      <c r="AP715" s="210"/>
    </row>
    <row r="716" spans="1:42" x14ac:dyDescent="0.25">
      <c r="F716" s="200"/>
      <c r="H716" s="200"/>
      <c r="I716" s="200"/>
      <c r="J716" s="213"/>
      <c r="K716" s="213"/>
      <c r="L716" s="200"/>
      <c r="M716" s="200"/>
      <c r="P716" s="200"/>
      <c r="Q716" s="200"/>
      <c r="R716" s="200"/>
      <c r="V716" s="200"/>
      <c r="AA716" s="200"/>
      <c r="AB716" s="213"/>
      <c r="AC716" s="200"/>
      <c r="AD716" s="200"/>
      <c r="AK716" s="209"/>
      <c r="AL716" s="200"/>
      <c r="AM716" s="200"/>
      <c r="AN716" s="200"/>
      <c r="AO716" s="210"/>
      <c r="AP716" s="210"/>
    </row>
    <row r="717" spans="1:42" x14ac:dyDescent="0.25">
      <c r="F717" s="200"/>
      <c r="R717" s="200"/>
      <c r="V717" s="200"/>
      <c r="AM717" s="200"/>
      <c r="AN717" s="200"/>
      <c r="AO717" s="210"/>
      <c r="AP717" s="210"/>
    </row>
    <row r="718" spans="1:42" x14ac:dyDescent="0.25">
      <c r="A718" s="202"/>
      <c r="C718" s="154"/>
      <c r="F718" s="200"/>
      <c r="J718" s="215"/>
      <c r="K718" s="215"/>
      <c r="L718" s="200"/>
      <c r="M718" s="200"/>
      <c r="N718" s="210"/>
      <c r="O718" s="210"/>
      <c r="R718" s="200"/>
      <c r="T718" s="154"/>
      <c r="V718" s="200"/>
      <c r="AB718" s="215"/>
      <c r="AC718" s="200"/>
      <c r="AD718" s="200"/>
      <c r="AE718" s="210"/>
      <c r="AF718" s="210"/>
      <c r="AM718" s="200"/>
      <c r="AN718" s="200"/>
      <c r="AO718" s="210"/>
      <c r="AP718" s="210"/>
    </row>
    <row r="719" spans="1:42" x14ac:dyDescent="0.25">
      <c r="A719" s="202"/>
      <c r="C719" s="154"/>
      <c r="F719" s="200"/>
      <c r="H719" s="200"/>
      <c r="I719" s="200"/>
      <c r="J719" s="215"/>
      <c r="K719" s="215"/>
      <c r="L719" s="200"/>
      <c r="M719" s="200"/>
      <c r="N719" s="210"/>
      <c r="O719" s="210"/>
      <c r="P719" s="200"/>
      <c r="Q719" s="200"/>
      <c r="R719" s="200"/>
      <c r="T719" s="154"/>
      <c r="V719" s="200"/>
      <c r="AA719" s="200"/>
      <c r="AB719" s="215"/>
      <c r="AC719" s="200"/>
      <c r="AD719" s="200"/>
      <c r="AE719" s="210"/>
      <c r="AF719" s="210"/>
      <c r="AK719" s="209"/>
      <c r="AL719" s="200"/>
      <c r="AM719" s="200"/>
      <c r="AN719" s="200"/>
      <c r="AO719" s="210"/>
      <c r="AP719" s="210"/>
    </row>
    <row r="720" spans="1:42" x14ac:dyDescent="0.25">
      <c r="A720" s="202"/>
      <c r="C720" s="154"/>
      <c r="T720" s="154"/>
      <c r="AO720" s="210"/>
      <c r="AP720" s="210"/>
    </row>
    <row r="721" spans="1:42" x14ac:dyDescent="0.25">
      <c r="A721" s="202"/>
      <c r="C721" s="154"/>
      <c r="T721" s="154"/>
      <c r="AO721" s="210"/>
      <c r="AP721" s="210"/>
    </row>
    <row r="722" spans="1:42" x14ac:dyDescent="0.25">
      <c r="AO722" s="210"/>
      <c r="AP722" s="210"/>
    </row>
    <row r="723" spans="1:42" x14ac:dyDescent="0.25">
      <c r="A723" s="202"/>
      <c r="C723" s="154"/>
      <c r="F723" s="252"/>
      <c r="H723" s="252"/>
      <c r="I723" s="252"/>
      <c r="J723" s="328"/>
      <c r="K723" s="328"/>
      <c r="L723" s="200"/>
      <c r="M723" s="200"/>
      <c r="N723" s="210"/>
      <c r="O723" s="210"/>
      <c r="P723" s="200"/>
      <c r="Q723" s="200"/>
      <c r="R723" s="200"/>
      <c r="T723" s="154"/>
      <c r="V723" s="200"/>
      <c r="AA723" s="200"/>
      <c r="AB723" s="328"/>
      <c r="AC723" s="200"/>
      <c r="AD723" s="200"/>
      <c r="AE723" s="210"/>
      <c r="AF723" s="210"/>
      <c r="AG723" s="209"/>
      <c r="AH723" s="200"/>
      <c r="AI723" s="201"/>
      <c r="AJ723" s="201"/>
      <c r="AK723" s="209"/>
      <c r="AL723" s="200"/>
      <c r="AM723" s="200"/>
      <c r="AN723" s="200"/>
      <c r="AO723" s="210"/>
      <c r="AP723" s="210"/>
    </row>
    <row r="724" spans="1:42" x14ac:dyDescent="0.25">
      <c r="F724" s="211"/>
      <c r="H724" s="211"/>
      <c r="I724" s="211"/>
      <c r="J724" s="305"/>
      <c r="K724" s="305"/>
      <c r="L724" s="211"/>
      <c r="M724" s="211"/>
      <c r="N724" s="211"/>
      <c r="O724" s="211"/>
      <c r="P724" s="211"/>
      <c r="Q724" s="211"/>
      <c r="R724" s="211"/>
      <c r="V724" s="211"/>
      <c r="AA724" s="211"/>
      <c r="AB724" s="305"/>
      <c r="AC724" s="211"/>
      <c r="AD724" s="211"/>
      <c r="AE724" s="211"/>
      <c r="AF724" s="211"/>
      <c r="AG724" s="212"/>
      <c r="AH724" s="211"/>
      <c r="AK724" s="212"/>
      <c r="AL724" s="211"/>
      <c r="AM724" s="211"/>
      <c r="AN724" s="211"/>
      <c r="AO724" s="210"/>
      <c r="AP724" s="210"/>
    </row>
    <row r="725" spans="1:42" x14ac:dyDescent="0.25">
      <c r="H725" s="200"/>
      <c r="I725" s="200"/>
      <c r="AA725" s="200"/>
      <c r="AO725" s="210"/>
      <c r="AP725" s="210"/>
    </row>
    <row r="726" spans="1:42" x14ac:dyDescent="0.25">
      <c r="A726" s="202"/>
      <c r="C726" s="154"/>
      <c r="F726" s="200"/>
      <c r="H726" s="200"/>
      <c r="I726" s="200"/>
      <c r="L726" s="200"/>
      <c r="M726" s="200"/>
      <c r="N726" s="210"/>
      <c r="O726" s="210"/>
      <c r="P726" s="252"/>
      <c r="Q726" s="252"/>
      <c r="R726" s="200"/>
      <c r="T726" s="154"/>
      <c r="V726" s="200"/>
      <c r="AA726" s="200"/>
      <c r="AC726" s="200"/>
      <c r="AD726" s="200"/>
      <c r="AE726" s="210"/>
      <c r="AF726" s="210"/>
      <c r="AG726" s="209"/>
      <c r="AH726" s="200"/>
      <c r="AI726" s="201"/>
      <c r="AJ726" s="201"/>
      <c r="AK726" s="325"/>
      <c r="AL726" s="252"/>
      <c r="AM726" s="200"/>
      <c r="AN726" s="200"/>
      <c r="AO726" s="210"/>
      <c r="AP726" s="210"/>
    </row>
    <row r="727" spans="1:42" x14ac:dyDescent="0.25">
      <c r="H727" s="211"/>
      <c r="I727" s="211"/>
      <c r="J727" s="305"/>
      <c r="K727" s="305"/>
      <c r="L727" s="211"/>
      <c r="M727" s="211"/>
      <c r="N727" s="211"/>
      <c r="O727" s="211"/>
      <c r="P727" s="211"/>
      <c r="Q727" s="211"/>
      <c r="R727" s="211"/>
      <c r="V727" s="211"/>
      <c r="AA727" s="211"/>
      <c r="AB727" s="305"/>
      <c r="AC727" s="211"/>
      <c r="AD727" s="211"/>
      <c r="AE727" s="211"/>
      <c r="AF727" s="211"/>
      <c r="AG727" s="212"/>
      <c r="AH727" s="211"/>
      <c r="AK727" s="212"/>
      <c r="AL727" s="211"/>
      <c r="AM727" s="211"/>
      <c r="AN727" s="211"/>
      <c r="AO727" s="210"/>
      <c r="AP727" s="210"/>
    </row>
    <row r="728" spans="1:42" x14ac:dyDescent="0.25">
      <c r="F728" s="211"/>
    </row>
    <row r="729" spans="1:42" x14ac:dyDescent="0.25">
      <c r="F729" s="200"/>
      <c r="H729" s="200"/>
      <c r="I729" s="200"/>
      <c r="J729" s="213"/>
      <c r="K729" s="213"/>
      <c r="L729" s="200"/>
      <c r="M729" s="200"/>
      <c r="N729" s="200"/>
      <c r="O729" s="200"/>
      <c r="P729" s="200"/>
      <c r="Q729" s="200"/>
      <c r="R729" s="200"/>
      <c r="V729" s="200"/>
      <c r="AA729" s="200"/>
      <c r="AB729" s="213"/>
      <c r="AC729" s="200"/>
      <c r="AD729" s="200"/>
      <c r="AE729" s="200"/>
      <c r="AF729" s="200"/>
      <c r="AG729" s="209"/>
      <c r="AH729" s="200"/>
      <c r="AI729" s="200"/>
      <c r="AJ729" s="200"/>
      <c r="AK729" s="209"/>
      <c r="AL729" s="200"/>
      <c r="AM729" s="200"/>
      <c r="AN729" s="200"/>
    </row>
    <row r="730" spans="1:42" x14ac:dyDescent="0.25">
      <c r="A730" s="154"/>
    </row>
    <row r="731" spans="1:42" x14ac:dyDescent="0.25">
      <c r="J731" s="202"/>
      <c r="K731" s="202"/>
      <c r="AB731" s="202"/>
    </row>
    <row r="732" spans="1:42" x14ac:dyDescent="0.25">
      <c r="H732" s="154"/>
      <c r="I732" s="154"/>
      <c r="AA732" s="154"/>
    </row>
    <row r="733" spans="1:42" x14ac:dyDescent="0.25">
      <c r="J733" s="202"/>
      <c r="K733" s="202"/>
      <c r="AB733" s="202"/>
    </row>
    <row r="734" spans="1:42" x14ac:dyDescent="0.25">
      <c r="L734" s="154"/>
      <c r="M734" s="154"/>
      <c r="AC734" s="154"/>
      <c r="AD734" s="154"/>
    </row>
    <row r="735" spans="1:42" x14ac:dyDescent="0.25">
      <c r="A735" s="202"/>
      <c r="R735" s="154"/>
      <c r="AM735" s="154"/>
      <c r="AN735" s="154"/>
    </row>
    <row r="736" spans="1:42" x14ac:dyDescent="0.25">
      <c r="A736" s="202"/>
      <c r="R736" s="154"/>
      <c r="AM736" s="154"/>
      <c r="AN736" s="154"/>
    </row>
    <row r="737" spans="1:42" x14ac:dyDescent="0.25">
      <c r="A737" s="154"/>
      <c r="R737" s="154"/>
      <c r="AM737" s="154"/>
      <c r="AN737" s="154"/>
    </row>
    <row r="738" spans="1:42" x14ac:dyDescent="0.25">
      <c r="L738" s="154"/>
      <c r="M738" s="154"/>
      <c r="R738" s="202"/>
      <c r="AC738" s="154"/>
      <c r="AD738" s="154"/>
      <c r="AM738" s="202"/>
      <c r="AN738" s="202"/>
    </row>
    <row r="739" spans="1:42" x14ac:dyDescent="0.25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208"/>
      <c r="AH739" s="102"/>
      <c r="AI739" s="102"/>
      <c r="AJ739" s="102"/>
      <c r="AK739" s="208"/>
      <c r="AL739" s="102"/>
      <c r="AM739" s="102"/>
      <c r="AN739" s="102"/>
      <c r="AO739" s="102"/>
      <c r="AP739" s="102"/>
    </row>
    <row r="740" spans="1:42" x14ac:dyDescent="0.25">
      <c r="L740" s="103"/>
      <c r="M740" s="103"/>
      <c r="N740" s="103"/>
      <c r="O740" s="103"/>
      <c r="R740" s="103"/>
      <c r="AC740" s="103"/>
      <c r="AD740" s="103"/>
      <c r="AE740" s="103"/>
      <c r="AF740" s="103"/>
      <c r="AG740" s="185"/>
      <c r="AH740" s="103"/>
      <c r="AI740" s="103"/>
      <c r="AJ740" s="103"/>
      <c r="AM740" s="103"/>
      <c r="AN740" s="103"/>
      <c r="AO740" s="103"/>
      <c r="AP740" s="103"/>
    </row>
    <row r="741" spans="1:42" x14ac:dyDescent="0.25">
      <c r="L741" s="103"/>
      <c r="M741" s="103"/>
      <c r="N741" s="103"/>
      <c r="O741" s="103"/>
      <c r="R741" s="103"/>
      <c r="AB741" s="103"/>
      <c r="AC741" s="103"/>
      <c r="AD741" s="103"/>
      <c r="AE741" s="103"/>
      <c r="AF741" s="103"/>
      <c r="AG741" s="185"/>
      <c r="AH741" s="103"/>
      <c r="AI741" s="103"/>
      <c r="AJ741" s="103"/>
      <c r="AM741" s="103"/>
      <c r="AN741" s="103"/>
      <c r="AO741" s="103"/>
      <c r="AP741" s="103"/>
    </row>
    <row r="742" spans="1:42" x14ac:dyDescent="0.25">
      <c r="A742" s="103"/>
      <c r="C742" s="103"/>
      <c r="D742" s="103"/>
      <c r="E742" s="103"/>
      <c r="F742" s="103"/>
      <c r="J742" s="103"/>
      <c r="K742" s="103"/>
      <c r="L742" s="103"/>
      <c r="M742" s="103"/>
      <c r="N742" s="103"/>
      <c r="O742" s="103"/>
      <c r="P742" s="103"/>
      <c r="Q742" s="103"/>
      <c r="R742" s="103"/>
      <c r="T742" s="103"/>
      <c r="U742" s="103"/>
      <c r="V742" s="103"/>
      <c r="AB742" s="103"/>
      <c r="AC742" s="103"/>
      <c r="AD742" s="103"/>
      <c r="AE742" s="103"/>
      <c r="AF742" s="103"/>
      <c r="AG742" s="185"/>
      <c r="AH742" s="103"/>
      <c r="AI742" s="103"/>
      <c r="AJ742" s="103"/>
      <c r="AK742" s="185"/>
      <c r="AL742" s="103"/>
      <c r="AM742" s="103"/>
      <c r="AN742" s="103"/>
      <c r="AO742" s="103"/>
      <c r="AP742" s="103"/>
    </row>
    <row r="743" spans="1:42" x14ac:dyDescent="0.25">
      <c r="A743" s="103"/>
      <c r="C743" s="103"/>
      <c r="D743" s="103"/>
      <c r="E743" s="103"/>
      <c r="F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T743" s="103"/>
      <c r="U743" s="103"/>
      <c r="V743" s="103"/>
      <c r="AA743" s="103"/>
      <c r="AB743" s="103"/>
      <c r="AC743" s="103"/>
      <c r="AD743" s="103"/>
      <c r="AE743" s="103"/>
      <c r="AF743" s="103"/>
      <c r="AG743" s="185"/>
      <c r="AH743" s="103"/>
      <c r="AI743" s="103"/>
      <c r="AJ743" s="103"/>
      <c r="AK743" s="185"/>
      <c r="AL743" s="103"/>
      <c r="AM743" s="103"/>
      <c r="AN743" s="103"/>
      <c r="AO743" s="103"/>
      <c r="AP743" s="103"/>
    </row>
    <row r="744" spans="1:42" x14ac:dyDescent="0.25">
      <c r="C744" s="103"/>
      <c r="D744" s="103"/>
      <c r="E744" s="103"/>
      <c r="F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T744" s="103"/>
      <c r="U744" s="103"/>
      <c r="V744" s="103"/>
      <c r="AA744" s="103"/>
      <c r="AB744" s="103"/>
      <c r="AC744" s="103"/>
      <c r="AD744" s="103"/>
      <c r="AE744" s="103"/>
      <c r="AF744" s="103"/>
      <c r="AG744" s="185"/>
      <c r="AH744" s="103"/>
      <c r="AI744" s="103"/>
      <c r="AJ744" s="103"/>
      <c r="AK744" s="185"/>
      <c r="AL744" s="103"/>
      <c r="AM744" s="103"/>
      <c r="AN744" s="103"/>
      <c r="AO744" s="103"/>
      <c r="AP744" s="103"/>
    </row>
    <row r="745" spans="1:42" x14ac:dyDescent="0.25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208"/>
      <c r="AH745" s="102"/>
      <c r="AI745" s="102"/>
      <c r="AJ745" s="102"/>
      <c r="AK745" s="208"/>
      <c r="AL745" s="102"/>
      <c r="AM745" s="102"/>
      <c r="AN745" s="102"/>
      <c r="AO745" s="102"/>
      <c r="AP745" s="102"/>
    </row>
    <row r="746" spans="1:42" x14ac:dyDescent="0.25"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AA746" s="103"/>
      <c r="AB746" s="103"/>
      <c r="AC746" s="103"/>
      <c r="AD746" s="103"/>
      <c r="AE746" s="103"/>
      <c r="AF746" s="103"/>
      <c r="AG746" s="185"/>
      <c r="AH746" s="103"/>
      <c r="AI746" s="103"/>
      <c r="AJ746" s="103"/>
      <c r="AK746" s="185"/>
      <c r="AL746" s="103"/>
      <c r="AM746" s="103"/>
      <c r="AN746" s="103"/>
      <c r="AO746" s="103"/>
      <c r="AP746" s="103"/>
    </row>
    <row r="747" spans="1:42" x14ac:dyDescent="0.25">
      <c r="A747" s="202"/>
      <c r="C747" s="154"/>
      <c r="D747" s="154"/>
      <c r="E747" s="154"/>
      <c r="T747" s="154"/>
      <c r="U747" s="154"/>
      <c r="V747" s="200"/>
      <c r="W747" s="200"/>
      <c r="X747" s="200"/>
      <c r="Y747" s="200"/>
      <c r="Z747" s="200"/>
      <c r="AA747" s="200"/>
      <c r="AB747" s="328"/>
    </row>
    <row r="749" spans="1:42" x14ac:dyDescent="0.25">
      <c r="A749" s="202"/>
      <c r="C749" s="154"/>
      <c r="T749" s="154"/>
      <c r="V749" s="200"/>
      <c r="W749" s="200"/>
      <c r="X749" s="200"/>
      <c r="Y749" s="200"/>
      <c r="Z749" s="200"/>
      <c r="AA749" s="200"/>
      <c r="AB749" s="328"/>
    </row>
    <row r="750" spans="1:42" x14ac:dyDescent="0.25">
      <c r="A750" s="202"/>
      <c r="C750" s="154"/>
      <c r="F750" s="252"/>
      <c r="H750" s="252"/>
      <c r="I750" s="252"/>
      <c r="J750" s="329"/>
      <c r="K750" s="329"/>
      <c r="L750" s="200"/>
      <c r="M750" s="200"/>
      <c r="N750" s="210"/>
      <c r="O750" s="210"/>
      <c r="P750" s="200"/>
      <c r="Q750" s="200"/>
      <c r="R750" s="200"/>
      <c r="T750" s="154"/>
      <c r="V750" s="200"/>
      <c r="W750" s="200"/>
      <c r="X750" s="200"/>
      <c r="Y750" s="200"/>
      <c r="Z750" s="200"/>
      <c r="AA750" s="200"/>
      <c r="AB750" s="329"/>
      <c r="AC750" s="200"/>
      <c r="AD750" s="200"/>
      <c r="AE750" s="210"/>
      <c r="AF750" s="210"/>
      <c r="AG750" s="209"/>
      <c r="AH750" s="200"/>
      <c r="AI750" s="201"/>
      <c r="AJ750" s="201"/>
      <c r="AK750" s="209"/>
      <c r="AL750" s="200"/>
      <c r="AM750" s="200"/>
      <c r="AN750" s="200"/>
      <c r="AO750" s="210"/>
      <c r="AP750" s="210"/>
    </row>
    <row r="751" spans="1:42" x14ac:dyDescent="0.25">
      <c r="A751" s="202"/>
      <c r="C751" s="154"/>
      <c r="F751" s="252"/>
      <c r="H751" s="252"/>
      <c r="I751" s="252"/>
      <c r="J751" s="329"/>
      <c r="K751" s="329"/>
      <c r="L751" s="200"/>
      <c r="M751" s="200"/>
      <c r="N751" s="210"/>
      <c r="O751" s="210"/>
      <c r="P751" s="200"/>
      <c r="Q751" s="200"/>
      <c r="R751" s="200"/>
      <c r="T751" s="154"/>
      <c r="V751" s="200"/>
      <c r="W751" s="200"/>
      <c r="X751" s="200"/>
      <c r="Y751" s="200"/>
      <c r="Z751" s="200"/>
      <c r="AA751" s="200"/>
      <c r="AB751" s="329"/>
      <c r="AC751" s="200"/>
      <c r="AD751" s="200"/>
      <c r="AE751" s="210"/>
      <c r="AF751" s="210"/>
      <c r="AG751" s="209"/>
      <c r="AH751" s="200"/>
      <c r="AI751" s="201"/>
      <c r="AJ751" s="201"/>
      <c r="AK751" s="209"/>
      <c r="AL751" s="200"/>
      <c r="AM751" s="200"/>
      <c r="AN751" s="200"/>
      <c r="AO751" s="210"/>
      <c r="AP751" s="210"/>
    </row>
    <row r="752" spans="1:42" x14ac:dyDescent="0.25">
      <c r="A752" s="202"/>
      <c r="C752" s="154"/>
      <c r="F752" s="252"/>
      <c r="H752" s="252"/>
      <c r="I752" s="252"/>
      <c r="J752" s="329"/>
      <c r="K752" s="329"/>
      <c r="L752" s="200"/>
      <c r="M752" s="200"/>
      <c r="N752" s="210"/>
      <c r="O752" s="210"/>
      <c r="P752" s="200"/>
      <c r="Q752" s="200"/>
      <c r="R752" s="200"/>
      <c r="T752" s="154"/>
      <c r="V752" s="200"/>
      <c r="W752" s="200"/>
      <c r="X752" s="200"/>
      <c r="Y752" s="200"/>
      <c r="Z752" s="200"/>
      <c r="AA752" s="200"/>
      <c r="AB752" s="329"/>
      <c r="AC752" s="200"/>
      <c r="AD752" s="200"/>
      <c r="AE752" s="210"/>
      <c r="AF752" s="210"/>
      <c r="AG752" s="209"/>
      <c r="AH752" s="200"/>
      <c r="AI752" s="201"/>
      <c r="AJ752" s="201"/>
      <c r="AK752" s="209"/>
      <c r="AL752" s="200"/>
      <c r="AM752" s="200"/>
      <c r="AN752" s="200"/>
      <c r="AO752" s="210"/>
      <c r="AP752" s="210"/>
    </row>
    <row r="753" spans="1:42" x14ac:dyDescent="0.25">
      <c r="A753" s="202"/>
      <c r="C753" s="154"/>
      <c r="F753" s="252"/>
      <c r="H753" s="252"/>
      <c r="I753" s="252"/>
      <c r="J753" s="329"/>
      <c r="K753" s="329"/>
      <c r="L753" s="200"/>
      <c r="M753" s="200"/>
      <c r="N753" s="210"/>
      <c r="O753" s="210"/>
      <c r="P753" s="200"/>
      <c r="Q753" s="200"/>
      <c r="R753" s="200"/>
      <c r="T753" s="154"/>
      <c r="V753" s="200"/>
      <c r="W753" s="200"/>
      <c r="X753" s="200"/>
      <c r="Y753" s="200"/>
      <c r="Z753" s="200"/>
      <c r="AA753" s="200"/>
      <c r="AB753" s="329"/>
      <c r="AC753" s="200"/>
      <c r="AD753" s="200"/>
      <c r="AE753" s="210"/>
      <c r="AF753" s="210"/>
      <c r="AG753" s="209"/>
      <c r="AH753" s="200"/>
      <c r="AI753" s="201"/>
      <c r="AJ753" s="201"/>
      <c r="AK753" s="209"/>
      <c r="AL753" s="200"/>
      <c r="AM753" s="200"/>
      <c r="AN753" s="200"/>
      <c r="AO753" s="210"/>
      <c r="AP753" s="210"/>
    </row>
    <row r="754" spans="1:42" x14ac:dyDescent="0.25">
      <c r="J754" s="334"/>
      <c r="K754" s="334"/>
      <c r="V754" s="200"/>
      <c r="W754" s="200"/>
      <c r="X754" s="200"/>
      <c r="Y754" s="200"/>
      <c r="Z754" s="200"/>
      <c r="AA754" s="200"/>
      <c r="AB754" s="329"/>
    </row>
    <row r="755" spans="1:42" x14ac:dyDescent="0.25">
      <c r="A755" s="202"/>
      <c r="C755" s="154"/>
      <c r="F755" s="252"/>
      <c r="H755" s="252"/>
      <c r="I755" s="252"/>
      <c r="J755" s="329"/>
      <c r="K755" s="329"/>
      <c r="L755" s="200"/>
      <c r="M755" s="200"/>
      <c r="N755" s="210"/>
      <c r="O755" s="210"/>
      <c r="P755" s="200"/>
      <c r="Q755" s="200"/>
      <c r="R755" s="200"/>
      <c r="T755" s="154"/>
      <c r="V755" s="200"/>
      <c r="W755" s="200"/>
      <c r="X755" s="200"/>
      <c r="Y755" s="200"/>
      <c r="Z755" s="200"/>
      <c r="AA755" s="200"/>
      <c r="AB755" s="329"/>
      <c r="AC755" s="200"/>
      <c r="AD755" s="200"/>
      <c r="AE755" s="210"/>
      <c r="AF755" s="210"/>
      <c r="AG755" s="209"/>
      <c r="AH755" s="200"/>
      <c r="AI755" s="201"/>
      <c r="AJ755" s="201"/>
      <c r="AK755" s="209"/>
      <c r="AL755" s="200"/>
      <c r="AM755" s="200"/>
      <c r="AN755" s="200"/>
      <c r="AO755" s="201"/>
      <c r="AP755" s="201"/>
    </row>
    <row r="756" spans="1:42" x14ac:dyDescent="0.25">
      <c r="A756" s="202"/>
      <c r="C756" s="154"/>
      <c r="J756" s="334"/>
      <c r="K756" s="334"/>
      <c r="T756" s="154"/>
      <c r="V756" s="200"/>
      <c r="W756" s="200"/>
      <c r="X756" s="200"/>
      <c r="Y756" s="200"/>
      <c r="Z756" s="200"/>
      <c r="AA756" s="200"/>
      <c r="AB756" s="329"/>
    </row>
    <row r="757" spans="1:42" x14ac:dyDescent="0.25">
      <c r="A757" s="202"/>
      <c r="C757" s="154"/>
      <c r="F757" s="252"/>
      <c r="H757" s="252"/>
      <c r="I757" s="252"/>
      <c r="J757" s="329"/>
      <c r="K757" s="329"/>
      <c r="L757" s="200"/>
      <c r="M757" s="200"/>
      <c r="N757" s="210"/>
      <c r="O757" s="210"/>
      <c r="P757" s="200"/>
      <c r="Q757" s="200"/>
      <c r="R757" s="200"/>
      <c r="T757" s="154"/>
      <c r="V757" s="200"/>
      <c r="W757" s="200"/>
      <c r="X757" s="200"/>
      <c r="Y757" s="200"/>
      <c r="Z757" s="200"/>
      <c r="AA757" s="200"/>
      <c r="AB757" s="329"/>
      <c r="AC757" s="200"/>
      <c r="AD757" s="200"/>
      <c r="AE757" s="210"/>
      <c r="AF757" s="210"/>
      <c r="AG757" s="209"/>
      <c r="AH757" s="200"/>
      <c r="AI757" s="201"/>
      <c r="AJ757" s="201"/>
      <c r="AK757" s="209"/>
      <c r="AL757" s="200"/>
      <c r="AM757" s="200"/>
      <c r="AN757" s="200"/>
      <c r="AO757" s="201"/>
      <c r="AP757" s="201"/>
    </row>
    <row r="758" spans="1:42" x14ac:dyDescent="0.25">
      <c r="J758" s="334"/>
      <c r="K758" s="334"/>
      <c r="AB758" s="334"/>
    </row>
    <row r="759" spans="1:42" x14ac:dyDescent="0.25">
      <c r="A759" s="202"/>
      <c r="C759" s="154"/>
      <c r="J759" s="334"/>
      <c r="K759" s="334"/>
      <c r="T759" s="154"/>
      <c r="V759" s="200"/>
      <c r="W759" s="200"/>
      <c r="X759" s="200"/>
      <c r="Y759" s="200"/>
      <c r="Z759" s="200"/>
      <c r="AA759" s="200"/>
      <c r="AB759" s="329"/>
    </row>
    <row r="760" spans="1:42" x14ac:dyDescent="0.25">
      <c r="A760" s="202"/>
      <c r="C760" s="154"/>
      <c r="F760" s="252"/>
      <c r="H760" s="252"/>
      <c r="I760" s="252"/>
      <c r="J760" s="329"/>
      <c r="K760" s="329"/>
      <c r="L760" s="200"/>
      <c r="M760" s="200"/>
      <c r="N760" s="210"/>
      <c r="O760" s="210"/>
      <c r="P760" s="200"/>
      <c r="Q760" s="200"/>
      <c r="R760" s="200"/>
      <c r="T760" s="154"/>
      <c r="V760" s="200"/>
      <c r="W760" s="200"/>
      <c r="X760" s="200"/>
      <c r="Y760" s="200"/>
      <c r="Z760" s="200"/>
      <c r="AA760" s="200"/>
      <c r="AB760" s="329"/>
      <c r="AC760" s="200"/>
      <c r="AD760" s="200"/>
      <c r="AE760" s="210"/>
      <c r="AF760" s="210"/>
      <c r="AG760" s="209"/>
      <c r="AH760" s="200"/>
      <c r="AI760" s="201"/>
      <c r="AJ760" s="201"/>
      <c r="AK760" s="209"/>
      <c r="AL760" s="200"/>
      <c r="AM760" s="200"/>
      <c r="AN760" s="200"/>
      <c r="AO760" s="201"/>
      <c r="AP760" s="201"/>
    </row>
    <row r="761" spans="1:42" x14ac:dyDescent="0.25">
      <c r="A761" s="202"/>
      <c r="C761" s="154"/>
      <c r="F761" s="252"/>
      <c r="H761" s="252"/>
      <c r="I761" s="252"/>
      <c r="J761" s="329"/>
      <c r="K761" s="329"/>
      <c r="L761" s="200"/>
      <c r="M761" s="200"/>
      <c r="N761" s="210"/>
      <c r="O761" s="210"/>
      <c r="P761" s="200"/>
      <c r="Q761" s="200"/>
      <c r="R761" s="200"/>
      <c r="T761" s="154"/>
      <c r="V761" s="200"/>
      <c r="W761" s="200"/>
      <c r="X761" s="200"/>
      <c r="Y761" s="200"/>
      <c r="Z761" s="200"/>
      <c r="AA761" s="200"/>
      <c r="AB761" s="329"/>
      <c r="AC761" s="200"/>
      <c r="AD761" s="200"/>
      <c r="AE761" s="210"/>
      <c r="AF761" s="210"/>
      <c r="AG761" s="209"/>
      <c r="AH761" s="200"/>
      <c r="AI761" s="201"/>
      <c r="AJ761" s="201"/>
      <c r="AK761" s="209"/>
      <c r="AL761" s="200"/>
      <c r="AM761" s="200"/>
      <c r="AN761" s="200"/>
      <c r="AO761" s="201"/>
      <c r="AP761" s="201"/>
    </row>
    <row r="762" spans="1:42" x14ac:dyDescent="0.25">
      <c r="F762" s="211"/>
      <c r="H762" s="211"/>
      <c r="I762" s="211"/>
      <c r="J762" s="329"/>
      <c r="K762" s="329"/>
      <c r="L762" s="211"/>
      <c r="M762" s="211"/>
      <c r="N762" s="211"/>
      <c r="O762" s="211"/>
      <c r="P762" s="211"/>
      <c r="Q762" s="211"/>
      <c r="R762" s="211"/>
      <c r="V762" s="211"/>
      <c r="AA762" s="211"/>
      <c r="AB762" s="305"/>
      <c r="AC762" s="211"/>
      <c r="AD762" s="211"/>
      <c r="AE762" s="211"/>
      <c r="AF762" s="211"/>
      <c r="AG762" s="212"/>
      <c r="AH762" s="211"/>
      <c r="AK762" s="212"/>
      <c r="AL762" s="211"/>
      <c r="AM762" s="211"/>
      <c r="AN762" s="211"/>
    </row>
    <row r="763" spans="1:42" x14ac:dyDescent="0.25">
      <c r="A763" s="202"/>
      <c r="C763" s="154"/>
      <c r="F763" s="200"/>
      <c r="H763" s="200"/>
      <c r="I763" s="200"/>
      <c r="L763" s="200"/>
      <c r="M763" s="200"/>
      <c r="N763" s="210"/>
      <c r="O763" s="210"/>
      <c r="P763" s="252"/>
      <c r="Q763" s="252"/>
      <c r="R763" s="200"/>
      <c r="T763" s="154"/>
      <c r="V763" s="200"/>
      <c r="W763" s="200"/>
      <c r="X763" s="200"/>
      <c r="Y763" s="200"/>
      <c r="Z763" s="200"/>
      <c r="AA763" s="200"/>
      <c r="AB763" s="328"/>
      <c r="AC763" s="200"/>
      <c r="AD763" s="200"/>
      <c r="AE763" s="210"/>
      <c r="AF763" s="210"/>
      <c r="AG763" s="209"/>
      <c r="AH763" s="200"/>
      <c r="AI763" s="201"/>
      <c r="AJ763" s="201"/>
      <c r="AK763" s="325"/>
      <c r="AL763" s="252"/>
      <c r="AM763" s="200"/>
      <c r="AN763" s="200"/>
      <c r="AO763" s="201"/>
      <c r="AP763" s="201"/>
    </row>
    <row r="764" spans="1:42" x14ac:dyDescent="0.25">
      <c r="H764" s="211"/>
      <c r="I764" s="211"/>
      <c r="J764" s="305"/>
      <c r="K764" s="305"/>
      <c r="L764" s="211"/>
      <c r="M764" s="211"/>
      <c r="N764" s="211"/>
      <c r="O764" s="211"/>
      <c r="P764" s="211"/>
      <c r="Q764" s="211"/>
      <c r="R764" s="211"/>
      <c r="V764" s="211"/>
      <c r="AA764" s="211"/>
      <c r="AB764" s="305"/>
      <c r="AC764" s="211"/>
      <c r="AD764" s="211"/>
      <c r="AE764" s="211"/>
      <c r="AF764" s="211"/>
      <c r="AG764" s="212"/>
      <c r="AH764" s="211"/>
      <c r="AK764" s="212"/>
      <c r="AL764" s="211"/>
      <c r="AM764" s="211"/>
      <c r="AN764" s="211"/>
    </row>
    <row r="765" spans="1:42" x14ac:dyDescent="0.25">
      <c r="F765" s="211"/>
    </row>
    <row r="766" spans="1:42" x14ac:dyDescent="0.25">
      <c r="C766" s="202"/>
      <c r="T766" s="202"/>
    </row>
    <row r="767" spans="1:42" x14ac:dyDescent="0.25">
      <c r="A767" s="154"/>
    </row>
    <row r="768" spans="1:42" x14ac:dyDescent="0.25">
      <c r="J768" s="202"/>
      <c r="K768" s="202"/>
      <c r="AB768" s="202"/>
    </row>
    <row r="769" spans="1:42" x14ac:dyDescent="0.25">
      <c r="H769" s="154"/>
      <c r="I769" s="154"/>
      <c r="AA769" s="154"/>
    </row>
    <row r="770" spans="1:42" x14ac:dyDescent="0.25">
      <c r="J770" s="202"/>
      <c r="K770" s="202"/>
      <c r="AB770" s="202"/>
    </row>
    <row r="771" spans="1:42" x14ac:dyDescent="0.25">
      <c r="L771" s="154"/>
      <c r="M771" s="154"/>
      <c r="AC771" s="154"/>
      <c r="AD771" s="154"/>
    </row>
    <row r="772" spans="1:42" x14ac:dyDescent="0.25">
      <c r="A772" s="202"/>
      <c r="R772" s="154"/>
      <c r="AM772" s="154"/>
      <c r="AN772" s="154"/>
    </row>
    <row r="773" spans="1:42" x14ac:dyDescent="0.25">
      <c r="A773" s="202"/>
      <c r="R773" s="154"/>
      <c r="AM773" s="154"/>
      <c r="AN773" s="154"/>
    </row>
    <row r="774" spans="1:42" x14ac:dyDescent="0.25">
      <c r="A774" s="154"/>
      <c r="R774" s="154"/>
      <c r="AM774" s="154"/>
      <c r="AN774" s="154"/>
    </row>
    <row r="775" spans="1:42" x14ac:dyDescent="0.25">
      <c r="L775" s="154"/>
      <c r="M775" s="154"/>
      <c r="R775" s="202"/>
      <c r="AC775" s="154"/>
      <c r="AD775" s="154"/>
      <c r="AM775" s="202"/>
      <c r="AN775" s="202"/>
    </row>
    <row r="776" spans="1:42" x14ac:dyDescent="0.25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208"/>
      <c r="AH776" s="102"/>
      <c r="AI776" s="102"/>
      <c r="AJ776" s="102"/>
      <c r="AK776" s="208"/>
      <c r="AL776" s="102"/>
      <c r="AM776" s="102"/>
      <c r="AN776" s="102"/>
      <c r="AO776" s="102"/>
      <c r="AP776" s="102"/>
    </row>
    <row r="777" spans="1:42" x14ac:dyDescent="0.25">
      <c r="L777" s="103"/>
      <c r="M777" s="103"/>
      <c r="N777" s="103"/>
      <c r="O777" s="103"/>
      <c r="R777" s="103"/>
      <c r="AC777" s="103"/>
      <c r="AD777" s="103"/>
      <c r="AE777" s="103"/>
      <c r="AF777" s="103"/>
      <c r="AG777" s="185"/>
      <c r="AH777" s="103"/>
      <c r="AI777" s="103"/>
      <c r="AJ777" s="103"/>
      <c r="AM777" s="103"/>
      <c r="AN777" s="103"/>
      <c r="AO777" s="103"/>
      <c r="AP777" s="103"/>
    </row>
    <row r="778" spans="1:42" x14ac:dyDescent="0.25">
      <c r="L778" s="103"/>
      <c r="M778" s="103"/>
      <c r="N778" s="103"/>
      <c r="O778" s="103"/>
      <c r="R778" s="103"/>
      <c r="AB778" s="103"/>
      <c r="AC778" s="103"/>
      <c r="AD778" s="103"/>
      <c r="AE778" s="103"/>
      <c r="AF778" s="103"/>
      <c r="AG778" s="185"/>
      <c r="AH778" s="103"/>
      <c r="AI778" s="103"/>
      <c r="AJ778" s="103"/>
      <c r="AM778" s="103"/>
      <c r="AN778" s="103"/>
      <c r="AO778" s="103"/>
      <c r="AP778" s="103"/>
    </row>
    <row r="779" spans="1:42" x14ac:dyDescent="0.25">
      <c r="A779" s="103"/>
      <c r="C779" s="103"/>
      <c r="D779" s="103"/>
      <c r="E779" s="103"/>
      <c r="F779" s="103"/>
      <c r="J779" s="103"/>
      <c r="K779" s="103"/>
      <c r="L779" s="103"/>
      <c r="M779" s="103"/>
      <c r="N779" s="103"/>
      <c r="O779" s="103"/>
      <c r="P779" s="103"/>
      <c r="Q779" s="103"/>
      <c r="R779" s="103"/>
      <c r="T779" s="103"/>
      <c r="U779" s="103"/>
      <c r="V779" s="103"/>
      <c r="AB779" s="103"/>
      <c r="AC779" s="103"/>
      <c r="AD779" s="103"/>
      <c r="AE779" s="103"/>
      <c r="AF779" s="103"/>
      <c r="AG779" s="185"/>
      <c r="AH779" s="103"/>
      <c r="AI779" s="103"/>
      <c r="AJ779" s="103"/>
      <c r="AK779" s="185"/>
      <c r="AL779" s="103"/>
      <c r="AM779" s="103"/>
      <c r="AN779" s="103"/>
      <c r="AO779" s="103"/>
      <c r="AP779" s="103"/>
    </row>
    <row r="780" spans="1:42" x14ac:dyDescent="0.25">
      <c r="A780" s="103"/>
      <c r="C780" s="103"/>
      <c r="D780" s="103"/>
      <c r="E780" s="103"/>
      <c r="F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T780" s="103"/>
      <c r="U780" s="103"/>
      <c r="V780" s="103"/>
      <c r="AA780" s="103"/>
      <c r="AB780" s="103"/>
      <c r="AC780" s="103"/>
      <c r="AD780" s="103"/>
      <c r="AE780" s="103"/>
      <c r="AF780" s="103"/>
      <c r="AG780" s="185"/>
      <c r="AH780" s="103"/>
      <c r="AI780" s="103"/>
      <c r="AJ780" s="103"/>
      <c r="AK780" s="185"/>
      <c r="AL780" s="103"/>
      <c r="AM780" s="103"/>
      <c r="AN780" s="103"/>
      <c r="AO780" s="103"/>
      <c r="AP780" s="103"/>
    </row>
    <row r="781" spans="1:42" x14ac:dyDescent="0.25">
      <c r="C781" s="103"/>
      <c r="D781" s="103"/>
      <c r="E781" s="103"/>
      <c r="F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T781" s="103"/>
      <c r="U781" s="103"/>
      <c r="V781" s="103"/>
      <c r="AA781" s="103"/>
      <c r="AB781" s="103"/>
      <c r="AC781" s="103"/>
      <c r="AD781" s="103"/>
      <c r="AE781" s="103"/>
      <c r="AF781" s="103"/>
      <c r="AG781" s="185"/>
      <c r="AH781" s="103"/>
      <c r="AI781" s="103"/>
      <c r="AJ781" s="103"/>
      <c r="AK781" s="185"/>
      <c r="AL781" s="103"/>
      <c r="AM781" s="103"/>
      <c r="AN781" s="103"/>
      <c r="AO781" s="103"/>
      <c r="AP781" s="103"/>
    </row>
    <row r="782" spans="1:42" x14ac:dyDescent="0.25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208"/>
      <c r="AH782" s="102"/>
      <c r="AI782" s="102"/>
      <c r="AJ782" s="102"/>
      <c r="AK782" s="208"/>
      <c r="AL782" s="102"/>
      <c r="AM782" s="102"/>
      <c r="AN782" s="102"/>
      <c r="AO782" s="102"/>
      <c r="AP782" s="102"/>
    </row>
    <row r="783" spans="1:42" x14ac:dyDescent="0.25"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AA783" s="103"/>
      <c r="AB783" s="103"/>
      <c r="AC783" s="103"/>
      <c r="AD783" s="103"/>
      <c r="AE783" s="103"/>
      <c r="AF783" s="103"/>
      <c r="AG783" s="185"/>
      <c r="AH783" s="103"/>
      <c r="AI783" s="103"/>
      <c r="AJ783" s="103"/>
      <c r="AK783" s="185"/>
      <c r="AL783" s="103"/>
      <c r="AM783" s="103"/>
      <c r="AN783" s="103"/>
      <c r="AO783" s="103"/>
      <c r="AP783" s="103"/>
    </row>
    <row r="784" spans="1:42" x14ac:dyDescent="0.25">
      <c r="A784" s="202"/>
      <c r="C784" s="154"/>
      <c r="D784" s="154"/>
      <c r="E784" s="154"/>
      <c r="T784" s="154"/>
      <c r="U784" s="154"/>
    </row>
    <row r="786" spans="1:42" x14ac:dyDescent="0.25">
      <c r="A786" s="202"/>
      <c r="C786" s="154"/>
      <c r="T786" s="154"/>
    </row>
    <row r="787" spans="1:42" x14ac:dyDescent="0.25">
      <c r="A787" s="202"/>
      <c r="C787" s="154"/>
      <c r="T787" s="154"/>
    </row>
    <row r="788" spans="1:42" x14ac:dyDescent="0.25">
      <c r="A788" s="202"/>
      <c r="C788" s="154"/>
      <c r="F788" s="252"/>
      <c r="H788" s="252"/>
      <c r="I788" s="252"/>
      <c r="J788" s="329"/>
      <c r="K788" s="329"/>
      <c r="L788" s="200"/>
      <c r="M788" s="200"/>
      <c r="N788" s="210"/>
      <c r="O788" s="210"/>
      <c r="P788" s="200"/>
      <c r="Q788" s="200"/>
      <c r="R788" s="200"/>
      <c r="T788" s="154"/>
      <c r="V788" s="200"/>
      <c r="W788" s="200"/>
      <c r="X788" s="200"/>
      <c r="Y788" s="200"/>
      <c r="Z788" s="200"/>
      <c r="AA788" s="200"/>
      <c r="AB788" s="329"/>
      <c r="AC788" s="200"/>
      <c r="AD788" s="200"/>
      <c r="AE788" s="210"/>
      <c r="AF788" s="210"/>
      <c r="AG788" s="209"/>
      <c r="AH788" s="200"/>
      <c r="AI788" s="201"/>
      <c r="AJ788" s="201"/>
      <c r="AK788" s="209"/>
      <c r="AL788" s="200"/>
      <c r="AM788" s="200"/>
      <c r="AN788" s="200"/>
      <c r="AO788" s="201"/>
      <c r="AP788" s="201"/>
    </row>
    <row r="789" spans="1:42" x14ac:dyDescent="0.25">
      <c r="A789" s="202"/>
      <c r="C789" s="154"/>
      <c r="F789" s="200"/>
      <c r="H789" s="200"/>
      <c r="I789" s="200"/>
      <c r="J789" s="334"/>
      <c r="K789" s="334"/>
      <c r="L789" s="200"/>
      <c r="M789" s="200"/>
      <c r="N789" s="210"/>
      <c r="O789" s="210"/>
      <c r="P789" s="200"/>
      <c r="Q789" s="200"/>
      <c r="R789" s="200"/>
      <c r="T789" s="154"/>
      <c r="V789" s="200"/>
      <c r="W789" s="200"/>
      <c r="X789" s="200"/>
      <c r="Y789" s="200"/>
      <c r="Z789" s="200"/>
      <c r="AA789" s="200"/>
      <c r="AB789" s="334"/>
      <c r="AC789" s="200"/>
      <c r="AD789" s="200"/>
      <c r="AE789" s="210"/>
      <c r="AF789" s="210"/>
      <c r="AG789" s="209"/>
      <c r="AH789" s="200"/>
      <c r="AI789" s="201"/>
      <c r="AJ789" s="201"/>
      <c r="AK789" s="209"/>
      <c r="AL789" s="200"/>
      <c r="AM789" s="200"/>
      <c r="AN789" s="200"/>
      <c r="AO789" s="201"/>
      <c r="AP789" s="201"/>
    </row>
    <row r="790" spans="1:42" x14ac:dyDescent="0.25">
      <c r="A790" s="202"/>
      <c r="C790" s="154"/>
      <c r="F790" s="200"/>
      <c r="H790" s="200"/>
      <c r="I790" s="200"/>
      <c r="J790" s="334"/>
      <c r="K790" s="334"/>
      <c r="L790" s="200"/>
      <c r="M790" s="200"/>
      <c r="N790" s="210"/>
      <c r="O790" s="210"/>
      <c r="P790" s="200"/>
      <c r="Q790" s="200"/>
      <c r="R790" s="200"/>
      <c r="T790" s="154"/>
      <c r="V790" s="200"/>
      <c r="W790" s="200"/>
      <c r="X790" s="200"/>
      <c r="Y790" s="200"/>
      <c r="Z790" s="200"/>
      <c r="AA790" s="200"/>
      <c r="AB790" s="334"/>
      <c r="AC790" s="200"/>
      <c r="AD790" s="200"/>
      <c r="AE790" s="210"/>
      <c r="AF790" s="210"/>
      <c r="AG790" s="209"/>
      <c r="AH790" s="200"/>
      <c r="AI790" s="201"/>
      <c r="AJ790" s="201"/>
      <c r="AK790" s="209"/>
      <c r="AL790" s="200"/>
      <c r="AM790" s="200"/>
      <c r="AN790" s="200"/>
      <c r="AO790" s="201"/>
      <c r="AP790" s="201"/>
    </row>
    <row r="791" spans="1:42" x14ac:dyDescent="0.25">
      <c r="A791" s="202"/>
      <c r="C791" s="154"/>
      <c r="F791" s="200"/>
      <c r="H791" s="200"/>
      <c r="I791" s="200"/>
      <c r="J791" s="334"/>
      <c r="K791" s="334"/>
      <c r="T791" s="154"/>
      <c r="V791" s="200"/>
      <c r="AB791" s="334"/>
    </row>
    <row r="792" spans="1:42" x14ac:dyDescent="0.25">
      <c r="A792" s="202"/>
      <c r="C792" s="154"/>
      <c r="F792" s="252"/>
      <c r="H792" s="252"/>
      <c r="I792" s="252"/>
      <c r="J792" s="329"/>
      <c r="K792" s="329"/>
      <c r="L792" s="200"/>
      <c r="M792" s="200"/>
      <c r="N792" s="210"/>
      <c r="O792" s="210"/>
      <c r="P792" s="200"/>
      <c r="Q792" s="200"/>
      <c r="R792" s="200"/>
      <c r="T792" s="154"/>
      <c r="V792" s="200"/>
      <c r="W792" s="200"/>
      <c r="X792" s="200"/>
      <c r="Y792" s="200"/>
      <c r="Z792" s="200"/>
      <c r="AA792" s="200"/>
      <c r="AB792" s="329"/>
      <c r="AC792" s="200"/>
      <c r="AD792" s="200"/>
      <c r="AE792" s="210"/>
      <c r="AF792" s="210"/>
      <c r="AG792" s="209"/>
      <c r="AH792" s="200"/>
      <c r="AI792" s="201"/>
      <c r="AJ792" s="201"/>
      <c r="AK792" s="209"/>
      <c r="AL792" s="200"/>
      <c r="AM792" s="200"/>
      <c r="AN792" s="200"/>
      <c r="AO792" s="201"/>
      <c r="AP792" s="201"/>
    </row>
    <row r="793" spans="1:42" x14ac:dyDescent="0.25">
      <c r="A793" s="202"/>
      <c r="C793" s="154"/>
      <c r="F793" s="200"/>
      <c r="H793" s="200"/>
      <c r="I793" s="200"/>
      <c r="J793" s="334"/>
      <c r="K793" s="334"/>
      <c r="T793" s="154"/>
      <c r="V793" s="200"/>
      <c r="W793" s="200"/>
      <c r="X793" s="200"/>
      <c r="Y793" s="200"/>
      <c r="Z793" s="200"/>
      <c r="AA793" s="200"/>
      <c r="AB793" s="334"/>
      <c r="AE793" s="210"/>
      <c r="AF793" s="210"/>
      <c r="AG793" s="209"/>
      <c r="AH793" s="200"/>
      <c r="AI793" s="201"/>
      <c r="AJ793" s="201"/>
      <c r="AK793" s="209"/>
      <c r="AL793" s="200"/>
      <c r="AM793" s="200"/>
      <c r="AN793" s="200"/>
      <c r="AO793" s="201"/>
      <c r="AP793" s="201"/>
    </row>
    <row r="794" spans="1:42" x14ac:dyDescent="0.25">
      <c r="A794" s="202"/>
      <c r="C794" s="154"/>
      <c r="F794" s="252"/>
      <c r="H794" s="252"/>
      <c r="I794" s="252"/>
      <c r="J794" s="329"/>
      <c r="K794" s="329"/>
      <c r="L794" s="200"/>
      <c r="M794" s="200"/>
      <c r="N794" s="210"/>
      <c r="O794" s="210"/>
      <c r="P794" s="200"/>
      <c r="Q794" s="200"/>
      <c r="R794" s="200"/>
      <c r="T794" s="154"/>
      <c r="V794" s="200"/>
      <c r="W794" s="200"/>
      <c r="X794" s="200"/>
      <c r="Y794" s="200"/>
      <c r="Z794" s="200"/>
      <c r="AA794" s="200"/>
      <c r="AB794" s="329"/>
      <c r="AC794" s="200"/>
      <c r="AD794" s="200"/>
      <c r="AE794" s="210"/>
      <c r="AF794" s="210"/>
      <c r="AG794" s="209"/>
      <c r="AH794" s="200"/>
      <c r="AI794" s="201"/>
      <c r="AJ794" s="201"/>
      <c r="AK794" s="209"/>
      <c r="AL794" s="200"/>
      <c r="AM794" s="200"/>
      <c r="AN794" s="200"/>
      <c r="AO794" s="201"/>
      <c r="AP794" s="201"/>
    </row>
    <row r="795" spans="1:42" x14ac:dyDescent="0.25">
      <c r="A795" s="202"/>
      <c r="C795" s="154"/>
      <c r="F795" s="200"/>
      <c r="H795" s="200"/>
      <c r="I795" s="200"/>
      <c r="J795" s="334"/>
      <c r="K795" s="334"/>
      <c r="L795" s="200"/>
      <c r="M795" s="200"/>
      <c r="N795" s="210"/>
      <c r="O795" s="210"/>
      <c r="P795" s="200"/>
      <c r="Q795" s="200"/>
      <c r="R795" s="200"/>
      <c r="T795" s="154"/>
      <c r="V795" s="200"/>
      <c r="W795" s="200"/>
      <c r="X795" s="200"/>
      <c r="Y795" s="200"/>
      <c r="Z795" s="200"/>
      <c r="AA795" s="200"/>
      <c r="AB795" s="334"/>
      <c r="AC795" s="200"/>
      <c r="AD795" s="200"/>
      <c r="AE795" s="210"/>
      <c r="AF795" s="210"/>
      <c r="AG795" s="209"/>
      <c r="AH795" s="200"/>
      <c r="AI795" s="201"/>
      <c r="AJ795" s="201"/>
      <c r="AK795" s="209"/>
      <c r="AL795" s="200"/>
      <c r="AM795" s="200"/>
      <c r="AN795" s="200"/>
      <c r="AO795" s="201"/>
      <c r="AP795" s="201"/>
    </row>
    <row r="796" spans="1:42" x14ac:dyDescent="0.25">
      <c r="F796" s="200"/>
      <c r="H796" s="200"/>
      <c r="I796" s="200"/>
      <c r="J796" s="334"/>
      <c r="K796" s="334"/>
      <c r="AB796" s="334"/>
    </row>
    <row r="797" spans="1:42" x14ac:dyDescent="0.25">
      <c r="A797" s="202"/>
      <c r="C797" s="154"/>
      <c r="F797" s="200"/>
      <c r="H797" s="252"/>
      <c r="I797" s="252"/>
      <c r="J797" s="329"/>
      <c r="K797" s="329"/>
      <c r="L797" s="200"/>
      <c r="M797" s="200"/>
      <c r="N797" s="210"/>
      <c r="O797" s="210"/>
      <c r="P797" s="200"/>
      <c r="Q797" s="200"/>
      <c r="R797" s="200"/>
      <c r="T797" s="154"/>
      <c r="V797" s="200"/>
      <c r="W797" s="200"/>
      <c r="X797" s="200"/>
      <c r="Y797" s="200"/>
      <c r="Z797" s="200"/>
      <c r="AA797" s="200"/>
      <c r="AB797" s="329"/>
      <c r="AC797" s="200"/>
      <c r="AD797" s="200"/>
      <c r="AE797" s="210"/>
      <c r="AF797" s="210"/>
      <c r="AG797" s="209"/>
      <c r="AH797" s="200"/>
      <c r="AI797" s="201"/>
      <c r="AJ797" s="201"/>
      <c r="AK797" s="209"/>
      <c r="AL797" s="200"/>
      <c r="AM797" s="200"/>
      <c r="AN797" s="200"/>
      <c r="AO797" s="201"/>
      <c r="AP797" s="201"/>
    </row>
    <row r="798" spans="1:42" x14ac:dyDescent="0.25">
      <c r="F798" s="211"/>
      <c r="H798" s="211"/>
      <c r="I798" s="211"/>
      <c r="J798" s="329"/>
      <c r="K798" s="329"/>
      <c r="L798" s="211"/>
      <c r="M798" s="211"/>
      <c r="N798" s="211"/>
      <c r="O798" s="211"/>
      <c r="P798" s="211"/>
      <c r="Q798" s="211"/>
      <c r="R798" s="211"/>
      <c r="V798" s="211"/>
      <c r="AA798" s="211"/>
      <c r="AB798" s="329"/>
      <c r="AC798" s="211"/>
      <c r="AD798" s="211"/>
      <c r="AE798" s="211"/>
      <c r="AF798" s="211"/>
      <c r="AG798" s="212"/>
      <c r="AH798" s="211"/>
      <c r="AK798" s="212"/>
      <c r="AL798" s="211"/>
      <c r="AM798" s="211"/>
      <c r="AN798" s="211"/>
    </row>
    <row r="799" spans="1:42" x14ac:dyDescent="0.25">
      <c r="A799" s="202"/>
      <c r="C799" s="154"/>
      <c r="F799" s="200"/>
      <c r="H799" s="200"/>
      <c r="I799" s="200"/>
      <c r="J799" s="334"/>
      <c r="K799" s="334"/>
      <c r="L799" s="200"/>
      <c r="M799" s="200"/>
      <c r="N799" s="202"/>
      <c r="O799" s="202"/>
      <c r="P799" s="200"/>
      <c r="Q799" s="200"/>
      <c r="R799" s="200"/>
      <c r="T799" s="154"/>
      <c r="V799" s="200"/>
      <c r="AA799" s="200"/>
      <c r="AB799" s="334"/>
      <c r="AC799" s="200"/>
      <c r="AD799" s="200"/>
      <c r="AE799" s="201"/>
      <c r="AF799" s="201"/>
      <c r="AG799" s="209"/>
      <c r="AH799" s="200"/>
      <c r="AI799" s="201"/>
      <c r="AJ799" s="201"/>
      <c r="AK799" s="209"/>
      <c r="AL799" s="200"/>
      <c r="AM799" s="200"/>
      <c r="AN799" s="200"/>
      <c r="AO799" s="201"/>
      <c r="AP799" s="201"/>
    </row>
    <row r="800" spans="1:42" x14ac:dyDescent="0.25">
      <c r="F800" s="211"/>
      <c r="H800" s="211"/>
      <c r="I800" s="211"/>
      <c r="J800" s="329"/>
      <c r="K800" s="329"/>
      <c r="L800" s="211"/>
      <c r="M800" s="211"/>
      <c r="N800" s="211"/>
      <c r="O800" s="211"/>
      <c r="P800" s="211"/>
      <c r="Q800" s="211"/>
      <c r="R800" s="211"/>
      <c r="V800" s="211"/>
      <c r="AA800" s="211"/>
      <c r="AB800" s="329"/>
      <c r="AC800" s="211"/>
      <c r="AD800" s="211"/>
      <c r="AE800" s="211"/>
      <c r="AF800" s="211"/>
      <c r="AG800" s="212"/>
      <c r="AH800" s="211"/>
      <c r="AK800" s="212"/>
      <c r="AL800" s="211"/>
      <c r="AM800" s="211"/>
      <c r="AN800" s="211"/>
    </row>
    <row r="801" spans="1:42" x14ac:dyDescent="0.25">
      <c r="J801" s="334"/>
      <c r="K801" s="334"/>
      <c r="AB801" s="334"/>
    </row>
    <row r="802" spans="1:42" x14ac:dyDescent="0.25">
      <c r="A802" s="202"/>
      <c r="C802" s="154"/>
      <c r="J802" s="334"/>
      <c r="K802" s="334"/>
      <c r="T802" s="154"/>
      <c r="AB802" s="334"/>
    </row>
    <row r="803" spans="1:42" x14ac:dyDescent="0.25">
      <c r="A803" s="202"/>
      <c r="C803" s="154"/>
      <c r="J803" s="334"/>
      <c r="K803" s="334"/>
      <c r="T803" s="154"/>
      <c r="AB803" s="334"/>
    </row>
    <row r="804" spans="1:42" x14ac:dyDescent="0.25">
      <c r="A804" s="202"/>
      <c r="C804" s="154"/>
      <c r="F804" s="252"/>
      <c r="H804" s="252"/>
      <c r="I804" s="252"/>
      <c r="J804" s="329"/>
      <c r="K804" s="329"/>
      <c r="L804" s="200"/>
      <c r="M804" s="200"/>
      <c r="N804" s="210"/>
      <c r="O804" s="210"/>
      <c r="P804" s="200"/>
      <c r="Q804" s="200"/>
      <c r="R804" s="200"/>
      <c r="T804" s="154"/>
      <c r="V804" s="200"/>
      <c r="W804" s="200"/>
      <c r="X804" s="200"/>
      <c r="Y804" s="200"/>
      <c r="Z804" s="200"/>
      <c r="AA804" s="200"/>
      <c r="AB804" s="329"/>
      <c r="AC804" s="200"/>
      <c r="AD804" s="200"/>
      <c r="AE804" s="210"/>
      <c r="AF804" s="210"/>
      <c r="AG804" s="209"/>
      <c r="AH804" s="200"/>
      <c r="AI804" s="201"/>
      <c r="AJ804" s="201"/>
      <c r="AK804" s="209"/>
      <c r="AL804" s="200"/>
      <c r="AM804" s="200"/>
      <c r="AN804" s="200"/>
      <c r="AO804" s="201"/>
      <c r="AP804" s="201"/>
    </row>
    <row r="805" spans="1:42" x14ac:dyDescent="0.25">
      <c r="A805" s="202"/>
      <c r="C805" s="154"/>
      <c r="J805" s="334"/>
      <c r="K805" s="334"/>
      <c r="T805" s="154"/>
      <c r="AB805" s="334"/>
    </row>
    <row r="806" spans="1:42" x14ac:dyDescent="0.25">
      <c r="A806" s="202"/>
      <c r="C806" s="154"/>
      <c r="F806" s="252"/>
      <c r="H806" s="252"/>
      <c r="I806" s="252"/>
      <c r="J806" s="329"/>
      <c r="K806" s="329"/>
      <c r="L806" s="200"/>
      <c r="M806" s="200"/>
      <c r="N806" s="210"/>
      <c r="O806" s="210"/>
      <c r="P806" s="200"/>
      <c r="Q806" s="200"/>
      <c r="R806" s="200"/>
      <c r="T806" s="154"/>
      <c r="V806" s="200"/>
      <c r="W806" s="200"/>
      <c r="X806" s="200"/>
      <c r="Y806" s="200"/>
      <c r="Z806" s="200"/>
      <c r="AA806" s="200"/>
      <c r="AB806" s="329"/>
      <c r="AC806" s="200"/>
      <c r="AD806" s="200"/>
      <c r="AE806" s="210"/>
      <c r="AF806" s="210"/>
      <c r="AG806" s="209"/>
      <c r="AH806" s="200"/>
      <c r="AI806" s="201"/>
      <c r="AJ806" s="201"/>
      <c r="AK806" s="209"/>
      <c r="AL806" s="200"/>
      <c r="AM806" s="200"/>
      <c r="AN806" s="200"/>
      <c r="AO806" s="201"/>
      <c r="AP806" s="201"/>
    </row>
    <row r="807" spans="1:42" x14ac:dyDescent="0.25">
      <c r="F807" s="211"/>
      <c r="H807" s="211"/>
      <c r="I807" s="211"/>
      <c r="J807" s="329"/>
      <c r="K807" s="329"/>
      <c r="L807" s="211"/>
      <c r="M807" s="211"/>
      <c r="N807" s="211"/>
      <c r="O807" s="211"/>
      <c r="P807" s="211"/>
      <c r="Q807" s="211"/>
      <c r="R807" s="211"/>
      <c r="V807" s="211"/>
      <c r="AA807" s="211"/>
      <c r="AB807" s="329"/>
      <c r="AC807" s="211"/>
      <c r="AD807" s="211"/>
      <c r="AE807" s="211"/>
      <c r="AF807" s="211"/>
      <c r="AG807" s="212"/>
      <c r="AH807" s="211"/>
      <c r="AK807" s="212"/>
      <c r="AL807" s="211"/>
      <c r="AM807" s="211"/>
      <c r="AN807" s="211"/>
    </row>
    <row r="808" spans="1:42" x14ac:dyDescent="0.25">
      <c r="A808" s="202"/>
      <c r="C808" s="154"/>
      <c r="F808" s="200"/>
      <c r="H808" s="200"/>
      <c r="I808" s="200"/>
      <c r="J808" s="334"/>
      <c r="K808" s="334"/>
      <c r="L808" s="200"/>
      <c r="M808" s="200"/>
      <c r="N808" s="201"/>
      <c r="O808" s="201"/>
      <c r="P808" s="200"/>
      <c r="Q808" s="200"/>
      <c r="R808" s="200"/>
      <c r="T808" s="154"/>
      <c r="V808" s="200"/>
      <c r="AA808" s="200"/>
      <c r="AB808" s="334"/>
      <c r="AC808" s="200"/>
      <c r="AD808" s="200"/>
      <c r="AE808" s="201"/>
      <c r="AF808" s="201"/>
      <c r="AG808" s="209"/>
      <c r="AH808" s="200"/>
      <c r="AI808" s="201"/>
      <c r="AJ808" s="201"/>
      <c r="AK808" s="209"/>
      <c r="AL808" s="200"/>
      <c r="AM808" s="200"/>
      <c r="AN808" s="200"/>
      <c r="AO808" s="201"/>
      <c r="AP808" s="201"/>
    </row>
    <row r="809" spans="1:42" x14ac:dyDescent="0.25">
      <c r="F809" s="211"/>
      <c r="H809" s="211"/>
      <c r="I809" s="211"/>
      <c r="J809" s="329"/>
      <c r="K809" s="329"/>
      <c r="L809" s="211"/>
      <c r="M809" s="211"/>
      <c r="N809" s="211"/>
      <c r="O809" s="211"/>
      <c r="P809" s="211"/>
      <c r="Q809" s="211"/>
      <c r="R809" s="211"/>
      <c r="V809" s="211"/>
      <c r="AA809" s="211"/>
      <c r="AB809" s="305"/>
      <c r="AC809" s="211"/>
      <c r="AD809" s="211"/>
      <c r="AE809" s="211"/>
      <c r="AF809" s="211"/>
      <c r="AG809" s="212"/>
      <c r="AH809" s="211"/>
      <c r="AK809" s="212"/>
      <c r="AL809" s="211"/>
      <c r="AM809" s="211"/>
      <c r="AN809" s="211"/>
    </row>
    <row r="810" spans="1:42" x14ac:dyDescent="0.25">
      <c r="J810" s="334"/>
      <c r="K810" s="334"/>
    </row>
    <row r="811" spans="1:42" x14ac:dyDescent="0.25">
      <c r="A811" s="202"/>
      <c r="C811" s="154"/>
      <c r="F811" s="200"/>
      <c r="H811" s="200"/>
      <c r="I811" s="200"/>
      <c r="J811" s="334"/>
      <c r="K811" s="334"/>
      <c r="L811" s="200"/>
      <c r="M811" s="200"/>
      <c r="N811" s="210"/>
      <c r="O811" s="210"/>
      <c r="P811" s="252"/>
      <c r="Q811" s="252"/>
      <c r="R811" s="200"/>
      <c r="T811" s="154"/>
      <c r="V811" s="200"/>
      <c r="AA811" s="200"/>
      <c r="AC811" s="200"/>
      <c r="AD811" s="200"/>
      <c r="AE811" s="201"/>
      <c r="AF811" s="201"/>
      <c r="AG811" s="209"/>
      <c r="AH811" s="200"/>
      <c r="AI811" s="201"/>
      <c r="AJ811" s="201"/>
      <c r="AK811" s="325"/>
      <c r="AL811" s="252"/>
      <c r="AM811" s="200"/>
      <c r="AN811" s="200"/>
      <c r="AO811" s="201"/>
      <c r="AP811" s="201"/>
    </row>
    <row r="812" spans="1:42" x14ac:dyDescent="0.25">
      <c r="H812" s="211"/>
      <c r="I812" s="211"/>
      <c r="J812" s="329"/>
      <c r="K812" s="329"/>
      <c r="L812" s="211"/>
      <c r="M812" s="211"/>
      <c r="N812" s="211"/>
      <c r="O812" s="211"/>
      <c r="P812" s="211"/>
      <c r="Q812" s="211"/>
      <c r="R812" s="211"/>
      <c r="V812" s="211"/>
      <c r="AA812" s="211"/>
      <c r="AB812" s="305"/>
      <c r="AC812" s="211"/>
      <c r="AD812" s="211"/>
      <c r="AE812" s="211"/>
      <c r="AF812" s="211"/>
      <c r="AG812" s="212"/>
      <c r="AH812" s="211"/>
      <c r="AK812" s="212"/>
      <c r="AL812" s="211"/>
      <c r="AM812" s="211"/>
      <c r="AN812" s="211"/>
    </row>
    <row r="813" spans="1:42" x14ac:dyDescent="0.25">
      <c r="F813" s="211"/>
    </row>
    <row r="814" spans="1:42" x14ac:dyDescent="0.25">
      <c r="C814" s="202"/>
      <c r="T814" s="202"/>
    </row>
    <row r="815" spans="1:42" x14ac:dyDescent="0.25">
      <c r="A815" s="154"/>
    </row>
    <row r="816" spans="1:42" x14ac:dyDescent="0.25">
      <c r="J816" s="202"/>
      <c r="K816" s="202"/>
      <c r="AB816" s="202"/>
    </row>
    <row r="817" spans="1:42" x14ac:dyDescent="0.25">
      <c r="H817" s="154"/>
      <c r="I817" s="154"/>
      <c r="AA817" s="154"/>
    </row>
    <row r="818" spans="1:42" x14ac:dyDescent="0.25">
      <c r="J818" s="202"/>
      <c r="K818" s="202"/>
      <c r="AB818" s="202"/>
    </row>
    <row r="819" spans="1:42" x14ac:dyDescent="0.25">
      <c r="L819" s="154"/>
      <c r="M819" s="154"/>
      <c r="AC819" s="154"/>
      <c r="AD819" s="154"/>
    </row>
    <row r="820" spans="1:42" x14ac:dyDescent="0.25">
      <c r="A820" s="202"/>
      <c r="R820" s="154"/>
      <c r="AM820" s="154"/>
      <c r="AN820" s="154"/>
    </row>
    <row r="821" spans="1:42" x14ac:dyDescent="0.25">
      <c r="A821" s="202"/>
      <c r="R821" s="154"/>
      <c r="AM821" s="154"/>
      <c r="AN821" s="154"/>
    </row>
    <row r="822" spans="1:42" x14ac:dyDescent="0.25">
      <c r="A822" s="154"/>
      <c r="R822" s="154"/>
      <c r="AM822" s="154"/>
      <c r="AN822" s="154"/>
    </row>
    <row r="823" spans="1:42" x14ac:dyDescent="0.25">
      <c r="L823" s="154"/>
      <c r="M823" s="154"/>
      <c r="R823" s="202"/>
      <c r="AC823" s="154"/>
      <c r="AD823" s="154"/>
      <c r="AM823" s="202"/>
      <c r="AN823" s="202"/>
    </row>
    <row r="824" spans="1:42" x14ac:dyDescent="0.25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208"/>
      <c r="AH824" s="102"/>
      <c r="AI824" s="102"/>
      <c r="AJ824" s="102"/>
      <c r="AK824" s="208"/>
      <c r="AL824" s="102"/>
      <c r="AM824" s="102"/>
      <c r="AN824" s="102"/>
      <c r="AO824" s="102"/>
      <c r="AP824" s="102"/>
    </row>
    <row r="825" spans="1:42" x14ac:dyDescent="0.25">
      <c r="L825" s="103"/>
      <c r="M825" s="103"/>
      <c r="N825" s="103"/>
      <c r="O825" s="103"/>
      <c r="R825" s="103"/>
      <c r="AC825" s="103"/>
      <c r="AD825" s="103"/>
      <c r="AE825" s="103"/>
      <c r="AF825" s="103"/>
      <c r="AG825" s="185"/>
      <c r="AH825" s="103"/>
      <c r="AI825" s="103"/>
      <c r="AJ825" s="103"/>
      <c r="AM825" s="103"/>
      <c r="AN825" s="103"/>
      <c r="AO825" s="103"/>
      <c r="AP825" s="103"/>
    </row>
    <row r="826" spans="1:42" x14ac:dyDescent="0.25">
      <c r="L826" s="103"/>
      <c r="M826" s="103"/>
      <c r="N826" s="103"/>
      <c r="O826" s="103"/>
      <c r="R826" s="103"/>
      <c r="AB826" s="103"/>
      <c r="AC826" s="103"/>
      <c r="AD826" s="103"/>
      <c r="AE826" s="103"/>
      <c r="AF826" s="103"/>
      <c r="AG826" s="185"/>
      <c r="AH826" s="103"/>
      <c r="AI826" s="103"/>
      <c r="AJ826" s="103"/>
      <c r="AM826" s="103"/>
      <c r="AN826" s="103"/>
      <c r="AO826" s="103"/>
      <c r="AP826" s="103"/>
    </row>
    <row r="827" spans="1:42" x14ac:dyDescent="0.25">
      <c r="A827" s="103"/>
      <c r="C827" s="103"/>
      <c r="D827" s="103"/>
      <c r="E827" s="103"/>
      <c r="F827" s="103"/>
      <c r="J827" s="103"/>
      <c r="K827" s="103"/>
      <c r="L827" s="103"/>
      <c r="M827" s="103"/>
      <c r="N827" s="103"/>
      <c r="O827" s="103"/>
      <c r="P827" s="103"/>
      <c r="Q827" s="103"/>
      <c r="R827" s="103"/>
      <c r="T827" s="103"/>
      <c r="U827" s="103"/>
      <c r="V827" s="103"/>
      <c r="AB827" s="103"/>
      <c r="AC827" s="103"/>
      <c r="AD827" s="103"/>
      <c r="AE827" s="103"/>
      <c r="AF827" s="103"/>
      <c r="AG827" s="185"/>
      <c r="AH827" s="103"/>
      <c r="AI827" s="103"/>
      <c r="AJ827" s="103"/>
      <c r="AK827" s="185"/>
      <c r="AL827" s="103"/>
      <c r="AM827" s="103"/>
      <c r="AN827" s="103"/>
      <c r="AO827" s="103"/>
      <c r="AP827" s="103"/>
    </row>
    <row r="828" spans="1:42" x14ac:dyDescent="0.25">
      <c r="A828" s="103"/>
      <c r="C828" s="103"/>
      <c r="D828" s="103"/>
      <c r="E828" s="103"/>
      <c r="F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T828" s="103"/>
      <c r="U828" s="103"/>
      <c r="V828" s="103"/>
      <c r="AA828" s="103"/>
      <c r="AB828" s="103"/>
      <c r="AC828" s="103"/>
      <c r="AD828" s="103"/>
      <c r="AE828" s="103"/>
      <c r="AF828" s="103"/>
      <c r="AG828" s="185"/>
      <c r="AH828" s="103"/>
      <c r="AI828" s="103"/>
      <c r="AJ828" s="103"/>
      <c r="AK828" s="185"/>
      <c r="AL828" s="103"/>
      <c r="AM828" s="103"/>
      <c r="AN828" s="103"/>
      <c r="AO828" s="103"/>
      <c r="AP828" s="103"/>
    </row>
    <row r="829" spans="1:42" x14ac:dyDescent="0.25">
      <c r="C829" s="103"/>
      <c r="D829" s="103"/>
      <c r="E829" s="103"/>
      <c r="F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T829" s="103"/>
      <c r="U829" s="103"/>
      <c r="V829" s="103"/>
      <c r="AA829" s="103"/>
      <c r="AB829" s="103"/>
      <c r="AC829" s="103"/>
      <c r="AD829" s="103"/>
      <c r="AE829" s="103"/>
      <c r="AF829" s="103"/>
      <c r="AG829" s="185"/>
      <c r="AH829" s="103"/>
      <c r="AI829" s="103"/>
      <c r="AJ829" s="103"/>
      <c r="AK829" s="185"/>
      <c r="AL829" s="103"/>
      <c r="AM829" s="103"/>
      <c r="AN829" s="103"/>
      <c r="AO829" s="103"/>
      <c r="AP829" s="103"/>
    </row>
    <row r="830" spans="1:42" x14ac:dyDescent="0.25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208"/>
      <c r="AH830" s="102"/>
      <c r="AI830" s="102"/>
      <c r="AJ830" s="102"/>
      <c r="AK830" s="208"/>
      <c r="AL830" s="102"/>
      <c r="AM830" s="102"/>
      <c r="AN830" s="102"/>
      <c r="AO830" s="102"/>
      <c r="AP830" s="102"/>
    </row>
    <row r="831" spans="1:42" x14ac:dyDescent="0.25"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AA831" s="103"/>
      <c r="AB831" s="103"/>
      <c r="AC831" s="103"/>
      <c r="AD831" s="103"/>
      <c r="AE831" s="103"/>
      <c r="AF831" s="103"/>
      <c r="AG831" s="185"/>
      <c r="AH831" s="103"/>
      <c r="AI831" s="103"/>
      <c r="AJ831" s="103"/>
      <c r="AK831" s="185"/>
      <c r="AL831" s="103"/>
      <c r="AM831" s="103"/>
      <c r="AN831" s="103"/>
      <c r="AO831" s="103"/>
      <c r="AP831" s="103"/>
    </row>
    <row r="832" spans="1:42" x14ac:dyDescent="0.25">
      <c r="A832" s="202"/>
      <c r="C832" s="154"/>
      <c r="D832" s="154"/>
      <c r="E832" s="154"/>
      <c r="T832" s="154"/>
      <c r="U832" s="154"/>
    </row>
    <row r="834" spans="1:42" x14ac:dyDescent="0.25">
      <c r="A834" s="202"/>
      <c r="C834" s="154"/>
      <c r="D834" s="154"/>
      <c r="E834" s="154"/>
      <c r="T834" s="154"/>
      <c r="U834" s="154"/>
    </row>
    <row r="835" spans="1:42" x14ac:dyDescent="0.25">
      <c r="A835" s="202"/>
      <c r="C835" s="154"/>
      <c r="T835" s="154"/>
    </row>
    <row r="836" spans="1:42" x14ac:dyDescent="0.25">
      <c r="A836" s="202"/>
      <c r="C836" s="154"/>
      <c r="T836" s="154"/>
    </row>
    <row r="837" spans="1:42" x14ac:dyDescent="0.25">
      <c r="A837" s="202"/>
      <c r="C837" s="154"/>
      <c r="H837" s="252"/>
      <c r="I837" s="252"/>
      <c r="J837" s="329"/>
      <c r="K837" s="329"/>
      <c r="L837" s="200"/>
      <c r="M837" s="200"/>
      <c r="N837" s="210"/>
      <c r="O837" s="210"/>
      <c r="P837" s="200"/>
      <c r="Q837" s="200"/>
      <c r="R837" s="200"/>
      <c r="T837" s="154"/>
      <c r="V837" s="200"/>
      <c r="W837" s="200"/>
      <c r="X837" s="200"/>
      <c r="Y837" s="200"/>
      <c r="Z837" s="200"/>
      <c r="AA837" s="200"/>
      <c r="AB837" s="329"/>
      <c r="AC837" s="200"/>
      <c r="AD837" s="200"/>
      <c r="AE837" s="210"/>
      <c r="AF837" s="210"/>
      <c r="AG837" s="209"/>
      <c r="AH837" s="200"/>
      <c r="AI837" s="201"/>
      <c r="AJ837" s="201"/>
      <c r="AK837" s="209"/>
      <c r="AL837" s="200"/>
      <c r="AM837" s="200"/>
      <c r="AN837" s="200"/>
      <c r="AO837" s="210"/>
      <c r="AP837" s="210"/>
    </row>
    <row r="838" spans="1:42" x14ac:dyDescent="0.25">
      <c r="A838" s="202"/>
      <c r="C838" s="154"/>
      <c r="F838" s="252"/>
      <c r="J838" s="334"/>
      <c r="K838" s="334"/>
      <c r="T838" s="154"/>
      <c r="V838" s="200"/>
      <c r="W838" s="200"/>
      <c r="X838" s="200"/>
      <c r="Y838" s="200"/>
      <c r="Z838" s="200"/>
      <c r="AA838" s="200"/>
      <c r="AB838" s="329"/>
    </row>
    <row r="839" spans="1:42" x14ac:dyDescent="0.25">
      <c r="A839" s="202"/>
      <c r="C839" s="154"/>
      <c r="H839" s="252"/>
      <c r="I839" s="252"/>
      <c r="J839" s="329"/>
      <c r="K839" s="329"/>
      <c r="L839" s="200"/>
      <c r="M839" s="200"/>
      <c r="N839" s="210"/>
      <c r="O839" s="210"/>
      <c r="P839" s="200"/>
      <c r="Q839" s="200"/>
      <c r="R839" s="200"/>
      <c r="T839" s="154"/>
      <c r="V839" s="200"/>
      <c r="W839" s="200"/>
      <c r="X839" s="200"/>
      <c r="Y839" s="200"/>
      <c r="Z839" s="200"/>
      <c r="AA839" s="200"/>
      <c r="AB839" s="329"/>
      <c r="AC839" s="200"/>
      <c r="AD839" s="200"/>
      <c r="AE839" s="210"/>
      <c r="AF839" s="210"/>
      <c r="AG839" s="209"/>
      <c r="AH839" s="200"/>
      <c r="AI839" s="201"/>
      <c r="AJ839" s="201"/>
      <c r="AK839" s="209"/>
      <c r="AL839" s="200"/>
      <c r="AM839" s="200"/>
      <c r="AN839" s="200"/>
      <c r="AO839" s="210"/>
      <c r="AP839" s="210"/>
    </row>
    <row r="840" spans="1:42" x14ac:dyDescent="0.25">
      <c r="A840" s="202"/>
      <c r="C840" s="154"/>
      <c r="F840" s="252"/>
      <c r="J840" s="334"/>
      <c r="K840" s="334"/>
      <c r="T840" s="154"/>
      <c r="V840" s="200"/>
      <c r="W840" s="200"/>
      <c r="X840" s="200"/>
      <c r="Y840" s="200"/>
      <c r="Z840" s="200"/>
      <c r="AA840" s="200"/>
      <c r="AB840" s="329"/>
    </row>
    <row r="841" spans="1:42" x14ac:dyDescent="0.25">
      <c r="A841" s="202"/>
      <c r="C841" s="154"/>
      <c r="H841" s="252"/>
      <c r="I841" s="252"/>
      <c r="J841" s="329"/>
      <c r="K841" s="329"/>
      <c r="L841" s="200"/>
      <c r="M841" s="200"/>
      <c r="N841" s="210"/>
      <c r="O841" s="210"/>
      <c r="P841" s="200"/>
      <c r="Q841" s="200"/>
      <c r="R841" s="200"/>
      <c r="T841" s="154"/>
      <c r="V841" s="200"/>
      <c r="W841" s="200"/>
      <c r="X841" s="200"/>
      <c r="Y841" s="200"/>
      <c r="Z841" s="200"/>
      <c r="AA841" s="200"/>
      <c r="AB841" s="329"/>
      <c r="AC841" s="200"/>
      <c r="AD841" s="200"/>
      <c r="AE841" s="210"/>
      <c r="AF841" s="210"/>
      <c r="AG841" s="209"/>
      <c r="AH841" s="200"/>
      <c r="AI841" s="201"/>
      <c r="AJ841" s="201"/>
      <c r="AK841" s="209"/>
      <c r="AL841" s="200"/>
      <c r="AM841" s="200"/>
      <c r="AN841" s="200"/>
      <c r="AO841" s="210"/>
      <c r="AP841" s="210"/>
    </row>
    <row r="842" spans="1:42" x14ac:dyDescent="0.25">
      <c r="A842" s="202"/>
      <c r="C842" s="154"/>
      <c r="F842" s="252"/>
      <c r="J842" s="334"/>
      <c r="K842" s="334"/>
      <c r="T842" s="154"/>
      <c r="V842" s="200"/>
      <c r="W842" s="200"/>
      <c r="X842" s="200"/>
      <c r="Y842" s="200"/>
      <c r="Z842" s="200"/>
      <c r="AA842" s="200"/>
      <c r="AB842" s="329"/>
    </row>
    <row r="843" spans="1:42" x14ac:dyDescent="0.25">
      <c r="A843" s="202"/>
      <c r="C843" s="154"/>
      <c r="H843" s="252"/>
      <c r="I843" s="252"/>
      <c r="J843" s="329"/>
      <c r="K843" s="329"/>
      <c r="L843" s="200"/>
      <c r="M843" s="200"/>
      <c r="N843" s="210"/>
      <c r="O843" s="210"/>
      <c r="P843" s="200"/>
      <c r="Q843" s="200"/>
      <c r="R843" s="200"/>
      <c r="T843" s="154"/>
      <c r="V843" s="200"/>
      <c r="W843" s="200"/>
      <c r="X843" s="200"/>
      <c r="Y843" s="200"/>
      <c r="Z843" s="200"/>
      <c r="AA843" s="200"/>
      <c r="AB843" s="329"/>
      <c r="AC843" s="200"/>
      <c r="AD843" s="200"/>
      <c r="AE843" s="210"/>
      <c r="AF843" s="210"/>
      <c r="AG843" s="209"/>
      <c r="AH843" s="200"/>
      <c r="AI843" s="201"/>
      <c r="AJ843" s="201"/>
      <c r="AK843" s="209"/>
      <c r="AL843" s="200"/>
      <c r="AM843" s="200"/>
      <c r="AN843" s="200"/>
      <c r="AO843" s="210"/>
      <c r="AP843" s="210"/>
    </row>
    <row r="844" spans="1:42" x14ac:dyDescent="0.25">
      <c r="A844" s="202"/>
      <c r="C844" s="154"/>
      <c r="F844" s="252"/>
      <c r="J844" s="334"/>
      <c r="K844" s="334"/>
      <c r="T844" s="154"/>
      <c r="V844" s="200"/>
      <c r="W844" s="200"/>
      <c r="X844" s="200"/>
      <c r="Y844" s="200"/>
      <c r="Z844" s="200"/>
      <c r="AA844" s="200"/>
      <c r="AB844" s="329"/>
    </row>
    <row r="845" spans="1:42" x14ac:dyDescent="0.25">
      <c r="A845" s="202"/>
      <c r="C845" s="154"/>
      <c r="H845" s="252"/>
      <c r="I845" s="252"/>
      <c r="J845" s="329"/>
      <c r="K845" s="329"/>
      <c r="L845" s="200"/>
      <c r="M845" s="200"/>
      <c r="N845" s="210"/>
      <c r="O845" s="210"/>
      <c r="P845" s="200"/>
      <c r="Q845" s="200"/>
      <c r="R845" s="200"/>
      <c r="T845" s="154"/>
      <c r="V845" s="200"/>
      <c r="W845" s="200"/>
      <c r="X845" s="200"/>
      <c r="Y845" s="200"/>
      <c r="Z845" s="200"/>
      <c r="AA845" s="200"/>
      <c r="AB845" s="329"/>
      <c r="AC845" s="200"/>
      <c r="AD845" s="200"/>
      <c r="AE845" s="210"/>
      <c r="AF845" s="210"/>
      <c r="AG845" s="209"/>
      <c r="AH845" s="200"/>
      <c r="AI845" s="201"/>
      <c r="AJ845" s="201"/>
      <c r="AK845" s="209"/>
      <c r="AL845" s="200"/>
      <c r="AM845" s="200"/>
      <c r="AN845" s="200"/>
      <c r="AO845" s="210"/>
      <c r="AP845" s="210"/>
    </row>
    <row r="846" spans="1:42" x14ac:dyDescent="0.25">
      <c r="A846" s="202"/>
      <c r="C846" s="154"/>
      <c r="F846" s="252"/>
      <c r="J846" s="334"/>
      <c r="K846" s="334"/>
      <c r="T846" s="154"/>
      <c r="V846" s="200"/>
      <c r="W846" s="200"/>
      <c r="X846" s="200"/>
      <c r="Y846" s="200"/>
      <c r="Z846" s="200"/>
      <c r="AA846" s="200"/>
      <c r="AB846" s="329"/>
    </row>
    <row r="847" spans="1:42" x14ac:dyDescent="0.25">
      <c r="A847" s="202"/>
      <c r="C847" s="154"/>
      <c r="H847" s="252"/>
      <c r="I847" s="252"/>
      <c r="J847" s="329"/>
      <c r="K847" s="329"/>
      <c r="L847" s="200"/>
      <c r="M847" s="200"/>
      <c r="N847" s="210"/>
      <c r="O847" s="210"/>
      <c r="P847" s="200"/>
      <c r="Q847" s="200"/>
      <c r="R847" s="200"/>
      <c r="T847" s="154"/>
      <c r="V847" s="200"/>
      <c r="W847" s="200"/>
      <c r="X847" s="200"/>
      <c r="Y847" s="200"/>
      <c r="Z847" s="200"/>
      <c r="AA847" s="200"/>
      <c r="AB847" s="329"/>
      <c r="AC847" s="200"/>
      <c r="AD847" s="200"/>
      <c r="AE847" s="210"/>
      <c r="AF847" s="210"/>
      <c r="AG847" s="209"/>
      <c r="AH847" s="200"/>
      <c r="AI847" s="201"/>
      <c r="AJ847" s="201"/>
      <c r="AK847" s="209"/>
      <c r="AL847" s="200"/>
      <c r="AM847" s="200"/>
      <c r="AN847" s="200"/>
      <c r="AO847" s="210"/>
      <c r="AP847" s="210"/>
    </row>
    <row r="848" spans="1:42" x14ac:dyDescent="0.25">
      <c r="F848" s="252"/>
      <c r="H848" s="211"/>
      <c r="I848" s="211"/>
      <c r="J848" s="329"/>
      <c r="K848" s="329"/>
      <c r="L848" s="211"/>
      <c r="M848" s="211"/>
      <c r="N848" s="211"/>
      <c r="O848" s="211"/>
      <c r="P848" s="211"/>
      <c r="Q848" s="211"/>
      <c r="R848" s="211"/>
      <c r="V848" s="211"/>
      <c r="AA848" s="211"/>
      <c r="AB848" s="329"/>
      <c r="AC848" s="211"/>
      <c r="AD848" s="211"/>
      <c r="AE848" s="211"/>
      <c r="AF848" s="211"/>
      <c r="AG848" s="212"/>
      <c r="AH848" s="211"/>
      <c r="AK848" s="212"/>
      <c r="AL848" s="211"/>
      <c r="AM848" s="211"/>
      <c r="AN848" s="211"/>
      <c r="AO848" s="210"/>
      <c r="AP848" s="210"/>
    </row>
    <row r="849" spans="1:42" x14ac:dyDescent="0.25">
      <c r="A849" s="202"/>
      <c r="C849" s="154"/>
      <c r="F849" s="211"/>
      <c r="H849" s="200"/>
      <c r="I849" s="200"/>
      <c r="J849" s="334"/>
      <c r="K849" s="334"/>
      <c r="L849" s="200"/>
      <c r="M849" s="200"/>
      <c r="N849" s="210"/>
      <c r="O849" s="210"/>
      <c r="P849" s="252"/>
      <c r="Q849" s="252"/>
      <c r="R849" s="200"/>
      <c r="T849" s="154"/>
      <c r="V849" s="200"/>
      <c r="W849" s="200"/>
      <c r="X849" s="200"/>
      <c r="Y849" s="200"/>
      <c r="Z849" s="200"/>
      <c r="AA849" s="200"/>
      <c r="AB849" s="329"/>
      <c r="AC849" s="200"/>
      <c r="AD849" s="200"/>
      <c r="AE849" s="210"/>
      <c r="AF849" s="210"/>
      <c r="AG849" s="209"/>
      <c r="AH849" s="200"/>
      <c r="AI849" s="201"/>
      <c r="AJ849" s="201"/>
      <c r="AK849" s="325"/>
      <c r="AL849" s="252"/>
      <c r="AM849" s="200"/>
      <c r="AN849" s="200"/>
      <c r="AO849" s="210"/>
      <c r="AP849" s="210"/>
    </row>
    <row r="850" spans="1:42" x14ac:dyDescent="0.25">
      <c r="F850" s="200"/>
      <c r="H850" s="211"/>
      <c r="I850" s="211"/>
      <c r="J850" s="329"/>
      <c r="K850" s="329"/>
      <c r="L850" s="211"/>
      <c r="M850" s="211"/>
      <c r="N850" s="211"/>
      <c r="O850" s="211"/>
      <c r="P850" s="211"/>
      <c r="Q850" s="211"/>
      <c r="R850" s="211"/>
      <c r="V850" s="211"/>
      <c r="AA850" s="211"/>
      <c r="AB850" s="329"/>
      <c r="AC850" s="211"/>
      <c r="AD850" s="211"/>
      <c r="AE850" s="211"/>
      <c r="AF850" s="211"/>
      <c r="AG850" s="212"/>
      <c r="AH850" s="211"/>
      <c r="AK850" s="212"/>
      <c r="AL850" s="211"/>
      <c r="AM850" s="211"/>
      <c r="AN850" s="211"/>
    </row>
    <row r="851" spans="1:42" x14ac:dyDescent="0.25">
      <c r="A851" s="202"/>
      <c r="C851" s="154"/>
      <c r="D851" s="154"/>
      <c r="E851" s="154"/>
      <c r="F851" s="211"/>
      <c r="J851" s="334"/>
      <c r="K851" s="334"/>
      <c r="T851" s="154"/>
      <c r="U851" s="154"/>
      <c r="V851" s="200"/>
      <c r="W851" s="200"/>
      <c r="X851" s="200"/>
      <c r="Y851" s="200"/>
      <c r="Z851" s="200"/>
      <c r="AA851" s="200"/>
      <c r="AB851" s="329"/>
    </row>
    <row r="852" spans="1:42" x14ac:dyDescent="0.25">
      <c r="A852" s="202"/>
      <c r="C852" s="154"/>
      <c r="J852" s="334"/>
      <c r="K852" s="334"/>
      <c r="T852" s="154"/>
      <c r="V852" s="200"/>
      <c r="W852" s="200"/>
      <c r="X852" s="200"/>
      <c r="Y852" s="200"/>
      <c r="Z852" s="200"/>
      <c r="AA852" s="200"/>
      <c r="AB852" s="329"/>
    </row>
    <row r="853" spans="1:42" x14ac:dyDescent="0.25">
      <c r="A853" s="202"/>
      <c r="C853" s="154"/>
      <c r="J853" s="334"/>
      <c r="K853" s="334"/>
      <c r="T853" s="154"/>
      <c r="V853" s="200"/>
      <c r="W853" s="200"/>
      <c r="X853" s="200"/>
      <c r="Y853" s="200"/>
      <c r="Z853" s="200"/>
      <c r="AA853" s="200"/>
      <c r="AB853" s="329"/>
    </row>
    <row r="854" spans="1:42" x14ac:dyDescent="0.25">
      <c r="A854" s="202"/>
      <c r="C854" s="154"/>
      <c r="H854" s="252"/>
      <c r="I854" s="252"/>
      <c r="J854" s="329"/>
      <c r="K854" s="329"/>
      <c r="L854" s="200"/>
      <c r="M854" s="200"/>
      <c r="N854" s="210"/>
      <c r="O854" s="210"/>
      <c r="P854" s="200"/>
      <c r="Q854" s="200"/>
      <c r="R854" s="200"/>
      <c r="T854" s="154"/>
      <c r="V854" s="200"/>
      <c r="W854" s="200"/>
      <c r="X854" s="200"/>
      <c r="Y854" s="200"/>
      <c r="Z854" s="200"/>
      <c r="AA854" s="200"/>
      <c r="AB854" s="329"/>
      <c r="AC854" s="200"/>
      <c r="AD854" s="200"/>
      <c r="AE854" s="210"/>
      <c r="AF854" s="210"/>
      <c r="AG854" s="209"/>
      <c r="AH854" s="200"/>
      <c r="AI854" s="201"/>
      <c r="AJ854" s="201"/>
      <c r="AK854" s="209"/>
      <c r="AL854" s="200"/>
      <c r="AM854" s="200"/>
      <c r="AN854" s="200"/>
      <c r="AO854" s="210"/>
      <c r="AP854" s="210"/>
    </row>
    <row r="855" spans="1:42" x14ac:dyDescent="0.25">
      <c r="A855" s="202"/>
      <c r="C855" s="154"/>
      <c r="F855" s="252"/>
      <c r="J855" s="334"/>
      <c r="K855" s="334"/>
      <c r="T855" s="154"/>
      <c r="V855" s="200"/>
      <c r="W855" s="200"/>
      <c r="X855" s="200"/>
      <c r="Y855" s="200"/>
      <c r="Z855" s="200"/>
      <c r="AA855" s="200"/>
      <c r="AB855" s="329"/>
    </row>
    <row r="856" spans="1:42" x14ac:dyDescent="0.25">
      <c r="A856" s="202"/>
      <c r="C856" s="154"/>
      <c r="H856" s="252"/>
      <c r="I856" s="252"/>
      <c r="J856" s="329"/>
      <c r="K856" s="329"/>
      <c r="L856" s="200"/>
      <c r="M856" s="200"/>
      <c r="N856" s="210"/>
      <c r="O856" s="210"/>
      <c r="P856" s="200"/>
      <c r="Q856" s="200"/>
      <c r="R856" s="200"/>
      <c r="T856" s="154"/>
      <c r="V856" s="200"/>
      <c r="W856" s="200"/>
      <c r="X856" s="200"/>
      <c r="Y856" s="200"/>
      <c r="Z856" s="200"/>
      <c r="AA856" s="200"/>
      <c r="AB856" s="329"/>
      <c r="AC856" s="200"/>
      <c r="AD856" s="200"/>
      <c r="AE856" s="210"/>
      <c r="AF856" s="210"/>
      <c r="AG856" s="209"/>
      <c r="AH856" s="200"/>
      <c r="AI856" s="201"/>
      <c r="AJ856" s="201"/>
      <c r="AK856" s="209"/>
      <c r="AL856" s="200"/>
      <c r="AM856" s="200"/>
      <c r="AN856" s="200"/>
      <c r="AO856" s="210"/>
      <c r="AP856" s="210"/>
    </row>
    <row r="857" spans="1:42" x14ac:dyDescent="0.25">
      <c r="F857" s="252"/>
      <c r="H857" s="211"/>
      <c r="I857" s="211"/>
      <c r="J857" s="329"/>
      <c r="K857" s="329"/>
      <c r="L857" s="211"/>
      <c r="M857" s="211"/>
      <c r="N857" s="211"/>
      <c r="O857" s="211"/>
      <c r="P857" s="211"/>
      <c r="Q857" s="211"/>
      <c r="R857" s="211"/>
      <c r="V857" s="211"/>
      <c r="AA857" s="211"/>
      <c r="AB857" s="305"/>
      <c r="AC857" s="211"/>
      <c r="AD857" s="211"/>
      <c r="AE857" s="211"/>
      <c r="AF857" s="211"/>
      <c r="AG857" s="212"/>
      <c r="AH857" s="211"/>
      <c r="AK857" s="212"/>
      <c r="AL857" s="211"/>
      <c r="AM857" s="211"/>
      <c r="AN857" s="211"/>
    </row>
    <row r="858" spans="1:42" x14ac:dyDescent="0.25">
      <c r="A858" s="202"/>
      <c r="C858" s="154"/>
      <c r="F858" s="211"/>
      <c r="H858" s="200"/>
      <c r="I858" s="200"/>
      <c r="L858" s="200"/>
      <c r="M858" s="200"/>
      <c r="N858" s="210"/>
      <c r="O858" s="210"/>
      <c r="P858" s="252"/>
      <c r="Q858" s="252"/>
      <c r="R858" s="200"/>
      <c r="T858" s="154"/>
      <c r="V858" s="200"/>
      <c r="W858" s="200"/>
      <c r="X858" s="200"/>
      <c r="Y858" s="200"/>
      <c r="Z858" s="200"/>
      <c r="AA858" s="200"/>
      <c r="AB858" s="328"/>
      <c r="AC858" s="200"/>
      <c r="AD858" s="200"/>
      <c r="AE858" s="210"/>
      <c r="AF858" s="210"/>
      <c r="AG858" s="209"/>
      <c r="AH858" s="200"/>
      <c r="AI858" s="201"/>
      <c r="AJ858" s="201"/>
      <c r="AK858" s="325"/>
      <c r="AL858" s="252"/>
      <c r="AM858" s="200"/>
      <c r="AN858" s="200"/>
      <c r="AO858" s="210"/>
      <c r="AP858" s="210"/>
    </row>
    <row r="859" spans="1:42" x14ac:dyDescent="0.25">
      <c r="F859" s="200"/>
      <c r="H859" s="211"/>
      <c r="I859" s="211"/>
      <c r="J859" s="305"/>
      <c r="K859" s="305"/>
      <c r="L859" s="211"/>
      <c r="M859" s="211"/>
      <c r="N859" s="211"/>
      <c r="O859" s="211"/>
      <c r="P859" s="211"/>
      <c r="Q859" s="211"/>
      <c r="R859" s="211"/>
      <c r="V859" s="211"/>
      <c r="AA859" s="211"/>
      <c r="AB859" s="305"/>
      <c r="AC859" s="211"/>
      <c r="AD859" s="211"/>
      <c r="AE859" s="211"/>
      <c r="AF859" s="211"/>
      <c r="AG859" s="212"/>
      <c r="AH859" s="211"/>
      <c r="AK859" s="212"/>
      <c r="AL859" s="211"/>
      <c r="AM859" s="211"/>
      <c r="AN859" s="211"/>
    </row>
    <row r="860" spans="1:42" x14ac:dyDescent="0.25">
      <c r="A860" s="202"/>
      <c r="C860" s="154"/>
      <c r="D860" s="154"/>
      <c r="E860" s="154"/>
      <c r="F860" s="211"/>
      <c r="T860" s="154"/>
      <c r="U860" s="154"/>
      <c r="V860" s="200"/>
      <c r="W860" s="200"/>
      <c r="X860" s="200"/>
      <c r="Y860" s="200"/>
      <c r="Z860" s="200"/>
      <c r="AA860" s="200"/>
      <c r="AB860" s="328"/>
    </row>
    <row r="861" spans="1:42" x14ac:dyDescent="0.25">
      <c r="A861" s="202"/>
      <c r="C861" s="154"/>
      <c r="T861" s="154"/>
      <c r="V861" s="200"/>
      <c r="W861" s="200"/>
      <c r="X861" s="200"/>
      <c r="Y861" s="200"/>
      <c r="Z861" s="200"/>
      <c r="AA861" s="200"/>
      <c r="AB861" s="328"/>
    </row>
    <row r="862" spans="1:42" x14ac:dyDescent="0.25">
      <c r="A862" s="202"/>
      <c r="C862" s="154"/>
      <c r="H862" s="252"/>
      <c r="I862" s="252"/>
      <c r="J862" s="328"/>
      <c r="K862" s="328"/>
      <c r="L862" s="200"/>
      <c r="M862" s="200"/>
      <c r="N862" s="210"/>
      <c r="O862" s="210"/>
      <c r="P862" s="200"/>
      <c r="Q862" s="200"/>
      <c r="R862" s="200"/>
      <c r="T862" s="154"/>
      <c r="V862" s="200"/>
      <c r="W862" s="200"/>
      <c r="X862" s="200"/>
      <c r="Y862" s="200"/>
      <c r="Z862" s="200"/>
      <c r="AA862" s="200"/>
      <c r="AB862" s="328"/>
      <c r="AC862" s="200"/>
      <c r="AD862" s="200"/>
      <c r="AE862" s="210"/>
      <c r="AF862" s="210"/>
      <c r="AG862" s="209"/>
      <c r="AH862" s="200"/>
      <c r="AI862" s="201"/>
      <c r="AJ862" s="201"/>
      <c r="AK862" s="209"/>
      <c r="AL862" s="200"/>
      <c r="AM862" s="200"/>
      <c r="AN862" s="200"/>
      <c r="AO862" s="210"/>
      <c r="AP862" s="210"/>
    </row>
    <row r="863" spans="1:42" x14ac:dyDescent="0.25">
      <c r="A863" s="202"/>
      <c r="C863" s="154"/>
      <c r="F863" s="252"/>
      <c r="T863" s="154"/>
      <c r="V863" s="200"/>
      <c r="W863" s="200"/>
      <c r="X863" s="200"/>
      <c r="Y863" s="200"/>
      <c r="Z863" s="200"/>
      <c r="AA863" s="200"/>
      <c r="AB863" s="328"/>
    </row>
    <row r="864" spans="1:42" x14ac:dyDescent="0.25">
      <c r="A864" s="202"/>
      <c r="C864" s="154"/>
      <c r="H864" s="252"/>
      <c r="I864" s="252"/>
      <c r="J864" s="328"/>
      <c r="K864" s="328"/>
      <c r="L864" s="200"/>
      <c r="M864" s="200"/>
      <c r="N864" s="210"/>
      <c r="O864" s="210"/>
      <c r="P864" s="200"/>
      <c r="Q864" s="200"/>
      <c r="R864" s="200"/>
      <c r="T864" s="154"/>
      <c r="V864" s="200"/>
      <c r="W864" s="200"/>
      <c r="X864" s="200"/>
      <c r="Y864" s="200"/>
      <c r="Z864" s="200"/>
      <c r="AA864" s="200"/>
      <c r="AB864" s="328"/>
      <c r="AC864" s="200"/>
      <c r="AD864" s="200"/>
      <c r="AE864" s="210"/>
      <c r="AF864" s="210"/>
      <c r="AG864" s="209"/>
      <c r="AH864" s="200"/>
      <c r="AI864" s="201"/>
      <c r="AJ864" s="201"/>
      <c r="AK864" s="209"/>
      <c r="AL864" s="200"/>
      <c r="AM864" s="200"/>
      <c r="AN864" s="200"/>
      <c r="AO864" s="210"/>
      <c r="AP864" s="210"/>
    </row>
    <row r="865" spans="1:42" x14ac:dyDescent="0.25">
      <c r="A865" s="202"/>
      <c r="C865" s="154"/>
      <c r="F865" s="252"/>
      <c r="T865" s="154"/>
      <c r="V865" s="200"/>
      <c r="W865" s="200"/>
      <c r="X865" s="200"/>
      <c r="Y865" s="200"/>
      <c r="Z865" s="200"/>
      <c r="AA865" s="200"/>
      <c r="AB865" s="328"/>
    </row>
    <row r="866" spans="1:42" x14ac:dyDescent="0.25">
      <c r="A866" s="202"/>
      <c r="C866" s="154"/>
      <c r="H866" s="252"/>
      <c r="I866" s="252"/>
      <c r="J866" s="328"/>
      <c r="K866" s="328"/>
      <c r="L866" s="200"/>
      <c r="M866" s="200"/>
      <c r="N866" s="210"/>
      <c r="O866" s="210"/>
      <c r="P866" s="200"/>
      <c r="Q866" s="200"/>
      <c r="R866" s="200"/>
      <c r="T866" s="154"/>
      <c r="V866" s="200"/>
      <c r="W866" s="200"/>
      <c r="X866" s="200"/>
      <c r="Y866" s="200"/>
      <c r="Z866" s="200"/>
      <c r="AA866" s="200"/>
      <c r="AB866" s="328"/>
      <c r="AC866" s="200"/>
      <c r="AD866" s="200"/>
      <c r="AE866" s="210"/>
      <c r="AF866" s="210"/>
      <c r="AG866" s="209"/>
      <c r="AH866" s="200"/>
      <c r="AI866" s="201"/>
      <c r="AJ866" s="201"/>
      <c r="AK866" s="209"/>
      <c r="AL866" s="200"/>
      <c r="AM866" s="200"/>
      <c r="AN866" s="200"/>
      <c r="AO866" s="210"/>
      <c r="AP866" s="210"/>
    </row>
    <row r="867" spans="1:42" x14ac:dyDescent="0.25">
      <c r="A867" s="202"/>
      <c r="C867" s="154"/>
      <c r="F867" s="252"/>
      <c r="T867" s="154"/>
      <c r="V867" s="200"/>
      <c r="W867" s="200"/>
      <c r="X867" s="200"/>
      <c r="Y867" s="200"/>
      <c r="Z867" s="200"/>
      <c r="AA867" s="200"/>
      <c r="AB867" s="328"/>
    </row>
    <row r="868" spans="1:42" x14ac:dyDescent="0.25">
      <c r="A868" s="202"/>
      <c r="C868" s="154"/>
      <c r="H868" s="252"/>
      <c r="I868" s="252"/>
      <c r="J868" s="328"/>
      <c r="K868" s="328"/>
      <c r="L868" s="200"/>
      <c r="M868" s="200"/>
      <c r="N868" s="210"/>
      <c r="O868" s="210"/>
      <c r="P868" s="200"/>
      <c r="Q868" s="200"/>
      <c r="R868" s="200"/>
      <c r="T868" s="154"/>
      <c r="V868" s="200"/>
      <c r="W868" s="200"/>
      <c r="X868" s="200"/>
      <c r="Y868" s="200"/>
      <c r="Z868" s="200"/>
      <c r="AA868" s="200"/>
      <c r="AB868" s="328"/>
      <c r="AC868" s="200"/>
      <c r="AD868" s="200"/>
      <c r="AE868" s="210"/>
      <c r="AF868" s="210"/>
      <c r="AG868" s="209"/>
      <c r="AH868" s="200"/>
      <c r="AI868" s="201"/>
      <c r="AJ868" s="201"/>
      <c r="AK868" s="209"/>
      <c r="AL868" s="200"/>
      <c r="AM868" s="200"/>
      <c r="AN868" s="200"/>
      <c r="AO868" s="210"/>
      <c r="AP868" s="210"/>
    </row>
    <row r="869" spans="1:42" x14ac:dyDescent="0.25">
      <c r="F869" s="252"/>
      <c r="H869" s="211"/>
      <c r="I869" s="211"/>
      <c r="J869" s="305"/>
      <c r="K869" s="305"/>
      <c r="L869" s="211"/>
      <c r="M869" s="211"/>
      <c r="N869" s="211"/>
      <c r="O869" s="211"/>
      <c r="P869" s="211"/>
      <c r="Q869" s="211"/>
      <c r="R869" s="211"/>
      <c r="V869" s="211"/>
      <c r="AA869" s="211"/>
      <c r="AB869" s="305"/>
      <c r="AC869" s="211"/>
      <c r="AD869" s="211"/>
      <c r="AE869" s="211"/>
      <c r="AF869" s="211"/>
      <c r="AG869" s="212"/>
      <c r="AH869" s="211"/>
      <c r="AK869" s="212"/>
      <c r="AL869" s="211"/>
      <c r="AM869" s="211"/>
      <c r="AN869" s="211"/>
    </row>
    <row r="870" spans="1:42" x14ac:dyDescent="0.25">
      <c r="A870" s="202"/>
      <c r="C870" s="154"/>
      <c r="F870" s="211"/>
      <c r="H870" s="200"/>
      <c r="I870" s="200"/>
      <c r="L870" s="200"/>
      <c r="M870" s="200"/>
      <c r="N870" s="210"/>
      <c r="O870" s="210"/>
      <c r="P870" s="252"/>
      <c r="Q870" s="252"/>
      <c r="R870" s="200"/>
      <c r="T870" s="154"/>
      <c r="V870" s="200"/>
      <c r="W870" s="200"/>
      <c r="X870" s="200"/>
      <c r="Y870" s="200"/>
      <c r="Z870" s="200"/>
      <c r="AA870" s="200"/>
      <c r="AB870" s="328"/>
      <c r="AC870" s="200"/>
      <c r="AD870" s="200"/>
      <c r="AE870" s="210"/>
      <c r="AF870" s="210"/>
      <c r="AG870" s="209"/>
      <c r="AH870" s="200"/>
      <c r="AI870" s="201"/>
      <c r="AJ870" s="201"/>
      <c r="AK870" s="325"/>
      <c r="AL870" s="252"/>
      <c r="AM870" s="200"/>
      <c r="AN870" s="200"/>
      <c r="AO870" s="210"/>
      <c r="AP870" s="210"/>
    </row>
    <row r="871" spans="1:42" x14ac:dyDescent="0.25">
      <c r="F871" s="200"/>
      <c r="H871" s="211"/>
      <c r="I871" s="211"/>
      <c r="J871" s="305"/>
      <c r="K871" s="305"/>
      <c r="L871" s="211"/>
      <c r="M871" s="211"/>
      <c r="N871" s="211"/>
      <c r="O871" s="211"/>
      <c r="P871" s="211"/>
      <c r="Q871" s="211"/>
      <c r="R871" s="211"/>
      <c r="V871" s="211"/>
      <c r="AA871" s="211"/>
      <c r="AB871" s="305"/>
      <c r="AC871" s="211"/>
      <c r="AD871" s="211"/>
      <c r="AE871" s="211"/>
      <c r="AF871" s="211"/>
      <c r="AG871" s="212"/>
      <c r="AH871" s="211"/>
      <c r="AK871" s="212"/>
      <c r="AL871" s="211"/>
      <c r="AM871" s="211"/>
      <c r="AN871" s="211"/>
    </row>
    <row r="872" spans="1:42" x14ac:dyDescent="0.25">
      <c r="A872" s="202"/>
      <c r="C872" s="154"/>
      <c r="F872" s="211"/>
      <c r="H872" s="200"/>
      <c r="I872" s="200"/>
      <c r="L872" s="200"/>
      <c r="M872" s="200"/>
      <c r="N872" s="210"/>
      <c r="O872" s="210"/>
      <c r="P872" s="200"/>
      <c r="Q872" s="200"/>
      <c r="R872" s="200"/>
      <c r="T872" s="154"/>
      <c r="V872" s="200"/>
      <c r="W872" s="200"/>
      <c r="X872" s="200"/>
      <c r="Y872" s="200"/>
      <c r="Z872" s="200"/>
      <c r="AA872" s="200"/>
      <c r="AC872" s="200"/>
      <c r="AD872" s="200"/>
      <c r="AE872" s="210"/>
      <c r="AF872" s="210"/>
      <c r="AG872" s="209"/>
      <c r="AH872" s="200"/>
      <c r="AI872" s="201"/>
      <c r="AJ872" s="201"/>
      <c r="AK872" s="209"/>
      <c r="AL872" s="200"/>
      <c r="AM872" s="200"/>
      <c r="AN872" s="200"/>
      <c r="AO872" s="201"/>
      <c r="AP872" s="201"/>
    </row>
    <row r="873" spans="1:42" x14ac:dyDescent="0.25">
      <c r="F873" s="200"/>
      <c r="H873" s="211"/>
      <c r="I873" s="211"/>
      <c r="J873" s="305"/>
      <c r="K873" s="305"/>
      <c r="L873" s="211"/>
      <c r="M873" s="211"/>
      <c r="N873" s="211"/>
      <c r="O873" s="211"/>
      <c r="P873" s="211"/>
      <c r="Q873" s="211"/>
      <c r="R873" s="211"/>
      <c r="V873" s="211"/>
      <c r="AA873" s="211"/>
      <c r="AB873" s="305"/>
      <c r="AC873" s="211"/>
      <c r="AD873" s="211"/>
      <c r="AE873" s="211"/>
      <c r="AF873" s="211"/>
      <c r="AG873" s="212"/>
      <c r="AH873" s="211"/>
      <c r="AK873" s="212"/>
      <c r="AL873" s="211"/>
      <c r="AM873" s="211"/>
      <c r="AN873" s="211"/>
    </row>
    <row r="875" spans="1:42" x14ac:dyDescent="0.25">
      <c r="C875" s="202"/>
      <c r="F875" s="211"/>
      <c r="T875" s="202"/>
    </row>
    <row r="876" spans="1:42" x14ac:dyDescent="0.25">
      <c r="A876" s="154"/>
    </row>
    <row r="877" spans="1:42" x14ac:dyDescent="0.25">
      <c r="J877" s="202"/>
      <c r="K877" s="202"/>
      <c r="AB877" s="202"/>
    </row>
    <row r="878" spans="1:42" x14ac:dyDescent="0.25">
      <c r="H878" s="154"/>
      <c r="I878" s="154"/>
      <c r="AA878" s="154"/>
    </row>
    <row r="879" spans="1:42" x14ac:dyDescent="0.25">
      <c r="J879" s="202"/>
      <c r="K879" s="202"/>
      <c r="AB879" s="202"/>
    </row>
    <row r="880" spans="1:42" x14ac:dyDescent="0.25">
      <c r="L880" s="154"/>
      <c r="M880" s="154"/>
      <c r="AC880" s="154"/>
      <c r="AD880" s="154"/>
    </row>
    <row r="881" spans="1:42" x14ac:dyDescent="0.25">
      <c r="A881" s="202"/>
      <c r="R881" s="154"/>
      <c r="AM881" s="154"/>
      <c r="AN881" s="154"/>
    </row>
    <row r="882" spans="1:42" x14ac:dyDescent="0.25">
      <c r="A882" s="202"/>
      <c r="R882" s="154"/>
      <c r="AM882" s="154"/>
      <c r="AN882" s="154"/>
    </row>
    <row r="883" spans="1:42" x14ac:dyDescent="0.25">
      <c r="A883" s="154"/>
      <c r="R883" s="154"/>
      <c r="AM883" s="154"/>
      <c r="AN883" s="154"/>
    </row>
    <row r="884" spans="1:42" x14ac:dyDescent="0.25">
      <c r="L884" s="154"/>
      <c r="M884" s="154"/>
      <c r="R884" s="202"/>
      <c r="AC884" s="154"/>
      <c r="AD884" s="154"/>
      <c r="AM884" s="202"/>
      <c r="AN884" s="202"/>
    </row>
    <row r="885" spans="1:42" x14ac:dyDescent="0.25">
      <c r="A885" s="102"/>
      <c r="B885" s="102"/>
      <c r="C885" s="102"/>
      <c r="D885" s="102"/>
      <c r="E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208"/>
      <c r="AH885" s="102"/>
      <c r="AI885" s="102"/>
      <c r="AJ885" s="102"/>
      <c r="AK885" s="208"/>
      <c r="AL885" s="102"/>
      <c r="AM885" s="102"/>
      <c r="AN885" s="102"/>
      <c r="AO885" s="102"/>
      <c r="AP885" s="102"/>
    </row>
    <row r="886" spans="1:42" x14ac:dyDescent="0.25">
      <c r="F886" s="102"/>
      <c r="L886" s="103"/>
      <c r="M886" s="103"/>
      <c r="N886" s="103"/>
      <c r="O886" s="103"/>
      <c r="R886" s="103"/>
      <c r="AC886" s="103"/>
      <c r="AD886" s="103"/>
      <c r="AE886" s="103"/>
      <c r="AF886" s="103"/>
      <c r="AG886" s="185"/>
      <c r="AH886" s="103"/>
      <c r="AI886" s="103"/>
      <c r="AJ886" s="103"/>
      <c r="AM886" s="103"/>
      <c r="AN886" s="103"/>
      <c r="AO886" s="103"/>
      <c r="AP886" s="103"/>
    </row>
    <row r="887" spans="1:42" x14ac:dyDescent="0.25">
      <c r="L887" s="103"/>
      <c r="M887" s="103"/>
      <c r="N887" s="103"/>
      <c r="O887" s="103"/>
      <c r="R887" s="103"/>
      <c r="AB887" s="103"/>
      <c r="AC887" s="103"/>
      <c r="AD887" s="103"/>
      <c r="AE887" s="103"/>
      <c r="AF887" s="103"/>
      <c r="AG887" s="185"/>
      <c r="AH887" s="103"/>
      <c r="AI887" s="103"/>
      <c r="AJ887" s="103"/>
      <c r="AM887" s="103"/>
      <c r="AN887" s="103"/>
      <c r="AO887" s="103"/>
      <c r="AP887" s="103"/>
    </row>
    <row r="888" spans="1:42" x14ac:dyDescent="0.25">
      <c r="A888" s="103"/>
      <c r="C888" s="103"/>
      <c r="D888" s="103"/>
      <c r="E888" s="103"/>
      <c r="J888" s="103"/>
      <c r="K888" s="103"/>
      <c r="L888" s="103"/>
      <c r="M888" s="103"/>
      <c r="N888" s="103"/>
      <c r="O888" s="103"/>
      <c r="P888" s="103"/>
      <c r="Q888" s="103"/>
      <c r="R888" s="103"/>
      <c r="T888" s="103"/>
      <c r="U888" s="103"/>
      <c r="V888" s="103"/>
      <c r="AB888" s="103"/>
      <c r="AC888" s="103"/>
      <c r="AD888" s="103"/>
      <c r="AE888" s="103"/>
      <c r="AF888" s="103"/>
      <c r="AG888" s="185"/>
      <c r="AH888" s="103"/>
      <c r="AI888" s="103"/>
      <c r="AJ888" s="103"/>
      <c r="AK888" s="185"/>
      <c r="AL888" s="103"/>
      <c r="AM888" s="103"/>
      <c r="AN888" s="103"/>
      <c r="AO888" s="103"/>
      <c r="AP888" s="103"/>
    </row>
    <row r="889" spans="1:42" x14ac:dyDescent="0.25">
      <c r="A889" s="103"/>
      <c r="C889" s="103"/>
      <c r="D889" s="103"/>
      <c r="E889" s="103"/>
      <c r="F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T889" s="103"/>
      <c r="U889" s="103"/>
      <c r="V889" s="103"/>
      <c r="AA889" s="103"/>
      <c r="AB889" s="103"/>
      <c r="AC889" s="103"/>
      <c r="AD889" s="103"/>
      <c r="AE889" s="103"/>
      <c r="AF889" s="103"/>
      <c r="AG889" s="185"/>
      <c r="AH889" s="103"/>
      <c r="AI889" s="103"/>
      <c r="AJ889" s="103"/>
      <c r="AK889" s="185"/>
      <c r="AL889" s="103"/>
      <c r="AM889" s="103"/>
      <c r="AN889" s="103"/>
      <c r="AO889" s="103"/>
      <c r="AP889" s="103"/>
    </row>
    <row r="890" spans="1:42" x14ac:dyDescent="0.25">
      <c r="C890" s="103"/>
      <c r="D890" s="103"/>
      <c r="E890" s="103"/>
      <c r="F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T890" s="103"/>
      <c r="U890" s="103"/>
      <c r="V890" s="103"/>
      <c r="AA890" s="103"/>
      <c r="AB890" s="103"/>
      <c r="AC890" s="103"/>
      <c r="AD890" s="103"/>
      <c r="AE890" s="103"/>
      <c r="AF890" s="103"/>
      <c r="AG890" s="185"/>
      <c r="AH890" s="103"/>
      <c r="AI890" s="103"/>
      <c r="AJ890" s="103"/>
      <c r="AK890" s="185"/>
      <c r="AL890" s="103"/>
      <c r="AM890" s="103"/>
      <c r="AN890" s="103"/>
      <c r="AO890" s="103"/>
      <c r="AP890" s="103"/>
    </row>
    <row r="891" spans="1:42" x14ac:dyDescent="0.25">
      <c r="A891" s="102"/>
      <c r="B891" s="102"/>
      <c r="C891" s="102"/>
      <c r="D891" s="102"/>
      <c r="E891" s="102"/>
      <c r="F891" s="103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208"/>
      <c r="AH891" s="102"/>
      <c r="AI891" s="102"/>
      <c r="AJ891" s="102"/>
      <c r="AK891" s="208"/>
      <c r="AL891" s="102"/>
      <c r="AM891" s="102"/>
      <c r="AN891" s="102"/>
      <c r="AO891" s="102"/>
      <c r="AP891" s="102"/>
    </row>
    <row r="892" spans="1:42" x14ac:dyDescent="0.25">
      <c r="F892" s="102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AA892" s="103"/>
      <c r="AB892" s="103"/>
      <c r="AC892" s="103"/>
      <c r="AD892" s="103"/>
      <c r="AE892" s="103"/>
      <c r="AF892" s="103"/>
      <c r="AG892" s="185"/>
      <c r="AH892" s="103"/>
      <c r="AI892" s="103"/>
      <c r="AJ892" s="103"/>
      <c r="AK892" s="185"/>
      <c r="AL892" s="103"/>
      <c r="AM892" s="103"/>
      <c r="AN892" s="103"/>
      <c r="AO892" s="103"/>
      <c r="AP892" s="103"/>
    </row>
    <row r="893" spans="1:42" x14ac:dyDescent="0.25">
      <c r="A893" s="202"/>
      <c r="C893" s="154"/>
      <c r="D893" s="154"/>
      <c r="E893" s="154"/>
      <c r="H893" s="200"/>
      <c r="I893" s="200"/>
      <c r="J893" s="213"/>
      <c r="K893" s="213"/>
      <c r="L893" s="200"/>
      <c r="M893" s="200"/>
      <c r="N893" s="213"/>
      <c r="O893" s="213"/>
      <c r="P893" s="200"/>
      <c r="Q893" s="200"/>
      <c r="R893" s="200"/>
      <c r="T893" s="154"/>
      <c r="U893" s="154"/>
      <c r="V893" s="200"/>
      <c r="AA893" s="200"/>
      <c r="AB893" s="213"/>
      <c r="AC893" s="200"/>
      <c r="AD893" s="200"/>
      <c r="AE893" s="213"/>
      <c r="AF893" s="213"/>
      <c r="AG893" s="209"/>
      <c r="AH893" s="200"/>
      <c r="AI893" s="201"/>
      <c r="AJ893" s="201"/>
      <c r="AK893" s="209"/>
      <c r="AL893" s="200"/>
      <c r="AM893" s="200"/>
      <c r="AN893" s="200"/>
      <c r="AO893" s="210"/>
      <c r="AP893" s="210"/>
    </row>
    <row r="894" spans="1:42" x14ac:dyDescent="0.25">
      <c r="F894" s="200"/>
      <c r="H894" s="211"/>
      <c r="I894" s="211"/>
      <c r="J894" s="305"/>
      <c r="K894" s="305"/>
      <c r="L894" s="211"/>
      <c r="M894" s="211"/>
      <c r="N894" s="211"/>
      <c r="O894" s="211"/>
      <c r="P894" s="211"/>
      <c r="Q894" s="211"/>
      <c r="R894" s="211"/>
      <c r="V894" s="211"/>
      <c r="AA894" s="211"/>
      <c r="AB894" s="305"/>
      <c r="AC894" s="211"/>
      <c r="AD894" s="211"/>
      <c r="AE894" s="211"/>
      <c r="AF894" s="211"/>
      <c r="AG894" s="212"/>
      <c r="AH894" s="211"/>
      <c r="AK894" s="212"/>
      <c r="AL894" s="211"/>
      <c r="AM894" s="211"/>
      <c r="AN894" s="211"/>
      <c r="AO894" s="210"/>
      <c r="AP894" s="210"/>
    </row>
    <row r="895" spans="1:42" x14ac:dyDescent="0.25">
      <c r="A895" s="202"/>
      <c r="C895" s="154"/>
      <c r="F895" s="211"/>
      <c r="H895" s="200"/>
      <c r="I895" s="200"/>
      <c r="J895" s="213"/>
      <c r="K895" s="213"/>
      <c r="L895" s="200"/>
      <c r="M895" s="200"/>
      <c r="N895" s="213"/>
      <c r="O895" s="213"/>
      <c r="P895" s="200"/>
      <c r="Q895" s="200"/>
      <c r="R895" s="200"/>
      <c r="T895" s="154"/>
      <c r="V895" s="200"/>
      <c r="AA895" s="200"/>
      <c r="AB895" s="213"/>
      <c r="AC895" s="200"/>
      <c r="AD895" s="200"/>
      <c r="AE895" s="213"/>
      <c r="AF895" s="213"/>
      <c r="AG895" s="209"/>
      <c r="AH895" s="200"/>
      <c r="AI895" s="201"/>
      <c r="AJ895" s="201"/>
      <c r="AK895" s="209"/>
      <c r="AL895" s="200"/>
      <c r="AM895" s="200"/>
      <c r="AN895" s="200"/>
      <c r="AO895" s="210"/>
      <c r="AP895" s="210"/>
    </row>
    <row r="896" spans="1:42" x14ac:dyDescent="0.25">
      <c r="F896" s="200"/>
      <c r="H896" s="200"/>
      <c r="I896" s="200"/>
      <c r="J896" s="213"/>
      <c r="K896" s="213"/>
      <c r="L896" s="200"/>
      <c r="M896" s="200"/>
      <c r="N896" s="213"/>
      <c r="O896" s="213"/>
      <c r="P896" s="200"/>
      <c r="Q896" s="200"/>
      <c r="R896" s="200"/>
      <c r="V896" s="200"/>
      <c r="AA896" s="200"/>
      <c r="AB896" s="213"/>
      <c r="AC896" s="200"/>
      <c r="AD896" s="200"/>
      <c r="AE896" s="213"/>
      <c r="AF896" s="213"/>
      <c r="AI896" s="201"/>
      <c r="AJ896" s="201"/>
      <c r="AK896" s="209"/>
      <c r="AL896" s="200"/>
      <c r="AM896" s="200"/>
      <c r="AN896" s="200"/>
      <c r="AO896" s="210"/>
      <c r="AP896" s="210"/>
    </row>
    <row r="897" spans="1:42" x14ac:dyDescent="0.25">
      <c r="A897" s="202"/>
      <c r="C897" s="154"/>
      <c r="D897" s="154"/>
      <c r="E897" s="154"/>
      <c r="F897" s="200"/>
      <c r="H897" s="200"/>
      <c r="I897" s="200"/>
      <c r="J897" s="213"/>
      <c r="K897" s="213"/>
      <c r="L897" s="200"/>
      <c r="M897" s="200"/>
      <c r="N897" s="213"/>
      <c r="O897" s="213"/>
      <c r="P897" s="200"/>
      <c r="Q897" s="200"/>
      <c r="R897" s="200"/>
      <c r="T897" s="154"/>
      <c r="U897" s="154"/>
      <c r="V897" s="200"/>
      <c r="AA897" s="200"/>
      <c r="AB897" s="213"/>
      <c r="AC897" s="200"/>
      <c r="AD897" s="200"/>
      <c r="AE897" s="213"/>
      <c r="AF897" s="213"/>
      <c r="AG897" s="209"/>
      <c r="AH897" s="200"/>
      <c r="AI897" s="201"/>
      <c r="AJ897" s="201"/>
      <c r="AK897" s="209"/>
      <c r="AL897" s="200"/>
      <c r="AM897" s="200"/>
      <c r="AN897" s="200"/>
      <c r="AO897" s="210"/>
      <c r="AP897" s="210"/>
    </row>
    <row r="898" spans="1:42" x14ac:dyDescent="0.25">
      <c r="A898" s="202"/>
      <c r="C898" s="154"/>
      <c r="D898" s="154"/>
      <c r="E898" s="154"/>
      <c r="F898" s="200"/>
      <c r="H898" s="200"/>
      <c r="I898" s="200"/>
      <c r="J898" s="213"/>
      <c r="K898" s="213"/>
      <c r="L898" s="200"/>
      <c r="M898" s="200"/>
      <c r="N898" s="213"/>
      <c r="O898" s="213"/>
      <c r="P898" s="200"/>
      <c r="Q898" s="200"/>
      <c r="R898" s="200"/>
      <c r="T898" s="154"/>
      <c r="U898" s="154"/>
      <c r="V898" s="200"/>
      <c r="AA898" s="200"/>
      <c r="AB898" s="213"/>
      <c r="AC898" s="200"/>
      <c r="AD898" s="200"/>
      <c r="AE898" s="213"/>
      <c r="AF898" s="213"/>
      <c r="AG898" s="209"/>
      <c r="AH898" s="200"/>
      <c r="AI898" s="201"/>
      <c r="AJ898" s="201"/>
      <c r="AK898" s="209"/>
      <c r="AL898" s="200"/>
      <c r="AM898" s="200"/>
      <c r="AN898" s="200"/>
      <c r="AO898" s="210"/>
      <c r="AP898" s="210"/>
    </row>
    <row r="899" spans="1:42" x14ac:dyDescent="0.25">
      <c r="A899" s="202"/>
      <c r="C899" s="154"/>
      <c r="D899" s="154"/>
      <c r="E899" s="154"/>
      <c r="F899" s="200"/>
      <c r="H899" s="200"/>
      <c r="I899" s="200"/>
      <c r="J899" s="213"/>
      <c r="K899" s="213"/>
      <c r="L899" s="200"/>
      <c r="M899" s="200"/>
      <c r="N899" s="213"/>
      <c r="O899" s="213"/>
      <c r="P899" s="200"/>
      <c r="Q899" s="200"/>
      <c r="R899" s="200"/>
      <c r="T899" s="154"/>
      <c r="U899" s="154"/>
      <c r="V899" s="200"/>
      <c r="AA899" s="200"/>
      <c r="AB899" s="213"/>
      <c r="AC899" s="200"/>
      <c r="AD899" s="200"/>
      <c r="AE899" s="213"/>
      <c r="AF899" s="213"/>
      <c r="AG899" s="209"/>
      <c r="AH899" s="200"/>
      <c r="AI899" s="201"/>
      <c r="AJ899" s="201"/>
      <c r="AK899" s="209"/>
      <c r="AL899" s="200"/>
      <c r="AM899" s="200"/>
      <c r="AN899" s="200"/>
      <c r="AO899" s="210"/>
      <c r="AP899" s="210"/>
    </row>
    <row r="900" spans="1:42" x14ac:dyDescent="0.25">
      <c r="A900" s="202"/>
      <c r="C900" s="154"/>
      <c r="D900" s="154"/>
      <c r="E900" s="154"/>
      <c r="F900" s="200"/>
      <c r="H900" s="200"/>
      <c r="I900" s="200"/>
      <c r="J900" s="213"/>
      <c r="K900" s="213"/>
      <c r="L900" s="200"/>
      <c r="M900" s="200"/>
      <c r="N900" s="213"/>
      <c r="O900" s="213"/>
      <c r="P900" s="200"/>
      <c r="Q900" s="200"/>
      <c r="R900" s="200"/>
      <c r="T900" s="154"/>
      <c r="U900" s="154"/>
      <c r="V900" s="200"/>
      <c r="AA900" s="200"/>
      <c r="AB900" s="213"/>
      <c r="AC900" s="200"/>
      <c r="AD900" s="200"/>
      <c r="AE900" s="213"/>
      <c r="AF900" s="213"/>
      <c r="AG900" s="209"/>
      <c r="AH900" s="200"/>
      <c r="AI900" s="201"/>
      <c r="AJ900" s="201"/>
      <c r="AK900" s="209"/>
      <c r="AL900" s="200"/>
      <c r="AM900" s="200"/>
      <c r="AN900" s="200"/>
      <c r="AO900" s="210"/>
      <c r="AP900" s="210"/>
    </row>
    <row r="901" spans="1:42" x14ac:dyDescent="0.25">
      <c r="A901" s="202"/>
      <c r="C901" s="154"/>
      <c r="D901" s="154"/>
      <c r="E901" s="154"/>
      <c r="F901" s="200"/>
      <c r="H901" s="200"/>
      <c r="I901" s="200"/>
      <c r="J901" s="213"/>
      <c r="K901" s="213"/>
      <c r="L901" s="200"/>
      <c r="M901" s="200"/>
      <c r="N901" s="213"/>
      <c r="O901" s="213"/>
      <c r="P901" s="200"/>
      <c r="Q901" s="200"/>
      <c r="R901" s="200"/>
      <c r="T901" s="154"/>
      <c r="U901" s="154"/>
      <c r="V901" s="200"/>
      <c r="AA901" s="200"/>
      <c r="AB901" s="213"/>
      <c r="AC901" s="200"/>
      <c r="AD901" s="200"/>
      <c r="AE901" s="213"/>
      <c r="AF901" s="213"/>
      <c r="AG901" s="209"/>
      <c r="AH901" s="200"/>
      <c r="AI901" s="201"/>
      <c r="AJ901" s="201"/>
      <c r="AK901" s="209"/>
      <c r="AL901" s="200"/>
      <c r="AM901" s="200"/>
      <c r="AN901" s="200"/>
      <c r="AO901" s="210"/>
      <c r="AP901" s="210"/>
    </row>
    <row r="902" spans="1:42" x14ac:dyDescent="0.25">
      <c r="A902" s="202"/>
      <c r="C902" s="154"/>
      <c r="D902" s="154"/>
      <c r="E902" s="154"/>
      <c r="F902" s="200"/>
      <c r="H902" s="200"/>
      <c r="I902" s="200"/>
      <c r="J902" s="213"/>
      <c r="K902" s="213"/>
      <c r="L902" s="200"/>
      <c r="M902" s="200"/>
      <c r="N902" s="213"/>
      <c r="O902" s="213"/>
      <c r="P902" s="200"/>
      <c r="Q902" s="200"/>
      <c r="R902" s="200"/>
      <c r="T902" s="154"/>
      <c r="U902" s="154"/>
      <c r="V902" s="200"/>
      <c r="AA902" s="200"/>
      <c r="AB902" s="213"/>
      <c r="AC902" s="200"/>
      <c r="AD902" s="200"/>
      <c r="AE902" s="213"/>
      <c r="AF902" s="213"/>
      <c r="AG902" s="209"/>
      <c r="AH902" s="200"/>
      <c r="AI902" s="201"/>
      <c r="AJ902" s="201"/>
      <c r="AK902" s="209"/>
      <c r="AL902" s="200"/>
      <c r="AM902" s="200"/>
      <c r="AN902" s="200"/>
      <c r="AO902" s="210"/>
      <c r="AP902" s="210"/>
    </row>
    <row r="903" spans="1:42" x14ac:dyDescent="0.25">
      <c r="F903" s="200"/>
      <c r="H903" s="211"/>
      <c r="I903" s="211"/>
      <c r="J903" s="305"/>
      <c r="K903" s="305"/>
      <c r="L903" s="211"/>
      <c r="M903" s="211"/>
      <c r="N903" s="211"/>
      <c r="O903" s="211"/>
      <c r="P903" s="211"/>
      <c r="Q903" s="211"/>
      <c r="R903" s="211"/>
      <c r="V903" s="211"/>
      <c r="AA903" s="211"/>
      <c r="AB903" s="305"/>
      <c r="AC903" s="211"/>
      <c r="AD903" s="211"/>
      <c r="AE903" s="211"/>
      <c r="AF903" s="211"/>
      <c r="AG903" s="212"/>
      <c r="AH903" s="211"/>
      <c r="AK903" s="212"/>
      <c r="AL903" s="211"/>
      <c r="AM903" s="211"/>
      <c r="AN903" s="211"/>
      <c r="AO903" s="210"/>
      <c r="AP903" s="210"/>
    </row>
    <row r="904" spans="1:42" x14ac:dyDescent="0.25">
      <c r="A904" s="202"/>
      <c r="C904" s="154"/>
      <c r="F904" s="211"/>
      <c r="H904" s="200"/>
      <c r="I904" s="200"/>
      <c r="J904" s="213"/>
      <c r="K904" s="213"/>
      <c r="L904" s="200"/>
      <c r="M904" s="200"/>
      <c r="N904" s="213"/>
      <c r="O904" s="213"/>
      <c r="P904" s="200"/>
      <c r="Q904" s="200"/>
      <c r="R904" s="200"/>
      <c r="T904" s="154"/>
      <c r="V904" s="200"/>
      <c r="AA904" s="200"/>
      <c r="AB904" s="213"/>
      <c r="AC904" s="200"/>
      <c r="AD904" s="200"/>
      <c r="AE904" s="213"/>
      <c r="AF904" s="213"/>
      <c r="AG904" s="209"/>
      <c r="AH904" s="200"/>
      <c r="AI904" s="201"/>
      <c r="AJ904" s="201"/>
      <c r="AK904" s="209"/>
      <c r="AL904" s="200"/>
      <c r="AM904" s="200"/>
      <c r="AN904" s="200"/>
      <c r="AO904" s="210"/>
      <c r="AP904" s="210"/>
    </row>
    <row r="905" spans="1:42" x14ac:dyDescent="0.25">
      <c r="F905" s="200"/>
      <c r="H905" s="200"/>
      <c r="I905" s="200"/>
      <c r="J905" s="213"/>
      <c r="K905" s="213"/>
      <c r="L905" s="200"/>
      <c r="M905" s="200"/>
      <c r="N905" s="213"/>
      <c r="O905" s="213"/>
      <c r="P905" s="200"/>
      <c r="Q905" s="200"/>
      <c r="R905" s="200"/>
      <c r="V905" s="200"/>
      <c r="AA905" s="200"/>
      <c r="AB905" s="213"/>
      <c r="AC905" s="200"/>
      <c r="AD905" s="200"/>
      <c r="AE905" s="213"/>
      <c r="AF905" s="213"/>
      <c r="AI905" s="201"/>
      <c r="AJ905" s="201"/>
      <c r="AK905" s="209"/>
      <c r="AL905" s="200"/>
      <c r="AM905" s="200"/>
      <c r="AN905" s="200"/>
      <c r="AO905" s="210"/>
      <c r="AP905" s="210"/>
    </row>
    <row r="906" spans="1:42" x14ac:dyDescent="0.25">
      <c r="A906" s="202"/>
      <c r="C906" s="154"/>
      <c r="D906" s="154"/>
      <c r="E906" s="154"/>
      <c r="F906" s="200"/>
      <c r="H906" s="200"/>
      <c r="I906" s="200"/>
      <c r="J906" s="213"/>
      <c r="K906" s="213"/>
      <c r="L906" s="200"/>
      <c r="M906" s="200"/>
      <c r="N906" s="213"/>
      <c r="O906" s="213"/>
      <c r="P906" s="200"/>
      <c r="Q906" s="200"/>
      <c r="R906" s="200"/>
      <c r="T906" s="154"/>
      <c r="U906" s="154"/>
      <c r="V906" s="200"/>
      <c r="AA906" s="200"/>
      <c r="AB906" s="213"/>
      <c r="AC906" s="200"/>
      <c r="AD906" s="200"/>
      <c r="AE906" s="213"/>
      <c r="AF906" s="213"/>
      <c r="AG906" s="209"/>
      <c r="AH906" s="200"/>
      <c r="AI906" s="201"/>
      <c r="AJ906" s="201"/>
      <c r="AK906" s="209"/>
      <c r="AL906" s="200"/>
      <c r="AM906" s="200"/>
      <c r="AN906" s="200"/>
      <c r="AO906" s="210"/>
      <c r="AP906" s="210"/>
    </row>
    <row r="907" spans="1:42" x14ac:dyDescent="0.25">
      <c r="F907" s="200"/>
      <c r="H907" s="211"/>
      <c r="I907" s="211"/>
      <c r="J907" s="305"/>
      <c r="K907" s="305"/>
      <c r="L907" s="211"/>
      <c r="M907" s="211"/>
      <c r="N907" s="211"/>
      <c r="O907" s="211"/>
      <c r="P907" s="211"/>
      <c r="Q907" s="211"/>
      <c r="R907" s="211"/>
      <c r="V907" s="211"/>
      <c r="AA907" s="211"/>
      <c r="AB907" s="305"/>
      <c r="AC907" s="211"/>
      <c r="AD907" s="211"/>
      <c r="AE907" s="211"/>
      <c r="AF907" s="211"/>
      <c r="AG907" s="212"/>
      <c r="AH907" s="211"/>
      <c r="AK907" s="212"/>
      <c r="AL907" s="211"/>
      <c r="AM907" s="211"/>
      <c r="AN907" s="211"/>
      <c r="AO907" s="210"/>
      <c r="AP907" s="210"/>
    </row>
    <row r="908" spans="1:42" x14ac:dyDescent="0.25">
      <c r="A908" s="202"/>
      <c r="C908" s="154"/>
      <c r="F908" s="211"/>
      <c r="H908" s="200"/>
      <c r="I908" s="200"/>
      <c r="J908" s="213"/>
      <c r="K908" s="213"/>
      <c r="L908" s="200"/>
      <c r="M908" s="200"/>
      <c r="N908" s="213"/>
      <c r="O908" s="213"/>
      <c r="P908" s="200"/>
      <c r="Q908" s="200"/>
      <c r="R908" s="200"/>
      <c r="T908" s="154"/>
      <c r="V908" s="200"/>
      <c r="AA908" s="200"/>
      <c r="AB908" s="213"/>
      <c r="AC908" s="200"/>
      <c r="AD908" s="200"/>
      <c r="AE908" s="213"/>
      <c r="AF908" s="213"/>
      <c r="AG908" s="209"/>
      <c r="AH908" s="200"/>
      <c r="AI908" s="201"/>
      <c r="AJ908" s="201"/>
      <c r="AK908" s="209"/>
      <c r="AL908" s="200"/>
      <c r="AM908" s="200"/>
      <c r="AN908" s="200"/>
      <c r="AO908" s="210"/>
      <c r="AP908" s="210"/>
    </row>
    <row r="909" spans="1:42" x14ac:dyDescent="0.25">
      <c r="F909" s="200"/>
      <c r="H909" s="200"/>
      <c r="I909" s="200"/>
      <c r="J909" s="213"/>
      <c r="K909" s="213"/>
      <c r="L909" s="200"/>
      <c r="M909" s="200"/>
      <c r="N909" s="213"/>
      <c r="O909" s="213"/>
      <c r="P909" s="200"/>
      <c r="Q909" s="200"/>
      <c r="R909" s="200"/>
      <c r="V909" s="200"/>
      <c r="AA909" s="200"/>
      <c r="AB909" s="213"/>
      <c r="AC909" s="200"/>
      <c r="AD909" s="200"/>
      <c r="AE909" s="213"/>
      <c r="AF909" s="213"/>
      <c r="AI909" s="201"/>
      <c r="AJ909" s="201"/>
      <c r="AK909" s="209"/>
      <c r="AL909" s="200"/>
      <c r="AM909" s="200"/>
      <c r="AN909" s="200"/>
      <c r="AO909" s="210"/>
      <c r="AP909" s="210"/>
    </row>
    <row r="910" spans="1:42" x14ac:dyDescent="0.25">
      <c r="A910" s="202"/>
      <c r="C910" s="154"/>
      <c r="D910" s="154"/>
      <c r="E910" s="154"/>
      <c r="F910" s="200"/>
      <c r="H910" s="200"/>
      <c r="I910" s="200"/>
      <c r="J910" s="213"/>
      <c r="K910" s="213"/>
      <c r="L910" s="200"/>
      <c r="M910" s="200"/>
      <c r="N910" s="213"/>
      <c r="O910" s="213"/>
      <c r="P910" s="200"/>
      <c r="Q910" s="200"/>
      <c r="R910" s="200"/>
      <c r="T910" s="154"/>
      <c r="U910" s="154"/>
      <c r="V910" s="200"/>
      <c r="AA910" s="200"/>
      <c r="AB910" s="213"/>
      <c r="AC910" s="200"/>
      <c r="AD910" s="200"/>
      <c r="AE910" s="213"/>
      <c r="AF910" s="213"/>
      <c r="AG910" s="209"/>
      <c r="AH910" s="200"/>
      <c r="AI910" s="201"/>
      <c r="AJ910" s="201"/>
      <c r="AK910" s="209"/>
      <c r="AL910" s="200"/>
      <c r="AM910" s="200"/>
      <c r="AN910" s="200"/>
      <c r="AO910" s="210"/>
      <c r="AP910" s="210"/>
    </row>
    <row r="911" spans="1:42" x14ac:dyDescent="0.25">
      <c r="A911" s="202"/>
      <c r="C911" s="154"/>
      <c r="D911" s="154"/>
      <c r="E911" s="154"/>
      <c r="F911" s="200"/>
      <c r="G911" s="200"/>
      <c r="H911" s="200"/>
      <c r="I911" s="200"/>
      <c r="J911" s="213"/>
      <c r="K911" s="213"/>
      <c r="L911" s="200"/>
      <c r="M911" s="200"/>
      <c r="N911" s="213"/>
      <c r="O911" s="213"/>
      <c r="P911" s="200"/>
      <c r="Q911" s="200"/>
      <c r="R911" s="200"/>
      <c r="T911" s="154"/>
      <c r="U911" s="154"/>
      <c r="V911" s="200"/>
      <c r="W911" s="200"/>
      <c r="X911" s="200"/>
      <c r="Y911" s="200"/>
      <c r="Z911" s="200"/>
      <c r="AA911" s="200"/>
      <c r="AB911" s="213"/>
      <c r="AC911" s="200"/>
      <c r="AD911" s="200"/>
      <c r="AE911" s="213"/>
      <c r="AF911" s="213"/>
      <c r="AG911" s="209"/>
      <c r="AH911" s="200"/>
      <c r="AI911" s="201"/>
      <c r="AJ911" s="201"/>
      <c r="AK911" s="209"/>
      <c r="AL911" s="200"/>
      <c r="AM911" s="200"/>
      <c r="AN911" s="200"/>
      <c r="AO911" s="210"/>
      <c r="AP911" s="210"/>
    </row>
    <row r="912" spans="1:42" x14ac:dyDescent="0.25">
      <c r="A912" s="202"/>
      <c r="C912" s="154"/>
      <c r="D912" s="154"/>
      <c r="E912" s="154"/>
      <c r="F912" s="200"/>
      <c r="G912" s="200"/>
      <c r="H912" s="200"/>
      <c r="I912" s="200"/>
      <c r="J912" s="213"/>
      <c r="K912" s="213"/>
      <c r="L912" s="200"/>
      <c r="M912" s="200"/>
      <c r="N912" s="213"/>
      <c r="O912" s="213"/>
      <c r="P912" s="200"/>
      <c r="Q912" s="200"/>
      <c r="R912" s="200"/>
      <c r="T912" s="154"/>
      <c r="U912" s="154"/>
      <c r="V912" s="200"/>
      <c r="W912" s="200"/>
      <c r="X912" s="200"/>
      <c r="Y912" s="200"/>
      <c r="Z912" s="200"/>
      <c r="AA912" s="200"/>
      <c r="AB912" s="213"/>
      <c r="AC912" s="200"/>
      <c r="AD912" s="200"/>
      <c r="AE912" s="213"/>
      <c r="AF912" s="213"/>
      <c r="AG912" s="209"/>
      <c r="AH912" s="200"/>
      <c r="AI912" s="201"/>
      <c r="AJ912" s="201"/>
      <c r="AK912" s="209"/>
      <c r="AL912" s="200"/>
      <c r="AM912" s="200"/>
      <c r="AN912" s="200"/>
      <c r="AO912" s="210"/>
      <c r="AP912" s="210"/>
    </row>
    <row r="913" spans="1:42" x14ac:dyDescent="0.25">
      <c r="A913" s="202"/>
      <c r="C913" s="154"/>
      <c r="D913" s="154"/>
      <c r="E913" s="154"/>
      <c r="F913" s="200"/>
      <c r="H913" s="200"/>
      <c r="I913" s="200"/>
      <c r="J913" s="213"/>
      <c r="K913" s="213"/>
      <c r="L913" s="200"/>
      <c r="M913" s="200"/>
      <c r="N913" s="213"/>
      <c r="O913" s="213"/>
      <c r="P913" s="200"/>
      <c r="Q913" s="200"/>
      <c r="R913" s="200"/>
      <c r="T913" s="154"/>
      <c r="U913" s="154"/>
      <c r="V913" s="200"/>
      <c r="AA913" s="200"/>
      <c r="AB913" s="213"/>
      <c r="AC913" s="200"/>
      <c r="AD913" s="200"/>
      <c r="AE913" s="213"/>
      <c r="AF913" s="213"/>
      <c r="AG913" s="209"/>
      <c r="AH913" s="200"/>
      <c r="AI913" s="201"/>
      <c r="AJ913" s="201"/>
      <c r="AK913" s="209"/>
      <c r="AL913" s="200"/>
      <c r="AM913" s="200"/>
      <c r="AN913" s="200"/>
      <c r="AO913" s="210"/>
      <c r="AP913" s="210"/>
    </row>
    <row r="914" spans="1:42" x14ac:dyDescent="0.25">
      <c r="A914" s="202"/>
      <c r="C914" s="154"/>
      <c r="D914" s="154"/>
      <c r="E914" s="154"/>
      <c r="F914" s="200"/>
      <c r="H914" s="200"/>
      <c r="I914" s="200"/>
      <c r="J914" s="213"/>
      <c r="K914" s="213"/>
      <c r="L914" s="200"/>
      <c r="M914" s="200"/>
      <c r="N914" s="213"/>
      <c r="O914" s="213"/>
      <c r="P914" s="200"/>
      <c r="Q914" s="200"/>
      <c r="R914" s="200"/>
      <c r="T914" s="154"/>
      <c r="U914" s="154"/>
      <c r="V914" s="200"/>
      <c r="AA914" s="200"/>
      <c r="AB914" s="213"/>
      <c r="AC914" s="200"/>
      <c r="AD914" s="200"/>
      <c r="AE914" s="213"/>
      <c r="AF914" s="213"/>
      <c r="AG914" s="209"/>
      <c r="AH914" s="200"/>
      <c r="AI914" s="201"/>
      <c r="AJ914" s="201"/>
      <c r="AK914" s="209"/>
      <c r="AL914" s="200"/>
      <c r="AM914" s="200"/>
      <c r="AN914" s="200"/>
      <c r="AO914" s="210"/>
      <c r="AP914" s="210"/>
    </row>
    <row r="915" spans="1:42" x14ac:dyDescent="0.25">
      <c r="A915" s="202"/>
      <c r="C915" s="154"/>
      <c r="D915" s="154"/>
      <c r="E915" s="154"/>
      <c r="F915" s="200"/>
      <c r="H915" s="200"/>
      <c r="I915" s="200"/>
      <c r="J915" s="213"/>
      <c r="K915" s="213"/>
      <c r="L915" s="200"/>
      <c r="M915" s="200"/>
      <c r="N915" s="213"/>
      <c r="O915" s="213"/>
      <c r="P915" s="200"/>
      <c r="Q915" s="200"/>
      <c r="R915" s="200"/>
      <c r="T915" s="154"/>
      <c r="U915" s="154"/>
      <c r="V915" s="200"/>
      <c r="AA915" s="200"/>
      <c r="AB915" s="213"/>
      <c r="AC915" s="200"/>
      <c r="AD915" s="200"/>
      <c r="AE915" s="213"/>
      <c r="AF915" s="213"/>
      <c r="AG915" s="209"/>
      <c r="AH915" s="200"/>
      <c r="AI915" s="201"/>
      <c r="AJ915" s="201"/>
      <c r="AK915" s="209"/>
      <c r="AL915" s="200"/>
      <c r="AM915" s="200"/>
      <c r="AN915" s="200"/>
      <c r="AO915" s="210"/>
      <c r="AP915" s="210"/>
    </row>
    <row r="916" spans="1:42" x14ac:dyDescent="0.25">
      <c r="A916" s="202"/>
      <c r="C916" s="154"/>
      <c r="D916" s="154"/>
      <c r="E916" s="154"/>
      <c r="F916" s="200"/>
      <c r="H916" s="200"/>
      <c r="I916" s="200"/>
      <c r="J916" s="213"/>
      <c r="K916" s="213"/>
      <c r="L916" s="200"/>
      <c r="M916" s="200"/>
      <c r="N916" s="213"/>
      <c r="O916" s="213"/>
      <c r="P916" s="200"/>
      <c r="Q916" s="200"/>
      <c r="R916" s="200"/>
      <c r="T916" s="154"/>
      <c r="U916" s="154"/>
      <c r="V916" s="200"/>
      <c r="AA916" s="200"/>
      <c r="AB916" s="213"/>
      <c r="AC916" s="200"/>
      <c r="AD916" s="200"/>
      <c r="AE916" s="213"/>
      <c r="AF916" s="213"/>
      <c r="AG916" s="209"/>
      <c r="AH916" s="200"/>
      <c r="AI916" s="201"/>
      <c r="AJ916" s="201"/>
      <c r="AK916" s="209"/>
      <c r="AL916" s="200"/>
      <c r="AM916" s="200"/>
      <c r="AN916" s="200"/>
      <c r="AO916" s="210"/>
      <c r="AP916" s="210"/>
    </row>
    <row r="917" spans="1:42" x14ac:dyDescent="0.25">
      <c r="F917" s="200"/>
      <c r="H917" s="211"/>
      <c r="I917" s="211"/>
      <c r="J917" s="305"/>
      <c r="K917" s="305"/>
      <c r="L917" s="211"/>
      <c r="M917" s="211"/>
      <c r="N917" s="211"/>
      <c r="O917" s="211"/>
      <c r="P917" s="211"/>
      <c r="Q917" s="211"/>
      <c r="R917" s="211"/>
      <c r="V917" s="211"/>
      <c r="AA917" s="211"/>
      <c r="AB917" s="305"/>
      <c r="AC917" s="211"/>
      <c r="AD917" s="211"/>
      <c r="AE917" s="211"/>
      <c r="AF917" s="211"/>
      <c r="AG917" s="212"/>
      <c r="AH917" s="211"/>
      <c r="AK917" s="212"/>
      <c r="AL917" s="211"/>
      <c r="AM917" s="211"/>
      <c r="AN917" s="211"/>
      <c r="AO917" s="210"/>
      <c r="AP917" s="210"/>
    </row>
    <row r="918" spans="1:42" x14ac:dyDescent="0.25">
      <c r="A918" s="202"/>
      <c r="C918" s="154"/>
      <c r="F918" s="211"/>
      <c r="H918" s="200"/>
      <c r="I918" s="200"/>
      <c r="J918" s="213"/>
      <c r="K918" s="213"/>
      <c r="L918" s="200"/>
      <c r="M918" s="200"/>
      <c r="N918" s="213"/>
      <c r="O918" s="213"/>
      <c r="P918" s="200"/>
      <c r="Q918" s="200"/>
      <c r="R918" s="200"/>
      <c r="T918" s="154"/>
      <c r="V918" s="200"/>
      <c r="AA918" s="200"/>
      <c r="AB918" s="213"/>
      <c r="AC918" s="200"/>
      <c r="AD918" s="200"/>
      <c r="AE918" s="213"/>
      <c r="AF918" s="213"/>
      <c r="AG918" s="209"/>
      <c r="AH918" s="200"/>
      <c r="AI918" s="201"/>
      <c r="AJ918" s="201"/>
      <c r="AK918" s="209"/>
      <c r="AL918" s="200"/>
      <c r="AM918" s="200"/>
      <c r="AN918" s="200"/>
      <c r="AO918" s="210"/>
      <c r="AP918" s="210"/>
    </row>
    <row r="919" spans="1:42" x14ac:dyDescent="0.25">
      <c r="F919" s="200"/>
      <c r="V919" s="200"/>
      <c r="AA919" s="200"/>
      <c r="AB919" s="305"/>
      <c r="AC919" s="200"/>
      <c r="AD919" s="200"/>
      <c r="AE919" s="200"/>
      <c r="AF919" s="200"/>
      <c r="AG919" s="209"/>
      <c r="AH919" s="200"/>
      <c r="AK919" s="209"/>
      <c r="AL919" s="200"/>
      <c r="AM919" s="200"/>
      <c r="AN919" s="200"/>
      <c r="AO919" s="210"/>
      <c r="AP919" s="210"/>
    </row>
    <row r="920" spans="1:42" x14ac:dyDescent="0.25">
      <c r="A920" s="202"/>
      <c r="C920" s="154"/>
      <c r="D920" s="154"/>
      <c r="E920" s="154"/>
      <c r="L920" s="200"/>
      <c r="M920" s="200"/>
      <c r="N920" s="213"/>
      <c r="O920" s="213"/>
      <c r="P920" s="202"/>
      <c r="Q920" s="202"/>
      <c r="R920" s="200"/>
      <c r="T920" s="154"/>
      <c r="U920" s="154"/>
      <c r="AC920" s="200"/>
      <c r="AD920" s="200"/>
      <c r="AE920" s="213"/>
      <c r="AF920" s="213"/>
      <c r="AG920" s="209"/>
      <c r="AH920" s="200"/>
      <c r="AI920" s="201"/>
      <c r="AJ920" s="201"/>
      <c r="AK920" s="209"/>
      <c r="AL920" s="202"/>
      <c r="AM920" s="200"/>
      <c r="AN920" s="200"/>
      <c r="AO920" s="210"/>
      <c r="AP920" s="210"/>
    </row>
    <row r="921" spans="1:42" x14ac:dyDescent="0.25">
      <c r="A921" s="202"/>
      <c r="D921" s="154"/>
      <c r="E921" s="154"/>
      <c r="H921" s="252"/>
      <c r="I921" s="252"/>
      <c r="J921" s="213"/>
      <c r="K921" s="213"/>
      <c r="L921" s="200"/>
      <c r="M921" s="200"/>
      <c r="N921" s="213"/>
      <c r="O921" s="213"/>
      <c r="P921" s="252"/>
      <c r="Q921" s="252"/>
      <c r="R921" s="200"/>
      <c r="U921" s="154"/>
      <c r="V921" s="200"/>
      <c r="AA921" s="200"/>
      <c r="AB921" s="213"/>
      <c r="AC921" s="200"/>
      <c r="AD921" s="200"/>
      <c r="AE921" s="213"/>
      <c r="AF921" s="213"/>
      <c r="AG921" s="209"/>
      <c r="AH921" s="200"/>
      <c r="AI921" s="201"/>
      <c r="AJ921" s="201"/>
      <c r="AK921" s="209"/>
      <c r="AL921" s="200"/>
      <c r="AM921" s="200"/>
      <c r="AN921" s="200"/>
      <c r="AO921" s="210"/>
      <c r="AP921" s="210"/>
    </row>
    <row r="922" spans="1:42" x14ac:dyDescent="0.25">
      <c r="F922" s="252"/>
      <c r="H922" s="211"/>
      <c r="I922" s="211"/>
      <c r="J922" s="305"/>
      <c r="K922" s="305"/>
      <c r="L922" s="211"/>
      <c r="M922" s="211"/>
      <c r="N922" s="211"/>
      <c r="O922" s="211"/>
      <c r="P922" s="211"/>
      <c r="Q922" s="211"/>
      <c r="R922" s="211"/>
      <c r="V922" s="211"/>
      <c r="AA922" s="211"/>
      <c r="AB922" s="305"/>
      <c r="AC922" s="211"/>
      <c r="AD922" s="211"/>
      <c r="AE922" s="211"/>
      <c r="AF922" s="211"/>
      <c r="AG922" s="212"/>
      <c r="AH922" s="211"/>
      <c r="AK922" s="212"/>
      <c r="AL922" s="211"/>
      <c r="AM922" s="211"/>
      <c r="AN922" s="211"/>
      <c r="AO922" s="210"/>
      <c r="AP922" s="210"/>
    </row>
    <row r="923" spans="1:42" x14ac:dyDescent="0.25">
      <c r="A923" s="202"/>
      <c r="C923" s="154"/>
      <c r="F923" s="211"/>
      <c r="H923" s="200"/>
      <c r="I923" s="200"/>
      <c r="J923" s="213"/>
      <c r="K923" s="213"/>
      <c r="L923" s="200"/>
      <c r="M923" s="200"/>
      <c r="N923" s="213"/>
      <c r="O923" s="213"/>
      <c r="P923" s="200"/>
      <c r="Q923" s="200"/>
      <c r="R923" s="200"/>
      <c r="T923" s="154"/>
      <c r="V923" s="200"/>
      <c r="AA923" s="200"/>
      <c r="AB923" s="213"/>
      <c r="AC923" s="200"/>
      <c r="AD923" s="200"/>
      <c r="AE923" s="213"/>
      <c r="AF923" s="213"/>
      <c r="AG923" s="209"/>
      <c r="AH923" s="200"/>
      <c r="AI923" s="201"/>
      <c r="AJ923" s="201"/>
      <c r="AK923" s="209"/>
      <c r="AL923" s="200"/>
      <c r="AM923" s="200"/>
      <c r="AN923" s="200"/>
      <c r="AO923" s="210"/>
      <c r="AP923" s="210"/>
    </row>
    <row r="924" spans="1:42" x14ac:dyDescent="0.25">
      <c r="F924" s="200"/>
      <c r="H924" s="200"/>
      <c r="I924" s="200"/>
      <c r="J924" s="213"/>
      <c r="K924" s="213"/>
      <c r="L924" s="200"/>
      <c r="M924" s="200"/>
      <c r="N924" s="213"/>
      <c r="O924" s="213"/>
      <c r="P924" s="200"/>
      <c r="Q924" s="200"/>
      <c r="R924" s="200"/>
      <c r="V924" s="200"/>
      <c r="AA924" s="200"/>
      <c r="AB924" s="213"/>
      <c r="AC924" s="200"/>
      <c r="AD924" s="200"/>
      <c r="AE924" s="213"/>
      <c r="AF924" s="213"/>
      <c r="AI924" s="201"/>
      <c r="AJ924" s="201"/>
      <c r="AK924" s="209"/>
      <c r="AL924" s="200"/>
      <c r="AM924" s="200"/>
      <c r="AN924" s="200"/>
      <c r="AO924" s="210"/>
      <c r="AP924" s="210"/>
    </row>
    <row r="925" spans="1:42" x14ac:dyDescent="0.25">
      <c r="A925" s="202"/>
      <c r="D925" s="154"/>
      <c r="E925" s="154"/>
      <c r="F925" s="200"/>
      <c r="H925" s="200"/>
      <c r="I925" s="200"/>
      <c r="J925" s="213"/>
      <c r="K925" s="213"/>
      <c r="L925" s="252"/>
      <c r="M925" s="252"/>
      <c r="N925" s="213"/>
      <c r="O925" s="213"/>
      <c r="P925" s="200"/>
      <c r="Q925" s="200"/>
      <c r="R925" s="200"/>
      <c r="U925" s="154"/>
      <c r="V925" s="200"/>
      <c r="AA925" s="200"/>
      <c r="AB925" s="213"/>
      <c r="AC925" s="252"/>
      <c r="AD925" s="252"/>
      <c r="AE925" s="213"/>
      <c r="AF925" s="213"/>
      <c r="AG925" s="209"/>
      <c r="AH925" s="200"/>
      <c r="AI925" s="201"/>
      <c r="AJ925" s="201"/>
      <c r="AK925" s="209"/>
      <c r="AL925" s="200"/>
      <c r="AM925" s="200"/>
      <c r="AN925" s="200"/>
      <c r="AO925" s="210"/>
      <c r="AP925" s="210"/>
    </row>
    <row r="926" spans="1:42" x14ac:dyDescent="0.25">
      <c r="A926" s="202"/>
      <c r="D926" s="154"/>
      <c r="E926" s="154"/>
      <c r="F926" s="200"/>
      <c r="H926" s="200"/>
      <c r="I926" s="200"/>
      <c r="J926" s="213"/>
      <c r="K926" s="213"/>
      <c r="L926" s="252"/>
      <c r="M926" s="252"/>
      <c r="N926" s="213"/>
      <c r="O926" s="213"/>
      <c r="P926" s="200"/>
      <c r="Q926" s="200"/>
      <c r="R926" s="200"/>
      <c r="U926" s="154"/>
      <c r="V926" s="200"/>
      <c r="AA926" s="200"/>
      <c r="AB926" s="213"/>
      <c r="AC926" s="252"/>
      <c r="AD926" s="252"/>
      <c r="AE926" s="213"/>
      <c r="AF926" s="213"/>
      <c r="AG926" s="209"/>
      <c r="AH926" s="200"/>
      <c r="AI926" s="201"/>
      <c r="AJ926" s="201"/>
      <c r="AK926" s="209"/>
      <c r="AL926" s="200"/>
      <c r="AM926" s="200"/>
      <c r="AN926" s="200"/>
      <c r="AO926" s="210"/>
      <c r="AP926" s="210"/>
    </row>
    <row r="927" spans="1:42" x14ac:dyDescent="0.25">
      <c r="A927" s="202"/>
      <c r="D927" s="154"/>
      <c r="E927" s="154"/>
      <c r="F927" s="200"/>
      <c r="H927" s="200"/>
      <c r="I927" s="200"/>
      <c r="J927" s="213"/>
      <c r="K927" s="213"/>
      <c r="L927" s="252"/>
      <c r="M927" s="252"/>
      <c r="N927" s="213"/>
      <c r="O927" s="213"/>
      <c r="P927" s="200"/>
      <c r="Q927" s="200"/>
      <c r="R927" s="200"/>
      <c r="U927" s="154"/>
      <c r="V927" s="200"/>
      <c r="AA927" s="200"/>
      <c r="AB927" s="213"/>
      <c r="AC927" s="252"/>
      <c r="AD927" s="252"/>
      <c r="AE927" s="213"/>
      <c r="AF927" s="213"/>
      <c r="AG927" s="209"/>
      <c r="AH927" s="200"/>
      <c r="AI927" s="201"/>
      <c r="AJ927" s="201"/>
      <c r="AK927" s="209"/>
      <c r="AL927" s="200"/>
      <c r="AM927" s="200"/>
      <c r="AN927" s="200"/>
      <c r="AO927" s="210"/>
      <c r="AP927" s="210"/>
    </row>
    <row r="928" spans="1:42" x14ac:dyDescent="0.25">
      <c r="F928" s="200"/>
      <c r="H928" s="211"/>
      <c r="I928" s="211"/>
      <c r="J928" s="305"/>
      <c r="K928" s="305"/>
      <c r="L928" s="211"/>
      <c r="M928" s="211"/>
      <c r="N928" s="211"/>
      <c r="O928" s="211"/>
      <c r="P928" s="211"/>
      <c r="Q928" s="211"/>
      <c r="R928" s="211"/>
      <c r="V928" s="211"/>
      <c r="AA928" s="211"/>
      <c r="AB928" s="305"/>
      <c r="AC928" s="211"/>
      <c r="AD928" s="211"/>
      <c r="AE928" s="211"/>
      <c r="AF928" s="211"/>
      <c r="AG928" s="212"/>
      <c r="AH928" s="211"/>
      <c r="AK928" s="212"/>
      <c r="AL928" s="211"/>
      <c r="AM928" s="211"/>
      <c r="AN928" s="211"/>
      <c r="AO928" s="210"/>
      <c r="AP928" s="210"/>
    </row>
    <row r="929" spans="1:42" x14ac:dyDescent="0.25">
      <c r="A929" s="202"/>
      <c r="C929" s="154"/>
      <c r="F929" s="211"/>
      <c r="H929" s="200"/>
      <c r="I929" s="200"/>
      <c r="J929" s="213"/>
      <c r="K929" s="213"/>
      <c r="L929" s="200"/>
      <c r="M929" s="200"/>
      <c r="N929" s="213"/>
      <c r="O929" s="213"/>
      <c r="P929" s="200"/>
      <c r="Q929" s="200"/>
      <c r="R929" s="200"/>
      <c r="T929" s="154"/>
      <c r="V929" s="200"/>
      <c r="AA929" s="200"/>
      <c r="AB929" s="213"/>
      <c r="AC929" s="200"/>
      <c r="AD929" s="200"/>
      <c r="AE929" s="213"/>
      <c r="AF929" s="213"/>
      <c r="AG929" s="209"/>
      <c r="AH929" s="200"/>
      <c r="AI929" s="201"/>
      <c r="AJ929" s="201"/>
      <c r="AK929" s="209"/>
      <c r="AL929" s="200"/>
      <c r="AM929" s="200"/>
      <c r="AN929" s="200"/>
      <c r="AO929" s="210"/>
      <c r="AP929" s="210"/>
    </row>
    <row r="930" spans="1:42" x14ac:dyDescent="0.25">
      <c r="F930" s="200"/>
      <c r="H930" s="200"/>
      <c r="I930" s="200"/>
      <c r="J930" s="213"/>
      <c r="K930" s="213"/>
      <c r="L930" s="200"/>
      <c r="M930" s="200"/>
      <c r="N930" s="213"/>
      <c r="O930" s="213"/>
      <c r="P930" s="200"/>
      <c r="Q930" s="200"/>
      <c r="R930" s="200"/>
      <c r="V930" s="200"/>
      <c r="AA930" s="200"/>
      <c r="AB930" s="213"/>
      <c r="AC930" s="200"/>
      <c r="AD930" s="200"/>
      <c r="AE930" s="213"/>
      <c r="AF930" s="213"/>
      <c r="AI930" s="201"/>
      <c r="AJ930" s="201"/>
      <c r="AK930" s="209"/>
      <c r="AL930" s="200"/>
      <c r="AM930" s="200"/>
      <c r="AN930" s="200"/>
      <c r="AO930" s="210"/>
      <c r="AP930" s="210"/>
    </row>
    <row r="931" spans="1:42" x14ac:dyDescent="0.25">
      <c r="A931" s="202"/>
      <c r="C931" s="154"/>
      <c r="F931" s="200"/>
      <c r="H931" s="200"/>
      <c r="I931" s="200"/>
      <c r="J931" s="213"/>
      <c r="K931" s="213"/>
      <c r="L931" s="200"/>
      <c r="M931" s="200"/>
      <c r="N931" s="213"/>
      <c r="O931" s="213"/>
      <c r="P931" s="200"/>
      <c r="Q931" s="200"/>
      <c r="R931" s="200"/>
      <c r="T931" s="154"/>
      <c r="V931" s="200"/>
      <c r="AA931" s="200"/>
      <c r="AB931" s="213"/>
      <c r="AC931" s="200"/>
      <c r="AD931" s="200"/>
      <c r="AE931" s="213"/>
      <c r="AF931" s="213"/>
      <c r="AG931" s="209"/>
      <c r="AH931" s="200"/>
      <c r="AI931" s="201"/>
      <c r="AJ931" s="201"/>
      <c r="AK931" s="209"/>
      <c r="AL931" s="200"/>
      <c r="AM931" s="200"/>
      <c r="AN931" s="200"/>
      <c r="AO931" s="210"/>
      <c r="AP931" s="210"/>
    </row>
    <row r="932" spans="1:42" x14ac:dyDescent="0.25">
      <c r="F932" s="200"/>
      <c r="H932" s="211"/>
      <c r="I932" s="211"/>
      <c r="J932" s="305"/>
      <c r="K932" s="305"/>
      <c r="L932" s="211"/>
      <c r="M932" s="211"/>
      <c r="N932" s="211"/>
      <c r="O932" s="211"/>
      <c r="P932" s="211"/>
      <c r="Q932" s="211"/>
      <c r="R932" s="211"/>
      <c r="V932" s="211"/>
      <c r="AA932" s="211"/>
      <c r="AB932" s="305"/>
      <c r="AC932" s="211"/>
      <c r="AD932" s="211"/>
      <c r="AE932" s="211"/>
      <c r="AF932" s="211"/>
      <c r="AG932" s="212"/>
      <c r="AH932" s="211"/>
      <c r="AK932" s="212"/>
      <c r="AL932" s="211"/>
      <c r="AM932" s="211"/>
      <c r="AN932" s="211"/>
    </row>
    <row r="934" spans="1:42" x14ac:dyDescent="0.25">
      <c r="C934" s="154"/>
      <c r="F934" s="211"/>
      <c r="L934" s="200"/>
      <c r="M934" s="200"/>
      <c r="P934" s="200"/>
      <c r="Q934" s="200"/>
      <c r="R934" s="200"/>
      <c r="T934" s="154"/>
    </row>
    <row r="935" spans="1:42" x14ac:dyDescent="0.25">
      <c r="A935" s="154"/>
      <c r="L935" s="200"/>
      <c r="M935" s="200"/>
      <c r="P935" s="200"/>
      <c r="Q935" s="200"/>
      <c r="R935" s="200"/>
    </row>
    <row r="936" spans="1:42" x14ac:dyDescent="0.25">
      <c r="L936" s="200"/>
      <c r="M936" s="200"/>
      <c r="P936" s="200"/>
      <c r="Q936" s="200"/>
      <c r="R936" s="200"/>
    </row>
    <row r="937" spans="1:42" x14ac:dyDescent="0.25">
      <c r="L937" s="200"/>
      <c r="M937" s="200"/>
      <c r="P937" s="200"/>
      <c r="Q937" s="200"/>
      <c r="R937" s="200"/>
    </row>
    <row r="938" spans="1:42" x14ac:dyDescent="0.25">
      <c r="L938" s="200"/>
      <c r="M938" s="200"/>
      <c r="P938" s="200"/>
      <c r="Q938" s="200"/>
      <c r="R938" s="200"/>
    </row>
    <row r="939" spans="1:42" x14ac:dyDescent="0.25">
      <c r="L939" s="200"/>
      <c r="M939" s="200"/>
      <c r="P939" s="200"/>
      <c r="Q939" s="200"/>
      <c r="R939" s="200"/>
    </row>
    <row r="940" spans="1:42" x14ac:dyDescent="0.25">
      <c r="L940" s="200"/>
      <c r="M940" s="200"/>
      <c r="P940" s="200"/>
      <c r="Q940" s="200"/>
      <c r="R940" s="200"/>
    </row>
    <row r="973" spans="51:51" x14ac:dyDescent="0.25">
      <c r="AY973" s="200"/>
    </row>
    <row r="974" spans="51:51" x14ac:dyDescent="0.25">
      <c r="AY974" s="200"/>
    </row>
    <row r="975" spans="51:51" x14ac:dyDescent="0.25">
      <c r="AY975" s="200"/>
    </row>
    <row r="976" spans="51:51" x14ac:dyDescent="0.25">
      <c r="AY976" s="200"/>
    </row>
    <row r="977" spans="51:51" x14ac:dyDescent="0.25">
      <c r="AY977" s="200"/>
    </row>
    <row r="978" spans="51:51" x14ac:dyDescent="0.25">
      <c r="AY978" s="200"/>
    </row>
    <row r="981" spans="51:51" x14ac:dyDescent="0.25">
      <c r="AY981" s="200"/>
    </row>
    <row r="982" spans="51:51" x14ac:dyDescent="0.25">
      <c r="AY982" s="200"/>
    </row>
    <row r="983" spans="51:51" x14ac:dyDescent="0.25">
      <c r="AY983" s="200"/>
    </row>
    <row r="984" spans="51:51" x14ac:dyDescent="0.25">
      <c r="AY984" s="200"/>
    </row>
    <row r="985" spans="51:51" x14ac:dyDescent="0.25">
      <c r="AY985" s="200"/>
    </row>
    <row r="986" spans="51:51" x14ac:dyDescent="0.25">
      <c r="AY986" s="200"/>
    </row>
    <row r="987" spans="51:51" x14ac:dyDescent="0.25">
      <c r="AY987" s="200"/>
    </row>
    <row r="988" spans="51:51" x14ac:dyDescent="0.25">
      <c r="AY988" s="200"/>
    </row>
    <row r="991" spans="51:51" x14ac:dyDescent="0.25">
      <c r="AY991" s="200"/>
    </row>
    <row r="992" spans="51:51" x14ac:dyDescent="0.25">
      <c r="AY992" s="200"/>
    </row>
    <row r="995" spans="47:58" x14ac:dyDescent="0.25">
      <c r="AY995" s="200"/>
    </row>
    <row r="996" spans="47:58" x14ac:dyDescent="0.25">
      <c r="AY996" s="200"/>
    </row>
    <row r="997" spans="47:58" x14ac:dyDescent="0.25">
      <c r="AY997" s="200"/>
    </row>
    <row r="998" spans="47:58" x14ac:dyDescent="0.25">
      <c r="AY998" s="200"/>
    </row>
    <row r="1004" spans="47:58" x14ac:dyDescent="0.25">
      <c r="BA1004" s="202"/>
    </row>
    <row r="1005" spans="47:58" x14ac:dyDescent="0.25">
      <c r="BA1005" s="202"/>
    </row>
    <row r="1006" spans="47:58" x14ac:dyDescent="0.25">
      <c r="BA1006" s="154"/>
    </row>
    <row r="1007" spans="47:58" x14ac:dyDescent="0.25">
      <c r="BA1007" s="154"/>
    </row>
    <row r="1008" spans="47:58" x14ac:dyDescent="0.25">
      <c r="AU1008" s="202"/>
      <c r="BF1008" s="154"/>
    </row>
    <row r="1009" spans="47:71" x14ac:dyDescent="0.25">
      <c r="AU1009" s="202"/>
      <c r="BF1009" s="154"/>
    </row>
    <row r="1010" spans="47:71" x14ac:dyDescent="0.25">
      <c r="AU1010" s="154"/>
      <c r="BF1010" s="154"/>
    </row>
    <row r="1011" spans="47:71" x14ac:dyDescent="0.25">
      <c r="BF1011" s="202"/>
    </row>
    <row r="1012" spans="47:71" x14ac:dyDescent="0.25">
      <c r="AU1012" s="102"/>
      <c r="AV1012" s="102"/>
      <c r="AW1012" s="102"/>
      <c r="AX1012" s="102"/>
      <c r="AY1012" s="102"/>
      <c r="AZ1012" s="102"/>
      <c r="BA1012" s="102"/>
      <c r="BB1012" s="102"/>
      <c r="BC1012" s="102"/>
      <c r="BD1012" s="102"/>
      <c r="BE1012" s="102"/>
      <c r="BF1012" s="102"/>
      <c r="BG1012" s="102"/>
    </row>
    <row r="1013" spans="47:71" x14ac:dyDescent="0.25">
      <c r="AZ1013" s="154"/>
    </row>
    <row r="1014" spans="47:71" x14ac:dyDescent="0.25">
      <c r="AZ1014" s="102"/>
      <c r="BA1014" s="102"/>
      <c r="BB1014" s="102"/>
      <c r="BC1014" s="102"/>
      <c r="BE1014" s="103"/>
      <c r="BF1014" s="103"/>
    </row>
    <row r="1015" spans="47:71" x14ac:dyDescent="0.25">
      <c r="AX1015" s="103"/>
      <c r="AY1015" s="103"/>
      <c r="BB1015" s="103"/>
      <c r="BC1015" s="103"/>
      <c r="BE1015" s="103"/>
      <c r="BF1015" s="103"/>
      <c r="BG1015" s="103"/>
      <c r="BI1015" s="102"/>
      <c r="BJ1015" s="154"/>
      <c r="BM1015" s="102"/>
      <c r="BO1015" s="102"/>
      <c r="BP1015" s="154"/>
      <c r="BS1015" s="102"/>
    </row>
    <row r="1016" spans="47:71" x14ac:dyDescent="0.25"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J1016" s="103"/>
      <c r="BK1016" s="103"/>
      <c r="BL1016" s="103"/>
      <c r="BP1016" s="103"/>
      <c r="BQ1016" s="103"/>
      <c r="BR1016" s="103"/>
    </row>
    <row r="1017" spans="47:71" x14ac:dyDescent="0.25">
      <c r="AU1017" s="103"/>
      <c r="AW1017" s="154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I1017" s="103"/>
      <c r="BJ1017" s="103"/>
      <c r="BK1017" s="103"/>
      <c r="BL1017" s="103"/>
      <c r="BM1017" s="103"/>
      <c r="BO1017" s="103"/>
      <c r="BP1017" s="103"/>
      <c r="BQ1017" s="103"/>
      <c r="BR1017" s="103"/>
      <c r="BS1017" s="103"/>
    </row>
    <row r="1018" spans="47:71" x14ac:dyDescent="0.25">
      <c r="AU1018" s="103"/>
      <c r="AW1018" s="154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I1018" s="103"/>
      <c r="BJ1018" s="103"/>
      <c r="BK1018" s="103"/>
      <c r="BL1018" s="103"/>
      <c r="BM1018" s="103"/>
      <c r="BO1018" s="103"/>
      <c r="BP1018" s="103"/>
      <c r="BQ1018" s="103"/>
      <c r="BR1018" s="103"/>
      <c r="BS1018" s="103"/>
    </row>
    <row r="1019" spans="47:71" x14ac:dyDescent="0.25">
      <c r="AU1019" s="102"/>
      <c r="AV1019" s="102"/>
      <c r="AW1019" s="102"/>
      <c r="AX1019" s="102"/>
      <c r="AY1019" s="102"/>
      <c r="AZ1019" s="102"/>
      <c r="BA1019" s="102"/>
      <c r="BB1019" s="102"/>
      <c r="BC1019" s="102"/>
      <c r="BD1019" s="102"/>
      <c r="BE1019" s="102"/>
      <c r="BF1019" s="102"/>
      <c r="BG1019" s="102"/>
      <c r="BI1019" s="102"/>
      <c r="BJ1019" s="102"/>
      <c r="BK1019" s="102"/>
      <c r="BL1019" s="102"/>
      <c r="BM1019" s="102"/>
      <c r="BO1019" s="102"/>
      <c r="BP1019" s="102"/>
      <c r="BQ1019" s="102"/>
      <c r="BR1019" s="102"/>
      <c r="BS1019" s="102"/>
    </row>
    <row r="1020" spans="47:71" x14ac:dyDescent="0.25"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</row>
    <row r="1021" spans="47:71" x14ac:dyDescent="0.25">
      <c r="AU1021" s="202"/>
      <c r="AW1021" s="154"/>
      <c r="AX1021" s="103"/>
      <c r="BA1021" s="213"/>
    </row>
    <row r="1022" spans="47:71" x14ac:dyDescent="0.25">
      <c r="AU1022" s="202"/>
      <c r="AX1022" s="103"/>
      <c r="AY1022" s="200"/>
      <c r="AZ1022" s="334"/>
      <c r="BA1022" s="334"/>
      <c r="BB1022" s="334"/>
      <c r="BC1022" s="210"/>
      <c r="BD1022" s="334"/>
      <c r="BE1022" s="213"/>
      <c r="BF1022" s="213"/>
      <c r="BG1022" s="210"/>
      <c r="BI1022" s="334"/>
      <c r="BJ1022" s="334"/>
      <c r="BK1022" s="334"/>
      <c r="BL1022" s="334"/>
      <c r="BM1022" s="334"/>
      <c r="BO1022" s="334"/>
      <c r="BP1022" s="334"/>
      <c r="BQ1022" s="334"/>
      <c r="BR1022" s="334"/>
      <c r="BS1022" s="334"/>
    </row>
    <row r="1023" spans="47:71" x14ac:dyDescent="0.25">
      <c r="AU1023" s="202"/>
      <c r="AX1023" s="103"/>
      <c r="AY1023" s="200"/>
      <c r="AZ1023" s="334"/>
      <c r="BA1023" s="334"/>
      <c r="BB1023" s="334"/>
      <c r="BC1023" s="210"/>
      <c r="BD1023" s="334"/>
      <c r="BE1023" s="213"/>
      <c r="BF1023" s="213"/>
      <c r="BG1023" s="210"/>
      <c r="BI1023" s="334"/>
      <c r="BJ1023" s="334"/>
      <c r="BK1023" s="334"/>
      <c r="BL1023" s="334"/>
      <c r="BM1023" s="334"/>
      <c r="BO1023" s="334"/>
      <c r="BP1023" s="334"/>
      <c r="BQ1023" s="334"/>
      <c r="BR1023" s="334"/>
      <c r="BS1023" s="334"/>
    </row>
    <row r="1024" spans="47:71" x14ac:dyDescent="0.25">
      <c r="AU1024" s="202"/>
      <c r="AX1024" s="103"/>
      <c r="AY1024" s="200"/>
      <c r="AZ1024" s="334"/>
      <c r="BA1024" s="334"/>
      <c r="BB1024" s="334"/>
      <c r="BC1024" s="210"/>
      <c r="BD1024" s="334"/>
      <c r="BE1024" s="213"/>
      <c r="BF1024" s="213"/>
      <c r="BG1024" s="210"/>
      <c r="BI1024" s="334"/>
      <c r="BJ1024" s="334"/>
      <c r="BK1024" s="334"/>
      <c r="BL1024" s="334"/>
      <c r="BM1024" s="334"/>
      <c r="BO1024" s="334"/>
      <c r="BP1024" s="334"/>
      <c r="BQ1024" s="334"/>
      <c r="BR1024" s="334"/>
      <c r="BS1024" s="334"/>
    </row>
    <row r="1025" spans="47:71" x14ac:dyDescent="0.25">
      <c r="AU1025" s="202"/>
      <c r="AX1025" s="103"/>
      <c r="AY1025" s="200"/>
      <c r="AZ1025" s="334"/>
      <c r="BA1025" s="334"/>
      <c r="BB1025" s="334"/>
      <c r="BC1025" s="210"/>
      <c r="BD1025" s="334"/>
      <c r="BE1025" s="213"/>
      <c r="BF1025" s="213"/>
      <c r="BG1025" s="210"/>
      <c r="BI1025" s="334"/>
      <c r="BJ1025" s="334"/>
      <c r="BK1025" s="334"/>
      <c r="BL1025" s="334"/>
      <c r="BM1025" s="334"/>
      <c r="BO1025" s="334"/>
      <c r="BP1025" s="334"/>
      <c r="BQ1025" s="334"/>
      <c r="BR1025" s="334"/>
      <c r="BS1025" s="334"/>
    </row>
    <row r="1026" spans="47:71" x14ac:dyDescent="0.25">
      <c r="AU1026" s="202"/>
      <c r="AX1026" s="103"/>
      <c r="AY1026" s="200"/>
      <c r="AZ1026" s="334"/>
      <c r="BA1026" s="334"/>
      <c r="BB1026" s="334"/>
      <c r="BC1026" s="210"/>
      <c r="BD1026" s="334"/>
      <c r="BE1026" s="213"/>
      <c r="BF1026" s="213"/>
      <c r="BG1026" s="210"/>
      <c r="BI1026" s="334"/>
      <c r="BJ1026" s="334"/>
      <c r="BK1026" s="334"/>
      <c r="BL1026" s="334"/>
      <c r="BM1026" s="334"/>
      <c r="BO1026" s="334"/>
      <c r="BP1026" s="334"/>
      <c r="BQ1026" s="334"/>
      <c r="BR1026" s="334"/>
      <c r="BS1026" s="334"/>
    </row>
    <row r="1027" spans="47:71" x14ac:dyDescent="0.25">
      <c r="AU1027" s="202"/>
      <c r="AX1027" s="103"/>
      <c r="AY1027" s="200"/>
      <c r="AZ1027" s="334"/>
      <c r="BA1027" s="334"/>
      <c r="BB1027" s="334"/>
      <c r="BC1027" s="210"/>
      <c r="BD1027" s="334"/>
      <c r="BE1027" s="213"/>
      <c r="BF1027" s="213"/>
      <c r="BG1027" s="210"/>
      <c r="BI1027" s="334"/>
      <c r="BJ1027" s="334"/>
      <c r="BK1027" s="334"/>
      <c r="BL1027" s="334"/>
      <c r="BM1027" s="334"/>
      <c r="BO1027" s="334"/>
      <c r="BP1027" s="334"/>
      <c r="BQ1027" s="334"/>
      <c r="BR1027" s="334"/>
      <c r="BS1027" s="334"/>
    </row>
    <row r="1028" spans="47:71" x14ac:dyDescent="0.25">
      <c r="AU1028" s="202"/>
      <c r="AX1028" s="103"/>
      <c r="AY1028" s="200"/>
      <c r="AZ1028" s="334"/>
      <c r="BA1028" s="334"/>
      <c r="BB1028" s="334"/>
      <c r="BC1028" s="210"/>
      <c r="BD1028" s="334"/>
      <c r="BE1028" s="213"/>
      <c r="BF1028" s="213"/>
      <c r="BG1028" s="210"/>
      <c r="BI1028" s="334"/>
      <c r="BJ1028" s="334"/>
      <c r="BK1028" s="334"/>
      <c r="BL1028" s="334"/>
      <c r="BM1028" s="334"/>
      <c r="BO1028" s="334"/>
      <c r="BP1028" s="334"/>
      <c r="BQ1028" s="334"/>
      <c r="BR1028" s="334"/>
      <c r="BS1028" s="334"/>
    </row>
    <row r="1029" spans="47:71" x14ac:dyDescent="0.25">
      <c r="BA1029" s="213"/>
      <c r="BB1029" s="334"/>
      <c r="BC1029" s="210"/>
      <c r="BD1029" s="334"/>
      <c r="BE1029" s="213"/>
      <c r="BF1029" s="213"/>
      <c r="BG1029" s="210"/>
      <c r="BM1029" s="334"/>
      <c r="BS1029" s="334"/>
    </row>
    <row r="1030" spans="47:71" x14ac:dyDescent="0.25">
      <c r="AU1030" s="202"/>
      <c r="AX1030" s="103"/>
      <c r="BA1030" s="213"/>
      <c r="BB1030" s="334"/>
      <c r="BC1030" s="210"/>
      <c r="BD1030" s="334"/>
      <c r="BE1030" s="213"/>
      <c r="BF1030" s="213"/>
      <c r="BG1030" s="210"/>
      <c r="BM1030" s="334"/>
      <c r="BS1030" s="334"/>
    </row>
    <row r="1031" spans="47:71" x14ac:dyDescent="0.25">
      <c r="AU1031" s="202"/>
      <c r="AX1031" s="103"/>
      <c r="AY1031" s="200"/>
      <c r="AZ1031" s="334"/>
      <c r="BA1031" s="334"/>
      <c r="BB1031" s="334"/>
      <c r="BC1031" s="210"/>
      <c r="BD1031" s="334"/>
      <c r="BE1031" s="213"/>
      <c r="BF1031" s="213"/>
      <c r="BG1031" s="210"/>
      <c r="BI1031" s="334"/>
      <c r="BJ1031" s="334"/>
      <c r="BK1031" s="334"/>
      <c r="BL1031" s="334"/>
      <c r="BM1031" s="334"/>
      <c r="BO1031" s="334"/>
      <c r="BP1031" s="334"/>
      <c r="BQ1031" s="334"/>
      <c r="BR1031" s="334"/>
      <c r="BS1031" s="334"/>
    </row>
    <row r="1032" spans="47:71" x14ac:dyDescent="0.25">
      <c r="AU1032" s="202"/>
      <c r="AX1032" s="103"/>
      <c r="AY1032" s="200"/>
      <c r="AZ1032" s="334"/>
      <c r="BA1032" s="334"/>
      <c r="BB1032" s="334"/>
      <c r="BC1032" s="210"/>
      <c r="BD1032" s="334"/>
      <c r="BE1032" s="213"/>
      <c r="BF1032" s="213"/>
      <c r="BG1032" s="210"/>
      <c r="BI1032" s="334"/>
      <c r="BJ1032" s="334"/>
      <c r="BK1032" s="334"/>
      <c r="BL1032" s="334"/>
      <c r="BM1032" s="334"/>
      <c r="BO1032" s="334"/>
      <c r="BP1032" s="334"/>
      <c r="BQ1032" s="334"/>
      <c r="BR1032" s="334"/>
      <c r="BS1032" s="334"/>
    </row>
    <row r="1033" spans="47:71" x14ac:dyDescent="0.25">
      <c r="AU1033" s="202"/>
      <c r="AX1033" s="103"/>
      <c r="AY1033" s="200"/>
      <c r="AZ1033" s="334"/>
      <c r="BA1033" s="334"/>
      <c r="BB1033" s="334"/>
      <c r="BC1033" s="210"/>
      <c r="BD1033" s="334"/>
      <c r="BE1033" s="213"/>
      <c r="BF1033" s="213"/>
      <c r="BG1033" s="210"/>
      <c r="BI1033" s="334"/>
      <c r="BJ1033" s="334"/>
      <c r="BK1033" s="334"/>
      <c r="BL1033" s="334"/>
      <c r="BM1033" s="334"/>
      <c r="BO1033" s="334"/>
      <c r="BP1033" s="334"/>
      <c r="BQ1033" s="334"/>
      <c r="BR1033" s="334"/>
      <c r="BS1033" s="334"/>
    </row>
    <row r="1034" spans="47:71" x14ac:dyDescent="0.25">
      <c r="AU1034" s="202"/>
      <c r="AX1034" s="103"/>
      <c r="AY1034" s="200"/>
      <c r="AZ1034" s="334"/>
      <c r="BA1034" s="334"/>
      <c r="BB1034" s="334"/>
      <c r="BC1034" s="210"/>
      <c r="BD1034" s="334"/>
      <c r="BE1034" s="213"/>
      <c r="BF1034" s="213"/>
      <c r="BG1034" s="210"/>
      <c r="BI1034" s="334"/>
      <c r="BJ1034" s="334"/>
      <c r="BK1034" s="334"/>
      <c r="BL1034" s="334"/>
      <c r="BM1034" s="334"/>
      <c r="BO1034" s="334"/>
      <c r="BP1034" s="334"/>
      <c r="BQ1034" s="334"/>
      <c r="BR1034" s="334"/>
      <c r="BS1034" s="334"/>
    </row>
    <row r="1035" spans="47:71" x14ac:dyDescent="0.25">
      <c r="AU1035" s="202"/>
      <c r="AX1035" s="103"/>
      <c r="AY1035" s="200"/>
      <c r="AZ1035" s="334"/>
      <c r="BA1035" s="334"/>
      <c r="BB1035" s="334"/>
      <c r="BC1035" s="210"/>
      <c r="BD1035" s="334"/>
      <c r="BE1035" s="213"/>
      <c r="BF1035" s="213"/>
      <c r="BG1035" s="210"/>
      <c r="BI1035" s="334"/>
      <c r="BJ1035" s="334"/>
      <c r="BK1035" s="334"/>
      <c r="BL1035" s="334"/>
      <c r="BM1035" s="334"/>
      <c r="BO1035" s="334"/>
      <c r="BP1035" s="334"/>
      <c r="BQ1035" s="334"/>
      <c r="BR1035" s="334"/>
      <c r="BS1035" s="334"/>
    </row>
    <row r="1036" spans="47:71" x14ac:dyDescent="0.25">
      <c r="AU1036" s="202"/>
      <c r="AX1036" s="103"/>
      <c r="AY1036" s="200"/>
      <c r="AZ1036" s="334"/>
      <c r="BA1036" s="334"/>
      <c r="BB1036" s="334"/>
      <c r="BC1036" s="210"/>
      <c r="BD1036" s="334"/>
      <c r="BE1036" s="213"/>
      <c r="BF1036" s="213"/>
      <c r="BG1036" s="210"/>
      <c r="BI1036" s="334"/>
      <c r="BJ1036" s="334"/>
      <c r="BK1036" s="334"/>
      <c r="BL1036" s="334"/>
      <c r="BM1036" s="334"/>
      <c r="BO1036" s="334"/>
      <c r="BP1036" s="334"/>
      <c r="BQ1036" s="334"/>
      <c r="BR1036" s="334"/>
      <c r="BS1036" s="334"/>
    </row>
    <row r="1037" spans="47:71" x14ac:dyDescent="0.25">
      <c r="AU1037" s="202"/>
      <c r="AX1037" s="103"/>
      <c r="AY1037" s="200"/>
      <c r="AZ1037" s="334"/>
      <c r="BA1037" s="334"/>
      <c r="BB1037" s="334"/>
      <c r="BC1037" s="210"/>
      <c r="BD1037" s="334"/>
      <c r="BE1037" s="213"/>
      <c r="BF1037" s="213"/>
      <c r="BG1037" s="210"/>
      <c r="BI1037" s="334"/>
      <c r="BJ1037" s="334"/>
      <c r="BK1037" s="334"/>
      <c r="BL1037" s="334"/>
      <c r="BM1037" s="334"/>
      <c r="BO1037" s="334"/>
      <c r="BP1037" s="334"/>
      <c r="BQ1037" s="334"/>
      <c r="BR1037" s="334"/>
      <c r="BS1037" s="334"/>
    </row>
    <row r="1038" spans="47:71" x14ac:dyDescent="0.25">
      <c r="AU1038" s="202"/>
      <c r="AX1038" s="103"/>
      <c r="AY1038" s="200"/>
      <c r="AZ1038" s="334"/>
      <c r="BA1038" s="334"/>
      <c r="BB1038" s="334"/>
      <c r="BC1038" s="210"/>
      <c r="BD1038" s="334"/>
      <c r="BE1038" s="213"/>
      <c r="BF1038" s="213"/>
      <c r="BG1038" s="210"/>
      <c r="BI1038" s="334"/>
      <c r="BJ1038" s="334"/>
      <c r="BK1038" s="334"/>
      <c r="BL1038" s="334"/>
      <c r="BM1038" s="334"/>
      <c r="BO1038" s="334"/>
      <c r="BP1038" s="334"/>
      <c r="BQ1038" s="334"/>
      <c r="BR1038" s="334"/>
      <c r="BS1038" s="334"/>
    </row>
    <row r="1039" spans="47:71" x14ac:dyDescent="0.25">
      <c r="BA1039" s="213"/>
      <c r="BB1039" s="334"/>
      <c r="BC1039" s="210"/>
      <c r="BD1039" s="334"/>
      <c r="BE1039" s="213"/>
      <c r="BF1039" s="213"/>
      <c r="BG1039" s="210"/>
      <c r="BM1039" s="334"/>
      <c r="BS1039" s="334"/>
    </row>
    <row r="1040" spans="47:71" x14ac:dyDescent="0.25">
      <c r="AW1040" s="154"/>
      <c r="BB1040" s="334"/>
      <c r="BD1040" s="334"/>
      <c r="BI1040" s="334"/>
      <c r="BJ1040" s="334"/>
      <c r="BL1040" s="334"/>
      <c r="BM1040" s="334"/>
    </row>
    <row r="1041" spans="47:77" x14ac:dyDescent="0.25">
      <c r="BB1041" s="334"/>
      <c r="BD1041" s="334"/>
    </row>
    <row r="1042" spans="47:77" x14ac:dyDescent="0.25">
      <c r="AU1042" s="154"/>
      <c r="BB1042" s="334"/>
      <c r="BD1042" s="334"/>
      <c r="BK1042" s="334"/>
    </row>
    <row r="1043" spans="47:77" x14ac:dyDescent="0.25">
      <c r="BA1043" s="202"/>
      <c r="BB1043" s="334"/>
      <c r="BD1043" s="334"/>
    </row>
    <row r="1044" spans="47:77" x14ac:dyDescent="0.25">
      <c r="BA1044" s="334"/>
      <c r="BD1044" s="334"/>
    </row>
    <row r="1045" spans="47:77" x14ac:dyDescent="0.25">
      <c r="BA1045" s="154"/>
      <c r="BB1045" s="334"/>
      <c r="BD1045" s="334"/>
    </row>
    <row r="1046" spans="47:77" x14ac:dyDescent="0.25">
      <c r="BA1046" s="154"/>
      <c r="BB1046" s="334"/>
      <c r="BD1046" s="334"/>
    </row>
    <row r="1047" spans="47:77" x14ac:dyDescent="0.25">
      <c r="AU1047" s="202"/>
      <c r="BB1047" s="334"/>
      <c r="BD1047" s="334"/>
      <c r="BF1047" s="154"/>
    </row>
    <row r="1048" spans="47:77" x14ac:dyDescent="0.25">
      <c r="AU1048" s="202"/>
      <c r="BB1048" s="334"/>
      <c r="BD1048" s="334"/>
      <c r="BF1048" s="154"/>
    </row>
    <row r="1049" spans="47:77" x14ac:dyDescent="0.25">
      <c r="AU1049" s="154"/>
      <c r="BB1049" s="334"/>
      <c r="BD1049" s="334"/>
      <c r="BF1049" s="154"/>
    </row>
    <row r="1050" spans="47:77" x14ac:dyDescent="0.25">
      <c r="BB1050" s="334"/>
      <c r="BD1050" s="334"/>
      <c r="BF1050" s="202"/>
    </row>
    <row r="1051" spans="47:77" x14ac:dyDescent="0.25">
      <c r="AU1051" s="102"/>
      <c r="AV1051" s="102"/>
      <c r="AW1051" s="102"/>
      <c r="AX1051" s="102"/>
      <c r="AY1051" s="102"/>
      <c r="AZ1051" s="102"/>
      <c r="BA1051" s="102"/>
      <c r="BB1051" s="335"/>
      <c r="BC1051" s="102"/>
      <c r="BD1051" s="335"/>
      <c r="BE1051" s="102"/>
      <c r="BF1051" s="102"/>
      <c r="BG1051" s="102"/>
    </row>
    <row r="1052" spans="47:77" x14ac:dyDescent="0.25">
      <c r="AZ1052" s="154"/>
      <c r="BB1052" s="334"/>
      <c r="BD1052" s="334"/>
    </row>
    <row r="1053" spans="47:77" x14ac:dyDescent="0.25">
      <c r="AZ1053" s="102"/>
      <c r="BA1053" s="102"/>
      <c r="BB1053" s="335"/>
      <c r="BC1053" s="102"/>
      <c r="BD1053" s="334"/>
      <c r="BE1053" s="103"/>
      <c r="BF1053" s="103"/>
    </row>
    <row r="1054" spans="47:77" x14ac:dyDescent="0.25">
      <c r="AX1054" s="103"/>
      <c r="AY1054" s="103"/>
      <c r="BB1054" s="336"/>
      <c r="BC1054" s="103"/>
      <c r="BD1054" s="334"/>
      <c r="BE1054" s="103"/>
      <c r="BF1054" s="103"/>
      <c r="BG1054" s="103"/>
      <c r="BI1054" s="102"/>
      <c r="BJ1054" s="102"/>
      <c r="BK1054" s="154"/>
      <c r="BO1054" s="102"/>
      <c r="BP1054" s="102"/>
      <c r="BR1054" s="102"/>
      <c r="BS1054" s="102"/>
      <c r="BT1054" s="154"/>
      <c r="BX1054" s="102"/>
      <c r="BY1054" s="102"/>
    </row>
    <row r="1055" spans="47:77" x14ac:dyDescent="0.25">
      <c r="AX1055" s="103"/>
      <c r="AY1055" s="103"/>
      <c r="AZ1055" s="103"/>
      <c r="BA1055" s="103"/>
      <c r="BB1055" s="336"/>
      <c r="BC1055" s="103"/>
      <c r="BD1055" s="336"/>
      <c r="BE1055" s="103"/>
      <c r="BF1055" s="103"/>
      <c r="BG1055" s="103"/>
      <c r="BJ1055" s="103"/>
      <c r="BK1055" s="103"/>
      <c r="BL1055" s="103"/>
      <c r="BM1055" s="103"/>
      <c r="BN1055" s="103"/>
      <c r="BO1055" s="103"/>
      <c r="BS1055" s="103"/>
      <c r="BT1055" s="103"/>
      <c r="BU1055" s="103"/>
      <c r="BV1055" s="103"/>
      <c r="BW1055" s="103"/>
      <c r="BX1055" s="103"/>
    </row>
    <row r="1056" spans="47:77" x14ac:dyDescent="0.25">
      <c r="AU1056" s="103"/>
      <c r="AW1056" s="154"/>
      <c r="AX1056" s="103"/>
      <c r="AY1056" s="103"/>
      <c r="AZ1056" s="103"/>
      <c r="BA1056" s="103"/>
      <c r="BB1056" s="336"/>
      <c r="BC1056" s="103"/>
      <c r="BD1056" s="336"/>
      <c r="BE1056" s="103"/>
      <c r="BF1056" s="103"/>
      <c r="BG1056" s="103"/>
      <c r="BI1056" s="103"/>
      <c r="BJ1056" s="103"/>
      <c r="BK1056" s="103"/>
      <c r="BL1056" s="103"/>
      <c r="BM1056" s="103"/>
      <c r="BN1056" s="103"/>
      <c r="BO1056" s="103"/>
      <c r="BP1056" s="103"/>
      <c r="BR1056" s="103"/>
      <c r="BS1056" s="103"/>
      <c r="BT1056" s="103"/>
      <c r="BU1056" s="103"/>
      <c r="BV1056" s="103"/>
      <c r="BW1056" s="103"/>
      <c r="BX1056" s="103"/>
      <c r="BY1056" s="103"/>
    </row>
    <row r="1057" spans="47:77" x14ac:dyDescent="0.25">
      <c r="AU1057" s="103"/>
      <c r="AW1057" s="154"/>
      <c r="AX1057" s="103"/>
      <c r="AY1057" s="103"/>
      <c r="AZ1057" s="103"/>
      <c r="BA1057" s="103"/>
      <c r="BB1057" s="336"/>
      <c r="BC1057" s="103"/>
      <c r="BD1057" s="336"/>
      <c r="BE1057" s="103"/>
      <c r="BF1057" s="103"/>
      <c r="BG1057" s="103"/>
      <c r="BI1057" s="103"/>
      <c r="BJ1057" s="103"/>
      <c r="BK1057" s="103"/>
      <c r="BL1057" s="103"/>
      <c r="BM1057" s="103"/>
      <c r="BN1057" s="103"/>
      <c r="BO1057" s="103"/>
      <c r="BP1057" s="103"/>
      <c r="BR1057" s="103"/>
      <c r="BS1057" s="103"/>
      <c r="BT1057" s="103"/>
      <c r="BU1057" s="103"/>
      <c r="BV1057" s="103"/>
      <c r="BW1057" s="103"/>
      <c r="BX1057" s="103"/>
      <c r="BY1057" s="103"/>
    </row>
    <row r="1058" spans="47:77" x14ac:dyDescent="0.25">
      <c r="AU1058" s="102"/>
      <c r="AV1058" s="102"/>
      <c r="AW1058" s="102"/>
      <c r="AX1058" s="102"/>
      <c r="AY1058" s="102"/>
      <c r="AZ1058" s="102"/>
      <c r="BA1058" s="102"/>
      <c r="BB1058" s="335"/>
      <c r="BC1058" s="102"/>
      <c r="BD1058" s="335"/>
      <c r="BE1058" s="102"/>
      <c r="BF1058" s="102"/>
      <c r="BG1058" s="102"/>
      <c r="BI1058" s="102"/>
      <c r="BJ1058" s="102"/>
      <c r="BK1058" s="102"/>
      <c r="BL1058" s="102"/>
      <c r="BM1058" s="102"/>
      <c r="BN1058" s="102"/>
      <c r="BO1058" s="102"/>
      <c r="BP1058" s="102"/>
      <c r="BR1058" s="102"/>
      <c r="BS1058" s="102"/>
      <c r="BT1058" s="102"/>
      <c r="BU1058" s="102"/>
      <c r="BV1058" s="102"/>
      <c r="BW1058" s="102"/>
      <c r="BX1058" s="102"/>
      <c r="BY1058" s="102"/>
    </row>
    <row r="1059" spans="47:77" x14ac:dyDescent="0.25">
      <c r="AX1059" s="103"/>
      <c r="AY1059" s="103"/>
      <c r="AZ1059" s="103"/>
      <c r="BA1059" s="103"/>
      <c r="BB1059" s="336"/>
      <c r="BC1059" s="103"/>
      <c r="BD1059" s="336"/>
      <c r="BE1059" s="103"/>
      <c r="BF1059" s="103"/>
      <c r="BG1059" s="103"/>
      <c r="BI1059" s="334"/>
      <c r="BJ1059" s="334"/>
      <c r="BK1059" s="334"/>
      <c r="BL1059" s="334"/>
      <c r="BM1059" s="334"/>
      <c r="BN1059" s="334"/>
      <c r="BO1059" s="334"/>
      <c r="BP1059" s="334"/>
      <c r="BQ1059" s="334"/>
      <c r="BR1059" s="334"/>
      <c r="BS1059" s="334"/>
      <c r="BT1059" s="334"/>
      <c r="BU1059" s="334"/>
      <c r="BV1059" s="334"/>
      <c r="BW1059" s="334"/>
      <c r="BX1059" s="334"/>
      <c r="BY1059" s="334"/>
    </row>
    <row r="1060" spans="47:77" x14ac:dyDescent="0.25">
      <c r="AU1060" s="202"/>
      <c r="AW1060" s="154"/>
      <c r="AX1060" s="202"/>
      <c r="AY1060" s="200"/>
      <c r="AZ1060" s="334"/>
      <c r="BA1060" s="334"/>
      <c r="BB1060" s="334"/>
      <c r="BC1060" s="201"/>
      <c r="BD1060" s="334"/>
      <c r="BE1060" s="334"/>
      <c r="BF1060" s="334"/>
      <c r="BG1060" s="201"/>
      <c r="BI1060" s="334"/>
      <c r="BJ1060" s="334"/>
      <c r="BK1060" s="334"/>
      <c r="BL1060" s="334"/>
      <c r="BM1060" s="334"/>
      <c r="BN1060" s="334"/>
      <c r="BO1060" s="334"/>
      <c r="BP1060" s="334"/>
      <c r="BQ1060" s="334"/>
      <c r="BR1060" s="334"/>
      <c r="BS1060" s="334"/>
      <c r="BT1060" s="334"/>
      <c r="BU1060" s="334"/>
      <c r="BV1060" s="334"/>
      <c r="BW1060" s="334"/>
      <c r="BX1060" s="334"/>
      <c r="BY1060" s="334"/>
    </row>
    <row r="1061" spans="47:77" x14ac:dyDescent="0.25">
      <c r="AU1061" s="202"/>
      <c r="AX1061" s="202"/>
      <c r="AY1061" s="200"/>
      <c r="AZ1061" s="334"/>
      <c r="BA1061" s="334"/>
      <c r="BB1061" s="334"/>
      <c r="BC1061" s="201"/>
      <c r="BD1061" s="334"/>
      <c r="BE1061" s="334"/>
      <c r="BF1061" s="334"/>
      <c r="BG1061" s="201"/>
      <c r="BI1061" s="334"/>
      <c r="BJ1061" s="334"/>
      <c r="BK1061" s="334"/>
      <c r="BL1061" s="334"/>
      <c r="BM1061" s="334"/>
      <c r="BN1061" s="334"/>
      <c r="BO1061" s="334"/>
      <c r="BP1061" s="334"/>
      <c r="BQ1061" s="334"/>
      <c r="BR1061" s="334"/>
      <c r="BS1061" s="334"/>
      <c r="BT1061" s="334"/>
      <c r="BU1061" s="334"/>
      <c r="BV1061" s="334"/>
      <c r="BW1061" s="334"/>
      <c r="BX1061" s="334"/>
      <c r="BY1061" s="334"/>
    </row>
    <row r="1062" spans="47:77" x14ac:dyDescent="0.25">
      <c r="AU1062" s="202"/>
      <c r="AX1062" s="202"/>
      <c r="AY1062" s="200"/>
      <c r="AZ1062" s="334"/>
      <c r="BA1062" s="334"/>
      <c r="BB1062" s="334"/>
      <c r="BC1062" s="201"/>
      <c r="BD1062" s="334"/>
      <c r="BE1062" s="334"/>
      <c r="BF1062" s="334"/>
      <c r="BG1062" s="201"/>
      <c r="BI1062" s="334"/>
      <c r="BJ1062" s="334"/>
      <c r="BK1062" s="334"/>
      <c r="BL1062" s="334"/>
      <c r="BM1062" s="334"/>
      <c r="BN1062" s="334"/>
      <c r="BO1062" s="334"/>
      <c r="BP1062" s="334"/>
      <c r="BQ1062" s="334"/>
      <c r="BR1062" s="334"/>
      <c r="BS1062" s="334"/>
      <c r="BT1062" s="334"/>
      <c r="BU1062" s="334"/>
      <c r="BV1062" s="334"/>
      <c r="BW1062" s="334"/>
      <c r="BX1062" s="334"/>
      <c r="BY1062" s="334"/>
    </row>
    <row r="1063" spans="47:77" x14ac:dyDescent="0.25">
      <c r="AU1063" s="202"/>
      <c r="AX1063" s="202"/>
      <c r="AY1063" s="200"/>
      <c r="AZ1063" s="334"/>
      <c r="BA1063" s="334"/>
      <c r="BB1063" s="334"/>
      <c r="BC1063" s="201"/>
      <c r="BD1063" s="334"/>
      <c r="BE1063" s="334"/>
      <c r="BF1063" s="334"/>
      <c r="BG1063" s="201"/>
      <c r="BI1063" s="334"/>
      <c r="BJ1063" s="334"/>
      <c r="BK1063" s="334"/>
      <c r="BL1063" s="334"/>
      <c r="BM1063" s="334"/>
      <c r="BN1063" s="334"/>
      <c r="BO1063" s="334"/>
      <c r="BP1063" s="334"/>
      <c r="BQ1063" s="334"/>
      <c r="BR1063" s="334"/>
      <c r="BS1063" s="334"/>
      <c r="BT1063" s="334"/>
      <c r="BU1063" s="334"/>
      <c r="BV1063" s="334"/>
      <c r="BW1063" s="334"/>
      <c r="BX1063" s="334"/>
      <c r="BY1063" s="334"/>
    </row>
    <row r="1064" spans="47:77" x14ac:dyDescent="0.25">
      <c r="AU1064" s="202"/>
      <c r="AX1064" s="202"/>
      <c r="AY1064" s="200"/>
      <c r="AZ1064" s="334"/>
      <c r="BA1064" s="334"/>
      <c r="BB1064" s="334"/>
      <c r="BC1064" s="201"/>
      <c r="BD1064" s="334"/>
      <c r="BE1064" s="334"/>
      <c r="BF1064" s="334"/>
      <c r="BG1064" s="201"/>
      <c r="BI1064" s="334"/>
      <c r="BJ1064" s="334"/>
      <c r="BK1064" s="334"/>
      <c r="BL1064" s="334"/>
      <c r="BM1064" s="334"/>
      <c r="BN1064" s="334"/>
      <c r="BO1064" s="334"/>
      <c r="BP1064" s="334"/>
      <c r="BQ1064" s="334"/>
      <c r="BR1064" s="334"/>
      <c r="BS1064" s="334"/>
      <c r="BT1064" s="334"/>
      <c r="BU1064" s="334"/>
      <c r="BV1064" s="334"/>
      <c r="BW1064" s="334"/>
      <c r="BX1064" s="334"/>
      <c r="BY1064" s="334"/>
    </row>
    <row r="1065" spans="47:77" x14ac:dyDescent="0.25">
      <c r="AU1065" s="202"/>
      <c r="AX1065" s="202"/>
      <c r="AY1065" s="200"/>
      <c r="AZ1065" s="334"/>
      <c r="BA1065" s="334"/>
      <c r="BB1065" s="334"/>
      <c r="BC1065" s="201"/>
      <c r="BD1065" s="334"/>
      <c r="BE1065" s="334"/>
      <c r="BF1065" s="334"/>
      <c r="BG1065" s="201"/>
      <c r="BI1065" s="334"/>
      <c r="BJ1065" s="334"/>
      <c r="BK1065" s="334"/>
      <c r="BL1065" s="334"/>
      <c r="BM1065" s="334"/>
      <c r="BN1065" s="334"/>
      <c r="BO1065" s="334"/>
      <c r="BP1065" s="334"/>
      <c r="BQ1065" s="334"/>
      <c r="BR1065" s="334"/>
      <c r="BS1065" s="334"/>
      <c r="BT1065" s="334"/>
      <c r="BU1065" s="334"/>
      <c r="BV1065" s="334"/>
      <c r="BW1065" s="334"/>
      <c r="BX1065" s="334"/>
      <c r="BY1065" s="334"/>
    </row>
    <row r="1066" spans="47:77" x14ac:dyDescent="0.25">
      <c r="AU1066" s="202"/>
      <c r="AX1066" s="202"/>
      <c r="AY1066" s="200"/>
      <c r="AZ1066" s="334"/>
      <c r="BA1066" s="334"/>
      <c r="BB1066" s="334"/>
      <c r="BC1066" s="201"/>
      <c r="BD1066" s="334"/>
      <c r="BE1066" s="334"/>
      <c r="BF1066" s="334"/>
      <c r="BG1066" s="201"/>
      <c r="BI1066" s="334"/>
      <c r="BJ1066" s="334"/>
      <c r="BK1066" s="334"/>
      <c r="BL1066" s="334"/>
      <c r="BM1066" s="334"/>
      <c r="BN1066" s="334"/>
      <c r="BO1066" s="334"/>
      <c r="BP1066" s="334"/>
      <c r="BQ1066" s="334"/>
      <c r="BR1066" s="334"/>
      <c r="BS1066" s="334"/>
      <c r="BT1066" s="334"/>
      <c r="BU1066" s="334"/>
      <c r="BV1066" s="334"/>
      <c r="BW1066" s="334"/>
      <c r="BX1066" s="334"/>
      <c r="BY1066" s="334"/>
    </row>
    <row r="1067" spans="47:77" x14ac:dyDescent="0.25">
      <c r="AU1067" s="202"/>
      <c r="AX1067" s="202"/>
      <c r="AY1067" s="200"/>
      <c r="AZ1067" s="334"/>
      <c r="BA1067" s="334"/>
      <c r="BB1067" s="334"/>
      <c r="BC1067" s="201"/>
      <c r="BD1067" s="334"/>
      <c r="BE1067" s="334"/>
      <c r="BF1067" s="334"/>
      <c r="BG1067" s="201"/>
      <c r="BI1067" s="334"/>
      <c r="BJ1067" s="334"/>
      <c r="BK1067" s="334"/>
      <c r="BL1067" s="334"/>
      <c r="BM1067" s="334"/>
      <c r="BN1067" s="334"/>
      <c r="BO1067" s="334"/>
      <c r="BP1067" s="334"/>
      <c r="BQ1067" s="334"/>
      <c r="BR1067" s="334"/>
      <c r="BS1067" s="334"/>
      <c r="BT1067" s="334"/>
      <c r="BU1067" s="334"/>
      <c r="BV1067" s="334"/>
      <c r="BW1067" s="334"/>
      <c r="BX1067" s="334"/>
      <c r="BY1067" s="334"/>
    </row>
    <row r="1068" spans="47:77" x14ac:dyDescent="0.25">
      <c r="AU1068" s="202"/>
      <c r="AX1068" s="202"/>
      <c r="AY1068" s="200"/>
      <c r="AZ1068" s="334"/>
      <c r="BA1068" s="334"/>
      <c r="BB1068" s="334"/>
      <c r="BC1068" s="201"/>
      <c r="BD1068" s="334"/>
      <c r="BE1068" s="334"/>
      <c r="BF1068" s="334"/>
      <c r="BG1068" s="201"/>
      <c r="BI1068" s="334"/>
      <c r="BJ1068" s="334"/>
      <c r="BK1068" s="334"/>
      <c r="BL1068" s="334"/>
      <c r="BM1068" s="334"/>
      <c r="BN1068" s="334"/>
      <c r="BO1068" s="334"/>
      <c r="BP1068" s="334"/>
      <c r="BQ1068" s="334"/>
      <c r="BR1068" s="334"/>
      <c r="BS1068" s="334"/>
      <c r="BT1068" s="334"/>
      <c r="BU1068" s="334"/>
      <c r="BV1068" s="334"/>
      <c r="BW1068" s="334"/>
      <c r="BX1068" s="334"/>
      <c r="BY1068" s="334"/>
    </row>
    <row r="1069" spans="47:77" x14ac:dyDescent="0.25">
      <c r="AU1069" s="202"/>
      <c r="AX1069" s="202"/>
      <c r="AY1069" s="200"/>
      <c r="AZ1069" s="334"/>
      <c r="BA1069" s="334"/>
      <c r="BB1069" s="334"/>
      <c r="BC1069" s="201"/>
      <c r="BD1069" s="334"/>
      <c r="BE1069" s="334"/>
      <c r="BF1069" s="334"/>
      <c r="BG1069" s="201"/>
      <c r="BI1069" s="334"/>
      <c r="BJ1069" s="334"/>
      <c r="BK1069" s="334"/>
      <c r="BL1069" s="334"/>
      <c r="BM1069" s="334"/>
      <c r="BN1069" s="334"/>
      <c r="BO1069" s="334"/>
      <c r="BP1069" s="334"/>
      <c r="BQ1069" s="334"/>
      <c r="BR1069" s="334"/>
      <c r="BS1069" s="334"/>
      <c r="BT1069" s="334"/>
      <c r="BU1069" s="334"/>
      <c r="BV1069" s="334"/>
      <c r="BW1069" s="334"/>
      <c r="BX1069" s="334"/>
      <c r="BY1069" s="334"/>
    </row>
    <row r="1070" spans="47:77" x14ac:dyDescent="0.25">
      <c r="AU1070" s="202"/>
      <c r="AX1070" s="202"/>
      <c r="AY1070" s="200"/>
      <c r="AZ1070" s="334"/>
      <c r="BA1070" s="334"/>
      <c r="BB1070" s="334"/>
      <c r="BC1070" s="201"/>
      <c r="BD1070" s="334"/>
      <c r="BE1070" s="334"/>
      <c r="BF1070" s="334"/>
      <c r="BG1070" s="201"/>
      <c r="BI1070" s="334"/>
      <c r="BJ1070" s="334"/>
      <c r="BK1070" s="334"/>
      <c r="BL1070" s="334"/>
      <c r="BM1070" s="334"/>
      <c r="BN1070" s="334"/>
      <c r="BO1070" s="334"/>
      <c r="BP1070" s="334"/>
      <c r="BQ1070" s="334"/>
      <c r="BR1070" s="334"/>
      <c r="BS1070" s="334"/>
      <c r="BT1070" s="334"/>
      <c r="BU1070" s="334"/>
      <c r="BV1070" s="334"/>
      <c r="BW1070" s="334"/>
      <c r="BX1070" s="334"/>
      <c r="BY1070" s="334"/>
    </row>
    <row r="1071" spans="47:77" x14ac:dyDescent="0.25">
      <c r="AU1071" s="202"/>
      <c r="AX1071" s="202"/>
      <c r="AY1071" s="200"/>
      <c r="AZ1071" s="334"/>
      <c r="BA1071" s="334"/>
      <c r="BB1071" s="334"/>
      <c r="BC1071" s="201"/>
      <c r="BD1071" s="334"/>
      <c r="BE1071" s="334"/>
      <c r="BF1071" s="334"/>
      <c r="BG1071" s="201"/>
      <c r="BI1071" s="334"/>
      <c r="BJ1071" s="334"/>
      <c r="BK1071" s="334"/>
      <c r="BL1071" s="334"/>
      <c r="BM1071" s="334"/>
      <c r="BN1071" s="334"/>
      <c r="BO1071" s="334"/>
      <c r="BP1071" s="334"/>
      <c r="BQ1071" s="334"/>
      <c r="BR1071" s="334"/>
      <c r="BS1071" s="334"/>
      <c r="BT1071" s="334"/>
      <c r="BU1071" s="334"/>
      <c r="BV1071" s="334"/>
      <c r="BW1071" s="334"/>
      <c r="BX1071" s="334"/>
      <c r="BY1071" s="334"/>
    </row>
    <row r="1072" spans="47:77" x14ac:dyDescent="0.25">
      <c r="AU1072" s="202"/>
      <c r="AX1072" s="202"/>
      <c r="AY1072" s="200"/>
      <c r="AZ1072" s="334"/>
      <c r="BA1072" s="334"/>
      <c r="BB1072" s="334"/>
      <c r="BC1072" s="201"/>
      <c r="BD1072" s="334"/>
      <c r="BE1072" s="334"/>
      <c r="BF1072" s="334"/>
      <c r="BG1072" s="201"/>
      <c r="BI1072" s="334"/>
      <c r="BJ1072" s="334"/>
      <c r="BK1072" s="334"/>
      <c r="BL1072" s="334"/>
      <c r="BM1072" s="334"/>
      <c r="BN1072" s="334"/>
      <c r="BO1072" s="334"/>
      <c r="BP1072" s="334"/>
      <c r="BQ1072" s="334"/>
      <c r="BR1072" s="334"/>
      <c r="BS1072" s="334"/>
      <c r="BT1072" s="334"/>
      <c r="BU1072" s="334"/>
      <c r="BV1072" s="334"/>
      <c r="BW1072" s="334"/>
      <c r="BX1072" s="334"/>
      <c r="BY1072" s="334"/>
    </row>
    <row r="1073" spans="47:77" x14ac:dyDescent="0.25">
      <c r="AU1073" s="202"/>
      <c r="AX1073" s="202"/>
      <c r="AY1073" s="200"/>
      <c r="AZ1073" s="334"/>
      <c r="BA1073" s="334"/>
      <c r="BB1073" s="334"/>
      <c r="BC1073" s="201"/>
      <c r="BD1073" s="334"/>
      <c r="BE1073" s="334"/>
      <c r="BF1073" s="334"/>
      <c r="BG1073" s="201"/>
      <c r="BI1073" s="334"/>
      <c r="BJ1073" s="334"/>
      <c r="BK1073" s="334"/>
      <c r="BL1073" s="334"/>
      <c r="BM1073" s="334"/>
      <c r="BN1073" s="334"/>
      <c r="BO1073" s="334"/>
      <c r="BP1073" s="334"/>
      <c r="BQ1073" s="334"/>
      <c r="BR1073" s="334"/>
      <c r="BS1073" s="334"/>
      <c r="BT1073" s="334"/>
      <c r="BU1073" s="334"/>
      <c r="BV1073" s="334"/>
      <c r="BW1073" s="334"/>
      <c r="BX1073" s="334"/>
      <c r="BY1073" s="334"/>
    </row>
    <row r="1074" spans="47:77" x14ac:dyDescent="0.25">
      <c r="AU1074" s="202"/>
      <c r="AX1074" s="202"/>
      <c r="AY1074" s="200"/>
      <c r="AZ1074" s="334"/>
      <c r="BA1074" s="334"/>
      <c r="BB1074" s="334"/>
      <c r="BC1074" s="201"/>
      <c r="BD1074" s="334"/>
      <c r="BE1074" s="334"/>
      <c r="BF1074" s="334"/>
      <c r="BG1074" s="201"/>
      <c r="BI1074" s="334"/>
      <c r="BJ1074" s="334"/>
      <c r="BK1074" s="334"/>
      <c r="BL1074" s="334"/>
      <c r="BM1074" s="334"/>
      <c r="BN1074" s="334"/>
      <c r="BO1074" s="334"/>
      <c r="BP1074" s="334"/>
      <c r="BQ1074" s="334"/>
      <c r="BR1074" s="334"/>
      <c r="BS1074" s="334"/>
      <c r="BT1074" s="334"/>
      <c r="BU1074" s="334"/>
      <c r="BV1074" s="334"/>
      <c r="BW1074" s="334"/>
      <c r="BX1074" s="334"/>
      <c r="BY1074" s="334"/>
    </row>
    <row r="1075" spans="47:77" x14ac:dyDescent="0.25">
      <c r="AU1075" s="202"/>
      <c r="AX1075" s="202"/>
      <c r="AY1075" s="200"/>
      <c r="AZ1075" s="334"/>
      <c r="BA1075" s="334"/>
      <c r="BB1075" s="334"/>
      <c r="BC1075" s="201"/>
      <c r="BD1075" s="334"/>
      <c r="BE1075" s="334"/>
      <c r="BF1075" s="334"/>
      <c r="BG1075" s="201"/>
      <c r="BI1075" s="334"/>
      <c r="BJ1075" s="334"/>
      <c r="BK1075" s="334"/>
      <c r="BL1075" s="334"/>
      <c r="BM1075" s="334"/>
      <c r="BN1075" s="334"/>
      <c r="BO1075" s="334"/>
      <c r="BP1075" s="334"/>
      <c r="BQ1075" s="334"/>
      <c r="BR1075" s="334"/>
      <c r="BS1075" s="334"/>
      <c r="BT1075" s="334"/>
      <c r="BU1075" s="334"/>
      <c r="BV1075" s="334"/>
      <c r="BW1075" s="334"/>
      <c r="BX1075" s="334"/>
      <c r="BY1075" s="334"/>
    </row>
    <row r="1076" spans="47:77" x14ac:dyDescent="0.25">
      <c r="AU1076" s="202"/>
      <c r="AX1076" s="202"/>
      <c r="AY1076" s="200"/>
      <c r="AZ1076" s="334"/>
      <c r="BA1076" s="334"/>
      <c r="BB1076" s="334"/>
      <c r="BC1076" s="201"/>
      <c r="BD1076" s="334"/>
      <c r="BE1076" s="334"/>
      <c r="BF1076" s="334"/>
      <c r="BG1076" s="201"/>
      <c r="BI1076" s="334"/>
      <c r="BJ1076" s="334"/>
      <c r="BK1076" s="334"/>
      <c r="BL1076" s="334"/>
      <c r="BM1076" s="334"/>
      <c r="BN1076" s="334"/>
      <c r="BO1076" s="334"/>
      <c r="BP1076" s="334"/>
      <c r="BQ1076" s="334"/>
      <c r="BR1076" s="334"/>
      <c r="BS1076" s="334"/>
      <c r="BT1076" s="334"/>
      <c r="BU1076" s="334"/>
      <c r="BV1076" s="334"/>
      <c r="BW1076" s="334"/>
      <c r="BX1076" s="334"/>
      <c r="BY1076" s="334"/>
    </row>
    <row r="1077" spans="47:77" x14ac:dyDescent="0.25">
      <c r="AU1077" s="202"/>
      <c r="AX1077" s="202"/>
      <c r="AY1077" s="200"/>
      <c r="AZ1077" s="334"/>
      <c r="BA1077" s="334"/>
      <c r="BB1077" s="334"/>
      <c r="BC1077" s="201"/>
      <c r="BD1077" s="334"/>
      <c r="BE1077" s="334"/>
      <c r="BF1077" s="334"/>
      <c r="BG1077" s="201"/>
      <c r="BI1077" s="334"/>
      <c r="BJ1077" s="334"/>
      <c r="BK1077" s="334"/>
      <c r="BL1077" s="334"/>
      <c r="BM1077" s="334"/>
      <c r="BN1077" s="334"/>
      <c r="BO1077" s="334"/>
      <c r="BP1077" s="334"/>
      <c r="BQ1077" s="334"/>
      <c r="BR1077" s="334"/>
      <c r="BS1077" s="334"/>
      <c r="BT1077" s="334"/>
      <c r="BU1077" s="334"/>
      <c r="BV1077" s="334"/>
      <c r="BW1077" s="334"/>
      <c r="BX1077" s="334"/>
      <c r="BY1077" s="334"/>
    </row>
    <row r="1078" spans="47:77" x14ac:dyDescent="0.25">
      <c r="AU1078" s="202"/>
      <c r="AX1078" s="202"/>
      <c r="AY1078" s="200"/>
      <c r="AZ1078" s="334"/>
      <c r="BA1078" s="334"/>
      <c r="BB1078" s="334"/>
      <c r="BC1078" s="201"/>
      <c r="BD1078" s="334"/>
      <c r="BE1078" s="334"/>
      <c r="BF1078" s="334"/>
      <c r="BG1078" s="201"/>
      <c r="BI1078" s="334"/>
      <c r="BJ1078" s="334"/>
      <c r="BK1078" s="334"/>
      <c r="BL1078" s="334"/>
      <c r="BM1078" s="334"/>
      <c r="BN1078" s="334"/>
      <c r="BO1078" s="334"/>
      <c r="BP1078" s="334"/>
      <c r="BQ1078" s="334"/>
      <c r="BR1078" s="334"/>
      <c r="BS1078" s="334"/>
      <c r="BT1078" s="334"/>
      <c r="BU1078" s="334"/>
      <c r="BV1078" s="334"/>
      <c r="BW1078" s="334"/>
      <c r="BX1078" s="334"/>
      <c r="BY1078" s="334"/>
    </row>
    <row r="1079" spans="47:77" x14ac:dyDescent="0.25">
      <c r="AU1079" s="202"/>
      <c r="AX1079" s="202"/>
      <c r="AY1079" s="200"/>
      <c r="AZ1079" s="334"/>
      <c r="BA1079" s="334"/>
      <c r="BB1079" s="334"/>
      <c r="BC1079" s="201"/>
      <c r="BD1079" s="334"/>
      <c r="BE1079" s="334"/>
      <c r="BF1079" s="334"/>
      <c r="BG1079" s="201"/>
      <c r="BI1079" s="334"/>
      <c r="BJ1079" s="334"/>
      <c r="BK1079" s="334"/>
      <c r="BL1079" s="334"/>
      <c r="BM1079" s="334"/>
      <c r="BN1079" s="334"/>
      <c r="BO1079" s="334"/>
      <c r="BP1079" s="334"/>
      <c r="BQ1079" s="334"/>
      <c r="BR1079" s="334"/>
      <c r="BS1079" s="334"/>
      <c r="BT1079" s="334"/>
      <c r="BU1079" s="334"/>
      <c r="BV1079" s="334"/>
      <c r="BW1079" s="334"/>
      <c r="BX1079" s="334"/>
      <c r="BY1079" s="334"/>
    </row>
    <row r="1080" spans="47:77" x14ac:dyDescent="0.25">
      <c r="AU1080" s="202"/>
      <c r="AX1080" s="202"/>
      <c r="AY1080" s="200"/>
      <c r="AZ1080" s="334"/>
      <c r="BA1080" s="334"/>
      <c r="BB1080" s="334"/>
      <c r="BC1080" s="201"/>
      <c r="BD1080" s="334"/>
      <c r="BE1080" s="334"/>
      <c r="BF1080" s="334"/>
      <c r="BG1080" s="201"/>
      <c r="BI1080" s="334"/>
      <c r="BJ1080" s="334"/>
      <c r="BK1080" s="334"/>
      <c r="BL1080" s="334"/>
      <c r="BM1080" s="334"/>
      <c r="BN1080" s="334"/>
      <c r="BO1080" s="334"/>
      <c r="BP1080" s="334"/>
      <c r="BQ1080" s="334"/>
      <c r="BR1080" s="334"/>
      <c r="BS1080" s="334"/>
      <c r="BT1080" s="334"/>
      <c r="BU1080" s="334"/>
      <c r="BV1080" s="334"/>
      <c r="BW1080" s="334"/>
      <c r="BX1080" s="334"/>
      <c r="BY1080" s="334"/>
    </row>
    <row r="1081" spans="47:77" x14ac:dyDescent="0.25">
      <c r="AY1081" s="200"/>
      <c r="AZ1081" s="334"/>
      <c r="BA1081" s="334"/>
      <c r="BB1081" s="334"/>
      <c r="BC1081" s="201"/>
      <c r="BD1081" s="334"/>
      <c r="BE1081" s="334"/>
      <c r="BF1081" s="334"/>
      <c r="BG1081" s="201"/>
      <c r="BI1081" s="102"/>
      <c r="BJ1081" s="102"/>
      <c r="BK1081" s="154"/>
      <c r="BO1081" s="102"/>
      <c r="BP1081" s="102"/>
      <c r="BQ1081" s="334"/>
      <c r="BR1081" s="102"/>
      <c r="BS1081" s="102"/>
      <c r="BT1081" s="154"/>
      <c r="BX1081" s="102"/>
      <c r="BY1081" s="102"/>
    </row>
    <row r="1082" spans="47:77" x14ac:dyDescent="0.25">
      <c r="AU1082" s="202"/>
      <c r="AW1082" s="154"/>
      <c r="AX1082" s="103"/>
      <c r="AY1082" s="200"/>
      <c r="AZ1082" s="334"/>
      <c r="BA1082" s="334"/>
      <c r="BB1082" s="334"/>
      <c r="BC1082" s="201"/>
      <c r="BD1082" s="334"/>
      <c r="BE1082" s="334"/>
      <c r="BF1082" s="334"/>
      <c r="BG1082" s="201"/>
      <c r="BI1082" s="336"/>
      <c r="BJ1082" s="334"/>
      <c r="BK1082" s="334"/>
      <c r="BL1082" s="334"/>
      <c r="BM1082" s="336"/>
      <c r="BN1082" s="337"/>
      <c r="BO1082" s="334"/>
      <c r="BP1082" s="336"/>
      <c r="BQ1082" s="334"/>
      <c r="BR1082" s="336"/>
      <c r="BS1082" s="334"/>
      <c r="BT1082" s="334"/>
      <c r="BU1082" s="334"/>
      <c r="BV1082" s="336"/>
      <c r="BW1082" s="337"/>
      <c r="BX1082" s="334"/>
      <c r="BY1082" s="336"/>
    </row>
    <row r="1083" spans="47:77" x14ac:dyDescent="0.25">
      <c r="AU1083" s="202"/>
      <c r="AX1083" s="103"/>
      <c r="AY1083" s="200"/>
      <c r="AZ1083" s="334"/>
      <c r="BA1083" s="334"/>
      <c r="BB1083" s="334"/>
      <c r="BC1083" s="201"/>
      <c r="BD1083" s="334"/>
      <c r="BE1083" s="334"/>
      <c r="BF1083" s="334"/>
      <c r="BG1083" s="201"/>
      <c r="BI1083" s="334"/>
      <c r="BJ1083" s="334"/>
      <c r="BK1083" s="334"/>
      <c r="BL1083" s="334"/>
      <c r="BM1083" s="334"/>
      <c r="BN1083" s="337"/>
      <c r="BO1083" s="334"/>
      <c r="BP1083" s="334"/>
      <c r="BQ1083" s="334"/>
      <c r="BR1083" s="334"/>
      <c r="BS1083" s="334"/>
      <c r="BT1083" s="334"/>
      <c r="BU1083" s="334"/>
      <c r="BV1083" s="334"/>
      <c r="BW1083" s="337"/>
      <c r="BX1083" s="334"/>
      <c r="BY1083" s="334"/>
    </row>
    <row r="1084" spans="47:77" x14ac:dyDescent="0.25">
      <c r="AU1084" s="202"/>
      <c r="AX1084" s="103"/>
      <c r="AY1084" s="200"/>
      <c r="AZ1084" s="334"/>
      <c r="BA1084" s="334"/>
      <c r="BB1084" s="334"/>
      <c r="BC1084" s="201"/>
      <c r="BD1084" s="334"/>
      <c r="BE1084" s="334"/>
      <c r="BF1084" s="334"/>
      <c r="BG1084" s="201"/>
      <c r="BI1084" s="334"/>
      <c r="BJ1084" s="334"/>
      <c r="BK1084" s="334"/>
      <c r="BL1084" s="334"/>
      <c r="BM1084" s="334"/>
      <c r="BN1084" s="337"/>
      <c r="BO1084" s="334"/>
      <c r="BP1084" s="334"/>
      <c r="BQ1084" s="334"/>
      <c r="BR1084" s="334"/>
      <c r="BS1084" s="334"/>
      <c r="BT1084" s="334"/>
      <c r="BU1084" s="334"/>
      <c r="BV1084" s="334"/>
      <c r="BW1084" s="337"/>
      <c r="BX1084" s="334"/>
      <c r="BY1084" s="334"/>
    </row>
    <row r="1085" spans="47:77" x14ac:dyDescent="0.25">
      <c r="AU1085" s="202"/>
      <c r="AX1085" s="103"/>
      <c r="AY1085" s="200"/>
      <c r="AZ1085" s="334"/>
      <c r="BA1085" s="334"/>
      <c r="BB1085" s="334"/>
      <c r="BC1085" s="201"/>
      <c r="BD1085" s="334"/>
      <c r="BE1085" s="334"/>
      <c r="BF1085" s="334"/>
      <c r="BG1085" s="201"/>
      <c r="BI1085" s="334"/>
      <c r="BJ1085" s="334"/>
      <c r="BK1085" s="334"/>
      <c r="BL1085" s="334"/>
      <c r="BM1085" s="334"/>
      <c r="BN1085" s="337"/>
      <c r="BO1085" s="334"/>
      <c r="BP1085" s="334"/>
      <c r="BQ1085" s="334"/>
      <c r="BR1085" s="334"/>
      <c r="BS1085" s="334"/>
      <c r="BT1085" s="334"/>
      <c r="BU1085" s="334"/>
      <c r="BV1085" s="334"/>
      <c r="BW1085" s="337"/>
      <c r="BX1085" s="334"/>
      <c r="BY1085" s="334"/>
    </row>
    <row r="1086" spans="47:77" x14ac:dyDescent="0.25">
      <c r="AZ1086" s="334"/>
      <c r="BA1086" s="334"/>
      <c r="BB1086" s="334"/>
      <c r="BC1086" s="201"/>
      <c r="BD1086" s="334"/>
      <c r="BE1086" s="334"/>
      <c r="BF1086" s="334"/>
      <c r="BG1086" s="201"/>
      <c r="BI1086" s="334"/>
      <c r="BJ1086" s="334"/>
      <c r="BK1086" s="334"/>
      <c r="BL1086" s="334"/>
      <c r="BM1086" s="334"/>
      <c r="BN1086" s="334"/>
      <c r="BO1086" s="334"/>
      <c r="BP1086" s="334"/>
      <c r="BQ1086" s="334"/>
      <c r="BR1086" s="334"/>
      <c r="BS1086" s="334"/>
      <c r="BT1086" s="334"/>
      <c r="BU1086" s="334"/>
      <c r="BV1086" s="334"/>
      <c r="BW1086" s="334"/>
      <c r="BX1086" s="334"/>
    </row>
    <row r="1087" spans="47:77" x14ac:dyDescent="0.25">
      <c r="AW1087" s="154"/>
    </row>
    <row r="1088" spans="47:77" x14ac:dyDescent="0.25">
      <c r="AW1088" s="154"/>
      <c r="BB1088" s="334"/>
      <c r="BC1088" s="201"/>
      <c r="BD1088" s="334"/>
      <c r="BE1088" s="334"/>
      <c r="BF1088" s="334"/>
      <c r="BG1088" s="201"/>
      <c r="BI1088" s="334"/>
      <c r="BJ1088" s="334"/>
      <c r="BK1088" s="334"/>
      <c r="BL1088" s="334"/>
      <c r="BM1088" s="334"/>
      <c r="BN1088" s="334"/>
      <c r="BO1088" s="334"/>
      <c r="BP1088" s="334"/>
      <c r="BQ1088" s="334"/>
      <c r="BR1088" s="334"/>
      <c r="BS1088" s="334"/>
      <c r="BT1088" s="334"/>
      <c r="BU1088" s="334"/>
      <c r="BV1088" s="334"/>
      <c r="BW1088" s="334"/>
      <c r="BX1088" s="334"/>
    </row>
    <row r="1089" spans="47:76" x14ac:dyDescent="0.25">
      <c r="AU1089" s="154"/>
      <c r="BB1089" s="334"/>
      <c r="BD1089" s="334"/>
    </row>
    <row r="1090" spans="47:76" x14ac:dyDescent="0.25">
      <c r="BA1090" s="202"/>
      <c r="BB1090" s="334"/>
      <c r="BD1090" s="334"/>
      <c r="BQ1090" s="334"/>
      <c r="BR1090" s="334"/>
      <c r="BS1090" s="334"/>
      <c r="BT1090" s="334"/>
      <c r="BU1090" s="334"/>
      <c r="BV1090" s="334"/>
      <c r="BW1090" s="334"/>
      <c r="BX1090" s="334"/>
    </row>
    <row r="1091" spans="47:76" x14ac:dyDescent="0.25">
      <c r="BA1091" s="334"/>
      <c r="BB1091" s="334"/>
      <c r="BD1091" s="334"/>
      <c r="BQ1091" s="334"/>
      <c r="BR1091" s="334"/>
      <c r="BS1091" s="334"/>
      <c r="BT1091" s="334"/>
      <c r="BU1091" s="334"/>
      <c r="BV1091" s="334"/>
      <c r="BW1091" s="334"/>
      <c r="BX1091" s="334"/>
    </row>
    <row r="1092" spans="47:76" x14ac:dyDescent="0.25">
      <c r="BA1092" s="154"/>
      <c r="BB1092" s="334"/>
      <c r="BD1092" s="334"/>
      <c r="BQ1092" s="334"/>
      <c r="BR1092" s="334"/>
      <c r="BS1092" s="334"/>
      <c r="BT1092" s="334"/>
      <c r="BU1092" s="334"/>
      <c r="BV1092" s="334"/>
      <c r="BW1092" s="334"/>
      <c r="BX1092" s="334"/>
    </row>
    <row r="1093" spans="47:76" x14ac:dyDescent="0.25">
      <c r="BA1093" s="154"/>
      <c r="BB1093" s="334"/>
      <c r="BD1093" s="334"/>
      <c r="BQ1093" s="334"/>
      <c r="BR1093" s="334"/>
      <c r="BS1093" s="334"/>
      <c r="BT1093" s="334"/>
      <c r="BU1093" s="334"/>
      <c r="BV1093" s="334"/>
      <c r="BW1093" s="334"/>
      <c r="BX1093" s="334"/>
    </row>
    <row r="1094" spans="47:76" x14ac:dyDescent="0.25">
      <c r="AU1094" s="202"/>
      <c r="BB1094" s="334"/>
      <c r="BD1094" s="334"/>
      <c r="BF1094" s="154"/>
      <c r="BQ1094" s="334"/>
      <c r="BR1094" s="334"/>
      <c r="BS1094" s="334"/>
      <c r="BT1094" s="334"/>
      <c r="BU1094" s="334"/>
      <c r="BV1094" s="334"/>
      <c r="BW1094" s="334"/>
      <c r="BX1094" s="334"/>
    </row>
    <row r="1095" spans="47:76" x14ac:dyDescent="0.25">
      <c r="AU1095" s="202"/>
      <c r="BB1095" s="334"/>
      <c r="BD1095" s="334"/>
      <c r="BF1095" s="154"/>
      <c r="BQ1095" s="334"/>
      <c r="BR1095" s="334"/>
      <c r="BS1095" s="334"/>
      <c r="BT1095" s="334"/>
      <c r="BU1095" s="334"/>
      <c r="BV1095" s="334"/>
      <c r="BW1095" s="334"/>
      <c r="BX1095" s="334"/>
    </row>
    <row r="1096" spans="47:76" x14ac:dyDescent="0.25">
      <c r="AU1096" s="154"/>
      <c r="BB1096" s="334"/>
      <c r="BD1096" s="334"/>
      <c r="BF1096" s="154"/>
      <c r="BQ1096" s="334"/>
      <c r="BR1096" s="334"/>
      <c r="BS1096" s="334"/>
      <c r="BT1096" s="334"/>
      <c r="BU1096" s="334"/>
      <c r="BV1096" s="334"/>
      <c r="BW1096" s="334"/>
      <c r="BX1096" s="334"/>
    </row>
    <row r="1097" spans="47:76" x14ac:dyDescent="0.25">
      <c r="BB1097" s="334"/>
      <c r="BD1097" s="334"/>
      <c r="BF1097" s="202"/>
      <c r="BQ1097" s="334"/>
      <c r="BR1097" s="334"/>
      <c r="BS1097" s="334"/>
      <c r="BT1097" s="334"/>
      <c r="BU1097" s="334"/>
      <c r="BV1097" s="334"/>
      <c r="BW1097" s="334"/>
      <c r="BX1097" s="334"/>
    </row>
    <row r="1098" spans="47:76" x14ac:dyDescent="0.25">
      <c r="AU1098" s="102"/>
      <c r="AV1098" s="102"/>
      <c r="AW1098" s="102"/>
      <c r="AX1098" s="102"/>
      <c r="AY1098" s="102"/>
      <c r="AZ1098" s="102"/>
      <c r="BA1098" s="102"/>
      <c r="BB1098" s="335"/>
      <c r="BC1098" s="102"/>
      <c r="BD1098" s="335"/>
      <c r="BE1098" s="102"/>
      <c r="BF1098" s="102"/>
      <c r="BG1098" s="102"/>
      <c r="BQ1098" s="334"/>
      <c r="BR1098" s="334"/>
      <c r="BS1098" s="334"/>
      <c r="BT1098" s="334"/>
      <c r="BU1098" s="334"/>
      <c r="BV1098" s="334"/>
      <c r="BW1098" s="334"/>
      <c r="BX1098" s="334"/>
    </row>
    <row r="1099" spans="47:76" x14ac:dyDescent="0.25">
      <c r="AZ1099" s="154"/>
      <c r="BB1099" s="334"/>
      <c r="BD1099" s="334"/>
      <c r="BQ1099" s="334"/>
      <c r="BR1099" s="334"/>
      <c r="BS1099" s="334"/>
      <c r="BT1099" s="334"/>
      <c r="BU1099" s="334"/>
      <c r="BV1099" s="334"/>
      <c r="BW1099" s="334"/>
      <c r="BX1099" s="334"/>
    </row>
    <row r="1100" spans="47:76" x14ac:dyDescent="0.25">
      <c r="AZ1100" s="102"/>
      <c r="BA1100" s="102"/>
      <c r="BB1100" s="335"/>
      <c r="BC1100" s="102"/>
      <c r="BD1100" s="334"/>
      <c r="BE1100" s="103"/>
      <c r="BF1100" s="103"/>
      <c r="BQ1100" s="334"/>
      <c r="BR1100" s="334"/>
      <c r="BS1100" s="334"/>
      <c r="BT1100" s="334"/>
      <c r="BU1100" s="334"/>
      <c r="BV1100" s="334"/>
      <c r="BW1100" s="334"/>
      <c r="BX1100" s="334"/>
    </row>
    <row r="1101" spans="47:76" x14ac:dyDescent="0.25">
      <c r="AX1101" s="103"/>
      <c r="AY1101" s="103"/>
      <c r="BB1101" s="336"/>
      <c r="BC1101" s="103"/>
      <c r="BD1101" s="334"/>
      <c r="BE1101" s="103"/>
      <c r="BF1101" s="103"/>
      <c r="BG1101" s="103"/>
      <c r="BI1101" s="102"/>
      <c r="BJ1101" s="154"/>
      <c r="BM1101" s="102"/>
      <c r="BO1101" s="102"/>
      <c r="BP1101" s="154"/>
      <c r="BS1101" s="102"/>
    </row>
    <row r="1102" spans="47:76" x14ac:dyDescent="0.25">
      <c r="AX1102" s="103"/>
      <c r="AY1102" s="103"/>
      <c r="AZ1102" s="103"/>
      <c r="BA1102" s="103"/>
      <c r="BB1102" s="336"/>
      <c r="BC1102" s="103"/>
      <c r="BD1102" s="336"/>
      <c r="BE1102" s="103"/>
      <c r="BF1102" s="103"/>
      <c r="BG1102" s="103"/>
      <c r="BJ1102" s="103"/>
      <c r="BK1102" s="103"/>
      <c r="BP1102" s="103"/>
      <c r="BQ1102" s="103"/>
    </row>
    <row r="1103" spans="47:76" x14ac:dyDescent="0.25">
      <c r="AU1103" s="103"/>
      <c r="AW1103" s="154"/>
      <c r="AX1103" s="103"/>
      <c r="AY1103" s="103"/>
      <c r="AZ1103" s="103"/>
      <c r="BA1103" s="103"/>
      <c r="BB1103" s="336"/>
      <c r="BC1103" s="103"/>
      <c r="BD1103" s="336"/>
      <c r="BE1103" s="103"/>
      <c r="BF1103" s="103"/>
      <c r="BG1103" s="103"/>
      <c r="BI1103" s="103"/>
      <c r="BJ1103" s="103"/>
      <c r="BK1103" s="103"/>
      <c r="BL1103" s="103"/>
      <c r="BM1103" s="103"/>
      <c r="BO1103" s="103"/>
      <c r="BP1103" s="103"/>
      <c r="BQ1103" s="103"/>
      <c r="BR1103" s="103"/>
      <c r="BS1103" s="103"/>
    </row>
    <row r="1104" spans="47:76" x14ac:dyDescent="0.25">
      <c r="AU1104" s="103"/>
      <c r="AW1104" s="154"/>
      <c r="AX1104" s="103"/>
      <c r="AY1104" s="103"/>
      <c r="AZ1104" s="103"/>
      <c r="BA1104" s="103"/>
      <c r="BB1104" s="336"/>
      <c r="BC1104" s="103"/>
      <c r="BD1104" s="336"/>
      <c r="BE1104" s="103"/>
      <c r="BF1104" s="103"/>
      <c r="BG1104" s="103"/>
      <c r="BI1104" s="103"/>
      <c r="BJ1104" s="103"/>
      <c r="BK1104" s="103"/>
      <c r="BL1104" s="103"/>
      <c r="BM1104" s="103"/>
      <c r="BO1104" s="103"/>
      <c r="BP1104" s="103"/>
      <c r="BQ1104" s="103"/>
      <c r="BR1104" s="103"/>
      <c r="BS1104" s="103"/>
    </row>
    <row r="1105" spans="47:73" x14ac:dyDescent="0.25">
      <c r="AU1105" s="102"/>
      <c r="AV1105" s="102"/>
      <c r="AW1105" s="102"/>
      <c r="AX1105" s="102"/>
      <c r="AY1105" s="102"/>
      <c r="AZ1105" s="102"/>
      <c r="BA1105" s="102"/>
      <c r="BB1105" s="335"/>
      <c r="BC1105" s="102"/>
      <c r="BD1105" s="335"/>
      <c r="BE1105" s="102"/>
      <c r="BF1105" s="102"/>
      <c r="BG1105" s="102"/>
      <c r="BI1105" s="102"/>
      <c r="BJ1105" s="102"/>
      <c r="BK1105" s="102"/>
      <c r="BL1105" s="102"/>
      <c r="BM1105" s="102"/>
      <c r="BO1105" s="102"/>
      <c r="BP1105" s="102"/>
      <c r="BQ1105" s="102"/>
      <c r="BR1105" s="102"/>
      <c r="BS1105" s="102"/>
    </row>
    <row r="1106" spans="47:73" x14ac:dyDescent="0.25">
      <c r="AX1106" s="103"/>
      <c r="AY1106" s="103"/>
      <c r="AZ1106" s="103"/>
      <c r="BA1106" s="103"/>
      <c r="BB1106" s="336"/>
      <c r="BC1106" s="103"/>
      <c r="BD1106" s="336"/>
      <c r="BE1106" s="103"/>
      <c r="BF1106" s="103"/>
      <c r="BG1106" s="103"/>
      <c r="BI1106" s="334"/>
      <c r="BJ1106" s="334"/>
      <c r="BK1106" s="334"/>
      <c r="BL1106" s="334"/>
      <c r="BM1106" s="334"/>
      <c r="BN1106" s="334"/>
      <c r="BO1106" s="334"/>
      <c r="BP1106" s="334"/>
      <c r="BQ1106" s="334"/>
      <c r="BR1106" s="334"/>
      <c r="BS1106" s="334"/>
    </row>
    <row r="1107" spans="47:73" x14ac:dyDescent="0.25">
      <c r="AU1107" s="202"/>
      <c r="AV1107" s="154"/>
      <c r="AX1107" s="200"/>
      <c r="AY1107" s="200"/>
      <c r="AZ1107" s="334"/>
      <c r="BA1107" s="334"/>
      <c r="BB1107" s="334"/>
      <c r="BC1107" s="201"/>
      <c r="BD1107" s="334"/>
      <c r="BE1107" s="334"/>
      <c r="BF1107" s="334"/>
      <c r="BG1107" s="201"/>
      <c r="BI1107" s="334"/>
      <c r="BJ1107" s="334"/>
      <c r="BK1107" s="334"/>
      <c r="BL1107" s="334"/>
      <c r="BM1107" s="334"/>
      <c r="BN1107" s="334"/>
      <c r="BO1107" s="334"/>
      <c r="BP1107" s="334"/>
      <c r="BQ1107" s="334"/>
      <c r="BR1107" s="334"/>
      <c r="BS1107" s="334"/>
      <c r="BT1107" s="334"/>
      <c r="BU1107" s="334"/>
    </row>
    <row r="1108" spans="47:73" x14ac:dyDescent="0.25">
      <c r="AU1108" s="202"/>
      <c r="AX1108" s="200"/>
      <c r="AY1108" s="200"/>
      <c r="AZ1108" s="334"/>
      <c r="BA1108" s="334"/>
      <c r="BB1108" s="334"/>
      <c r="BC1108" s="201"/>
      <c r="BD1108" s="334"/>
      <c r="BE1108" s="334"/>
      <c r="BF1108" s="334"/>
      <c r="BG1108" s="201"/>
      <c r="BI1108" s="334"/>
      <c r="BJ1108" s="334"/>
      <c r="BK1108" s="334"/>
      <c r="BL1108" s="334"/>
      <c r="BM1108" s="334"/>
      <c r="BN1108" s="334"/>
      <c r="BO1108" s="334"/>
      <c r="BP1108" s="334"/>
      <c r="BQ1108" s="334"/>
      <c r="BR1108" s="334"/>
      <c r="BS1108" s="334"/>
      <c r="BT1108" s="334"/>
      <c r="BU1108" s="334"/>
    </row>
    <row r="1109" spans="47:73" x14ac:dyDescent="0.25">
      <c r="AU1109" s="202"/>
      <c r="AX1109" s="200"/>
      <c r="AY1109" s="200"/>
      <c r="AZ1109" s="334"/>
      <c r="BA1109" s="334"/>
      <c r="BB1109" s="334"/>
      <c r="BC1109" s="201"/>
      <c r="BD1109" s="334"/>
      <c r="BE1109" s="334"/>
      <c r="BF1109" s="334"/>
      <c r="BG1109" s="201"/>
      <c r="BI1109" s="334"/>
      <c r="BJ1109" s="334"/>
      <c r="BK1109" s="334"/>
      <c r="BL1109" s="334"/>
      <c r="BM1109" s="334"/>
      <c r="BN1109" s="334"/>
      <c r="BO1109" s="334"/>
      <c r="BP1109" s="334"/>
      <c r="BQ1109" s="334"/>
      <c r="BR1109" s="334"/>
      <c r="BS1109" s="334"/>
      <c r="BT1109" s="334"/>
      <c r="BU1109" s="334"/>
    </row>
    <row r="1110" spans="47:73" x14ac:dyDescent="0.25">
      <c r="AU1110" s="202"/>
      <c r="AX1110" s="200"/>
      <c r="AY1110" s="200"/>
      <c r="AZ1110" s="334"/>
      <c r="BA1110" s="334"/>
      <c r="BB1110" s="334"/>
      <c r="BC1110" s="201"/>
      <c r="BD1110" s="334"/>
      <c r="BE1110" s="334"/>
      <c r="BF1110" s="334"/>
      <c r="BG1110" s="201"/>
      <c r="BI1110" s="334"/>
      <c r="BJ1110" s="334"/>
      <c r="BK1110" s="334"/>
      <c r="BL1110" s="334"/>
      <c r="BM1110" s="334"/>
      <c r="BN1110" s="334"/>
      <c r="BO1110" s="334"/>
      <c r="BP1110" s="334"/>
      <c r="BQ1110" s="334"/>
      <c r="BR1110" s="334"/>
      <c r="BS1110" s="334"/>
      <c r="BT1110" s="334"/>
      <c r="BU1110" s="334"/>
    </row>
    <row r="1111" spans="47:73" x14ac:dyDescent="0.25">
      <c r="AU1111" s="202"/>
      <c r="AX1111" s="200"/>
      <c r="AY1111" s="200"/>
      <c r="AZ1111" s="334"/>
      <c r="BA1111" s="334"/>
      <c r="BB1111" s="334"/>
      <c r="BC1111" s="201"/>
      <c r="BD1111" s="334"/>
      <c r="BE1111" s="334"/>
      <c r="BF1111" s="334"/>
      <c r="BG1111" s="201"/>
      <c r="BI1111" s="334"/>
      <c r="BJ1111" s="334"/>
      <c r="BK1111" s="334"/>
      <c r="BL1111" s="334"/>
      <c r="BM1111" s="334"/>
      <c r="BN1111" s="334"/>
      <c r="BO1111" s="334"/>
      <c r="BP1111" s="334"/>
      <c r="BQ1111" s="334"/>
      <c r="BR1111" s="334"/>
      <c r="BS1111" s="334"/>
      <c r="BT1111" s="334"/>
      <c r="BU1111" s="334"/>
    </row>
    <row r="1112" spans="47:73" x14ac:dyDescent="0.25">
      <c r="AU1112" s="202"/>
      <c r="AX1112" s="200"/>
      <c r="AY1112" s="200"/>
      <c r="AZ1112" s="334"/>
      <c r="BA1112" s="334"/>
      <c r="BB1112" s="334"/>
      <c r="BC1112" s="201"/>
      <c r="BD1112" s="334"/>
      <c r="BE1112" s="334"/>
      <c r="BF1112" s="334"/>
      <c r="BG1112" s="201"/>
      <c r="BI1112" s="334"/>
      <c r="BJ1112" s="334"/>
      <c r="BK1112" s="334"/>
      <c r="BL1112" s="334"/>
      <c r="BM1112" s="334"/>
      <c r="BN1112" s="334"/>
      <c r="BO1112" s="334"/>
      <c r="BP1112" s="334"/>
      <c r="BQ1112" s="334"/>
      <c r="BR1112" s="334"/>
      <c r="BS1112" s="334"/>
      <c r="BT1112" s="334"/>
      <c r="BU1112" s="334"/>
    </row>
    <row r="1113" spans="47:73" x14ac:dyDescent="0.25">
      <c r="AU1113" s="202"/>
      <c r="AX1113" s="200"/>
      <c r="AY1113" s="200"/>
      <c r="AZ1113" s="334"/>
      <c r="BA1113" s="334"/>
      <c r="BB1113" s="334"/>
      <c r="BC1113" s="201"/>
      <c r="BD1113" s="334"/>
      <c r="BE1113" s="334"/>
      <c r="BF1113" s="334"/>
      <c r="BG1113" s="201"/>
      <c r="BI1113" s="334"/>
      <c r="BJ1113" s="334"/>
      <c r="BK1113" s="334"/>
      <c r="BL1113" s="334"/>
      <c r="BM1113" s="334"/>
      <c r="BN1113" s="334"/>
      <c r="BO1113" s="334"/>
      <c r="BP1113" s="334"/>
      <c r="BQ1113" s="334"/>
      <c r="BR1113" s="334"/>
      <c r="BS1113" s="334"/>
      <c r="BT1113" s="334"/>
      <c r="BU1113" s="334"/>
    </row>
    <row r="1114" spans="47:73" x14ac:dyDescent="0.25">
      <c r="AU1114" s="202"/>
      <c r="AX1114" s="200"/>
      <c r="AY1114" s="200"/>
      <c r="AZ1114" s="334"/>
      <c r="BA1114" s="334"/>
      <c r="BB1114" s="334"/>
      <c r="BC1114" s="201"/>
      <c r="BD1114" s="334"/>
      <c r="BE1114" s="334"/>
      <c r="BF1114" s="334"/>
      <c r="BG1114" s="201"/>
      <c r="BI1114" s="334"/>
      <c r="BJ1114" s="334"/>
      <c r="BK1114" s="334"/>
      <c r="BL1114" s="334"/>
      <c r="BM1114" s="334"/>
      <c r="BN1114" s="334"/>
      <c r="BO1114" s="334"/>
      <c r="BP1114" s="334"/>
      <c r="BQ1114" s="334"/>
      <c r="BR1114" s="334"/>
      <c r="BS1114" s="334"/>
      <c r="BT1114" s="334"/>
      <c r="BU1114" s="334"/>
    </row>
    <row r="1115" spans="47:73" x14ac:dyDescent="0.25">
      <c r="AU1115" s="202"/>
      <c r="AX1115" s="200"/>
      <c r="AY1115" s="200"/>
      <c r="AZ1115" s="334"/>
      <c r="BA1115" s="334"/>
      <c r="BB1115" s="334"/>
      <c r="BC1115" s="201"/>
      <c r="BD1115" s="334"/>
      <c r="BE1115" s="334"/>
      <c r="BF1115" s="334"/>
      <c r="BG1115" s="201"/>
      <c r="BI1115" s="334"/>
      <c r="BJ1115" s="334"/>
      <c r="BK1115" s="334"/>
      <c r="BL1115" s="334"/>
      <c r="BM1115" s="334"/>
      <c r="BN1115" s="334"/>
      <c r="BO1115" s="334"/>
      <c r="BP1115" s="334"/>
      <c r="BQ1115" s="334"/>
      <c r="BR1115" s="334"/>
      <c r="BS1115" s="334"/>
      <c r="BT1115" s="334"/>
      <c r="BU1115" s="334"/>
    </row>
    <row r="1116" spans="47:73" x14ac:dyDescent="0.25">
      <c r="AU1116" s="202"/>
      <c r="AX1116" s="200"/>
      <c r="AY1116" s="200"/>
      <c r="AZ1116" s="334"/>
      <c r="BA1116" s="334"/>
      <c r="BB1116" s="334"/>
      <c r="BC1116" s="201"/>
      <c r="BD1116" s="334"/>
      <c r="BE1116" s="334"/>
      <c r="BF1116" s="334"/>
      <c r="BG1116" s="201"/>
      <c r="BI1116" s="334"/>
      <c r="BJ1116" s="334"/>
      <c r="BK1116" s="334"/>
      <c r="BL1116" s="334"/>
      <c r="BM1116" s="334"/>
      <c r="BN1116" s="334"/>
      <c r="BO1116" s="334"/>
      <c r="BP1116" s="334"/>
      <c r="BQ1116" s="334"/>
      <c r="BR1116" s="334"/>
      <c r="BS1116" s="334"/>
      <c r="BT1116" s="334"/>
      <c r="BU1116" s="334"/>
    </row>
    <row r="1117" spans="47:73" x14ac:dyDescent="0.25">
      <c r="AU1117" s="202"/>
      <c r="AX1117" s="200"/>
      <c r="AY1117" s="200"/>
      <c r="AZ1117" s="334"/>
      <c r="BA1117" s="334"/>
      <c r="BB1117" s="334"/>
      <c r="BC1117" s="201"/>
      <c r="BD1117" s="334"/>
      <c r="BE1117" s="334"/>
      <c r="BF1117" s="334"/>
      <c r="BG1117" s="201"/>
      <c r="BI1117" s="334"/>
      <c r="BJ1117" s="334"/>
      <c r="BK1117" s="334"/>
      <c r="BL1117" s="334"/>
      <c r="BM1117" s="334"/>
      <c r="BN1117" s="334"/>
      <c r="BO1117" s="334"/>
      <c r="BP1117" s="334"/>
      <c r="BQ1117" s="334"/>
      <c r="BR1117" s="334"/>
      <c r="BS1117" s="334"/>
      <c r="BT1117" s="334"/>
      <c r="BU1117" s="334"/>
    </row>
    <row r="1118" spans="47:73" x14ac:dyDescent="0.25">
      <c r="AU1118" s="202"/>
      <c r="AX1118" s="200"/>
      <c r="AY1118" s="200"/>
      <c r="AZ1118" s="334"/>
      <c r="BA1118" s="334"/>
      <c r="BB1118" s="334"/>
      <c r="BC1118" s="201"/>
      <c r="BD1118" s="334"/>
      <c r="BE1118" s="334"/>
      <c r="BF1118" s="334"/>
      <c r="BG1118" s="201"/>
      <c r="BI1118" s="334"/>
      <c r="BJ1118" s="334"/>
      <c r="BK1118" s="334"/>
      <c r="BL1118" s="334"/>
      <c r="BM1118" s="334"/>
      <c r="BN1118" s="334"/>
      <c r="BO1118" s="334"/>
      <c r="BP1118" s="334"/>
      <c r="BQ1118" s="334"/>
      <c r="BR1118" s="334"/>
      <c r="BS1118" s="334"/>
      <c r="BT1118" s="334"/>
      <c r="BU1118" s="334"/>
    </row>
    <row r="1119" spans="47:73" x14ac:dyDescent="0.25">
      <c r="AU1119" s="202"/>
      <c r="AX1119" s="200"/>
      <c r="AY1119" s="200"/>
      <c r="AZ1119" s="334"/>
      <c r="BA1119" s="334"/>
      <c r="BB1119" s="334"/>
      <c r="BC1119" s="201"/>
      <c r="BD1119" s="334"/>
      <c r="BE1119" s="334"/>
      <c r="BF1119" s="334"/>
      <c r="BG1119" s="201"/>
      <c r="BI1119" s="334"/>
      <c r="BJ1119" s="334"/>
      <c r="BK1119" s="334"/>
      <c r="BL1119" s="334"/>
      <c r="BM1119" s="334"/>
      <c r="BN1119" s="334"/>
      <c r="BO1119" s="334"/>
      <c r="BP1119" s="334"/>
      <c r="BQ1119" s="334"/>
      <c r="BR1119" s="334"/>
      <c r="BS1119" s="334"/>
      <c r="BT1119" s="334"/>
      <c r="BU1119" s="334"/>
    </row>
    <row r="1120" spans="47:73" x14ac:dyDescent="0.25">
      <c r="AU1120" s="202"/>
      <c r="AX1120" s="200"/>
      <c r="AY1120" s="200"/>
      <c r="AZ1120" s="334"/>
      <c r="BA1120" s="334"/>
      <c r="BB1120" s="334"/>
      <c r="BC1120" s="201"/>
      <c r="BD1120" s="334"/>
      <c r="BE1120" s="334"/>
      <c r="BF1120" s="334"/>
      <c r="BG1120" s="201"/>
      <c r="BI1120" s="334"/>
      <c r="BJ1120" s="334"/>
      <c r="BK1120" s="334"/>
      <c r="BL1120" s="334"/>
      <c r="BM1120" s="334"/>
      <c r="BN1120" s="334"/>
      <c r="BO1120" s="334"/>
      <c r="BP1120" s="334"/>
      <c r="BQ1120" s="334"/>
      <c r="BR1120" s="334"/>
      <c r="BS1120" s="334"/>
      <c r="BT1120" s="334"/>
      <c r="BU1120" s="334"/>
    </row>
    <row r="1121" spans="47:73" x14ac:dyDescent="0.25">
      <c r="AU1121" s="202"/>
      <c r="AX1121" s="200"/>
      <c r="AY1121" s="200"/>
      <c r="AZ1121" s="334"/>
      <c r="BA1121" s="334"/>
      <c r="BB1121" s="334"/>
      <c r="BC1121" s="201"/>
      <c r="BD1121" s="334"/>
      <c r="BE1121" s="334"/>
      <c r="BF1121" s="334"/>
      <c r="BG1121" s="201"/>
      <c r="BI1121" s="334"/>
      <c r="BJ1121" s="334"/>
      <c r="BK1121" s="334"/>
      <c r="BL1121" s="334"/>
      <c r="BM1121" s="334"/>
      <c r="BN1121" s="334"/>
      <c r="BO1121" s="334"/>
      <c r="BP1121" s="334"/>
      <c r="BQ1121" s="334"/>
      <c r="BR1121" s="334"/>
      <c r="BS1121" s="334"/>
      <c r="BT1121" s="334"/>
      <c r="BU1121" s="334"/>
    </row>
    <row r="1122" spans="47:73" x14ac:dyDescent="0.25">
      <c r="AU1122" s="202"/>
      <c r="AX1122" s="200"/>
      <c r="AY1122" s="200"/>
      <c r="AZ1122" s="334"/>
      <c r="BA1122" s="334"/>
      <c r="BB1122" s="334"/>
      <c r="BC1122" s="201"/>
      <c r="BD1122" s="334"/>
      <c r="BE1122" s="334"/>
      <c r="BF1122" s="334"/>
      <c r="BG1122" s="201"/>
      <c r="BI1122" s="334"/>
      <c r="BJ1122" s="334"/>
      <c r="BK1122" s="334"/>
      <c r="BL1122" s="334"/>
      <c r="BM1122" s="334"/>
      <c r="BN1122" s="334"/>
      <c r="BO1122" s="334"/>
      <c r="BP1122" s="334"/>
      <c r="BQ1122" s="334"/>
      <c r="BR1122" s="334"/>
      <c r="BS1122" s="334"/>
      <c r="BT1122" s="334"/>
      <c r="BU1122" s="334"/>
    </row>
    <row r="1123" spans="47:73" x14ac:dyDescent="0.25">
      <c r="AU1123" s="202"/>
      <c r="AX1123" s="200"/>
      <c r="AY1123" s="200"/>
      <c r="AZ1123" s="334"/>
      <c r="BA1123" s="334"/>
      <c r="BB1123" s="334"/>
      <c r="BC1123" s="201"/>
      <c r="BD1123" s="334"/>
      <c r="BE1123" s="334"/>
      <c r="BF1123" s="334"/>
      <c r="BG1123" s="201"/>
      <c r="BI1123" s="334"/>
      <c r="BJ1123" s="334"/>
      <c r="BK1123" s="334"/>
      <c r="BL1123" s="334"/>
      <c r="BM1123" s="334"/>
      <c r="BN1123" s="334"/>
      <c r="BO1123" s="334"/>
      <c r="BP1123" s="334"/>
      <c r="BQ1123" s="334"/>
      <c r="BR1123" s="334"/>
      <c r="BS1123" s="334"/>
      <c r="BT1123" s="334"/>
      <c r="BU1123" s="334"/>
    </row>
    <row r="1124" spans="47:73" x14ac:dyDescent="0.25">
      <c r="AU1124" s="202"/>
      <c r="AX1124" s="200"/>
      <c r="AY1124" s="200"/>
      <c r="AZ1124" s="334"/>
      <c r="BA1124" s="334"/>
      <c r="BB1124" s="334"/>
      <c r="BC1124" s="201"/>
      <c r="BD1124" s="334"/>
      <c r="BE1124" s="334"/>
      <c r="BF1124" s="334"/>
      <c r="BG1124" s="201"/>
      <c r="BI1124" s="334"/>
      <c r="BJ1124" s="334"/>
      <c r="BK1124" s="334"/>
      <c r="BL1124" s="334"/>
      <c r="BM1124" s="334"/>
      <c r="BN1124" s="334"/>
      <c r="BO1124" s="334"/>
      <c r="BP1124" s="334"/>
      <c r="BQ1124" s="334"/>
      <c r="BR1124" s="334"/>
      <c r="BS1124" s="334"/>
      <c r="BT1124" s="334"/>
      <c r="BU1124" s="334"/>
    </row>
    <row r="1125" spans="47:73" x14ac:dyDescent="0.25">
      <c r="BB1125" s="334"/>
      <c r="BD1125" s="334"/>
      <c r="BE1125" s="334"/>
      <c r="BF1125" s="334"/>
      <c r="BI1125" s="334"/>
      <c r="BJ1125" s="334"/>
      <c r="BK1125" s="334"/>
      <c r="BL1125" s="334"/>
      <c r="BM1125" s="334"/>
      <c r="BN1125" s="334"/>
      <c r="BO1125" s="334"/>
      <c r="BP1125" s="334"/>
      <c r="BQ1125" s="334"/>
      <c r="BR1125" s="334"/>
      <c r="BS1125" s="334"/>
      <c r="BT1125" s="334"/>
      <c r="BU1125" s="334"/>
    </row>
    <row r="1126" spans="47:73" x14ac:dyDescent="0.25">
      <c r="AU1126" s="202"/>
      <c r="AV1126" s="154"/>
      <c r="AX1126" s="200"/>
      <c r="AY1126" s="200"/>
      <c r="AZ1126" s="334"/>
      <c r="BA1126" s="334"/>
      <c r="BB1126" s="334"/>
      <c r="BC1126" s="201"/>
      <c r="BD1126" s="334"/>
      <c r="BE1126" s="334"/>
      <c r="BF1126" s="334"/>
      <c r="BG1126" s="201"/>
    </row>
    <row r="1127" spans="47:73" x14ac:dyDescent="0.25">
      <c r="AU1127" s="202"/>
      <c r="AX1127" s="200"/>
      <c r="AY1127" s="200"/>
      <c r="AZ1127" s="334"/>
      <c r="BA1127" s="334"/>
      <c r="BB1127" s="334"/>
      <c r="BC1127" s="201"/>
      <c r="BD1127" s="334"/>
      <c r="BE1127" s="334"/>
      <c r="BF1127" s="334"/>
      <c r="BG1127" s="201"/>
    </row>
    <row r="1128" spans="47:73" x14ac:dyDescent="0.25">
      <c r="AU1128" s="202"/>
      <c r="AX1128" s="200"/>
      <c r="AY1128" s="200"/>
      <c r="AZ1128" s="334"/>
      <c r="BA1128" s="334"/>
      <c r="BB1128" s="334"/>
      <c r="BC1128" s="201"/>
      <c r="BD1128" s="334"/>
      <c r="BE1128" s="334"/>
      <c r="BF1128" s="334"/>
      <c r="BG1128" s="201"/>
    </row>
    <row r="1129" spans="47:73" x14ac:dyDescent="0.25">
      <c r="AU1129" s="202"/>
      <c r="AX1129" s="200"/>
      <c r="AY1129" s="200"/>
      <c r="AZ1129" s="334"/>
      <c r="BA1129" s="334"/>
      <c r="BB1129" s="334"/>
      <c r="BC1129" s="201"/>
      <c r="BD1129" s="334"/>
      <c r="BE1129" s="334"/>
      <c r="BF1129" s="334"/>
      <c r="BG1129" s="201"/>
    </row>
    <row r="1130" spans="47:73" x14ac:dyDescent="0.25">
      <c r="AU1130" s="202"/>
      <c r="AX1130" s="200"/>
      <c r="AY1130" s="200"/>
      <c r="AZ1130" s="334"/>
      <c r="BA1130" s="334"/>
      <c r="BB1130" s="334"/>
      <c r="BC1130" s="201"/>
      <c r="BD1130" s="334"/>
      <c r="BE1130" s="334"/>
      <c r="BF1130" s="334"/>
      <c r="BG1130" s="201"/>
    </row>
    <row r="1131" spans="47:73" x14ac:dyDescent="0.25">
      <c r="AU1131" s="202"/>
      <c r="AX1131" s="200"/>
      <c r="AY1131" s="200"/>
      <c r="AZ1131" s="334"/>
      <c r="BA1131" s="334"/>
      <c r="BB1131" s="334"/>
      <c r="BC1131" s="201"/>
      <c r="BD1131" s="334"/>
      <c r="BE1131" s="334"/>
      <c r="BF1131" s="334"/>
      <c r="BG1131" s="201"/>
    </row>
    <row r="1132" spans="47:73" x14ac:dyDescent="0.25">
      <c r="AU1132" s="202"/>
      <c r="AX1132" s="200"/>
      <c r="AY1132" s="200"/>
      <c r="AZ1132" s="334"/>
      <c r="BA1132" s="334"/>
      <c r="BB1132" s="334"/>
      <c r="BC1132" s="201"/>
      <c r="BD1132" s="334"/>
      <c r="BE1132" s="334"/>
      <c r="BF1132" s="334"/>
      <c r="BG1132" s="201"/>
    </row>
    <row r="1133" spans="47:73" x14ac:dyDescent="0.25">
      <c r="AU1133" s="202"/>
      <c r="AX1133" s="200"/>
      <c r="AY1133" s="200"/>
      <c r="AZ1133" s="334"/>
      <c r="BA1133" s="334"/>
      <c r="BB1133" s="334"/>
      <c r="BC1133" s="201"/>
      <c r="BD1133" s="334"/>
      <c r="BE1133" s="334"/>
      <c r="BF1133" s="334"/>
      <c r="BG1133" s="201"/>
    </row>
    <row r="1134" spans="47:73" x14ac:dyDescent="0.25">
      <c r="AU1134" s="202"/>
      <c r="AX1134" s="200"/>
      <c r="AY1134" s="200"/>
      <c r="AZ1134" s="334"/>
      <c r="BA1134" s="334"/>
      <c r="BB1134" s="334"/>
      <c r="BC1134" s="201"/>
      <c r="BD1134" s="334"/>
      <c r="BE1134" s="334"/>
      <c r="BF1134" s="334"/>
      <c r="BG1134" s="201"/>
    </row>
    <row r="1135" spans="47:73" x14ac:dyDescent="0.25">
      <c r="AU1135" s="202"/>
      <c r="AX1135" s="200"/>
      <c r="AY1135" s="200"/>
      <c r="AZ1135" s="334"/>
      <c r="BA1135" s="334"/>
      <c r="BB1135" s="334"/>
      <c r="BC1135" s="201"/>
      <c r="BD1135" s="334"/>
      <c r="BE1135" s="334"/>
      <c r="BF1135" s="334"/>
      <c r="BG1135" s="201"/>
    </row>
    <row r="1136" spans="47:73" x14ac:dyDescent="0.25">
      <c r="AU1136" s="202"/>
      <c r="AX1136" s="200"/>
      <c r="AY1136" s="200"/>
      <c r="AZ1136" s="334"/>
      <c r="BA1136" s="334"/>
      <c r="BB1136" s="334"/>
      <c r="BC1136" s="201"/>
      <c r="BD1136" s="334"/>
      <c r="BE1136" s="334"/>
      <c r="BF1136" s="334"/>
      <c r="BG1136" s="201"/>
    </row>
    <row r="1137" spans="47:59" x14ac:dyDescent="0.25">
      <c r="AU1137" s="202"/>
      <c r="AX1137" s="200"/>
      <c r="AY1137" s="200"/>
      <c r="AZ1137" s="334"/>
      <c r="BA1137" s="334"/>
      <c r="BB1137" s="334"/>
      <c r="BC1137" s="201"/>
      <c r="BD1137" s="334"/>
      <c r="BE1137" s="334"/>
      <c r="BF1137" s="334"/>
      <c r="BG1137" s="201"/>
    </row>
    <row r="1138" spans="47:59" x14ac:dyDescent="0.25">
      <c r="AU1138" s="202"/>
      <c r="AX1138" s="200"/>
      <c r="AY1138" s="200"/>
      <c r="AZ1138" s="334"/>
      <c r="BA1138" s="334"/>
      <c r="BB1138" s="334"/>
      <c r="BC1138" s="201"/>
      <c r="BD1138" s="334"/>
      <c r="BE1138" s="334"/>
      <c r="BF1138" s="334"/>
      <c r="BG1138" s="201"/>
    </row>
    <row r="1139" spans="47:59" x14ac:dyDescent="0.25">
      <c r="AU1139" s="202"/>
      <c r="AX1139" s="200"/>
      <c r="AY1139" s="200"/>
      <c r="AZ1139" s="334"/>
      <c r="BA1139" s="334"/>
      <c r="BB1139" s="334"/>
      <c r="BC1139" s="201"/>
      <c r="BD1139" s="334"/>
      <c r="BE1139" s="334"/>
      <c r="BF1139" s="334"/>
      <c r="BG1139" s="201"/>
    </row>
    <row r="1140" spans="47:59" x14ac:dyDescent="0.25">
      <c r="AU1140" s="202"/>
      <c r="AX1140" s="200"/>
      <c r="AY1140" s="200"/>
      <c r="AZ1140" s="334"/>
      <c r="BA1140" s="334"/>
      <c r="BB1140" s="334"/>
      <c r="BC1140" s="201"/>
      <c r="BD1140" s="334"/>
      <c r="BE1140" s="334"/>
      <c r="BF1140" s="334"/>
      <c r="BG1140" s="201"/>
    </row>
    <row r="1141" spans="47:59" x14ac:dyDescent="0.25">
      <c r="AU1141" s="202"/>
      <c r="AX1141" s="200"/>
      <c r="AY1141" s="200"/>
      <c r="AZ1141" s="334"/>
      <c r="BA1141" s="334"/>
      <c r="BB1141" s="334"/>
      <c r="BC1141" s="201"/>
      <c r="BD1141" s="334"/>
      <c r="BE1141" s="334"/>
      <c r="BF1141" s="334"/>
      <c r="BG1141" s="201"/>
    </row>
    <row r="1142" spans="47:59" x14ac:dyDescent="0.25">
      <c r="AU1142" s="202"/>
      <c r="AX1142" s="200"/>
      <c r="AY1142" s="200"/>
      <c r="AZ1142" s="334"/>
      <c r="BA1142" s="334"/>
      <c r="BB1142" s="334"/>
      <c r="BC1142" s="201"/>
      <c r="BD1142" s="334"/>
      <c r="BE1142" s="334"/>
      <c r="BF1142" s="334"/>
      <c r="BG1142" s="201"/>
    </row>
    <row r="1143" spans="47:59" x14ac:dyDescent="0.25">
      <c r="AU1143" s="202"/>
      <c r="AX1143" s="200"/>
      <c r="AY1143" s="200"/>
      <c r="AZ1143" s="334"/>
      <c r="BA1143" s="334"/>
      <c r="BB1143" s="334"/>
      <c r="BC1143" s="201"/>
      <c r="BD1143" s="334"/>
      <c r="BE1143" s="334"/>
      <c r="BF1143" s="334"/>
      <c r="BG1143" s="201"/>
    </row>
    <row r="1144" spans="47:59" x14ac:dyDescent="0.25">
      <c r="BD1144" s="334"/>
    </row>
    <row r="1145" spans="47:59" x14ac:dyDescent="0.25">
      <c r="AW1145" s="154"/>
      <c r="BD1145" s="334"/>
    </row>
    <row r="1146" spans="47:59" x14ac:dyDescent="0.25">
      <c r="AW1146" s="154"/>
    </row>
    <row r="1147" spans="47:59" x14ac:dyDescent="0.25">
      <c r="AW1147" s="154"/>
      <c r="BD1147" s="334"/>
    </row>
    <row r="1148" spans="47:59" x14ac:dyDescent="0.25">
      <c r="AU1148" s="154"/>
      <c r="BB1148" s="334"/>
      <c r="BD1148" s="334"/>
    </row>
    <row r="1149" spans="47:59" x14ac:dyDescent="0.25">
      <c r="BA1149" s="202"/>
      <c r="BB1149" s="334"/>
      <c r="BD1149" s="334"/>
    </row>
    <row r="1150" spans="47:59" x14ac:dyDescent="0.25">
      <c r="BA1150" s="334"/>
      <c r="BB1150" s="334"/>
      <c r="BD1150" s="334"/>
    </row>
    <row r="1151" spans="47:59" x14ac:dyDescent="0.25">
      <c r="BA1151" s="154"/>
      <c r="BB1151" s="334"/>
      <c r="BD1151" s="334"/>
    </row>
    <row r="1152" spans="47:59" x14ac:dyDescent="0.25">
      <c r="BA1152" s="154"/>
      <c r="BB1152" s="334"/>
      <c r="BD1152" s="334"/>
    </row>
    <row r="1153" spans="47:59" x14ac:dyDescent="0.25">
      <c r="AU1153" s="202"/>
      <c r="BB1153" s="334"/>
      <c r="BD1153" s="334"/>
      <c r="BF1153" s="154"/>
    </row>
    <row r="1154" spans="47:59" x14ac:dyDescent="0.25">
      <c r="AU1154" s="202"/>
      <c r="BB1154" s="334"/>
      <c r="BD1154" s="334"/>
      <c r="BF1154" s="154"/>
    </row>
    <row r="1155" spans="47:59" x14ac:dyDescent="0.25">
      <c r="AU1155" s="154"/>
      <c r="BB1155" s="334"/>
      <c r="BD1155" s="334"/>
      <c r="BF1155" s="154"/>
    </row>
    <row r="1156" spans="47:59" x14ac:dyDescent="0.25">
      <c r="BB1156" s="334"/>
      <c r="BD1156" s="334"/>
      <c r="BF1156" s="202"/>
    </row>
    <row r="1157" spans="47:59" x14ac:dyDescent="0.25">
      <c r="AU1157" s="102"/>
      <c r="AV1157" s="102"/>
      <c r="AW1157" s="102"/>
      <c r="AX1157" s="102"/>
      <c r="AY1157" s="102"/>
      <c r="AZ1157" s="102"/>
      <c r="BA1157" s="102"/>
      <c r="BB1157" s="335"/>
      <c r="BC1157" s="102"/>
      <c r="BD1157" s="335"/>
      <c r="BE1157" s="102"/>
      <c r="BF1157" s="102"/>
      <c r="BG1157" s="102"/>
    </row>
    <row r="1158" spans="47:59" x14ac:dyDescent="0.25">
      <c r="AZ1158" s="154"/>
      <c r="BB1158" s="334"/>
      <c r="BD1158" s="334"/>
    </row>
    <row r="1159" spans="47:59" x14ac:dyDescent="0.25">
      <c r="AZ1159" s="102"/>
      <c r="BA1159" s="102"/>
      <c r="BB1159" s="335"/>
      <c r="BC1159" s="102"/>
      <c r="BD1159" s="334"/>
      <c r="BE1159" s="103"/>
      <c r="BF1159" s="103"/>
    </row>
    <row r="1160" spans="47:59" x14ac:dyDescent="0.25">
      <c r="AX1160" s="103"/>
      <c r="AY1160" s="103"/>
      <c r="BB1160" s="336"/>
      <c r="BC1160" s="103"/>
      <c r="BD1160" s="334"/>
      <c r="BE1160" s="103"/>
      <c r="BF1160" s="103"/>
      <c r="BG1160" s="103"/>
    </row>
    <row r="1161" spans="47:59" x14ac:dyDescent="0.25">
      <c r="AX1161" s="103"/>
      <c r="AY1161" s="103"/>
      <c r="AZ1161" s="103"/>
      <c r="BA1161" s="103"/>
      <c r="BB1161" s="336"/>
      <c r="BC1161" s="103"/>
      <c r="BD1161" s="336"/>
      <c r="BE1161" s="103"/>
      <c r="BF1161" s="103"/>
      <c r="BG1161" s="103"/>
    </row>
    <row r="1162" spans="47:59" x14ac:dyDescent="0.25">
      <c r="AU1162" s="103"/>
      <c r="AW1162" s="154"/>
      <c r="AX1162" s="103"/>
      <c r="AY1162" s="103"/>
      <c r="AZ1162" s="103"/>
      <c r="BA1162" s="103"/>
      <c r="BB1162" s="336"/>
      <c r="BC1162" s="103"/>
      <c r="BD1162" s="336"/>
      <c r="BE1162" s="103"/>
      <c r="BF1162" s="103"/>
      <c r="BG1162" s="103"/>
    </row>
    <row r="1163" spans="47:59" x14ac:dyDescent="0.25">
      <c r="AU1163" s="103"/>
      <c r="AW1163" s="154"/>
      <c r="AX1163" s="103"/>
      <c r="AY1163" s="103"/>
      <c r="AZ1163" s="103"/>
      <c r="BA1163" s="103"/>
      <c r="BB1163" s="336"/>
      <c r="BC1163" s="103"/>
      <c r="BD1163" s="336"/>
      <c r="BE1163" s="103"/>
      <c r="BF1163" s="103"/>
      <c r="BG1163" s="103"/>
    </row>
    <row r="1164" spans="47:59" x14ac:dyDescent="0.25">
      <c r="AU1164" s="102"/>
      <c r="AV1164" s="102"/>
      <c r="AW1164" s="102"/>
      <c r="AX1164" s="102"/>
      <c r="AY1164" s="102"/>
      <c r="AZ1164" s="102"/>
      <c r="BA1164" s="102"/>
      <c r="BB1164" s="335"/>
      <c r="BC1164" s="102"/>
      <c r="BD1164" s="335"/>
      <c r="BE1164" s="102"/>
      <c r="BF1164" s="102"/>
      <c r="BG1164" s="102"/>
    </row>
    <row r="1165" spans="47:59" x14ac:dyDescent="0.25">
      <c r="AX1165" s="103"/>
      <c r="AY1165" s="103"/>
      <c r="AZ1165" s="103"/>
      <c r="BA1165" s="103"/>
      <c r="BB1165" s="336"/>
      <c r="BC1165" s="103"/>
      <c r="BD1165" s="336"/>
      <c r="BE1165" s="103"/>
      <c r="BF1165" s="103"/>
      <c r="BG1165" s="103"/>
    </row>
    <row r="1166" spans="47:59" x14ac:dyDescent="0.25">
      <c r="AU1166" s="202"/>
      <c r="AV1166" s="154"/>
      <c r="AX1166" s="200"/>
      <c r="AY1166" s="200"/>
      <c r="AZ1166" s="334"/>
      <c r="BA1166" s="334"/>
      <c r="BB1166" s="334"/>
      <c r="BC1166" s="201"/>
      <c r="BD1166" s="334"/>
      <c r="BE1166" s="334"/>
      <c r="BF1166" s="334"/>
      <c r="BG1166" s="201"/>
    </row>
    <row r="1167" spans="47:59" x14ac:dyDescent="0.25">
      <c r="AU1167" s="202"/>
      <c r="AX1167" s="200"/>
      <c r="AY1167" s="200"/>
      <c r="AZ1167" s="334"/>
      <c r="BA1167" s="334"/>
      <c r="BB1167" s="334"/>
      <c r="BC1167" s="201"/>
      <c r="BD1167" s="334"/>
      <c r="BE1167" s="334"/>
      <c r="BF1167" s="334"/>
      <c r="BG1167" s="201"/>
    </row>
    <row r="1168" spans="47:59" x14ac:dyDescent="0.25">
      <c r="AU1168" s="202"/>
      <c r="AX1168" s="200"/>
      <c r="AY1168" s="200"/>
      <c r="AZ1168" s="334"/>
      <c r="BA1168" s="334"/>
      <c r="BB1168" s="334"/>
      <c r="BC1168" s="201"/>
      <c r="BD1168" s="334"/>
      <c r="BE1168" s="334"/>
      <c r="BF1168" s="334"/>
      <c r="BG1168" s="201"/>
    </row>
    <row r="1169" spans="47:59" x14ac:dyDescent="0.25">
      <c r="AU1169" s="202"/>
      <c r="AX1169" s="200"/>
      <c r="AY1169" s="200"/>
      <c r="AZ1169" s="334"/>
      <c r="BA1169" s="334"/>
      <c r="BB1169" s="334"/>
      <c r="BC1169" s="201"/>
      <c r="BD1169" s="334"/>
      <c r="BE1169" s="334"/>
      <c r="BF1169" s="334"/>
      <c r="BG1169" s="201"/>
    </row>
    <row r="1170" spans="47:59" x14ac:dyDescent="0.25">
      <c r="AU1170" s="202"/>
      <c r="AX1170" s="200"/>
      <c r="AY1170" s="200"/>
      <c r="AZ1170" s="334"/>
      <c r="BA1170" s="334"/>
      <c r="BB1170" s="334"/>
      <c r="BC1170" s="201"/>
      <c r="BD1170" s="334"/>
      <c r="BE1170" s="334"/>
      <c r="BF1170" s="334"/>
      <c r="BG1170" s="201"/>
    </row>
    <row r="1171" spans="47:59" x14ac:dyDescent="0.25">
      <c r="AU1171" s="202"/>
      <c r="AX1171" s="200"/>
      <c r="AY1171" s="200"/>
      <c r="AZ1171" s="334"/>
      <c r="BA1171" s="334"/>
      <c r="BB1171" s="334"/>
      <c r="BC1171" s="201"/>
      <c r="BD1171" s="334"/>
      <c r="BE1171" s="334"/>
      <c r="BF1171" s="334"/>
      <c r="BG1171" s="201"/>
    </row>
    <row r="1172" spans="47:59" x14ac:dyDescent="0.25">
      <c r="AU1172" s="202"/>
      <c r="AX1172" s="200"/>
      <c r="AY1172" s="200"/>
      <c r="AZ1172" s="334"/>
      <c r="BA1172" s="334"/>
      <c r="BB1172" s="334"/>
      <c r="BC1172" s="201"/>
      <c r="BD1172" s="334"/>
      <c r="BE1172" s="334"/>
      <c r="BF1172" s="334"/>
      <c r="BG1172" s="201"/>
    </row>
    <row r="1173" spans="47:59" x14ac:dyDescent="0.25">
      <c r="AU1173" s="202"/>
      <c r="AX1173" s="200"/>
      <c r="AY1173" s="200"/>
      <c r="AZ1173" s="334"/>
      <c r="BA1173" s="334"/>
      <c r="BB1173" s="334"/>
      <c r="BC1173" s="201"/>
      <c r="BD1173" s="334"/>
      <c r="BE1173" s="334"/>
      <c r="BF1173" s="334"/>
      <c r="BG1173" s="201"/>
    </row>
    <row r="1174" spans="47:59" x14ac:dyDescent="0.25">
      <c r="AU1174" s="202"/>
      <c r="AX1174" s="200"/>
      <c r="AY1174" s="200"/>
      <c r="AZ1174" s="334"/>
      <c r="BA1174" s="334"/>
      <c r="BB1174" s="334"/>
      <c r="BC1174" s="201"/>
      <c r="BD1174" s="334"/>
      <c r="BE1174" s="334"/>
      <c r="BF1174" s="334"/>
      <c r="BG1174" s="201"/>
    </row>
    <row r="1175" spans="47:59" x14ac:dyDescent="0.25">
      <c r="AU1175" s="202"/>
      <c r="AX1175" s="200"/>
      <c r="AY1175" s="200"/>
      <c r="AZ1175" s="334"/>
      <c r="BA1175" s="334"/>
      <c r="BB1175" s="334"/>
      <c r="BC1175" s="201"/>
      <c r="BD1175" s="334"/>
      <c r="BE1175" s="334"/>
      <c r="BF1175" s="334"/>
      <c r="BG1175" s="201"/>
    </row>
    <row r="1176" spans="47:59" x14ac:dyDescent="0.25">
      <c r="AX1176" s="200"/>
      <c r="AY1176" s="200"/>
      <c r="BD1176" s="334"/>
    </row>
    <row r="1177" spans="47:59" x14ac:dyDescent="0.25">
      <c r="AU1177" s="202"/>
      <c r="AV1177" s="154"/>
      <c r="AX1177" s="200"/>
      <c r="AY1177" s="200"/>
      <c r="AZ1177" s="334"/>
      <c r="BA1177" s="334"/>
      <c r="BB1177" s="334"/>
      <c r="BC1177" s="201"/>
      <c r="BD1177" s="334"/>
      <c r="BE1177" s="334"/>
      <c r="BF1177" s="334"/>
      <c r="BG1177" s="201"/>
    </row>
    <row r="1178" spans="47:59" x14ac:dyDescent="0.25">
      <c r="AU1178" s="202"/>
      <c r="AX1178" s="200"/>
      <c r="AY1178" s="200"/>
      <c r="AZ1178" s="334"/>
      <c r="BA1178" s="334"/>
      <c r="BB1178" s="334"/>
      <c r="BC1178" s="201"/>
      <c r="BD1178" s="334"/>
      <c r="BE1178" s="334"/>
      <c r="BF1178" s="334"/>
      <c r="BG1178" s="201"/>
    </row>
    <row r="1179" spans="47:59" x14ac:dyDescent="0.25">
      <c r="AU1179" s="202"/>
      <c r="AX1179" s="200"/>
      <c r="AY1179" s="200"/>
      <c r="AZ1179" s="334"/>
      <c r="BA1179" s="334"/>
      <c r="BB1179" s="334"/>
      <c r="BC1179" s="201"/>
      <c r="BD1179" s="334"/>
      <c r="BE1179" s="334"/>
      <c r="BF1179" s="334"/>
      <c r="BG1179" s="201"/>
    </row>
    <row r="1180" spans="47:59" x14ac:dyDescent="0.25">
      <c r="AU1180" s="202"/>
      <c r="AX1180" s="200"/>
      <c r="AY1180" s="200"/>
      <c r="AZ1180" s="334"/>
      <c r="BA1180" s="334"/>
      <c r="BB1180" s="334"/>
      <c r="BC1180" s="201"/>
      <c r="BD1180" s="334"/>
      <c r="BE1180" s="334"/>
      <c r="BF1180" s="334"/>
      <c r="BG1180" s="201"/>
    </row>
    <row r="1181" spans="47:59" x14ac:dyDescent="0.25">
      <c r="AU1181" s="202"/>
      <c r="AX1181" s="200"/>
      <c r="AY1181" s="200"/>
      <c r="AZ1181" s="334"/>
      <c r="BA1181" s="334"/>
      <c r="BB1181" s="334"/>
      <c r="BC1181" s="201"/>
      <c r="BD1181" s="334"/>
      <c r="BE1181" s="334"/>
      <c r="BF1181" s="334"/>
      <c r="BG1181" s="201"/>
    </row>
    <row r="1182" spans="47:59" x14ac:dyDescent="0.25">
      <c r="AU1182" s="202"/>
      <c r="AX1182" s="200"/>
      <c r="AY1182" s="200"/>
      <c r="AZ1182" s="334"/>
      <c r="BA1182" s="334"/>
      <c r="BB1182" s="334"/>
      <c r="BC1182" s="201"/>
      <c r="BD1182" s="334"/>
      <c r="BE1182" s="334"/>
      <c r="BF1182" s="334"/>
      <c r="BG1182" s="201"/>
    </row>
    <row r="1183" spans="47:59" x14ac:dyDescent="0.25">
      <c r="AU1183" s="202"/>
      <c r="AX1183" s="200"/>
      <c r="AY1183" s="200"/>
      <c r="AZ1183" s="334"/>
      <c r="BA1183" s="334"/>
      <c r="BB1183" s="334"/>
      <c r="BC1183" s="201"/>
      <c r="BD1183" s="334"/>
      <c r="BE1183" s="334"/>
      <c r="BF1183" s="334"/>
      <c r="BG1183" s="201"/>
    </row>
    <row r="1184" spans="47:59" x14ac:dyDescent="0.25">
      <c r="AU1184" s="202"/>
      <c r="AX1184" s="200"/>
      <c r="AY1184" s="200"/>
      <c r="AZ1184" s="334"/>
      <c r="BA1184" s="334"/>
      <c r="BB1184" s="334"/>
      <c r="BC1184" s="201"/>
      <c r="BD1184" s="334"/>
      <c r="BE1184" s="334"/>
      <c r="BF1184" s="334"/>
      <c r="BG1184" s="201"/>
    </row>
    <row r="1185" spans="47:59" x14ac:dyDescent="0.25">
      <c r="AU1185" s="202"/>
      <c r="AX1185" s="200"/>
      <c r="AY1185" s="200"/>
      <c r="AZ1185" s="334"/>
      <c r="BA1185" s="334"/>
      <c r="BB1185" s="334"/>
      <c r="BC1185" s="201"/>
      <c r="BD1185" s="334"/>
      <c r="BE1185" s="334"/>
      <c r="BF1185" s="334"/>
      <c r="BG1185" s="201"/>
    </row>
    <row r="1186" spans="47:59" x14ac:dyDescent="0.25">
      <c r="AU1186" s="202"/>
      <c r="AX1186" s="200"/>
      <c r="AY1186" s="200"/>
      <c r="AZ1186" s="334"/>
      <c r="BA1186" s="334"/>
      <c r="BB1186" s="334"/>
      <c r="BC1186" s="201"/>
      <c r="BD1186" s="334"/>
      <c r="BE1186" s="334"/>
      <c r="BF1186" s="334"/>
      <c r="BG1186" s="201"/>
    </row>
    <row r="1188" spans="47:59" x14ac:dyDescent="0.25">
      <c r="AW1188" s="154"/>
    </row>
    <row r="1189" spans="47:59" x14ac:dyDescent="0.25">
      <c r="AW1189" s="154"/>
    </row>
    <row r="1190" spans="47:59" x14ac:dyDescent="0.25">
      <c r="AW1190" s="154"/>
    </row>
    <row r="1191" spans="47:59" x14ac:dyDescent="0.25">
      <c r="AU1191" s="154"/>
    </row>
    <row r="1212" spans="54:73" x14ac:dyDescent="0.25">
      <c r="BB1212" s="334"/>
      <c r="BD1212" s="334"/>
      <c r="BE1212" s="334"/>
      <c r="BF1212" s="334"/>
      <c r="BI1212" s="334"/>
      <c r="BJ1212" s="334"/>
      <c r="BK1212" s="334"/>
      <c r="BL1212" s="334"/>
      <c r="BM1212" s="334"/>
      <c r="BN1212" s="334"/>
      <c r="BO1212" s="334"/>
      <c r="BP1212" s="334"/>
      <c r="BQ1212" s="334"/>
      <c r="BR1212" s="334"/>
      <c r="BS1212" s="334"/>
      <c r="BT1212" s="334"/>
      <c r="BU1212" s="334"/>
    </row>
    <row r="1213" spans="54:73" x14ac:dyDescent="0.25">
      <c r="BB1213" s="334"/>
      <c r="BD1213" s="334"/>
      <c r="BE1213" s="334"/>
      <c r="BF1213" s="334"/>
      <c r="BI1213" s="334"/>
      <c r="BJ1213" s="334"/>
      <c r="BK1213" s="334"/>
      <c r="BL1213" s="334"/>
      <c r="BM1213" s="334"/>
      <c r="BN1213" s="334"/>
      <c r="BO1213" s="334"/>
      <c r="BP1213" s="334"/>
      <c r="BQ1213" s="334"/>
      <c r="BR1213" s="334"/>
      <c r="BS1213" s="334"/>
      <c r="BT1213" s="334"/>
      <c r="BU1213" s="334"/>
    </row>
    <row r="1214" spans="54:73" x14ac:dyDescent="0.25">
      <c r="BB1214" s="334"/>
      <c r="BD1214" s="334"/>
      <c r="BE1214" s="334"/>
      <c r="BF1214" s="334"/>
      <c r="BI1214" s="334"/>
      <c r="BJ1214" s="334"/>
      <c r="BK1214" s="334"/>
      <c r="BL1214" s="334"/>
      <c r="BM1214" s="334"/>
      <c r="BN1214" s="334"/>
      <c r="BO1214" s="334"/>
      <c r="BP1214" s="334"/>
      <c r="BQ1214" s="334"/>
      <c r="BR1214" s="334"/>
      <c r="BS1214" s="334"/>
      <c r="BT1214" s="334"/>
      <c r="BU1214" s="334"/>
    </row>
    <row r="1215" spans="54:73" x14ac:dyDescent="0.25">
      <c r="BB1215" s="334"/>
      <c r="BD1215" s="334"/>
      <c r="BE1215" s="334"/>
      <c r="BF1215" s="334"/>
      <c r="BI1215" s="334"/>
      <c r="BJ1215" s="334"/>
      <c r="BK1215" s="334"/>
      <c r="BL1215" s="334"/>
      <c r="BM1215" s="334"/>
      <c r="BN1215" s="334"/>
      <c r="BO1215" s="334"/>
      <c r="BP1215" s="334"/>
      <c r="BQ1215" s="334"/>
      <c r="BR1215" s="334"/>
      <c r="BS1215" s="334"/>
      <c r="BT1215" s="334"/>
      <c r="BU1215" s="334"/>
    </row>
    <row r="1216" spans="54:73" x14ac:dyDescent="0.25">
      <c r="BB1216" s="334"/>
      <c r="BD1216" s="334"/>
      <c r="BE1216" s="334"/>
      <c r="BF1216" s="334"/>
      <c r="BI1216" s="334"/>
      <c r="BJ1216" s="334"/>
      <c r="BK1216" s="334"/>
      <c r="BL1216" s="334"/>
      <c r="BM1216" s="334"/>
      <c r="BN1216" s="334"/>
      <c r="BO1216" s="334"/>
      <c r="BP1216" s="334"/>
      <c r="BQ1216" s="334"/>
      <c r="BR1216" s="334"/>
      <c r="BS1216" s="334"/>
      <c r="BT1216" s="334"/>
      <c r="BU1216" s="334"/>
    </row>
    <row r="1217" spans="54:73" x14ac:dyDescent="0.25">
      <c r="BB1217" s="334"/>
      <c r="BD1217" s="334"/>
      <c r="BE1217" s="334"/>
      <c r="BF1217" s="334"/>
      <c r="BI1217" s="334"/>
      <c r="BJ1217" s="334"/>
      <c r="BK1217" s="334"/>
      <c r="BL1217" s="334"/>
      <c r="BM1217" s="334"/>
      <c r="BN1217" s="334"/>
      <c r="BO1217" s="334"/>
      <c r="BP1217" s="334"/>
      <c r="BQ1217" s="334"/>
      <c r="BR1217" s="334"/>
      <c r="BS1217" s="334"/>
      <c r="BT1217" s="334"/>
      <c r="BU1217" s="334"/>
    </row>
    <row r="1218" spans="54:73" x14ac:dyDescent="0.25">
      <c r="BB1218" s="334"/>
      <c r="BD1218" s="334"/>
      <c r="BE1218" s="334"/>
      <c r="BF1218" s="334"/>
      <c r="BI1218" s="334"/>
      <c r="BJ1218" s="334"/>
      <c r="BK1218" s="334"/>
      <c r="BL1218" s="334"/>
      <c r="BM1218" s="334"/>
      <c r="BN1218" s="334"/>
      <c r="BO1218" s="334"/>
      <c r="BP1218" s="334"/>
      <c r="BQ1218" s="334"/>
      <c r="BR1218" s="334"/>
      <c r="BS1218" s="334"/>
      <c r="BT1218" s="334"/>
      <c r="BU1218" s="334"/>
    </row>
    <row r="1219" spans="54:73" x14ac:dyDescent="0.25">
      <c r="BB1219" s="334"/>
      <c r="BD1219" s="334"/>
      <c r="BE1219" s="334"/>
      <c r="BF1219" s="334"/>
      <c r="BI1219" s="334"/>
      <c r="BJ1219" s="334"/>
      <c r="BK1219" s="334"/>
      <c r="BL1219" s="334"/>
      <c r="BM1219" s="334"/>
      <c r="BN1219" s="334"/>
      <c r="BO1219" s="334"/>
      <c r="BP1219" s="334"/>
      <c r="BQ1219" s="334"/>
      <c r="BR1219" s="334"/>
      <c r="BS1219" s="334"/>
      <c r="BT1219" s="334"/>
      <c r="BU1219" s="334"/>
    </row>
    <row r="1220" spans="54:73" x14ac:dyDescent="0.25">
      <c r="BB1220" s="334"/>
      <c r="BD1220" s="334"/>
      <c r="BE1220" s="334"/>
      <c r="BF1220" s="334"/>
      <c r="BI1220" s="334"/>
      <c r="BJ1220" s="334"/>
      <c r="BK1220" s="334"/>
      <c r="BL1220" s="334"/>
      <c r="BM1220" s="334"/>
      <c r="BN1220" s="334"/>
      <c r="BO1220" s="334"/>
      <c r="BP1220" s="334"/>
      <c r="BQ1220" s="334"/>
      <c r="BR1220" s="334"/>
      <c r="BS1220" s="334"/>
      <c r="BT1220" s="334"/>
      <c r="BU1220" s="334"/>
    </row>
    <row r="1221" spans="54:73" x14ac:dyDescent="0.25">
      <c r="BB1221" s="334"/>
      <c r="BD1221" s="334"/>
      <c r="BE1221" s="334"/>
      <c r="BF1221" s="334"/>
      <c r="BI1221" s="334"/>
      <c r="BJ1221" s="334"/>
      <c r="BK1221" s="334"/>
      <c r="BL1221" s="334"/>
      <c r="BM1221" s="334"/>
      <c r="BN1221" s="334"/>
      <c r="BO1221" s="334"/>
      <c r="BP1221" s="334"/>
      <c r="BQ1221" s="334"/>
      <c r="BR1221" s="334"/>
      <c r="BS1221" s="334"/>
      <c r="BT1221" s="334"/>
      <c r="BU1221" s="334"/>
    </row>
    <row r="1222" spans="54:73" x14ac:dyDescent="0.25">
      <c r="BB1222" s="334"/>
      <c r="BD1222" s="334"/>
      <c r="BE1222" s="334"/>
      <c r="BF1222" s="334"/>
      <c r="BI1222" s="334"/>
      <c r="BJ1222" s="334"/>
      <c r="BK1222" s="334"/>
      <c r="BL1222" s="334"/>
      <c r="BM1222" s="334"/>
      <c r="BN1222" s="334"/>
      <c r="BO1222" s="334"/>
      <c r="BP1222" s="334"/>
      <c r="BQ1222" s="334"/>
      <c r="BR1222" s="334"/>
      <c r="BS1222" s="334"/>
      <c r="BT1222" s="334"/>
      <c r="BU1222" s="334"/>
    </row>
    <row r="1223" spans="54:73" x14ac:dyDescent="0.25">
      <c r="BB1223" s="334"/>
      <c r="BD1223" s="334"/>
      <c r="BE1223" s="334"/>
      <c r="BF1223" s="334"/>
      <c r="BI1223" s="334"/>
      <c r="BJ1223" s="334"/>
      <c r="BK1223" s="334"/>
      <c r="BL1223" s="334"/>
      <c r="BM1223" s="334"/>
      <c r="BN1223" s="334"/>
      <c r="BO1223" s="334"/>
      <c r="BP1223" s="334"/>
      <c r="BQ1223" s="334"/>
      <c r="BR1223" s="334"/>
      <c r="BS1223" s="334"/>
      <c r="BT1223" s="334"/>
      <c r="BU1223" s="334"/>
    </row>
    <row r="1224" spans="54:73" x14ac:dyDescent="0.25">
      <c r="BB1224" s="334"/>
      <c r="BI1224" s="334"/>
      <c r="BJ1224" s="334"/>
      <c r="BK1224" s="334"/>
      <c r="BL1224" s="334"/>
      <c r="BM1224" s="334"/>
      <c r="BN1224" s="334"/>
      <c r="BO1224" s="334"/>
      <c r="BP1224" s="334"/>
      <c r="BQ1224" s="334"/>
      <c r="BR1224" s="334"/>
      <c r="BS1224" s="334"/>
      <c r="BT1224" s="334"/>
      <c r="BU1224" s="334"/>
    </row>
    <row r="1225" spans="54:73" x14ac:dyDescent="0.25">
      <c r="BB1225" s="334"/>
      <c r="BI1225" s="334"/>
      <c r="BJ1225" s="334"/>
      <c r="BK1225" s="334"/>
      <c r="BL1225" s="334"/>
      <c r="BM1225" s="334"/>
      <c r="BN1225" s="334"/>
      <c r="BO1225" s="334"/>
      <c r="BP1225" s="334"/>
      <c r="BQ1225" s="334"/>
      <c r="BR1225" s="334"/>
      <c r="BS1225" s="334"/>
      <c r="BT1225" s="334"/>
      <c r="BU1225" s="334"/>
    </row>
    <row r="1226" spans="54:73" x14ac:dyDescent="0.25">
      <c r="BB1226" s="334"/>
      <c r="BI1226" s="334"/>
      <c r="BJ1226" s="334"/>
      <c r="BK1226" s="334"/>
      <c r="BL1226" s="334"/>
      <c r="BM1226" s="334"/>
      <c r="BN1226" s="334"/>
      <c r="BO1226" s="334"/>
      <c r="BP1226" s="334"/>
      <c r="BQ1226" s="334"/>
      <c r="BR1226" s="334"/>
      <c r="BS1226" s="334"/>
      <c r="BT1226" s="334"/>
      <c r="BU1226" s="334"/>
    </row>
    <row r="1227" spans="54:73" x14ac:dyDescent="0.25">
      <c r="BB1227" s="334"/>
      <c r="BI1227" s="334"/>
      <c r="BJ1227" s="334"/>
      <c r="BK1227" s="334"/>
      <c r="BL1227" s="334"/>
      <c r="BM1227" s="334"/>
      <c r="BN1227" s="334"/>
      <c r="BO1227" s="334"/>
      <c r="BP1227" s="334"/>
      <c r="BQ1227" s="334"/>
      <c r="BR1227" s="334"/>
      <c r="BS1227" s="334"/>
      <c r="BT1227" s="334"/>
      <c r="BU1227" s="334"/>
    </row>
    <row r="1228" spans="54:73" x14ac:dyDescent="0.25">
      <c r="BB1228" s="334"/>
      <c r="BI1228" s="334"/>
      <c r="BJ1228" s="334"/>
      <c r="BK1228" s="334"/>
      <c r="BL1228" s="334"/>
      <c r="BM1228" s="334"/>
      <c r="BN1228" s="334"/>
      <c r="BO1228" s="334"/>
      <c r="BP1228" s="334"/>
      <c r="BQ1228" s="334"/>
      <c r="BR1228" s="334"/>
      <c r="BS1228" s="334"/>
      <c r="BT1228" s="334"/>
      <c r="BU1228" s="334"/>
    </row>
    <row r="1229" spans="54:73" x14ac:dyDescent="0.25">
      <c r="BB1229" s="334"/>
      <c r="BI1229" s="334"/>
      <c r="BJ1229" s="334"/>
      <c r="BK1229" s="334"/>
      <c r="BL1229" s="334"/>
      <c r="BM1229" s="334"/>
      <c r="BN1229" s="334"/>
      <c r="BO1229" s="334"/>
      <c r="BP1229" s="334"/>
      <c r="BQ1229" s="334"/>
      <c r="BR1229" s="334"/>
      <c r="BS1229" s="334"/>
      <c r="BT1229" s="334"/>
      <c r="BU1229" s="334"/>
    </row>
    <row r="1230" spans="54:73" x14ac:dyDescent="0.25">
      <c r="BB1230" s="334"/>
      <c r="BI1230" s="334"/>
      <c r="BJ1230" s="334"/>
      <c r="BK1230" s="334"/>
      <c r="BL1230" s="334"/>
      <c r="BM1230" s="334"/>
      <c r="BN1230" s="334"/>
      <c r="BO1230" s="334"/>
      <c r="BP1230" s="334"/>
      <c r="BQ1230" s="334"/>
      <c r="BR1230" s="334"/>
      <c r="BS1230" s="334"/>
      <c r="BT1230" s="334"/>
      <c r="BU1230" s="334"/>
    </row>
    <row r="1231" spans="54:73" x14ac:dyDescent="0.25">
      <c r="BB1231" s="334"/>
    </row>
    <row r="1232" spans="54:73" x14ac:dyDescent="0.25">
      <c r="BB1232" s="334"/>
    </row>
    <row r="1246" spans="1:1" x14ac:dyDescent="0.25">
      <c r="A1246" s="154"/>
    </row>
    <row r="1249" spans="1:30" x14ac:dyDescent="0.25">
      <c r="AA1249" s="154"/>
    </row>
    <row r="1250" spans="1:30" x14ac:dyDescent="0.25">
      <c r="A1250" s="154"/>
      <c r="H1250" s="154"/>
      <c r="I1250" s="154"/>
    </row>
    <row r="1251" spans="1:30" x14ac:dyDescent="0.25">
      <c r="A1251" s="154"/>
      <c r="V1251" s="103"/>
      <c r="AC1251" s="103"/>
      <c r="AD1251" s="103"/>
    </row>
    <row r="1252" spans="1:30" x14ac:dyDescent="0.25">
      <c r="A1252" s="154"/>
      <c r="V1252" s="102"/>
      <c r="AC1252" s="102"/>
      <c r="AD1252" s="102"/>
    </row>
    <row r="1253" spans="1:30" x14ac:dyDescent="0.25">
      <c r="A1253" s="154"/>
      <c r="U1253" s="154"/>
      <c r="AC1253" s="103"/>
      <c r="AD1253" s="103"/>
    </row>
    <row r="1254" spans="1:30" x14ac:dyDescent="0.25">
      <c r="A1254" s="154"/>
    </row>
    <row r="1255" spans="1:30" x14ac:dyDescent="0.25">
      <c r="A1255" s="154"/>
      <c r="U1255" s="154"/>
      <c r="AC1255" s="103"/>
      <c r="AD1255" s="103"/>
    </row>
    <row r="1256" spans="1:30" x14ac:dyDescent="0.25">
      <c r="A1256" s="154"/>
    </row>
    <row r="1257" spans="1:30" x14ac:dyDescent="0.25">
      <c r="A1257" s="154"/>
      <c r="U1257" s="154"/>
      <c r="V1257" s="338"/>
      <c r="AC1257" s="103"/>
      <c r="AD1257" s="103"/>
    </row>
    <row r="1258" spans="1:30" x14ac:dyDescent="0.25">
      <c r="A1258" s="154"/>
    </row>
    <row r="1259" spans="1:30" x14ac:dyDescent="0.25">
      <c r="A1259" s="154"/>
      <c r="U1259" s="154"/>
      <c r="AC1259" s="103"/>
      <c r="AD1259" s="103"/>
    </row>
    <row r="1260" spans="1:30" x14ac:dyDescent="0.25">
      <c r="A1260" s="154"/>
    </row>
    <row r="1261" spans="1:30" x14ac:dyDescent="0.25">
      <c r="A1261" s="154"/>
      <c r="U1261" s="154"/>
      <c r="AC1261" s="103"/>
      <c r="AD1261" s="103"/>
    </row>
    <row r="1262" spans="1:30" x14ac:dyDescent="0.25">
      <c r="A1262" s="154"/>
    </row>
    <row r="1263" spans="1:30" x14ac:dyDescent="0.25">
      <c r="A1263" s="154"/>
    </row>
    <row r="1264" spans="1:30" x14ac:dyDescent="0.25">
      <c r="A1264" s="154"/>
    </row>
    <row r="1265" spans="1:9" x14ac:dyDescent="0.25">
      <c r="A1265" s="154"/>
    </row>
    <row r="1266" spans="1:9" x14ac:dyDescent="0.25">
      <c r="A1266" s="154"/>
    </row>
    <row r="1267" spans="1:9" x14ac:dyDescent="0.25">
      <c r="A1267" s="154"/>
    </row>
    <row r="1268" spans="1:9" x14ac:dyDescent="0.25">
      <c r="A1268" s="154"/>
    </row>
    <row r="1269" spans="1:9" x14ac:dyDescent="0.25">
      <c r="A1269" s="154"/>
    </row>
    <row r="1270" spans="1:9" x14ac:dyDescent="0.25">
      <c r="A1270" s="154"/>
    </row>
    <row r="1271" spans="1:9" x14ac:dyDescent="0.25">
      <c r="A1271" s="154"/>
    </row>
    <row r="1272" spans="1:9" x14ac:dyDescent="0.25">
      <c r="A1272" s="154"/>
      <c r="H1272" s="154"/>
      <c r="I1272" s="154"/>
    </row>
    <row r="1275" spans="1:9" x14ac:dyDescent="0.25">
      <c r="A1275" s="154"/>
    </row>
    <row r="1278" spans="1:9" x14ac:dyDescent="0.25">
      <c r="A1278" s="154"/>
    </row>
    <row r="1281" spans="1:1" x14ac:dyDescent="0.25">
      <c r="A1281" s="154"/>
    </row>
    <row r="1282" spans="1:1" x14ac:dyDescent="0.25">
      <c r="A1282" s="154"/>
    </row>
    <row r="1283" spans="1:1" x14ac:dyDescent="0.25">
      <c r="A1283" s="154"/>
    </row>
    <row r="1284" spans="1:1" x14ac:dyDescent="0.25">
      <c r="A1284" s="154"/>
    </row>
    <row r="1285" spans="1:1" x14ac:dyDescent="0.25">
      <c r="A1285" s="154"/>
    </row>
    <row r="1286" spans="1:1" x14ac:dyDescent="0.25">
      <c r="A1286" s="154"/>
    </row>
    <row r="1287" spans="1:1" x14ac:dyDescent="0.25">
      <c r="A1287" s="154"/>
    </row>
    <row r="1288" spans="1:1" x14ac:dyDescent="0.25">
      <c r="A1288" s="154"/>
    </row>
    <row r="1289" spans="1:1" x14ac:dyDescent="0.25">
      <c r="A1289" s="154"/>
    </row>
    <row r="1290" spans="1:1" x14ac:dyDescent="0.25">
      <c r="A1290" s="154"/>
    </row>
    <row r="1291" spans="1:1" x14ac:dyDescent="0.25">
      <c r="A1291" s="154"/>
    </row>
    <row r="1292" spans="1:1" x14ac:dyDescent="0.25">
      <c r="A1292" s="154"/>
    </row>
    <row r="1293" spans="1:1" x14ac:dyDescent="0.25">
      <c r="A1293" s="154"/>
    </row>
    <row r="1294" spans="1:1" x14ac:dyDescent="0.25">
      <c r="A1294" s="154"/>
    </row>
    <row r="1295" spans="1:1" x14ac:dyDescent="0.25">
      <c r="A1295" s="154"/>
    </row>
    <row r="1296" spans="1:1" x14ac:dyDescent="0.25">
      <c r="A1296" s="154"/>
    </row>
    <row r="1297" spans="1:1" x14ac:dyDescent="0.25">
      <c r="A1297" s="154"/>
    </row>
    <row r="1298" spans="1:1" x14ac:dyDescent="0.25">
      <c r="A1298" s="154"/>
    </row>
    <row r="1299" spans="1:1" x14ac:dyDescent="0.25">
      <c r="A1299" s="154"/>
    </row>
    <row r="1300" spans="1:1" x14ac:dyDescent="0.25">
      <c r="A1300" s="154"/>
    </row>
    <row r="1301" spans="1:1" x14ac:dyDescent="0.25">
      <c r="A1301" s="154"/>
    </row>
    <row r="1302" spans="1:1" x14ac:dyDescent="0.25">
      <c r="A1302" s="154"/>
    </row>
    <row r="1303" spans="1:1" x14ac:dyDescent="0.25">
      <c r="A1303" s="154"/>
    </row>
    <row r="1304" spans="1:1" x14ac:dyDescent="0.25">
      <c r="A1304" s="154"/>
    </row>
    <row r="1305" spans="1:1" x14ac:dyDescent="0.25">
      <c r="A1305" s="154"/>
    </row>
    <row r="1306" spans="1:1" x14ac:dyDescent="0.25">
      <c r="A1306" s="154"/>
    </row>
    <row r="1307" spans="1:1" x14ac:dyDescent="0.25">
      <c r="A1307" s="154"/>
    </row>
    <row r="1308" spans="1:1" x14ac:dyDescent="0.25">
      <c r="A1308" s="154"/>
    </row>
    <row r="1309" spans="1:1" x14ac:dyDescent="0.25">
      <c r="A1309" s="154"/>
    </row>
    <row r="1310" spans="1:1" x14ac:dyDescent="0.25">
      <c r="A1310" s="154"/>
    </row>
    <row r="1311" spans="1:1" x14ac:dyDescent="0.25">
      <c r="A1311" s="154"/>
    </row>
    <row r="1312" spans="1:1" x14ac:dyDescent="0.25">
      <c r="A1312" s="154"/>
    </row>
    <row r="1313" spans="1:1" x14ac:dyDescent="0.25">
      <c r="A1313" s="154"/>
    </row>
    <row r="1314" spans="1:1" x14ac:dyDescent="0.25">
      <c r="A1314" s="154"/>
    </row>
    <row r="1315" spans="1:1" x14ac:dyDescent="0.25">
      <c r="A1315" s="154"/>
    </row>
    <row r="1320" spans="1:1" x14ac:dyDescent="0.25">
      <c r="A1320" s="154"/>
    </row>
    <row r="1321" spans="1:1" x14ac:dyDescent="0.25">
      <c r="A1321" s="154"/>
    </row>
    <row r="1324" spans="1:1" x14ac:dyDescent="0.25">
      <c r="A1324" s="154"/>
    </row>
    <row r="1326" spans="1:1" x14ac:dyDescent="0.25">
      <c r="A1326" s="154"/>
    </row>
    <row r="1328" spans="1:1" x14ac:dyDescent="0.25">
      <c r="A1328" s="154"/>
    </row>
    <row r="1330" spans="1:1" x14ac:dyDescent="0.25">
      <c r="A1330" s="154"/>
    </row>
    <row r="1333" spans="1:1" x14ac:dyDescent="0.25">
      <c r="A1333" s="154"/>
    </row>
    <row r="1334" spans="1:1" x14ac:dyDescent="0.25">
      <c r="A1334" s="154"/>
    </row>
    <row r="1335" spans="1:1" x14ac:dyDescent="0.25">
      <c r="A1335" s="154"/>
    </row>
    <row r="1336" spans="1:1" x14ac:dyDescent="0.25">
      <c r="A1336" s="154"/>
    </row>
    <row r="1337" spans="1:1" x14ac:dyDescent="0.25">
      <c r="A1337" s="154"/>
    </row>
    <row r="1338" spans="1:1" x14ac:dyDescent="0.25">
      <c r="A1338" s="154"/>
    </row>
    <row r="1339" spans="1:1" x14ac:dyDescent="0.25">
      <c r="A1339" s="154"/>
    </row>
    <row r="1340" spans="1:1" x14ac:dyDescent="0.25">
      <c r="A1340" s="154"/>
    </row>
  </sheetData>
  <customSheetViews>
    <customSheetView guid="{195DF303-1BBD-4236-94B5-47432850B006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"/>
      <headerFooter alignWithMargins="0"/>
    </customSheetView>
    <customSheetView guid="{0C49E549-011E-46F4-A82E-2CC8951A9C1E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2"/>
      <headerFooter alignWithMargins="0"/>
    </customSheetView>
    <customSheetView guid="{4BC93440-BA85-4935-A8C9-66DC6AE5DE5E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3"/>
      <headerFooter alignWithMargins="0"/>
    </customSheetView>
    <customSheetView guid="{2431C9E5-7CC2-4B8D-99C3-962247B1DBF5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4"/>
      <headerFooter alignWithMargins="0"/>
    </customSheetView>
    <customSheetView guid="{2EA35095-1ADC-4CC7-8C3C-B487D65FA247}" scale="75" fitToPage="1" showRuler="0" topLeftCell="T228">
      <selection activeCell="T228" sqref="T228:AQ310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5"/>
      <headerFooter alignWithMargins="0"/>
    </customSheetView>
    <customSheetView guid="{8FC77C99-DBF7-40B8-99B8-01B75826CDCB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6"/>
      <headerFooter alignWithMargins="0"/>
    </customSheetView>
    <customSheetView guid="{8FB94551-8874-4095-B8FB-5316E0D2FD2C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8"/>
      <headerFooter alignWithMargins="0"/>
    </customSheetView>
    <customSheetView guid="{0BC1F393-8A13-47D5-BC6C-0C99615B5AB9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9"/>
      <headerFooter alignWithMargins="0"/>
    </customSheetView>
    <customSheetView guid="{18BDED73-BFA0-442E-87EC-CED86EE4CF94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0"/>
      <headerFooter alignWithMargins="0"/>
    </customSheetView>
    <customSheetView guid="{35F19056-2E6F-4935-B863-78836FE990BF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1"/>
      <headerFooter alignWithMargins="0"/>
    </customSheetView>
    <customSheetView guid="{F562D92E-120C-4AE9-9663-89E64D41DC53}" scale="75" fitToPage="1" topLeftCell="X187">
      <selection activeCell="P146" sqref="P14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2"/>
      <headerFooter alignWithMargins="0"/>
    </customSheetView>
  </customSheetViews>
  <mergeCells count="3">
    <mergeCell ref="T223:AQ223"/>
    <mergeCell ref="T289:AQ289"/>
    <mergeCell ref="T370:AQ370"/>
  </mergeCells>
  <phoneticPr fontId="9" type="noConversion"/>
  <printOptions horizontalCentered="1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2" manualBreakCount="2">
    <brk id="66" max="17" man="1"/>
    <brk id="95" max="1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5"/>
  <dimension ref="A1:BX1093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6.77734375" style="101" customWidth="1"/>
    <col min="4" max="4" width="38.88671875" style="101" customWidth="1"/>
    <col min="5" max="5" width="1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2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22.33203125" style="101" customWidth="1"/>
    <col min="19" max="19" width="6.77734375" style="101" customWidth="1"/>
    <col min="20" max="20" width="9.6640625" style="101" customWidth="1"/>
    <col min="21" max="21" width="0.5546875" style="101" customWidth="1"/>
    <col min="22" max="22" width="4.5546875" style="101" customWidth="1"/>
    <col min="23" max="23" width="43.33203125" style="101" customWidth="1"/>
    <col min="24" max="24" width="0.88671875" style="101" customWidth="1"/>
    <col min="25" max="25" width="10.2187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1.664062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50"/>
      <c r="K1" s="187"/>
      <c r="L1" s="187"/>
      <c r="M1" s="150"/>
      <c r="N1" s="150"/>
      <c r="O1" s="150"/>
      <c r="P1" s="150"/>
      <c r="Q1" s="150"/>
      <c r="R1" s="150"/>
      <c r="S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50"/>
      <c r="K2" s="187"/>
      <c r="L2" s="187"/>
      <c r="M2" s="150"/>
      <c r="N2" s="150"/>
      <c r="O2" s="150"/>
      <c r="P2" s="150"/>
      <c r="Q2" s="150"/>
      <c r="R2" s="150"/>
      <c r="S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50"/>
      <c r="K4" s="187"/>
      <c r="L4" s="187"/>
      <c r="M4" s="150"/>
      <c r="N4" s="150"/>
      <c r="O4" s="150"/>
      <c r="P4" s="150"/>
      <c r="Q4" s="150"/>
      <c r="R4" s="150"/>
      <c r="S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87"/>
      <c r="N5" s="187"/>
      <c r="O5" s="150"/>
      <c r="P5" s="150"/>
      <c r="Q5" s="150"/>
      <c r="R5" s="150"/>
      <c r="S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766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N9" s="82"/>
      <c r="O9" s="80"/>
      <c r="P9" s="80"/>
      <c r="Q9" s="80"/>
      <c r="R9" s="159" t="str">
        <f>WIT</f>
        <v>B. L. SAILERS</v>
      </c>
      <c r="Y9" s="104"/>
      <c r="AK9" s="297"/>
      <c r="AL9" s="154"/>
    </row>
    <row r="10" spans="1:40" x14ac:dyDescent="0.25">
      <c r="A10" s="187" t="s">
        <v>151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87"/>
      <c r="N10" s="187"/>
      <c r="O10" s="150"/>
      <c r="P10" s="150"/>
      <c r="Q10" s="150"/>
      <c r="R10" s="150"/>
      <c r="Y10" s="104"/>
      <c r="AA10" s="154"/>
      <c r="AB10" s="154"/>
      <c r="AK10" s="209"/>
      <c r="AL10" s="202"/>
    </row>
    <row r="11" spans="1:40" x14ac:dyDescent="0.25">
      <c r="A11" s="151"/>
      <c r="B11" s="151"/>
      <c r="C11" s="151"/>
      <c r="D11" s="151"/>
      <c r="E11" s="151"/>
      <c r="F11" s="151"/>
      <c r="G11" s="80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02"/>
      <c r="U11" s="102"/>
      <c r="V11" s="102"/>
      <c r="W11" s="102"/>
      <c r="X11" s="102"/>
      <c r="Y11" s="104"/>
      <c r="Z11" s="102"/>
      <c r="AA11" s="102"/>
      <c r="AB11" s="102"/>
      <c r="AC11" s="102"/>
      <c r="AD11" s="102"/>
      <c r="AE11" s="102"/>
      <c r="AF11" s="102"/>
      <c r="AG11" s="208"/>
      <c r="AH11" s="102"/>
      <c r="AI11" s="102"/>
      <c r="AJ11" s="102"/>
      <c r="AK11" s="208"/>
      <c r="AL11" s="102"/>
      <c r="AM11" s="102"/>
      <c r="AN11" s="102"/>
    </row>
    <row r="12" spans="1:40" ht="18" customHeight="1" x14ac:dyDescent="0.25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93" t="s">
        <v>6</v>
      </c>
      <c r="M12" s="193"/>
      <c r="N12" s="193" t="s">
        <v>7</v>
      </c>
      <c r="O12" s="193"/>
      <c r="P12" s="152"/>
      <c r="Q12" s="152"/>
      <c r="R12" s="193" t="s">
        <v>6</v>
      </c>
      <c r="T12" s="211"/>
      <c r="AA12" s="103"/>
      <c r="AB12" s="103"/>
      <c r="AC12" s="103"/>
      <c r="AD12" s="103"/>
      <c r="AE12" s="103"/>
      <c r="AF12" s="103"/>
      <c r="AG12" s="185"/>
      <c r="AH12" s="103"/>
      <c r="AK12" s="185"/>
      <c r="AL12" s="103"/>
      <c r="AM12" s="103"/>
      <c r="AN12" s="103"/>
    </row>
    <row r="13" spans="1:40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12</v>
      </c>
      <c r="M13" s="83"/>
      <c r="N13" s="83" t="s">
        <v>13</v>
      </c>
      <c r="O13" s="83"/>
      <c r="P13" s="80"/>
      <c r="Q13" s="80"/>
      <c r="R13" s="83" t="s">
        <v>11</v>
      </c>
      <c r="T13" s="211"/>
      <c r="Z13" s="103"/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3" t="s">
        <v>17</v>
      </c>
      <c r="B14" s="80"/>
      <c r="C14" s="83" t="s">
        <v>18</v>
      </c>
      <c r="D14" s="83" t="s">
        <v>19</v>
      </c>
      <c r="E14" s="83"/>
      <c r="F14" s="83" t="s">
        <v>20</v>
      </c>
      <c r="G14" s="80"/>
      <c r="H14" s="80"/>
      <c r="I14" s="80"/>
      <c r="J14" s="83" t="s">
        <v>6</v>
      </c>
      <c r="K14" s="83"/>
      <c r="L14" s="83" t="s">
        <v>21</v>
      </c>
      <c r="M14" s="83"/>
      <c r="N14" s="83" t="s">
        <v>21</v>
      </c>
      <c r="O14" s="83"/>
      <c r="P14" s="83" t="s">
        <v>21</v>
      </c>
      <c r="Q14" s="83"/>
      <c r="R14" s="83" t="s">
        <v>9</v>
      </c>
      <c r="T14" s="329"/>
      <c r="V14" s="103"/>
      <c r="Z14" s="103"/>
      <c r="AA14" s="103"/>
      <c r="AB14" s="103"/>
      <c r="AC14" s="103"/>
      <c r="AD14" s="103"/>
      <c r="AE14" s="103"/>
      <c r="AF14" s="103"/>
      <c r="AG14" s="185"/>
      <c r="AH14" s="103"/>
      <c r="AI14" s="103"/>
      <c r="AJ14" s="103"/>
      <c r="AK14" s="185"/>
      <c r="AL14" s="103"/>
      <c r="AM14" s="103"/>
      <c r="AN14" s="103"/>
    </row>
    <row r="15" spans="1:40" x14ac:dyDescent="0.25">
      <c r="A15" s="83" t="s">
        <v>24</v>
      </c>
      <c r="B15" s="80"/>
      <c r="C15" s="83" t="s">
        <v>25</v>
      </c>
      <c r="D15" s="83" t="s">
        <v>26</v>
      </c>
      <c r="E15" s="83"/>
      <c r="F15" s="83" t="s">
        <v>27</v>
      </c>
      <c r="G15" s="80"/>
      <c r="H15" s="83" t="s">
        <v>28</v>
      </c>
      <c r="I15" s="83"/>
      <c r="J15" s="83" t="s">
        <v>29</v>
      </c>
      <c r="K15" s="83"/>
      <c r="L15" s="83" t="s">
        <v>9</v>
      </c>
      <c r="M15" s="83"/>
      <c r="N15" s="83" t="s">
        <v>9</v>
      </c>
      <c r="O15" s="83"/>
      <c r="P15" s="83" t="s">
        <v>430</v>
      </c>
      <c r="Q15" s="83"/>
      <c r="R15" s="256" t="s">
        <v>30</v>
      </c>
      <c r="T15" s="329"/>
      <c r="V15" s="103"/>
      <c r="Y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0"/>
      <c r="B16" s="80"/>
      <c r="C16" s="256" t="s">
        <v>35</v>
      </c>
      <c r="D16" s="256" t="s">
        <v>36</v>
      </c>
      <c r="E16" s="256"/>
      <c r="F16" s="256" t="s">
        <v>37</v>
      </c>
      <c r="G16" s="258"/>
      <c r="H16" s="256" t="s">
        <v>38</v>
      </c>
      <c r="I16" s="256"/>
      <c r="J16" s="256" t="s">
        <v>39</v>
      </c>
      <c r="K16" s="256"/>
      <c r="L16" s="256" t="s">
        <v>40</v>
      </c>
      <c r="M16" s="256"/>
      <c r="N16" s="256" t="s">
        <v>41</v>
      </c>
      <c r="O16" s="256"/>
      <c r="P16" s="256" t="s">
        <v>42</v>
      </c>
      <c r="Q16" s="256"/>
      <c r="R16" s="256" t="s">
        <v>43</v>
      </c>
      <c r="T16" s="329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208"/>
      <c r="AH16" s="102"/>
      <c r="AI16" s="102"/>
      <c r="AJ16" s="102"/>
      <c r="AK16" s="208"/>
      <c r="AL16" s="102"/>
      <c r="AM16" s="102"/>
      <c r="AN16" s="102"/>
    </row>
    <row r="17" spans="1:40" ht="17.100000000000001" customHeight="1" x14ac:dyDescent="0.25">
      <c r="A17" s="152"/>
      <c r="B17" s="152"/>
      <c r="C17" s="152"/>
      <c r="D17" s="152"/>
      <c r="E17" s="152"/>
      <c r="F17" s="152"/>
      <c r="G17" s="152"/>
      <c r="H17" s="376" t="s">
        <v>51</v>
      </c>
      <c r="I17" s="376"/>
      <c r="J17" s="375" t="s">
        <v>418</v>
      </c>
      <c r="K17" s="376"/>
      <c r="L17" s="376" t="s">
        <v>52</v>
      </c>
      <c r="M17" s="376"/>
      <c r="N17" s="376" t="s">
        <v>53</v>
      </c>
      <c r="O17" s="376"/>
      <c r="P17" s="376" t="s">
        <v>52</v>
      </c>
      <c r="Q17" s="376"/>
      <c r="R17" s="376" t="s">
        <v>52</v>
      </c>
      <c r="T17" s="329"/>
      <c r="U17" s="100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159">
        <v>1</v>
      </c>
      <c r="B18" s="80"/>
      <c r="C18" s="253" t="s">
        <v>85</v>
      </c>
      <c r="D18" s="253" t="s">
        <v>86</v>
      </c>
      <c r="E18" s="82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329"/>
      <c r="U18" s="273"/>
    </row>
    <row r="19" spans="1:40" x14ac:dyDescent="0.25">
      <c r="A19" s="159">
        <v>2</v>
      </c>
      <c r="B19" s="80"/>
      <c r="C19" s="258"/>
      <c r="D19" s="253" t="s">
        <v>87</v>
      </c>
      <c r="E19" s="82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329"/>
      <c r="U19" s="100"/>
    </row>
    <row r="20" spans="1:40" x14ac:dyDescent="0.25">
      <c r="A20" s="80"/>
      <c r="B20" s="80"/>
      <c r="C20" s="80"/>
      <c r="D20" s="80"/>
      <c r="E20" s="8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329"/>
      <c r="U20" s="273"/>
    </row>
    <row r="21" spans="1:40" x14ac:dyDescent="0.25">
      <c r="A21" s="159">
        <v>3</v>
      </c>
      <c r="B21" s="80"/>
      <c r="C21" s="253" t="s">
        <v>88</v>
      </c>
      <c r="D21" s="258"/>
      <c r="E21" s="80"/>
      <c r="F21" s="79"/>
      <c r="G21" s="70"/>
      <c r="H21" s="70"/>
      <c r="I21" s="70"/>
      <c r="J21" s="359"/>
      <c r="K21" s="359"/>
      <c r="L21" s="79"/>
      <c r="M21" s="79"/>
      <c r="N21" s="70"/>
      <c r="O21" s="70"/>
      <c r="P21" s="70"/>
      <c r="Q21" s="70"/>
      <c r="R21" s="79"/>
      <c r="S21" s="200"/>
      <c r="V21" s="211"/>
      <c r="Y21" s="200"/>
      <c r="Z21" s="252"/>
      <c r="AA21" s="200"/>
      <c r="AB21" s="200"/>
      <c r="AC21" s="210"/>
      <c r="AD21" s="210"/>
      <c r="AE21" s="200"/>
      <c r="AF21" s="200"/>
      <c r="AI21" s="200"/>
      <c r="AJ21" s="200"/>
      <c r="AK21" s="209"/>
      <c r="AL21" s="200"/>
    </row>
    <row r="22" spans="1:40" x14ac:dyDescent="0.25">
      <c r="A22" s="159">
        <v>4</v>
      </c>
      <c r="B22" s="80"/>
      <c r="C22" s="253" t="s">
        <v>483</v>
      </c>
      <c r="D22" s="258"/>
      <c r="E22" s="80"/>
      <c r="F22" s="79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9"/>
      <c r="S22" s="200"/>
      <c r="V22" s="211"/>
      <c r="Y22" s="211"/>
      <c r="Z22" s="305"/>
      <c r="AA22" s="211"/>
      <c r="AB22" s="211"/>
      <c r="AC22" s="211"/>
      <c r="AD22" s="211"/>
      <c r="AE22" s="211"/>
      <c r="AF22" s="211"/>
      <c r="AI22" s="211"/>
      <c r="AJ22" s="211"/>
      <c r="AK22" s="212"/>
      <c r="AL22" s="211"/>
      <c r="AM22" s="210"/>
      <c r="AN22" s="210"/>
    </row>
    <row r="23" spans="1:40" x14ac:dyDescent="0.25">
      <c r="A23" s="80"/>
      <c r="B23" s="80"/>
      <c r="C23" s="80"/>
      <c r="D23" s="80"/>
      <c r="E23" s="8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200"/>
      <c r="V23" s="252"/>
      <c r="Y23" s="252"/>
      <c r="Z23" s="305"/>
      <c r="AA23" s="200"/>
      <c r="AB23" s="200"/>
      <c r="AC23" s="210"/>
      <c r="AD23" s="210"/>
      <c r="AE23" s="200"/>
      <c r="AF23" s="200"/>
      <c r="AI23" s="200"/>
      <c r="AJ23" s="200"/>
      <c r="AK23" s="209"/>
      <c r="AL23" s="200"/>
      <c r="AM23" s="210"/>
      <c r="AN23" s="210"/>
    </row>
    <row r="24" spans="1:40" x14ac:dyDescent="0.25">
      <c r="A24" s="159">
        <v>5</v>
      </c>
      <c r="B24" s="80"/>
      <c r="C24" s="82" t="s">
        <v>89</v>
      </c>
      <c r="D24" s="80"/>
      <c r="E24" s="80"/>
      <c r="F24" s="225">
        <v>76019</v>
      </c>
      <c r="G24" s="70"/>
      <c r="H24" s="225">
        <v>680382</v>
      </c>
      <c r="I24" s="78"/>
      <c r="J24" s="295">
        <f>ROUND(AC77+(AC77*LT_COS_RATE),6)</f>
        <v>4.2590000000000003E-2</v>
      </c>
      <c r="K24" s="339"/>
      <c r="L24" s="79">
        <f>ROUND((H24*J24),0)</f>
        <v>28977</v>
      </c>
      <c r="M24" s="79"/>
      <c r="N24" s="156">
        <f>ROUND((L24/L$49)*100,1)</f>
        <v>36.9</v>
      </c>
      <c r="O24" s="156"/>
      <c r="P24" s="79">
        <f>ROUND($P$49/$H$49*H24,0)</f>
        <v>700</v>
      </c>
      <c r="Q24" s="79"/>
      <c r="R24" s="79">
        <f>L24+P24</f>
        <v>29677</v>
      </c>
      <c r="S24" s="436"/>
      <c r="T24" s="85"/>
      <c r="V24" s="211"/>
      <c r="Y24" s="437"/>
      <c r="Z24" s="305"/>
      <c r="AA24" s="211"/>
      <c r="AB24" s="211"/>
      <c r="AC24" s="211"/>
      <c r="AD24" s="211"/>
      <c r="AE24" s="211"/>
      <c r="AF24" s="211"/>
      <c r="AI24" s="211"/>
      <c r="AJ24" s="211"/>
      <c r="AK24" s="212"/>
      <c r="AL24" s="211"/>
      <c r="AM24" s="210"/>
      <c r="AN24" s="210"/>
    </row>
    <row r="25" spans="1:40" x14ac:dyDescent="0.25">
      <c r="A25" s="80"/>
      <c r="B25" s="80"/>
      <c r="C25" s="80"/>
      <c r="D25" s="80"/>
      <c r="E25" s="80"/>
      <c r="F25" s="79"/>
      <c r="G25" s="70"/>
      <c r="H25" s="79"/>
      <c r="I25" s="79"/>
      <c r="J25" s="308"/>
      <c r="K25" s="263"/>
      <c r="L25" s="79"/>
      <c r="M25" s="79"/>
      <c r="N25" s="70"/>
      <c r="O25" s="70"/>
      <c r="P25" s="79"/>
      <c r="Q25" s="79"/>
      <c r="R25" s="79"/>
      <c r="S25" s="200"/>
      <c r="T25" s="154"/>
      <c r="AA25" s="200"/>
      <c r="AB25" s="200"/>
      <c r="AC25" s="200"/>
      <c r="AD25" s="200"/>
      <c r="AI25" s="200"/>
      <c r="AJ25" s="200"/>
      <c r="AK25" s="209"/>
      <c r="AL25" s="200"/>
    </row>
    <row r="26" spans="1:40" x14ac:dyDescent="0.25">
      <c r="A26" s="159">
        <v>6</v>
      </c>
      <c r="B26" s="80"/>
      <c r="C26" s="253" t="s">
        <v>90</v>
      </c>
      <c r="D26" s="80"/>
      <c r="E26" s="80"/>
      <c r="F26" s="79"/>
      <c r="G26" s="70"/>
      <c r="H26" s="70"/>
      <c r="I26" s="70"/>
      <c r="J26" s="308"/>
      <c r="K26" s="359"/>
      <c r="L26" s="79"/>
      <c r="M26" s="79"/>
      <c r="N26" s="156"/>
      <c r="O26" s="156"/>
      <c r="P26" s="70"/>
      <c r="Q26" s="70"/>
      <c r="R26" s="79"/>
      <c r="Z26" s="202"/>
    </row>
    <row r="27" spans="1:40" x14ac:dyDescent="0.25">
      <c r="A27" s="159">
        <v>7</v>
      </c>
      <c r="B27" s="80"/>
      <c r="C27" s="265" t="s">
        <v>227</v>
      </c>
      <c r="D27" s="80"/>
      <c r="E27" s="80"/>
      <c r="F27" s="79"/>
      <c r="G27" s="70"/>
      <c r="H27" s="79"/>
      <c r="I27" s="79"/>
      <c r="J27" s="308"/>
      <c r="K27" s="359"/>
      <c r="L27" s="79"/>
      <c r="M27" s="79"/>
      <c r="N27" s="156"/>
      <c r="O27" s="156"/>
      <c r="P27" s="79"/>
      <c r="Q27" s="79"/>
      <c r="R27" s="79"/>
      <c r="Z27" s="202"/>
    </row>
    <row r="28" spans="1:40" x14ac:dyDescent="0.25">
      <c r="A28" s="159">
        <v>8</v>
      </c>
      <c r="B28" s="80"/>
      <c r="C28" s="253" t="s">
        <v>228</v>
      </c>
      <c r="D28" s="80"/>
      <c r="E28" s="80"/>
      <c r="F28" s="79"/>
      <c r="G28" s="70"/>
      <c r="H28" s="79"/>
      <c r="I28" s="79"/>
      <c r="J28" s="308"/>
      <c r="K28" s="359"/>
      <c r="L28" s="79"/>
      <c r="M28" s="79"/>
      <c r="N28" s="156"/>
      <c r="O28" s="156"/>
      <c r="P28" s="79"/>
      <c r="Q28" s="79"/>
      <c r="R28" s="79"/>
      <c r="Z28" s="202"/>
    </row>
    <row r="29" spans="1:40" x14ac:dyDescent="0.25">
      <c r="A29" s="159">
        <v>9</v>
      </c>
      <c r="B29" s="80"/>
      <c r="C29" s="265" t="s">
        <v>229</v>
      </c>
      <c r="D29" s="80"/>
      <c r="E29" s="80"/>
      <c r="F29" s="70"/>
      <c r="G29" s="70"/>
      <c r="H29" s="70"/>
      <c r="I29" s="70"/>
      <c r="J29" s="438"/>
      <c r="K29" s="70"/>
      <c r="L29" s="70"/>
      <c r="M29" s="70"/>
      <c r="N29" s="70"/>
      <c r="O29" s="70"/>
      <c r="P29" s="70"/>
      <c r="Q29" s="70"/>
      <c r="R29" s="70"/>
      <c r="Z29" s="202"/>
    </row>
    <row r="30" spans="1:40" x14ac:dyDescent="0.25">
      <c r="A30" s="159">
        <v>10</v>
      </c>
      <c r="B30" s="80"/>
      <c r="C30" s="253" t="s">
        <v>93</v>
      </c>
      <c r="D30" s="80"/>
      <c r="E30" s="80"/>
      <c r="F30" s="70"/>
      <c r="G30" s="70"/>
      <c r="H30" s="70"/>
      <c r="I30" s="70"/>
      <c r="J30" s="438"/>
      <c r="K30" s="70"/>
      <c r="L30" s="70"/>
      <c r="M30" s="70"/>
      <c r="N30" s="70"/>
      <c r="O30" s="70"/>
      <c r="P30" s="70"/>
      <c r="Q30" s="70"/>
      <c r="R30" s="70"/>
      <c r="Z30" s="202"/>
    </row>
    <row r="31" spans="1:40" x14ac:dyDescent="0.25">
      <c r="A31" s="80"/>
      <c r="B31" s="80"/>
      <c r="C31" s="80"/>
      <c r="D31" s="80"/>
      <c r="E31" s="80"/>
      <c r="F31" s="70"/>
      <c r="G31" s="70"/>
      <c r="H31" s="70"/>
      <c r="I31" s="70"/>
      <c r="J31" s="438"/>
      <c r="K31" s="70"/>
      <c r="L31" s="70"/>
      <c r="M31" s="70"/>
      <c r="N31" s="70"/>
      <c r="O31" s="70"/>
      <c r="P31" s="70"/>
      <c r="Q31" s="70"/>
      <c r="R31" s="70"/>
      <c r="Z31" s="202"/>
    </row>
    <row r="32" spans="1:40" x14ac:dyDescent="0.25">
      <c r="A32" s="159">
        <v>11</v>
      </c>
      <c r="B32" s="80"/>
      <c r="C32" s="82" t="s">
        <v>89</v>
      </c>
      <c r="D32" s="80"/>
      <c r="E32" s="80"/>
      <c r="F32" s="225">
        <v>0</v>
      </c>
      <c r="G32" s="70"/>
      <c r="H32" s="225">
        <v>0</v>
      </c>
      <c r="I32" s="78"/>
      <c r="J32" s="295">
        <f>ROUND(AC85+(AC85*LT_COS_RATE),6)</f>
        <v>2.3583E-2</v>
      </c>
      <c r="K32" s="339"/>
      <c r="L32" s="79">
        <v>0</v>
      </c>
      <c r="M32" s="79"/>
      <c r="N32" s="156">
        <f>ROUND((L32/L$49)*100,1)</f>
        <v>0</v>
      </c>
      <c r="O32" s="156"/>
      <c r="P32" s="79">
        <f>ROUND($P$49/$H$49*H32,0)</f>
        <v>0</v>
      </c>
      <c r="Q32" s="79"/>
      <c r="R32" s="79">
        <f>L32+P32</f>
        <v>0</v>
      </c>
      <c r="S32" s="439"/>
      <c r="T32" s="85"/>
      <c r="Z32" s="202"/>
    </row>
    <row r="33" spans="1:43" x14ac:dyDescent="0.25">
      <c r="A33" s="80"/>
      <c r="B33" s="80"/>
      <c r="C33" s="80"/>
      <c r="D33" s="80"/>
      <c r="E33" s="80"/>
      <c r="F33" s="79"/>
      <c r="G33" s="70"/>
      <c r="H33" s="70"/>
      <c r="I33" s="70"/>
      <c r="J33" s="438"/>
      <c r="K33" s="70"/>
      <c r="L33" s="70"/>
      <c r="M33" s="70"/>
      <c r="N33" s="70"/>
      <c r="O33" s="70"/>
      <c r="P33" s="70"/>
      <c r="Q33" s="70"/>
      <c r="R33" s="79"/>
      <c r="Z33" s="202"/>
    </row>
    <row r="34" spans="1:43" x14ac:dyDescent="0.25">
      <c r="A34" s="159">
        <v>12</v>
      </c>
      <c r="B34" s="80"/>
      <c r="C34" s="265" t="s">
        <v>230</v>
      </c>
      <c r="D34" s="80"/>
      <c r="E34" s="80"/>
      <c r="F34" s="79"/>
      <c r="G34" s="70"/>
      <c r="H34" s="70"/>
      <c r="I34" s="70"/>
      <c r="J34" s="308"/>
      <c r="K34" s="359"/>
      <c r="L34" s="79"/>
      <c r="M34" s="79"/>
      <c r="N34" s="156"/>
      <c r="O34" s="156"/>
      <c r="P34" s="70"/>
      <c r="Q34" s="70"/>
      <c r="R34" s="79"/>
    </row>
    <row r="35" spans="1:43" x14ac:dyDescent="0.25">
      <c r="A35" s="159">
        <v>13</v>
      </c>
      <c r="B35" s="80"/>
      <c r="C35" s="253" t="s">
        <v>91</v>
      </c>
      <c r="D35" s="80"/>
      <c r="E35" s="80"/>
      <c r="F35" s="79"/>
      <c r="G35" s="70"/>
      <c r="H35" s="79"/>
      <c r="I35" s="79"/>
      <c r="J35" s="308"/>
      <c r="K35" s="359"/>
      <c r="L35" s="79"/>
      <c r="M35" s="79"/>
      <c r="N35" s="156"/>
      <c r="O35" s="156"/>
      <c r="P35" s="79"/>
      <c r="Q35" s="79"/>
      <c r="R35" s="79"/>
    </row>
    <row r="36" spans="1:43" x14ac:dyDescent="0.25">
      <c r="A36" s="159">
        <v>14</v>
      </c>
      <c r="B36" s="80"/>
      <c r="C36" s="253" t="s">
        <v>92</v>
      </c>
      <c r="D36" s="80"/>
      <c r="E36" s="80"/>
      <c r="F36" s="70"/>
      <c r="G36" s="70"/>
      <c r="H36" s="70"/>
      <c r="I36" s="70"/>
      <c r="J36" s="438"/>
      <c r="K36" s="70"/>
      <c r="L36" s="70"/>
      <c r="M36" s="70"/>
      <c r="N36" s="70"/>
      <c r="O36" s="70"/>
      <c r="P36" s="70"/>
      <c r="Q36" s="70"/>
      <c r="R36" s="70"/>
    </row>
    <row r="37" spans="1:43" x14ac:dyDescent="0.25">
      <c r="A37" s="159">
        <v>15</v>
      </c>
      <c r="B37" s="80"/>
      <c r="C37" s="253" t="s">
        <v>484</v>
      </c>
      <c r="D37" s="80"/>
      <c r="E37" s="80"/>
      <c r="F37" s="70"/>
      <c r="G37" s="70"/>
      <c r="H37" s="70"/>
      <c r="I37" s="70"/>
      <c r="J37" s="438"/>
      <c r="K37" s="70"/>
      <c r="L37" s="70"/>
      <c r="M37" s="70"/>
      <c r="N37" s="70"/>
      <c r="O37" s="70"/>
      <c r="P37" s="70"/>
      <c r="Q37" s="70"/>
      <c r="R37" s="70"/>
    </row>
    <row r="38" spans="1:43" x14ac:dyDescent="0.25">
      <c r="A38" s="80"/>
      <c r="B38" s="80"/>
      <c r="C38" s="80"/>
      <c r="D38" s="80"/>
      <c r="E38" s="80"/>
      <c r="F38" s="70"/>
      <c r="G38" s="70"/>
      <c r="H38" s="70"/>
      <c r="I38" s="70"/>
      <c r="J38" s="438"/>
      <c r="K38" s="70"/>
      <c r="L38" s="70"/>
      <c r="M38" s="70"/>
      <c r="N38" s="70"/>
      <c r="O38" s="70"/>
      <c r="P38" s="70"/>
      <c r="Q38" s="70"/>
      <c r="R38" s="70"/>
    </row>
    <row r="39" spans="1:43" x14ac:dyDescent="0.25">
      <c r="A39" s="159">
        <v>16</v>
      </c>
      <c r="B39" s="80"/>
      <c r="C39" s="82" t="s">
        <v>89</v>
      </c>
      <c r="D39" s="80"/>
      <c r="E39" s="80"/>
      <c r="F39" s="287">
        <v>18876</v>
      </c>
      <c r="G39" s="70"/>
      <c r="H39" s="287">
        <v>758083</v>
      </c>
      <c r="I39" s="78"/>
      <c r="J39" s="295">
        <f>ROUND(AC92+(AC92*LT_COS_RATE),6)</f>
        <v>6.6173999999999997E-2</v>
      </c>
      <c r="K39" s="339"/>
      <c r="L39" s="167">
        <f>ROUND((H39*J39),0)</f>
        <v>50165</v>
      </c>
      <c r="M39" s="79"/>
      <c r="N39" s="341">
        <f>ROUND((L39/L$49)*100,1)</f>
        <v>63.9</v>
      </c>
      <c r="O39" s="156"/>
      <c r="P39" s="167">
        <f>ROUND($P$49/$H$49*H39,0)</f>
        <v>779</v>
      </c>
      <c r="Q39" s="79"/>
      <c r="R39" s="167">
        <f>L39+P39</f>
        <v>50944</v>
      </c>
      <c r="S39" s="439"/>
      <c r="T39" s="85"/>
      <c r="U39" s="100"/>
      <c r="V39" s="100"/>
      <c r="W39" s="100"/>
      <c r="X39" s="100"/>
      <c r="Y39" s="437"/>
      <c r="Z39" s="100"/>
      <c r="AA39" s="100"/>
      <c r="AB39" s="100"/>
      <c r="AC39" s="100"/>
      <c r="AD39" s="100"/>
      <c r="AE39" s="100"/>
      <c r="AF39" s="100"/>
      <c r="AG39" s="380"/>
      <c r="AH39" s="100"/>
      <c r="AI39" s="100"/>
      <c r="AJ39" s="100"/>
      <c r="AK39" s="380"/>
      <c r="AL39" s="100"/>
      <c r="AM39" s="100"/>
      <c r="AN39" s="100"/>
      <c r="AO39" s="100"/>
      <c r="AP39" s="100"/>
      <c r="AQ39" s="380"/>
    </row>
    <row r="40" spans="1:43" ht="20.100000000000001" customHeight="1" x14ac:dyDescent="0.25">
      <c r="A40" s="159">
        <v>17</v>
      </c>
      <c r="B40" s="80"/>
      <c r="C40" s="265" t="s">
        <v>586</v>
      </c>
      <c r="D40" s="80"/>
      <c r="E40" s="80"/>
      <c r="F40" s="126">
        <f>F39+F32+F24</f>
        <v>94895</v>
      </c>
      <c r="G40" s="70"/>
      <c r="H40" s="126">
        <f>H39+H32+H24</f>
        <v>1438465</v>
      </c>
      <c r="I40" s="78"/>
      <c r="J40" s="295"/>
      <c r="K40" s="339"/>
      <c r="L40" s="126">
        <f>L39+L32+L24</f>
        <v>79142</v>
      </c>
      <c r="M40" s="79"/>
      <c r="N40" s="303">
        <f>ROUND((L40/L$49)*100,1)</f>
        <v>100.8</v>
      </c>
      <c r="O40" s="156"/>
      <c r="P40" s="126">
        <f>P39+P32+P24</f>
        <v>1479</v>
      </c>
      <c r="Q40" s="79"/>
      <c r="R40" s="126">
        <f>R39+R32+R24</f>
        <v>80621</v>
      </c>
      <c r="S40" s="439"/>
      <c r="T40" s="85"/>
      <c r="U40" s="100"/>
      <c r="V40" s="100"/>
      <c r="W40" s="100"/>
      <c r="X40" s="100"/>
      <c r="Y40" s="437"/>
      <c r="Z40" s="100"/>
      <c r="AA40" s="100"/>
      <c r="AB40" s="100"/>
      <c r="AC40" s="100"/>
      <c r="AD40" s="100"/>
      <c r="AE40" s="100"/>
      <c r="AF40" s="100"/>
      <c r="AG40" s="380"/>
      <c r="AH40" s="100"/>
      <c r="AI40" s="100"/>
      <c r="AJ40" s="100"/>
      <c r="AK40" s="380"/>
      <c r="AL40" s="100"/>
      <c r="AM40" s="100"/>
      <c r="AN40" s="100"/>
      <c r="AO40" s="100"/>
      <c r="AP40" s="100"/>
      <c r="AQ40" s="380"/>
    </row>
    <row r="41" spans="1:43" ht="15.75" customHeight="1" x14ac:dyDescent="0.25">
      <c r="A41" s="159"/>
      <c r="B41" s="80"/>
      <c r="C41" s="265"/>
      <c r="D41" s="80"/>
      <c r="E41" s="80"/>
      <c r="F41" s="225"/>
      <c r="G41" s="70"/>
      <c r="H41" s="225"/>
      <c r="I41" s="78"/>
      <c r="J41" s="295"/>
      <c r="K41" s="339"/>
      <c r="L41" s="79"/>
      <c r="M41" s="79"/>
      <c r="N41" s="156"/>
      <c r="O41" s="156"/>
      <c r="P41" s="163"/>
      <c r="Q41" s="79"/>
      <c r="R41" s="79"/>
      <c r="S41" s="439"/>
      <c r="T41" s="85"/>
      <c r="U41" s="100"/>
      <c r="V41" s="100"/>
      <c r="W41" s="100"/>
      <c r="X41" s="100"/>
      <c r="Y41" s="437"/>
      <c r="Z41" s="100"/>
      <c r="AA41" s="100"/>
      <c r="AB41" s="100"/>
      <c r="AC41" s="100"/>
      <c r="AD41" s="100"/>
      <c r="AE41" s="100"/>
      <c r="AF41" s="100"/>
      <c r="AG41" s="380"/>
      <c r="AH41" s="100"/>
      <c r="AI41" s="100"/>
      <c r="AJ41" s="100"/>
      <c r="AK41" s="380"/>
      <c r="AL41" s="100"/>
      <c r="AM41" s="100"/>
      <c r="AN41" s="100"/>
      <c r="AO41" s="100"/>
      <c r="AP41" s="100"/>
      <c r="AQ41" s="380"/>
    </row>
    <row r="42" spans="1:43" ht="20.100000000000001" customHeight="1" x14ac:dyDescent="0.25">
      <c r="A42" s="159">
        <v>18</v>
      </c>
      <c r="B42" s="80"/>
      <c r="C42" s="253" t="s">
        <v>605</v>
      </c>
      <c r="D42" s="80"/>
      <c r="E42" s="80"/>
      <c r="F42" s="163"/>
      <c r="G42" s="70"/>
      <c r="H42" s="163"/>
      <c r="I42" s="79"/>
      <c r="J42" s="385"/>
      <c r="K42" s="70"/>
      <c r="L42" s="163"/>
      <c r="M42" s="79"/>
      <c r="N42" s="198"/>
      <c r="O42" s="158"/>
      <c r="P42" s="200"/>
      <c r="Q42" s="79"/>
      <c r="R42" s="163"/>
      <c r="S42" s="439"/>
      <c r="T42" s="85"/>
      <c r="U42" s="100"/>
      <c r="V42" s="100"/>
      <c r="W42" s="100"/>
      <c r="X42" s="100"/>
      <c r="Y42" s="437"/>
      <c r="Z42" s="100"/>
      <c r="AA42" s="100"/>
      <c r="AB42" s="100"/>
      <c r="AC42" s="100"/>
      <c r="AD42" s="100"/>
      <c r="AE42" s="100"/>
      <c r="AF42" s="100"/>
      <c r="AG42" s="380"/>
      <c r="AH42" s="100"/>
      <c r="AI42" s="100"/>
      <c r="AJ42" s="100"/>
      <c r="AK42" s="380"/>
      <c r="AL42" s="100"/>
      <c r="AM42" s="100"/>
      <c r="AN42" s="100"/>
      <c r="AO42" s="100"/>
      <c r="AP42" s="100"/>
      <c r="AQ42" s="380"/>
    </row>
    <row r="43" spans="1:43" ht="20.100000000000001" customHeight="1" x14ac:dyDescent="0.25">
      <c r="A43" s="159">
        <v>19</v>
      </c>
      <c r="B43" s="80"/>
      <c r="C43" s="153" t="str">
        <f>ESM_Name</f>
        <v>ENVIRONMENTAL SURCHARGE MECHANISM RIDER (ESM)</v>
      </c>
      <c r="D43" s="80"/>
      <c r="E43" s="80"/>
      <c r="F43" s="163"/>
      <c r="G43" s="70"/>
      <c r="H43" s="163"/>
      <c r="I43" s="79"/>
      <c r="J43" s="430">
        <f>PRO_ESM</f>
        <v>0</v>
      </c>
      <c r="K43" s="70"/>
      <c r="L43" s="163">
        <f>ROUND($R$40*J43,0)</f>
        <v>0</v>
      </c>
      <c r="M43" s="79"/>
      <c r="N43" s="198">
        <f t="shared" ref="N43:N45" si="0">ROUND((L43/L$49)*100,1)</f>
        <v>0</v>
      </c>
      <c r="O43" s="158"/>
      <c r="P43" s="200"/>
      <c r="Q43" s="79"/>
      <c r="R43" s="163">
        <f t="shared" ref="R43:R45" si="1">L43+P43</f>
        <v>0</v>
      </c>
      <c r="S43" s="439"/>
      <c r="T43" s="85"/>
      <c r="U43" s="100"/>
      <c r="V43" s="100"/>
      <c r="W43" s="100"/>
      <c r="X43" s="100"/>
      <c r="Y43" s="437"/>
      <c r="Z43" s="100"/>
      <c r="AA43" s="100"/>
      <c r="AB43" s="100"/>
      <c r="AC43" s="100"/>
      <c r="AD43" s="100"/>
      <c r="AE43" s="100"/>
      <c r="AF43" s="100"/>
      <c r="AG43" s="380"/>
      <c r="AH43" s="100"/>
      <c r="AI43" s="100"/>
      <c r="AJ43" s="100"/>
      <c r="AK43" s="380"/>
      <c r="AL43" s="100"/>
      <c r="AM43" s="100"/>
      <c r="AN43" s="100"/>
      <c r="AO43" s="100"/>
      <c r="AP43" s="100"/>
      <c r="AQ43" s="380"/>
    </row>
    <row r="44" spans="1:43" ht="20.100000000000001" customHeight="1" x14ac:dyDescent="0.25">
      <c r="A44" s="159">
        <v>20</v>
      </c>
      <c r="B44" s="80"/>
      <c r="C44" s="153" t="str">
        <f>DCI_Name</f>
        <v>DISTRIBUTION CAPITAL INVESTMENT RIDER (DCI)</v>
      </c>
      <c r="D44" s="80"/>
      <c r="E44" s="80"/>
      <c r="F44" s="163"/>
      <c r="G44" s="70"/>
      <c r="H44" s="163"/>
      <c r="I44" s="79"/>
      <c r="J44" s="430">
        <f>PRO_DCI_SL</f>
        <v>0</v>
      </c>
      <c r="K44" s="70"/>
      <c r="L44" s="163">
        <f>ROUND($H$40*J44,0)</f>
        <v>0</v>
      </c>
      <c r="M44" s="79"/>
      <c r="N44" s="198">
        <f t="shared" si="0"/>
        <v>0</v>
      </c>
      <c r="O44" s="158"/>
      <c r="P44" s="200"/>
      <c r="Q44" s="79"/>
      <c r="R44" s="163">
        <f t="shared" si="1"/>
        <v>0</v>
      </c>
      <c r="S44" s="439"/>
      <c r="T44" s="85"/>
      <c r="U44" s="100"/>
      <c r="V44" s="100"/>
      <c r="W44" s="100"/>
      <c r="X44" s="100"/>
      <c r="Y44" s="437"/>
      <c r="Z44" s="100"/>
      <c r="AA44" s="100"/>
      <c r="AB44" s="100"/>
      <c r="AC44" s="100"/>
      <c r="AD44" s="100"/>
      <c r="AE44" s="100"/>
      <c r="AF44" s="100"/>
      <c r="AG44" s="380"/>
      <c r="AH44" s="100"/>
      <c r="AI44" s="100"/>
      <c r="AJ44" s="100"/>
      <c r="AK44" s="380"/>
      <c r="AL44" s="100"/>
      <c r="AM44" s="100"/>
      <c r="AN44" s="100"/>
      <c r="AO44" s="100"/>
      <c r="AP44" s="100"/>
      <c r="AQ44" s="380"/>
    </row>
    <row r="45" spans="1:43" ht="20.100000000000001" customHeight="1" x14ac:dyDescent="0.25">
      <c r="A45" s="159">
        <v>21</v>
      </c>
      <c r="B45" s="80"/>
      <c r="C45" s="153" t="str">
        <f>FTR_Name</f>
        <v>FERC TRANSMISSION COST RECOVERY RECONCILIATION (FTR)</v>
      </c>
      <c r="D45" s="80"/>
      <c r="E45" s="80"/>
      <c r="F45" s="163"/>
      <c r="G45" s="70"/>
      <c r="H45" s="163"/>
      <c r="I45" s="79"/>
      <c r="J45" s="430">
        <f>PRO_FTR_SL</f>
        <v>0</v>
      </c>
      <c r="K45" s="70"/>
      <c r="L45" s="163">
        <f>ROUND($H$40*J45,0)</f>
        <v>0</v>
      </c>
      <c r="M45" s="79"/>
      <c r="N45" s="198">
        <f t="shared" si="0"/>
        <v>0</v>
      </c>
      <c r="O45" s="158"/>
      <c r="P45" s="200"/>
      <c r="Q45" s="79"/>
      <c r="R45" s="163">
        <f t="shared" si="1"/>
        <v>0</v>
      </c>
      <c r="S45" s="439"/>
      <c r="T45" s="85"/>
      <c r="U45" s="100"/>
      <c r="V45" s="100"/>
      <c r="W45" s="100"/>
      <c r="X45" s="100"/>
      <c r="Y45" s="437"/>
      <c r="Z45" s="100"/>
      <c r="AA45" s="100"/>
      <c r="AB45" s="100"/>
      <c r="AC45" s="100"/>
      <c r="AD45" s="100"/>
      <c r="AE45" s="100"/>
      <c r="AF45" s="100"/>
      <c r="AG45" s="380"/>
      <c r="AH45" s="100"/>
      <c r="AI45" s="100"/>
      <c r="AJ45" s="100"/>
      <c r="AK45" s="380"/>
      <c r="AL45" s="100"/>
      <c r="AM45" s="100"/>
      <c r="AN45" s="100"/>
      <c r="AO45" s="100"/>
      <c r="AP45" s="100"/>
      <c r="AQ45" s="380"/>
    </row>
    <row r="46" spans="1:43" x14ac:dyDescent="0.25">
      <c r="A46" s="159">
        <v>22</v>
      </c>
      <c r="B46" s="80"/>
      <c r="C46" s="153" t="str">
        <f>PSM_Name</f>
        <v>PROFIT SHARING MECHANISM (PSM)</v>
      </c>
      <c r="D46" s="80"/>
      <c r="E46" s="80"/>
      <c r="F46" s="163"/>
      <c r="G46" s="70"/>
      <c r="H46" s="163"/>
      <c r="I46" s="79"/>
      <c r="J46" s="438">
        <f>PRO_PSM</f>
        <v>-4.5600000000000003E-4</v>
      </c>
      <c r="K46" s="70"/>
      <c r="L46" s="167">
        <f>ROUND($H$40*J46,0)</f>
        <v>-656</v>
      </c>
      <c r="M46" s="79"/>
      <c r="N46" s="166">
        <f>ROUND((L46/L$49)*100,1)</f>
        <v>-0.8</v>
      </c>
      <c r="O46" s="158"/>
      <c r="P46" s="353"/>
      <c r="Q46" s="79"/>
      <c r="R46" s="167">
        <f t="shared" ref="R46" si="2">L46+P46</f>
        <v>-656</v>
      </c>
      <c r="S46" s="439"/>
      <c r="T46" s="85"/>
      <c r="U46" s="100"/>
      <c r="V46" s="100"/>
      <c r="W46" s="100"/>
      <c r="X46" s="100"/>
      <c r="Y46" s="437"/>
      <c r="Z46" s="100"/>
      <c r="AA46" s="100"/>
      <c r="AB46" s="100"/>
      <c r="AC46" s="100"/>
      <c r="AD46" s="100"/>
      <c r="AE46" s="100"/>
      <c r="AF46" s="100"/>
      <c r="AG46" s="380"/>
      <c r="AH46" s="100"/>
      <c r="AI46" s="100"/>
      <c r="AJ46" s="100"/>
      <c r="AK46" s="380"/>
      <c r="AL46" s="100"/>
      <c r="AM46" s="100"/>
      <c r="AN46" s="100"/>
      <c r="AO46" s="100"/>
      <c r="AP46" s="100"/>
      <c r="AQ46" s="380"/>
    </row>
    <row r="47" spans="1:43" ht="20.100000000000001" customHeight="1" x14ac:dyDescent="0.25">
      <c r="A47" s="159">
        <v>23</v>
      </c>
      <c r="B47" s="80"/>
      <c r="C47" s="253" t="s">
        <v>585</v>
      </c>
      <c r="D47" s="80"/>
      <c r="E47" s="80"/>
      <c r="F47" s="167"/>
      <c r="G47" s="70"/>
      <c r="H47" s="167"/>
      <c r="I47" s="79"/>
      <c r="J47" s="70"/>
      <c r="K47" s="70"/>
      <c r="L47" s="169">
        <f>SUM(L43:L46)</f>
        <v>-656</v>
      </c>
      <c r="M47" s="79"/>
      <c r="N47" s="170">
        <f>ROUND((L47/L$49)*100,1)</f>
        <v>-0.8</v>
      </c>
      <c r="O47" s="158"/>
      <c r="P47" s="342"/>
      <c r="Q47" s="79"/>
      <c r="R47" s="169">
        <f>SUM(R43:R46)</f>
        <v>-656</v>
      </c>
      <c r="S47" s="439"/>
      <c r="T47" s="85"/>
      <c r="U47" s="100"/>
      <c r="V47" s="100"/>
      <c r="W47" s="100"/>
      <c r="X47" s="100"/>
      <c r="Y47" s="437"/>
      <c r="Z47" s="100"/>
      <c r="AA47" s="100"/>
      <c r="AB47" s="100"/>
      <c r="AC47" s="100"/>
      <c r="AD47" s="100"/>
      <c r="AE47" s="100"/>
      <c r="AF47" s="100"/>
      <c r="AG47" s="380"/>
      <c r="AH47" s="100"/>
      <c r="AI47" s="100"/>
      <c r="AJ47" s="100"/>
      <c r="AK47" s="380"/>
      <c r="AL47" s="100"/>
      <c r="AM47" s="100"/>
      <c r="AN47" s="100"/>
      <c r="AO47" s="100"/>
      <c r="AP47" s="100"/>
      <c r="AQ47" s="380"/>
    </row>
    <row r="48" spans="1:43" x14ac:dyDescent="0.25">
      <c r="A48" s="159"/>
      <c r="B48" s="80"/>
      <c r="C48" s="82"/>
      <c r="D48" s="80"/>
      <c r="E48" s="80"/>
      <c r="F48" s="252"/>
      <c r="G48" s="70"/>
      <c r="H48" s="252"/>
      <c r="I48" s="78"/>
      <c r="J48" s="288"/>
      <c r="K48" s="339"/>
      <c r="L48" s="79"/>
      <c r="M48" s="79"/>
      <c r="N48" s="156"/>
      <c r="O48" s="156"/>
      <c r="P48" s="163"/>
      <c r="Q48" s="79"/>
      <c r="R48" s="79"/>
      <c r="S48" s="439"/>
      <c r="T48" s="85"/>
      <c r="U48" s="100"/>
      <c r="V48" s="100"/>
      <c r="W48" s="100"/>
      <c r="X48" s="100"/>
      <c r="Y48" s="437"/>
      <c r="Z48" s="100"/>
      <c r="AA48" s="100"/>
      <c r="AB48" s="100"/>
      <c r="AC48" s="100"/>
      <c r="AD48" s="100"/>
      <c r="AE48" s="100"/>
      <c r="AF48" s="100"/>
      <c r="AG48" s="380"/>
      <c r="AH48" s="100"/>
      <c r="AI48" s="100"/>
      <c r="AJ48" s="100"/>
      <c r="AK48" s="380"/>
      <c r="AL48" s="100"/>
      <c r="AM48" s="100"/>
      <c r="AN48" s="100"/>
      <c r="AO48" s="100"/>
      <c r="AP48" s="100"/>
      <c r="AQ48" s="380"/>
    </row>
    <row r="49" spans="1:76" ht="20.100000000000001" customHeight="1" thickBot="1" x14ac:dyDescent="0.3">
      <c r="A49" s="159">
        <v>24</v>
      </c>
      <c r="B49" s="80"/>
      <c r="C49" s="253" t="s">
        <v>587</v>
      </c>
      <c r="D49" s="80"/>
      <c r="E49" s="80"/>
      <c r="F49" s="275">
        <f>F40</f>
        <v>94895</v>
      </c>
      <c r="G49" s="70"/>
      <c r="H49" s="275">
        <f>H40</f>
        <v>1438465</v>
      </c>
      <c r="I49" s="79"/>
      <c r="J49" s="278"/>
      <c r="K49" s="70"/>
      <c r="L49" s="275">
        <f>L47+L40</f>
        <v>78486</v>
      </c>
      <c r="M49" s="79"/>
      <c r="N49" s="309">
        <v>100</v>
      </c>
      <c r="O49" s="156"/>
      <c r="P49" s="435">
        <f>ROUND(H49*CUR_FAC,0)</f>
        <v>1479</v>
      </c>
      <c r="Q49" s="78"/>
      <c r="R49" s="275">
        <f>R47+R40</f>
        <v>79965</v>
      </c>
      <c r="T49" s="202"/>
      <c r="AO49" s="154"/>
      <c r="AP49" s="154"/>
    </row>
    <row r="50" spans="1:76" ht="16.5" thickTop="1" x14ac:dyDescent="0.25">
      <c r="A50" s="159"/>
      <c r="B50" s="80"/>
      <c r="C50" s="82"/>
      <c r="D50" s="80"/>
      <c r="E50" s="80"/>
      <c r="F50" s="163"/>
      <c r="G50" s="70"/>
      <c r="H50" s="163"/>
      <c r="I50" s="79"/>
      <c r="J50" s="278"/>
      <c r="K50" s="70"/>
      <c r="L50" s="163"/>
      <c r="M50" s="79"/>
      <c r="N50" s="198"/>
      <c r="O50" s="156"/>
      <c r="P50" s="230"/>
      <c r="Q50" s="78"/>
      <c r="R50" s="163"/>
      <c r="T50" s="202"/>
      <c r="AO50" s="154"/>
      <c r="AP50" s="154"/>
    </row>
    <row r="51" spans="1:76" x14ac:dyDescent="0.25">
      <c r="A51" s="80"/>
      <c r="B51" s="80"/>
      <c r="C51" s="173" t="s">
        <v>80</v>
      </c>
      <c r="D51" s="80"/>
      <c r="E51" s="80"/>
      <c r="F51" s="80"/>
      <c r="G51" s="80"/>
      <c r="H51" s="80"/>
      <c r="I51" s="80"/>
      <c r="J51" s="182"/>
      <c r="K51" s="80"/>
      <c r="L51" s="80"/>
      <c r="M51" s="80"/>
      <c r="N51" s="80"/>
      <c r="O51" s="80"/>
      <c r="P51" s="80"/>
      <c r="Q51" s="80"/>
      <c r="R51" s="80"/>
      <c r="T51" s="312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380"/>
      <c r="AH51" s="100"/>
      <c r="AI51" s="100"/>
      <c r="AJ51" s="100"/>
      <c r="AK51" s="380"/>
      <c r="AL51" s="100"/>
      <c r="AM51" s="100"/>
      <c r="AN51" s="100"/>
      <c r="AO51" s="100"/>
      <c r="AP51" s="100"/>
      <c r="AQ51" s="380"/>
    </row>
    <row r="52" spans="1:76" x14ac:dyDescent="0.25">
      <c r="A52" s="80"/>
      <c r="B52" s="80"/>
      <c r="C52" s="173" t="str">
        <f>"(2) REFLECTS FUEL COMPONENT OF "&amp;TEXT(PRO_FAC,"$0.000000;($0.000000)")&amp;" PER KWH."</f>
        <v>(2) REFLECTS FUEL COMPONENT OF $0.001028 PER KWH.</v>
      </c>
      <c r="D52" s="80"/>
      <c r="E52" s="80"/>
      <c r="F52" s="80"/>
      <c r="G52" s="80"/>
      <c r="H52" s="80"/>
      <c r="I52" s="80"/>
      <c r="J52" s="182"/>
      <c r="K52" s="80"/>
      <c r="L52" s="80"/>
      <c r="M52" s="80"/>
      <c r="N52" s="80"/>
      <c r="O52" s="80"/>
      <c r="P52" s="80"/>
      <c r="Q52" s="80"/>
      <c r="R52" s="80"/>
      <c r="T52" s="312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380"/>
      <c r="AH52" s="100"/>
      <c r="AI52" s="100"/>
      <c r="AJ52" s="100"/>
      <c r="AK52" s="380"/>
      <c r="AL52" s="100"/>
      <c r="AM52" s="100"/>
      <c r="AN52" s="100"/>
      <c r="AO52" s="100"/>
      <c r="AP52" s="100"/>
      <c r="AQ52" s="380"/>
    </row>
    <row r="53" spans="1:76" x14ac:dyDescent="0.25">
      <c r="A53" s="80"/>
      <c r="B53" s="80"/>
      <c r="C53" s="173" t="str">
        <f>"(3) REFLECTS FUEL COST RECOVERY INCLUDED IN BASE RATES OF "&amp;TEXT(PRO_BASE_FUEL,"$0.000000;($0.000000)")&amp;"  PER KWH."</f>
        <v>(3) REFLECTS FUEL COST RECOVERY INCLUDED IN BASE RATES OF $0.023837  PER KWH.</v>
      </c>
      <c r="D53" s="80"/>
      <c r="E53" s="80"/>
      <c r="F53" s="189"/>
      <c r="G53" s="80"/>
      <c r="H53" s="189"/>
      <c r="I53" s="189"/>
      <c r="J53" s="399"/>
      <c r="K53" s="310"/>
      <c r="L53" s="189"/>
      <c r="M53" s="189"/>
      <c r="N53" s="189"/>
      <c r="O53" s="189"/>
      <c r="P53" s="189"/>
      <c r="Q53" s="189"/>
      <c r="R53" s="189"/>
      <c r="AE53" s="103"/>
      <c r="AF53" s="103"/>
      <c r="AG53" s="185"/>
      <c r="AH53" s="103"/>
      <c r="AI53" s="103"/>
      <c r="AJ53" s="103"/>
      <c r="AK53" s="185"/>
      <c r="AL53" s="103"/>
      <c r="AO53" s="103"/>
      <c r="AP53" s="103"/>
      <c r="AQ53" s="185"/>
    </row>
    <row r="54" spans="1:76" x14ac:dyDescent="0.25">
      <c r="A54" s="82"/>
      <c r="B54" s="80"/>
      <c r="C54" s="80"/>
      <c r="D54" s="80"/>
      <c r="E54" s="80"/>
      <c r="F54" s="80"/>
      <c r="G54" s="80"/>
      <c r="H54" s="80"/>
      <c r="I54" s="80"/>
      <c r="J54" s="182"/>
      <c r="K54" s="80"/>
      <c r="L54" s="80"/>
      <c r="M54" s="80"/>
      <c r="N54" s="80"/>
      <c r="O54" s="80"/>
      <c r="P54" s="80"/>
      <c r="Q54" s="80"/>
      <c r="R54" s="80"/>
      <c r="T54" s="150" t="str">
        <f>NAME</f>
        <v>DUKE ENERGY KENTUCKY, INC.</v>
      </c>
      <c r="U54" s="150"/>
      <c r="V54" s="150"/>
      <c r="W54" s="150"/>
      <c r="X54" s="150"/>
      <c r="Y54" s="150"/>
      <c r="Z54" s="150"/>
      <c r="AA54" s="150"/>
      <c r="AB54" s="150"/>
      <c r="AC54" s="150"/>
      <c r="AD54" s="187"/>
      <c r="AE54" s="187"/>
      <c r="AF54" s="150"/>
      <c r="AG54" s="380"/>
      <c r="AH54" s="150"/>
      <c r="AI54" s="100"/>
      <c r="AJ54" s="150"/>
      <c r="AK54" s="190"/>
      <c r="AL54" s="150"/>
      <c r="AM54" s="150"/>
      <c r="AN54" s="150"/>
      <c r="AO54" s="100"/>
      <c r="AP54" s="150"/>
      <c r="AQ54" s="190"/>
      <c r="AR54" s="150"/>
    </row>
    <row r="55" spans="1:76" x14ac:dyDescent="0.25">
      <c r="A55" s="82"/>
      <c r="B55" s="80"/>
      <c r="C55" s="80"/>
      <c r="D55" s="80"/>
      <c r="E55" s="80"/>
      <c r="F55" s="220"/>
      <c r="G55" s="80"/>
      <c r="H55" s="229"/>
      <c r="I55" s="80"/>
      <c r="J55" s="182"/>
      <c r="K55" s="80"/>
      <c r="L55" s="80"/>
      <c r="M55" s="80"/>
      <c r="N55" s="80"/>
      <c r="O55" s="80"/>
      <c r="P55" s="80"/>
      <c r="Q55" s="80"/>
      <c r="R55" s="80"/>
      <c r="T55" s="150" t="str">
        <f>CASE_NO</f>
        <v>CASE NO.   2017-00321</v>
      </c>
      <c r="U55" s="150"/>
      <c r="V55" s="150"/>
      <c r="W55" s="150"/>
      <c r="X55" s="150"/>
      <c r="Y55" s="150"/>
      <c r="Z55" s="150"/>
      <c r="AA55" s="150"/>
      <c r="AB55" s="150"/>
      <c r="AC55" s="150"/>
      <c r="AD55" s="187"/>
      <c r="AE55" s="187"/>
      <c r="AF55" s="150"/>
      <c r="AG55" s="380"/>
      <c r="AH55" s="150"/>
      <c r="AI55" s="100"/>
      <c r="AJ55" s="150"/>
      <c r="AK55" s="190"/>
      <c r="AL55" s="150"/>
      <c r="AM55" s="150"/>
      <c r="AN55" s="150"/>
      <c r="AO55" s="100"/>
      <c r="AP55" s="150"/>
      <c r="AQ55" s="190"/>
      <c r="AR55" s="150"/>
    </row>
    <row r="56" spans="1:76" x14ac:dyDescent="0.25">
      <c r="A56" s="202"/>
      <c r="C56" s="154"/>
      <c r="J56" s="394"/>
      <c r="T56" s="187" t="str">
        <f>TITLE</f>
        <v>ANNUALIZED BASE YEAR REVENUES AT PROPOSED VS. MOST CURRENT RATES</v>
      </c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380"/>
      <c r="AH56" s="150"/>
      <c r="AI56" s="100"/>
      <c r="AJ56" s="150"/>
      <c r="AK56" s="190"/>
      <c r="AL56" s="150"/>
      <c r="AM56" s="150"/>
      <c r="AN56" s="150"/>
      <c r="AO56" s="100"/>
      <c r="AP56" s="150"/>
      <c r="AQ56" s="190"/>
      <c r="AR56" s="150"/>
      <c r="AS56" s="200"/>
      <c r="AT56" s="200"/>
      <c r="AU56" s="210"/>
      <c r="BX56" s="317"/>
    </row>
    <row r="57" spans="1:76" x14ac:dyDescent="0.25">
      <c r="A57" s="202"/>
      <c r="C57" s="154"/>
      <c r="F57" s="200"/>
      <c r="H57" s="200"/>
      <c r="I57" s="200"/>
      <c r="J57" s="394"/>
      <c r="L57" s="200"/>
      <c r="M57" s="200"/>
      <c r="N57" s="210"/>
      <c r="O57" s="210"/>
      <c r="P57" s="252"/>
      <c r="Q57" s="252"/>
      <c r="R57" s="200"/>
      <c r="T57" s="150" t="str">
        <f>DATE</f>
        <v>FOR THE TWELVE MONTHS ENDED November 30, 2017</v>
      </c>
      <c r="U57" s="150"/>
      <c r="V57" s="150"/>
      <c r="W57" s="150"/>
      <c r="X57" s="150"/>
      <c r="Y57" s="150"/>
      <c r="Z57" s="150"/>
      <c r="AA57" s="150"/>
      <c r="AB57" s="150"/>
      <c r="AC57" s="150"/>
      <c r="AD57" s="187"/>
      <c r="AE57" s="187"/>
      <c r="AF57" s="150"/>
      <c r="AG57" s="380"/>
      <c r="AH57" s="150"/>
      <c r="AI57" s="100"/>
      <c r="AJ57" s="150"/>
      <c r="AK57" s="190"/>
      <c r="AL57" s="150"/>
      <c r="AM57" s="150"/>
      <c r="AN57" s="150"/>
      <c r="AO57" s="100"/>
      <c r="AP57" s="150"/>
      <c r="AQ57" s="190"/>
      <c r="AR57" s="150"/>
      <c r="AS57" s="200"/>
      <c r="AT57" s="200"/>
      <c r="AU57" s="210"/>
    </row>
    <row r="58" spans="1:76" x14ac:dyDescent="0.25"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T58" s="150" t="str">
        <f>SERVICE</f>
        <v>(ELECTRIC SERVICE)</v>
      </c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87"/>
      <c r="AG58" s="424"/>
      <c r="AH58" s="150"/>
      <c r="AI58" s="100"/>
      <c r="AJ58" s="150"/>
      <c r="AK58" s="190"/>
      <c r="AL58" s="150"/>
      <c r="AM58" s="150"/>
      <c r="AN58" s="150"/>
      <c r="AO58" s="100"/>
      <c r="AP58" s="150"/>
      <c r="AQ58" s="190"/>
      <c r="AR58" s="150"/>
      <c r="AS58" s="200"/>
      <c r="AT58" s="200"/>
      <c r="AU58" s="327"/>
    </row>
    <row r="59" spans="1:76" x14ac:dyDescent="0.25">
      <c r="C59" s="154"/>
      <c r="F59" s="109"/>
      <c r="G59" s="109"/>
      <c r="H59" s="109"/>
      <c r="I59" s="109"/>
      <c r="J59" s="109"/>
      <c r="K59" s="109"/>
      <c r="L59" s="200"/>
      <c r="M59" s="200"/>
      <c r="N59" s="200"/>
      <c r="O59" s="200"/>
      <c r="P59" s="200"/>
      <c r="Q59" s="200"/>
      <c r="R59" s="200"/>
      <c r="T59" s="159" t="str">
        <f>DATA_PERIOD</f>
        <v>DATA: __X__ BASE PERIOD   ____FORECASTED PERIOD</v>
      </c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H59" s="80"/>
      <c r="AJ59" s="80"/>
      <c r="AK59" s="188"/>
      <c r="AL59" s="80"/>
      <c r="AM59" s="80"/>
      <c r="AN59" s="80"/>
      <c r="AO59" s="82" t="s">
        <v>179</v>
      </c>
      <c r="AQ59" s="440"/>
      <c r="AR59" s="80"/>
      <c r="AS59" s="200"/>
      <c r="AT59" s="200"/>
      <c r="AU59" s="210"/>
    </row>
    <row r="60" spans="1:76" x14ac:dyDescent="0.25">
      <c r="A60" s="154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T60" s="159" t="str">
        <f>TYPE</f>
        <v>TYPE OF FILING: _X_ ORIGINAL   ___UPDATED  ___ REVISED</v>
      </c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H60" s="80"/>
      <c r="AJ60" s="80"/>
      <c r="AK60" s="188"/>
      <c r="AL60" s="80"/>
      <c r="AM60" s="80"/>
      <c r="AN60" s="80"/>
      <c r="AO60" s="81" t="str">
        <f>R7</f>
        <v>PAGE 16  OF  22</v>
      </c>
      <c r="AQ60" s="440"/>
      <c r="AR60" s="80"/>
      <c r="AS60" s="200"/>
      <c r="AT60" s="200"/>
      <c r="AU60" s="210"/>
    </row>
    <row r="61" spans="1:76" x14ac:dyDescent="0.25">
      <c r="A61" s="202"/>
      <c r="C61" s="154"/>
      <c r="F61" s="200"/>
      <c r="G61" s="109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T61" s="82" t="s">
        <v>192</v>
      </c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188"/>
      <c r="AH61" s="80"/>
      <c r="AI61" s="80"/>
      <c r="AJ61" s="80"/>
      <c r="AK61" s="188"/>
      <c r="AL61" s="80"/>
      <c r="AM61" s="80"/>
      <c r="AN61" s="80"/>
      <c r="AO61" s="82" t="s">
        <v>3</v>
      </c>
      <c r="AQ61" s="440"/>
      <c r="AR61" s="80"/>
      <c r="AS61" s="200"/>
      <c r="AT61" s="200"/>
      <c r="AU61" s="210"/>
    </row>
    <row r="62" spans="1:76" x14ac:dyDescent="0.25">
      <c r="F62" s="211"/>
      <c r="H62" s="211"/>
      <c r="I62" s="211"/>
      <c r="J62" s="305"/>
      <c r="K62" s="305"/>
      <c r="L62" s="211"/>
      <c r="M62" s="211"/>
      <c r="N62" s="211"/>
      <c r="O62" s="211"/>
      <c r="P62" s="211"/>
      <c r="Q62" s="211"/>
      <c r="R62" s="211"/>
      <c r="T62" s="258" t="str">
        <f>TIME</f>
        <v>6 Months Actual and 6 Months Projected</v>
      </c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G62" s="440"/>
      <c r="AH62" s="80"/>
      <c r="AI62" s="80"/>
      <c r="AJ62" s="80"/>
      <c r="AK62" s="188"/>
      <c r="AL62" s="80"/>
      <c r="AM62" s="80"/>
      <c r="AN62" s="80"/>
      <c r="AO62" s="159" t="str">
        <f>WIT</f>
        <v>B. L. SAILERS</v>
      </c>
      <c r="AR62" s="80"/>
      <c r="AS62" s="200"/>
      <c r="AT62" s="200"/>
      <c r="AU62" s="210"/>
    </row>
    <row r="63" spans="1:76" x14ac:dyDescent="0.25">
      <c r="A63" s="202"/>
      <c r="C63" s="154"/>
      <c r="F63" s="200"/>
      <c r="H63" s="200"/>
      <c r="I63" s="200"/>
      <c r="J63" s="213"/>
      <c r="K63" s="213"/>
      <c r="L63" s="200"/>
      <c r="M63" s="200"/>
      <c r="N63" s="210"/>
      <c r="O63" s="210"/>
      <c r="P63" s="200"/>
      <c r="Q63" s="200"/>
      <c r="R63" s="200"/>
      <c r="T63" s="498" t="s">
        <v>152</v>
      </c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498"/>
      <c r="AK63" s="498"/>
      <c r="AL63" s="498"/>
      <c r="AM63" s="498"/>
      <c r="AN63" s="498"/>
      <c r="AO63" s="498"/>
      <c r="AP63" s="498"/>
      <c r="AQ63" s="498"/>
      <c r="AR63" s="80"/>
      <c r="AS63" s="200"/>
      <c r="AT63" s="200"/>
      <c r="AU63" s="210"/>
    </row>
    <row r="64" spans="1:76" x14ac:dyDescent="0.25">
      <c r="A64" s="154"/>
      <c r="F64" s="200"/>
      <c r="H64" s="200"/>
      <c r="I64" s="200"/>
      <c r="J64" s="213"/>
      <c r="K64" s="213"/>
      <c r="L64" s="200"/>
      <c r="M64" s="200"/>
      <c r="N64" s="200"/>
      <c r="O64" s="200"/>
      <c r="P64" s="200"/>
      <c r="Q64" s="200"/>
      <c r="R64" s="200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91"/>
      <c r="AH64" s="151"/>
      <c r="AI64" s="151"/>
      <c r="AJ64" s="151"/>
      <c r="AK64" s="191"/>
      <c r="AL64" s="151"/>
      <c r="AM64" s="151"/>
      <c r="AN64" s="151"/>
      <c r="AO64" s="151"/>
      <c r="AP64" s="151"/>
      <c r="AQ64" s="191"/>
      <c r="AR64" s="151"/>
      <c r="AS64" s="200"/>
      <c r="AT64" s="200"/>
      <c r="AU64" s="210"/>
    </row>
    <row r="65" spans="1:47" ht="18" customHeight="1" x14ac:dyDescent="0.25">
      <c r="L65" s="200"/>
      <c r="M65" s="200"/>
      <c r="N65" s="200"/>
      <c r="O65" s="200"/>
      <c r="P65" s="200"/>
      <c r="Q65" s="200"/>
      <c r="R65" s="200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93" t="s">
        <v>8</v>
      </c>
      <c r="AF65" s="193"/>
      <c r="AG65" s="194" t="s">
        <v>7</v>
      </c>
      <c r="AH65" s="193"/>
      <c r="AI65" s="193" t="s">
        <v>9</v>
      </c>
      <c r="AJ65" s="193"/>
      <c r="AK65" s="194" t="s">
        <v>10</v>
      </c>
      <c r="AL65" s="193"/>
      <c r="AM65" s="152"/>
      <c r="AN65" s="152"/>
      <c r="AO65" s="193" t="s">
        <v>8</v>
      </c>
      <c r="AP65" s="193"/>
      <c r="AQ65" s="194" t="s">
        <v>11</v>
      </c>
      <c r="AR65" s="200"/>
      <c r="AS65" s="200"/>
      <c r="AT65" s="210"/>
    </row>
    <row r="66" spans="1:47" x14ac:dyDescent="0.25">
      <c r="H66" s="154"/>
      <c r="I66" s="154"/>
      <c r="T66" s="80"/>
      <c r="U66" s="80"/>
      <c r="V66" s="80"/>
      <c r="W66" s="80"/>
      <c r="X66" s="80"/>
      <c r="Y66" s="80"/>
      <c r="Z66" s="80"/>
      <c r="AA66" s="80"/>
      <c r="AB66" s="80"/>
      <c r="AC66" s="83" t="s">
        <v>14</v>
      </c>
      <c r="AD66" s="83"/>
      <c r="AE66" s="83" t="s">
        <v>12</v>
      </c>
      <c r="AF66" s="83"/>
      <c r="AG66" s="195" t="s">
        <v>13</v>
      </c>
      <c r="AH66" s="83"/>
      <c r="AI66" s="83" t="s">
        <v>15</v>
      </c>
      <c r="AJ66" s="83"/>
      <c r="AK66" s="195" t="s">
        <v>16</v>
      </c>
      <c r="AL66" s="83"/>
      <c r="AM66" s="80"/>
      <c r="AN66" s="80"/>
      <c r="AO66" s="83" t="s">
        <v>11</v>
      </c>
      <c r="AP66" s="83"/>
      <c r="AQ66" s="195" t="s">
        <v>9</v>
      </c>
    </row>
    <row r="67" spans="1:47" x14ac:dyDescent="0.25">
      <c r="L67" s="154"/>
      <c r="M67" s="154"/>
      <c r="T67" s="83" t="s">
        <v>17</v>
      </c>
      <c r="U67" s="80"/>
      <c r="V67" s="83" t="s">
        <v>18</v>
      </c>
      <c r="W67" s="83" t="s">
        <v>19</v>
      </c>
      <c r="X67" s="83"/>
      <c r="Y67" s="83" t="s">
        <v>20</v>
      </c>
      <c r="Z67" s="80"/>
      <c r="AA67" s="80"/>
      <c r="AB67" s="80"/>
      <c r="AC67" s="83" t="s">
        <v>8</v>
      </c>
      <c r="AD67" s="83"/>
      <c r="AE67" s="83" t="s">
        <v>21</v>
      </c>
      <c r="AF67" s="83"/>
      <c r="AG67" s="195" t="s">
        <v>21</v>
      </c>
      <c r="AH67" s="83"/>
      <c r="AI67" s="83" t="s">
        <v>22</v>
      </c>
      <c r="AJ67" s="83"/>
      <c r="AK67" s="195" t="s">
        <v>22</v>
      </c>
      <c r="AL67" s="83"/>
      <c r="AM67" s="83" t="s">
        <v>21</v>
      </c>
      <c r="AN67" s="83"/>
      <c r="AO67" s="83" t="s">
        <v>9</v>
      </c>
      <c r="AP67" s="83"/>
      <c r="AQ67" s="195" t="s">
        <v>23</v>
      </c>
    </row>
    <row r="68" spans="1:47" x14ac:dyDescent="0.25">
      <c r="A68" s="202"/>
      <c r="R68" s="154"/>
      <c r="T68" s="83" t="s">
        <v>24</v>
      </c>
      <c r="U68" s="80"/>
      <c r="V68" s="83" t="s">
        <v>25</v>
      </c>
      <c r="W68" s="83" t="s">
        <v>26</v>
      </c>
      <c r="X68" s="83"/>
      <c r="Y68" s="83" t="s">
        <v>27</v>
      </c>
      <c r="Z68" s="80"/>
      <c r="AA68" s="83" t="s">
        <v>28</v>
      </c>
      <c r="AB68" s="83"/>
      <c r="AC68" s="83" t="s">
        <v>29</v>
      </c>
      <c r="AD68" s="83"/>
      <c r="AE68" s="83" t="s">
        <v>9</v>
      </c>
      <c r="AF68" s="83"/>
      <c r="AG68" s="195" t="s">
        <v>9</v>
      </c>
      <c r="AH68" s="83"/>
      <c r="AI68" s="256" t="s">
        <v>31</v>
      </c>
      <c r="AJ68" s="256"/>
      <c r="AK68" s="257" t="s">
        <v>32</v>
      </c>
      <c r="AL68" s="83"/>
      <c r="AM68" s="83" t="s">
        <v>430</v>
      </c>
      <c r="AN68" s="83"/>
      <c r="AO68" s="256" t="s">
        <v>33</v>
      </c>
      <c r="AP68" s="256"/>
      <c r="AQ68" s="257" t="s">
        <v>34</v>
      </c>
      <c r="AU68" s="104"/>
    </row>
    <row r="69" spans="1:47" x14ac:dyDescent="0.25">
      <c r="A69" s="202"/>
      <c r="R69" s="154"/>
      <c r="T69" s="80"/>
      <c r="U69" s="80"/>
      <c r="V69" s="256" t="s">
        <v>35</v>
      </c>
      <c r="W69" s="256" t="s">
        <v>36</v>
      </c>
      <c r="X69" s="256"/>
      <c r="Y69" s="256" t="s">
        <v>37</v>
      </c>
      <c r="Z69" s="258"/>
      <c r="AA69" s="256" t="s">
        <v>38</v>
      </c>
      <c r="AB69" s="256"/>
      <c r="AC69" s="256" t="s">
        <v>44</v>
      </c>
      <c r="AD69" s="256"/>
      <c r="AE69" s="256" t="s">
        <v>45</v>
      </c>
      <c r="AF69" s="256"/>
      <c r="AG69" s="257" t="s">
        <v>46</v>
      </c>
      <c r="AH69" s="256"/>
      <c r="AI69" s="256" t="s">
        <v>47</v>
      </c>
      <c r="AJ69" s="256"/>
      <c r="AK69" s="257" t="s">
        <v>48</v>
      </c>
      <c r="AL69" s="256"/>
      <c r="AM69" s="256" t="s">
        <v>42</v>
      </c>
      <c r="AN69" s="256"/>
      <c r="AO69" s="256" t="s">
        <v>49</v>
      </c>
      <c r="AP69" s="256"/>
      <c r="AQ69" s="257" t="s">
        <v>50</v>
      </c>
      <c r="AU69" s="104"/>
    </row>
    <row r="70" spans="1:47" ht="17.100000000000001" customHeight="1" x14ac:dyDescent="0.25">
      <c r="A70" s="154"/>
      <c r="R70" s="154"/>
      <c r="T70" s="152"/>
      <c r="U70" s="152"/>
      <c r="V70" s="152"/>
      <c r="W70" s="152"/>
      <c r="X70" s="152"/>
      <c r="Y70" s="152"/>
      <c r="Z70" s="152"/>
      <c r="AA70" s="376" t="s">
        <v>51</v>
      </c>
      <c r="AB70" s="376"/>
      <c r="AC70" s="375" t="s">
        <v>418</v>
      </c>
      <c r="AD70" s="376"/>
      <c r="AE70" s="376" t="s">
        <v>52</v>
      </c>
      <c r="AF70" s="376"/>
      <c r="AG70" s="381" t="s">
        <v>53</v>
      </c>
      <c r="AH70" s="376"/>
      <c r="AI70" s="376" t="s">
        <v>52</v>
      </c>
      <c r="AJ70" s="376"/>
      <c r="AK70" s="381" t="s">
        <v>53</v>
      </c>
      <c r="AL70" s="376"/>
      <c r="AM70" s="376" t="s">
        <v>52</v>
      </c>
      <c r="AN70" s="376"/>
      <c r="AO70" s="376" t="s">
        <v>52</v>
      </c>
      <c r="AP70" s="376"/>
      <c r="AQ70" s="381" t="s">
        <v>53</v>
      </c>
      <c r="AU70" s="104"/>
    </row>
    <row r="71" spans="1:47" x14ac:dyDescent="0.2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T71" s="159">
        <v>1</v>
      </c>
      <c r="U71" s="80"/>
      <c r="V71" s="253" t="s">
        <v>85</v>
      </c>
      <c r="W71" s="253" t="s">
        <v>86</v>
      </c>
      <c r="X71" s="82"/>
      <c r="Y71" s="70"/>
      <c r="Z71" s="70"/>
      <c r="AA71" s="70"/>
      <c r="AB71" s="70"/>
      <c r="AC71" s="70"/>
      <c r="AD71" s="70"/>
      <c r="AE71" s="70"/>
      <c r="AF71" s="70"/>
      <c r="AG71" s="164"/>
      <c r="AH71" s="70"/>
      <c r="AI71" s="70"/>
      <c r="AJ71" s="70"/>
      <c r="AK71" s="164"/>
      <c r="AL71" s="70"/>
      <c r="AM71" s="70"/>
      <c r="AN71" s="70"/>
      <c r="AO71" s="70"/>
      <c r="AP71" s="70"/>
      <c r="AQ71" s="164"/>
    </row>
    <row r="72" spans="1:47" x14ac:dyDescent="0.25">
      <c r="L72" s="103"/>
      <c r="M72" s="103"/>
      <c r="N72" s="103"/>
      <c r="O72" s="103"/>
      <c r="R72" s="103"/>
      <c r="T72" s="159">
        <v>2</v>
      </c>
      <c r="U72" s="80"/>
      <c r="V72" s="258"/>
      <c r="W72" s="253" t="s">
        <v>87</v>
      </c>
      <c r="X72" s="82"/>
      <c r="Y72" s="70"/>
      <c r="Z72" s="70"/>
      <c r="AA72" s="70"/>
      <c r="AB72" s="70"/>
      <c r="AC72" s="70"/>
      <c r="AD72" s="70"/>
      <c r="AE72" s="70"/>
      <c r="AF72" s="70"/>
      <c r="AG72" s="164"/>
      <c r="AH72" s="70"/>
      <c r="AI72" s="70"/>
      <c r="AJ72" s="70"/>
      <c r="AK72" s="164"/>
      <c r="AL72" s="70"/>
      <c r="AM72" s="70"/>
      <c r="AN72" s="70"/>
      <c r="AO72" s="70"/>
      <c r="AP72" s="70"/>
      <c r="AQ72" s="164"/>
    </row>
    <row r="73" spans="1:47" x14ac:dyDescent="0.25">
      <c r="C73" s="103"/>
      <c r="D73" s="103"/>
      <c r="E73" s="103"/>
      <c r="F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T73" s="80"/>
      <c r="U73" s="80"/>
      <c r="V73" s="80"/>
      <c r="W73" s="80"/>
      <c r="X73" s="80"/>
      <c r="Y73" s="70"/>
      <c r="Z73" s="70"/>
      <c r="AA73" s="70"/>
      <c r="AB73" s="70"/>
      <c r="AC73" s="70"/>
      <c r="AD73" s="70"/>
      <c r="AE73" s="70"/>
      <c r="AF73" s="70"/>
      <c r="AG73" s="164"/>
      <c r="AH73" s="70"/>
      <c r="AI73" s="70"/>
      <c r="AJ73" s="70"/>
      <c r="AK73" s="164"/>
      <c r="AL73" s="70"/>
      <c r="AM73" s="70"/>
      <c r="AN73" s="70"/>
      <c r="AO73" s="70"/>
      <c r="AP73" s="70"/>
      <c r="AQ73" s="164"/>
    </row>
    <row r="74" spans="1:47" x14ac:dyDescent="0.25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T74" s="159">
        <v>3</v>
      </c>
      <c r="U74" s="80"/>
      <c r="V74" s="253" t="s">
        <v>88</v>
      </c>
      <c r="W74" s="258"/>
      <c r="X74" s="80"/>
      <c r="Y74" s="79"/>
      <c r="Z74" s="70"/>
      <c r="AA74" s="70"/>
      <c r="AB74" s="70"/>
      <c r="AC74" s="359"/>
      <c r="AD74" s="359"/>
      <c r="AE74" s="79"/>
      <c r="AF74" s="79"/>
      <c r="AG74" s="164"/>
      <c r="AH74" s="70"/>
      <c r="AI74" s="70"/>
      <c r="AJ74" s="70"/>
      <c r="AK74" s="155"/>
      <c r="AL74" s="79"/>
      <c r="AM74" s="70"/>
      <c r="AN74" s="70"/>
      <c r="AO74" s="79"/>
      <c r="AP74" s="79"/>
      <c r="AQ74" s="164"/>
    </row>
    <row r="75" spans="1:47" x14ac:dyDescent="0.25"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T75" s="159">
        <v>4</v>
      </c>
      <c r="U75" s="80"/>
      <c r="V75" s="253" t="s">
        <v>483</v>
      </c>
      <c r="W75" s="258"/>
      <c r="X75" s="80"/>
      <c r="Y75" s="79"/>
      <c r="Z75" s="70"/>
      <c r="AA75" s="70"/>
      <c r="AB75" s="70"/>
      <c r="AC75" s="70"/>
      <c r="AD75" s="70"/>
      <c r="AE75" s="70"/>
      <c r="AF75" s="70"/>
      <c r="AG75" s="164"/>
      <c r="AH75" s="70"/>
      <c r="AI75" s="70"/>
      <c r="AJ75" s="70"/>
      <c r="AK75" s="155"/>
      <c r="AL75" s="79"/>
      <c r="AM75" s="70"/>
      <c r="AN75" s="70"/>
      <c r="AO75" s="79"/>
      <c r="AP75" s="79"/>
      <c r="AQ75" s="164"/>
    </row>
    <row r="76" spans="1:47" x14ac:dyDescent="0.25">
      <c r="A76" s="202"/>
      <c r="C76" s="154"/>
      <c r="D76" s="154"/>
      <c r="E76" s="154"/>
      <c r="T76" s="80"/>
      <c r="U76" s="80"/>
      <c r="V76" s="80"/>
      <c r="W76" s="80"/>
      <c r="X76" s="80"/>
      <c r="Y76" s="70"/>
      <c r="Z76" s="70"/>
      <c r="AA76" s="70"/>
      <c r="AB76" s="70"/>
      <c r="AC76" s="278"/>
      <c r="AD76" s="70"/>
      <c r="AE76" s="70"/>
      <c r="AF76" s="70"/>
      <c r="AG76" s="164"/>
      <c r="AH76" s="70"/>
      <c r="AI76" s="70"/>
      <c r="AJ76" s="70"/>
      <c r="AK76" s="164"/>
      <c r="AL76" s="70"/>
      <c r="AM76" s="79"/>
      <c r="AN76" s="79"/>
      <c r="AO76" s="79"/>
      <c r="AP76" s="79"/>
      <c r="AQ76" s="155"/>
    </row>
    <row r="77" spans="1:47" x14ac:dyDescent="0.25">
      <c r="A77" s="202"/>
      <c r="C77" s="154"/>
      <c r="T77" s="159">
        <v>5</v>
      </c>
      <c r="U77" s="80"/>
      <c r="V77" s="82" t="s">
        <v>89</v>
      </c>
      <c r="W77" s="80"/>
      <c r="X77" s="80"/>
      <c r="Y77" s="225">
        <f>F24</f>
        <v>76019</v>
      </c>
      <c r="Z77" s="70"/>
      <c r="AA77" s="225">
        <f>H24</f>
        <v>680382</v>
      </c>
      <c r="AB77" s="441"/>
      <c r="AC77" s="288">
        <v>3.8066000000000003E-2</v>
      </c>
      <c r="AD77" s="339"/>
      <c r="AE77" s="79">
        <f>ROUND((AA77*AC77),0)</f>
        <v>25899</v>
      </c>
      <c r="AF77" s="79"/>
      <c r="AG77" s="155">
        <f>ROUND((AE77/AE$102)*100,1)</f>
        <v>37</v>
      </c>
      <c r="AH77" s="156"/>
      <c r="AI77" s="79">
        <f>L24-AE77</f>
        <v>3078</v>
      </c>
      <c r="AJ77" s="79"/>
      <c r="AK77" s="155">
        <f>ROUND((AI77/AE77)*100,1)</f>
        <v>11.9</v>
      </c>
      <c r="AL77" s="158"/>
      <c r="AM77" s="79">
        <f>ROUND($AM$102/$AA$102*AA77,0)</f>
        <v>700</v>
      </c>
      <c r="AN77" s="79"/>
      <c r="AO77" s="79">
        <f>AE77+AM77</f>
        <v>26599</v>
      </c>
      <c r="AP77" s="79"/>
      <c r="AQ77" s="155">
        <f>ROUND((AI77/AO77)*100,1)</f>
        <v>11.6</v>
      </c>
      <c r="AU77" s="442"/>
    </row>
    <row r="78" spans="1:47" x14ac:dyDescent="0.25">
      <c r="T78" s="80"/>
      <c r="U78" s="80"/>
      <c r="V78" s="80"/>
      <c r="W78" s="80"/>
      <c r="X78" s="80"/>
      <c r="Y78" s="79"/>
      <c r="Z78" s="70"/>
      <c r="AA78" s="79"/>
      <c r="AB78" s="79"/>
      <c r="AC78" s="443"/>
      <c r="AD78" s="263"/>
      <c r="AE78" s="79"/>
      <c r="AF78" s="79"/>
      <c r="AG78" s="164"/>
      <c r="AH78" s="70"/>
      <c r="AI78" s="70"/>
      <c r="AJ78" s="70"/>
      <c r="AK78" s="164"/>
      <c r="AL78" s="70"/>
      <c r="AM78" s="79"/>
      <c r="AN78" s="79"/>
      <c r="AO78" s="79"/>
      <c r="AP78" s="79"/>
      <c r="AQ78" s="155"/>
    </row>
    <row r="79" spans="1:47" x14ac:dyDescent="0.25">
      <c r="A79" s="202"/>
      <c r="C79" s="154"/>
      <c r="F79" s="252"/>
      <c r="H79" s="252"/>
      <c r="I79" s="252"/>
      <c r="J79" s="300"/>
      <c r="K79" s="300"/>
      <c r="L79" s="200"/>
      <c r="M79" s="200"/>
      <c r="N79" s="210"/>
      <c r="O79" s="210"/>
      <c r="P79" s="202"/>
      <c r="Q79" s="202"/>
      <c r="R79" s="200"/>
      <c r="T79" s="159">
        <v>6</v>
      </c>
      <c r="U79" s="80"/>
      <c r="V79" s="253" t="s">
        <v>90</v>
      </c>
      <c r="W79" s="80"/>
      <c r="X79" s="80"/>
      <c r="Y79" s="79"/>
      <c r="Z79" s="70"/>
      <c r="AA79" s="70"/>
      <c r="AB79" s="70"/>
      <c r="AC79" s="430"/>
      <c r="AD79" s="70"/>
      <c r="AE79" s="70"/>
      <c r="AF79" s="70"/>
      <c r="AG79" s="164"/>
      <c r="AH79" s="70"/>
      <c r="AI79" s="70"/>
      <c r="AJ79" s="70"/>
      <c r="AK79" s="164"/>
      <c r="AL79" s="70"/>
      <c r="AM79" s="70"/>
      <c r="AN79" s="70"/>
      <c r="AO79" s="79"/>
      <c r="AP79" s="79"/>
      <c r="AQ79" s="155"/>
    </row>
    <row r="80" spans="1:47" x14ac:dyDescent="0.25">
      <c r="A80" s="202"/>
      <c r="C80" s="154"/>
      <c r="F80" s="252"/>
      <c r="H80" s="252"/>
      <c r="I80" s="252"/>
      <c r="J80" s="300"/>
      <c r="K80" s="300"/>
      <c r="L80" s="200"/>
      <c r="M80" s="200"/>
      <c r="N80" s="210"/>
      <c r="O80" s="210"/>
      <c r="P80" s="202"/>
      <c r="Q80" s="202"/>
      <c r="R80" s="200"/>
      <c r="T80" s="159">
        <v>7</v>
      </c>
      <c r="U80" s="80"/>
      <c r="V80" s="265" t="s">
        <v>227</v>
      </c>
      <c r="W80" s="80"/>
      <c r="X80" s="80"/>
      <c r="Y80" s="79"/>
      <c r="Z80" s="70"/>
      <c r="AA80" s="79"/>
      <c r="AB80" s="70"/>
      <c r="AC80" s="430"/>
      <c r="AD80" s="70"/>
      <c r="AE80" s="70"/>
      <c r="AF80" s="70"/>
      <c r="AG80" s="164"/>
      <c r="AH80" s="70"/>
      <c r="AI80" s="70"/>
      <c r="AJ80" s="70"/>
      <c r="AK80" s="164"/>
      <c r="AL80" s="70"/>
      <c r="AM80" s="70"/>
      <c r="AN80" s="70"/>
      <c r="AO80" s="79"/>
      <c r="AP80" s="79"/>
      <c r="AQ80" s="155"/>
    </row>
    <row r="81" spans="1:47" x14ac:dyDescent="0.25">
      <c r="A81" s="202"/>
      <c r="C81" s="154"/>
      <c r="F81" s="252"/>
      <c r="H81" s="252"/>
      <c r="I81" s="252"/>
      <c r="J81" s="300"/>
      <c r="K81" s="300"/>
      <c r="L81" s="200"/>
      <c r="M81" s="200"/>
      <c r="N81" s="210"/>
      <c r="O81" s="210"/>
      <c r="P81" s="202"/>
      <c r="Q81" s="202"/>
      <c r="R81" s="200"/>
      <c r="T81" s="159">
        <v>8</v>
      </c>
      <c r="U81" s="80"/>
      <c r="V81" s="253" t="s">
        <v>228</v>
      </c>
      <c r="W81" s="80"/>
      <c r="X81" s="80"/>
      <c r="Y81" s="79"/>
      <c r="Z81" s="70"/>
      <c r="AA81" s="79"/>
      <c r="AB81" s="70"/>
      <c r="AC81" s="430"/>
      <c r="AD81" s="70"/>
      <c r="AE81" s="70"/>
      <c r="AF81" s="70"/>
      <c r="AG81" s="164"/>
      <c r="AH81" s="70"/>
      <c r="AI81" s="70"/>
      <c r="AJ81" s="70"/>
      <c r="AK81" s="164"/>
      <c r="AL81" s="70"/>
      <c r="AM81" s="70"/>
      <c r="AN81" s="70"/>
      <c r="AO81" s="79"/>
      <c r="AP81" s="79"/>
      <c r="AQ81" s="155"/>
    </row>
    <row r="82" spans="1:47" x14ac:dyDescent="0.25">
      <c r="A82" s="202"/>
      <c r="C82" s="154"/>
      <c r="F82" s="252"/>
      <c r="H82" s="252"/>
      <c r="I82" s="252"/>
      <c r="J82" s="300"/>
      <c r="K82" s="300"/>
      <c r="L82" s="200"/>
      <c r="M82" s="200"/>
      <c r="N82" s="210"/>
      <c r="O82" s="210"/>
      <c r="P82" s="202"/>
      <c r="Q82" s="202"/>
      <c r="R82" s="200"/>
      <c r="T82" s="159">
        <v>9</v>
      </c>
      <c r="U82" s="80"/>
      <c r="V82" s="265" t="s">
        <v>229</v>
      </c>
      <c r="W82" s="80"/>
      <c r="X82" s="80"/>
      <c r="Y82" s="70"/>
      <c r="Z82" s="70"/>
      <c r="AA82" s="70"/>
      <c r="AB82" s="70"/>
      <c r="AC82" s="430"/>
      <c r="AD82" s="70"/>
      <c r="AE82" s="70"/>
      <c r="AF82" s="70"/>
      <c r="AG82" s="164"/>
      <c r="AH82" s="70"/>
      <c r="AI82" s="70"/>
      <c r="AJ82" s="70"/>
      <c r="AK82" s="164"/>
      <c r="AL82" s="70"/>
      <c r="AM82" s="70"/>
      <c r="AN82" s="70"/>
      <c r="AO82" s="79"/>
      <c r="AP82" s="79"/>
      <c r="AQ82" s="155"/>
    </row>
    <row r="83" spans="1:47" x14ac:dyDescent="0.25">
      <c r="A83" s="202"/>
      <c r="C83" s="154"/>
      <c r="F83" s="252"/>
      <c r="H83" s="252"/>
      <c r="I83" s="252"/>
      <c r="J83" s="300"/>
      <c r="K83" s="300"/>
      <c r="L83" s="200"/>
      <c r="M83" s="200"/>
      <c r="N83" s="210"/>
      <c r="O83" s="210"/>
      <c r="P83" s="202"/>
      <c r="Q83" s="202"/>
      <c r="R83" s="200"/>
      <c r="T83" s="159">
        <v>10</v>
      </c>
      <c r="U83" s="80"/>
      <c r="V83" s="253" t="s">
        <v>93</v>
      </c>
      <c r="W83" s="80"/>
      <c r="X83" s="80"/>
      <c r="Y83" s="70"/>
      <c r="Z83" s="70"/>
      <c r="AA83" s="70"/>
      <c r="AB83" s="70"/>
      <c r="AC83" s="430"/>
      <c r="AD83" s="70"/>
      <c r="AE83" s="70"/>
      <c r="AF83" s="70"/>
      <c r="AG83" s="164"/>
      <c r="AH83" s="70"/>
      <c r="AI83" s="70"/>
      <c r="AJ83" s="70"/>
      <c r="AK83" s="164"/>
      <c r="AL83" s="70"/>
      <c r="AM83" s="70"/>
      <c r="AN83" s="70"/>
      <c r="AO83" s="79"/>
      <c r="AP83" s="79"/>
      <c r="AQ83" s="155"/>
    </row>
    <row r="84" spans="1:47" x14ac:dyDescent="0.25">
      <c r="A84" s="202"/>
      <c r="C84" s="154"/>
      <c r="F84" s="252"/>
      <c r="H84" s="252"/>
      <c r="I84" s="252"/>
      <c r="J84" s="300"/>
      <c r="K84" s="300"/>
      <c r="L84" s="200"/>
      <c r="M84" s="200"/>
      <c r="N84" s="210"/>
      <c r="O84" s="210"/>
      <c r="P84" s="202"/>
      <c r="Q84" s="202"/>
      <c r="R84" s="200"/>
      <c r="T84" s="80"/>
      <c r="U84" s="80"/>
      <c r="V84" s="80"/>
      <c r="W84" s="80"/>
      <c r="X84" s="80"/>
      <c r="Y84" s="70"/>
      <c r="Z84" s="70"/>
      <c r="AA84" s="70"/>
      <c r="AB84" s="70"/>
      <c r="AC84" s="430"/>
      <c r="AD84" s="70"/>
      <c r="AE84" s="70"/>
      <c r="AF84" s="70"/>
      <c r="AG84" s="164"/>
      <c r="AH84" s="70"/>
      <c r="AI84" s="70"/>
      <c r="AJ84" s="70"/>
      <c r="AK84" s="164"/>
      <c r="AL84" s="70"/>
      <c r="AM84" s="70"/>
      <c r="AN84" s="70"/>
      <c r="AO84" s="79"/>
      <c r="AP84" s="79"/>
      <c r="AQ84" s="155"/>
    </row>
    <row r="85" spans="1:47" x14ac:dyDescent="0.25">
      <c r="A85" s="202"/>
      <c r="C85" s="154"/>
      <c r="F85" s="252"/>
      <c r="H85" s="252"/>
      <c r="I85" s="252"/>
      <c r="J85" s="300"/>
      <c r="K85" s="300"/>
      <c r="L85" s="200"/>
      <c r="M85" s="200"/>
      <c r="N85" s="210"/>
      <c r="O85" s="210"/>
      <c r="P85" s="202"/>
      <c r="Q85" s="202"/>
      <c r="R85" s="200"/>
      <c r="T85" s="159">
        <v>11</v>
      </c>
      <c r="U85" s="80"/>
      <c r="V85" s="82" t="s">
        <v>89</v>
      </c>
      <c r="W85" s="80"/>
      <c r="X85" s="80"/>
      <c r="Y85" s="225">
        <f>F32</f>
        <v>0</v>
      </c>
      <c r="Z85" s="70"/>
      <c r="AA85" s="225">
        <f>H32</f>
        <v>0</v>
      </c>
      <c r="AB85" s="70"/>
      <c r="AC85" s="430">
        <v>2.1078E-2</v>
      </c>
      <c r="AD85" s="70"/>
      <c r="AE85" s="79">
        <v>0</v>
      </c>
      <c r="AF85" s="70"/>
      <c r="AG85" s="155">
        <f>ROUND((AE85/AE$102)*100,1)</f>
        <v>0</v>
      </c>
      <c r="AH85" s="70"/>
      <c r="AI85" s="79">
        <f>L32-AE85</f>
        <v>0</v>
      </c>
      <c r="AJ85" s="70"/>
      <c r="AK85" s="155">
        <v>0</v>
      </c>
      <c r="AL85" s="70"/>
      <c r="AM85" s="79">
        <f>ROUND($AM$102/$AA$102*AA85,0)</f>
        <v>0</v>
      </c>
      <c r="AN85" s="70"/>
      <c r="AO85" s="79">
        <f>AE85+AM85</f>
        <v>0</v>
      </c>
      <c r="AP85" s="79"/>
      <c r="AQ85" s="155">
        <v>0</v>
      </c>
      <c r="AU85" s="442"/>
    </row>
    <row r="86" spans="1:47" x14ac:dyDescent="0.25">
      <c r="A86" s="202"/>
      <c r="C86" s="154"/>
      <c r="F86" s="252"/>
      <c r="H86" s="252"/>
      <c r="I86" s="252"/>
      <c r="J86" s="300"/>
      <c r="K86" s="300"/>
      <c r="L86" s="200"/>
      <c r="M86" s="200"/>
      <c r="N86" s="210"/>
      <c r="O86" s="210"/>
      <c r="P86" s="202"/>
      <c r="Q86" s="202"/>
      <c r="R86" s="200"/>
      <c r="T86" s="159"/>
      <c r="U86" s="80"/>
      <c r="V86" s="82"/>
      <c r="W86" s="80"/>
      <c r="X86" s="80"/>
      <c r="Y86" s="79"/>
      <c r="Z86" s="70"/>
      <c r="AA86" s="70"/>
      <c r="AB86" s="70"/>
      <c r="AC86" s="430"/>
      <c r="AD86" s="70"/>
      <c r="AE86" s="70"/>
      <c r="AF86" s="70"/>
      <c r="AG86" s="164"/>
      <c r="AH86" s="70"/>
      <c r="AI86" s="70"/>
      <c r="AJ86" s="70"/>
      <c r="AK86" s="164"/>
      <c r="AL86" s="70"/>
      <c r="AM86" s="70"/>
      <c r="AN86" s="70"/>
      <c r="AO86" s="79"/>
      <c r="AP86" s="79"/>
      <c r="AQ86" s="155"/>
    </row>
    <row r="87" spans="1:47" x14ac:dyDescent="0.25">
      <c r="A87" s="202"/>
      <c r="C87" s="154"/>
      <c r="F87" s="252"/>
      <c r="H87" s="252"/>
      <c r="I87" s="252"/>
      <c r="J87" s="300"/>
      <c r="K87" s="300"/>
      <c r="L87" s="200"/>
      <c r="M87" s="200"/>
      <c r="N87" s="210"/>
      <c r="O87" s="210"/>
      <c r="P87" s="202"/>
      <c r="Q87" s="202"/>
      <c r="R87" s="200"/>
      <c r="T87" s="159">
        <v>12</v>
      </c>
      <c r="U87" s="80"/>
      <c r="V87" s="253" t="s">
        <v>90</v>
      </c>
      <c r="W87" s="80"/>
      <c r="X87" s="80"/>
      <c r="Y87" s="79"/>
      <c r="Z87" s="70"/>
      <c r="AA87" s="70"/>
      <c r="AB87" s="70"/>
      <c r="AC87" s="443"/>
      <c r="AD87" s="359"/>
      <c r="AE87" s="79"/>
      <c r="AF87" s="79"/>
      <c r="AG87" s="155"/>
      <c r="AH87" s="156"/>
      <c r="AI87" s="70"/>
      <c r="AJ87" s="70"/>
      <c r="AK87" s="164"/>
      <c r="AL87" s="70"/>
      <c r="AM87" s="70"/>
      <c r="AN87" s="70"/>
      <c r="AO87" s="79"/>
      <c r="AP87" s="79"/>
      <c r="AQ87" s="155"/>
    </row>
    <row r="88" spans="1:47" x14ac:dyDescent="0.25">
      <c r="A88" s="202"/>
      <c r="C88" s="154"/>
      <c r="F88" s="252"/>
      <c r="H88" s="252"/>
      <c r="I88" s="252"/>
      <c r="J88" s="300"/>
      <c r="K88" s="300"/>
      <c r="L88" s="200"/>
      <c r="M88" s="200"/>
      <c r="N88" s="210"/>
      <c r="O88" s="210"/>
      <c r="P88" s="202"/>
      <c r="Q88" s="202"/>
      <c r="R88" s="200"/>
      <c r="T88" s="159">
        <v>13</v>
      </c>
      <c r="U88" s="80"/>
      <c r="V88" s="253" t="s">
        <v>91</v>
      </c>
      <c r="W88" s="80"/>
      <c r="X88" s="80"/>
      <c r="Y88" s="79"/>
      <c r="Z88" s="70"/>
      <c r="AA88" s="79"/>
      <c r="AB88" s="79"/>
      <c r="AC88" s="443"/>
      <c r="AD88" s="359"/>
      <c r="AE88" s="79"/>
      <c r="AF88" s="79"/>
      <c r="AG88" s="155"/>
      <c r="AH88" s="156"/>
      <c r="AI88" s="70"/>
      <c r="AJ88" s="70"/>
      <c r="AK88" s="164"/>
      <c r="AL88" s="70"/>
      <c r="AM88" s="79"/>
      <c r="AN88" s="79"/>
      <c r="AO88" s="79"/>
      <c r="AP88" s="79"/>
      <c r="AQ88" s="155"/>
    </row>
    <row r="89" spans="1:47" x14ac:dyDescent="0.25">
      <c r="F89" s="211"/>
      <c r="H89" s="200"/>
      <c r="I89" s="200"/>
      <c r="J89" s="305"/>
      <c r="K89" s="305"/>
      <c r="L89" s="211"/>
      <c r="M89" s="211"/>
      <c r="N89" s="211"/>
      <c r="O89" s="211"/>
      <c r="P89" s="211"/>
      <c r="Q89" s="211"/>
      <c r="R89" s="211"/>
      <c r="T89" s="159">
        <v>14</v>
      </c>
      <c r="U89" s="80"/>
      <c r="V89" s="253" t="s">
        <v>92</v>
      </c>
      <c r="W89" s="80"/>
      <c r="X89" s="80"/>
      <c r="Y89" s="70"/>
      <c r="Z89" s="70"/>
      <c r="AA89" s="70"/>
      <c r="AB89" s="70"/>
      <c r="AC89" s="430"/>
      <c r="AD89" s="70"/>
      <c r="AE89" s="70"/>
      <c r="AF89" s="70"/>
      <c r="AG89" s="164"/>
      <c r="AH89" s="70"/>
      <c r="AI89" s="70"/>
      <c r="AJ89" s="70"/>
      <c r="AK89" s="164"/>
      <c r="AL89" s="70"/>
      <c r="AM89" s="70"/>
      <c r="AN89" s="70"/>
      <c r="AO89" s="70"/>
      <c r="AP89" s="70"/>
      <c r="AQ89" s="155"/>
    </row>
    <row r="90" spans="1:47" x14ac:dyDescent="0.25">
      <c r="A90" s="202"/>
      <c r="C90" s="154"/>
      <c r="F90" s="200"/>
      <c r="H90" s="200"/>
      <c r="I90" s="200"/>
      <c r="J90" s="305"/>
      <c r="K90" s="305"/>
      <c r="L90" s="200"/>
      <c r="M90" s="200"/>
      <c r="N90" s="210"/>
      <c r="O90" s="210"/>
      <c r="P90" s="200"/>
      <c r="Q90" s="200"/>
      <c r="R90" s="200"/>
      <c r="T90" s="159">
        <v>15</v>
      </c>
      <c r="U90" s="80"/>
      <c r="V90" s="253" t="s">
        <v>484</v>
      </c>
      <c r="W90" s="80"/>
      <c r="X90" s="80"/>
      <c r="Y90" s="70"/>
      <c r="Z90" s="70"/>
      <c r="AA90" s="70"/>
      <c r="AB90" s="70"/>
      <c r="AC90" s="430"/>
      <c r="AD90" s="70"/>
      <c r="AE90" s="70"/>
      <c r="AF90" s="70"/>
      <c r="AG90" s="164"/>
      <c r="AH90" s="70"/>
      <c r="AI90" s="70"/>
      <c r="AJ90" s="70"/>
      <c r="AK90" s="164"/>
      <c r="AL90" s="70"/>
      <c r="AM90" s="70"/>
      <c r="AN90" s="70"/>
      <c r="AO90" s="70"/>
      <c r="AP90" s="70"/>
      <c r="AQ90" s="155"/>
    </row>
    <row r="91" spans="1:47" x14ac:dyDescent="0.25">
      <c r="A91" s="202"/>
      <c r="C91" s="154"/>
      <c r="F91" s="252"/>
      <c r="H91" s="252"/>
      <c r="I91" s="252"/>
      <c r="J91" s="328"/>
      <c r="K91" s="328"/>
      <c r="L91" s="200"/>
      <c r="M91" s="200"/>
      <c r="N91" s="210"/>
      <c r="O91" s="210"/>
      <c r="P91" s="200"/>
      <c r="Q91" s="200"/>
      <c r="R91" s="200"/>
      <c r="S91" s="200"/>
      <c r="T91" s="80"/>
      <c r="U91" s="80"/>
      <c r="V91" s="80"/>
      <c r="W91" s="80"/>
      <c r="X91" s="80"/>
      <c r="Y91" s="70"/>
      <c r="Z91" s="70"/>
      <c r="AA91" s="70"/>
      <c r="AB91" s="70"/>
      <c r="AC91" s="430"/>
      <c r="AD91" s="70"/>
      <c r="AE91" s="70"/>
      <c r="AF91" s="70"/>
      <c r="AG91" s="164"/>
      <c r="AH91" s="70"/>
      <c r="AI91" s="70"/>
      <c r="AJ91" s="70"/>
      <c r="AK91" s="164"/>
      <c r="AL91" s="70"/>
      <c r="AM91" s="70"/>
      <c r="AN91" s="70"/>
      <c r="AO91" s="70"/>
      <c r="AP91" s="70"/>
      <c r="AQ91" s="155"/>
    </row>
    <row r="92" spans="1:47" x14ac:dyDescent="0.25">
      <c r="A92" s="202"/>
      <c r="C92" s="154"/>
      <c r="F92" s="252"/>
      <c r="H92" s="252"/>
      <c r="I92" s="252"/>
      <c r="J92" s="300"/>
      <c r="K92" s="300"/>
      <c r="L92" s="200"/>
      <c r="M92" s="200"/>
      <c r="N92" s="210"/>
      <c r="O92" s="210"/>
      <c r="P92" s="200"/>
      <c r="Q92" s="200"/>
      <c r="R92" s="200"/>
      <c r="T92" s="159">
        <v>16</v>
      </c>
      <c r="U92" s="80"/>
      <c r="V92" s="82" t="s">
        <v>89</v>
      </c>
      <c r="W92" s="80"/>
      <c r="X92" s="80"/>
      <c r="Y92" s="225">
        <f>F39</f>
        <v>18876</v>
      </c>
      <c r="Z92" s="70"/>
      <c r="AA92" s="225">
        <f>H39</f>
        <v>758083</v>
      </c>
      <c r="AB92" s="79"/>
      <c r="AC92" s="288">
        <v>5.9145000000000003E-2</v>
      </c>
      <c r="AD92" s="339"/>
      <c r="AE92" s="167">
        <f>ROUND((AA92*AC92),0)</f>
        <v>44837</v>
      </c>
      <c r="AF92" s="79"/>
      <c r="AG92" s="166">
        <f>ROUND((AE92/AE$102)*100,1)-0.1</f>
        <v>63.9</v>
      </c>
      <c r="AH92" s="156"/>
      <c r="AI92" s="167">
        <f>L39-AE92</f>
        <v>5328</v>
      </c>
      <c r="AJ92" s="79"/>
      <c r="AK92" s="166">
        <f>ROUND((AI92/AE92)*100,1)</f>
        <v>11.9</v>
      </c>
      <c r="AL92" s="158"/>
      <c r="AM92" s="167">
        <f>ROUND($AM$102/$AA$102*AA92,0)</f>
        <v>779</v>
      </c>
      <c r="AN92" s="79"/>
      <c r="AO92" s="167">
        <f>AE92+AM92</f>
        <v>45616</v>
      </c>
      <c r="AP92" s="79"/>
      <c r="AQ92" s="155">
        <f>ROUND((AI92/AO92)*100,1)</f>
        <v>11.7</v>
      </c>
      <c r="AU92" s="442"/>
    </row>
    <row r="93" spans="1:47" ht="20.100000000000001" customHeight="1" x14ac:dyDescent="0.25">
      <c r="A93" s="202"/>
      <c r="C93" s="154"/>
      <c r="F93" s="252"/>
      <c r="H93" s="252"/>
      <c r="I93" s="252"/>
      <c r="J93" s="300"/>
      <c r="K93" s="300"/>
      <c r="L93" s="200"/>
      <c r="M93" s="200"/>
      <c r="N93" s="210"/>
      <c r="O93" s="210"/>
      <c r="P93" s="200"/>
      <c r="Q93" s="200"/>
      <c r="R93" s="200"/>
      <c r="T93" s="159">
        <v>17</v>
      </c>
      <c r="U93" s="80"/>
      <c r="V93" s="265" t="s">
        <v>586</v>
      </c>
      <c r="W93" s="80"/>
      <c r="X93" s="80"/>
      <c r="Y93" s="126">
        <f>Y92+Y85+Y77</f>
        <v>94895</v>
      </c>
      <c r="Z93" s="70"/>
      <c r="AA93" s="126">
        <f>AA92+AA85+AA77</f>
        <v>1438465</v>
      </c>
      <c r="AB93" s="79"/>
      <c r="AC93" s="288"/>
      <c r="AD93" s="339"/>
      <c r="AE93" s="126">
        <f>AE92+AE85+AE77</f>
        <v>70736</v>
      </c>
      <c r="AF93" s="79"/>
      <c r="AG93" s="170">
        <f>ROUND((AE93/AE$102)*100,1)</f>
        <v>100.9</v>
      </c>
      <c r="AH93" s="156"/>
      <c r="AI93" s="126">
        <f>AI92+AI85+AI77</f>
        <v>8406</v>
      </c>
      <c r="AJ93" s="79"/>
      <c r="AK93" s="170">
        <f>ROUND((AI93/AE93)*100,1)</f>
        <v>11.9</v>
      </c>
      <c r="AL93" s="158"/>
      <c r="AM93" s="126">
        <f>AM92+AM85+AM77</f>
        <v>1479</v>
      </c>
      <c r="AN93" s="79"/>
      <c r="AO93" s="126">
        <f>AO92+AO85+AO77</f>
        <v>72215</v>
      </c>
      <c r="AP93" s="79"/>
      <c r="AQ93" s="155">
        <f>ROUND((AI93/AO93)*100,1)</f>
        <v>11.6</v>
      </c>
      <c r="AU93" s="442"/>
    </row>
    <row r="94" spans="1:47" x14ac:dyDescent="0.25">
      <c r="A94" s="202"/>
      <c r="C94" s="154"/>
      <c r="F94" s="252"/>
      <c r="H94" s="252"/>
      <c r="I94" s="252"/>
      <c r="J94" s="300"/>
      <c r="K94" s="300"/>
      <c r="L94" s="200"/>
      <c r="M94" s="200"/>
      <c r="N94" s="210"/>
      <c r="O94" s="210"/>
      <c r="P94" s="200"/>
      <c r="Q94" s="200"/>
      <c r="R94" s="200"/>
      <c r="T94" s="159"/>
      <c r="U94" s="80"/>
      <c r="V94" s="265"/>
      <c r="W94" s="80"/>
      <c r="X94" s="80"/>
      <c r="Y94" s="225"/>
      <c r="Z94" s="70"/>
      <c r="AA94" s="225"/>
      <c r="AB94" s="79"/>
      <c r="AC94" s="288"/>
      <c r="AD94" s="339"/>
      <c r="AE94" s="79"/>
      <c r="AF94" s="79"/>
      <c r="AG94" s="155"/>
      <c r="AH94" s="156"/>
      <c r="AI94" s="79"/>
      <c r="AJ94" s="79"/>
      <c r="AK94" s="197"/>
      <c r="AL94" s="158"/>
      <c r="AM94" s="163"/>
      <c r="AN94" s="79"/>
      <c r="AO94" s="79"/>
      <c r="AP94" s="79"/>
      <c r="AQ94" s="155"/>
      <c r="AU94" s="442"/>
    </row>
    <row r="95" spans="1:47" ht="18" customHeight="1" x14ac:dyDescent="0.25">
      <c r="A95" s="202"/>
      <c r="C95" s="154"/>
      <c r="F95" s="252"/>
      <c r="H95" s="252"/>
      <c r="I95" s="252"/>
      <c r="J95" s="300"/>
      <c r="K95" s="300"/>
      <c r="L95" s="200"/>
      <c r="M95" s="200"/>
      <c r="N95" s="210"/>
      <c r="O95" s="210"/>
      <c r="P95" s="200"/>
      <c r="Q95" s="200"/>
      <c r="R95" s="200"/>
      <c r="T95" s="159">
        <f>A42</f>
        <v>18</v>
      </c>
      <c r="U95" s="80"/>
      <c r="V95" s="253" t="s">
        <v>605</v>
      </c>
      <c r="W95" s="80"/>
      <c r="X95" s="80"/>
      <c r="Y95" s="163"/>
      <c r="Z95" s="70"/>
      <c r="AA95" s="163"/>
      <c r="AB95" s="79"/>
      <c r="AC95" s="288"/>
      <c r="AD95" s="339"/>
      <c r="AE95" s="79"/>
      <c r="AF95" s="79"/>
      <c r="AG95" s="155"/>
      <c r="AH95" s="156"/>
      <c r="AI95" s="79"/>
      <c r="AJ95" s="79"/>
      <c r="AK95" s="197"/>
      <c r="AL95" s="158"/>
      <c r="AM95" s="163"/>
      <c r="AN95" s="79"/>
      <c r="AO95" s="79"/>
      <c r="AP95" s="79"/>
      <c r="AQ95" s="155"/>
      <c r="AU95" s="442"/>
    </row>
    <row r="96" spans="1:47" ht="18" customHeight="1" x14ac:dyDescent="0.25">
      <c r="A96" s="202"/>
      <c r="C96" s="154"/>
      <c r="F96" s="252"/>
      <c r="H96" s="252"/>
      <c r="I96" s="252"/>
      <c r="J96" s="300"/>
      <c r="K96" s="300"/>
      <c r="L96" s="200"/>
      <c r="M96" s="200"/>
      <c r="N96" s="210"/>
      <c r="O96" s="210"/>
      <c r="P96" s="200"/>
      <c r="Q96" s="200"/>
      <c r="R96" s="200"/>
      <c r="T96" s="159">
        <f t="shared" ref="T96:T100" si="3">A43</f>
        <v>19</v>
      </c>
      <c r="U96" s="80"/>
      <c r="V96" s="153" t="str">
        <f t="shared" ref="V96:V98" si="4">C43</f>
        <v>ENVIRONMENTAL SURCHARGE MECHANISM RIDER (ESM)</v>
      </c>
      <c r="W96" s="80"/>
      <c r="X96" s="80"/>
      <c r="Y96" s="163"/>
      <c r="Z96" s="70"/>
      <c r="AA96" s="163"/>
      <c r="AB96" s="79"/>
      <c r="AC96" s="401">
        <f>CUR_ESM</f>
        <v>0</v>
      </c>
      <c r="AD96" s="339"/>
      <c r="AE96" s="79">
        <f>ROUND($AO$93*AC96,0)</f>
        <v>0</v>
      </c>
      <c r="AF96" s="79"/>
      <c r="AG96" s="155">
        <f t="shared" ref="AG96:AG98" si="5">ROUND((AE96/AE$102)*100,1)</f>
        <v>0</v>
      </c>
      <c r="AH96" s="156"/>
      <c r="AI96" s="79">
        <f t="shared" ref="AI96:AI98" si="6">L43-AE96</f>
        <v>0</v>
      </c>
      <c r="AJ96" s="79"/>
      <c r="AK96" s="197">
        <f>IF(AE96=0,0,ROUND((AI96/AE96)*100,1))</f>
        <v>0</v>
      </c>
      <c r="AL96" s="158"/>
      <c r="AM96" s="163"/>
      <c r="AN96" s="79"/>
      <c r="AO96" s="79">
        <f t="shared" ref="AO96:AO98" si="7">AE96+AM96</f>
        <v>0</v>
      </c>
      <c r="AP96" s="79"/>
      <c r="AQ96" s="155">
        <f>IF(AO96=0,0,ROUND((AI96/AO96)*100,1))</f>
        <v>0</v>
      </c>
      <c r="AU96" s="442"/>
    </row>
    <row r="97" spans="1:47" ht="18" customHeight="1" x14ac:dyDescent="0.25">
      <c r="A97" s="202"/>
      <c r="C97" s="154"/>
      <c r="F97" s="252"/>
      <c r="H97" s="252"/>
      <c r="I97" s="252"/>
      <c r="J97" s="300"/>
      <c r="K97" s="300"/>
      <c r="L97" s="200"/>
      <c r="M97" s="200"/>
      <c r="N97" s="210"/>
      <c r="O97" s="210"/>
      <c r="P97" s="200"/>
      <c r="Q97" s="200"/>
      <c r="R97" s="200"/>
      <c r="T97" s="159">
        <f t="shared" si="3"/>
        <v>20</v>
      </c>
      <c r="U97" s="80"/>
      <c r="V97" s="153" t="str">
        <f t="shared" si="4"/>
        <v>DISTRIBUTION CAPITAL INVESTMENT RIDER (DCI)</v>
      </c>
      <c r="W97" s="80"/>
      <c r="X97" s="80"/>
      <c r="Y97" s="163"/>
      <c r="Z97" s="70"/>
      <c r="AA97" s="163"/>
      <c r="AB97" s="79"/>
      <c r="AC97" s="401">
        <f>CUR_DCI_SL</f>
        <v>0</v>
      </c>
      <c r="AD97" s="339"/>
      <c r="AE97" s="79">
        <f>ROUND($AA$93*AC97,0)</f>
        <v>0</v>
      </c>
      <c r="AF97" s="79"/>
      <c r="AG97" s="155">
        <f t="shared" si="5"/>
        <v>0</v>
      </c>
      <c r="AH97" s="156"/>
      <c r="AI97" s="79">
        <f t="shared" si="6"/>
        <v>0</v>
      </c>
      <c r="AJ97" s="79"/>
      <c r="AK97" s="197">
        <f t="shared" ref="AK97:AK98" si="8">IF(AE97=0,0,ROUND((AI97/AE97)*100,1))</f>
        <v>0</v>
      </c>
      <c r="AL97" s="158"/>
      <c r="AM97" s="163"/>
      <c r="AN97" s="79"/>
      <c r="AO97" s="79">
        <f t="shared" si="7"/>
        <v>0</v>
      </c>
      <c r="AP97" s="79"/>
      <c r="AQ97" s="155">
        <f t="shared" ref="AQ97:AQ98" si="9">IF(AO97=0,0,ROUND((AI97/AO97)*100,1))</f>
        <v>0</v>
      </c>
      <c r="AU97" s="442"/>
    </row>
    <row r="98" spans="1:47" ht="18" customHeight="1" x14ac:dyDescent="0.25">
      <c r="A98" s="202"/>
      <c r="C98" s="154"/>
      <c r="F98" s="252"/>
      <c r="H98" s="252"/>
      <c r="I98" s="252"/>
      <c r="J98" s="300"/>
      <c r="K98" s="300"/>
      <c r="L98" s="200"/>
      <c r="M98" s="200"/>
      <c r="N98" s="210"/>
      <c r="O98" s="210"/>
      <c r="P98" s="200"/>
      <c r="Q98" s="200"/>
      <c r="R98" s="200"/>
      <c r="T98" s="159">
        <f t="shared" si="3"/>
        <v>21</v>
      </c>
      <c r="U98" s="80"/>
      <c r="V98" s="153" t="str">
        <f t="shared" si="4"/>
        <v>FERC TRANSMISSION COST RECOVERY RECONCILIATION (FTR)</v>
      </c>
      <c r="W98" s="80"/>
      <c r="X98" s="80"/>
      <c r="Y98" s="163"/>
      <c r="Z98" s="70"/>
      <c r="AA98" s="163"/>
      <c r="AB98" s="79"/>
      <c r="AC98" s="401">
        <f>CUR_FTR_SL</f>
        <v>0</v>
      </c>
      <c r="AD98" s="339"/>
      <c r="AE98" s="79">
        <f t="shared" ref="AE98" si="10">ROUND($AA$93*AC98,0)</f>
        <v>0</v>
      </c>
      <c r="AF98" s="79"/>
      <c r="AG98" s="155">
        <f t="shared" si="5"/>
        <v>0</v>
      </c>
      <c r="AH98" s="156"/>
      <c r="AI98" s="79">
        <f t="shared" si="6"/>
        <v>0</v>
      </c>
      <c r="AJ98" s="79"/>
      <c r="AK98" s="197">
        <f t="shared" si="8"/>
        <v>0</v>
      </c>
      <c r="AL98" s="158"/>
      <c r="AM98" s="163"/>
      <c r="AN98" s="79"/>
      <c r="AO98" s="79">
        <f t="shared" si="7"/>
        <v>0</v>
      </c>
      <c r="AP98" s="79"/>
      <c r="AQ98" s="155">
        <f t="shared" si="9"/>
        <v>0</v>
      </c>
      <c r="AU98" s="442"/>
    </row>
    <row r="99" spans="1:47" x14ac:dyDescent="0.25">
      <c r="A99" s="202"/>
      <c r="C99" s="154"/>
      <c r="F99" s="252"/>
      <c r="H99" s="252"/>
      <c r="I99" s="252"/>
      <c r="J99" s="300"/>
      <c r="K99" s="300"/>
      <c r="L99" s="200"/>
      <c r="M99" s="200"/>
      <c r="N99" s="210"/>
      <c r="O99" s="210"/>
      <c r="P99" s="200"/>
      <c r="Q99" s="200"/>
      <c r="R99" s="200"/>
      <c r="T99" s="159">
        <f t="shared" si="3"/>
        <v>22</v>
      </c>
      <c r="U99" s="80"/>
      <c r="V99" s="153" t="str">
        <f>C46</f>
        <v>PROFIT SHARING MECHANISM (PSM)</v>
      </c>
      <c r="W99" s="80"/>
      <c r="X99" s="80"/>
      <c r="Y99" s="163"/>
      <c r="Z99" s="70"/>
      <c r="AA99" s="163"/>
      <c r="AB99" s="79"/>
      <c r="AC99" s="288">
        <f>RS_PSM</f>
        <v>-4.5600000000000003E-4</v>
      </c>
      <c r="AD99" s="339"/>
      <c r="AE99" s="167">
        <f>ROUND($AA$93*AC99,0)</f>
        <v>-656</v>
      </c>
      <c r="AF99" s="79"/>
      <c r="AG99" s="166">
        <f t="shared" ref="AG99" si="11">ROUND((AE99/AE$102)*100,1)</f>
        <v>-0.9</v>
      </c>
      <c r="AH99" s="156"/>
      <c r="AI99" s="167">
        <f>L46-AE99</f>
        <v>0</v>
      </c>
      <c r="AJ99" s="79"/>
      <c r="AK99" s="166">
        <f t="shared" ref="AK99" si="12">ROUND((AI99/AE99)*100,1)</f>
        <v>0</v>
      </c>
      <c r="AL99" s="158"/>
      <c r="AM99" s="167"/>
      <c r="AN99" s="79"/>
      <c r="AO99" s="167">
        <f t="shared" ref="AO99" si="13">AE99+AM99</f>
        <v>-656</v>
      </c>
      <c r="AP99" s="79"/>
      <c r="AQ99" s="155">
        <f t="shared" ref="AQ99" si="14">ROUND((AI99/AO99)*100,1)</f>
        <v>0</v>
      </c>
      <c r="AU99" s="442"/>
    </row>
    <row r="100" spans="1:47" ht="20.100000000000001" customHeight="1" x14ac:dyDescent="0.25">
      <c r="A100" s="202"/>
      <c r="C100" s="154"/>
      <c r="F100" s="252"/>
      <c r="H100" s="252"/>
      <c r="I100" s="252"/>
      <c r="J100" s="300"/>
      <c r="K100" s="300"/>
      <c r="L100" s="200"/>
      <c r="M100" s="200"/>
      <c r="N100" s="210"/>
      <c r="O100" s="210"/>
      <c r="P100" s="200"/>
      <c r="Q100" s="200"/>
      <c r="R100" s="200"/>
      <c r="T100" s="159">
        <f t="shared" si="3"/>
        <v>23</v>
      </c>
      <c r="U100" s="80"/>
      <c r="V100" s="253" t="s">
        <v>585</v>
      </c>
      <c r="W100" s="80"/>
      <c r="X100" s="80"/>
      <c r="Y100" s="167"/>
      <c r="Z100" s="70"/>
      <c r="AA100" s="167"/>
      <c r="AB100" s="79"/>
      <c r="AC100" s="290"/>
      <c r="AD100" s="339"/>
      <c r="AE100" s="167">
        <f>SUM(AE96:AE99)</f>
        <v>-656</v>
      </c>
      <c r="AF100" s="79"/>
      <c r="AG100" s="170">
        <f>ROUND((AE100/AE$102)*100,1)</f>
        <v>-0.9</v>
      </c>
      <c r="AH100" s="156"/>
      <c r="AI100" s="167">
        <f>SUM(AI96:AI99)</f>
        <v>0</v>
      </c>
      <c r="AJ100" s="79"/>
      <c r="AK100" s="170">
        <f>ROUND((AI100/AE100)*100,1)</f>
        <v>0</v>
      </c>
      <c r="AL100" s="158"/>
      <c r="AM100" s="167"/>
      <c r="AN100" s="79"/>
      <c r="AO100" s="167">
        <f>SUM(AO96:AO99)</f>
        <v>-656</v>
      </c>
      <c r="AP100" s="79"/>
      <c r="AQ100" s="155">
        <f>ROUND((AI100/AO100)*100,1)</f>
        <v>0</v>
      </c>
      <c r="AU100" s="442"/>
    </row>
    <row r="101" spans="1:47" x14ac:dyDescent="0.25">
      <c r="A101" s="202"/>
      <c r="C101" s="154"/>
      <c r="F101" s="252"/>
      <c r="H101" s="252"/>
      <c r="I101" s="252"/>
      <c r="J101" s="300"/>
      <c r="K101" s="300"/>
      <c r="L101" s="200"/>
      <c r="M101" s="200"/>
      <c r="N101" s="210"/>
      <c r="O101" s="210"/>
      <c r="P101" s="200"/>
      <c r="Q101" s="200"/>
      <c r="R101" s="200"/>
      <c r="T101" s="159"/>
      <c r="U101" s="80"/>
      <c r="V101" s="82"/>
      <c r="W101" s="80"/>
      <c r="X101" s="80"/>
      <c r="Y101" s="79"/>
      <c r="Z101" s="70"/>
      <c r="AA101" s="79"/>
      <c r="AB101" s="79"/>
      <c r="AC101" s="290"/>
      <c r="AD101" s="339"/>
      <c r="AE101" s="79"/>
      <c r="AF101" s="79"/>
      <c r="AG101" s="155"/>
      <c r="AH101" s="156"/>
      <c r="AI101" s="79"/>
      <c r="AJ101" s="79"/>
      <c r="AK101" s="197"/>
      <c r="AL101" s="158"/>
      <c r="AM101" s="163"/>
      <c r="AN101" s="79"/>
      <c r="AO101" s="79"/>
      <c r="AP101" s="79"/>
      <c r="AQ101" s="155"/>
      <c r="AU101" s="442"/>
    </row>
    <row r="102" spans="1:47" ht="20.100000000000001" customHeight="1" thickBot="1" x14ac:dyDescent="0.3">
      <c r="A102" s="202"/>
      <c r="C102" s="154"/>
      <c r="F102" s="200"/>
      <c r="H102" s="200"/>
      <c r="I102" s="200"/>
      <c r="J102" s="305"/>
      <c r="K102" s="305"/>
      <c r="L102" s="200"/>
      <c r="M102" s="200"/>
      <c r="N102" s="200"/>
      <c r="O102" s="200"/>
      <c r="P102" s="200"/>
      <c r="Q102" s="200"/>
      <c r="R102" s="200"/>
      <c r="T102" s="159">
        <f>A49</f>
        <v>24</v>
      </c>
      <c r="U102" s="80"/>
      <c r="V102" s="253" t="s">
        <v>587</v>
      </c>
      <c r="W102" s="80"/>
      <c r="X102" s="80"/>
      <c r="Y102" s="275">
        <f>Y93</f>
        <v>94895</v>
      </c>
      <c r="Z102" s="85"/>
      <c r="AA102" s="275">
        <f>AA93</f>
        <v>1438465</v>
      </c>
      <c r="AB102" s="163"/>
      <c r="AC102" s="411"/>
      <c r="AD102" s="85"/>
      <c r="AE102" s="275">
        <f>AE100+AE93</f>
        <v>70080</v>
      </c>
      <c r="AF102" s="163"/>
      <c r="AG102" s="291">
        <v>100</v>
      </c>
      <c r="AH102" s="198"/>
      <c r="AI102" s="275">
        <f>AI100+AI93</f>
        <v>8406</v>
      </c>
      <c r="AJ102" s="163"/>
      <c r="AK102" s="291">
        <f>ROUND((AI102/AE102)*100,1)</f>
        <v>12</v>
      </c>
      <c r="AL102" s="199"/>
      <c r="AM102" s="444">
        <f>ROUND(AA102*CUR_FAC,0)</f>
        <v>1479</v>
      </c>
      <c r="AN102" s="230"/>
      <c r="AO102" s="275">
        <f>AO100+AO93</f>
        <v>71559</v>
      </c>
      <c r="AP102" s="79"/>
      <c r="AQ102" s="155">
        <f>ROUND((AI102/AO102)*100,1)</f>
        <v>11.7</v>
      </c>
    </row>
    <row r="103" spans="1:47" ht="16.5" thickTop="1" x14ac:dyDescent="0.25">
      <c r="A103" s="202"/>
      <c r="C103" s="154"/>
      <c r="F103" s="200"/>
      <c r="H103" s="200"/>
      <c r="I103" s="200"/>
      <c r="J103" s="305"/>
      <c r="K103" s="305"/>
      <c r="L103" s="200"/>
      <c r="M103" s="200"/>
      <c r="N103" s="200"/>
      <c r="O103" s="200"/>
      <c r="P103" s="200"/>
      <c r="Q103" s="200"/>
      <c r="R103" s="200"/>
      <c r="T103" s="159"/>
      <c r="U103" s="80"/>
      <c r="V103" s="82"/>
      <c r="W103" s="80"/>
      <c r="X103" s="80"/>
      <c r="Y103" s="163"/>
      <c r="Z103" s="70"/>
      <c r="AA103" s="163"/>
      <c r="AB103" s="79"/>
      <c r="AC103" s="278"/>
      <c r="AD103" s="70"/>
      <c r="AE103" s="163"/>
      <c r="AF103" s="79"/>
      <c r="AG103" s="197"/>
      <c r="AH103" s="156"/>
      <c r="AI103" s="163"/>
      <c r="AJ103" s="79"/>
      <c r="AK103" s="197"/>
      <c r="AL103" s="158"/>
      <c r="AM103" s="230"/>
      <c r="AN103" s="78"/>
      <c r="AO103" s="163"/>
      <c r="AP103" s="79"/>
      <c r="AQ103" s="155"/>
    </row>
    <row r="104" spans="1:47" x14ac:dyDescent="0.25">
      <c r="F104" s="200"/>
      <c r="H104" s="200"/>
      <c r="I104" s="200"/>
      <c r="J104" s="305"/>
      <c r="K104" s="305"/>
      <c r="L104" s="211"/>
      <c r="M104" s="211"/>
      <c r="N104" s="211"/>
      <c r="O104" s="211"/>
      <c r="P104" s="211"/>
      <c r="Q104" s="211"/>
      <c r="R104" s="211"/>
      <c r="T104" s="80"/>
      <c r="U104" s="80"/>
      <c r="V104" s="173" t="s">
        <v>80</v>
      </c>
      <c r="W104" s="80"/>
      <c r="X104" s="80"/>
      <c r="Y104" s="80"/>
      <c r="Z104" s="80"/>
      <c r="AA104" s="80"/>
      <c r="AB104" s="80"/>
      <c r="AC104" s="182"/>
      <c r="AD104" s="80"/>
      <c r="AE104" s="80"/>
      <c r="AF104" s="80"/>
      <c r="AG104" s="188"/>
      <c r="AH104" s="80"/>
      <c r="AI104" s="80"/>
      <c r="AJ104" s="80"/>
      <c r="AK104" s="188"/>
      <c r="AL104" s="80"/>
      <c r="AM104" s="80"/>
      <c r="AN104" s="80"/>
      <c r="AO104" s="80"/>
      <c r="AP104" s="80"/>
      <c r="AQ104" s="188"/>
    </row>
    <row r="105" spans="1:47" x14ac:dyDescent="0.25">
      <c r="F105" s="200"/>
      <c r="H105" s="200"/>
      <c r="I105" s="200"/>
      <c r="J105" s="305"/>
      <c r="K105" s="305"/>
      <c r="L105" s="211"/>
      <c r="M105" s="211"/>
      <c r="N105" s="211"/>
      <c r="O105" s="211"/>
      <c r="P105" s="211"/>
      <c r="Q105" s="211"/>
      <c r="R105" s="211"/>
      <c r="T105" s="80"/>
      <c r="U105" s="80"/>
      <c r="V105" s="173" t="str">
        <f>"(2) REFLECTS FUEL COMPONENT OF "&amp;TEXT(CUR_FAC,"$0.000000;($0.000000)")&amp;" PER KWH."</f>
        <v>(2) REFLECTS FUEL COMPONENT OF $0.001028 PER KWH.</v>
      </c>
      <c r="W105" s="80"/>
      <c r="X105" s="80"/>
      <c r="Y105" s="80"/>
      <c r="Z105" s="80"/>
      <c r="AA105" s="80"/>
      <c r="AB105" s="80"/>
      <c r="AC105" s="182"/>
      <c r="AD105" s="80"/>
      <c r="AE105" s="80"/>
      <c r="AF105" s="80"/>
      <c r="AG105" s="188"/>
      <c r="AH105" s="80"/>
      <c r="AI105" s="80"/>
      <c r="AJ105" s="80"/>
      <c r="AK105" s="188"/>
      <c r="AL105" s="80"/>
      <c r="AM105" s="80"/>
      <c r="AN105" s="80"/>
      <c r="AO105" s="80"/>
      <c r="AP105" s="80"/>
      <c r="AQ105" s="188"/>
    </row>
    <row r="106" spans="1:47" x14ac:dyDescent="0.25">
      <c r="A106" s="202"/>
      <c r="C106" s="154"/>
      <c r="F106" s="200"/>
      <c r="H106" s="200"/>
      <c r="I106" s="200"/>
      <c r="J106" s="213"/>
      <c r="K106" s="213"/>
      <c r="L106" s="200"/>
      <c r="M106" s="200"/>
      <c r="N106" s="210"/>
      <c r="O106" s="210"/>
      <c r="P106" s="200"/>
      <c r="Q106" s="200"/>
      <c r="R106" s="200"/>
      <c r="T106" s="80"/>
      <c r="U106" s="80"/>
      <c r="V106" s="173" t="str">
        <f>"(3) REFLECTS FUEL COST RECOVERY INCLUDED IN BASE RATES OF "&amp;TEXT(CUR_BASE_FUEL,"$0.000000;($0.000000)")&amp;"  PER KWH."</f>
        <v>(3) REFLECTS FUEL COST RECOVERY INCLUDED IN BASE RATES OF $0.023837  PER KWH.</v>
      </c>
      <c r="W106" s="80"/>
      <c r="X106" s="80"/>
      <c r="Y106" s="189"/>
      <c r="Z106" s="80"/>
      <c r="AA106" s="189"/>
      <c r="AB106" s="189"/>
      <c r="AC106" s="399"/>
      <c r="AD106" s="310"/>
      <c r="AE106" s="189"/>
      <c r="AF106" s="189"/>
      <c r="AG106" s="296"/>
      <c r="AH106" s="189"/>
      <c r="AI106" s="189"/>
      <c r="AJ106" s="189"/>
      <c r="AK106" s="296"/>
      <c r="AL106" s="189"/>
      <c r="AM106" s="189"/>
      <c r="AN106" s="189"/>
      <c r="AO106" s="189"/>
      <c r="AP106" s="189"/>
      <c r="AQ106" s="188"/>
    </row>
    <row r="107" spans="1:47" x14ac:dyDescent="0.25">
      <c r="A107" s="202"/>
      <c r="C107" s="154"/>
      <c r="F107" s="200"/>
      <c r="H107" s="200"/>
      <c r="I107" s="200"/>
      <c r="J107" s="213"/>
      <c r="K107" s="213"/>
      <c r="L107" s="200"/>
      <c r="M107" s="200"/>
      <c r="N107" s="210"/>
      <c r="O107" s="210"/>
      <c r="P107" s="200"/>
      <c r="Q107" s="200"/>
      <c r="R107" s="200"/>
      <c r="T107" s="82"/>
      <c r="U107" s="80"/>
      <c r="V107" s="80"/>
      <c r="W107" s="80"/>
      <c r="X107" s="80"/>
      <c r="Y107" s="80"/>
      <c r="Z107" s="80"/>
      <c r="AA107" s="80"/>
      <c r="AB107" s="80"/>
      <c r="AC107" s="182"/>
      <c r="AD107" s="80"/>
      <c r="AE107" s="80"/>
      <c r="AF107" s="80"/>
      <c r="AG107" s="188"/>
      <c r="AH107" s="80"/>
      <c r="AI107" s="80"/>
      <c r="AJ107" s="80"/>
      <c r="AK107" s="188"/>
      <c r="AL107" s="80"/>
      <c r="AM107" s="80"/>
      <c r="AN107" s="80"/>
      <c r="AO107" s="80"/>
      <c r="AP107" s="80"/>
      <c r="AQ107" s="188"/>
    </row>
    <row r="108" spans="1:47" x14ac:dyDescent="0.25">
      <c r="A108" s="202"/>
      <c r="C108" s="154"/>
      <c r="F108" s="200"/>
      <c r="H108" s="252"/>
      <c r="I108" s="252"/>
      <c r="J108" s="320"/>
      <c r="K108" s="320"/>
      <c r="L108" s="200"/>
      <c r="M108" s="200"/>
      <c r="N108" s="210"/>
      <c r="O108" s="210"/>
      <c r="P108" s="200"/>
      <c r="Q108" s="200"/>
      <c r="R108" s="200"/>
      <c r="AC108" s="394"/>
    </row>
    <row r="109" spans="1:47" x14ac:dyDescent="0.25">
      <c r="F109" s="211"/>
      <c r="H109" s="211"/>
      <c r="I109" s="211"/>
      <c r="J109" s="305"/>
      <c r="K109" s="305"/>
      <c r="L109" s="211"/>
      <c r="M109" s="211"/>
      <c r="N109" s="211"/>
      <c r="O109" s="211"/>
      <c r="P109" s="211"/>
      <c r="Q109" s="211"/>
      <c r="R109" s="211"/>
      <c r="T109" s="202"/>
      <c r="V109" s="154"/>
      <c r="Y109" s="200"/>
      <c r="AA109" s="252"/>
      <c r="AB109" s="252"/>
      <c r="AC109" s="329"/>
      <c r="AD109" s="300"/>
      <c r="AE109" s="200"/>
      <c r="AF109" s="200"/>
      <c r="AG109" s="209"/>
      <c r="AH109" s="210"/>
      <c r="AI109" s="200"/>
      <c r="AJ109" s="200"/>
      <c r="AK109" s="209"/>
      <c r="AL109" s="201"/>
      <c r="AM109" s="202"/>
      <c r="AN109" s="202"/>
      <c r="AO109" s="200"/>
      <c r="AP109" s="200"/>
      <c r="AQ109" s="209"/>
    </row>
    <row r="110" spans="1:47" x14ac:dyDescent="0.25">
      <c r="F110" s="211"/>
      <c r="H110" s="211"/>
      <c r="I110" s="211"/>
      <c r="J110" s="305"/>
      <c r="K110" s="305"/>
      <c r="L110" s="211"/>
      <c r="M110" s="211"/>
      <c r="N110" s="211"/>
      <c r="O110" s="211"/>
      <c r="P110" s="211"/>
      <c r="Q110" s="211"/>
      <c r="R110" s="211"/>
      <c r="S110" s="200"/>
      <c r="T110" s="202"/>
      <c r="V110" s="154"/>
      <c r="Y110" s="252"/>
      <c r="AA110" s="252"/>
      <c r="AB110" s="252"/>
      <c r="AC110" s="329"/>
      <c r="AD110" s="328"/>
      <c r="AE110" s="200"/>
      <c r="AF110" s="200"/>
      <c r="AG110" s="209"/>
      <c r="AH110" s="210"/>
      <c r="AI110" s="200"/>
      <c r="AJ110" s="200"/>
      <c r="AK110" s="209"/>
      <c r="AL110" s="210"/>
      <c r="AM110" s="200"/>
      <c r="AN110" s="200"/>
      <c r="AO110" s="200"/>
      <c r="AP110" s="200"/>
      <c r="AQ110" s="209"/>
    </row>
    <row r="111" spans="1:47" x14ac:dyDescent="0.25">
      <c r="A111" s="202"/>
      <c r="C111" s="154"/>
      <c r="F111" s="252"/>
      <c r="H111" s="330"/>
      <c r="I111" s="330"/>
      <c r="J111" s="305"/>
      <c r="K111" s="305"/>
      <c r="L111" s="200"/>
      <c r="M111" s="200"/>
      <c r="N111" s="210"/>
      <c r="O111" s="210"/>
      <c r="P111" s="200"/>
      <c r="Q111" s="200"/>
      <c r="R111" s="200"/>
      <c r="S111" s="200"/>
      <c r="T111" s="202"/>
      <c r="V111" s="154"/>
      <c r="Y111" s="252"/>
      <c r="AA111" s="200"/>
      <c r="AB111" s="200"/>
      <c r="AC111" s="300"/>
      <c r="AD111" s="300"/>
      <c r="AE111" s="200"/>
      <c r="AF111" s="200"/>
      <c r="AG111" s="209"/>
      <c r="AH111" s="210"/>
      <c r="AI111" s="200"/>
      <c r="AJ111" s="200"/>
      <c r="AK111" s="209"/>
      <c r="AL111" s="201"/>
      <c r="AM111" s="200"/>
      <c r="AN111" s="200"/>
      <c r="AO111" s="200"/>
      <c r="AP111" s="200"/>
      <c r="AQ111" s="209"/>
    </row>
    <row r="112" spans="1:47" x14ac:dyDescent="0.25">
      <c r="T112" s="202"/>
      <c r="V112" s="154"/>
      <c r="Y112" s="252"/>
      <c r="AA112" s="200"/>
      <c r="AB112" s="200"/>
      <c r="AC112" s="300"/>
      <c r="AD112" s="300"/>
      <c r="AE112" s="200"/>
      <c r="AF112" s="200"/>
      <c r="AG112" s="209"/>
      <c r="AH112" s="210"/>
      <c r="AI112" s="200"/>
      <c r="AJ112" s="200"/>
      <c r="AK112" s="209"/>
      <c r="AL112" s="201"/>
      <c r="AM112" s="200"/>
      <c r="AN112" s="200"/>
      <c r="AO112" s="200"/>
      <c r="AP112" s="200"/>
      <c r="AQ112" s="209"/>
    </row>
    <row r="113" spans="1:43" x14ac:dyDescent="0.25">
      <c r="A113" s="202"/>
      <c r="C113" s="154"/>
      <c r="F113" s="252"/>
      <c r="H113" s="252"/>
      <c r="I113" s="252"/>
      <c r="J113" s="300"/>
      <c r="K113" s="300"/>
      <c r="L113" s="200"/>
      <c r="M113" s="200"/>
      <c r="N113" s="210"/>
      <c r="O113" s="210"/>
      <c r="P113" s="202"/>
      <c r="Q113" s="202"/>
      <c r="R113" s="200"/>
      <c r="T113" s="202"/>
      <c r="V113" s="154"/>
      <c r="Y113" s="200"/>
      <c r="AA113" s="200"/>
      <c r="AB113" s="200"/>
      <c r="AC113" s="213"/>
      <c r="AD113" s="213"/>
      <c r="AE113" s="200"/>
      <c r="AF113" s="200"/>
      <c r="AG113" s="209"/>
      <c r="AH113" s="210"/>
      <c r="AI113" s="200"/>
      <c r="AJ113" s="200"/>
      <c r="AK113" s="209"/>
      <c r="AL113" s="201"/>
      <c r="AM113" s="200"/>
      <c r="AN113" s="200"/>
      <c r="AO113" s="200"/>
      <c r="AP113" s="200"/>
      <c r="AQ113" s="209"/>
    </row>
    <row r="114" spans="1:43" x14ac:dyDescent="0.25">
      <c r="A114" s="202"/>
      <c r="C114" s="154"/>
      <c r="F114" s="252"/>
      <c r="H114" s="252"/>
      <c r="I114" s="252"/>
      <c r="J114" s="300"/>
      <c r="K114" s="300"/>
      <c r="L114" s="200"/>
      <c r="M114" s="200"/>
      <c r="N114" s="210"/>
      <c r="O114" s="210"/>
      <c r="P114" s="202"/>
      <c r="Q114" s="202"/>
      <c r="R114" s="200"/>
      <c r="T114" s="202"/>
      <c r="V114" s="154"/>
      <c r="Y114" s="200"/>
      <c r="AA114" s="200"/>
      <c r="AB114" s="200"/>
      <c r="AC114" s="213"/>
      <c r="AD114" s="213"/>
      <c r="AE114" s="200"/>
      <c r="AF114" s="200"/>
      <c r="AG114" s="209"/>
      <c r="AH114" s="210"/>
      <c r="AI114" s="200"/>
      <c r="AJ114" s="200"/>
      <c r="AK114" s="209"/>
      <c r="AL114" s="201"/>
      <c r="AM114" s="200"/>
      <c r="AN114" s="200"/>
      <c r="AO114" s="200"/>
      <c r="AP114" s="200"/>
      <c r="AQ114" s="209"/>
    </row>
    <row r="115" spans="1:43" x14ac:dyDescent="0.25">
      <c r="F115" s="211"/>
      <c r="H115" s="200"/>
      <c r="I115" s="200"/>
      <c r="J115" s="305"/>
      <c r="K115" s="305"/>
      <c r="L115" s="211"/>
      <c r="M115" s="211"/>
      <c r="N115" s="211"/>
      <c r="O115" s="211"/>
      <c r="P115" s="211"/>
      <c r="Q115" s="211"/>
      <c r="R115" s="211"/>
      <c r="T115" s="202"/>
      <c r="V115" s="154"/>
      <c r="Y115" s="200"/>
      <c r="AA115" s="200"/>
      <c r="AB115" s="200"/>
      <c r="AC115" s="304"/>
      <c r="AD115" s="304"/>
      <c r="AE115" s="200"/>
      <c r="AF115" s="200"/>
      <c r="AG115" s="209"/>
      <c r="AH115" s="210"/>
      <c r="AI115" s="200"/>
      <c r="AJ115" s="200"/>
      <c r="AK115" s="209"/>
      <c r="AL115" s="201"/>
      <c r="AM115" s="200"/>
      <c r="AN115" s="200"/>
      <c r="AO115" s="200"/>
      <c r="AP115" s="200"/>
      <c r="AQ115" s="209"/>
    </row>
    <row r="116" spans="1:43" x14ac:dyDescent="0.25">
      <c r="F116" s="211"/>
      <c r="H116" s="200"/>
      <c r="I116" s="200"/>
      <c r="J116" s="305"/>
      <c r="K116" s="305"/>
      <c r="L116" s="211"/>
      <c r="M116" s="211"/>
      <c r="N116" s="211"/>
      <c r="O116" s="211"/>
      <c r="P116" s="211"/>
      <c r="Q116" s="211"/>
      <c r="R116" s="211"/>
    </row>
    <row r="117" spans="1:43" x14ac:dyDescent="0.25">
      <c r="A117" s="202"/>
      <c r="C117" s="154"/>
      <c r="F117" s="252"/>
      <c r="H117" s="252"/>
      <c r="I117" s="252"/>
      <c r="J117" s="328"/>
      <c r="K117" s="328"/>
      <c r="L117" s="200"/>
      <c r="M117" s="200"/>
      <c r="N117" s="210"/>
      <c r="O117" s="210"/>
      <c r="P117" s="200"/>
      <c r="Q117" s="200"/>
      <c r="R117" s="200"/>
      <c r="S117" s="200"/>
      <c r="T117" s="202"/>
      <c r="V117" s="154"/>
      <c r="Y117" s="200"/>
      <c r="AA117" s="200"/>
      <c r="AB117" s="200"/>
      <c r="AC117" s="305"/>
      <c r="AD117" s="305"/>
      <c r="AE117" s="200"/>
      <c r="AF117" s="200"/>
      <c r="AG117" s="209"/>
      <c r="AH117" s="210"/>
      <c r="AI117" s="200"/>
      <c r="AJ117" s="200"/>
      <c r="AK117" s="209"/>
      <c r="AL117" s="210"/>
      <c r="AM117" s="200"/>
      <c r="AN117" s="200"/>
      <c r="AO117" s="200"/>
      <c r="AP117" s="200"/>
      <c r="AQ117" s="209"/>
    </row>
    <row r="118" spans="1:43" x14ac:dyDescent="0.25">
      <c r="A118" s="202"/>
      <c r="C118" s="154"/>
      <c r="F118" s="252"/>
      <c r="H118" s="252"/>
      <c r="I118" s="252"/>
      <c r="J118" s="300"/>
      <c r="K118" s="300"/>
      <c r="L118" s="200"/>
      <c r="M118" s="200"/>
      <c r="N118" s="210"/>
      <c r="O118" s="210"/>
      <c r="P118" s="200"/>
      <c r="Q118" s="200"/>
      <c r="R118" s="200"/>
      <c r="T118" s="202"/>
      <c r="V118" s="154"/>
    </row>
    <row r="119" spans="1:43" x14ac:dyDescent="0.25">
      <c r="F119" s="200"/>
      <c r="H119" s="211"/>
      <c r="I119" s="211"/>
      <c r="J119" s="305"/>
      <c r="K119" s="305"/>
      <c r="L119" s="211"/>
      <c r="M119" s="211"/>
      <c r="N119" s="211"/>
      <c r="O119" s="211"/>
      <c r="P119" s="211"/>
      <c r="Q119" s="211"/>
      <c r="R119" s="211"/>
      <c r="T119" s="202"/>
      <c r="V119" s="154"/>
      <c r="Y119" s="200"/>
      <c r="AA119" s="200"/>
      <c r="AB119" s="200"/>
      <c r="AE119" s="200"/>
      <c r="AF119" s="200"/>
      <c r="AG119" s="209"/>
      <c r="AH119" s="210"/>
      <c r="AI119" s="200"/>
      <c r="AJ119" s="200"/>
      <c r="AK119" s="209"/>
      <c r="AL119" s="210"/>
      <c r="AM119" s="252"/>
      <c r="AN119" s="252"/>
      <c r="AO119" s="200"/>
      <c r="AP119" s="200"/>
      <c r="AQ119" s="209"/>
    </row>
    <row r="120" spans="1:43" x14ac:dyDescent="0.25">
      <c r="F120" s="200"/>
      <c r="H120" s="211"/>
      <c r="I120" s="211"/>
      <c r="J120" s="305"/>
      <c r="K120" s="305"/>
      <c r="L120" s="211"/>
      <c r="M120" s="211"/>
      <c r="N120" s="211"/>
      <c r="O120" s="211"/>
      <c r="P120" s="211"/>
      <c r="Q120" s="211"/>
      <c r="R120" s="211"/>
    </row>
    <row r="121" spans="1:43" x14ac:dyDescent="0.25">
      <c r="A121" s="202"/>
      <c r="C121" s="154"/>
      <c r="F121" s="200"/>
      <c r="H121" s="200"/>
      <c r="I121" s="200"/>
      <c r="J121" s="305"/>
      <c r="K121" s="305"/>
      <c r="L121" s="200"/>
      <c r="M121" s="200"/>
      <c r="N121" s="200"/>
      <c r="O121" s="200"/>
      <c r="P121" s="200"/>
      <c r="Q121" s="200"/>
      <c r="R121" s="200"/>
      <c r="V121" s="154"/>
      <c r="AE121" s="200"/>
      <c r="AF121" s="200"/>
      <c r="AG121" s="209"/>
      <c r="AH121" s="200"/>
      <c r="AM121" s="200"/>
      <c r="AN121" s="200"/>
      <c r="AO121" s="200"/>
      <c r="AP121" s="200"/>
    </row>
    <row r="122" spans="1:43" x14ac:dyDescent="0.25">
      <c r="A122" s="202"/>
      <c r="C122" s="154"/>
      <c r="F122" s="200"/>
      <c r="H122" s="252"/>
      <c r="I122" s="252"/>
      <c r="J122" s="329"/>
      <c r="K122" s="329"/>
      <c r="L122" s="200"/>
      <c r="M122" s="200"/>
      <c r="N122" s="210"/>
      <c r="O122" s="210"/>
      <c r="P122" s="200"/>
      <c r="Q122" s="200"/>
      <c r="R122" s="200"/>
      <c r="T122" s="154"/>
    </row>
    <row r="123" spans="1:43" x14ac:dyDescent="0.25">
      <c r="A123" s="202"/>
      <c r="C123" s="154"/>
      <c r="H123" s="252"/>
      <c r="I123" s="252"/>
      <c r="J123" s="329"/>
      <c r="K123" s="329"/>
      <c r="L123" s="200"/>
      <c r="M123" s="200"/>
      <c r="N123" s="210"/>
      <c r="O123" s="210"/>
      <c r="P123" s="200"/>
      <c r="Q123" s="200"/>
      <c r="R123" s="200"/>
      <c r="T123" s="154"/>
      <c r="V123" s="252"/>
      <c r="Y123" s="252"/>
      <c r="Z123" s="328"/>
      <c r="AA123" s="200"/>
      <c r="AB123" s="200"/>
      <c r="AC123" s="210"/>
      <c r="AD123" s="210"/>
      <c r="AE123" s="200"/>
      <c r="AF123" s="200"/>
      <c r="AG123" s="209"/>
      <c r="AH123" s="210"/>
      <c r="AI123" s="200"/>
      <c r="AJ123" s="200"/>
      <c r="AK123" s="209"/>
      <c r="AL123" s="200"/>
      <c r="AM123" s="210"/>
      <c r="AN123" s="210"/>
    </row>
    <row r="124" spans="1:43" x14ac:dyDescent="0.25">
      <c r="F124" s="200"/>
      <c r="H124" s="200"/>
      <c r="I124" s="200"/>
      <c r="J124" s="305"/>
      <c r="K124" s="305"/>
      <c r="L124" s="211"/>
      <c r="M124" s="211"/>
      <c r="N124" s="211"/>
      <c r="O124" s="211"/>
      <c r="P124" s="211"/>
      <c r="Q124" s="211"/>
      <c r="R124" s="211"/>
      <c r="T124" s="154"/>
      <c r="V124" s="252"/>
      <c r="Y124" s="200"/>
      <c r="Z124" s="300"/>
      <c r="AA124" s="200"/>
      <c r="AB124" s="200"/>
      <c r="AC124" s="210"/>
      <c r="AD124" s="210"/>
      <c r="AE124" s="200"/>
      <c r="AF124" s="200"/>
      <c r="AG124" s="209"/>
      <c r="AH124" s="201"/>
      <c r="AI124" s="200"/>
      <c r="AJ124" s="200"/>
      <c r="AK124" s="209"/>
      <c r="AL124" s="200"/>
      <c r="AM124" s="210"/>
      <c r="AN124" s="210"/>
    </row>
    <row r="125" spans="1:43" x14ac:dyDescent="0.25">
      <c r="A125" s="202"/>
      <c r="C125" s="154"/>
      <c r="F125" s="200"/>
      <c r="H125" s="200"/>
      <c r="I125" s="200"/>
      <c r="J125" s="213"/>
      <c r="K125" s="213"/>
      <c r="L125" s="200"/>
      <c r="M125" s="200"/>
      <c r="N125" s="210"/>
      <c r="O125" s="210"/>
      <c r="P125" s="200"/>
      <c r="Q125" s="200"/>
      <c r="R125" s="200"/>
      <c r="T125" s="154"/>
      <c r="V125" s="252"/>
      <c r="Y125" s="200"/>
      <c r="Z125" s="300"/>
      <c r="AA125" s="200"/>
      <c r="AB125" s="200"/>
      <c r="AC125" s="210"/>
      <c r="AD125" s="210"/>
      <c r="AE125" s="200"/>
      <c r="AF125" s="200"/>
      <c r="AG125" s="209"/>
      <c r="AH125" s="201"/>
      <c r="AI125" s="200"/>
      <c r="AJ125" s="200"/>
      <c r="AK125" s="209"/>
      <c r="AL125" s="200"/>
      <c r="AM125" s="210"/>
      <c r="AN125" s="210"/>
    </row>
    <row r="126" spans="1:43" x14ac:dyDescent="0.25">
      <c r="F126" s="200"/>
      <c r="H126" s="200"/>
      <c r="I126" s="200"/>
      <c r="J126" s="305"/>
      <c r="K126" s="305"/>
      <c r="L126" s="211"/>
      <c r="M126" s="211"/>
      <c r="N126" s="211"/>
      <c r="O126" s="211"/>
      <c r="P126" s="211"/>
      <c r="Q126" s="211"/>
      <c r="R126" s="211"/>
      <c r="V126" s="200"/>
      <c r="Y126" s="211"/>
      <c r="Z126" s="305"/>
      <c r="AA126" s="211"/>
      <c r="AB126" s="211"/>
      <c r="AC126" s="211"/>
      <c r="AD126" s="211"/>
      <c r="AE126" s="211"/>
      <c r="AF126" s="211"/>
      <c r="AI126" s="211"/>
      <c r="AJ126" s="211"/>
      <c r="AK126" s="212"/>
      <c r="AL126" s="211"/>
      <c r="AM126" s="210"/>
      <c r="AN126" s="210"/>
    </row>
    <row r="127" spans="1:43" x14ac:dyDescent="0.25">
      <c r="A127" s="202"/>
      <c r="C127" s="154"/>
      <c r="F127" s="200"/>
      <c r="H127" s="200"/>
      <c r="I127" s="200"/>
      <c r="J127" s="213"/>
      <c r="K127" s="213"/>
      <c r="L127" s="200"/>
      <c r="M127" s="200"/>
      <c r="N127" s="210"/>
      <c r="O127" s="210"/>
      <c r="P127" s="200"/>
      <c r="Q127" s="200"/>
      <c r="R127" s="200"/>
      <c r="T127" s="154"/>
      <c r="V127" s="200"/>
      <c r="Y127" s="200"/>
      <c r="Z127" s="305"/>
      <c r="AA127" s="200"/>
      <c r="AB127" s="200"/>
      <c r="AC127" s="210"/>
      <c r="AD127" s="210"/>
      <c r="AE127" s="200"/>
      <c r="AF127" s="200"/>
      <c r="AG127" s="209"/>
      <c r="AH127" s="201"/>
      <c r="AI127" s="200"/>
      <c r="AJ127" s="200"/>
      <c r="AK127" s="209"/>
      <c r="AL127" s="200"/>
      <c r="AM127" s="210"/>
      <c r="AN127" s="210"/>
    </row>
    <row r="128" spans="1:43" x14ac:dyDescent="0.25">
      <c r="A128" s="202"/>
      <c r="C128" s="154"/>
      <c r="F128" s="252"/>
      <c r="H128" s="252"/>
      <c r="I128" s="252"/>
      <c r="J128" s="320"/>
      <c r="K128" s="320"/>
      <c r="L128" s="200"/>
      <c r="M128" s="200"/>
      <c r="N128" s="210"/>
      <c r="O128" s="210"/>
      <c r="P128" s="200"/>
      <c r="Q128" s="200"/>
      <c r="R128" s="200"/>
      <c r="V128" s="200"/>
      <c r="Y128" s="211"/>
      <c r="Z128" s="305"/>
      <c r="AA128" s="211"/>
      <c r="AB128" s="211"/>
      <c r="AC128" s="211"/>
      <c r="AD128" s="211"/>
      <c r="AE128" s="211"/>
      <c r="AF128" s="211"/>
      <c r="AI128" s="211"/>
      <c r="AJ128" s="211"/>
      <c r="AK128" s="212"/>
      <c r="AL128" s="211"/>
      <c r="AM128" s="210"/>
      <c r="AN128" s="210"/>
    </row>
    <row r="129" spans="1:40" x14ac:dyDescent="0.25">
      <c r="F129" s="211"/>
      <c r="H129" s="211"/>
      <c r="I129" s="211"/>
      <c r="J129" s="305"/>
      <c r="K129" s="305"/>
      <c r="L129" s="211"/>
      <c r="M129" s="211"/>
      <c r="N129" s="211"/>
      <c r="O129" s="211"/>
      <c r="P129" s="211"/>
      <c r="Q129" s="211"/>
      <c r="R129" s="211"/>
      <c r="T129" s="154"/>
      <c r="V129" s="200"/>
      <c r="Y129" s="200"/>
      <c r="Z129" s="305"/>
      <c r="AA129" s="200"/>
      <c r="AB129" s="200"/>
      <c r="AC129" s="200"/>
      <c r="AD129" s="200"/>
      <c r="AE129" s="200"/>
      <c r="AF129" s="200"/>
      <c r="AG129" s="209"/>
      <c r="AH129" s="201"/>
      <c r="AI129" s="200"/>
      <c r="AJ129" s="200"/>
      <c r="AK129" s="209"/>
      <c r="AL129" s="200"/>
      <c r="AM129" s="210"/>
      <c r="AN129" s="210"/>
    </row>
    <row r="130" spans="1:40" x14ac:dyDescent="0.25">
      <c r="A130" s="202"/>
      <c r="C130" s="154"/>
      <c r="F130" s="200"/>
      <c r="H130" s="200"/>
      <c r="I130" s="200"/>
      <c r="J130" s="305"/>
      <c r="K130" s="305"/>
      <c r="L130" s="200"/>
      <c r="M130" s="200"/>
      <c r="N130" s="210"/>
      <c r="O130" s="210"/>
      <c r="P130" s="200"/>
      <c r="Q130" s="200"/>
      <c r="R130" s="200"/>
      <c r="S130" s="200"/>
      <c r="T130" s="154"/>
      <c r="V130" s="200"/>
      <c r="Y130" s="200"/>
      <c r="Z130" s="329"/>
      <c r="AA130" s="200"/>
      <c r="AB130" s="200"/>
      <c r="AC130" s="210"/>
      <c r="AD130" s="210"/>
      <c r="AE130" s="200"/>
      <c r="AF130" s="200"/>
      <c r="AG130" s="209"/>
      <c r="AH130" s="201"/>
      <c r="AI130" s="200"/>
      <c r="AJ130" s="200"/>
      <c r="AK130" s="209"/>
      <c r="AL130" s="200"/>
      <c r="AM130" s="210"/>
      <c r="AN130" s="210"/>
    </row>
    <row r="131" spans="1:40" x14ac:dyDescent="0.25">
      <c r="F131" s="211"/>
      <c r="H131" s="211"/>
      <c r="I131" s="211"/>
      <c r="J131" s="305"/>
      <c r="K131" s="305"/>
      <c r="L131" s="211"/>
      <c r="M131" s="211"/>
      <c r="N131" s="211"/>
      <c r="O131" s="211"/>
      <c r="P131" s="211"/>
      <c r="Q131" s="211"/>
      <c r="R131" s="211"/>
      <c r="S131" s="200"/>
      <c r="T131" s="154"/>
      <c r="Y131" s="200"/>
      <c r="Z131" s="329"/>
      <c r="AA131" s="200"/>
      <c r="AB131" s="200"/>
      <c r="AC131" s="210"/>
      <c r="AD131" s="210"/>
      <c r="AE131" s="200"/>
      <c r="AF131" s="200"/>
      <c r="AG131" s="209"/>
      <c r="AH131" s="201"/>
      <c r="AI131" s="200"/>
      <c r="AJ131" s="200"/>
      <c r="AK131" s="209"/>
      <c r="AL131" s="200"/>
      <c r="AM131" s="210"/>
      <c r="AN131" s="210"/>
    </row>
    <row r="132" spans="1:40" x14ac:dyDescent="0.25">
      <c r="A132" s="202"/>
      <c r="C132" s="154"/>
      <c r="V132" s="200"/>
      <c r="Y132" s="200"/>
      <c r="Z132" s="305"/>
      <c r="AA132" s="211"/>
      <c r="AB132" s="211"/>
      <c r="AC132" s="211"/>
      <c r="AD132" s="211"/>
      <c r="AE132" s="211"/>
      <c r="AF132" s="211"/>
      <c r="AI132" s="211"/>
      <c r="AJ132" s="211"/>
      <c r="AK132" s="212"/>
      <c r="AL132" s="211"/>
      <c r="AM132" s="210"/>
      <c r="AN132" s="210"/>
    </row>
    <row r="133" spans="1:40" x14ac:dyDescent="0.25">
      <c r="A133" s="202"/>
      <c r="C133" s="154"/>
      <c r="F133" s="200"/>
      <c r="H133" s="200"/>
      <c r="I133" s="200"/>
      <c r="L133" s="200"/>
      <c r="M133" s="200"/>
      <c r="N133" s="210"/>
      <c r="O133" s="210"/>
      <c r="P133" s="252"/>
      <c r="Q133" s="252"/>
      <c r="R133" s="200"/>
      <c r="T133" s="154"/>
      <c r="V133" s="200"/>
      <c r="Y133" s="200"/>
      <c r="Z133" s="213"/>
      <c r="AA133" s="200"/>
      <c r="AB133" s="200"/>
      <c r="AC133" s="210"/>
      <c r="AD133" s="210"/>
      <c r="AE133" s="200"/>
      <c r="AF133" s="200"/>
      <c r="AG133" s="209"/>
      <c r="AH133" s="201"/>
      <c r="AI133" s="200"/>
      <c r="AJ133" s="200"/>
      <c r="AK133" s="209"/>
      <c r="AL133" s="200"/>
      <c r="AM133" s="210"/>
      <c r="AN133" s="210"/>
    </row>
    <row r="134" spans="1:40" x14ac:dyDescent="0.25">
      <c r="F134" s="211"/>
      <c r="H134" s="211"/>
      <c r="I134" s="211"/>
      <c r="J134" s="305"/>
      <c r="K134" s="305"/>
      <c r="L134" s="211"/>
      <c r="M134" s="211"/>
      <c r="N134" s="211"/>
      <c r="O134" s="211"/>
      <c r="P134" s="211"/>
      <c r="Q134" s="211"/>
      <c r="R134" s="211"/>
      <c r="V134" s="200"/>
      <c r="Y134" s="200"/>
      <c r="Z134" s="305"/>
      <c r="AA134" s="211"/>
      <c r="AB134" s="211"/>
      <c r="AC134" s="211"/>
      <c r="AD134" s="211"/>
      <c r="AE134" s="211"/>
      <c r="AF134" s="211"/>
      <c r="AI134" s="211"/>
      <c r="AJ134" s="211"/>
      <c r="AK134" s="212"/>
      <c r="AL134" s="211"/>
      <c r="AM134" s="210"/>
      <c r="AN134" s="210"/>
    </row>
    <row r="135" spans="1:40" x14ac:dyDescent="0.25">
      <c r="T135" s="154"/>
      <c r="V135" s="200"/>
      <c r="Y135" s="200"/>
      <c r="Z135" s="213"/>
      <c r="AA135" s="200"/>
      <c r="AB135" s="200"/>
      <c r="AC135" s="210"/>
      <c r="AD135" s="210"/>
      <c r="AE135" s="200"/>
      <c r="AF135" s="200"/>
      <c r="AG135" s="209"/>
      <c r="AH135" s="201"/>
      <c r="AI135" s="200"/>
      <c r="AJ135" s="200"/>
      <c r="AK135" s="209"/>
      <c r="AL135" s="200"/>
      <c r="AM135" s="210"/>
      <c r="AN135" s="210"/>
    </row>
    <row r="136" spans="1:40" x14ac:dyDescent="0.25">
      <c r="C136" s="154"/>
      <c r="L136" s="200"/>
      <c r="M136" s="200"/>
      <c r="N136" s="200"/>
      <c r="O136" s="200"/>
      <c r="P136" s="200"/>
      <c r="Q136" s="200"/>
      <c r="R136" s="200"/>
      <c r="S136" s="200"/>
      <c r="T136" s="154"/>
      <c r="V136" s="252"/>
      <c r="Y136" s="200"/>
      <c r="Z136" s="320"/>
      <c r="AA136" s="200"/>
      <c r="AB136" s="200"/>
      <c r="AC136" s="210"/>
      <c r="AD136" s="210"/>
      <c r="AE136" s="200"/>
      <c r="AF136" s="200"/>
      <c r="AG136" s="209"/>
      <c r="AH136" s="201"/>
      <c r="AI136" s="200"/>
      <c r="AJ136" s="200"/>
      <c r="AK136" s="209"/>
      <c r="AL136" s="200"/>
      <c r="AM136" s="210"/>
      <c r="AN136" s="210"/>
    </row>
    <row r="137" spans="1:40" x14ac:dyDescent="0.25">
      <c r="A137" s="154"/>
      <c r="V137" s="211"/>
      <c r="Y137" s="211"/>
      <c r="Z137" s="305"/>
      <c r="AA137" s="211"/>
      <c r="AB137" s="211"/>
      <c r="AC137" s="211"/>
      <c r="AD137" s="211"/>
      <c r="AE137" s="211"/>
      <c r="AF137" s="211"/>
      <c r="AI137" s="211"/>
      <c r="AJ137" s="211"/>
      <c r="AK137" s="212"/>
      <c r="AL137" s="211"/>
      <c r="AM137" s="210"/>
      <c r="AN137" s="210"/>
    </row>
    <row r="138" spans="1:40" x14ac:dyDescent="0.25">
      <c r="J138" s="202"/>
      <c r="K138" s="202"/>
      <c r="T138" s="154"/>
      <c r="V138" s="200"/>
      <c r="Y138" s="200"/>
      <c r="Z138" s="305"/>
      <c r="AA138" s="200"/>
      <c r="AB138" s="200"/>
      <c r="AC138" s="210"/>
      <c r="AD138" s="210"/>
      <c r="AE138" s="200"/>
      <c r="AF138" s="200"/>
      <c r="AG138" s="209"/>
      <c r="AH138" s="210"/>
      <c r="AI138" s="200"/>
      <c r="AJ138" s="200"/>
      <c r="AK138" s="209"/>
      <c r="AL138" s="200"/>
      <c r="AM138" s="210"/>
      <c r="AN138" s="210"/>
    </row>
    <row r="139" spans="1:40" x14ac:dyDescent="0.25">
      <c r="H139" s="154"/>
      <c r="I139" s="154"/>
      <c r="V139" s="211"/>
      <c r="Y139" s="211"/>
      <c r="Z139" s="305"/>
      <c r="AA139" s="211"/>
      <c r="AB139" s="211"/>
      <c r="AC139" s="211"/>
      <c r="AD139" s="211"/>
      <c r="AE139" s="211"/>
      <c r="AF139" s="211"/>
      <c r="AI139" s="211"/>
      <c r="AJ139" s="211"/>
      <c r="AK139" s="212"/>
      <c r="AL139" s="211"/>
      <c r="AM139" s="210"/>
      <c r="AN139" s="210"/>
    </row>
    <row r="140" spans="1:40" x14ac:dyDescent="0.25">
      <c r="J140" s="202"/>
      <c r="K140" s="202"/>
      <c r="T140" s="154"/>
    </row>
    <row r="141" spans="1:40" x14ac:dyDescent="0.25">
      <c r="L141" s="154"/>
      <c r="M141" s="154"/>
      <c r="AA141" s="154"/>
      <c r="AB141" s="154"/>
    </row>
    <row r="142" spans="1:40" x14ac:dyDescent="0.25">
      <c r="A142" s="202"/>
      <c r="R142" s="154"/>
      <c r="AK142" s="297"/>
      <c r="AL142" s="154"/>
    </row>
    <row r="143" spans="1:40" x14ac:dyDescent="0.25">
      <c r="A143" s="202"/>
      <c r="R143" s="154"/>
      <c r="AK143" s="297"/>
      <c r="AL143" s="154"/>
    </row>
    <row r="144" spans="1:40" x14ac:dyDescent="0.25">
      <c r="A144" s="154"/>
      <c r="R144" s="154"/>
      <c r="AK144" s="297"/>
      <c r="AL144" s="154"/>
    </row>
    <row r="145" spans="1:40" x14ac:dyDescent="0.25">
      <c r="L145" s="154"/>
      <c r="M145" s="154"/>
      <c r="R145" s="202"/>
      <c r="AA145" s="154"/>
      <c r="AB145" s="154"/>
      <c r="AK145" s="209"/>
      <c r="AL145" s="202"/>
    </row>
    <row r="146" spans="1:40" x14ac:dyDescent="0.2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208"/>
      <c r="AH146" s="102"/>
      <c r="AI146" s="102"/>
      <c r="AJ146" s="102"/>
      <c r="AK146" s="208"/>
      <c r="AL146" s="102"/>
      <c r="AM146" s="102"/>
      <c r="AN146" s="102"/>
    </row>
    <row r="147" spans="1:40" x14ac:dyDescent="0.25">
      <c r="L147" s="103"/>
      <c r="M147" s="103"/>
      <c r="N147" s="103"/>
      <c r="O147" s="103"/>
      <c r="R147" s="103"/>
      <c r="AA147" s="103"/>
      <c r="AB147" s="103"/>
      <c r="AC147" s="103"/>
      <c r="AD147" s="103"/>
      <c r="AE147" s="103"/>
      <c r="AF147" s="103"/>
      <c r="AG147" s="185"/>
      <c r="AH147" s="103"/>
      <c r="AK147" s="185"/>
      <c r="AL147" s="103"/>
      <c r="AM147" s="103"/>
      <c r="AN147" s="103"/>
    </row>
    <row r="148" spans="1:40" x14ac:dyDescent="0.25">
      <c r="L148" s="103"/>
      <c r="M148" s="103"/>
      <c r="N148" s="103"/>
      <c r="O148" s="103"/>
      <c r="R148" s="103"/>
      <c r="Z148" s="103"/>
      <c r="AA148" s="103"/>
      <c r="AB148" s="103"/>
      <c r="AC148" s="103"/>
      <c r="AD148" s="103"/>
      <c r="AE148" s="103"/>
      <c r="AF148" s="103"/>
      <c r="AG148" s="185"/>
      <c r="AH148" s="103"/>
      <c r="AK148" s="185"/>
      <c r="AL148" s="103"/>
      <c r="AM148" s="103"/>
      <c r="AN148" s="103"/>
    </row>
    <row r="149" spans="1:40" x14ac:dyDescent="0.25">
      <c r="A149" s="103"/>
      <c r="C149" s="103"/>
      <c r="D149" s="103"/>
      <c r="E149" s="103"/>
      <c r="F149" s="103"/>
      <c r="J149" s="103"/>
      <c r="K149" s="103"/>
      <c r="L149" s="103"/>
      <c r="M149" s="103"/>
      <c r="N149" s="103"/>
      <c r="O149" s="103"/>
      <c r="P149" s="103"/>
      <c r="Q149" s="103"/>
      <c r="R149" s="103"/>
      <c r="T149" s="103"/>
      <c r="U149" s="103"/>
      <c r="V149" s="103"/>
      <c r="Z149" s="103"/>
      <c r="AA149" s="103"/>
      <c r="AB149" s="103"/>
      <c r="AC149" s="103"/>
      <c r="AD149" s="103"/>
      <c r="AE149" s="103"/>
      <c r="AF149" s="103"/>
      <c r="AG149" s="185"/>
      <c r="AH149" s="103"/>
      <c r="AI149" s="103"/>
      <c r="AJ149" s="103"/>
      <c r="AK149" s="185"/>
      <c r="AL149" s="103"/>
      <c r="AM149" s="103"/>
      <c r="AN149" s="103"/>
    </row>
    <row r="150" spans="1:40" x14ac:dyDescent="0.25">
      <c r="A150" s="103"/>
      <c r="C150" s="103"/>
      <c r="D150" s="103"/>
      <c r="E150" s="103"/>
      <c r="F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T150" s="103"/>
      <c r="U150" s="103"/>
      <c r="V150" s="103"/>
      <c r="Y150" s="103"/>
      <c r="Z150" s="103"/>
      <c r="AA150" s="103"/>
      <c r="AB150" s="103"/>
      <c r="AC150" s="103"/>
      <c r="AD150" s="103"/>
      <c r="AE150" s="103"/>
      <c r="AF150" s="103"/>
      <c r="AG150" s="185"/>
      <c r="AH150" s="103"/>
      <c r="AI150" s="103"/>
      <c r="AJ150" s="103"/>
      <c r="AK150" s="185"/>
      <c r="AL150" s="103"/>
      <c r="AM150" s="103"/>
      <c r="AN150" s="103"/>
    </row>
    <row r="151" spans="1:40" x14ac:dyDescent="0.25">
      <c r="C151" s="103"/>
      <c r="D151" s="103"/>
      <c r="E151" s="103"/>
      <c r="F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T151" s="103"/>
      <c r="U151" s="103"/>
      <c r="V151" s="103"/>
      <c r="Y151" s="103"/>
      <c r="Z151" s="103"/>
      <c r="AA151" s="103"/>
      <c r="AB151" s="103"/>
      <c r="AC151" s="103"/>
      <c r="AD151" s="103"/>
      <c r="AE151" s="103"/>
      <c r="AF151" s="103"/>
      <c r="AG151" s="185"/>
      <c r="AH151" s="103"/>
      <c r="AI151" s="103"/>
      <c r="AJ151" s="103"/>
      <c r="AK151" s="185"/>
      <c r="AL151" s="103"/>
      <c r="AM151" s="103"/>
      <c r="AN151" s="103"/>
    </row>
    <row r="152" spans="1:40" x14ac:dyDescent="0.2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208"/>
      <c r="AH152" s="102"/>
      <c r="AI152" s="102"/>
      <c r="AJ152" s="102"/>
      <c r="AK152" s="208"/>
      <c r="AL152" s="102"/>
      <c r="AM152" s="102"/>
      <c r="AN152" s="102"/>
    </row>
    <row r="153" spans="1:40" x14ac:dyDescent="0.25"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Y153" s="103"/>
      <c r="Z153" s="103"/>
      <c r="AA153" s="103"/>
      <c r="AB153" s="103"/>
      <c r="AC153" s="103"/>
      <c r="AD153" s="103"/>
      <c r="AE153" s="103"/>
      <c r="AF153" s="103"/>
      <c r="AG153" s="185"/>
      <c r="AH153" s="103"/>
      <c r="AI153" s="103"/>
      <c r="AJ153" s="103"/>
      <c r="AK153" s="185"/>
      <c r="AL153" s="103"/>
      <c r="AM153" s="103"/>
      <c r="AN153" s="103"/>
    </row>
    <row r="154" spans="1:40" x14ac:dyDescent="0.25">
      <c r="A154" s="202"/>
      <c r="C154" s="154"/>
      <c r="D154" s="154"/>
      <c r="E154" s="154"/>
      <c r="T154" s="154"/>
      <c r="U154" s="154"/>
    </row>
    <row r="155" spans="1:40" x14ac:dyDescent="0.25">
      <c r="A155" s="202"/>
      <c r="D155" s="154"/>
      <c r="E155" s="154"/>
      <c r="U155" s="154"/>
    </row>
    <row r="157" spans="1:40" x14ac:dyDescent="0.25">
      <c r="A157" s="202"/>
      <c r="C157" s="154"/>
      <c r="F157" s="252"/>
      <c r="H157" s="252"/>
      <c r="I157" s="252"/>
      <c r="J157" s="300"/>
      <c r="K157" s="300"/>
      <c r="L157" s="200"/>
      <c r="M157" s="200"/>
      <c r="N157" s="210"/>
      <c r="O157" s="210"/>
      <c r="R157" s="200"/>
      <c r="T157" s="154"/>
      <c r="V157" s="200"/>
      <c r="Y157" s="252"/>
      <c r="Z157" s="300"/>
      <c r="AA157" s="200"/>
      <c r="AB157" s="200"/>
      <c r="AC157" s="210"/>
      <c r="AD157" s="210"/>
      <c r="AE157" s="200"/>
      <c r="AF157" s="200"/>
      <c r="AG157" s="325"/>
      <c r="AH157" s="326"/>
      <c r="AK157" s="209"/>
      <c r="AL157" s="200"/>
      <c r="AM157" s="327"/>
      <c r="AN157" s="327"/>
    </row>
    <row r="158" spans="1:40" x14ac:dyDescent="0.25">
      <c r="A158" s="202"/>
      <c r="C158" s="154"/>
      <c r="F158" s="252"/>
      <c r="H158" s="252"/>
      <c r="I158" s="252"/>
      <c r="J158" s="300"/>
      <c r="K158" s="300"/>
      <c r="L158" s="200"/>
      <c r="M158" s="200"/>
      <c r="N158" s="210"/>
      <c r="O158" s="210"/>
      <c r="P158" s="202"/>
      <c r="Q158" s="202"/>
      <c r="R158" s="200"/>
      <c r="T158" s="154"/>
      <c r="V158" s="200"/>
      <c r="Y158" s="252"/>
      <c r="Z158" s="300"/>
      <c r="AA158" s="200"/>
      <c r="AB158" s="200"/>
      <c r="AC158" s="210"/>
      <c r="AD158" s="210"/>
      <c r="AE158" s="200"/>
      <c r="AF158" s="200"/>
      <c r="AG158" s="209"/>
      <c r="AH158" s="201"/>
      <c r="AI158" s="202"/>
      <c r="AJ158" s="202"/>
      <c r="AK158" s="209"/>
      <c r="AL158" s="200"/>
      <c r="AM158" s="210"/>
      <c r="AN158" s="210"/>
    </row>
    <row r="159" spans="1:40" x14ac:dyDescent="0.25">
      <c r="F159" s="211"/>
      <c r="H159" s="200"/>
      <c r="I159" s="200"/>
      <c r="J159" s="305"/>
      <c r="K159" s="305"/>
      <c r="L159" s="211"/>
      <c r="M159" s="211"/>
      <c r="N159" s="211"/>
      <c r="O159" s="211"/>
      <c r="P159" s="211"/>
      <c r="Q159" s="211"/>
      <c r="R159" s="211"/>
      <c r="V159" s="211"/>
      <c r="Y159" s="200"/>
      <c r="Z159" s="305"/>
      <c r="AA159" s="211"/>
      <c r="AB159" s="211"/>
      <c r="AC159" s="211"/>
      <c r="AD159" s="211"/>
      <c r="AE159" s="211"/>
      <c r="AF159" s="211"/>
      <c r="AI159" s="211"/>
      <c r="AJ159" s="211"/>
      <c r="AK159" s="212"/>
      <c r="AL159" s="211"/>
      <c r="AM159" s="210"/>
      <c r="AN159" s="210"/>
    </row>
    <row r="160" spans="1:40" x14ac:dyDescent="0.25">
      <c r="A160" s="202"/>
      <c r="C160" s="154"/>
      <c r="F160" s="200"/>
      <c r="H160" s="200"/>
      <c r="I160" s="200"/>
      <c r="J160" s="305"/>
      <c r="K160" s="305"/>
      <c r="L160" s="200"/>
      <c r="M160" s="200"/>
      <c r="N160" s="210"/>
      <c r="O160" s="210"/>
      <c r="P160" s="200"/>
      <c r="Q160" s="200"/>
      <c r="R160" s="200"/>
      <c r="T160" s="154"/>
      <c r="V160" s="200"/>
      <c r="Y160" s="200"/>
      <c r="Z160" s="213"/>
      <c r="AA160" s="200"/>
      <c r="AB160" s="200"/>
      <c r="AC160" s="210"/>
      <c r="AD160" s="210"/>
      <c r="AE160" s="200"/>
      <c r="AF160" s="200"/>
      <c r="AG160" s="209"/>
      <c r="AH160" s="201"/>
      <c r="AI160" s="200"/>
      <c r="AJ160" s="200"/>
      <c r="AK160" s="209"/>
      <c r="AL160" s="200"/>
      <c r="AM160" s="210"/>
      <c r="AN160" s="210"/>
    </row>
    <row r="161" spans="1:40" x14ac:dyDescent="0.25">
      <c r="F161" s="211"/>
      <c r="H161" s="200"/>
      <c r="I161" s="200"/>
      <c r="J161" s="305"/>
      <c r="K161" s="305"/>
      <c r="L161" s="211"/>
      <c r="M161" s="211"/>
      <c r="N161" s="211"/>
      <c r="O161" s="211"/>
      <c r="P161" s="211"/>
      <c r="Q161" s="211"/>
      <c r="R161" s="211"/>
      <c r="V161" s="211"/>
      <c r="Y161" s="200"/>
      <c r="Z161" s="305"/>
      <c r="AA161" s="211"/>
      <c r="AB161" s="211"/>
      <c r="AC161" s="211"/>
      <c r="AD161" s="211"/>
      <c r="AE161" s="211"/>
      <c r="AF161" s="211"/>
      <c r="AI161" s="211"/>
      <c r="AJ161" s="211"/>
      <c r="AK161" s="212"/>
      <c r="AL161" s="211"/>
      <c r="AM161" s="210"/>
      <c r="AN161" s="210"/>
    </row>
    <row r="162" spans="1:40" x14ac:dyDescent="0.25">
      <c r="F162" s="200"/>
      <c r="H162" s="200"/>
      <c r="I162" s="200"/>
      <c r="J162" s="305"/>
      <c r="K162" s="305"/>
      <c r="L162" s="200"/>
      <c r="M162" s="200"/>
      <c r="N162" s="210"/>
      <c r="O162" s="210"/>
      <c r="P162" s="200"/>
      <c r="Q162" s="200"/>
      <c r="R162" s="200"/>
      <c r="V162" s="200"/>
      <c r="Y162" s="200"/>
      <c r="Z162" s="213"/>
      <c r="AA162" s="200"/>
      <c r="AB162" s="200"/>
      <c r="AC162" s="210"/>
      <c r="AD162" s="210"/>
      <c r="AE162" s="200"/>
      <c r="AF162" s="200"/>
      <c r="AG162" s="209"/>
      <c r="AH162" s="201"/>
      <c r="AI162" s="200"/>
      <c r="AJ162" s="200"/>
      <c r="AK162" s="209"/>
      <c r="AL162" s="200"/>
      <c r="AM162" s="210"/>
      <c r="AN162" s="210"/>
    </row>
    <row r="163" spans="1:40" x14ac:dyDescent="0.25">
      <c r="A163" s="202"/>
      <c r="C163" s="154"/>
      <c r="F163" s="252"/>
      <c r="H163" s="252"/>
      <c r="I163" s="252"/>
      <c r="J163" s="300"/>
      <c r="K163" s="300"/>
      <c r="L163" s="200"/>
      <c r="M163" s="200"/>
      <c r="N163" s="210"/>
      <c r="O163" s="210"/>
      <c r="P163" s="200"/>
      <c r="Q163" s="200"/>
      <c r="R163" s="200"/>
      <c r="T163" s="154"/>
      <c r="V163" s="252"/>
      <c r="Y163" s="200"/>
      <c r="Z163" s="300"/>
      <c r="AA163" s="200"/>
      <c r="AB163" s="200"/>
      <c r="AC163" s="210"/>
      <c r="AD163" s="210"/>
      <c r="AE163" s="200"/>
      <c r="AF163" s="200"/>
      <c r="AG163" s="325"/>
      <c r="AH163" s="326"/>
      <c r="AI163" s="200"/>
      <c r="AJ163" s="200"/>
      <c r="AK163" s="209"/>
      <c r="AL163" s="200"/>
      <c r="AM163" s="327"/>
      <c r="AN163" s="327"/>
    </row>
    <row r="164" spans="1:40" x14ac:dyDescent="0.25">
      <c r="A164" s="202"/>
      <c r="C164" s="154"/>
      <c r="F164" s="252"/>
      <c r="H164" s="252"/>
      <c r="I164" s="252"/>
      <c r="J164" s="300"/>
      <c r="K164" s="300"/>
      <c r="L164" s="200"/>
      <c r="M164" s="200"/>
      <c r="N164" s="210"/>
      <c r="O164" s="210"/>
      <c r="P164" s="200"/>
      <c r="Q164" s="200"/>
      <c r="R164" s="200"/>
      <c r="T164" s="154"/>
      <c r="V164" s="252"/>
      <c r="Y164" s="200"/>
      <c r="Z164" s="300"/>
      <c r="AA164" s="200"/>
      <c r="AB164" s="200"/>
      <c r="AC164" s="210"/>
      <c r="AD164" s="210"/>
      <c r="AE164" s="200"/>
      <c r="AF164" s="200"/>
      <c r="AG164" s="209"/>
      <c r="AH164" s="201"/>
      <c r="AI164" s="200"/>
      <c r="AJ164" s="200"/>
      <c r="AK164" s="209"/>
      <c r="AL164" s="200"/>
      <c r="AM164" s="210"/>
      <c r="AN164" s="210"/>
    </row>
    <row r="165" spans="1:40" x14ac:dyDescent="0.25">
      <c r="F165" s="200"/>
      <c r="H165" s="211"/>
      <c r="I165" s="211"/>
      <c r="J165" s="305"/>
      <c r="K165" s="305"/>
      <c r="L165" s="211"/>
      <c r="M165" s="211"/>
      <c r="N165" s="211"/>
      <c r="O165" s="211"/>
      <c r="P165" s="211"/>
      <c r="Q165" s="211"/>
      <c r="R165" s="211"/>
      <c r="V165" s="200"/>
      <c r="Y165" s="211"/>
      <c r="Z165" s="305"/>
      <c r="AA165" s="211"/>
      <c r="AB165" s="211"/>
      <c r="AC165" s="211"/>
      <c r="AD165" s="211"/>
      <c r="AE165" s="211"/>
      <c r="AF165" s="211"/>
      <c r="AI165" s="211"/>
      <c r="AJ165" s="211"/>
      <c r="AK165" s="212"/>
      <c r="AL165" s="211"/>
      <c r="AM165" s="210"/>
      <c r="AN165" s="210"/>
    </row>
    <row r="166" spans="1:40" x14ac:dyDescent="0.25">
      <c r="A166" s="202"/>
      <c r="C166" s="154"/>
      <c r="F166" s="200"/>
      <c r="H166" s="200"/>
      <c r="I166" s="200"/>
      <c r="J166" s="305"/>
      <c r="K166" s="305"/>
      <c r="L166" s="200"/>
      <c r="M166" s="200"/>
      <c r="N166" s="210"/>
      <c r="O166" s="210"/>
      <c r="P166" s="200"/>
      <c r="Q166" s="200"/>
      <c r="R166" s="200"/>
      <c r="T166" s="154"/>
      <c r="V166" s="200"/>
      <c r="Y166" s="200"/>
      <c r="Z166" s="305"/>
      <c r="AA166" s="200"/>
      <c r="AB166" s="200"/>
      <c r="AC166" s="210"/>
      <c r="AD166" s="210"/>
      <c r="AE166" s="200"/>
      <c r="AF166" s="200"/>
      <c r="AG166" s="209"/>
      <c r="AH166" s="201"/>
      <c r="AI166" s="200"/>
      <c r="AJ166" s="200"/>
      <c r="AK166" s="209"/>
      <c r="AL166" s="200"/>
      <c r="AM166" s="210"/>
      <c r="AN166" s="210"/>
    </row>
    <row r="167" spans="1:40" x14ac:dyDescent="0.25">
      <c r="F167" s="200"/>
      <c r="H167" s="211"/>
      <c r="I167" s="211"/>
      <c r="J167" s="305"/>
      <c r="K167" s="305"/>
      <c r="L167" s="211"/>
      <c r="M167" s="211"/>
      <c r="N167" s="211"/>
      <c r="O167" s="211"/>
      <c r="P167" s="211"/>
      <c r="Q167" s="211"/>
      <c r="R167" s="211"/>
      <c r="V167" s="200"/>
      <c r="Y167" s="211"/>
      <c r="Z167" s="305"/>
      <c r="AA167" s="211"/>
      <c r="AB167" s="211"/>
      <c r="AC167" s="211"/>
      <c r="AD167" s="211"/>
      <c r="AE167" s="211"/>
      <c r="AF167" s="211"/>
      <c r="AI167" s="211"/>
      <c r="AJ167" s="211"/>
      <c r="AK167" s="212"/>
      <c r="AL167" s="211"/>
      <c r="AM167" s="210"/>
      <c r="AN167" s="210"/>
    </row>
    <row r="168" spans="1:40" x14ac:dyDescent="0.25">
      <c r="F168" s="200"/>
      <c r="H168" s="200"/>
      <c r="I168" s="200"/>
      <c r="J168" s="305"/>
      <c r="K168" s="305"/>
      <c r="L168" s="200"/>
      <c r="M168" s="200"/>
      <c r="N168" s="200"/>
      <c r="O168" s="200"/>
      <c r="P168" s="200"/>
      <c r="Q168" s="200"/>
      <c r="R168" s="200"/>
      <c r="V168" s="200"/>
      <c r="Y168" s="200"/>
      <c r="Z168" s="305"/>
      <c r="AA168" s="200"/>
      <c r="AB168" s="200"/>
      <c r="AC168" s="200"/>
      <c r="AD168" s="200"/>
      <c r="AE168" s="200"/>
      <c r="AF168" s="200"/>
      <c r="AG168" s="209"/>
      <c r="AH168" s="201"/>
      <c r="AI168" s="200"/>
      <c r="AJ168" s="200"/>
      <c r="AK168" s="209"/>
      <c r="AL168" s="200"/>
      <c r="AM168" s="210"/>
      <c r="AN168" s="210"/>
    </row>
    <row r="169" spans="1:40" x14ac:dyDescent="0.25">
      <c r="A169" s="202"/>
      <c r="C169" s="154"/>
      <c r="F169" s="252"/>
      <c r="H169" s="252"/>
      <c r="I169" s="252"/>
      <c r="J169" s="320"/>
      <c r="K169" s="320"/>
      <c r="L169" s="200"/>
      <c r="M169" s="200"/>
      <c r="N169" s="210"/>
      <c r="O169" s="210"/>
      <c r="P169" s="252"/>
      <c r="Q169" s="252"/>
      <c r="R169" s="200"/>
      <c r="T169" s="154"/>
      <c r="V169" s="252"/>
      <c r="Y169" s="252"/>
      <c r="Z169" s="328"/>
      <c r="AA169" s="200"/>
      <c r="AB169" s="200"/>
      <c r="AC169" s="210"/>
      <c r="AD169" s="210"/>
      <c r="AE169" s="200"/>
      <c r="AF169" s="200"/>
      <c r="AG169" s="209"/>
      <c r="AH169" s="201"/>
      <c r="AI169" s="252"/>
      <c r="AJ169" s="252"/>
      <c r="AK169" s="209"/>
      <c r="AL169" s="200"/>
      <c r="AM169" s="210"/>
      <c r="AN169" s="210"/>
    </row>
    <row r="170" spans="1:40" x14ac:dyDescent="0.25">
      <c r="A170" s="202"/>
      <c r="C170" s="154"/>
      <c r="F170" s="252"/>
      <c r="H170" s="252"/>
      <c r="I170" s="252"/>
      <c r="J170" s="320"/>
      <c r="K170" s="320"/>
      <c r="L170" s="200"/>
      <c r="M170" s="200"/>
      <c r="N170" s="210"/>
      <c r="O170" s="210"/>
      <c r="P170" s="252"/>
      <c r="Q170" s="252"/>
      <c r="R170" s="200"/>
      <c r="T170" s="154"/>
      <c r="V170" s="252"/>
      <c r="Y170" s="200"/>
      <c r="Z170" s="304"/>
      <c r="AA170" s="200"/>
      <c r="AB170" s="200"/>
      <c r="AC170" s="210"/>
      <c r="AD170" s="210"/>
      <c r="AE170" s="200"/>
      <c r="AF170" s="200"/>
      <c r="AG170" s="209"/>
      <c r="AH170" s="201"/>
      <c r="AI170" s="252"/>
      <c r="AJ170" s="252"/>
      <c r="AK170" s="209"/>
      <c r="AL170" s="200"/>
      <c r="AM170" s="210"/>
      <c r="AN170" s="210"/>
    </row>
    <row r="171" spans="1:40" x14ac:dyDescent="0.25">
      <c r="A171" s="202"/>
      <c r="C171" s="154"/>
      <c r="F171" s="252"/>
      <c r="H171" s="252"/>
      <c r="I171" s="252"/>
      <c r="J171" s="320"/>
      <c r="K171" s="320"/>
      <c r="L171" s="200"/>
      <c r="M171" s="200"/>
      <c r="N171" s="210"/>
      <c r="O171" s="210"/>
      <c r="P171" s="252"/>
      <c r="Q171" s="252"/>
      <c r="R171" s="200"/>
      <c r="T171" s="154"/>
      <c r="V171" s="252"/>
      <c r="Y171" s="200"/>
      <c r="Z171" s="304"/>
      <c r="AA171" s="200"/>
      <c r="AB171" s="200"/>
      <c r="AC171" s="210"/>
      <c r="AD171" s="210"/>
      <c r="AE171" s="200"/>
      <c r="AF171" s="200"/>
      <c r="AG171" s="209"/>
      <c r="AH171" s="201"/>
      <c r="AI171" s="252"/>
      <c r="AJ171" s="252"/>
      <c r="AK171" s="209"/>
      <c r="AL171" s="200"/>
      <c r="AM171" s="210"/>
      <c r="AN171" s="210"/>
    </row>
    <row r="172" spans="1:40" x14ac:dyDescent="0.25">
      <c r="F172" s="211"/>
      <c r="H172" s="211"/>
      <c r="I172" s="211"/>
      <c r="J172" s="305"/>
      <c r="K172" s="305"/>
      <c r="L172" s="211"/>
      <c r="M172" s="211"/>
      <c r="N172" s="211"/>
      <c r="O172" s="211"/>
      <c r="P172" s="211"/>
      <c r="Q172" s="211"/>
      <c r="R172" s="211"/>
      <c r="V172" s="211"/>
      <c r="Y172" s="211"/>
      <c r="Z172" s="305"/>
      <c r="AA172" s="211"/>
      <c r="AB172" s="211"/>
      <c r="AC172" s="211"/>
      <c r="AD172" s="211"/>
      <c r="AE172" s="211"/>
      <c r="AF172" s="211"/>
      <c r="AI172" s="211"/>
      <c r="AJ172" s="211"/>
      <c r="AK172" s="212"/>
      <c r="AL172" s="211"/>
      <c r="AM172" s="210"/>
      <c r="AN172" s="210"/>
    </row>
    <row r="173" spans="1:40" x14ac:dyDescent="0.25">
      <c r="A173" s="202"/>
      <c r="C173" s="154"/>
      <c r="F173" s="200"/>
      <c r="H173" s="200"/>
      <c r="I173" s="200"/>
      <c r="J173" s="213"/>
      <c r="K173" s="213"/>
      <c r="L173" s="200"/>
      <c r="M173" s="200"/>
      <c r="N173" s="210"/>
      <c r="O173" s="210"/>
      <c r="P173" s="200"/>
      <c r="Q173" s="200"/>
      <c r="R173" s="200"/>
      <c r="T173" s="154"/>
      <c r="V173" s="200"/>
      <c r="Y173" s="200"/>
      <c r="Z173" s="213"/>
      <c r="AA173" s="200"/>
      <c r="AB173" s="200"/>
      <c r="AC173" s="210"/>
      <c r="AD173" s="210"/>
      <c r="AE173" s="200"/>
      <c r="AF173" s="200"/>
      <c r="AG173" s="209"/>
      <c r="AH173" s="201"/>
      <c r="AI173" s="200"/>
      <c r="AJ173" s="200"/>
      <c r="AK173" s="209"/>
      <c r="AL173" s="200"/>
      <c r="AM173" s="210"/>
      <c r="AN173" s="210"/>
    </row>
    <row r="174" spans="1:40" x14ac:dyDescent="0.25">
      <c r="F174" s="211"/>
      <c r="H174" s="211"/>
      <c r="I174" s="211"/>
      <c r="J174" s="305"/>
      <c r="K174" s="305"/>
      <c r="L174" s="211"/>
      <c r="M174" s="211"/>
      <c r="N174" s="211"/>
      <c r="O174" s="211"/>
      <c r="P174" s="211"/>
      <c r="Q174" s="211"/>
      <c r="R174" s="211"/>
      <c r="V174" s="211"/>
      <c r="Y174" s="211"/>
      <c r="Z174" s="305"/>
      <c r="AA174" s="211"/>
      <c r="AB174" s="211"/>
      <c r="AC174" s="211"/>
      <c r="AD174" s="211"/>
      <c r="AE174" s="211"/>
      <c r="AF174" s="211"/>
      <c r="AI174" s="211"/>
      <c r="AJ174" s="211"/>
      <c r="AK174" s="212"/>
      <c r="AL174" s="211"/>
      <c r="AM174" s="210"/>
      <c r="AN174" s="210"/>
    </row>
    <row r="175" spans="1:40" x14ac:dyDescent="0.25">
      <c r="A175" s="202"/>
      <c r="C175" s="154"/>
      <c r="F175" s="200"/>
      <c r="H175" s="200"/>
      <c r="I175" s="200"/>
      <c r="J175" s="213"/>
      <c r="K175" s="213"/>
      <c r="L175" s="200"/>
      <c r="M175" s="200"/>
      <c r="N175" s="210"/>
      <c r="O175" s="210"/>
      <c r="P175" s="200"/>
      <c r="Q175" s="200"/>
      <c r="R175" s="200"/>
      <c r="T175" s="154"/>
      <c r="V175" s="200"/>
      <c r="Y175" s="200"/>
      <c r="Z175" s="213"/>
      <c r="AA175" s="200"/>
      <c r="AB175" s="200"/>
      <c r="AC175" s="210"/>
      <c r="AD175" s="210"/>
      <c r="AE175" s="200"/>
      <c r="AF175" s="200"/>
      <c r="AG175" s="209"/>
      <c r="AH175" s="201"/>
      <c r="AI175" s="200"/>
      <c r="AJ175" s="200"/>
      <c r="AK175" s="209"/>
      <c r="AL175" s="200"/>
      <c r="AM175" s="210"/>
      <c r="AN175" s="210"/>
    </row>
    <row r="176" spans="1:40" x14ac:dyDescent="0.25">
      <c r="A176" s="202"/>
      <c r="C176" s="154"/>
      <c r="F176" s="200"/>
      <c r="H176" s="200"/>
      <c r="I176" s="200"/>
      <c r="J176" s="213"/>
      <c r="K176" s="213"/>
      <c r="L176" s="200"/>
      <c r="M176" s="200"/>
      <c r="N176" s="210"/>
      <c r="O176" s="210"/>
      <c r="P176" s="200"/>
      <c r="Q176" s="200"/>
      <c r="R176" s="200"/>
      <c r="T176" s="154"/>
      <c r="V176" s="200"/>
      <c r="Y176" s="200"/>
      <c r="Z176" s="213"/>
      <c r="AA176" s="200"/>
      <c r="AB176" s="200"/>
      <c r="AC176" s="210"/>
      <c r="AD176" s="210"/>
      <c r="AE176" s="200"/>
      <c r="AF176" s="200"/>
      <c r="AG176" s="209"/>
      <c r="AH176" s="201"/>
      <c r="AI176" s="200"/>
      <c r="AJ176" s="200"/>
      <c r="AK176" s="209"/>
      <c r="AL176" s="200"/>
      <c r="AM176" s="210"/>
      <c r="AN176" s="210"/>
    </row>
    <row r="177" spans="1:40" x14ac:dyDescent="0.25">
      <c r="F177" s="211"/>
      <c r="H177" s="211"/>
      <c r="I177" s="211"/>
      <c r="J177" s="305"/>
      <c r="K177" s="305"/>
      <c r="L177" s="211"/>
      <c r="M177" s="211"/>
      <c r="N177" s="211"/>
      <c r="O177" s="211"/>
      <c r="P177" s="211"/>
      <c r="Q177" s="211"/>
      <c r="R177" s="211"/>
      <c r="V177" s="211"/>
      <c r="Y177" s="211"/>
      <c r="Z177" s="305"/>
      <c r="AA177" s="211"/>
      <c r="AB177" s="211"/>
      <c r="AC177" s="211"/>
      <c r="AD177" s="211"/>
      <c r="AE177" s="211"/>
      <c r="AF177" s="211"/>
      <c r="AI177" s="211"/>
      <c r="AJ177" s="211"/>
      <c r="AK177" s="212"/>
      <c r="AL177" s="211"/>
      <c r="AM177" s="200"/>
      <c r="AN177" s="200"/>
    </row>
    <row r="178" spans="1:40" x14ac:dyDescent="0.25">
      <c r="F178" s="200"/>
      <c r="H178" s="200"/>
      <c r="I178" s="200"/>
      <c r="J178" s="213"/>
      <c r="K178" s="213"/>
      <c r="L178" s="200"/>
      <c r="M178" s="200"/>
      <c r="N178" s="200"/>
      <c r="O178" s="200"/>
      <c r="P178" s="200"/>
      <c r="Q178" s="200"/>
      <c r="R178" s="200"/>
      <c r="V178" s="200"/>
      <c r="Y178" s="200"/>
      <c r="Z178" s="213"/>
      <c r="AA178" s="200"/>
      <c r="AB178" s="200"/>
      <c r="AC178" s="200"/>
      <c r="AD178" s="200"/>
    </row>
    <row r="179" spans="1:40" x14ac:dyDescent="0.25">
      <c r="C179" s="154"/>
      <c r="F179" s="200"/>
      <c r="H179" s="200"/>
      <c r="I179" s="200"/>
      <c r="J179" s="213"/>
      <c r="K179" s="213"/>
      <c r="L179" s="200"/>
      <c r="M179" s="200"/>
      <c r="N179" s="200"/>
      <c r="O179" s="200"/>
      <c r="P179" s="200"/>
      <c r="Q179" s="200"/>
      <c r="R179" s="200"/>
      <c r="T179" s="154"/>
      <c r="V179" s="200"/>
      <c r="Y179" s="200"/>
      <c r="Z179" s="213"/>
      <c r="AA179" s="200"/>
      <c r="AB179" s="200"/>
      <c r="AC179" s="200"/>
      <c r="AD179" s="200"/>
    </row>
    <row r="180" spans="1:40" x14ac:dyDescent="0.25">
      <c r="A180" s="154"/>
    </row>
    <row r="181" spans="1:40" x14ac:dyDescent="0.25">
      <c r="J181" s="202"/>
      <c r="K181" s="202"/>
      <c r="Z181" s="202"/>
    </row>
    <row r="182" spans="1:40" x14ac:dyDescent="0.25">
      <c r="H182" s="154"/>
      <c r="I182" s="154"/>
      <c r="Y182" s="154"/>
    </row>
    <row r="183" spans="1:40" x14ac:dyDescent="0.25">
      <c r="J183" s="202"/>
      <c r="K183" s="202"/>
      <c r="Z183" s="202"/>
    </row>
    <row r="184" spans="1:40" x14ac:dyDescent="0.25">
      <c r="L184" s="154"/>
      <c r="M184" s="154"/>
      <c r="AA184" s="154"/>
      <c r="AB184" s="154"/>
    </row>
    <row r="185" spans="1:40" x14ac:dyDescent="0.25">
      <c r="A185" s="202"/>
      <c r="R185" s="154"/>
      <c r="AK185" s="297"/>
      <c r="AL185" s="154"/>
    </row>
    <row r="186" spans="1:40" x14ac:dyDescent="0.25">
      <c r="A186" s="202"/>
      <c r="R186" s="154"/>
      <c r="AK186" s="297"/>
      <c r="AL186" s="154"/>
    </row>
    <row r="187" spans="1:40" x14ac:dyDescent="0.25">
      <c r="A187" s="154"/>
      <c r="R187" s="154"/>
      <c r="AK187" s="297"/>
      <c r="AL187" s="154"/>
    </row>
    <row r="188" spans="1:40" x14ac:dyDescent="0.25">
      <c r="L188" s="154"/>
      <c r="M188" s="154"/>
      <c r="R188" s="202"/>
      <c r="AA188" s="154"/>
      <c r="AB188" s="154"/>
      <c r="AK188" s="209"/>
      <c r="AL188" s="202"/>
    </row>
    <row r="189" spans="1:40" x14ac:dyDescent="0.25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208"/>
      <c r="AH189" s="102"/>
      <c r="AI189" s="102"/>
      <c r="AJ189" s="102"/>
      <c r="AK189" s="208"/>
      <c r="AL189" s="102"/>
      <c r="AM189" s="102"/>
      <c r="AN189" s="102"/>
    </row>
    <row r="190" spans="1:40" x14ac:dyDescent="0.25">
      <c r="L190" s="103"/>
      <c r="M190" s="103"/>
      <c r="N190" s="103"/>
      <c r="O190" s="103"/>
      <c r="R190" s="103"/>
      <c r="AA190" s="103"/>
      <c r="AB190" s="103"/>
      <c r="AC190" s="103"/>
      <c r="AD190" s="103"/>
      <c r="AE190" s="103"/>
      <c r="AF190" s="103"/>
      <c r="AG190" s="185"/>
      <c r="AH190" s="103"/>
      <c r="AK190" s="185"/>
      <c r="AL190" s="103"/>
      <c r="AM190" s="103"/>
      <c r="AN190" s="103"/>
    </row>
    <row r="191" spans="1:40" x14ac:dyDescent="0.25">
      <c r="L191" s="103"/>
      <c r="M191" s="103"/>
      <c r="N191" s="103"/>
      <c r="O191" s="103"/>
      <c r="R191" s="103"/>
      <c r="Z191" s="103"/>
      <c r="AA191" s="103"/>
      <c r="AB191" s="103"/>
      <c r="AC191" s="103"/>
      <c r="AD191" s="103"/>
      <c r="AE191" s="103"/>
      <c r="AF191" s="103"/>
      <c r="AG191" s="185"/>
      <c r="AH191" s="103"/>
      <c r="AK191" s="185"/>
      <c r="AL191" s="103"/>
      <c r="AM191" s="103"/>
      <c r="AN191" s="103"/>
    </row>
    <row r="192" spans="1:40" x14ac:dyDescent="0.25">
      <c r="A192" s="103"/>
      <c r="C192" s="103"/>
      <c r="D192" s="103"/>
      <c r="E192" s="103"/>
      <c r="F192" s="103"/>
      <c r="J192" s="103"/>
      <c r="K192" s="103"/>
      <c r="L192" s="103"/>
      <c r="M192" s="103"/>
      <c r="N192" s="103"/>
      <c r="O192" s="103"/>
      <c r="P192" s="103"/>
      <c r="Q192" s="103"/>
      <c r="R192" s="103"/>
      <c r="T192" s="103"/>
      <c r="U192" s="103"/>
      <c r="V192" s="103"/>
      <c r="Z192" s="103"/>
      <c r="AA192" s="103"/>
      <c r="AB192" s="103"/>
      <c r="AC192" s="103"/>
      <c r="AD192" s="103"/>
      <c r="AE192" s="103"/>
      <c r="AF192" s="103"/>
      <c r="AG192" s="185"/>
      <c r="AH192" s="103"/>
      <c r="AI192" s="103"/>
      <c r="AJ192" s="103"/>
      <c r="AK192" s="185"/>
      <c r="AL192" s="103"/>
      <c r="AM192" s="103"/>
      <c r="AN192" s="103"/>
    </row>
    <row r="193" spans="1:40" x14ac:dyDescent="0.25">
      <c r="A193" s="103"/>
      <c r="C193" s="103"/>
      <c r="D193" s="103"/>
      <c r="E193" s="103"/>
      <c r="F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T193" s="103"/>
      <c r="U193" s="103"/>
      <c r="V193" s="103"/>
      <c r="Y193" s="103"/>
      <c r="Z193" s="103"/>
      <c r="AA193" s="103"/>
      <c r="AB193" s="103"/>
      <c r="AC193" s="103"/>
      <c r="AD193" s="103"/>
      <c r="AE193" s="103"/>
      <c r="AF193" s="103"/>
      <c r="AG193" s="185"/>
      <c r="AH193" s="103"/>
      <c r="AI193" s="103"/>
      <c r="AJ193" s="103"/>
      <c r="AK193" s="185"/>
      <c r="AL193" s="103"/>
      <c r="AM193" s="103"/>
      <c r="AN193" s="103"/>
    </row>
    <row r="194" spans="1:40" x14ac:dyDescent="0.25">
      <c r="C194" s="103"/>
      <c r="D194" s="103"/>
      <c r="E194" s="103"/>
      <c r="F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T194" s="103"/>
      <c r="U194" s="103"/>
      <c r="V194" s="103"/>
      <c r="Y194" s="103"/>
      <c r="Z194" s="103"/>
      <c r="AA194" s="103"/>
      <c r="AB194" s="103"/>
      <c r="AC194" s="103"/>
      <c r="AD194" s="103"/>
      <c r="AE194" s="103"/>
      <c r="AF194" s="103"/>
      <c r="AG194" s="185"/>
      <c r="AH194" s="103"/>
      <c r="AI194" s="103"/>
      <c r="AJ194" s="103"/>
      <c r="AK194" s="185"/>
      <c r="AL194" s="103"/>
      <c r="AM194" s="103"/>
      <c r="AN194" s="103"/>
    </row>
    <row r="195" spans="1:40" x14ac:dyDescent="0.25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208"/>
      <c r="AH195" s="102"/>
      <c r="AI195" s="102"/>
      <c r="AJ195" s="102"/>
      <c r="AK195" s="208"/>
      <c r="AL195" s="102"/>
      <c r="AM195" s="102"/>
      <c r="AN195" s="102"/>
    </row>
    <row r="196" spans="1:40" x14ac:dyDescent="0.25"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Y196" s="103"/>
      <c r="Z196" s="103"/>
      <c r="AA196" s="103"/>
      <c r="AB196" s="103"/>
      <c r="AC196" s="103"/>
      <c r="AD196" s="103"/>
      <c r="AE196" s="103"/>
      <c r="AF196" s="103"/>
      <c r="AG196" s="185"/>
      <c r="AH196" s="103"/>
      <c r="AI196" s="103"/>
      <c r="AJ196" s="103"/>
      <c r="AK196" s="185"/>
      <c r="AL196" s="103"/>
      <c r="AM196" s="103"/>
      <c r="AN196" s="103"/>
    </row>
    <row r="197" spans="1:40" x14ac:dyDescent="0.25">
      <c r="A197" s="202"/>
      <c r="C197" s="154"/>
      <c r="D197" s="154"/>
      <c r="E197" s="154"/>
      <c r="T197" s="154"/>
      <c r="U197" s="154"/>
    </row>
    <row r="199" spans="1:40" x14ac:dyDescent="0.25">
      <c r="A199" s="202"/>
      <c r="C199" s="154"/>
      <c r="F199" s="252"/>
      <c r="H199" s="317"/>
      <c r="I199" s="317"/>
      <c r="J199" s="300"/>
      <c r="K199" s="300"/>
      <c r="L199" s="200"/>
      <c r="M199" s="200"/>
      <c r="N199" s="202"/>
      <c r="O199" s="202"/>
      <c r="P199" s="202"/>
      <c r="Q199" s="202"/>
      <c r="R199" s="200"/>
      <c r="T199" s="154"/>
      <c r="V199" s="200"/>
      <c r="Y199" s="202"/>
      <c r="Z199" s="300"/>
      <c r="AA199" s="200"/>
      <c r="AB199" s="200"/>
      <c r="AC199" s="202"/>
      <c r="AD199" s="202"/>
      <c r="AE199" s="200"/>
      <c r="AF199" s="200"/>
      <c r="AG199" s="325"/>
      <c r="AH199" s="326"/>
      <c r="AI199" s="200"/>
      <c r="AJ199" s="200"/>
      <c r="AK199" s="209"/>
      <c r="AL199" s="200"/>
      <c r="AM199" s="327"/>
      <c r="AN199" s="327"/>
    </row>
    <row r="200" spans="1:40" x14ac:dyDescent="0.25">
      <c r="F200" s="252"/>
      <c r="H200" s="317"/>
      <c r="I200" s="317"/>
      <c r="J200" s="317"/>
      <c r="K200" s="317"/>
      <c r="R200" s="200"/>
      <c r="V200" s="200"/>
      <c r="Z200" s="317"/>
    </row>
    <row r="201" spans="1:40" x14ac:dyDescent="0.25">
      <c r="A201" s="202"/>
      <c r="C201" s="154"/>
      <c r="F201" s="252"/>
      <c r="H201" s="252"/>
      <c r="I201" s="252"/>
      <c r="J201" s="320"/>
      <c r="K201" s="320"/>
      <c r="L201" s="200"/>
      <c r="M201" s="200"/>
      <c r="N201" s="210"/>
      <c r="O201" s="210"/>
      <c r="P201" s="252"/>
      <c r="Q201" s="252"/>
      <c r="R201" s="200"/>
      <c r="T201" s="154"/>
      <c r="V201" s="200"/>
      <c r="Y201" s="200"/>
      <c r="Z201" s="304"/>
      <c r="AA201" s="200"/>
      <c r="AB201" s="200"/>
      <c r="AC201" s="210"/>
      <c r="AD201" s="210"/>
      <c r="AE201" s="200"/>
      <c r="AF201" s="200"/>
      <c r="AG201" s="209"/>
      <c r="AH201" s="201"/>
      <c r="AI201" s="252"/>
      <c r="AJ201" s="252"/>
      <c r="AK201" s="209"/>
      <c r="AL201" s="200"/>
      <c r="AM201" s="210"/>
      <c r="AN201" s="210"/>
    </row>
    <row r="202" spans="1:40" x14ac:dyDescent="0.25">
      <c r="F202" s="211"/>
      <c r="H202" s="211"/>
      <c r="I202" s="211"/>
      <c r="J202" s="305"/>
      <c r="K202" s="305"/>
      <c r="L202" s="211"/>
      <c r="M202" s="211"/>
      <c r="N202" s="211"/>
      <c r="O202" s="211"/>
      <c r="P202" s="211"/>
      <c r="Q202" s="211"/>
      <c r="R202" s="211"/>
      <c r="V202" s="211"/>
      <c r="Y202" s="211"/>
      <c r="Z202" s="305"/>
      <c r="AA202" s="211"/>
      <c r="AB202" s="211"/>
      <c r="AC202" s="211"/>
      <c r="AD202" s="211"/>
      <c r="AE202" s="211"/>
      <c r="AF202" s="211"/>
      <c r="AI202" s="211"/>
      <c r="AJ202" s="211"/>
      <c r="AK202" s="212"/>
      <c r="AL202" s="211"/>
    </row>
    <row r="203" spans="1:40" x14ac:dyDescent="0.25">
      <c r="A203" s="202"/>
      <c r="D203" s="154"/>
      <c r="E203" s="154"/>
      <c r="F203" s="200"/>
      <c r="H203" s="200"/>
      <c r="I203" s="200"/>
      <c r="J203" s="213"/>
      <c r="K203" s="213"/>
      <c r="L203" s="200"/>
      <c r="M203" s="200"/>
      <c r="N203" s="210"/>
      <c r="O203" s="210"/>
      <c r="P203" s="200"/>
      <c r="Q203" s="200"/>
      <c r="R203" s="200"/>
      <c r="U203" s="154"/>
      <c r="V203" s="200"/>
      <c r="Y203" s="200"/>
      <c r="Z203" s="213"/>
      <c r="AA203" s="200"/>
      <c r="AB203" s="200"/>
      <c r="AC203" s="210"/>
      <c r="AD203" s="210"/>
      <c r="AE203" s="200"/>
      <c r="AF203" s="200"/>
      <c r="AG203" s="209"/>
      <c r="AH203" s="201"/>
      <c r="AI203" s="200"/>
      <c r="AJ203" s="200"/>
      <c r="AK203" s="209"/>
      <c r="AL203" s="200"/>
      <c r="AM203" s="210"/>
      <c r="AN203" s="210"/>
    </row>
    <row r="204" spans="1:40" x14ac:dyDescent="0.25">
      <c r="F204" s="211"/>
      <c r="H204" s="211"/>
      <c r="I204" s="211"/>
      <c r="J204" s="305"/>
      <c r="K204" s="305"/>
      <c r="L204" s="211"/>
      <c r="M204" s="211"/>
      <c r="N204" s="211"/>
      <c r="O204" s="211"/>
      <c r="P204" s="211"/>
      <c r="Q204" s="211"/>
      <c r="R204" s="211"/>
      <c r="V204" s="211"/>
      <c r="Y204" s="211"/>
      <c r="Z204" s="305"/>
      <c r="AA204" s="211"/>
      <c r="AB204" s="211"/>
      <c r="AC204" s="211"/>
      <c r="AD204" s="211"/>
      <c r="AE204" s="211"/>
      <c r="AF204" s="211"/>
      <c r="AI204" s="211"/>
      <c r="AJ204" s="211"/>
      <c r="AK204" s="212"/>
      <c r="AL204" s="211"/>
    </row>
    <row r="205" spans="1:40" x14ac:dyDescent="0.25">
      <c r="R205" s="200"/>
    </row>
    <row r="206" spans="1:40" x14ac:dyDescent="0.25">
      <c r="R206" s="200"/>
    </row>
    <row r="207" spans="1:40" x14ac:dyDescent="0.25">
      <c r="R207" s="200"/>
    </row>
    <row r="208" spans="1:40" x14ac:dyDescent="0.25">
      <c r="A208" s="202"/>
      <c r="C208" s="154"/>
      <c r="D208" s="154"/>
      <c r="E208" s="154"/>
      <c r="H208" s="200"/>
      <c r="I208" s="200"/>
      <c r="J208" s="213"/>
      <c r="K208" s="213"/>
      <c r="L208" s="200"/>
      <c r="M208" s="200"/>
      <c r="N208" s="210"/>
      <c r="O208" s="210"/>
      <c r="P208" s="200"/>
      <c r="Q208" s="200"/>
      <c r="R208" s="200"/>
      <c r="T208" s="154"/>
      <c r="U208" s="154"/>
      <c r="Y208" s="200"/>
      <c r="Z208" s="213"/>
      <c r="AA208" s="200"/>
      <c r="AB208" s="200"/>
      <c r="AC208" s="210"/>
      <c r="AD208" s="210"/>
    </row>
    <row r="209" spans="1:40" x14ac:dyDescent="0.25">
      <c r="H209" s="200"/>
      <c r="I209" s="200"/>
      <c r="J209" s="213"/>
      <c r="K209" s="213"/>
      <c r="L209" s="200"/>
      <c r="M209" s="200"/>
      <c r="N209" s="210"/>
      <c r="O209" s="210"/>
      <c r="P209" s="200"/>
      <c r="Q209" s="200"/>
      <c r="R209" s="200"/>
      <c r="Y209" s="200"/>
      <c r="Z209" s="213"/>
      <c r="AA209" s="200"/>
      <c r="AB209" s="200"/>
      <c r="AC209" s="210"/>
      <c r="AD209" s="210"/>
    </row>
    <row r="210" spans="1:40" x14ac:dyDescent="0.25">
      <c r="A210" s="202"/>
      <c r="C210" s="154"/>
      <c r="F210" s="252"/>
      <c r="H210" s="252"/>
      <c r="I210" s="252"/>
      <c r="J210" s="214"/>
      <c r="K210" s="214"/>
      <c r="L210" s="252"/>
      <c r="M210" s="252"/>
      <c r="N210" s="210"/>
      <c r="O210" s="210"/>
      <c r="P210" s="200"/>
      <c r="Q210" s="200"/>
      <c r="R210" s="200"/>
      <c r="T210" s="154"/>
      <c r="V210" s="200"/>
      <c r="Y210" s="200"/>
      <c r="Z210" s="214"/>
      <c r="AA210" s="200"/>
      <c r="AB210" s="200"/>
      <c r="AC210" s="210"/>
      <c r="AD210" s="210"/>
      <c r="AE210" s="200"/>
      <c r="AF210" s="200"/>
      <c r="AG210" s="209"/>
      <c r="AH210" s="201"/>
      <c r="AI210" s="200"/>
      <c r="AJ210" s="200"/>
      <c r="AK210" s="209"/>
      <c r="AL210" s="200"/>
      <c r="AM210" s="210"/>
      <c r="AN210" s="210"/>
    </row>
    <row r="211" spans="1:40" x14ac:dyDescent="0.25">
      <c r="F211" s="252"/>
      <c r="H211" s="317"/>
      <c r="I211" s="317"/>
      <c r="J211" s="317"/>
      <c r="K211" s="317"/>
      <c r="R211" s="200"/>
      <c r="V211" s="200"/>
      <c r="Z211" s="317"/>
    </row>
    <row r="212" spans="1:40" x14ac:dyDescent="0.25">
      <c r="A212" s="202"/>
      <c r="C212" s="154"/>
      <c r="F212" s="252"/>
      <c r="H212" s="252"/>
      <c r="I212" s="252"/>
      <c r="J212" s="300"/>
      <c r="K212" s="300"/>
      <c r="L212" s="200"/>
      <c r="M212" s="200"/>
      <c r="N212" s="210"/>
      <c r="O212" s="210"/>
      <c r="P212" s="200"/>
      <c r="Q212" s="200"/>
      <c r="R212" s="200"/>
      <c r="T212" s="154"/>
      <c r="V212" s="200"/>
      <c r="Y212" s="200"/>
      <c r="Z212" s="300"/>
      <c r="AA212" s="200"/>
      <c r="AB212" s="200"/>
      <c r="AC212" s="210"/>
      <c r="AD212" s="210"/>
      <c r="AE212" s="200"/>
      <c r="AF212" s="200"/>
      <c r="AG212" s="209"/>
      <c r="AH212" s="201"/>
      <c r="AI212" s="200"/>
      <c r="AJ212" s="200"/>
      <c r="AK212" s="209"/>
      <c r="AL212" s="200"/>
      <c r="AM212" s="210"/>
      <c r="AN212" s="210"/>
    </row>
    <row r="213" spans="1:40" x14ac:dyDescent="0.25">
      <c r="F213" s="252"/>
      <c r="H213" s="317"/>
      <c r="I213" s="317"/>
      <c r="J213" s="317"/>
      <c r="K213" s="317"/>
      <c r="R213" s="200"/>
      <c r="V213" s="200"/>
      <c r="Z213" s="317"/>
    </row>
    <row r="214" spans="1:40" x14ac:dyDescent="0.25">
      <c r="A214" s="202"/>
      <c r="C214" s="154"/>
      <c r="F214" s="252"/>
      <c r="H214" s="252"/>
      <c r="I214" s="252"/>
      <c r="J214" s="320"/>
      <c r="K214" s="320"/>
      <c r="L214" s="200"/>
      <c r="M214" s="200"/>
      <c r="N214" s="210"/>
      <c r="O214" s="210"/>
      <c r="P214" s="200"/>
      <c r="Q214" s="200"/>
      <c r="R214" s="200"/>
      <c r="T214" s="154"/>
      <c r="V214" s="200"/>
      <c r="Y214" s="200"/>
      <c r="Z214" s="304"/>
      <c r="AA214" s="200"/>
      <c r="AB214" s="200"/>
      <c r="AC214" s="210"/>
      <c r="AD214" s="210"/>
      <c r="AE214" s="200"/>
      <c r="AF214" s="200"/>
      <c r="AG214" s="209"/>
      <c r="AH214" s="201"/>
      <c r="AI214" s="200"/>
      <c r="AJ214" s="200"/>
      <c r="AK214" s="209"/>
      <c r="AL214" s="200"/>
      <c r="AM214" s="210"/>
      <c r="AN214" s="210"/>
    </row>
    <row r="215" spans="1:40" x14ac:dyDescent="0.25">
      <c r="F215" s="211"/>
      <c r="H215" s="211"/>
      <c r="I215" s="211"/>
      <c r="J215" s="305"/>
      <c r="K215" s="305"/>
      <c r="L215" s="211"/>
      <c r="M215" s="211"/>
      <c r="N215" s="211"/>
      <c r="O215" s="211"/>
      <c r="P215" s="211"/>
      <c r="Q215" s="211"/>
      <c r="R215" s="211"/>
      <c r="S215" s="200"/>
      <c r="V215" s="211"/>
      <c r="Y215" s="211"/>
      <c r="Z215" s="305"/>
      <c r="AA215" s="211"/>
      <c r="AB215" s="211"/>
      <c r="AC215" s="211"/>
      <c r="AD215" s="211"/>
      <c r="AE215" s="211"/>
      <c r="AF215" s="211"/>
      <c r="AI215" s="211"/>
      <c r="AJ215" s="211"/>
      <c r="AK215" s="212"/>
      <c r="AL215" s="211"/>
    </row>
    <row r="216" spans="1:40" x14ac:dyDescent="0.25">
      <c r="A216" s="202"/>
      <c r="D216" s="154"/>
      <c r="E216" s="154"/>
      <c r="F216" s="200"/>
      <c r="H216" s="200"/>
      <c r="I216" s="200"/>
      <c r="J216" s="213"/>
      <c r="K216" s="213"/>
      <c r="L216" s="200"/>
      <c r="M216" s="200"/>
      <c r="N216" s="210"/>
      <c r="O216" s="210"/>
      <c r="P216" s="252"/>
      <c r="Q216" s="252"/>
      <c r="R216" s="200"/>
      <c r="S216" s="200"/>
      <c r="U216" s="154"/>
      <c r="V216" s="200"/>
      <c r="Y216" s="200"/>
      <c r="Z216" s="213"/>
      <c r="AA216" s="200"/>
      <c r="AB216" s="200"/>
      <c r="AC216" s="210"/>
      <c r="AD216" s="210"/>
      <c r="AE216" s="200"/>
      <c r="AF216" s="200"/>
      <c r="AG216" s="209"/>
      <c r="AH216" s="201"/>
      <c r="AI216" s="252"/>
      <c r="AJ216" s="252"/>
      <c r="AK216" s="209"/>
      <c r="AL216" s="200"/>
      <c r="AM216" s="210"/>
      <c r="AN216" s="210"/>
    </row>
    <row r="217" spans="1:40" x14ac:dyDescent="0.25">
      <c r="F217" s="211"/>
      <c r="H217" s="211"/>
      <c r="I217" s="211"/>
      <c r="J217" s="305"/>
      <c r="K217" s="305"/>
      <c r="L217" s="211"/>
      <c r="M217" s="211"/>
      <c r="N217" s="211"/>
      <c r="O217" s="211"/>
      <c r="P217" s="211"/>
      <c r="Q217" s="211"/>
      <c r="R217" s="211"/>
      <c r="S217" s="200"/>
      <c r="V217" s="211"/>
      <c r="Y217" s="211"/>
      <c r="Z217" s="305"/>
      <c r="AA217" s="211"/>
      <c r="AB217" s="211"/>
      <c r="AC217" s="211"/>
      <c r="AD217" s="211"/>
      <c r="AE217" s="211"/>
      <c r="AF217" s="211"/>
      <c r="AI217" s="211"/>
      <c r="AJ217" s="211"/>
      <c r="AK217" s="212"/>
      <c r="AL217" s="211"/>
    </row>
    <row r="218" spans="1:40" x14ac:dyDescent="0.25">
      <c r="R218" s="200"/>
    </row>
    <row r="219" spans="1:40" x14ac:dyDescent="0.25">
      <c r="F219" s="200"/>
      <c r="H219" s="200"/>
      <c r="I219" s="200"/>
      <c r="J219" s="213"/>
      <c r="K219" s="213"/>
      <c r="L219" s="200"/>
      <c r="M219" s="200"/>
      <c r="N219" s="200"/>
      <c r="O219" s="200"/>
      <c r="P219" s="200"/>
      <c r="Q219" s="200"/>
      <c r="R219" s="200"/>
      <c r="V219" s="200"/>
      <c r="Y219" s="200"/>
      <c r="Z219" s="213"/>
      <c r="AA219" s="200"/>
      <c r="AB219" s="200"/>
      <c r="AC219" s="200"/>
      <c r="AD219" s="200"/>
    </row>
    <row r="220" spans="1:40" x14ac:dyDescent="0.25">
      <c r="C220" s="154"/>
      <c r="F220" s="200"/>
      <c r="H220" s="200"/>
      <c r="I220" s="200"/>
      <c r="J220" s="213"/>
      <c r="K220" s="213"/>
      <c r="L220" s="200"/>
      <c r="M220" s="200"/>
      <c r="N220" s="200"/>
      <c r="O220" s="200"/>
      <c r="P220" s="200"/>
      <c r="Q220" s="200"/>
      <c r="R220" s="200"/>
      <c r="T220" s="154"/>
      <c r="V220" s="200"/>
      <c r="Y220" s="200"/>
      <c r="Z220" s="213"/>
      <c r="AA220" s="200"/>
      <c r="AB220" s="200"/>
      <c r="AC220" s="200"/>
      <c r="AD220" s="200"/>
    </row>
    <row r="221" spans="1:40" x14ac:dyDescent="0.25">
      <c r="C221" s="154"/>
      <c r="T221" s="154"/>
    </row>
    <row r="222" spans="1:40" x14ac:dyDescent="0.25">
      <c r="A222" s="154"/>
    </row>
    <row r="224" spans="1:40" x14ac:dyDescent="0.25">
      <c r="J224" s="202"/>
      <c r="K224" s="202"/>
      <c r="Z224" s="202"/>
    </row>
    <row r="225" spans="1:40" x14ac:dyDescent="0.25">
      <c r="H225" s="154"/>
      <c r="I225" s="154"/>
      <c r="Y225" s="154"/>
    </row>
    <row r="226" spans="1:40" x14ac:dyDescent="0.25">
      <c r="J226" s="202"/>
      <c r="K226" s="202"/>
      <c r="Z226" s="202"/>
    </row>
    <row r="227" spans="1:40" x14ac:dyDescent="0.25">
      <c r="L227" s="154"/>
      <c r="M227" s="154"/>
      <c r="AA227" s="154"/>
      <c r="AB227" s="154"/>
    </row>
    <row r="228" spans="1:40" x14ac:dyDescent="0.25">
      <c r="A228" s="202"/>
      <c r="R228" s="154"/>
      <c r="AK228" s="297"/>
      <c r="AL228" s="154"/>
    </row>
    <row r="229" spans="1:40" x14ac:dyDescent="0.25">
      <c r="A229" s="202"/>
      <c r="R229" s="154"/>
      <c r="AK229" s="297"/>
      <c r="AL229" s="154"/>
    </row>
    <row r="230" spans="1:40" x14ac:dyDescent="0.25">
      <c r="A230" s="154"/>
      <c r="R230" s="154"/>
      <c r="AK230" s="297"/>
      <c r="AL230" s="154"/>
    </row>
    <row r="231" spans="1:40" x14ac:dyDescent="0.25">
      <c r="L231" s="154"/>
      <c r="M231" s="154"/>
      <c r="R231" s="202"/>
      <c r="AA231" s="154"/>
      <c r="AB231" s="154"/>
      <c r="AK231" s="209"/>
      <c r="AL231" s="202"/>
    </row>
    <row r="232" spans="1:40" x14ac:dyDescent="0.25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208"/>
      <c r="AH232" s="102"/>
      <c r="AI232" s="102"/>
      <c r="AJ232" s="102"/>
      <c r="AK232" s="208"/>
      <c r="AL232" s="102"/>
      <c r="AM232" s="102"/>
      <c r="AN232" s="102"/>
    </row>
    <row r="233" spans="1:40" x14ac:dyDescent="0.25">
      <c r="L233" s="103"/>
      <c r="M233" s="103"/>
      <c r="N233" s="103"/>
      <c r="O233" s="103"/>
      <c r="R233" s="103"/>
      <c r="AA233" s="103"/>
      <c r="AB233" s="103"/>
      <c r="AC233" s="103"/>
      <c r="AD233" s="103"/>
      <c r="AE233" s="103"/>
      <c r="AF233" s="103"/>
      <c r="AG233" s="185"/>
      <c r="AH233" s="103"/>
      <c r="AK233" s="185"/>
      <c r="AL233" s="103"/>
      <c r="AM233" s="103"/>
      <c r="AN233" s="103"/>
    </row>
    <row r="234" spans="1:40" x14ac:dyDescent="0.25">
      <c r="L234" s="103"/>
      <c r="M234" s="103"/>
      <c r="N234" s="103"/>
      <c r="O234" s="103"/>
      <c r="R234" s="103"/>
      <c r="Z234" s="103"/>
      <c r="AA234" s="103"/>
      <c r="AB234" s="103"/>
      <c r="AC234" s="103"/>
      <c r="AD234" s="103"/>
      <c r="AE234" s="103"/>
      <c r="AF234" s="103"/>
      <c r="AG234" s="185"/>
      <c r="AH234" s="103"/>
      <c r="AK234" s="185"/>
      <c r="AL234" s="103"/>
      <c r="AM234" s="103"/>
      <c r="AN234" s="103"/>
    </row>
    <row r="235" spans="1:40" x14ac:dyDescent="0.25">
      <c r="A235" s="103"/>
      <c r="C235" s="103"/>
      <c r="D235" s="103"/>
      <c r="E235" s="103"/>
      <c r="F235" s="103"/>
      <c r="J235" s="103"/>
      <c r="K235" s="103"/>
      <c r="L235" s="103"/>
      <c r="M235" s="103"/>
      <c r="N235" s="103"/>
      <c r="O235" s="103"/>
      <c r="P235" s="103"/>
      <c r="Q235" s="103"/>
      <c r="R235" s="103"/>
      <c r="T235" s="103"/>
      <c r="U235" s="103"/>
      <c r="V235" s="103"/>
      <c r="Z235" s="103"/>
      <c r="AA235" s="103"/>
      <c r="AB235" s="103"/>
      <c r="AC235" s="103"/>
      <c r="AD235" s="103"/>
      <c r="AE235" s="103"/>
      <c r="AF235" s="103"/>
      <c r="AG235" s="185"/>
      <c r="AH235" s="103"/>
      <c r="AI235" s="103"/>
      <c r="AJ235" s="103"/>
      <c r="AK235" s="185"/>
      <c r="AL235" s="103"/>
      <c r="AM235" s="103"/>
      <c r="AN235" s="103"/>
    </row>
    <row r="236" spans="1:40" x14ac:dyDescent="0.25">
      <c r="A236" s="103"/>
      <c r="C236" s="103"/>
      <c r="D236" s="103"/>
      <c r="E236" s="103"/>
      <c r="F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T236" s="103"/>
      <c r="U236" s="103"/>
      <c r="V236" s="103"/>
      <c r="Y236" s="103"/>
      <c r="Z236" s="103"/>
      <c r="AA236" s="103"/>
      <c r="AB236" s="103"/>
      <c r="AC236" s="103"/>
      <c r="AD236" s="103"/>
      <c r="AE236" s="103"/>
      <c r="AF236" s="103"/>
      <c r="AG236" s="185"/>
      <c r="AH236" s="103"/>
      <c r="AI236" s="103"/>
      <c r="AJ236" s="103"/>
      <c r="AK236" s="185"/>
      <c r="AL236" s="103"/>
      <c r="AM236" s="103"/>
      <c r="AN236" s="103"/>
    </row>
    <row r="237" spans="1:40" x14ac:dyDescent="0.25">
      <c r="C237" s="103"/>
      <c r="D237" s="103"/>
      <c r="E237" s="103"/>
      <c r="F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T237" s="103"/>
      <c r="U237" s="103"/>
      <c r="V237" s="103"/>
      <c r="Y237" s="103"/>
      <c r="Z237" s="103"/>
      <c r="AA237" s="103"/>
      <c r="AB237" s="103"/>
      <c r="AC237" s="103"/>
      <c r="AD237" s="103"/>
      <c r="AE237" s="103"/>
      <c r="AF237" s="103"/>
      <c r="AG237" s="185"/>
      <c r="AH237" s="103"/>
      <c r="AI237" s="103"/>
      <c r="AJ237" s="103"/>
      <c r="AK237" s="185"/>
      <c r="AL237" s="103"/>
      <c r="AM237" s="103"/>
      <c r="AN237" s="103"/>
    </row>
    <row r="238" spans="1:40" x14ac:dyDescent="0.25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208"/>
      <c r="AH238" s="102"/>
      <c r="AI238" s="102"/>
      <c r="AJ238" s="102"/>
      <c r="AK238" s="208"/>
      <c r="AL238" s="102"/>
      <c r="AM238" s="102"/>
      <c r="AN238" s="102"/>
    </row>
    <row r="239" spans="1:40" x14ac:dyDescent="0.25"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Y239" s="103"/>
      <c r="Z239" s="103"/>
      <c r="AA239" s="103"/>
      <c r="AB239" s="103"/>
      <c r="AC239" s="103"/>
      <c r="AD239" s="103"/>
      <c r="AE239" s="103"/>
      <c r="AF239" s="103"/>
      <c r="AG239" s="185"/>
      <c r="AH239" s="103"/>
      <c r="AI239" s="103"/>
      <c r="AJ239" s="103"/>
      <c r="AK239" s="185"/>
      <c r="AL239" s="103"/>
      <c r="AM239" s="103"/>
      <c r="AN239" s="103"/>
    </row>
    <row r="240" spans="1:40" x14ac:dyDescent="0.25">
      <c r="A240" s="202"/>
      <c r="C240" s="154"/>
      <c r="D240" s="154"/>
      <c r="E240" s="154"/>
      <c r="T240" s="154"/>
      <c r="U240" s="154"/>
    </row>
    <row r="241" spans="1:40" x14ac:dyDescent="0.25">
      <c r="A241" s="202"/>
      <c r="D241" s="154"/>
      <c r="E241" s="154"/>
      <c r="U241" s="154"/>
    </row>
    <row r="243" spans="1:40" x14ac:dyDescent="0.25">
      <c r="A243" s="202"/>
      <c r="C243" s="154"/>
      <c r="F243" s="200"/>
      <c r="J243" s="215"/>
      <c r="K243" s="215"/>
      <c r="L243" s="200"/>
      <c r="M243" s="200"/>
      <c r="R243" s="200"/>
      <c r="T243" s="154"/>
      <c r="V243" s="200"/>
      <c r="Z243" s="215"/>
      <c r="AA243" s="200"/>
      <c r="AB243" s="200"/>
      <c r="AK243" s="209"/>
      <c r="AL243" s="200"/>
    </row>
    <row r="244" spans="1:40" x14ac:dyDescent="0.25">
      <c r="F244" s="200"/>
      <c r="R244" s="200"/>
      <c r="V244" s="200"/>
      <c r="AK244" s="209"/>
      <c r="AL244" s="200"/>
    </row>
    <row r="245" spans="1:40" x14ac:dyDescent="0.25">
      <c r="A245" s="202"/>
      <c r="C245" s="154"/>
      <c r="F245" s="252"/>
      <c r="H245" s="252"/>
      <c r="I245" s="252"/>
      <c r="J245" s="300"/>
      <c r="K245" s="300"/>
      <c r="L245" s="200"/>
      <c r="M245" s="200"/>
      <c r="N245" s="210"/>
      <c r="O245" s="210"/>
      <c r="P245" s="200"/>
      <c r="Q245" s="200"/>
      <c r="R245" s="200"/>
      <c r="T245" s="154"/>
      <c r="V245" s="200"/>
      <c r="Y245" s="200"/>
      <c r="Z245" s="300"/>
      <c r="AA245" s="200"/>
      <c r="AB245" s="200"/>
      <c r="AC245" s="210"/>
      <c r="AD245" s="210"/>
      <c r="AE245" s="200"/>
      <c r="AF245" s="200"/>
      <c r="AG245" s="209"/>
      <c r="AH245" s="201"/>
      <c r="AI245" s="200"/>
      <c r="AJ245" s="200"/>
      <c r="AK245" s="209"/>
      <c r="AL245" s="200"/>
      <c r="AM245" s="210"/>
      <c r="AN245" s="210"/>
    </row>
    <row r="246" spans="1:40" x14ac:dyDescent="0.25">
      <c r="A246" s="202"/>
      <c r="C246" s="154"/>
      <c r="F246" s="252"/>
      <c r="H246" s="317"/>
      <c r="I246" s="317"/>
      <c r="J246" s="300"/>
      <c r="K246" s="300"/>
      <c r="L246" s="200"/>
      <c r="M246" s="200"/>
      <c r="N246" s="210"/>
      <c r="O246" s="210"/>
      <c r="P246" s="200"/>
      <c r="Q246" s="200"/>
      <c r="R246" s="200"/>
      <c r="T246" s="154"/>
      <c r="V246" s="200"/>
      <c r="Y246" s="200"/>
      <c r="Z246" s="300"/>
      <c r="AA246" s="200"/>
      <c r="AB246" s="200"/>
      <c r="AC246" s="210"/>
      <c r="AD246" s="210"/>
      <c r="AE246" s="200"/>
      <c r="AF246" s="200"/>
      <c r="AG246" s="209"/>
      <c r="AH246" s="201"/>
      <c r="AI246" s="200"/>
      <c r="AJ246" s="200"/>
      <c r="AK246" s="209"/>
      <c r="AL246" s="200"/>
      <c r="AM246" s="210"/>
      <c r="AN246" s="210"/>
    </row>
    <row r="247" spans="1:40" x14ac:dyDescent="0.25">
      <c r="F247" s="211"/>
      <c r="H247" s="200"/>
      <c r="I247" s="200"/>
      <c r="J247" s="305"/>
      <c r="K247" s="305"/>
      <c r="L247" s="211"/>
      <c r="M247" s="211"/>
      <c r="N247" s="211"/>
      <c r="O247" s="211"/>
      <c r="P247" s="211"/>
      <c r="Q247" s="211"/>
      <c r="R247" s="211"/>
      <c r="V247" s="211"/>
      <c r="Y247" s="200"/>
      <c r="Z247" s="305"/>
      <c r="AA247" s="211"/>
      <c r="AB247" s="211"/>
      <c r="AC247" s="211"/>
      <c r="AD247" s="211"/>
      <c r="AE247" s="211"/>
      <c r="AF247" s="211"/>
      <c r="AI247" s="211"/>
      <c r="AJ247" s="211"/>
      <c r="AK247" s="212"/>
      <c r="AL247" s="211"/>
    </row>
    <row r="248" spans="1:40" x14ac:dyDescent="0.25">
      <c r="A248" s="202"/>
      <c r="C248" s="154"/>
      <c r="F248" s="200"/>
      <c r="H248" s="200"/>
      <c r="I248" s="200"/>
      <c r="J248" s="213"/>
      <c r="K248" s="213"/>
      <c r="L248" s="200"/>
      <c r="M248" s="200"/>
      <c r="N248" s="210"/>
      <c r="O248" s="210"/>
      <c r="P248" s="200"/>
      <c r="Q248" s="200"/>
      <c r="R248" s="200"/>
      <c r="T248" s="154"/>
      <c r="V248" s="200"/>
      <c r="Y248" s="200"/>
      <c r="Z248" s="213"/>
      <c r="AA248" s="200"/>
      <c r="AB248" s="200"/>
      <c r="AC248" s="210"/>
      <c r="AD248" s="210"/>
      <c r="AE248" s="200"/>
      <c r="AF248" s="200"/>
      <c r="AG248" s="209"/>
      <c r="AH248" s="201"/>
      <c r="AI248" s="200"/>
      <c r="AJ248" s="200"/>
      <c r="AK248" s="209"/>
      <c r="AL248" s="200"/>
      <c r="AM248" s="210"/>
      <c r="AN248" s="210"/>
    </row>
    <row r="249" spans="1:40" x14ac:dyDescent="0.25">
      <c r="F249" s="211"/>
      <c r="H249" s="200"/>
      <c r="I249" s="200"/>
      <c r="J249" s="305"/>
      <c r="K249" s="305"/>
      <c r="L249" s="211"/>
      <c r="M249" s="211"/>
      <c r="N249" s="211"/>
      <c r="O249" s="211"/>
      <c r="P249" s="211"/>
      <c r="Q249" s="211"/>
      <c r="R249" s="211"/>
      <c r="V249" s="211"/>
      <c r="Y249" s="200"/>
      <c r="Z249" s="305"/>
      <c r="AA249" s="211"/>
      <c r="AB249" s="211"/>
      <c r="AC249" s="211"/>
      <c r="AD249" s="211"/>
      <c r="AE249" s="211"/>
      <c r="AF249" s="211"/>
      <c r="AI249" s="211"/>
      <c r="AJ249" s="211"/>
      <c r="AK249" s="212"/>
      <c r="AL249" s="211"/>
    </row>
    <row r="250" spans="1:40" x14ac:dyDescent="0.25">
      <c r="F250" s="200"/>
      <c r="R250" s="200"/>
      <c r="V250" s="200"/>
      <c r="AK250" s="209"/>
      <c r="AL250" s="200"/>
    </row>
    <row r="251" spans="1:40" x14ac:dyDescent="0.25">
      <c r="A251" s="202"/>
      <c r="C251" s="154"/>
      <c r="F251" s="200"/>
      <c r="R251" s="200"/>
      <c r="T251" s="154"/>
      <c r="V251" s="200"/>
      <c r="AK251" s="209"/>
      <c r="AL251" s="200"/>
    </row>
    <row r="252" spans="1:40" x14ac:dyDescent="0.25">
      <c r="F252" s="200"/>
      <c r="R252" s="200"/>
      <c r="V252" s="200"/>
      <c r="AK252" s="209"/>
      <c r="AL252" s="200"/>
    </row>
    <row r="253" spans="1:40" x14ac:dyDescent="0.25">
      <c r="A253" s="202"/>
      <c r="C253" s="154"/>
      <c r="F253" s="200"/>
      <c r="H253" s="252"/>
      <c r="I253" s="252"/>
      <c r="J253" s="320"/>
      <c r="K253" s="320"/>
      <c r="L253" s="200"/>
      <c r="M253" s="200"/>
      <c r="N253" s="210"/>
      <c r="O253" s="210"/>
      <c r="P253" s="252"/>
      <c r="Q253" s="252"/>
      <c r="R253" s="200"/>
      <c r="T253" s="154"/>
      <c r="V253" s="200"/>
      <c r="Y253" s="200"/>
      <c r="Z253" s="304"/>
      <c r="AA253" s="200"/>
      <c r="AB253" s="200"/>
      <c r="AC253" s="210"/>
      <c r="AD253" s="210"/>
      <c r="AE253" s="200"/>
      <c r="AF253" s="200"/>
      <c r="AG253" s="209"/>
      <c r="AH253" s="201"/>
      <c r="AI253" s="252"/>
      <c r="AJ253" s="252"/>
      <c r="AK253" s="209"/>
      <c r="AL253" s="200"/>
      <c r="AM253" s="210"/>
      <c r="AN253" s="210"/>
    </row>
    <row r="254" spans="1:40" x14ac:dyDescent="0.25">
      <c r="H254" s="211"/>
      <c r="I254" s="211"/>
      <c r="J254" s="305"/>
      <c r="K254" s="305"/>
      <c r="L254" s="211"/>
      <c r="M254" s="211"/>
      <c r="N254" s="211"/>
      <c r="O254" s="211"/>
      <c r="P254" s="211"/>
      <c r="Q254" s="211"/>
      <c r="R254" s="211"/>
      <c r="V254" s="211"/>
      <c r="Y254" s="211"/>
      <c r="Z254" s="305"/>
      <c r="AA254" s="211"/>
      <c r="AB254" s="211"/>
      <c r="AC254" s="211"/>
      <c r="AD254" s="211"/>
      <c r="AE254" s="211"/>
      <c r="AF254" s="211"/>
      <c r="AI254" s="211"/>
      <c r="AJ254" s="211"/>
      <c r="AK254" s="212"/>
      <c r="AL254" s="211"/>
    </row>
    <row r="255" spans="1:40" x14ac:dyDescent="0.25">
      <c r="F255" s="211"/>
    </row>
    <row r="256" spans="1:40" x14ac:dyDescent="0.25">
      <c r="A256" s="202"/>
      <c r="C256" s="154"/>
      <c r="F256" s="200"/>
      <c r="H256" s="200"/>
      <c r="I256" s="200"/>
      <c r="J256" s="215"/>
      <c r="K256" s="215"/>
      <c r="L256" s="200"/>
      <c r="M256" s="200"/>
      <c r="N256" s="210"/>
      <c r="O256" s="210"/>
      <c r="P256" s="200"/>
      <c r="Q256" s="200"/>
      <c r="R256" s="200"/>
      <c r="T256" s="154"/>
      <c r="V256" s="200"/>
      <c r="Y256" s="200"/>
      <c r="Z256" s="215"/>
      <c r="AA256" s="200"/>
      <c r="AB256" s="200"/>
      <c r="AC256" s="210"/>
      <c r="AD256" s="210"/>
      <c r="AE256" s="200"/>
      <c r="AF256" s="200"/>
      <c r="AG256" s="209"/>
      <c r="AH256" s="201"/>
      <c r="AI256" s="200"/>
      <c r="AJ256" s="200"/>
      <c r="AK256" s="209"/>
      <c r="AL256" s="200"/>
      <c r="AM256" s="210"/>
      <c r="AN256" s="210"/>
    </row>
    <row r="257" spans="1:40" x14ac:dyDescent="0.25">
      <c r="F257" s="211"/>
      <c r="H257" s="211"/>
      <c r="I257" s="211"/>
      <c r="J257" s="305"/>
      <c r="K257" s="305"/>
      <c r="L257" s="211"/>
      <c r="M257" s="211"/>
      <c r="N257" s="211"/>
      <c r="O257" s="211"/>
      <c r="P257" s="211"/>
      <c r="Q257" s="211"/>
      <c r="R257" s="211"/>
      <c r="V257" s="211"/>
      <c r="Y257" s="211"/>
      <c r="Z257" s="305"/>
      <c r="AA257" s="211"/>
      <c r="AB257" s="211"/>
      <c r="AC257" s="211"/>
      <c r="AD257" s="211"/>
      <c r="AE257" s="211"/>
      <c r="AF257" s="211"/>
      <c r="AI257" s="211"/>
      <c r="AJ257" s="211"/>
      <c r="AK257" s="212"/>
      <c r="AL257" s="211"/>
    </row>
    <row r="258" spans="1:40" x14ac:dyDescent="0.25">
      <c r="R258" s="200"/>
      <c r="AG258" s="209"/>
      <c r="AH258" s="200"/>
    </row>
    <row r="259" spans="1:40" x14ac:dyDescent="0.25">
      <c r="F259" s="200"/>
      <c r="H259" s="200"/>
      <c r="I259" s="200"/>
      <c r="J259" s="213"/>
      <c r="K259" s="213"/>
      <c r="L259" s="200"/>
      <c r="M259" s="200"/>
      <c r="N259" s="200"/>
      <c r="O259" s="200"/>
      <c r="P259" s="200"/>
      <c r="Q259" s="200"/>
      <c r="R259" s="200"/>
      <c r="V259" s="200"/>
      <c r="Y259" s="200"/>
      <c r="Z259" s="213"/>
      <c r="AA259" s="200"/>
      <c r="AB259" s="200"/>
      <c r="AC259" s="200"/>
      <c r="AD259" s="200"/>
      <c r="AE259" s="200"/>
      <c r="AF259" s="200"/>
      <c r="AG259" s="209"/>
      <c r="AH259" s="200"/>
    </row>
    <row r="260" spans="1:40" x14ac:dyDescent="0.25">
      <c r="C260" s="154"/>
      <c r="F260" s="200"/>
      <c r="H260" s="200"/>
      <c r="I260" s="200"/>
      <c r="J260" s="213"/>
      <c r="K260" s="213"/>
      <c r="L260" s="200"/>
      <c r="M260" s="200"/>
      <c r="N260" s="200"/>
      <c r="O260" s="200"/>
      <c r="P260" s="200"/>
      <c r="Q260" s="200"/>
      <c r="R260" s="200"/>
      <c r="T260" s="154"/>
      <c r="V260" s="200"/>
      <c r="Y260" s="200"/>
      <c r="Z260" s="213"/>
      <c r="AA260" s="200"/>
      <c r="AB260" s="200"/>
      <c r="AC260" s="200"/>
      <c r="AD260" s="200"/>
      <c r="AE260" s="200"/>
      <c r="AF260" s="200"/>
      <c r="AG260" s="209"/>
      <c r="AH260" s="200"/>
    </row>
    <row r="261" spans="1:40" x14ac:dyDescent="0.25">
      <c r="A261" s="154"/>
    </row>
    <row r="263" spans="1:40" x14ac:dyDescent="0.25">
      <c r="J263" s="202"/>
      <c r="K263" s="202"/>
      <c r="Z263" s="202"/>
    </row>
    <row r="264" spans="1:40" x14ac:dyDescent="0.25">
      <c r="H264" s="154"/>
      <c r="I264" s="154"/>
      <c r="Y264" s="154"/>
    </row>
    <row r="265" spans="1:40" x14ac:dyDescent="0.25">
      <c r="J265" s="202"/>
      <c r="K265" s="202"/>
      <c r="Z265" s="202"/>
    </row>
    <row r="266" spans="1:40" x14ac:dyDescent="0.25">
      <c r="L266" s="154"/>
      <c r="M266" s="154"/>
      <c r="AA266" s="154"/>
      <c r="AB266" s="154"/>
    </row>
    <row r="267" spans="1:40" x14ac:dyDescent="0.25">
      <c r="A267" s="202"/>
      <c r="R267" s="154"/>
      <c r="AK267" s="297"/>
      <c r="AL267" s="154"/>
    </row>
    <row r="268" spans="1:40" x14ac:dyDescent="0.25">
      <c r="A268" s="202"/>
      <c r="R268" s="154"/>
      <c r="AK268" s="297"/>
      <c r="AL268" s="154"/>
    </row>
    <row r="269" spans="1:40" x14ac:dyDescent="0.25">
      <c r="A269" s="154"/>
      <c r="R269" s="154"/>
      <c r="AK269" s="297"/>
      <c r="AL269" s="154"/>
    </row>
    <row r="270" spans="1:40" x14ac:dyDescent="0.25">
      <c r="L270" s="154"/>
      <c r="M270" s="154"/>
      <c r="R270" s="202"/>
      <c r="AA270" s="154"/>
      <c r="AB270" s="154"/>
      <c r="AK270" s="209"/>
      <c r="AL270" s="202"/>
    </row>
    <row r="271" spans="1:40" x14ac:dyDescent="0.25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208"/>
      <c r="AH271" s="102"/>
      <c r="AI271" s="102"/>
      <c r="AJ271" s="102"/>
      <c r="AK271" s="208"/>
      <c r="AL271" s="102"/>
      <c r="AM271" s="102"/>
      <c r="AN271" s="102"/>
    </row>
    <row r="272" spans="1:40" x14ac:dyDescent="0.25">
      <c r="L272" s="103"/>
      <c r="M272" s="103"/>
      <c r="N272" s="103"/>
      <c r="O272" s="103"/>
      <c r="R272" s="103"/>
      <c r="AA272" s="103"/>
      <c r="AB272" s="103"/>
      <c r="AC272" s="103"/>
      <c r="AD272" s="103"/>
      <c r="AE272" s="103"/>
      <c r="AF272" s="103"/>
      <c r="AG272" s="185"/>
      <c r="AH272" s="103"/>
      <c r="AK272" s="185"/>
      <c r="AL272" s="103"/>
      <c r="AM272" s="103"/>
      <c r="AN272" s="103"/>
    </row>
    <row r="273" spans="1:40" x14ac:dyDescent="0.25">
      <c r="L273" s="103"/>
      <c r="M273" s="103"/>
      <c r="N273" s="103"/>
      <c r="O273" s="103"/>
      <c r="R273" s="103"/>
      <c r="Z273" s="103"/>
      <c r="AA273" s="103"/>
      <c r="AB273" s="103"/>
      <c r="AC273" s="103"/>
      <c r="AD273" s="103"/>
      <c r="AE273" s="103"/>
      <c r="AF273" s="103"/>
      <c r="AG273" s="185"/>
      <c r="AH273" s="103"/>
      <c r="AK273" s="185"/>
      <c r="AL273" s="103"/>
      <c r="AM273" s="103"/>
      <c r="AN273" s="103"/>
    </row>
    <row r="274" spans="1:40" x14ac:dyDescent="0.25">
      <c r="A274" s="103"/>
      <c r="C274" s="103"/>
      <c r="D274" s="103"/>
      <c r="E274" s="103"/>
      <c r="F274" s="103"/>
      <c r="J274" s="103"/>
      <c r="K274" s="103"/>
      <c r="L274" s="103"/>
      <c r="M274" s="103"/>
      <c r="N274" s="103"/>
      <c r="O274" s="103"/>
      <c r="P274" s="103"/>
      <c r="Q274" s="103"/>
      <c r="R274" s="103"/>
      <c r="T274" s="103"/>
      <c r="U274" s="103"/>
      <c r="V274" s="103"/>
      <c r="Z274" s="103"/>
      <c r="AA274" s="103"/>
      <c r="AB274" s="103"/>
      <c r="AC274" s="103"/>
      <c r="AD274" s="103"/>
      <c r="AE274" s="103"/>
      <c r="AF274" s="103"/>
      <c r="AG274" s="185"/>
      <c r="AH274" s="103"/>
      <c r="AI274" s="103"/>
      <c r="AJ274" s="103"/>
      <c r="AK274" s="185"/>
      <c r="AL274" s="103"/>
      <c r="AM274" s="103"/>
      <c r="AN274" s="103"/>
    </row>
    <row r="275" spans="1:40" x14ac:dyDescent="0.25">
      <c r="A275" s="103"/>
      <c r="C275" s="103"/>
      <c r="D275" s="103"/>
      <c r="E275" s="103"/>
      <c r="F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T275" s="103"/>
      <c r="U275" s="103"/>
      <c r="V275" s="103"/>
      <c r="Y275" s="103"/>
      <c r="Z275" s="103"/>
      <c r="AA275" s="103"/>
      <c r="AB275" s="103"/>
      <c r="AC275" s="103"/>
      <c r="AD275" s="103"/>
      <c r="AE275" s="103"/>
      <c r="AF275" s="103"/>
      <c r="AG275" s="185"/>
      <c r="AH275" s="103"/>
      <c r="AI275" s="103"/>
      <c r="AJ275" s="103"/>
      <c r="AK275" s="185"/>
      <c r="AL275" s="103"/>
      <c r="AM275" s="103"/>
      <c r="AN275" s="103"/>
    </row>
    <row r="276" spans="1:40" x14ac:dyDescent="0.25">
      <c r="C276" s="103"/>
      <c r="D276" s="103"/>
      <c r="E276" s="103"/>
      <c r="F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T276" s="103"/>
      <c r="U276" s="103"/>
      <c r="V276" s="103"/>
      <c r="Y276" s="103"/>
      <c r="Z276" s="103"/>
      <c r="AA276" s="103"/>
      <c r="AB276" s="103"/>
      <c r="AC276" s="103"/>
      <c r="AD276" s="103"/>
      <c r="AE276" s="103"/>
      <c r="AF276" s="103"/>
      <c r="AG276" s="185"/>
      <c r="AH276" s="103"/>
      <c r="AI276" s="103"/>
      <c r="AJ276" s="103"/>
      <c r="AK276" s="185"/>
      <c r="AL276" s="103"/>
      <c r="AM276" s="103"/>
      <c r="AN276" s="103"/>
    </row>
    <row r="277" spans="1:40" x14ac:dyDescent="0.25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208"/>
      <c r="AH277" s="102"/>
      <c r="AI277" s="102"/>
      <c r="AJ277" s="102"/>
      <c r="AK277" s="208"/>
      <c r="AL277" s="102"/>
      <c r="AM277" s="102"/>
      <c r="AN277" s="102"/>
    </row>
    <row r="278" spans="1:40" x14ac:dyDescent="0.25"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Y278" s="103"/>
      <c r="Z278" s="103"/>
      <c r="AA278" s="103"/>
      <c r="AB278" s="103"/>
      <c r="AC278" s="103"/>
      <c r="AD278" s="103"/>
      <c r="AE278" s="103"/>
      <c r="AF278" s="103"/>
      <c r="AG278" s="185"/>
      <c r="AH278" s="103"/>
      <c r="AI278" s="103"/>
      <c r="AJ278" s="103"/>
      <c r="AK278" s="185"/>
      <c r="AL278" s="103"/>
      <c r="AM278" s="103"/>
      <c r="AN278" s="103"/>
    </row>
    <row r="279" spans="1:40" x14ac:dyDescent="0.25">
      <c r="A279" s="202"/>
      <c r="C279" s="154"/>
      <c r="D279" s="154"/>
      <c r="E279" s="154"/>
      <c r="T279" s="154"/>
      <c r="U279" s="154"/>
    </row>
    <row r="280" spans="1:40" x14ac:dyDescent="0.25">
      <c r="A280" s="202"/>
      <c r="C280" s="154"/>
      <c r="T280" s="154"/>
    </row>
    <row r="282" spans="1:40" x14ac:dyDescent="0.25">
      <c r="A282" s="202"/>
      <c r="C282" s="154"/>
      <c r="F282" s="252"/>
      <c r="H282" s="252"/>
      <c r="I282" s="252"/>
      <c r="J282" s="300"/>
      <c r="K282" s="300"/>
      <c r="L282" s="200"/>
      <c r="M282" s="200"/>
      <c r="N282" s="210"/>
      <c r="O282" s="210"/>
      <c r="P282" s="202"/>
      <c r="Q282" s="202"/>
      <c r="R282" s="200"/>
      <c r="T282" s="154"/>
      <c r="V282" s="200"/>
      <c r="Y282" s="252"/>
      <c r="Z282" s="300"/>
      <c r="AA282" s="200"/>
      <c r="AB282" s="200"/>
      <c r="AC282" s="210"/>
      <c r="AD282" s="210"/>
      <c r="AE282" s="200"/>
      <c r="AF282" s="200"/>
      <c r="AG282" s="209"/>
      <c r="AH282" s="201"/>
      <c r="AI282" s="202"/>
      <c r="AJ282" s="202"/>
      <c r="AK282" s="209"/>
      <c r="AL282" s="200"/>
      <c r="AM282" s="210"/>
      <c r="AN282" s="210"/>
    </row>
    <row r="283" spans="1:40" x14ac:dyDescent="0.25">
      <c r="F283" s="211"/>
      <c r="H283" s="200"/>
      <c r="I283" s="200"/>
      <c r="J283" s="305"/>
      <c r="K283" s="305"/>
      <c r="L283" s="211"/>
      <c r="M283" s="211"/>
      <c r="N283" s="211"/>
      <c r="O283" s="211"/>
      <c r="P283" s="211"/>
      <c r="Q283" s="211"/>
      <c r="R283" s="211"/>
      <c r="V283" s="211"/>
      <c r="Y283" s="200"/>
      <c r="Z283" s="305"/>
      <c r="AA283" s="211"/>
      <c r="AB283" s="211"/>
      <c r="AC283" s="211"/>
      <c r="AD283" s="211"/>
      <c r="AE283" s="211"/>
      <c r="AF283" s="211"/>
      <c r="AI283" s="211"/>
      <c r="AJ283" s="211"/>
      <c r="AK283" s="212"/>
      <c r="AL283" s="211"/>
      <c r="AM283" s="210"/>
      <c r="AN283" s="210"/>
    </row>
    <row r="284" spans="1:40" x14ac:dyDescent="0.25">
      <c r="A284" s="202"/>
      <c r="C284" s="154"/>
      <c r="F284" s="252"/>
      <c r="H284" s="252"/>
      <c r="I284" s="252"/>
      <c r="J284" s="328"/>
      <c r="K284" s="328"/>
      <c r="L284" s="200"/>
      <c r="M284" s="200"/>
      <c r="N284" s="210"/>
      <c r="O284" s="210"/>
      <c r="P284" s="200"/>
      <c r="Q284" s="200"/>
      <c r="R284" s="200"/>
      <c r="S284" s="200"/>
      <c r="T284" s="154"/>
      <c r="V284" s="252"/>
      <c r="Y284" s="252"/>
      <c r="Z284" s="328"/>
      <c r="AA284" s="200"/>
      <c r="AB284" s="200"/>
      <c r="AC284" s="210"/>
      <c r="AD284" s="210"/>
      <c r="AE284" s="200"/>
      <c r="AF284" s="200"/>
      <c r="AG284" s="209"/>
      <c r="AH284" s="210"/>
      <c r="AI284" s="200"/>
      <c r="AJ284" s="200"/>
      <c r="AK284" s="209"/>
      <c r="AL284" s="200"/>
      <c r="AM284" s="210"/>
      <c r="AN284" s="210"/>
    </row>
    <row r="285" spans="1:40" x14ac:dyDescent="0.25">
      <c r="A285" s="202"/>
      <c r="C285" s="154"/>
      <c r="F285" s="252"/>
      <c r="H285" s="252"/>
      <c r="I285" s="252"/>
      <c r="J285" s="300"/>
      <c r="K285" s="300"/>
      <c r="L285" s="200"/>
      <c r="M285" s="200"/>
      <c r="N285" s="210"/>
      <c r="O285" s="210"/>
      <c r="P285" s="200"/>
      <c r="Q285" s="200"/>
      <c r="R285" s="200"/>
      <c r="T285" s="154"/>
      <c r="V285" s="252"/>
      <c r="Y285" s="200"/>
      <c r="Z285" s="300"/>
      <c r="AA285" s="200"/>
      <c r="AB285" s="200"/>
      <c r="AC285" s="210"/>
      <c r="AD285" s="210"/>
      <c r="AE285" s="200"/>
      <c r="AF285" s="200"/>
      <c r="AG285" s="209"/>
      <c r="AH285" s="201"/>
      <c r="AI285" s="200"/>
      <c r="AJ285" s="200"/>
      <c r="AK285" s="209"/>
      <c r="AL285" s="200"/>
      <c r="AM285" s="210"/>
      <c r="AN285" s="210"/>
    </row>
    <row r="286" spans="1:40" x14ac:dyDescent="0.25">
      <c r="A286" s="202"/>
      <c r="C286" s="154"/>
      <c r="F286" s="252"/>
      <c r="H286" s="252"/>
      <c r="I286" s="252"/>
      <c r="J286" s="300"/>
      <c r="K286" s="300"/>
      <c r="L286" s="200"/>
      <c r="M286" s="200"/>
      <c r="N286" s="210"/>
      <c r="O286" s="210"/>
      <c r="P286" s="200"/>
      <c r="Q286" s="200"/>
      <c r="R286" s="200"/>
      <c r="T286" s="154"/>
      <c r="V286" s="252"/>
      <c r="Y286" s="200"/>
      <c r="Z286" s="300"/>
      <c r="AA286" s="200"/>
      <c r="AB286" s="200"/>
      <c r="AC286" s="210"/>
      <c r="AD286" s="210"/>
      <c r="AE286" s="200"/>
      <c r="AF286" s="200"/>
      <c r="AG286" s="209"/>
      <c r="AH286" s="201"/>
      <c r="AI286" s="200"/>
      <c r="AJ286" s="200"/>
      <c r="AK286" s="209"/>
      <c r="AL286" s="200"/>
      <c r="AM286" s="210"/>
      <c r="AN286" s="210"/>
    </row>
    <row r="287" spans="1:40" x14ac:dyDescent="0.25">
      <c r="F287" s="211"/>
      <c r="H287" s="211"/>
      <c r="I287" s="211"/>
      <c r="J287" s="305"/>
      <c r="K287" s="305"/>
      <c r="L287" s="211"/>
      <c r="M287" s="211"/>
      <c r="N287" s="211"/>
      <c r="O287" s="211"/>
      <c r="P287" s="211"/>
      <c r="Q287" s="211"/>
      <c r="R287" s="211"/>
      <c r="V287" s="211"/>
      <c r="Y287" s="211"/>
      <c r="Z287" s="305"/>
      <c r="AA287" s="211"/>
      <c r="AB287" s="211"/>
      <c r="AC287" s="211"/>
      <c r="AD287" s="211"/>
      <c r="AE287" s="211"/>
      <c r="AF287" s="211"/>
      <c r="AI287" s="211"/>
      <c r="AJ287" s="211"/>
      <c r="AK287" s="212"/>
      <c r="AL287" s="211"/>
      <c r="AM287" s="210"/>
      <c r="AN287" s="210"/>
    </row>
    <row r="288" spans="1:40" x14ac:dyDescent="0.25">
      <c r="A288" s="202"/>
      <c r="C288" s="154"/>
      <c r="F288" s="200"/>
      <c r="H288" s="200"/>
      <c r="I288" s="200"/>
      <c r="J288" s="213"/>
      <c r="K288" s="213"/>
      <c r="L288" s="200"/>
      <c r="M288" s="200"/>
      <c r="N288" s="210"/>
      <c r="O288" s="210"/>
      <c r="P288" s="200"/>
      <c r="Q288" s="200"/>
      <c r="R288" s="200"/>
      <c r="T288" s="154"/>
      <c r="V288" s="200"/>
      <c r="Y288" s="200"/>
      <c r="Z288" s="213"/>
      <c r="AA288" s="200"/>
      <c r="AB288" s="200"/>
      <c r="AC288" s="210"/>
      <c r="AD288" s="210"/>
      <c r="AE288" s="200"/>
      <c r="AF288" s="200"/>
      <c r="AG288" s="209"/>
      <c r="AH288" s="201"/>
      <c r="AI288" s="200"/>
      <c r="AJ288" s="200"/>
      <c r="AK288" s="209"/>
      <c r="AL288" s="200"/>
      <c r="AM288" s="210"/>
      <c r="AN288" s="210"/>
    </row>
    <row r="289" spans="1:40" x14ac:dyDescent="0.25">
      <c r="F289" s="211"/>
      <c r="H289" s="211"/>
      <c r="I289" s="211"/>
      <c r="J289" s="305"/>
      <c r="K289" s="305"/>
      <c r="L289" s="211"/>
      <c r="M289" s="211"/>
      <c r="N289" s="211"/>
      <c r="O289" s="211"/>
      <c r="P289" s="211"/>
      <c r="Q289" s="211"/>
      <c r="R289" s="211"/>
      <c r="V289" s="211"/>
      <c r="Y289" s="211"/>
      <c r="Z289" s="305"/>
      <c r="AA289" s="211"/>
      <c r="AB289" s="211"/>
      <c r="AC289" s="211"/>
      <c r="AD289" s="211"/>
      <c r="AE289" s="211"/>
      <c r="AF289" s="211"/>
      <c r="AI289" s="211"/>
      <c r="AJ289" s="211"/>
      <c r="AK289" s="212"/>
      <c r="AL289" s="211"/>
      <c r="AM289" s="210"/>
      <c r="AN289" s="210"/>
    </row>
    <row r="290" spans="1:40" x14ac:dyDescent="0.25">
      <c r="A290" s="202"/>
      <c r="C290" s="154"/>
      <c r="F290" s="200"/>
      <c r="H290" s="200"/>
      <c r="I290" s="200"/>
      <c r="J290" s="213"/>
      <c r="K290" s="213"/>
      <c r="L290" s="200"/>
      <c r="M290" s="200"/>
      <c r="N290" s="210"/>
      <c r="O290" s="210"/>
      <c r="P290" s="200"/>
      <c r="Q290" s="200"/>
      <c r="R290" s="200"/>
      <c r="T290" s="154"/>
      <c r="V290" s="200"/>
      <c r="Y290" s="200"/>
      <c r="Z290" s="213"/>
      <c r="AA290" s="200"/>
      <c r="AB290" s="200"/>
      <c r="AC290" s="210"/>
      <c r="AD290" s="210"/>
      <c r="AE290" s="200"/>
      <c r="AF290" s="200"/>
      <c r="AG290" s="209"/>
      <c r="AH290" s="201"/>
      <c r="AI290" s="200"/>
      <c r="AJ290" s="200"/>
      <c r="AK290" s="209"/>
      <c r="AL290" s="200"/>
      <c r="AM290" s="210"/>
      <c r="AN290" s="210"/>
    </row>
    <row r="291" spans="1:40" x14ac:dyDescent="0.25">
      <c r="A291" s="202"/>
      <c r="C291" s="154"/>
      <c r="F291" s="200"/>
      <c r="H291" s="252"/>
      <c r="I291" s="252"/>
      <c r="J291" s="320"/>
      <c r="K291" s="320"/>
      <c r="L291" s="200"/>
      <c r="M291" s="200"/>
      <c r="N291" s="210"/>
      <c r="O291" s="210"/>
      <c r="P291" s="200"/>
      <c r="Q291" s="200"/>
      <c r="R291" s="200"/>
      <c r="T291" s="154"/>
      <c r="V291" s="200"/>
      <c r="Y291" s="200"/>
      <c r="Z291" s="304"/>
      <c r="AA291" s="200"/>
      <c r="AB291" s="200"/>
      <c r="AC291" s="210"/>
      <c r="AD291" s="210"/>
      <c r="AE291" s="200"/>
      <c r="AF291" s="200"/>
      <c r="AG291" s="209"/>
      <c r="AH291" s="201"/>
      <c r="AI291" s="200"/>
      <c r="AJ291" s="200"/>
      <c r="AK291" s="209"/>
      <c r="AL291" s="200"/>
      <c r="AM291" s="210"/>
      <c r="AN291" s="210"/>
    </row>
    <row r="292" spans="1:40" x14ac:dyDescent="0.25">
      <c r="H292" s="211"/>
      <c r="I292" s="211"/>
      <c r="J292" s="305"/>
      <c r="K292" s="305"/>
      <c r="L292" s="211"/>
      <c r="M292" s="211"/>
      <c r="N292" s="211"/>
      <c r="O292" s="211"/>
      <c r="P292" s="211"/>
      <c r="Q292" s="211"/>
      <c r="R292" s="211"/>
      <c r="V292" s="211"/>
      <c r="Y292" s="211"/>
      <c r="Z292" s="305"/>
      <c r="AA292" s="211"/>
      <c r="AB292" s="211"/>
      <c r="AC292" s="211"/>
      <c r="AD292" s="211"/>
      <c r="AE292" s="211"/>
      <c r="AF292" s="211"/>
      <c r="AI292" s="211"/>
      <c r="AJ292" s="211"/>
      <c r="AK292" s="212"/>
      <c r="AL292" s="211"/>
      <c r="AM292" s="210"/>
      <c r="AN292" s="210"/>
    </row>
    <row r="293" spans="1:40" x14ac:dyDescent="0.25">
      <c r="F293" s="211"/>
    </row>
    <row r="294" spans="1:40" x14ac:dyDescent="0.25">
      <c r="A294" s="202"/>
      <c r="C294" s="154"/>
      <c r="F294" s="200"/>
      <c r="H294" s="200"/>
      <c r="I294" s="200"/>
      <c r="J294" s="305"/>
      <c r="K294" s="305"/>
      <c r="L294" s="200"/>
      <c r="M294" s="200"/>
      <c r="N294" s="210"/>
      <c r="O294" s="210"/>
      <c r="P294" s="200"/>
      <c r="Q294" s="200"/>
      <c r="R294" s="200"/>
      <c r="S294" s="200"/>
      <c r="T294" s="154"/>
      <c r="V294" s="200"/>
      <c r="Y294" s="200"/>
      <c r="Z294" s="305"/>
      <c r="AA294" s="200"/>
      <c r="AB294" s="200"/>
      <c r="AC294" s="210"/>
      <c r="AD294" s="210"/>
      <c r="AE294" s="200"/>
      <c r="AF294" s="200"/>
      <c r="AG294" s="209"/>
      <c r="AH294" s="210"/>
      <c r="AI294" s="200"/>
      <c r="AJ294" s="200"/>
      <c r="AK294" s="209"/>
      <c r="AL294" s="200"/>
      <c r="AM294" s="210"/>
      <c r="AN294" s="210"/>
    </row>
    <row r="295" spans="1:40" x14ac:dyDescent="0.25">
      <c r="F295" s="211"/>
      <c r="H295" s="211"/>
      <c r="I295" s="211"/>
      <c r="J295" s="305"/>
      <c r="K295" s="305"/>
      <c r="L295" s="211"/>
      <c r="M295" s="211"/>
      <c r="N295" s="211"/>
      <c r="O295" s="211"/>
      <c r="P295" s="211"/>
      <c r="Q295" s="211"/>
      <c r="R295" s="211"/>
      <c r="S295" s="200"/>
      <c r="V295" s="211"/>
      <c r="Y295" s="211"/>
      <c r="Z295" s="305"/>
      <c r="AA295" s="211"/>
      <c r="AB295" s="211"/>
      <c r="AC295" s="211"/>
      <c r="AD295" s="211"/>
      <c r="AE295" s="211"/>
      <c r="AF295" s="211"/>
      <c r="AI295" s="211"/>
      <c r="AJ295" s="211"/>
      <c r="AK295" s="212"/>
      <c r="AL295" s="211"/>
      <c r="AM295" s="210"/>
      <c r="AN295" s="210"/>
    </row>
    <row r="296" spans="1:40" x14ac:dyDescent="0.25">
      <c r="A296" s="202"/>
      <c r="C296" s="154"/>
      <c r="H296" s="252"/>
      <c r="I296" s="252"/>
      <c r="J296" s="305"/>
      <c r="K296" s="305"/>
      <c r="L296" s="200"/>
      <c r="M296" s="200"/>
      <c r="N296" s="210"/>
      <c r="O296" s="210"/>
      <c r="P296" s="200"/>
      <c r="Q296" s="200"/>
      <c r="R296" s="200"/>
      <c r="S296" s="200"/>
      <c r="T296" s="154"/>
      <c r="V296" s="252"/>
      <c r="Y296" s="252"/>
      <c r="Z296" s="305"/>
      <c r="AA296" s="200"/>
      <c r="AB296" s="200"/>
      <c r="AC296" s="210"/>
      <c r="AD296" s="210"/>
      <c r="AE296" s="200"/>
      <c r="AF296" s="200"/>
      <c r="AI296" s="200"/>
      <c r="AJ296" s="200"/>
      <c r="AK296" s="209"/>
      <c r="AL296" s="200"/>
      <c r="AM296" s="210"/>
      <c r="AN296" s="210"/>
    </row>
    <row r="297" spans="1:40" x14ac:dyDescent="0.25">
      <c r="F297" s="252"/>
    </row>
    <row r="298" spans="1:40" x14ac:dyDescent="0.25">
      <c r="A298" s="202"/>
      <c r="C298" s="154"/>
      <c r="F298" s="252"/>
      <c r="H298" s="252"/>
      <c r="I298" s="252"/>
      <c r="J298" s="300"/>
      <c r="K298" s="300"/>
      <c r="L298" s="200"/>
      <c r="M298" s="200"/>
      <c r="N298" s="210"/>
      <c r="O298" s="210"/>
      <c r="P298" s="202"/>
      <c r="Q298" s="202"/>
      <c r="R298" s="200"/>
      <c r="T298" s="154"/>
      <c r="V298" s="200"/>
      <c r="Y298" s="252"/>
      <c r="Z298" s="300"/>
      <c r="AA298" s="200"/>
      <c r="AB298" s="200"/>
      <c r="AC298" s="210"/>
      <c r="AD298" s="210"/>
      <c r="AE298" s="200"/>
      <c r="AF298" s="200"/>
      <c r="AG298" s="209"/>
      <c r="AH298" s="201"/>
      <c r="AI298" s="202"/>
      <c r="AJ298" s="202"/>
      <c r="AK298" s="209"/>
      <c r="AL298" s="200"/>
      <c r="AM298" s="210"/>
      <c r="AN298" s="210"/>
    </row>
    <row r="299" spans="1:40" x14ac:dyDescent="0.25">
      <c r="F299" s="211"/>
      <c r="H299" s="200"/>
      <c r="I299" s="200"/>
      <c r="J299" s="305"/>
      <c r="K299" s="305"/>
      <c r="L299" s="211"/>
      <c r="M299" s="211"/>
      <c r="N299" s="211"/>
      <c r="O299" s="211"/>
      <c r="P299" s="211"/>
      <c r="Q299" s="211"/>
      <c r="R299" s="211"/>
      <c r="V299" s="211"/>
      <c r="Y299" s="200"/>
      <c r="Z299" s="305"/>
      <c r="AA299" s="211"/>
      <c r="AB299" s="211"/>
      <c r="AC299" s="211"/>
      <c r="AD299" s="211"/>
      <c r="AE299" s="211"/>
      <c r="AF299" s="211"/>
      <c r="AI299" s="211"/>
      <c r="AJ299" s="211"/>
      <c r="AK299" s="212"/>
      <c r="AL299" s="211"/>
      <c r="AM299" s="210"/>
      <c r="AN299" s="210"/>
    </row>
    <row r="300" spans="1:40" x14ac:dyDescent="0.25">
      <c r="A300" s="202"/>
      <c r="C300" s="154"/>
      <c r="F300" s="252"/>
      <c r="H300" s="252"/>
      <c r="I300" s="252"/>
      <c r="J300" s="328"/>
      <c r="K300" s="328"/>
      <c r="L300" s="200"/>
      <c r="M300" s="200"/>
      <c r="N300" s="210"/>
      <c r="O300" s="210"/>
      <c r="P300" s="200"/>
      <c r="Q300" s="200"/>
      <c r="R300" s="200"/>
      <c r="S300" s="200"/>
      <c r="T300" s="154"/>
      <c r="V300" s="252"/>
      <c r="Y300" s="252"/>
      <c r="Z300" s="328"/>
      <c r="AA300" s="200"/>
      <c r="AB300" s="200"/>
      <c r="AC300" s="210"/>
      <c r="AD300" s="210"/>
      <c r="AE300" s="200"/>
      <c r="AF300" s="200"/>
      <c r="AG300" s="209"/>
      <c r="AH300" s="210"/>
      <c r="AI300" s="200"/>
      <c r="AJ300" s="200"/>
      <c r="AK300" s="209"/>
      <c r="AL300" s="200"/>
      <c r="AM300" s="210"/>
      <c r="AN300" s="210"/>
    </row>
    <row r="301" spans="1:40" x14ac:dyDescent="0.25">
      <c r="A301" s="202"/>
      <c r="C301" s="154"/>
      <c r="F301" s="252"/>
      <c r="H301" s="252"/>
      <c r="I301" s="252"/>
      <c r="J301" s="300"/>
      <c r="K301" s="300"/>
      <c r="L301" s="200"/>
      <c r="M301" s="200"/>
      <c r="N301" s="210"/>
      <c r="O301" s="210"/>
      <c r="P301" s="200"/>
      <c r="Q301" s="200"/>
      <c r="R301" s="200"/>
      <c r="T301" s="154"/>
      <c r="V301" s="252"/>
      <c r="Y301" s="200"/>
      <c r="Z301" s="300"/>
      <c r="AA301" s="200"/>
      <c r="AB301" s="200"/>
      <c r="AC301" s="210"/>
      <c r="AD301" s="210"/>
      <c r="AE301" s="200"/>
      <c r="AF301" s="200"/>
      <c r="AG301" s="209"/>
      <c r="AH301" s="201"/>
      <c r="AI301" s="200"/>
      <c r="AJ301" s="200"/>
      <c r="AK301" s="209"/>
      <c r="AL301" s="200"/>
      <c r="AM301" s="210"/>
      <c r="AN301" s="210"/>
    </row>
    <row r="302" spans="1:40" x14ac:dyDescent="0.25">
      <c r="A302" s="202"/>
      <c r="C302" s="154"/>
      <c r="F302" s="252"/>
      <c r="H302" s="252"/>
      <c r="I302" s="252"/>
      <c r="J302" s="300"/>
      <c r="K302" s="300"/>
      <c r="L302" s="200"/>
      <c r="M302" s="200"/>
      <c r="N302" s="210"/>
      <c r="O302" s="210"/>
      <c r="P302" s="200"/>
      <c r="Q302" s="200"/>
      <c r="R302" s="200"/>
      <c r="T302" s="154"/>
      <c r="V302" s="252"/>
      <c r="Y302" s="200"/>
      <c r="Z302" s="300"/>
      <c r="AA302" s="200"/>
      <c r="AB302" s="200"/>
      <c r="AC302" s="210"/>
      <c r="AD302" s="210"/>
      <c r="AE302" s="200"/>
      <c r="AF302" s="200"/>
      <c r="AG302" s="209"/>
      <c r="AH302" s="201"/>
      <c r="AI302" s="200"/>
      <c r="AJ302" s="200"/>
      <c r="AK302" s="209"/>
      <c r="AL302" s="200"/>
      <c r="AM302" s="210"/>
      <c r="AN302" s="210"/>
    </row>
    <row r="303" spans="1:40" x14ac:dyDescent="0.25">
      <c r="F303" s="211"/>
      <c r="H303" s="211"/>
      <c r="I303" s="211"/>
      <c r="J303" s="305"/>
      <c r="K303" s="305"/>
      <c r="L303" s="211"/>
      <c r="M303" s="211"/>
      <c r="N303" s="211"/>
      <c r="O303" s="211"/>
      <c r="P303" s="211"/>
      <c r="Q303" s="211"/>
      <c r="R303" s="211"/>
      <c r="V303" s="211"/>
      <c r="Y303" s="211"/>
      <c r="Z303" s="305"/>
      <c r="AA303" s="211"/>
      <c r="AB303" s="211"/>
      <c r="AC303" s="211"/>
      <c r="AD303" s="211"/>
      <c r="AE303" s="211"/>
      <c r="AF303" s="211"/>
      <c r="AI303" s="211"/>
      <c r="AJ303" s="211"/>
      <c r="AK303" s="212"/>
      <c r="AL303" s="211"/>
      <c r="AM303" s="210"/>
      <c r="AN303" s="210"/>
    </row>
    <row r="304" spans="1:40" x14ac:dyDescent="0.25">
      <c r="A304" s="202"/>
      <c r="C304" s="154"/>
      <c r="F304" s="200"/>
      <c r="H304" s="200"/>
      <c r="I304" s="200"/>
      <c r="J304" s="213"/>
      <c r="K304" s="213"/>
      <c r="L304" s="200"/>
      <c r="M304" s="200"/>
      <c r="N304" s="210"/>
      <c r="O304" s="210"/>
      <c r="P304" s="200"/>
      <c r="Q304" s="200"/>
      <c r="R304" s="200"/>
      <c r="T304" s="154"/>
      <c r="V304" s="200"/>
      <c r="Y304" s="200"/>
      <c r="Z304" s="213"/>
      <c r="AA304" s="200"/>
      <c r="AB304" s="200"/>
      <c r="AC304" s="210"/>
      <c r="AD304" s="210"/>
      <c r="AE304" s="200"/>
      <c r="AF304" s="200"/>
      <c r="AG304" s="209"/>
      <c r="AH304" s="201"/>
      <c r="AI304" s="200"/>
      <c r="AJ304" s="200"/>
      <c r="AK304" s="209"/>
      <c r="AL304" s="200"/>
      <c r="AM304" s="210"/>
      <c r="AN304" s="210"/>
    </row>
    <row r="305" spans="1:40" x14ac:dyDescent="0.25">
      <c r="F305" s="211"/>
      <c r="H305" s="211"/>
      <c r="I305" s="211"/>
      <c r="J305" s="305"/>
      <c r="K305" s="305"/>
      <c r="L305" s="211"/>
      <c r="M305" s="211"/>
      <c r="N305" s="211"/>
      <c r="O305" s="211"/>
      <c r="P305" s="211"/>
      <c r="Q305" s="211"/>
      <c r="R305" s="211"/>
      <c r="V305" s="211"/>
      <c r="Y305" s="211"/>
      <c r="Z305" s="305"/>
      <c r="AA305" s="211"/>
      <c r="AB305" s="211"/>
      <c r="AC305" s="211"/>
      <c r="AD305" s="211"/>
      <c r="AE305" s="211"/>
      <c r="AF305" s="211"/>
      <c r="AI305" s="211"/>
      <c r="AJ305" s="211"/>
      <c r="AK305" s="212"/>
      <c r="AL305" s="211"/>
      <c r="AM305" s="210"/>
      <c r="AN305" s="210"/>
    </row>
    <row r="306" spans="1:40" x14ac:dyDescent="0.25">
      <c r="A306" s="202"/>
      <c r="C306" s="154"/>
      <c r="F306" s="200"/>
      <c r="H306" s="200"/>
      <c r="I306" s="200"/>
      <c r="J306" s="213"/>
      <c r="K306" s="213"/>
      <c r="L306" s="200"/>
      <c r="M306" s="200"/>
      <c r="N306" s="210"/>
      <c r="O306" s="210"/>
      <c r="P306" s="200"/>
      <c r="Q306" s="200"/>
      <c r="R306" s="200"/>
      <c r="T306" s="154"/>
      <c r="V306" s="200"/>
      <c r="Y306" s="200"/>
      <c r="Z306" s="213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A307" s="202"/>
      <c r="C307" s="154"/>
      <c r="F307" s="200"/>
      <c r="H307" s="252"/>
      <c r="I307" s="252"/>
      <c r="J307" s="320"/>
      <c r="K307" s="320"/>
      <c r="L307" s="200"/>
      <c r="M307" s="200"/>
      <c r="N307" s="210"/>
      <c r="O307" s="210"/>
      <c r="P307" s="200"/>
      <c r="Q307" s="200"/>
      <c r="R307" s="200"/>
      <c r="T307" s="154"/>
      <c r="V307" s="200"/>
      <c r="Y307" s="200"/>
      <c r="Z307" s="304"/>
      <c r="AA307" s="200"/>
      <c r="AB307" s="200"/>
      <c r="AC307" s="210"/>
      <c r="AD307" s="210"/>
      <c r="AE307" s="200"/>
      <c r="AF307" s="200"/>
      <c r="AG307" s="209"/>
      <c r="AH307" s="201"/>
      <c r="AI307" s="200"/>
      <c r="AJ307" s="200"/>
      <c r="AK307" s="209"/>
      <c r="AL307" s="200"/>
      <c r="AM307" s="210"/>
      <c r="AN307" s="210"/>
    </row>
    <row r="308" spans="1:40" x14ac:dyDescent="0.25">
      <c r="H308" s="211"/>
      <c r="I308" s="211"/>
      <c r="J308" s="305"/>
      <c r="K308" s="305"/>
      <c r="L308" s="211"/>
      <c r="M308" s="211"/>
      <c r="N308" s="211"/>
      <c r="O308" s="211"/>
      <c r="P308" s="211"/>
      <c r="Q308" s="211"/>
      <c r="R308" s="211"/>
      <c r="V308" s="211"/>
      <c r="Y308" s="211"/>
      <c r="Z308" s="305"/>
      <c r="AA308" s="211"/>
      <c r="AB308" s="211"/>
      <c r="AC308" s="211"/>
      <c r="AD308" s="211"/>
      <c r="AE308" s="211"/>
      <c r="AF308" s="211"/>
      <c r="AI308" s="211"/>
      <c r="AJ308" s="211"/>
      <c r="AK308" s="212"/>
      <c r="AL308" s="211"/>
      <c r="AM308" s="210"/>
      <c r="AN308" s="210"/>
    </row>
    <row r="309" spans="1:40" x14ac:dyDescent="0.25">
      <c r="F309" s="211"/>
    </row>
    <row r="310" spans="1:40" x14ac:dyDescent="0.25">
      <c r="A310" s="202"/>
      <c r="C310" s="154"/>
      <c r="F310" s="200"/>
      <c r="H310" s="200"/>
      <c r="I310" s="200"/>
      <c r="J310" s="305"/>
      <c r="K310" s="305"/>
      <c r="L310" s="200"/>
      <c r="M310" s="200"/>
      <c r="N310" s="210"/>
      <c r="O310" s="210"/>
      <c r="P310" s="200"/>
      <c r="Q310" s="200"/>
      <c r="R310" s="200"/>
      <c r="S310" s="200"/>
      <c r="T310" s="154"/>
      <c r="V310" s="200"/>
      <c r="Y310" s="200"/>
      <c r="Z310" s="305"/>
      <c r="AA310" s="200"/>
      <c r="AB310" s="200"/>
      <c r="AC310" s="210"/>
      <c r="AD310" s="210"/>
      <c r="AE310" s="200"/>
      <c r="AF310" s="200"/>
      <c r="AG310" s="209"/>
      <c r="AH310" s="210"/>
      <c r="AI310" s="200"/>
      <c r="AJ310" s="200"/>
      <c r="AK310" s="209"/>
      <c r="AL310" s="200"/>
      <c r="AM310" s="210"/>
      <c r="AN310" s="210"/>
    </row>
    <row r="311" spans="1:40" x14ac:dyDescent="0.25">
      <c r="F311" s="211"/>
      <c r="H311" s="211"/>
      <c r="I311" s="211"/>
      <c r="J311" s="305"/>
      <c r="K311" s="305"/>
      <c r="L311" s="211"/>
      <c r="M311" s="211"/>
      <c r="N311" s="211"/>
      <c r="O311" s="211"/>
      <c r="P311" s="211"/>
      <c r="Q311" s="211"/>
      <c r="R311" s="211"/>
      <c r="S311" s="200"/>
      <c r="V311" s="211"/>
      <c r="Y311" s="211"/>
      <c r="Z311" s="305"/>
      <c r="AA311" s="211"/>
      <c r="AB311" s="211"/>
      <c r="AC311" s="211"/>
      <c r="AD311" s="211"/>
      <c r="AE311" s="211"/>
      <c r="AF311" s="211"/>
      <c r="AI311" s="211"/>
      <c r="AJ311" s="211"/>
      <c r="AK311" s="212"/>
      <c r="AL311" s="211"/>
      <c r="AM311" s="210"/>
      <c r="AN311" s="210"/>
    </row>
    <row r="312" spans="1:40" x14ac:dyDescent="0.25">
      <c r="A312" s="202"/>
      <c r="C312" s="154"/>
      <c r="T312" s="154"/>
    </row>
    <row r="313" spans="1:40" x14ac:dyDescent="0.25">
      <c r="A313" s="202"/>
      <c r="C313" s="154"/>
      <c r="F313" s="200"/>
      <c r="H313" s="200"/>
      <c r="I313" s="200"/>
      <c r="L313" s="200"/>
      <c r="M313" s="200"/>
      <c r="N313" s="210"/>
      <c r="O313" s="210"/>
      <c r="P313" s="252"/>
      <c r="Q313" s="252"/>
      <c r="R313" s="200"/>
      <c r="T313" s="154"/>
      <c r="V313" s="200"/>
      <c r="Y313" s="200"/>
      <c r="AA313" s="200"/>
      <c r="AB313" s="200"/>
      <c r="AC313" s="210"/>
      <c r="AD313" s="210"/>
      <c r="AE313" s="200"/>
      <c r="AF313" s="200"/>
      <c r="AG313" s="209"/>
      <c r="AH313" s="210"/>
      <c r="AI313" s="252"/>
      <c r="AJ313" s="252"/>
      <c r="AK313" s="209"/>
      <c r="AL313" s="200"/>
      <c r="AM313" s="210"/>
      <c r="AN313" s="210"/>
    </row>
    <row r="314" spans="1:40" x14ac:dyDescent="0.25">
      <c r="H314" s="211"/>
      <c r="I314" s="211"/>
      <c r="J314" s="305"/>
      <c r="K314" s="305"/>
      <c r="L314" s="211"/>
      <c r="M314" s="211"/>
      <c r="N314" s="211"/>
      <c r="O314" s="211"/>
      <c r="P314" s="211"/>
      <c r="Q314" s="211"/>
      <c r="R314" s="211"/>
      <c r="V314" s="211"/>
      <c r="Y314" s="211"/>
      <c r="Z314" s="305"/>
      <c r="AA314" s="211"/>
      <c r="AB314" s="211"/>
      <c r="AC314" s="211"/>
      <c r="AD314" s="211"/>
      <c r="AE314" s="211"/>
      <c r="AF314" s="211"/>
      <c r="AI314" s="211"/>
      <c r="AJ314" s="211"/>
      <c r="AK314" s="212"/>
      <c r="AL314" s="211"/>
    </row>
    <row r="315" spans="1:40" x14ac:dyDescent="0.25">
      <c r="F315" s="211"/>
    </row>
    <row r="316" spans="1:40" x14ac:dyDescent="0.25">
      <c r="C316" s="154"/>
      <c r="L316" s="200"/>
      <c r="M316" s="200"/>
      <c r="N316" s="200"/>
      <c r="O316" s="200"/>
      <c r="P316" s="200"/>
      <c r="Q316" s="200"/>
      <c r="R316" s="200"/>
      <c r="S316" s="200"/>
      <c r="T316" s="154"/>
      <c r="AA316" s="200"/>
      <c r="AB316" s="200"/>
      <c r="AC316" s="200"/>
      <c r="AD316" s="200"/>
      <c r="AI316" s="200"/>
      <c r="AJ316" s="200"/>
      <c r="AK316" s="209"/>
      <c r="AL316" s="200"/>
    </row>
    <row r="317" spans="1:40" x14ac:dyDescent="0.25">
      <c r="A317" s="154"/>
    </row>
    <row r="318" spans="1:40" x14ac:dyDescent="0.25">
      <c r="J318" s="202"/>
      <c r="K318" s="202"/>
      <c r="Z318" s="202"/>
    </row>
    <row r="319" spans="1:40" x14ac:dyDescent="0.25">
      <c r="H319" s="154"/>
      <c r="I319" s="154"/>
      <c r="Y319" s="154"/>
    </row>
    <row r="320" spans="1:40" x14ac:dyDescent="0.25">
      <c r="J320" s="202"/>
      <c r="K320" s="202"/>
      <c r="Z320" s="202"/>
    </row>
    <row r="321" spans="1:40" x14ac:dyDescent="0.25">
      <c r="L321" s="154"/>
      <c r="M321" s="154"/>
      <c r="AA321" s="154"/>
      <c r="AB321" s="154"/>
    </row>
    <row r="322" spans="1:40" x14ac:dyDescent="0.25">
      <c r="A322" s="202"/>
      <c r="R322" s="154"/>
      <c r="AK322" s="297"/>
      <c r="AL322" s="154"/>
    </row>
    <row r="323" spans="1:40" x14ac:dyDescent="0.25">
      <c r="A323" s="202"/>
      <c r="R323" s="154"/>
      <c r="AK323" s="297"/>
      <c r="AL323" s="154"/>
    </row>
    <row r="324" spans="1:40" x14ac:dyDescent="0.25">
      <c r="A324" s="154"/>
      <c r="R324" s="154"/>
      <c r="AK324" s="297"/>
      <c r="AL324" s="154"/>
    </row>
    <row r="325" spans="1:40" x14ac:dyDescent="0.25">
      <c r="L325" s="154"/>
      <c r="M325" s="154"/>
      <c r="R325" s="202"/>
      <c r="AA325" s="154"/>
      <c r="AB325" s="154"/>
      <c r="AK325" s="209"/>
      <c r="AL325" s="202"/>
    </row>
    <row r="326" spans="1:40" x14ac:dyDescent="0.25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208"/>
      <c r="AH326" s="102"/>
      <c r="AI326" s="102"/>
      <c r="AJ326" s="102"/>
      <c r="AK326" s="208"/>
      <c r="AL326" s="102"/>
      <c r="AM326" s="102"/>
      <c r="AN326" s="102"/>
    </row>
    <row r="327" spans="1:40" x14ac:dyDescent="0.25">
      <c r="L327" s="103"/>
      <c r="M327" s="103"/>
      <c r="N327" s="103"/>
      <c r="O327" s="103"/>
      <c r="R327" s="103"/>
      <c r="AA327" s="103"/>
      <c r="AB327" s="103"/>
      <c r="AC327" s="103"/>
      <c r="AD327" s="103"/>
      <c r="AE327" s="103"/>
      <c r="AF327" s="103"/>
      <c r="AG327" s="185"/>
      <c r="AH327" s="103"/>
      <c r="AK327" s="185"/>
      <c r="AL327" s="103"/>
      <c r="AM327" s="103"/>
      <c r="AN327" s="103"/>
    </row>
    <row r="328" spans="1:40" x14ac:dyDescent="0.25">
      <c r="L328" s="103"/>
      <c r="M328" s="103"/>
      <c r="N328" s="103"/>
      <c r="O328" s="103"/>
      <c r="R328" s="103"/>
      <c r="Z328" s="103"/>
      <c r="AA328" s="103"/>
      <c r="AB328" s="103"/>
      <c r="AC328" s="103"/>
      <c r="AD328" s="103"/>
      <c r="AE328" s="103"/>
      <c r="AF328" s="103"/>
      <c r="AG328" s="185"/>
      <c r="AH328" s="103"/>
      <c r="AK328" s="185"/>
      <c r="AL328" s="103"/>
      <c r="AM328" s="103"/>
      <c r="AN328" s="103"/>
    </row>
    <row r="329" spans="1:40" x14ac:dyDescent="0.25">
      <c r="A329" s="103"/>
      <c r="C329" s="103"/>
      <c r="D329" s="103"/>
      <c r="E329" s="103"/>
      <c r="F329" s="103"/>
      <c r="J329" s="103"/>
      <c r="K329" s="103"/>
      <c r="L329" s="103"/>
      <c r="M329" s="103"/>
      <c r="N329" s="103"/>
      <c r="O329" s="103"/>
      <c r="P329" s="103"/>
      <c r="Q329" s="103"/>
      <c r="R329" s="103"/>
      <c r="T329" s="103"/>
      <c r="U329" s="103"/>
      <c r="V329" s="103"/>
      <c r="Z329" s="103"/>
      <c r="AA329" s="103"/>
      <c r="AB329" s="103"/>
      <c r="AC329" s="103"/>
      <c r="AD329" s="103"/>
      <c r="AE329" s="103"/>
      <c r="AF329" s="103"/>
      <c r="AG329" s="185"/>
      <c r="AH329" s="103"/>
      <c r="AI329" s="103"/>
      <c r="AJ329" s="103"/>
      <c r="AK329" s="185"/>
      <c r="AL329" s="103"/>
      <c r="AM329" s="103"/>
      <c r="AN329" s="103"/>
    </row>
    <row r="330" spans="1:40" x14ac:dyDescent="0.25">
      <c r="A330" s="103"/>
      <c r="C330" s="103"/>
      <c r="D330" s="103"/>
      <c r="E330" s="103"/>
      <c r="F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T330" s="103"/>
      <c r="U330" s="103"/>
      <c r="V330" s="103"/>
      <c r="Y330" s="103"/>
      <c r="Z330" s="103"/>
      <c r="AA330" s="103"/>
      <c r="AB330" s="103"/>
      <c r="AC330" s="103"/>
      <c r="AD330" s="103"/>
      <c r="AE330" s="103"/>
      <c r="AF330" s="103"/>
      <c r="AG330" s="185"/>
      <c r="AH330" s="103"/>
      <c r="AI330" s="103"/>
      <c r="AJ330" s="103"/>
      <c r="AK330" s="185"/>
      <c r="AL330" s="103"/>
      <c r="AM330" s="103"/>
      <c r="AN330" s="103"/>
    </row>
    <row r="331" spans="1:40" x14ac:dyDescent="0.25">
      <c r="C331" s="103"/>
      <c r="D331" s="103"/>
      <c r="E331" s="103"/>
      <c r="F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T331" s="103"/>
      <c r="U331" s="103"/>
      <c r="V331" s="103"/>
      <c r="Y331" s="103"/>
      <c r="Z331" s="103"/>
      <c r="AA331" s="103"/>
      <c r="AB331" s="103"/>
      <c r="AC331" s="103"/>
      <c r="AD331" s="103"/>
      <c r="AE331" s="103"/>
      <c r="AF331" s="103"/>
      <c r="AG331" s="185"/>
      <c r="AH331" s="103"/>
      <c r="AI331" s="103"/>
      <c r="AJ331" s="103"/>
      <c r="AK331" s="185"/>
      <c r="AL331" s="103"/>
      <c r="AM331" s="103"/>
      <c r="AN331" s="103"/>
    </row>
    <row r="332" spans="1:40" x14ac:dyDescent="0.2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208"/>
      <c r="AH332" s="102"/>
      <c r="AI332" s="102"/>
      <c r="AJ332" s="102"/>
      <c r="AK332" s="208"/>
      <c r="AL332" s="102"/>
      <c r="AM332" s="102"/>
      <c r="AN332" s="102"/>
    </row>
    <row r="333" spans="1:40" x14ac:dyDescent="0.25"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Y333" s="103"/>
      <c r="Z333" s="103"/>
      <c r="AA333" s="103"/>
      <c r="AB333" s="103"/>
      <c r="AC333" s="103"/>
      <c r="AD333" s="103"/>
      <c r="AE333" s="103"/>
      <c r="AF333" s="103"/>
      <c r="AG333" s="185"/>
      <c r="AH333" s="103"/>
      <c r="AI333" s="103"/>
      <c r="AJ333" s="103"/>
      <c r="AK333" s="185"/>
      <c r="AL333" s="103"/>
      <c r="AM333" s="103"/>
      <c r="AN333" s="103"/>
    </row>
    <row r="334" spans="1:40" x14ac:dyDescent="0.25">
      <c r="A334" s="202"/>
      <c r="C334" s="154"/>
      <c r="D334" s="154"/>
      <c r="E334" s="154"/>
      <c r="T334" s="154"/>
      <c r="U334" s="154"/>
    </row>
    <row r="335" spans="1:40" x14ac:dyDescent="0.25">
      <c r="D335" s="154"/>
      <c r="E335" s="154"/>
      <c r="U335" s="154"/>
    </row>
    <row r="337" spans="1:40" x14ac:dyDescent="0.25">
      <c r="A337" s="202"/>
      <c r="C337" s="154"/>
      <c r="T337" s="154"/>
    </row>
    <row r="338" spans="1:40" x14ac:dyDescent="0.25">
      <c r="A338" s="202"/>
      <c r="C338" s="154"/>
      <c r="F338" s="252"/>
      <c r="H338" s="252"/>
      <c r="I338" s="252"/>
      <c r="J338" s="329"/>
      <c r="K338" s="329"/>
      <c r="L338" s="200"/>
      <c r="M338" s="200"/>
      <c r="N338" s="210"/>
      <c r="O338" s="210"/>
      <c r="P338" s="200"/>
      <c r="Q338" s="200"/>
      <c r="R338" s="200"/>
      <c r="T338" s="154"/>
      <c r="V338" s="252"/>
      <c r="W338" s="200"/>
      <c r="X338" s="200"/>
      <c r="Y338" s="252"/>
      <c r="Z338" s="329"/>
      <c r="AA338" s="200"/>
      <c r="AB338" s="200"/>
      <c r="AC338" s="210"/>
      <c r="AD338" s="210"/>
      <c r="AE338" s="200"/>
      <c r="AF338" s="200"/>
      <c r="AG338" s="209"/>
      <c r="AH338" s="201"/>
      <c r="AI338" s="200"/>
      <c r="AJ338" s="200"/>
      <c r="AK338" s="209"/>
      <c r="AL338" s="200"/>
      <c r="AM338" s="210"/>
      <c r="AN338" s="210"/>
    </row>
    <row r="339" spans="1:40" x14ac:dyDescent="0.25">
      <c r="A339" s="202"/>
      <c r="C339" s="154"/>
      <c r="F339" s="200"/>
      <c r="H339" s="200"/>
      <c r="I339" s="200"/>
      <c r="J339" s="305"/>
      <c r="K339" s="305"/>
      <c r="L339" s="200"/>
      <c r="M339" s="200"/>
      <c r="N339" s="210"/>
      <c r="O339" s="210"/>
      <c r="P339" s="200"/>
      <c r="Q339" s="200"/>
      <c r="R339" s="200"/>
      <c r="T339" s="154"/>
      <c r="V339" s="252"/>
      <c r="W339" s="200"/>
      <c r="X339" s="200"/>
      <c r="Y339" s="252"/>
      <c r="Z339" s="305"/>
      <c r="AA339" s="200"/>
      <c r="AB339" s="200"/>
      <c r="AC339" s="210"/>
      <c r="AD339" s="210"/>
      <c r="AE339" s="200"/>
      <c r="AF339" s="200"/>
      <c r="AG339" s="209"/>
      <c r="AH339" s="201"/>
      <c r="AI339" s="200"/>
      <c r="AJ339" s="200"/>
      <c r="AK339" s="209"/>
      <c r="AL339" s="200"/>
      <c r="AM339" s="210"/>
      <c r="AN339" s="210"/>
    </row>
    <row r="340" spans="1:40" x14ac:dyDescent="0.25">
      <c r="A340" s="202"/>
      <c r="C340" s="154"/>
      <c r="F340" s="252"/>
      <c r="H340" s="252"/>
      <c r="I340" s="252"/>
      <c r="J340" s="329"/>
      <c r="K340" s="329"/>
      <c r="L340" s="200"/>
      <c r="M340" s="200"/>
      <c r="N340" s="210"/>
      <c r="O340" s="210"/>
      <c r="P340" s="200"/>
      <c r="Q340" s="200"/>
      <c r="R340" s="200"/>
      <c r="T340" s="154"/>
      <c r="V340" s="252"/>
      <c r="W340" s="200"/>
      <c r="X340" s="200"/>
      <c r="Y340" s="252"/>
      <c r="Z340" s="329"/>
      <c r="AA340" s="200"/>
      <c r="AB340" s="200"/>
      <c r="AC340" s="210"/>
      <c r="AD340" s="210"/>
      <c r="AE340" s="200"/>
      <c r="AF340" s="200"/>
      <c r="AG340" s="209"/>
      <c r="AH340" s="201"/>
      <c r="AI340" s="200"/>
      <c r="AJ340" s="200"/>
      <c r="AK340" s="209"/>
      <c r="AL340" s="200"/>
      <c r="AM340" s="210"/>
      <c r="AN340" s="210"/>
    </row>
    <row r="341" spans="1:40" x14ac:dyDescent="0.25">
      <c r="A341" s="202"/>
      <c r="C341" s="154"/>
      <c r="F341" s="252"/>
      <c r="H341" s="252"/>
      <c r="I341" s="252"/>
      <c r="J341" s="329"/>
      <c r="K341" s="329"/>
      <c r="L341" s="200"/>
      <c r="M341" s="200"/>
      <c r="N341" s="210"/>
      <c r="O341" s="210"/>
      <c r="P341" s="200"/>
      <c r="Q341" s="200"/>
      <c r="R341" s="200"/>
      <c r="T341" s="154"/>
      <c r="V341" s="252"/>
      <c r="W341" s="200"/>
      <c r="X341" s="200"/>
      <c r="Y341" s="252"/>
      <c r="Z341" s="329"/>
      <c r="AA341" s="200"/>
      <c r="AB341" s="200"/>
      <c r="AC341" s="210"/>
      <c r="AD341" s="210"/>
      <c r="AE341" s="200"/>
      <c r="AF341" s="200"/>
      <c r="AG341" s="209"/>
      <c r="AH341" s="201"/>
      <c r="AI341" s="200"/>
      <c r="AJ341" s="200"/>
      <c r="AK341" s="209"/>
      <c r="AL341" s="200"/>
      <c r="AM341" s="210"/>
      <c r="AN341" s="210"/>
    </row>
    <row r="342" spans="1:40" x14ac:dyDescent="0.25">
      <c r="A342" s="202"/>
      <c r="C342" s="154"/>
      <c r="F342" s="252"/>
      <c r="H342" s="252"/>
      <c r="I342" s="252"/>
      <c r="J342" s="329"/>
      <c r="K342" s="329"/>
      <c r="L342" s="200"/>
      <c r="M342" s="200"/>
      <c r="N342" s="210"/>
      <c r="O342" s="210"/>
      <c r="P342" s="200"/>
      <c r="Q342" s="200"/>
      <c r="R342" s="200"/>
      <c r="T342" s="154"/>
      <c r="V342" s="252"/>
      <c r="W342" s="200"/>
      <c r="X342" s="200"/>
      <c r="Y342" s="252"/>
      <c r="Z342" s="329"/>
      <c r="AA342" s="200"/>
      <c r="AB342" s="200"/>
      <c r="AC342" s="210"/>
      <c r="AD342" s="210"/>
      <c r="AE342" s="200"/>
      <c r="AF342" s="200"/>
      <c r="AG342" s="209"/>
      <c r="AH342" s="201"/>
      <c r="AI342" s="200"/>
      <c r="AJ342" s="200"/>
      <c r="AK342" s="209"/>
      <c r="AL342" s="200"/>
      <c r="AM342" s="210"/>
      <c r="AN342" s="210"/>
    </row>
    <row r="343" spans="1:40" x14ac:dyDescent="0.25">
      <c r="A343" s="202"/>
      <c r="C343" s="154"/>
      <c r="F343" s="200"/>
      <c r="H343" s="200"/>
      <c r="I343" s="200"/>
      <c r="J343" s="329"/>
      <c r="K343" s="329"/>
      <c r="L343" s="200"/>
      <c r="M343" s="200"/>
      <c r="N343" s="210"/>
      <c r="O343" s="210"/>
      <c r="P343" s="200"/>
      <c r="Q343" s="200"/>
      <c r="R343" s="200"/>
      <c r="T343" s="154"/>
      <c r="V343" s="252"/>
      <c r="W343" s="200"/>
      <c r="X343" s="200"/>
      <c r="Y343" s="252"/>
      <c r="Z343" s="329"/>
      <c r="AA343" s="200"/>
      <c r="AB343" s="200"/>
      <c r="AC343" s="210"/>
      <c r="AD343" s="210"/>
      <c r="AE343" s="200"/>
      <c r="AF343" s="200"/>
      <c r="AG343" s="209"/>
      <c r="AH343" s="201"/>
      <c r="AI343" s="200"/>
      <c r="AJ343" s="200"/>
      <c r="AK343" s="209"/>
      <c r="AL343" s="200"/>
      <c r="AM343" s="210"/>
      <c r="AN343" s="210"/>
    </row>
    <row r="344" spans="1:40" x14ac:dyDescent="0.25">
      <c r="A344" s="202"/>
      <c r="C344" s="154"/>
      <c r="F344" s="200"/>
      <c r="H344" s="200"/>
      <c r="I344" s="200"/>
      <c r="J344" s="329"/>
      <c r="K344" s="329"/>
      <c r="L344" s="200"/>
      <c r="M344" s="200"/>
      <c r="N344" s="210"/>
      <c r="O344" s="210"/>
      <c r="P344" s="200"/>
      <c r="Q344" s="200"/>
      <c r="R344" s="200"/>
      <c r="T344" s="154"/>
      <c r="V344" s="252"/>
      <c r="W344" s="200"/>
      <c r="X344" s="200"/>
      <c r="Y344" s="252"/>
      <c r="Z344" s="329"/>
      <c r="AA344" s="200"/>
      <c r="AB344" s="200"/>
      <c r="AC344" s="210"/>
      <c r="AD344" s="210"/>
      <c r="AE344" s="200"/>
      <c r="AF344" s="200"/>
      <c r="AG344" s="209"/>
      <c r="AH344" s="201"/>
      <c r="AI344" s="200"/>
      <c r="AJ344" s="200"/>
      <c r="AK344" s="209"/>
      <c r="AL344" s="200"/>
      <c r="AM344" s="210"/>
      <c r="AN344" s="210"/>
    </row>
    <row r="345" spans="1:40" x14ac:dyDescent="0.25">
      <c r="F345" s="331"/>
      <c r="H345" s="332"/>
      <c r="I345" s="332"/>
      <c r="J345" s="329"/>
      <c r="K345" s="329"/>
      <c r="L345" s="331"/>
      <c r="M345" s="331"/>
      <c r="N345" s="211"/>
      <c r="O345" s="211"/>
      <c r="P345" s="331"/>
      <c r="Q345" s="331"/>
      <c r="R345" s="331"/>
      <c r="V345" s="331"/>
      <c r="W345" s="200"/>
      <c r="X345" s="200"/>
      <c r="Y345" s="331"/>
      <c r="Z345" s="329"/>
      <c r="AA345" s="331"/>
      <c r="AB345" s="331"/>
      <c r="AC345" s="333"/>
      <c r="AD345" s="333"/>
      <c r="AE345" s="331"/>
      <c r="AF345" s="331"/>
      <c r="AG345" s="209"/>
      <c r="AH345" s="201"/>
      <c r="AI345" s="331"/>
      <c r="AJ345" s="331"/>
      <c r="AK345" s="208"/>
      <c r="AL345" s="331"/>
      <c r="AM345" s="210"/>
      <c r="AN345" s="210"/>
    </row>
    <row r="346" spans="1:40" x14ac:dyDescent="0.25">
      <c r="A346" s="202"/>
      <c r="C346" s="154"/>
      <c r="F346" s="200"/>
      <c r="H346" s="200"/>
      <c r="I346" s="200"/>
      <c r="J346" s="329"/>
      <c r="K346" s="329"/>
      <c r="L346" s="200"/>
      <c r="M346" s="200"/>
      <c r="N346" s="201"/>
      <c r="O346" s="201"/>
      <c r="P346" s="200"/>
      <c r="Q346" s="200"/>
      <c r="R346" s="200"/>
      <c r="T346" s="103"/>
      <c r="V346" s="200"/>
      <c r="W346" s="200"/>
      <c r="X346" s="200"/>
      <c r="Y346" s="200"/>
      <c r="Z346" s="329"/>
      <c r="AA346" s="200"/>
      <c r="AB346" s="200"/>
      <c r="AC346" s="201"/>
      <c r="AD346" s="201"/>
      <c r="AE346" s="200"/>
      <c r="AF346" s="200"/>
      <c r="AG346" s="209"/>
      <c r="AH346" s="201"/>
      <c r="AI346" s="200"/>
      <c r="AJ346" s="200"/>
      <c r="AK346" s="209"/>
      <c r="AL346" s="200"/>
      <c r="AM346" s="210"/>
      <c r="AN346" s="210"/>
    </row>
    <row r="347" spans="1:40" x14ac:dyDescent="0.25">
      <c r="F347" s="102"/>
      <c r="H347" s="102"/>
      <c r="I347" s="102"/>
      <c r="L347" s="102"/>
      <c r="M347" s="102"/>
      <c r="N347" s="333"/>
      <c r="O347" s="333"/>
      <c r="P347" s="331"/>
      <c r="Q347" s="331"/>
      <c r="R347" s="331"/>
      <c r="V347" s="331"/>
      <c r="Y347" s="331"/>
      <c r="Z347" s="305"/>
      <c r="AA347" s="331"/>
      <c r="AB347" s="331"/>
      <c r="AC347" s="331"/>
      <c r="AD347" s="331"/>
      <c r="AE347" s="331"/>
      <c r="AF347" s="331"/>
      <c r="AI347" s="331"/>
      <c r="AJ347" s="331"/>
      <c r="AK347" s="208"/>
      <c r="AL347" s="331"/>
      <c r="AM347" s="333"/>
      <c r="AN347" s="333"/>
    </row>
    <row r="348" spans="1:40" x14ac:dyDescent="0.25">
      <c r="AI348" s="202"/>
      <c r="AJ348" s="202"/>
    </row>
    <row r="352" spans="1:40" x14ac:dyDescent="0.25">
      <c r="N352" s="200"/>
      <c r="O352" s="200"/>
      <c r="P352" s="200"/>
      <c r="Q352" s="200"/>
      <c r="R352" s="200"/>
      <c r="V352" s="200"/>
      <c r="Y352" s="200"/>
      <c r="Z352" s="213"/>
      <c r="AA352" s="200"/>
      <c r="AB352" s="200"/>
      <c r="AC352" s="210"/>
      <c r="AD352" s="210"/>
      <c r="AE352" s="200"/>
      <c r="AF352" s="200"/>
      <c r="AG352" s="209"/>
      <c r="AH352" s="201"/>
      <c r="AI352" s="200"/>
      <c r="AJ352" s="200"/>
      <c r="AK352" s="209"/>
      <c r="AL352" s="200"/>
      <c r="AM352" s="210"/>
      <c r="AN352" s="210"/>
    </row>
    <row r="353" spans="1:40" x14ac:dyDescent="0.25">
      <c r="A353" s="202"/>
      <c r="C353" s="154"/>
      <c r="D353" s="154"/>
      <c r="E353" s="154"/>
      <c r="J353" s="334"/>
      <c r="K353" s="334"/>
      <c r="T353" s="154"/>
      <c r="U353" s="154"/>
      <c r="Z353" s="334"/>
      <c r="AE353" s="200"/>
      <c r="AF353" s="200"/>
      <c r="AI353" s="200"/>
      <c r="AJ353" s="200"/>
      <c r="AK353" s="209"/>
      <c r="AL353" s="200"/>
      <c r="AM353" s="210"/>
      <c r="AN353" s="210"/>
    </row>
    <row r="354" spans="1:40" x14ac:dyDescent="0.25">
      <c r="D354" s="154"/>
      <c r="E354" s="154"/>
      <c r="F354" s="200"/>
      <c r="H354" s="200"/>
      <c r="I354" s="200"/>
      <c r="J354" s="329"/>
      <c r="K354" s="329"/>
      <c r="L354" s="200"/>
      <c r="M354" s="200"/>
      <c r="N354" s="210"/>
      <c r="O354" s="210"/>
      <c r="P354" s="200"/>
      <c r="Q354" s="200"/>
      <c r="R354" s="200"/>
      <c r="U354" s="154"/>
      <c r="V354" s="200"/>
      <c r="Y354" s="200"/>
      <c r="Z354" s="329"/>
      <c r="AA354" s="200"/>
      <c r="AB354" s="200"/>
      <c r="AC354" s="210"/>
      <c r="AD354" s="210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F355" s="200"/>
      <c r="H355" s="200"/>
      <c r="I355" s="200"/>
      <c r="J355" s="305"/>
      <c r="K355" s="305"/>
      <c r="L355" s="200"/>
      <c r="M355" s="200"/>
      <c r="N355" s="200"/>
      <c r="O355" s="200"/>
      <c r="P355" s="200"/>
      <c r="Q355" s="200"/>
      <c r="R355" s="200"/>
      <c r="V355" s="200"/>
      <c r="Y355" s="200"/>
      <c r="Z355" s="305"/>
      <c r="AA355" s="200"/>
      <c r="AB355" s="200"/>
      <c r="AC355" s="200"/>
      <c r="AD355" s="200"/>
      <c r="AE355" s="200"/>
      <c r="AF355" s="200"/>
      <c r="AG355" s="209"/>
      <c r="AH355" s="201"/>
      <c r="AI355" s="252"/>
      <c r="AJ355" s="252"/>
      <c r="AK355" s="209"/>
      <c r="AL355" s="200"/>
      <c r="AM355" s="210"/>
      <c r="AN355" s="210"/>
    </row>
    <row r="356" spans="1:40" x14ac:dyDescent="0.25">
      <c r="A356" s="202"/>
      <c r="C356" s="154"/>
      <c r="F356" s="252"/>
      <c r="H356" s="252"/>
      <c r="I356" s="252"/>
      <c r="J356" s="304"/>
      <c r="K356" s="304"/>
      <c r="L356" s="200"/>
      <c r="M356" s="200"/>
      <c r="N356" s="210"/>
      <c r="O356" s="210"/>
      <c r="P356" s="200"/>
      <c r="Q356" s="200"/>
      <c r="R356" s="200"/>
      <c r="T356" s="154"/>
      <c r="V356" s="252"/>
      <c r="Y356" s="252"/>
      <c r="Z356" s="304"/>
      <c r="AA356" s="200"/>
      <c r="AB356" s="200"/>
      <c r="AC356" s="210"/>
      <c r="AD356" s="21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F357" s="102"/>
      <c r="H357" s="102"/>
      <c r="I357" s="102"/>
      <c r="L357" s="102"/>
      <c r="M357" s="102"/>
      <c r="N357" s="102"/>
      <c r="O357" s="102"/>
      <c r="P357" s="102"/>
      <c r="Q357" s="102"/>
      <c r="R357" s="102"/>
      <c r="V357" s="102"/>
      <c r="Y357" s="102"/>
      <c r="AA357" s="102"/>
      <c r="AB357" s="102"/>
      <c r="AC357" s="102"/>
      <c r="AD357" s="102"/>
      <c r="AE357" s="102"/>
      <c r="AF357" s="102"/>
      <c r="AG357" s="208"/>
      <c r="AH357" s="102"/>
      <c r="AI357" s="102"/>
      <c r="AJ357" s="102"/>
      <c r="AK357" s="208"/>
      <c r="AL357" s="102"/>
      <c r="AM357" s="102"/>
      <c r="AN357" s="102"/>
    </row>
    <row r="358" spans="1:40" x14ac:dyDescent="0.25">
      <c r="A358" s="202"/>
      <c r="C358" s="103"/>
      <c r="F358" s="252"/>
      <c r="H358" s="252"/>
      <c r="I358" s="252"/>
      <c r="J358" s="300"/>
      <c r="K358" s="300"/>
      <c r="L358" s="252"/>
      <c r="M358" s="252"/>
      <c r="N358" s="210"/>
      <c r="O358" s="210"/>
      <c r="P358" s="252"/>
      <c r="Q358" s="252"/>
      <c r="R358" s="252"/>
      <c r="T358" s="103"/>
      <c r="V358" s="200"/>
      <c r="Y358" s="200"/>
      <c r="Z358" s="213"/>
      <c r="AA358" s="200"/>
      <c r="AB358" s="200"/>
      <c r="AC358" s="210"/>
      <c r="AD358" s="210"/>
      <c r="AE358" s="202"/>
      <c r="AF358" s="202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F359" s="331"/>
      <c r="H359" s="331"/>
      <c r="I359" s="331"/>
      <c r="J359" s="305"/>
      <c r="K359" s="305"/>
      <c r="L359" s="331"/>
      <c r="M359" s="331"/>
      <c r="N359" s="331"/>
      <c r="O359" s="331"/>
      <c r="P359" s="331"/>
      <c r="Q359" s="331"/>
      <c r="R359" s="331"/>
      <c r="V359" s="102"/>
      <c r="Y359" s="102"/>
      <c r="AA359" s="102"/>
      <c r="AB359" s="102"/>
      <c r="AC359" s="102"/>
      <c r="AD359" s="102"/>
      <c r="AE359" s="102"/>
      <c r="AF359" s="102"/>
      <c r="AG359" s="208"/>
      <c r="AH359" s="102"/>
      <c r="AI359" s="102"/>
      <c r="AJ359" s="102"/>
      <c r="AK359" s="208"/>
      <c r="AL359" s="102"/>
      <c r="AM359" s="102"/>
      <c r="AN359" s="102"/>
    </row>
    <row r="360" spans="1:40" x14ac:dyDescent="0.25">
      <c r="F360" s="252"/>
      <c r="H360" s="252"/>
      <c r="I360" s="252"/>
      <c r="J360" s="328"/>
      <c r="K360" s="328"/>
      <c r="L360" s="200"/>
      <c r="M360" s="200"/>
      <c r="N360" s="210"/>
      <c r="O360" s="210"/>
      <c r="P360" s="200"/>
      <c r="Q360" s="200"/>
      <c r="R360" s="200"/>
    </row>
    <row r="361" spans="1:40" x14ac:dyDescent="0.25">
      <c r="A361" s="154"/>
      <c r="F361" s="252"/>
      <c r="H361" s="252"/>
      <c r="I361" s="252"/>
      <c r="J361" s="300"/>
      <c r="K361" s="300"/>
      <c r="L361" s="200"/>
      <c r="M361" s="200"/>
      <c r="N361" s="210"/>
      <c r="O361" s="210"/>
      <c r="P361" s="200"/>
      <c r="Q361" s="200"/>
      <c r="R361" s="200"/>
    </row>
    <row r="362" spans="1:40" x14ac:dyDescent="0.25">
      <c r="F362" s="252"/>
      <c r="H362" s="252"/>
      <c r="I362" s="252"/>
      <c r="J362" s="300"/>
      <c r="K362" s="300"/>
      <c r="L362" s="200"/>
      <c r="M362" s="200"/>
      <c r="N362" s="210"/>
      <c r="O362" s="210"/>
      <c r="P362" s="200"/>
      <c r="Q362" s="200"/>
      <c r="R362" s="200"/>
    </row>
    <row r="363" spans="1:40" x14ac:dyDescent="0.25">
      <c r="A363" s="154"/>
    </row>
    <row r="365" spans="1:40" x14ac:dyDescent="0.25">
      <c r="J365" s="202"/>
      <c r="K365" s="202"/>
      <c r="Z365" s="202"/>
    </row>
    <row r="366" spans="1:40" x14ac:dyDescent="0.25">
      <c r="H366" s="154"/>
      <c r="I366" s="154"/>
      <c r="Y366" s="154"/>
    </row>
    <row r="367" spans="1:40" x14ac:dyDescent="0.25">
      <c r="J367" s="202"/>
      <c r="K367" s="202"/>
      <c r="Z367" s="202"/>
    </row>
    <row r="368" spans="1:40" x14ac:dyDescent="0.25">
      <c r="L368" s="154"/>
      <c r="M368" s="154"/>
      <c r="AA368" s="154"/>
      <c r="AB368" s="154"/>
    </row>
    <row r="369" spans="1:40" x14ac:dyDescent="0.25">
      <c r="A369" s="202"/>
      <c r="R369" s="154"/>
      <c r="AK369" s="297"/>
      <c r="AL369" s="154"/>
    </row>
    <row r="370" spans="1:40" x14ac:dyDescent="0.25">
      <c r="A370" s="202"/>
      <c r="R370" s="154"/>
      <c r="AK370" s="297"/>
      <c r="AL370" s="154"/>
    </row>
    <row r="371" spans="1:40" x14ac:dyDescent="0.25">
      <c r="A371" s="154"/>
      <c r="R371" s="154"/>
      <c r="AK371" s="297"/>
      <c r="AL371" s="154"/>
    </row>
    <row r="372" spans="1:40" x14ac:dyDescent="0.25">
      <c r="L372" s="154"/>
      <c r="M372" s="154"/>
      <c r="R372" s="202"/>
      <c r="AA372" s="154"/>
      <c r="AB372" s="154"/>
      <c r="AK372" s="209"/>
      <c r="AL372" s="202"/>
    </row>
    <row r="373" spans="1:40" x14ac:dyDescent="0.25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208"/>
      <c r="AH373" s="102"/>
      <c r="AI373" s="102"/>
      <c r="AJ373" s="102"/>
      <c r="AK373" s="208"/>
      <c r="AL373" s="102"/>
      <c r="AM373" s="102"/>
      <c r="AN373" s="102"/>
    </row>
    <row r="374" spans="1:40" x14ac:dyDescent="0.25">
      <c r="L374" s="103"/>
      <c r="M374" s="103"/>
      <c r="N374" s="103"/>
      <c r="O374" s="103"/>
      <c r="R374" s="103"/>
      <c r="AA374" s="103"/>
      <c r="AB374" s="103"/>
      <c r="AC374" s="103"/>
      <c r="AD374" s="103"/>
      <c r="AE374" s="103"/>
      <c r="AF374" s="103"/>
      <c r="AG374" s="185"/>
      <c r="AH374" s="103"/>
      <c r="AK374" s="185"/>
      <c r="AL374" s="103"/>
      <c r="AM374" s="103"/>
      <c r="AN374" s="103"/>
    </row>
    <row r="375" spans="1:40" x14ac:dyDescent="0.25">
      <c r="L375" s="103"/>
      <c r="M375" s="103"/>
      <c r="N375" s="103"/>
      <c r="O375" s="103"/>
      <c r="R375" s="103"/>
      <c r="Z375" s="103"/>
      <c r="AA375" s="103"/>
      <c r="AB375" s="103"/>
      <c r="AC375" s="103"/>
      <c r="AD375" s="103"/>
      <c r="AE375" s="103"/>
      <c r="AF375" s="103"/>
      <c r="AG375" s="185"/>
      <c r="AH375" s="103"/>
      <c r="AK375" s="185"/>
      <c r="AL375" s="103"/>
      <c r="AM375" s="103"/>
      <c r="AN375" s="103"/>
    </row>
    <row r="376" spans="1:40" x14ac:dyDescent="0.25">
      <c r="A376" s="103"/>
      <c r="C376" s="103"/>
      <c r="D376" s="103"/>
      <c r="E376" s="103"/>
      <c r="F376" s="103"/>
      <c r="J376" s="103"/>
      <c r="K376" s="103"/>
      <c r="L376" s="103"/>
      <c r="M376" s="103"/>
      <c r="N376" s="103"/>
      <c r="O376" s="103"/>
      <c r="P376" s="103"/>
      <c r="Q376" s="103"/>
      <c r="R376" s="103"/>
      <c r="T376" s="103"/>
      <c r="U376" s="103"/>
      <c r="V376" s="103"/>
      <c r="Z376" s="103"/>
      <c r="AA376" s="103"/>
      <c r="AB376" s="103"/>
      <c r="AC376" s="103"/>
      <c r="AD376" s="103"/>
      <c r="AE376" s="103"/>
      <c r="AF376" s="103"/>
      <c r="AG376" s="185"/>
      <c r="AH376" s="103"/>
      <c r="AI376" s="103"/>
      <c r="AJ376" s="103"/>
      <c r="AK376" s="185"/>
      <c r="AL376" s="103"/>
      <c r="AM376" s="103"/>
      <c r="AN376" s="103"/>
    </row>
    <row r="377" spans="1:40" x14ac:dyDescent="0.25">
      <c r="A377" s="103"/>
      <c r="C377" s="103"/>
      <c r="D377" s="103"/>
      <c r="E377" s="103"/>
      <c r="F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T377" s="103"/>
      <c r="U377" s="103"/>
      <c r="V377" s="103"/>
      <c r="Y377" s="103"/>
      <c r="Z377" s="103"/>
      <c r="AA377" s="103"/>
      <c r="AB377" s="103"/>
      <c r="AC377" s="103"/>
      <c r="AD377" s="103"/>
      <c r="AE377" s="103"/>
      <c r="AF377" s="103"/>
      <c r="AG377" s="185"/>
      <c r="AH377" s="103"/>
      <c r="AI377" s="103"/>
      <c r="AJ377" s="103"/>
      <c r="AK377" s="185"/>
      <c r="AL377" s="103"/>
      <c r="AM377" s="103"/>
      <c r="AN377" s="103"/>
    </row>
    <row r="378" spans="1:40" x14ac:dyDescent="0.25">
      <c r="C378" s="103"/>
      <c r="D378" s="103"/>
      <c r="E378" s="103"/>
      <c r="F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T378" s="103"/>
      <c r="U378" s="103"/>
      <c r="V378" s="103"/>
      <c r="Y378" s="103"/>
      <c r="Z378" s="103"/>
      <c r="AA378" s="103"/>
      <c r="AB378" s="103"/>
      <c r="AC378" s="103"/>
      <c r="AD378" s="103"/>
      <c r="AE378" s="103"/>
      <c r="AF378" s="103"/>
      <c r="AG378" s="185"/>
      <c r="AH378" s="103"/>
      <c r="AI378" s="103"/>
      <c r="AJ378" s="103"/>
      <c r="AK378" s="185"/>
      <c r="AL378" s="103"/>
      <c r="AM378" s="103"/>
      <c r="AN378" s="103"/>
    </row>
    <row r="379" spans="1:40" x14ac:dyDescent="0.25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208"/>
      <c r="AH379" s="102"/>
      <c r="AI379" s="102"/>
      <c r="AJ379" s="102"/>
      <c r="AK379" s="208"/>
      <c r="AL379" s="102"/>
      <c r="AM379" s="102"/>
      <c r="AN379" s="102"/>
    </row>
    <row r="380" spans="1:40" x14ac:dyDescent="0.25"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Y380" s="103"/>
      <c r="Z380" s="103"/>
      <c r="AA380" s="103"/>
      <c r="AB380" s="103"/>
      <c r="AC380" s="103"/>
      <c r="AD380" s="103"/>
      <c r="AE380" s="103"/>
      <c r="AF380" s="103"/>
      <c r="AG380" s="185"/>
      <c r="AH380" s="103"/>
      <c r="AI380" s="103"/>
      <c r="AJ380" s="103"/>
      <c r="AK380" s="185"/>
      <c r="AL380" s="103"/>
      <c r="AM380" s="103"/>
      <c r="AN380" s="103"/>
    </row>
    <row r="381" spans="1:40" x14ac:dyDescent="0.25">
      <c r="A381" s="202"/>
      <c r="C381" s="154"/>
      <c r="D381" s="154"/>
      <c r="E381" s="154"/>
      <c r="T381" s="154"/>
      <c r="U381" s="154"/>
    </row>
    <row r="383" spans="1:40" x14ac:dyDescent="0.25">
      <c r="A383" s="202"/>
      <c r="C383" s="154"/>
      <c r="T383" s="154"/>
    </row>
    <row r="384" spans="1:40" x14ac:dyDescent="0.25">
      <c r="A384" s="202"/>
      <c r="C384" s="154"/>
      <c r="F384" s="252"/>
      <c r="H384" s="252"/>
      <c r="I384" s="252"/>
      <c r="J384" s="305"/>
      <c r="K384" s="305"/>
      <c r="L384" s="200"/>
      <c r="M384" s="200"/>
      <c r="N384" s="210"/>
      <c r="O384" s="210"/>
      <c r="P384" s="200"/>
      <c r="Q384" s="200"/>
      <c r="R384" s="200"/>
      <c r="T384" s="154"/>
      <c r="V384" s="252"/>
      <c r="Y384" s="252"/>
      <c r="Z384" s="305"/>
      <c r="AA384" s="200"/>
      <c r="AB384" s="200"/>
      <c r="AC384" s="210"/>
      <c r="AD384" s="210"/>
      <c r="AE384" s="200"/>
      <c r="AF384" s="200"/>
      <c r="AG384" s="209"/>
      <c r="AH384" s="201"/>
      <c r="AI384" s="200"/>
      <c r="AJ384" s="200"/>
      <c r="AK384" s="209"/>
      <c r="AL384" s="200"/>
      <c r="AM384" s="210"/>
      <c r="AN384" s="210"/>
    </row>
    <row r="385" spans="1:40" x14ac:dyDescent="0.25">
      <c r="A385" s="202"/>
      <c r="C385" s="154"/>
      <c r="T385" s="154"/>
    </row>
    <row r="386" spans="1:40" x14ac:dyDescent="0.25">
      <c r="A386" s="202"/>
      <c r="C386" s="154"/>
      <c r="F386" s="252"/>
      <c r="H386" s="252"/>
      <c r="I386" s="252"/>
      <c r="J386" s="329"/>
      <c r="K386" s="329"/>
      <c r="L386" s="200"/>
      <c r="M386" s="200"/>
      <c r="N386" s="210"/>
      <c r="O386" s="210"/>
      <c r="P386" s="200"/>
      <c r="Q386" s="200"/>
      <c r="R386" s="200"/>
      <c r="T386" s="154"/>
      <c r="V386" s="200"/>
      <c r="Y386" s="200"/>
      <c r="Z386" s="329"/>
      <c r="AA386" s="200"/>
      <c r="AB386" s="200"/>
      <c r="AC386" s="210"/>
      <c r="AD386" s="210"/>
      <c r="AE386" s="200"/>
      <c r="AF386" s="200"/>
      <c r="AG386" s="209"/>
      <c r="AH386" s="201"/>
      <c r="AI386" s="200"/>
      <c r="AJ386" s="200"/>
      <c r="AK386" s="209"/>
      <c r="AL386" s="200"/>
      <c r="AM386" s="210"/>
      <c r="AN386" s="210"/>
    </row>
    <row r="387" spans="1:40" x14ac:dyDescent="0.25">
      <c r="A387" s="202"/>
      <c r="C387" s="154"/>
      <c r="F387" s="252"/>
      <c r="H387" s="252"/>
      <c r="I387" s="252"/>
      <c r="J387" s="329"/>
      <c r="K387" s="329"/>
      <c r="L387" s="200"/>
      <c r="M387" s="200"/>
      <c r="N387" s="210"/>
      <c r="O387" s="210"/>
      <c r="P387" s="200"/>
      <c r="Q387" s="200"/>
      <c r="R387" s="200"/>
      <c r="T387" s="154"/>
      <c r="V387" s="200"/>
      <c r="Y387" s="200"/>
      <c r="Z387" s="329"/>
      <c r="AA387" s="200"/>
      <c r="AB387" s="200"/>
      <c r="AC387" s="210"/>
      <c r="AD387" s="210"/>
      <c r="AE387" s="200"/>
      <c r="AF387" s="200"/>
      <c r="AG387" s="209"/>
      <c r="AH387" s="201"/>
      <c r="AI387" s="200"/>
      <c r="AJ387" s="200"/>
      <c r="AK387" s="209"/>
      <c r="AL387" s="200"/>
      <c r="AM387" s="210"/>
      <c r="AN387" s="210"/>
    </row>
    <row r="388" spans="1:40" x14ac:dyDescent="0.25">
      <c r="A388" s="202"/>
      <c r="C388" s="154"/>
      <c r="F388" s="252"/>
      <c r="H388" s="252"/>
      <c r="I388" s="252"/>
      <c r="J388" s="329"/>
      <c r="K388" s="329"/>
      <c r="L388" s="200"/>
      <c r="M388" s="200"/>
      <c r="N388" s="210"/>
      <c r="O388" s="210"/>
      <c r="P388" s="200"/>
      <c r="Q388" s="200"/>
      <c r="R388" s="200"/>
      <c r="T388" s="154"/>
      <c r="V388" s="200"/>
      <c r="Y388" s="200"/>
      <c r="Z388" s="329"/>
      <c r="AA388" s="200"/>
      <c r="AB388" s="200"/>
      <c r="AC388" s="210"/>
      <c r="AD388" s="210"/>
      <c r="AE388" s="200"/>
      <c r="AF388" s="200"/>
      <c r="AG388" s="209"/>
      <c r="AH388" s="201"/>
      <c r="AI388" s="200"/>
      <c r="AJ388" s="200"/>
      <c r="AK388" s="209"/>
      <c r="AL388" s="200"/>
      <c r="AM388" s="210"/>
      <c r="AN388" s="210"/>
    </row>
    <row r="389" spans="1:40" x14ac:dyDescent="0.25">
      <c r="A389" s="202"/>
      <c r="C389" s="154"/>
      <c r="F389" s="252"/>
      <c r="H389" s="252"/>
      <c r="I389" s="252"/>
      <c r="J389" s="329"/>
      <c r="K389" s="329"/>
      <c r="L389" s="200"/>
      <c r="M389" s="200"/>
      <c r="N389" s="210"/>
      <c r="O389" s="210"/>
      <c r="P389" s="200"/>
      <c r="Q389" s="200"/>
      <c r="R389" s="200"/>
      <c r="T389" s="154"/>
      <c r="V389" s="200"/>
      <c r="Y389" s="200"/>
      <c r="Z389" s="329"/>
      <c r="AA389" s="200"/>
      <c r="AB389" s="200"/>
      <c r="AC389" s="210"/>
      <c r="AD389" s="210"/>
      <c r="AE389" s="200"/>
      <c r="AF389" s="200"/>
      <c r="AG389" s="209"/>
      <c r="AH389" s="201"/>
      <c r="AI389" s="200"/>
      <c r="AJ389" s="200"/>
      <c r="AK389" s="209"/>
      <c r="AL389" s="200"/>
      <c r="AM389" s="210"/>
      <c r="AN389" s="210"/>
    </row>
    <row r="390" spans="1:40" x14ac:dyDescent="0.25">
      <c r="A390" s="202"/>
      <c r="C390" s="154"/>
      <c r="J390" s="334"/>
      <c r="K390" s="334"/>
      <c r="T390" s="154"/>
      <c r="Z390" s="334"/>
    </row>
    <row r="391" spans="1:40" x14ac:dyDescent="0.25">
      <c r="A391" s="202"/>
      <c r="C391" s="154"/>
      <c r="F391" s="252"/>
      <c r="H391" s="252"/>
      <c r="I391" s="252"/>
      <c r="J391" s="329"/>
      <c r="K391" s="329"/>
      <c r="L391" s="200"/>
      <c r="M391" s="200"/>
      <c r="N391" s="210"/>
      <c r="O391" s="210"/>
      <c r="P391" s="200"/>
      <c r="Q391" s="200"/>
      <c r="R391" s="200"/>
      <c r="T391" s="154"/>
      <c r="V391" s="200"/>
      <c r="Y391" s="200"/>
      <c r="Z391" s="329"/>
      <c r="AA391" s="200"/>
      <c r="AB391" s="200"/>
      <c r="AC391" s="210"/>
      <c r="AD391" s="210"/>
      <c r="AE391" s="200"/>
      <c r="AF391" s="200"/>
      <c r="AG391" s="209"/>
      <c r="AH391" s="201"/>
      <c r="AI391" s="200"/>
      <c r="AJ391" s="200"/>
      <c r="AK391" s="209"/>
      <c r="AL391" s="200"/>
      <c r="AM391" s="210"/>
      <c r="AN391" s="210"/>
    </row>
    <row r="392" spans="1:40" x14ac:dyDescent="0.25">
      <c r="A392" s="202"/>
      <c r="C392" s="154"/>
      <c r="F392" s="252"/>
      <c r="H392" s="252"/>
      <c r="I392" s="252"/>
      <c r="J392" s="329"/>
      <c r="K392" s="329"/>
      <c r="L392" s="200"/>
      <c r="M392" s="200"/>
      <c r="N392" s="210"/>
      <c r="O392" s="210"/>
      <c r="P392" s="200"/>
      <c r="Q392" s="200"/>
      <c r="R392" s="200"/>
      <c r="T392" s="154"/>
      <c r="V392" s="200"/>
      <c r="Y392" s="200"/>
      <c r="Z392" s="329"/>
      <c r="AA392" s="200"/>
      <c r="AB392" s="200"/>
      <c r="AC392" s="210"/>
      <c r="AD392" s="21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A393" s="202"/>
      <c r="C393" s="154"/>
      <c r="F393" s="252"/>
      <c r="H393" s="252"/>
      <c r="I393" s="252"/>
      <c r="J393" s="329"/>
      <c r="K393" s="329"/>
      <c r="L393" s="200"/>
      <c r="M393" s="200"/>
      <c r="N393" s="210"/>
      <c r="O393" s="210"/>
      <c r="P393" s="200"/>
      <c r="Q393" s="200"/>
      <c r="R393" s="200"/>
      <c r="T393" s="154"/>
      <c r="V393" s="200"/>
      <c r="Y393" s="200"/>
      <c r="Z393" s="329"/>
      <c r="AA393" s="200"/>
      <c r="AB393" s="200"/>
      <c r="AC393" s="210"/>
      <c r="AD393" s="210"/>
      <c r="AE393" s="200"/>
      <c r="AF393" s="200"/>
      <c r="AG393" s="209"/>
      <c r="AH393" s="201"/>
      <c r="AI393" s="200"/>
      <c r="AJ393" s="200"/>
      <c r="AK393" s="209"/>
      <c r="AL393" s="200"/>
      <c r="AM393" s="210"/>
      <c r="AN393" s="210"/>
    </row>
    <row r="394" spans="1:40" x14ac:dyDescent="0.25">
      <c r="A394" s="202"/>
      <c r="C394" s="154"/>
      <c r="J394" s="334"/>
      <c r="K394" s="334"/>
      <c r="T394" s="154"/>
      <c r="Z394" s="334"/>
    </row>
    <row r="395" spans="1:40" x14ac:dyDescent="0.25">
      <c r="A395" s="202"/>
      <c r="C395" s="154"/>
      <c r="F395" s="252"/>
      <c r="H395" s="252"/>
      <c r="I395" s="252"/>
      <c r="J395" s="329"/>
      <c r="K395" s="329"/>
      <c r="L395" s="200"/>
      <c r="M395" s="200"/>
      <c r="N395" s="210"/>
      <c r="O395" s="210"/>
      <c r="P395" s="200"/>
      <c r="Q395" s="200"/>
      <c r="R395" s="200"/>
      <c r="T395" s="154"/>
      <c r="V395" s="200"/>
      <c r="Y395" s="200"/>
      <c r="Z395" s="329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A396" s="202"/>
      <c r="C396" s="154"/>
      <c r="F396" s="252"/>
      <c r="H396" s="252"/>
      <c r="I396" s="252"/>
      <c r="J396" s="329"/>
      <c r="K396" s="329"/>
      <c r="L396" s="200"/>
      <c r="M396" s="200"/>
      <c r="N396" s="210"/>
      <c r="O396" s="210"/>
      <c r="P396" s="200"/>
      <c r="Q396" s="200"/>
      <c r="R396" s="200"/>
      <c r="T396" s="154"/>
      <c r="V396" s="200"/>
      <c r="Y396" s="200"/>
      <c r="Z396" s="329"/>
      <c r="AA396" s="200"/>
      <c r="AB396" s="200"/>
      <c r="AC396" s="210"/>
      <c r="AD396" s="210"/>
      <c r="AE396" s="200"/>
      <c r="AF396" s="200"/>
      <c r="AG396" s="209"/>
      <c r="AH396" s="201"/>
      <c r="AI396" s="200"/>
      <c r="AJ396" s="200"/>
      <c r="AK396" s="209"/>
      <c r="AL396" s="200"/>
      <c r="AM396" s="210"/>
      <c r="AN396" s="210"/>
    </row>
    <row r="397" spans="1:40" x14ac:dyDescent="0.25">
      <c r="A397" s="202"/>
      <c r="C397" s="154"/>
      <c r="J397" s="334"/>
      <c r="K397" s="334"/>
      <c r="T397" s="154"/>
      <c r="Z397" s="334"/>
    </row>
    <row r="398" spans="1:40" x14ac:dyDescent="0.25">
      <c r="A398" s="202"/>
      <c r="C398" s="154"/>
      <c r="F398" s="252"/>
      <c r="H398" s="252"/>
      <c r="I398" s="252"/>
      <c r="J398" s="329"/>
      <c r="K398" s="329"/>
      <c r="L398" s="200"/>
      <c r="M398" s="200"/>
      <c r="N398" s="210"/>
      <c r="O398" s="210"/>
      <c r="P398" s="200"/>
      <c r="Q398" s="200"/>
      <c r="R398" s="200"/>
      <c r="T398" s="154"/>
      <c r="V398" s="200"/>
      <c r="Y398" s="200"/>
      <c r="Z398" s="329"/>
      <c r="AA398" s="200"/>
      <c r="AB398" s="200"/>
      <c r="AC398" s="210"/>
      <c r="AD398" s="210"/>
      <c r="AE398" s="200"/>
      <c r="AF398" s="200"/>
      <c r="AG398" s="209"/>
      <c r="AH398" s="201"/>
      <c r="AI398" s="200"/>
      <c r="AJ398" s="200"/>
      <c r="AK398" s="209"/>
      <c r="AL398" s="200"/>
      <c r="AM398" s="210"/>
      <c r="AN398" s="210"/>
    </row>
    <row r="399" spans="1:40" x14ac:dyDescent="0.25">
      <c r="A399" s="202"/>
      <c r="C399" s="154"/>
      <c r="F399" s="252"/>
      <c r="H399" s="252"/>
      <c r="I399" s="252"/>
      <c r="J399" s="329"/>
      <c r="K399" s="329"/>
      <c r="L399" s="200"/>
      <c r="M399" s="200"/>
      <c r="N399" s="210"/>
      <c r="O399" s="210"/>
      <c r="P399" s="200"/>
      <c r="Q399" s="200"/>
      <c r="R399" s="200"/>
      <c r="T399" s="154"/>
      <c r="V399" s="200"/>
      <c r="Y399" s="200"/>
      <c r="Z399" s="329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A400" s="202"/>
      <c r="C400" s="154"/>
      <c r="F400" s="252"/>
      <c r="H400" s="252"/>
      <c r="I400" s="252"/>
      <c r="J400" s="329"/>
      <c r="K400" s="329"/>
      <c r="L400" s="200"/>
      <c r="M400" s="200"/>
      <c r="N400" s="210"/>
      <c r="O400" s="210"/>
      <c r="P400" s="200"/>
      <c r="Q400" s="200"/>
      <c r="R400" s="200"/>
      <c r="T400" s="154"/>
      <c r="V400" s="200"/>
      <c r="Y400" s="200"/>
      <c r="Z400" s="329"/>
      <c r="AA400" s="200"/>
      <c r="AB400" s="200"/>
      <c r="AC400" s="210"/>
      <c r="AD400" s="210"/>
      <c r="AE400" s="200"/>
      <c r="AF400" s="200"/>
      <c r="AG400" s="209"/>
      <c r="AH400" s="201"/>
      <c r="AI400" s="200"/>
      <c r="AJ400" s="200"/>
      <c r="AK400" s="209"/>
      <c r="AL400" s="200"/>
      <c r="AM400" s="210"/>
      <c r="AN400" s="210"/>
    </row>
    <row r="401" spans="1:40" x14ac:dyDescent="0.25">
      <c r="F401" s="211"/>
      <c r="H401" s="211"/>
      <c r="I401" s="211"/>
      <c r="J401" s="329"/>
      <c r="K401" s="329"/>
      <c r="L401" s="211"/>
      <c r="M401" s="211"/>
      <c r="N401" s="211"/>
      <c r="O401" s="211"/>
      <c r="P401" s="211"/>
      <c r="Q401" s="211"/>
      <c r="R401" s="211"/>
      <c r="V401" s="211"/>
      <c r="Y401" s="211"/>
      <c r="Z401" s="329"/>
      <c r="AA401" s="211"/>
      <c r="AB401" s="211"/>
      <c r="AC401" s="211"/>
      <c r="AD401" s="211"/>
      <c r="AE401" s="211"/>
      <c r="AF401" s="211"/>
      <c r="AI401" s="211"/>
      <c r="AJ401" s="211"/>
      <c r="AK401" s="212"/>
      <c r="AL401" s="211"/>
    </row>
    <row r="402" spans="1:40" x14ac:dyDescent="0.25">
      <c r="A402" s="202"/>
      <c r="C402" s="103"/>
      <c r="F402" s="200"/>
      <c r="H402" s="200"/>
      <c r="I402" s="200"/>
      <c r="J402" s="334"/>
      <c r="K402" s="334"/>
      <c r="L402" s="200"/>
      <c r="M402" s="200"/>
      <c r="N402" s="201"/>
      <c r="O402" s="201"/>
      <c r="P402" s="200"/>
      <c r="Q402" s="200"/>
      <c r="R402" s="200"/>
      <c r="T402" s="103"/>
      <c r="V402" s="200"/>
      <c r="Y402" s="200"/>
      <c r="Z402" s="334"/>
      <c r="AA402" s="200"/>
      <c r="AB402" s="200"/>
      <c r="AC402" s="200"/>
      <c r="AD402" s="200"/>
      <c r="AE402" s="200"/>
      <c r="AF402" s="200"/>
      <c r="AG402" s="209"/>
      <c r="AH402" s="201"/>
      <c r="AI402" s="200"/>
      <c r="AJ402" s="200"/>
      <c r="AK402" s="209"/>
      <c r="AL402" s="200"/>
      <c r="AM402" s="210"/>
      <c r="AN402" s="210"/>
    </row>
    <row r="403" spans="1:40" x14ac:dyDescent="0.25">
      <c r="F403" s="211"/>
      <c r="H403" s="211"/>
      <c r="I403" s="211"/>
      <c r="J403" s="329"/>
      <c r="K403" s="329"/>
      <c r="L403" s="211"/>
      <c r="M403" s="211"/>
      <c r="N403" s="211"/>
      <c r="O403" s="211"/>
      <c r="P403" s="211"/>
      <c r="Q403" s="211"/>
      <c r="R403" s="211"/>
      <c r="V403" s="211"/>
      <c r="Y403" s="211"/>
      <c r="Z403" s="329"/>
      <c r="AA403" s="211"/>
      <c r="AB403" s="211"/>
      <c r="AC403" s="211"/>
      <c r="AD403" s="211"/>
      <c r="AE403" s="211"/>
      <c r="AF403" s="211"/>
      <c r="AI403" s="211"/>
      <c r="AJ403" s="211"/>
      <c r="AK403" s="212"/>
      <c r="AL403" s="211"/>
    </row>
    <row r="404" spans="1:40" x14ac:dyDescent="0.25">
      <c r="A404" s="202"/>
      <c r="C404" s="154"/>
      <c r="J404" s="334"/>
      <c r="K404" s="334"/>
      <c r="T404" s="154"/>
      <c r="Z404" s="334"/>
    </row>
    <row r="405" spans="1:40" x14ac:dyDescent="0.25">
      <c r="A405" s="202"/>
      <c r="C405" s="154"/>
      <c r="J405" s="334"/>
      <c r="K405" s="334"/>
      <c r="T405" s="154"/>
      <c r="Z405" s="334"/>
    </row>
    <row r="406" spans="1:40" x14ac:dyDescent="0.25">
      <c r="A406" s="202"/>
      <c r="C406" s="154"/>
      <c r="F406" s="252"/>
      <c r="H406" s="252"/>
      <c r="I406" s="252"/>
      <c r="J406" s="329"/>
      <c r="K406" s="329"/>
      <c r="L406" s="200"/>
      <c r="M406" s="200"/>
      <c r="N406" s="210"/>
      <c r="O406" s="210"/>
      <c r="P406" s="200"/>
      <c r="Q406" s="200"/>
      <c r="R406" s="200"/>
      <c r="T406" s="154"/>
      <c r="V406" s="200"/>
      <c r="Y406" s="200"/>
      <c r="Z406" s="329"/>
      <c r="AA406" s="200"/>
      <c r="AB406" s="200"/>
      <c r="AC406" s="210"/>
      <c r="AD406" s="210"/>
      <c r="AE406" s="200"/>
      <c r="AF406" s="200"/>
      <c r="AG406" s="209"/>
      <c r="AH406" s="201"/>
      <c r="AI406" s="200"/>
      <c r="AJ406" s="200"/>
      <c r="AK406" s="209"/>
      <c r="AL406" s="200"/>
      <c r="AM406" s="210"/>
      <c r="AN406" s="210"/>
    </row>
    <row r="407" spans="1:40" x14ac:dyDescent="0.25">
      <c r="A407" s="202"/>
      <c r="C407" s="154"/>
      <c r="F407" s="252"/>
      <c r="H407" s="252"/>
      <c r="I407" s="252"/>
      <c r="J407" s="329"/>
      <c r="K407" s="329"/>
      <c r="L407" s="200"/>
      <c r="M407" s="200"/>
      <c r="N407" s="210"/>
      <c r="O407" s="210"/>
      <c r="P407" s="200"/>
      <c r="Q407" s="200"/>
      <c r="R407" s="200"/>
      <c r="T407" s="154"/>
      <c r="V407" s="200"/>
      <c r="Y407" s="200"/>
      <c r="Z407" s="329"/>
      <c r="AA407" s="200"/>
      <c r="AB407" s="200"/>
      <c r="AC407" s="210"/>
      <c r="AD407" s="210"/>
      <c r="AE407" s="200"/>
      <c r="AF407" s="200"/>
      <c r="AG407" s="209"/>
      <c r="AH407" s="201"/>
      <c r="AI407" s="200"/>
      <c r="AJ407" s="200"/>
      <c r="AK407" s="209"/>
      <c r="AL407" s="200"/>
      <c r="AM407" s="210"/>
      <c r="AN407" s="210"/>
    </row>
    <row r="408" spans="1:40" x14ac:dyDescent="0.25">
      <c r="A408" s="202"/>
      <c r="C408" s="154"/>
      <c r="F408" s="252"/>
      <c r="H408" s="252"/>
      <c r="I408" s="252"/>
      <c r="J408" s="329"/>
      <c r="K408" s="329"/>
      <c r="L408" s="200"/>
      <c r="M408" s="200"/>
      <c r="N408" s="210"/>
      <c r="O408" s="210"/>
      <c r="P408" s="200"/>
      <c r="Q408" s="200"/>
      <c r="R408" s="200"/>
      <c r="T408" s="154"/>
      <c r="V408" s="200"/>
      <c r="Y408" s="200"/>
      <c r="Z408" s="329"/>
      <c r="AA408" s="200"/>
      <c r="AB408" s="200"/>
      <c r="AC408" s="210"/>
      <c r="AD408" s="210"/>
      <c r="AE408" s="200"/>
      <c r="AF408" s="200"/>
      <c r="AG408" s="209"/>
      <c r="AH408" s="201"/>
      <c r="AI408" s="200"/>
      <c r="AJ408" s="200"/>
      <c r="AK408" s="209"/>
      <c r="AL408" s="200"/>
      <c r="AM408" s="210"/>
      <c r="AN408" s="210"/>
    </row>
    <row r="409" spans="1:40" x14ac:dyDescent="0.25">
      <c r="A409" s="202"/>
      <c r="C409" s="154"/>
      <c r="F409" s="252"/>
      <c r="H409" s="252"/>
      <c r="I409" s="252"/>
      <c r="J409" s="329"/>
      <c r="K409" s="329"/>
      <c r="L409" s="200"/>
      <c r="M409" s="200"/>
      <c r="N409" s="210"/>
      <c r="O409" s="210"/>
      <c r="P409" s="200"/>
      <c r="Q409" s="200"/>
      <c r="R409" s="200"/>
      <c r="T409" s="154"/>
      <c r="V409" s="200"/>
      <c r="Y409" s="200"/>
      <c r="Z409" s="329"/>
      <c r="AA409" s="200"/>
      <c r="AB409" s="200"/>
      <c r="AC409" s="210"/>
      <c r="AD409" s="210"/>
      <c r="AE409" s="200"/>
      <c r="AF409" s="200"/>
      <c r="AG409" s="209"/>
      <c r="AH409" s="201"/>
      <c r="AI409" s="200"/>
      <c r="AJ409" s="200"/>
      <c r="AK409" s="209"/>
      <c r="AL409" s="200"/>
      <c r="AM409" s="210"/>
      <c r="AN409" s="210"/>
    </row>
    <row r="410" spans="1:40" x14ac:dyDescent="0.25">
      <c r="A410" s="202"/>
      <c r="C410" s="154"/>
      <c r="F410" s="252"/>
      <c r="H410" s="252"/>
      <c r="I410" s="252"/>
      <c r="J410" s="329"/>
      <c r="K410" s="329"/>
      <c r="L410" s="200"/>
      <c r="M410" s="200"/>
      <c r="N410" s="210"/>
      <c r="O410" s="210"/>
      <c r="P410" s="200"/>
      <c r="Q410" s="200"/>
      <c r="R410" s="200"/>
      <c r="T410" s="154"/>
      <c r="V410" s="200"/>
      <c r="Y410" s="200"/>
      <c r="Z410" s="329"/>
      <c r="AA410" s="200"/>
      <c r="AB410" s="200"/>
      <c r="AC410" s="210"/>
      <c r="AD410" s="210"/>
      <c r="AE410" s="200"/>
      <c r="AF410" s="200"/>
      <c r="AG410" s="209"/>
      <c r="AH410" s="201"/>
      <c r="AI410" s="200"/>
      <c r="AJ410" s="200"/>
      <c r="AK410" s="209"/>
      <c r="AL410" s="200"/>
      <c r="AM410" s="210"/>
      <c r="AN410" s="210"/>
    </row>
    <row r="411" spans="1:40" x14ac:dyDescent="0.25">
      <c r="A411" s="202"/>
      <c r="C411" s="154"/>
      <c r="F411" s="252"/>
      <c r="H411" s="252"/>
      <c r="I411" s="252"/>
      <c r="J411" s="329"/>
      <c r="K411" s="329"/>
      <c r="L411" s="200"/>
      <c r="M411" s="200"/>
      <c r="N411" s="210"/>
      <c r="O411" s="210"/>
      <c r="P411" s="200"/>
      <c r="Q411" s="200"/>
      <c r="R411" s="200"/>
      <c r="T411" s="154"/>
      <c r="V411" s="200"/>
      <c r="Y411" s="200"/>
      <c r="Z411" s="329"/>
      <c r="AA411" s="200"/>
      <c r="AB411" s="200"/>
      <c r="AC411" s="210"/>
      <c r="AD411" s="210"/>
      <c r="AE411" s="200"/>
      <c r="AF411" s="200"/>
      <c r="AG411" s="209"/>
      <c r="AH411" s="201"/>
      <c r="AI411" s="200"/>
      <c r="AJ411" s="200"/>
      <c r="AK411" s="209"/>
      <c r="AL411" s="200"/>
      <c r="AM411" s="210"/>
      <c r="AN411" s="210"/>
    </row>
    <row r="412" spans="1:40" x14ac:dyDescent="0.25">
      <c r="A412" s="202"/>
      <c r="C412" s="154"/>
      <c r="F412" s="252"/>
      <c r="H412" s="252"/>
      <c r="I412" s="252"/>
      <c r="J412" s="329"/>
      <c r="K412" s="329"/>
      <c r="L412" s="200"/>
      <c r="M412" s="200"/>
      <c r="N412" s="210"/>
      <c r="O412" s="210"/>
      <c r="P412" s="200"/>
      <c r="Q412" s="200"/>
      <c r="R412" s="200"/>
      <c r="T412" s="154"/>
      <c r="V412" s="200"/>
      <c r="Y412" s="200"/>
      <c r="Z412" s="329"/>
      <c r="AA412" s="200"/>
      <c r="AB412" s="200"/>
      <c r="AC412" s="210"/>
      <c r="AD412" s="210"/>
      <c r="AE412" s="200"/>
      <c r="AF412" s="200"/>
      <c r="AG412" s="209"/>
      <c r="AH412" s="201"/>
      <c r="AI412" s="200"/>
      <c r="AJ412" s="200"/>
      <c r="AK412" s="209"/>
      <c r="AL412" s="200"/>
      <c r="AM412" s="210"/>
      <c r="AN412" s="210"/>
    </row>
    <row r="413" spans="1:40" x14ac:dyDescent="0.25">
      <c r="A413" s="202"/>
      <c r="C413" s="154"/>
      <c r="J413" s="334"/>
      <c r="K413" s="334"/>
      <c r="T413" s="154"/>
      <c r="Z413" s="334"/>
    </row>
    <row r="414" spans="1:40" x14ac:dyDescent="0.25">
      <c r="A414" s="202"/>
      <c r="C414" s="154"/>
      <c r="F414" s="252"/>
      <c r="H414" s="252"/>
      <c r="I414" s="252"/>
      <c r="J414" s="329"/>
      <c r="K414" s="329"/>
      <c r="L414" s="200"/>
      <c r="M414" s="200"/>
      <c r="N414" s="210"/>
      <c r="O414" s="210"/>
      <c r="P414" s="200"/>
      <c r="Q414" s="200"/>
      <c r="R414" s="200"/>
      <c r="T414" s="154"/>
      <c r="V414" s="200"/>
      <c r="Y414" s="200"/>
      <c r="Z414" s="329"/>
      <c r="AA414" s="200"/>
      <c r="AB414" s="200"/>
      <c r="AC414" s="210"/>
      <c r="AD414" s="210"/>
      <c r="AE414" s="200"/>
      <c r="AF414" s="200"/>
      <c r="AG414" s="209"/>
      <c r="AH414" s="201"/>
      <c r="AI414" s="200"/>
      <c r="AJ414" s="200"/>
      <c r="AK414" s="209"/>
      <c r="AL414" s="200"/>
      <c r="AM414" s="210"/>
      <c r="AN414" s="210"/>
    </row>
    <row r="415" spans="1:40" x14ac:dyDescent="0.25">
      <c r="A415" s="202"/>
      <c r="C415" s="154"/>
      <c r="F415" s="252"/>
      <c r="H415" s="252"/>
      <c r="I415" s="252"/>
      <c r="J415" s="329"/>
      <c r="K415" s="329"/>
      <c r="L415" s="200"/>
      <c r="M415" s="200"/>
      <c r="N415" s="210"/>
      <c r="O415" s="210"/>
      <c r="P415" s="200"/>
      <c r="Q415" s="200"/>
      <c r="R415" s="200"/>
      <c r="T415" s="154"/>
      <c r="V415" s="200"/>
      <c r="Y415" s="200"/>
      <c r="Z415" s="329"/>
      <c r="AA415" s="200"/>
      <c r="AB415" s="200"/>
      <c r="AC415" s="210"/>
      <c r="AD415" s="210"/>
      <c r="AE415" s="200"/>
      <c r="AF415" s="200"/>
      <c r="AG415" s="209"/>
      <c r="AH415" s="201"/>
      <c r="AI415" s="200"/>
      <c r="AJ415" s="200"/>
      <c r="AK415" s="209"/>
      <c r="AL415" s="200"/>
      <c r="AM415" s="210"/>
      <c r="AN415" s="210"/>
    </row>
    <row r="416" spans="1:40" x14ac:dyDescent="0.25">
      <c r="A416" s="202"/>
      <c r="C416" s="154"/>
      <c r="F416" s="252"/>
      <c r="H416" s="252"/>
      <c r="I416" s="252"/>
      <c r="J416" s="329"/>
      <c r="K416" s="329"/>
      <c r="L416" s="200"/>
      <c r="M416" s="200"/>
      <c r="N416" s="210"/>
      <c r="O416" s="210"/>
      <c r="P416" s="200"/>
      <c r="Q416" s="200"/>
      <c r="R416" s="200"/>
      <c r="T416" s="154"/>
      <c r="V416" s="200"/>
      <c r="Y416" s="200"/>
      <c r="Z416" s="329"/>
      <c r="AA416" s="200"/>
      <c r="AB416" s="200"/>
      <c r="AC416" s="210"/>
      <c r="AD416" s="210"/>
      <c r="AE416" s="200"/>
      <c r="AF416" s="200"/>
      <c r="AG416" s="209"/>
      <c r="AH416" s="201"/>
      <c r="AI416" s="200"/>
      <c r="AJ416" s="200"/>
      <c r="AK416" s="209"/>
      <c r="AL416" s="200"/>
      <c r="AM416" s="210"/>
      <c r="AN416" s="210"/>
    </row>
    <row r="417" spans="1:40" x14ac:dyDescent="0.25">
      <c r="A417" s="202"/>
      <c r="C417" s="154"/>
      <c r="F417" s="252"/>
      <c r="H417" s="252"/>
      <c r="I417" s="252"/>
      <c r="J417" s="329"/>
      <c r="K417" s="329"/>
      <c r="L417" s="200"/>
      <c r="M417" s="200"/>
      <c r="N417" s="210"/>
      <c r="O417" s="210"/>
      <c r="P417" s="200"/>
      <c r="Q417" s="200"/>
      <c r="R417" s="200"/>
      <c r="T417" s="154"/>
      <c r="V417" s="200"/>
      <c r="Y417" s="200"/>
      <c r="Z417" s="329"/>
      <c r="AA417" s="200"/>
      <c r="AB417" s="200"/>
      <c r="AC417" s="210"/>
      <c r="AD417" s="210"/>
      <c r="AE417" s="200"/>
      <c r="AF417" s="200"/>
      <c r="AG417" s="209"/>
      <c r="AH417" s="201"/>
      <c r="AI417" s="200"/>
      <c r="AJ417" s="200"/>
      <c r="AK417" s="209"/>
      <c r="AL417" s="200"/>
      <c r="AM417" s="210"/>
      <c r="AN417" s="210"/>
    </row>
    <row r="418" spans="1:40" x14ac:dyDescent="0.25">
      <c r="A418" s="202"/>
      <c r="C418" s="154"/>
      <c r="J418" s="334"/>
      <c r="K418" s="334"/>
      <c r="T418" s="154"/>
      <c r="Z418" s="334"/>
    </row>
    <row r="419" spans="1:40" x14ac:dyDescent="0.25">
      <c r="A419" s="202"/>
      <c r="C419" s="154"/>
      <c r="F419" s="252"/>
      <c r="H419" s="252"/>
      <c r="I419" s="252"/>
      <c r="J419" s="329"/>
      <c r="K419" s="329"/>
      <c r="L419" s="200"/>
      <c r="M419" s="200"/>
      <c r="N419" s="210"/>
      <c r="O419" s="210"/>
      <c r="P419" s="200"/>
      <c r="Q419" s="200"/>
      <c r="R419" s="200"/>
      <c r="T419" s="154"/>
      <c r="V419" s="200"/>
      <c r="Y419" s="200"/>
      <c r="Z419" s="329"/>
      <c r="AA419" s="200"/>
      <c r="AB419" s="200"/>
      <c r="AC419" s="210"/>
      <c r="AD419" s="210"/>
      <c r="AE419" s="200"/>
      <c r="AF419" s="200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A420" s="202"/>
      <c r="C420" s="154"/>
      <c r="F420" s="252"/>
      <c r="H420" s="252"/>
      <c r="I420" s="252"/>
      <c r="J420" s="329"/>
      <c r="K420" s="329"/>
      <c r="L420" s="200"/>
      <c r="M420" s="200"/>
      <c r="N420" s="210"/>
      <c r="O420" s="210"/>
      <c r="P420" s="200"/>
      <c r="Q420" s="200"/>
      <c r="R420" s="200"/>
      <c r="T420" s="154"/>
      <c r="V420" s="200"/>
      <c r="Y420" s="200"/>
      <c r="Z420" s="329"/>
      <c r="AA420" s="200"/>
      <c r="AB420" s="200"/>
      <c r="AC420" s="210"/>
      <c r="AD420" s="210"/>
      <c r="AE420" s="200"/>
      <c r="AF420" s="200"/>
      <c r="AG420" s="209"/>
      <c r="AH420" s="201"/>
      <c r="AI420" s="200"/>
      <c r="AJ420" s="200"/>
      <c r="AK420" s="209"/>
      <c r="AL420" s="200"/>
      <c r="AM420" s="210"/>
      <c r="AN420" s="210"/>
    </row>
    <row r="421" spans="1:40" x14ac:dyDescent="0.25">
      <c r="A421" s="202"/>
      <c r="C421" s="154"/>
      <c r="F421" s="252"/>
      <c r="H421" s="252"/>
      <c r="I421" s="252"/>
      <c r="J421" s="329"/>
      <c r="K421" s="329"/>
      <c r="L421" s="200"/>
      <c r="M421" s="200"/>
      <c r="N421" s="210"/>
      <c r="O421" s="210"/>
      <c r="P421" s="200"/>
      <c r="Q421" s="200"/>
      <c r="R421" s="200"/>
      <c r="T421" s="154"/>
      <c r="V421" s="200"/>
      <c r="Y421" s="200"/>
      <c r="Z421" s="329"/>
      <c r="AA421" s="200"/>
      <c r="AB421" s="200"/>
      <c r="AC421" s="210"/>
      <c r="AD421" s="210"/>
      <c r="AE421" s="200"/>
      <c r="AF421" s="200"/>
      <c r="AG421" s="209"/>
      <c r="AH421" s="201"/>
      <c r="AI421" s="200"/>
      <c r="AJ421" s="200"/>
      <c r="AK421" s="209"/>
      <c r="AL421" s="200"/>
      <c r="AM421" s="210"/>
      <c r="AN421" s="210"/>
    </row>
    <row r="422" spans="1:40" x14ac:dyDescent="0.25">
      <c r="A422" s="202"/>
      <c r="C422" s="154"/>
      <c r="F422" s="252"/>
      <c r="H422" s="252"/>
      <c r="I422" s="252"/>
      <c r="J422" s="329"/>
      <c r="K422" s="329"/>
      <c r="L422" s="200"/>
      <c r="M422" s="200"/>
      <c r="N422" s="210"/>
      <c r="O422" s="210"/>
      <c r="P422" s="200"/>
      <c r="Q422" s="200"/>
      <c r="R422" s="200"/>
      <c r="T422" s="154"/>
      <c r="V422" s="200"/>
      <c r="Y422" s="200"/>
      <c r="Z422" s="329"/>
      <c r="AA422" s="200"/>
      <c r="AB422" s="200"/>
      <c r="AC422" s="210"/>
      <c r="AD422" s="210"/>
      <c r="AE422" s="200"/>
      <c r="AF422" s="200"/>
      <c r="AG422" s="209"/>
      <c r="AH422" s="201"/>
      <c r="AI422" s="200"/>
      <c r="AJ422" s="200"/>
      <c r="AK422" s="209"/>
      <c r="AL422" s="200"/>
      <c r="AM422" s="210"/>
      <c r="AN422" s="210"/>
    </row>
    <row r="423" spans="1:40" x14ac:dyDescent="0.25">
      <c r="A423" s="202"/>
      <c r="C423" s="154"/>
      <c r="F423" s="252"/>
      <c r="H423" s="252"/>
      <c r="I423" s="252"/>
      <c r="J423" s="329"/>
      <c r="K423" s="329"/>
      <c r="L423" s="200"/>
      <c r="M423" s="200"/>
      <c r="N423" s="210"/>
      <c r="O423" s="210"/>
      <c r="P423" s="200"/>
      <c r="Q423" s="200"/>
      <c r="R423" s="200"/>
      <c r="T423" s="154"/>
      <c r="V423" s="200"/>
      <c r="Y423" s="200"/>
      <c r="Z423" s="329"/>
      <c r="AA423" s="200"/>
      <c r="AB423" s="200"/>
      <c r="AC423" s="210"/>
      <c r="AD423" s="210"/>
      <c r="AE423" s="200"/>
      <c r="AF423" s="200"/>
      <c r="AG423" s="209"/>
      <c r="AH423" s="201"/>
      <c r="AI423" s="200"/>
      <c r="AJ423" s="200"/>
      <c r="AK423" s="209"/>
      <c r="AL423" s="200"/>
      <c r="AM423" s="210"/>
      <c r="AN423" s="210"/>
    </row>
    <row r="424" spans="1:40" x14ac:dyDescent="0.25">
      <c r="F424" s="211"/>
      <c r="H424" s="211"/>
      <c r="I424" s="211"/>
      <c r="J424" s="305"/>
      <c r="K424" s="305"/>
      <c r="L424" s="211"/>
      <c r="M424" s="211"/>
      <c r="N424" s="211"/>
      <c r="O424" s="211"/>
      <c r="P424" s="211"/>
      <c r="Q424" s="211"/>
      <c r="R424" s="211"/>
      <c r="V424" s="211"/>
      <c r="Y424" s="211"/>
      <c r="Z424" s="329"/>
      <c r="AA424" s="211"/>
      <c r="AB424" s="211"/>
      <c r="AC424" s="211"/>
      <c r="AD424" s="211"/>
      <c r="AE424" s="211"/>
      <c r="AF424" s="211"/>
      <c r="AI424" s="211"/>
      <c r="AJ424" s="211"/>
      <c r="AK424" s="212"/>
      <c r="AL424" s="211"/>
    </row>
    <row r="425" spans="1:40" x14ac:dyDescent="0.25">
      <c r="A425" s="202"/>
      <c r="C425" s="154"/>
      <c r="F425" s="200"/>
      <c r="H425" s="200"/>
      <c r="I425" s="200"/>
      <c r="L425" s="200"/>
      <c r="M425" s="200"/>
      <c r="N425" s="201"/>
      <c r="O425" s="201"/>
      <c r="P425" s="200"/>
      <c r="Q425" s="200"/>
      <c r="R425" s="200"/>
      <c r="T425" s="154"/>
      <c r="V425" s="200"/>
      <c r="Y425" s="200"/>
      <c r="AA425" s="200"/>
      <c r="AB425" s="200"/>
      <c r="AC425" s="210"/>
      <c r="AD425" s="210"/>
      <c r="AE425" s="200"/>
      <c r="AF425" s="200"/>
      <c r="AG425" s="209"/>
      <c r="AH425" s="201"/>
      <c r="AI425" s="200"/>
      <c r="AJ425" s="200"/>
      <c r="AK425" s="209"/>
      <c r="AL425" s="200"/>
      <c r="AM425" s="210"/>
      <c r="AN425" s="210"/>
    </row>
    <row r="426" spans="1:40" x14ac:dyDescent="0.25">
      <c r="F426" s="211"/>
      <c r="H426" s="211"/>
      <c r="I426" s="211"/>
      <c r="J426" s="305"/>
      <c r="K426" s="305"/>
      <c r="L426" s="211"/>
      <c r="M426" s="211"/>
      <c r="N426" s="211"/>
      <c r="O426" s="211"/>
      <c r="P426" s="211"/>
      <c r="Q426" s="211"/>
      <c r="R426" s="211"/>
      <c r="V426" s="211"/>
      <c r="Y426" s="211"/>
      <c r="Z426" s="305"/>
      <c r="AA426" s="211"/>
      <c r="AB426" s="211"/>
      <c r="AC426" s="211"/>
      <c r="AD426" s="211"/>
      <c r="AE426" s="211"/>
      <c r="AF426" s="211"/>
      <c r="AI426" s="211"/>
      <c r="AJ426" s="211"/>
      <c r="AK426" s="212"/>
      <c r="AL426" s="211"/>
    </row>
    <row r="427" spans="1:40" x14ac:dyDescent="0.25">
      <c r="A427" s="202"/>
      <c r="C427" s="154"/>
      <c r="T427" s="154"/>
    </row>
    <row r="428" spans="1:40" x14ac:dyDescent="0.25">
      <c r="A428" s="202"/>
      <c r="C428" s="154"/>
      <c r="F428" s="252"/>
      <c r="H428" s="252"/>
      <c r="I428" s="252"/>
      <c r="J428" s="300"/>
      <c r="K428" s="300"/>
      <c r="L428" s="200"/>
      <c r="M428" s="200"/>
      <c r="N428" s="210"/>
      <c r="O428" s="210"/>
      <c r="P428" s="200"/>
      <c r="Q428" s="200"/>
      <c r="R428" s="200"/>
      <c r="T428" s="154"/>
      <c r="V428" s="200"/>
      <c r="Y428" s="200"/>
      <c r="Z428" s="300"/>
      <c r="AA428" s="200"/>
      <c r="AB428" s="200"/>
      <c r="AC428" s="210"/>
      <c r="AD428" s="210"/>
      <c r="AE428" s="200"/>
      <c r="AF428" s="200"/>
      <c r="AG428" s="209"/>
      <c r="AH428" s="201"/>
      <c r="AI428" s="200"/>
      <c r="AJ428" s="200"/>
      <c r="AK428" s="209"/>
      <c r="AL428" s="200"/>
      <c r="AM428" s="210"/>
      <c r="AN428" s="210"/>
    </row>
    <row r="429" spans="1:40" x14ac:dyDescent="0.25">
      <c r="A429" s="202"/>
      <c r="C429" s="154"/>
      <c r="F429" s="252"/>
      <c r="H429" s="252"/>
      <c r="I429" s="252"/>
      <c r="J429" s="300"/>
      <c r="K429" s="300"/>
      <c r="L429" s="200"/>
      <c r="M429" s="200"/>
      <c r="N429" s="210"/>
      <c r="O429" s="210"/>
      <c r="P429" s="200"/>
      <c r="Q429" s="200"/>
      <c r="R429" s="200"/>
      <c r="T429" s="154"/>
      <c r="V429" s="200"/>
      <c r="Y429" s="200"/>
      <c r="Z429" s="300"/>
      <c r="AA429" s="200"/>
      <c r="AB429" s="200"/>
      <c r="AC429" s="210"/>
      <c r="AD429" s="210"/>
      <c r="AE429" s="200"/>
      <c r="AF429" s="200"/>
      <c r="AG429" s="209"/>
      <c r="AH429" s="201"/>
      <c r="AI429" s="200"/>
      <c r="AJ429" s="200"/>
      <c r="AK429" s="209"/>
      <c r="AL429" s="200"/>
      <c r="AM429" s="210"/>
      <c r="AN429" s="210"/>
    </row>
    <row r="430" spans="1:40" x14ac:dyDescent="0.25">
      <c r="F430" s="211"/>
      <c r="H430" s="200"/>
      <c r="I430" s="200"/>
      <c r="J430" s="305"/>
      <c r="K430" s="305"/>
      <c r="L430" s="211"/>
      <c r="M430" s="211"/>
      <c r="N430" s="211"/>
      <c r="O430" s="211"/>
      <c r="P430" s="211"/>
      <c r="Q430" s="211"/>
      <c r="R430" s="211"/>
      <c r="V430" s="211"/>
      <c r="Y430" s="200"/>
      <c r="Z430" s="305"/>
      <c r="AA430" s="211"/>
      <c r="AB430" s="211"/>
      <c r="AC430" s="211"/>
      <c r="AD430" s="211"/>
      <c r="AE430" s="211"/>
      <c r="AF430" s="211"/>
      <c r="AI430" s="211"/>
      <c r="AJ430" s="211"/>
      <c r="AK430" s="212"/>
      <c r="AL430" s="211"/>
    </row>
    <row r="431" spans="1:40" x14ac:dyDescent="0.25">
      <c r="F431" s="200"/>
      <c r="H431" s="200"/>
      <c r="I431" s="200"/>
      <c r="J431" s="305"/>
      <c r="K431" s="305"/>
      <c r="L431" s="200"/>
      <c r="M431" s="200"/>
      <c r="N431" s="200"/>
      <c r="O431" s="200"/>
      <c r="P431" s="200"/>
      <c r="Q431" s="200"/>
      <c r="R431" s="200"/>
      <c r="V431" s="200"/>
      <c r="Y431" s="200"/>
      <c r="Z431" s="305"/>
      <c r="AA431" s="200"/>
      <c r="AB431" s="200"/>
      <c r="AC431" s="200"/>
      <c r="AD431" s="200"/>
      <c r="AE431" s="200"/>
      <c r="AF431" s="200"/>
      <c r="AI431" s="200"/>
      <c r="AJ431" s="200"/>
      <c r="AK431" s="209"/>
      <c r="AL431" s="200"/>
    </row>
    <row r="432" spans="1:40" x14ac:dyDescent="0.25">
      <c r="A432" s="202"/>
      <c r="C432" s="154"/>
      <c r="F432" s="200"/>
      <c r="H432" s="200"/>
      <c r="I432" s="200"/>
      <c r="L432" s="200"/>
      <c r="M432" s="200"/>
      <c r="N432" s="210"/>
      <c r="O432" s="210"/>
      <c r="P432" s="200"/>
      <c r="Q432" s="200"/>
      <c r="R432" s="200"/>
      <c r="T432" s="154"/>
      <c r="V432" s="200"/>
      <c r="Y432" s="200"/>
      <c r="AA432" s="200"/>
      <c r="AB432" s="200"/>
      <c r="AC432" s="210"/>
      <c r="AD432" s="210"/>
      <c r="AE432" s="200"/>
      <c r="AF432" s="200"/>
      <c r="AG432" s="209"/>
      <c r="AH432" s="201"/>
      <c r="AI432" s="252"/>
      <c r="AJ432" s="252"/>
      <c r="AK432" s="209"/>
      <c r="AL432" s="200"/>
      <c r="AM432" s="210"/>
      <c r="AN432" s="210"/>
    </row>
    <row r="433" spans="1:38" x14ac:dyDescent="0.25">
      <c r="H433" s="211"/>
      <c r="I433" s="211"/>
      <c r="J433" s="305"/>
      <c r="K433" s="305"/>
      <c r="L433" s="211"/>
      <c r="M433" s="211"/>
      <c r="N433" s="211"/>
      <c r="O433" s="211"/>
      <c r="P433" s="211"/>
      <c r="Q433" s="211"/>
      <c r="R433" s="211"/>
      <c r="V433" s="211"/>
      <c r="Y433" s="211"/>
      <c r="Z433" s="305"/>
      <c r="AA433" s="211"/>
      <c r="AB433" s="211"/>
      <c r="AC433" s="211"/>
      <c r="AD433" s="211"/>
      <c r="AE433" s="211"/>
      <c r="AF433" s="211"/>
      <c r="AI433" s="211"/>
      <c r="AJ433" s="211"/>
      <c r="AK433" s="212"/>
      <c r="AL433" s="211"/>
    </row>
    <row r="434" spans="1:38" x14ac:dyDescent="0.25">
      <c r="F434" s="211"/>
    </row>
    <row r="435" spans="1:38" x14ac:dyDescent="0.25">
      <c r="A435" s="154"/>
      <c r="T435" s="154"/>
    </row>
    <row r="436" spans="1:38" x14ac:dyDescent="0.25">
      <c r="A436" s="154"/>
      <c r="T436" s="154"/>
    </row>
    <row r="437" spans="1:38" x14ac:dyDescent="0.25">
      <c r="A437" s="154"/>
      <c r="T437" s="154"/>
    </row>
    <row r="438" spans="1:38" x14ac:dyDescent="0.25">
      <c r="A438" s="154"/>
      <c r="T438" s="154"/>
    </row>
    <row r="439" spans="1:38" x14ac:dyDescent="0.25">
      <c r="A439" s="154"/>
      <c r="T439" s="154"/>
    </row>
    <row r="440" spans="1:38" x14ac:dyDescent="0.25">
      <c r="A440" s="154"/>
      <c r="T440" s="154"/>
    </row>
    <row r="441" spans="1:38" x14ac:dyDescent="0.25">
      <c r="A441" s="154"/>
      <c r="T441" s="154"/>
    </row>
    <row r="442" spans="1:38" x14ac:dyDescent="0.25">
      <c r="A442" s="154"/>
      <c r="T442" s="154"/>
    </row>
    <row r="443" spans="1:38" x14ac:dyDescent="0.25">
      <c r="A443" s="154"/>
      <c r="T443" s="154"/>
    </row>
    <row r="445" spans="1:38" x14ac:dyDescent="0.25">
      <c r="A445" s="154"/>
    </row>
    <row r="446" spans="1:38" x14ac:dyDescent="0.25">
      <c r="J446" s="202"/>
      <c r="K446" s="202"/>
      <c r="Z446" s="202"/>
    </row>
    <row r="447" spans="1:38" x14ac:dyDescent="0.25">
      <c r="H447" s="154"/>
      <c r="I447" s="154"/>
      <c r="Y447" s="154"/>
    </row>
    <row r="448" spans="1:38" x14ac:dyDescent="0.25">
      <c r="J448" s="202"/>
      <c r="K448" s="202"/>
      <c r="Z448" s="202"/>
    </row>
    <row r="449" spans="1:40" x14ac:dyDescent="0.25">
      <c r="L449" s="154"/>
      <c r="M449" s="154"/>
      <c r="AA449" s="154"/>
      <c r="AB449" s="154"/>
    </row>
    <row r="450" spans="1:40" x14ac:dyDescent="0.25">
      <c r="A450" s="202"/>
      <c r="R450" s="154"/>
      <c r="AK450" s="297"/>
      <c r="AL450" s="154"/>
    </row>
    <row r="451" spans="1:40" x14ac:dyDescent="0.25">
      <c r="A451" s="202"/>
      <c r="R451" s="154"/>
      <c r="AK451" s="297"/>
      <c r="AL451" s="154"/>
    </row>
    <row r="452" spans="1:40" x14ac:dyDescent="0.25">
      <c r="A452" s="154"/>
      <c r="R452" s="154"/>
      <c r="AK452" s="297"/>
      <c r="AL452" s="154"/>
    </row>
    <row r="453" spans="1:40" x14ac:dyDescent="0.25">
      <c r="L453" s="154"/>
      <c r="M453" s="154"/>
      <c r="R453" s="202"/>
      <c r="AA453" s="154"/>
      <c r="AB453" s="154"/>
      <c r="AK453" s="209"/>
      <c r="AL453" s="202"/>
    </row>
    <row r="454" spans="1:40" x14ac:dyDescent="0.25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208"/>
      <c r="AH454" s="102"/>
      <c r="AI454" s="102"/>
      <c r="AJ454" s="102"/>
      <c r="AK454" s="208"/>
      <c r="AL454" s="102"/>
      <c r="AM454" s="102"/>
      <c r="AN454" s="102"/>
    </row>
    <row r="455" spans="1:40" x14ac:dyDescent="0.25">
      <c r="L455" s="103"/>
      <c r="M455" s="103"/>
      <c r="N455" s="103"/>
      <c r="O455" s="103"/>
      <c r="R455" s="103"/>
      <c r="AA455" s="103"/>
      <c r="AB455" s="103"/>
      <c r="AC455" s="103"/>
      <c r="AD455" s="103"/>
      <c r="AE455" s="103"/>
      <c r="AF455" s="103"/>
      <c r="AG455" s="185"/>
      <c r="AH455" s="103"/>
      <c r="AK455" s="185"/>
      <c r="AL455" s="103"/>
      <c r="AM455" s="103"/>
      <c r="AN455" s="103"/>
    </row>
    <row r="456" spans="1:40" x14ac:dyDescent="0.25">
      <c r="L456" s="103"/>
      <c r="M456" s="103"/>
      <c r="N456" s="103"/>
      <c r="O456" s="103"/>
      <c r="R456" s="103"/>
      <c r="Z456" s="103"/>
      <c r="AA456" s="103"/>
      <c r="AB456" s="103"/>
      <c r="AC456" s="103"/>
      <c r="AD456" s="103"/>
      <c r="AE456" s="103"/>
      <c r="AF456" s="103"/>
      <c r="AG456" s="185"/>
      <c r="AH456" s="103"/>
      <c r="AK456" s="185"/>
      <c r="AL456" s="103"/>
      <c r="AM456" s="103"/>
      <c r="AN456" s="103"/>
    </row>
    <row r="457" spans="1:40" x14ac:dyDescent="0.25">
      <c r="A457" s="103"/>
      <c r="C457" s="103"/>
      <c r="D457" s="103"/>
      <c r="E457" s="103"/>
      <c r="F457" s="103"/>
      <c r="J457" s="103"/>
      <c r="K457" s="103"/>
      <c r="L457" s="103"/>
      <c r="M457" s="103"/>
      <c r="N457" s="103"/>
      <c r="O457" s="103"/>
      <c r="P457" s="103"/>
      <c r="Q457" s="103"/>
      <c r="R457" s="103"/>
      <c r="T457" s="103"/>
      <c r="U457" s="103"/>
      <c r="V457" s="103"/>
      <c r="Z457" s="103"/>
      <c r="AA457" s="103"/>
      <c r="AB457" s="103"/>
      <c r="AC457" s="103"/>
      <c r="AD457" s="103"/>
      <c r="AE457" s="103"/>
      <c r="AF457" s="103"/>
      <c r="AG457" s="185"/>
      <c r="AH457" s="103"/>
      <c r="AI457" s="103"/>
      <c r="AJ457" s="103"/>
      <c r="AK457" s="185"/>
      <c r="AL457" s="103"/>
      <c r="AM457" s="103"/>
      <c r="AN457" s="103"/>
    </row>
    <row r="458" spans="1:40" x14ac:dyDescent="0.25">
      <c r="A458" s="103"/>
      <c r="C458" s="103"/>
      <c r="D458" s="103"/>
      <c r="E458" s="103"/>
      <c r="F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T458" s="103"/>
      <c r="U458" s="103"/>
      <c r="V458" s="103"/>
      <c r="Y458" s="103"/>
      <c r="Z458" s="103"/>
      <c r="AA458" s="103"/>
      <c r="AB458" s="103"/>
      <c r="AC458" s="103"/>
      <c r="AD458" s="103"/>
      <c r="AE458" s="103"/>
      <c r="AF458" s="103"/>
      <c r="AG458" s="185"/>
      <c r="AH458" s="103"/>
      <c r="AI458" s="103"/>
      <c r="AJ458" s="103"/>
      <c r="AK458" s="185"/>
      <c r="AL458" s="103"/>
      <c r="AM458" s="103"/>
      <c r="AN458" s="103"/>
    </row>
    <row r="459" spans="1:40" x14ac:dyDescent="0.25">
      <c r="C459" s="103"/>
      <c r="D459" s="103"/>
      <c r="E459" s="103"/>
      <c r="F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T459" s="103"/>
      <c r="U459" s="103"/>
      <c r="V459" s="103"/>
      <c r="Y459" s="103"/>
      <c r="Z459" s="103"/>
      <c r="AA459" s="103"/>
      <c r="AB459" s="103"/>
      <c r="AC459" s="103"/>
      <c r="AD459" s="103"/>
      <c r="AE459" s="103"/>
      <c r="AF459" s="103"/>
      <c r="AG459" s="185"/>
      <c r="AH459" s="103"/>
      <c r="AI459" s="103"/>
      <c r="AJ459" s="103"/>
      <c r="AK459" s="185"/>
      <c r="AL459" s="103"/>
      <c r="AM459" s="103"/>
      <c r="AN459" s="103"/>
    </row>
    <row r="460" spans="1:40" x14ac:dyDescent="0.25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208"/>
      <c r="AH460" s="102"/>
      <c r="AI460" s="102"/>
      <c r="AJ460" s="102"/>
      <c r="AK460" s="208"/>
      <c r="AL460" s="102"/>
      <c r="AM460" s="102"/>
      <c r="AN460" s="102"/>
    </row>
    <row r="461" spans="1:40" x14ac:dyDescent="0.25"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Y461" s="103"/>
      <c r="Z461" s="103"/>
      <c r="AA461" s="103"/>
      <c r="AB461" s="103"/>
      <c r="AC461" s="103"/>
      <c r="AD461" s="103"/>
      <c r="AE461" s="103"/>
      <c r="AF461" s="103"/>
      <c r="AG461" s="185"/>
      <c r="AH461" s="103"/>
      <c r="AI461" s="103"/>
      <c r="AJ461" s="103"/>
      <c r="AK461" s="185"/>
      <c r="AL461" s="103"/>
      <c r="AM461" s="103"/>
      <c r="AN461" s="103"/>
    </row>
    <row r="462" spans="1:40" x14ac:dyDescent="0.25">
      <c r="A462" s="202"/>
      <c r="C462" s="154"/>
      <c r="D462" s="154"/>
      <c r="E462" s="154"/>
      <c r="T462" s="154"/>
      <c r="U462" s="154"/>
    </row>
    <row r="463" spans="1:40" x14ac:dyDescent="0.25">
      <c r="A463" s="202"/>
      <c r="D463" s="154"/>
      <c r="E463" s="154"/>
      <c r="U463" s="154"/>
    </row>
    <row r="465" spans="1:40" x14ac:dyDescent="0.25">
      <c r="A465" s="202"/>
      <c r="C465" s="154"/>
      <c r="F465" s="200"/>
      <c r="J465" s="215"/>
      <c r="K465" s="215"/>
      <c r="L465" s="200"/>
      <c r="M465" s="200"/>
      <c r="R465" s="200"/>
      <c r="T465" s="154"/>
      <c r="V465" s="200"/>
      <c r="Z465" s="215"/>
      <c r="AA465" s="200"/>
      <c r="AB465" s="200"/>
      <c r="AG465" s="209"/>
      <c r="AH465" s="200"/>
      <c r="AK465" s="209"/>
      <c r="AL465" s="200"/>
    </row>
    <row r="466" spans="1:40" x14ac:dyDescent="0.25">
      <c r="A466" s="202"/>
      <c r="C466" s="154"/>
      <c r="F466" s="200"/>
      <c r="R466" s="200"/>
      <c r="T466" s="154"/>
      <c r="V466" s="200"/>
      <c r="AG466" s="209"/>
      <c r="AH466" s="200"/>
      <c r="AK466" s="209"/>
      <c r="AL466" s="200"/>
    </row>
    <row r="467" spans="1:40" x14ac:dyDescent="0.25">
      <c r="AI467" s="200"/>
      <c r="AJ467" s="200"/>
      <c r="AK467" s="209"/>
      <c r="AL467" s="200"/>
      <c r="AM467" s="210"/>
      <c r="AN467" s="210"/>
    </row>
    <row r="468" spans="1:40" x14ac:dyDescent="0.25">
      <c r="A468" s="202"/>
      <c r="C468" s="154"/>
      <c r="F468" s="252"/>
      <c r="H468" s="252"/>
      <c r="I468" s="252"/>
      <c r="J468" s="328"/>
      <c r="K468" s="328"/>
      <c r="L468" s="200"/>
      <c r="M468" s="200"/>
      <c r="N468" s="210"/>
      <c r="O468" s="210"/>
      <c r="P468" s="200"/>
      <c r="Q468" s="200"/>
      <c r="R468" s="200"/>
      <c r="T468" s="154"/>
      <c r="V468" s="200"/>
      <c r="Y468" s="200"/>
      <c r="Z468" s="328"/>
      <c r="AA468" s="200"/>
      <c r="AB468" s="200"/>
      <c r="AC468" s="210"/>
      <c r="AD468" s="210"/>
      <c r="AE468" s="200"/>
      <c r="AF468" s="200"/>
      <c r="AG468" s="209"/>
      <c r="AH468" s="201"/>
      <c r="AI468" s="200"/>
      <c r="AJ468" s="200"/>
      <c r="AK468" s="209"/>
      <c r="AL468" s="200"/>
      <c r="AM468" s="210"/>
      <c r="AN468" s="210"/>
    </row>
    <row r="469" spans="1:40" x14ac:dyDescent="0.25">
      <c r="F469" s="200"/>
      <c r="H469" s="200"/>
      <c r="I469" s="200"/>
      <c r="J469" s="213"/>
      <c r="K469" s="213"/>
      <c r="L469" s="200"/>
      <c r="M469" s="200"/>
      <c r="P469" s="200"/>
      <c r="Q469" s="200"/>
      <c r="R469" s="200"/>
      <c r="V469" s="200"/>
      <c r="Y469" s="200"/>
      <c r="Z469" s="213"/>
      <c r="AA469" s="200"/>
      <c r="AB469" s="200"/>
      <c r="AI469" s="200"/>
      <c r="AJ469" s="200"/>
      <c r="AK469" s="209"/>
      <c r="AL469" s="200"/>
      <c r="AM469" s="210"/>
      <c r="AN469" s="210"/>
    </row>
    <row r="470" spans="1:40" x14ac:dyDescent="0.25">
      <c r="F470" s="200"/>
      <c r="R470" s="200"/>
      <c r="V470" s="200"/>
      <c r="AK470" s="209"/>
      <c r="AL470" s="200"/>
      <c r="AM470" s="210"/>
      <c r="AN470" s="210"/>
    </row>
    <row r="471" spans="1:40" x14ac:dyDescent="0.25">
      <c r="A471" s="202"/>
      <c r="C471" s="154"/>
      <c r="F471" s="200"/>
      <c r="J471" s="215"/>
      <c r="K471" s="215"/>
      <c r="L471" s="200"/>
      <c r="M471" s="200"/>
      <c r="N471" s="210"/>
      <c r="O471" s="210"/>
      <c r="R471" s="200"/>
      <c r="T471" s="154"/>
      <c r="V471" s="200"/>
      <c r="Z471" s="215"/>
      <c r="AA471" s="200"/>
      <c r="AB471" s="200"/>
      <c r="AC471" s="210"/>
      <c r="AD471" s="210"/>
      <c r="AK471" s="209"/>
      <c r="AL471" s="200"/>
      <c r="AM471" s="210"/>
      <c r="AN471" s="210"/>
    </row>
    <row r="472" spans="1:40" x14ac:dyDescent="0.25">
      <c r="A472" s="202"/>
      <c r="C472" s="154"/>
      <c r="F472" s="200"/>
      <c r="H472" s="200"/>
      <c r="I472" s="200"/>
      <c r="J472" s="215"/>
      <c r="K472" s="215"/>
      <c r="L472" s="200"/>
      <c r="M472" s="200"/>
      <c r="N472" s="210"/>
      <c r="O472" s="210"/>
      <c r="P472" s="200"/>
      <c r="Q472" s="200"/>
      <c r="R472" s="200"/>
      <c r="T472" s="154"/>
      <c r="V472" s="200"/>
      <c r="Y472" s="200"/>
      <c r="Z472" s="215"/>
      <c r="AA472" s="200"/>
      <c r="AB472" s="200"/>
      <c r="AC472" s="210"/>
      <c r="AD472" s="210"/>
      <c r="AI472" s="200"/>
      <c r="AJ472" s="200"/>
      <c r="AK472" s="209"/>
      <c r="AL472" s="200"/>
      <c r="AM472" s="210"/>
      <c r="AN472" s="210"/>
    </row>
    <row r="473" spans="1:40" x14ac:dyDescent="0.25">
      <c r="A473" s="202"/>
      <c r="C473" s="154"/>
      <c r="T473" s="154"/>
      <c r="AM473" s="210"/>
      <c r="AN473" s="210"/>
    </row>
    <row r="474" spans="1:40" x14ac:dyDescent="0.25">
      <c r="A474" s="202"/>
      <c r="C474" s="154"/>
      <c r="T474" s="154"/>
      <c r="AM474" s="210"/>
      <c r="AN474" s="210"/>
    </row>
    <row r="475" spans="1:40" x14ac:dyDescent="0.25">
      <c r="AM475" s="210"/>
      <c r="AN475" s="210"/>
    </row>
    <row r="476" spans="1:40" x14ac:dyDescent="0.25">
      <c r="A476" s="202"/>
      <c r="C476" s="154"/>
      <c r="F476" s="252"/>
      <c r="H476" s="252"/>
      <c r="I476" s="252"/>
      <c r="J476" s="328"/>
      <c r="K476" s="328"/>
      <c r="L476" s="200"/>
      <c r="M476" s="200"/>
      <c r="N476" s="210"/>
      <c r="O476" s="210"/>
      <c r="P476" s="200"/>
      <c r="Q476" s="200"/>
      <c r="R476" s="200"/>
      <c r="T476" s="154"/>
      <c r="V476" s="200"/>
      <c r="Y476" s="200"/>
      <c r="Z476" s="328"/>
      <c r="AA476" s="200"/>
      <c r="AB476" s="200"/>
      <c r="AC476" s="210"/>
      <c r="AD476" s="210"/>
      <c r="AE476" s="200"/>
      <c r="AF476" s="200"/>
      <c r="AG476" s="209"/>
      <c r="AH476" s="201"/>
      <c r="AI476" s="200"/>
      <c r="AJ476" s="200"/>
      <c r="AK476" s="209"/>
      <c r="AL476" s="200"/>
      <c r="AM476" s="210"/>
      <c r="AN476" s="210"/>
    </row>
    <row r="477" spans="1:40" x14ac:dyDescent="0.25">
      <c r="F477" s="211"/>
      <c r="H477" s="211"/>
      <c r="I477" s="211"/>
      <c r="J477" s="305"/>
      <c r="K477" s="305"/>
      <c r="L477" s="211"/>
      <c r="M477" s="211"/>
      <c r="N477" s="211"/>
      <c r="O477" s="211"/>
      <c r="P477" s="211"/>
      <c r="Q477" s="211"/>
      <c r="R477" s="211"/>
      <c r="V477" s="211"/>
      <c r="Y477" s="211"/>
      <c r="Z477" s="305"/>
      <c r="AA477" s="211"/>
      <c r="AB477" s="211"/>
      <c r="AC477" s="211"/>
      <c r="AD477" s="211"/>
      <c r="AE477" s="211"/>
      <c r="AF477" s="211"/>
      <c r="AI477" s="211"/>
      <c r="AJ477" s="211"/>
      <c r="AK477" s="212"/>
      <c r="AL477" s="211"/>
      <c r="AM477" s="210"/>
      <c r="AN477" s="210"/>
    </row>
    <row r="478" spans="1:40" x14ac:dyDescent="0.25">
      <c r="H478" s="200"/>
      <c r="I478" s="200"/>
      <c r="Y478" s="200"/>
      <c r="AM478" s="210"/>
      <c r="AN478" s="210"/>
    </row>
    <row r="479" spans="1:40" x14ac:dyDescent="0.25">
      <c r="A479" s="202"/>
      <c r="C479" s="154"/>
      <c r="F479" s="200"/>
      <c r="H479" s="200"/>
      <c r="I479" s="200"/>
      <c r="L479" s="200"/>
      <c r="M479" s="200"/>
      <c r="N479" s="210"/>
      <c r="O479" s="210"/>
      <c r="P479" s="252"/>
      <c r="Q479" s="252"/>
      <c r="R479" s="200"/>
      <c r="T479" s="154"/>
      <c r="V479" s="200"/>
      <c r="Y479" s="200"/>
      <c r="AA479" s="200"/>
      <c r="AB479" s="200"/>
      <c r="AC479" s="210"/>
      <c r="AD479" s="210"/>
      <c r="AE479" s="200"/>
      <c r="AF479" s="200"/>
      <c r="AG479" s="209"/>
      <c r="AH479" s="201"/>
      <c r="AI479" s="252"/>
      <c r="AJ479" s="252"/>
      <c r="AK479" s="209"/>
      <c r="AL479" s="200"/>
      <c r="AM479" s="210"/>
      <c r="AN479" s="210"/>
    </row>
    <row r="480" spans="1:40" x14ac:dyDescent="0.25">
      <c r="H480" s="211"/>
      <c r="I480" s="211"/>
      <c r="J480" s="305"/>
      <c r="K480" s="305"/>
      <c r="L480" s="211"/>
      <c r="M480" s="211"/>
      <c r="N480" s="211"/>
      <c r="O480" s="211"/>
      <c r="P480" s="211"/>
      <c r="Q480" s="211"/>
      <c r="R480" s="211"/>
      <c r="V480" s="211"/>
      <c r="Y480" s="211"/>
      <c r="Z480" s="305"/>
      <c r="AA480" s="211"/>
      <c r="AB480" s="211"/>
      <c r="AC480" s="211"/>
      <c r="AD480" s="211"/>
      <c r="AE480" s="211"/>
      <c r="AF480" s="211"/>
      <c r="AI480" s="211"/>
      <c r="AJ480" s="211"/>
      <c r="AK480" s="212"/>
      <c r="AL480" s="211"/>
      <c r="AM480" s="210"/>
      <c r="AN480" s="210"/>
    </row>
    <row r="481" spans="1:40" x14ac:dyDescent="0.25">
      <c r="F481" s="211"/>
    </row>
    <row r="482" spans="1:40" x14ac:dyDescent="0.25">
      <c r="F482" s="200"/>
      <c r="H482" s="200"/>
      <c r="I482" s="200"/>
      <c r="J482" s="213"/>
      <c r="K482" s="213"/>
      <c r="L482" s="200"/>
      <c r="M482" s="200"/>
      <c r="N482" s="200"/>
      <c r="O482" s="200"/>
      <c r="P482" s="200"/>
      <c r="Q482" s="200"/>
      <c r="R482" s="200"/>
      <c r="V482" s="200"/>
      <c r="Y482" s="200"/>
      <c r="Z482" s="213"/>
      <c r="AA482" s="200"/>
      <c r="AB482" s="200"/>
      <c r="AC482" s="200"/>
      <c r="AD482" s="200"/>
      <c r="AE482" s="200"/>
      <c r="AF482" s="200"/>
      <c r="AG482" s="209"/>
      <c r="AH482" s="200"/>
      <c r="AI482" s="200"/>
      <c r="AJ482" s="200"/>
      <c r="AK482" s="209"/>
      <c r="AL482" s="200"/>
    </row>
    <row r="483" spans="1:40" x14ac:dyDescent="0.25">
      <c r="A483" s="154"/>
    </row>
    <row r="484" spans="1:40" x14ac:dyDescent="0.25">
      <c r="J484" s="202"/>
      <c r="K484" s="202"/>
      <c r="Z484" s="202"/>
    </row>
    <row r="485" spans="1:40" x14ac:dyDescent="0.25">
      <c r="H485" s="154"/>
      <c r="I485" s="154"/>
      <c r="Y485" s="154"/>
    </row>
    <row r="486" spans="1:40" x14ac:dyDescent="0.25">
      <c r="J486" s="202"/>
      <c r="K486" s="202"/>
      <c r="Z486" s="202"/>
    </row>
    <row r="487" spans="1:40" x14ac:dyDescent="0.25">
      <c r="L487" s="154"/>
      <c r="M487" s="154"/>
      <c r="AA487" s="154"/>
      <c r="AB487" s="154"/>
    </row>
    <row r="488" spans="1:40" x14ac:dyDescent="0.25">
      <c r="A488" s="202"/>
      <c r="R488" s="154"/>
      <c r="AK488" s="297"/>
      <c r="AL488" s="154"/>
    </row>
    <row r="489" spans="1:40" x14ac:dyDescent="0.25">
      <c r="A489" s="202"/>
      <c r="R489" s="154"/>
      <c r="AK489" s="297"/>
      <c r="AL489" s="154"/>
    </row>
    <row r="490" spans="1:40" x14ac:dyDescent="0.25">
      <c r="A490" s="154"/>
      <c r="R490" s="154"/>
      <c r="AK490" s="297"/>
      <c r="AL490" s="154"/>
    </row>
    <row r="491" spans="1:40" x14ac:dyDescent="0.25">
      <c r="L491" s="154"/>
      <c r="M491" s="154"/>
      <c r="R491" s="202"/>
      <c r="AA491" s="154"/>
      <c r="AB491" s="154"/>
      <c r="AK491" s="209"/>
      <c r="AL491" s="202"/>
    </row>
    <row r="492" spans="1:40" x14ac:dyDescent="0.2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208"/>
      <c r="AH492" s="102"/>
      <c r="AI492" s="102"/>
      <c r="AJ492" s="102"/>
      <c r="AK492" s="208"/>
      <c r="AL492" s="102"/>
      <c r="AM492" s="102"/>
      <c r="AN492" s="102"/>
    </row>
    <row r="493" spans="1:40" x14ac:dyDescent="0.25">
      <c r="L493" s="103"/>
      <c r="M493" s="103"/>
      <c r="N493" s="103"/>
      <c r="O493" s="103"/>
      <c r="R493" s="103"/>
      <c r="AA493" s="103"/>
      <c r="AB493" s="103"/>
      <c r="AC493" s="103"/>
      <c r="AD493" s="103"/>
      <c r="AE493" s="103"/>
      <c r="AF493" s="103"/>
      <c r="AG493" s="185"/>
      <c r="AH493" s="103"/>
      <c r="AK493" s="185"/>
      <c r="AL493" s="103"/>
      <c r="AM493" s="103"/>
      <c r="AN493" s="103"/>
    </row>
    <row r="494" spans="1:40" x14ac:dyDescent="0.25">
      <c r="L494" s="103"/>
      <c r="M494" s="103"/>
      <c r="N494" s="103"/>
      <c r="O494" s="103"/>
      <c r="R494" s="103"/>
      <c r="Z494" s="103"/>
      <c r="AA494" s="103"/>
      <c r="AB494" s="103"/>
      <c r="AC494" s="103"/>
      <c r="AD494" s="103"/>
      <c r="AE494" s="103"/>
      <c r="AF494" s="103"/>
      <c r="AG494" s="185"/>
      <c r="AH494" s="103"/>
      <c r="AK494" s="185"/>
      <c r="AL494" s="103"/>
      <c r="AM494" s="103"/>
      <c r="AN494" s="103"/>
    </row>
    <row r="495" spans="1:40" x14ac:dyDescent="0.25">
      <c r="A495" s="103"/>
      <c r="C495" s="103"/>
      <c r="D495" s="103"/>
      <c r="E495" s="103"/>
      <c r="F495" s="103"/>
      <c r="J495" s="103"/>
      <c r="K495" s="103"/>
      <c r="L495" s="103"/>
      <c r="M495" s="103"/>
      <c r="N495" s="103"/>
      <c r="O495" s="103"/>
      <c r="P495" s="103"/>
      <c r="Q495" s="103"/>
      <c r="R495" s="103"/>
      <c r="T495" s="103"/>
      <c r="U495" s="103"/>
      <c r="V495" s="103"/>
      <c r="Z495" s="103"/>
      <c r="AA495" s="103"/>
      <c r="AB495" s="103"/>
      <c r="AC495" s="103"/>
      <c r="AD495" s="103"/>
      <c r="AE495" s="103"/>
      <c r="AF495" s="103"/>
      <c r="AG495" s="185"/>
      <c r="AH495" s="103"/>
      <c r="AI495" s="103"/>
      <c r="AJ495" s="103"/>
      <c r="AK495" s="185"/>
      <c r="AL495" s="103"/>
      <c r="AM495" s="103"/>
      <c r="AN495" s="103"/>
    </row>
    <row r="496" spans="1:40" x14ac:dyDescent="0.25">
      <c r="A496" s="103"/>
      <c r="C496" s="103"/>
      <c r="D496" s="103"/>
      <c r="E496" s="103"/>
      <c r="F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T496" s="103"/>
      <c r="U496" s="103"/>
      <c r="V496" s="103"/>
      <c r="Y496" s="103"/>
      <c r="Z496" s="103"/>
      <c r="AA496" s="103"/>
      <c r="AB496" s="103"/>
      <c r="AC496" s="103"/>
      <c r="AD496" s="103"/>
      <c r="AE496" s="103"/>
      <c r="AF496" s="103"/>
      <c r="AG496" s="185"/>
      <c r="AH496" s="103"/>
      <c r="AI496" s="103"/>
      <c r="AJ496" s="103"/>
      <c r="AK496" s="185"/>
      <c r="AL496" s="103"/>
      <c r="AM496" s="103"/>
      <c r="AN496" s="103"/>
    </row>
    <row r="497" spans="1:40" x14ac:dyDescent="0.25">
      <c r="C497" s="103"/>
      <c r="D497" s="103"/>
      <c r="E497" s="103"/>
      <c r="F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T497" s="103"/>
      <c r="U497" s="103"/>
      <c r="V497" s="103"/>
      <c r="Y497" s="103"/>
      <c r="Z497" s="103"/>
      <c r="AA497" s="103"/>
      <c r="AB497" s="103"/>
      <c r="AC497" s="103"/>
      <c r="AD497" s="103"/>
      <c r="AE497" s="103"/>
      <c r="AF497" s="103"/>
      <c r="AG497" s="185"/>
      <c r="AH497" s="103"/>
      <c r="AI497" s="103"/>
      <c r="AJ497" s="103"/>
      <c r="AK497" s="185"/>
      <c r="AL497" s="103"/>
      <c r="AM497" s="103"/>
      <c r="AN497" s="103"/>
    </row>
    <row r="498" spans="1:40" x14ac:dyDescent="0.2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208"/>
      <c r="AH498" s="102"/>
      <c r="AI498" s="102"/>
      <c r="AJ498" s="102"/>
      <c r="AK498" s="208"/>
      <c r="AL498" s="102"/>
      <c r="AM498" s="102"/>
      <c r="AN498" s="102"/>
    </row>
    <row r="499" spans="1:40" x14ac:dyDescent="0.25"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Y499" s="103"/>
      <c r="Z499" s="103"/>
      <c r="AA499" s="103"/>
      <c r="AB499" s="103"/>
      <c r="AC499" s="103"/>
      <c r="AD499" s="103"/>
      <c r="AE499" s="103"/>
      <c r="AF499" s="103"/>
      <c r="AG499" s="185"/>
      <c r="AH499" s="103"/>
      <c r="AI499" s="103"/>
      <c r="AJ499" s="103"/>
      <c r="AK499" s="185"/>
      <c r="AL499" s="103"/>
      <c r="AM499" s="103"/>
      <c r="AN499" s="103"/>
    </row>
    <row r="500" spans="1:40" x14ac:dyDescent="0.25">
      <c r="A500" s="202"/>
      <c r="C500" s="154"/>
      <c r="D500" s="154"/>
      <c r="E500" s="154"/>
      <c r="T500" s="154"/>
      <c r="U500" s="154"/>
      <c r="V500" s="200"/>
      <c r="W500" s="200"/>
      <c r="X500" s="200"/>
      <c r="Y500" s="200"/>
      <c r="Z500" s="328"/>
    </row>
    <row r="502" spans="1:40" x14ac:dyDescent="0.25">
      <c r="A502" s="202"/>
      <c r="C502" s="154"/>
      <c r="T502" s="154"/>
      <c r="V502" s="200"/>
      <c r="W502" s="200"/>
      <c r="X502" s="200"/>
      <c r="Y502" s="200"/>
      <c r="Z502" s="328"/>
    </row>
    <row r="503" spans="1:40" x14ac:dyDescent="0.25">
      <c r="A503" s="202"/>
      <c r="C503" s="154"/>
      <c r="F503" s="252"/>
      <c r="H503" s="252"/>
      <c r="I503" s="252"/>
      <c r="J503" s="329"/>
      <c r="K503" s="329"/>
      <c r="L503" s="200"/>
      <c r="M503" s="200"/>
      <c r="N503" s="210"/>
      <c r="O503" s="210"/>
      <c r="P503" s="200"/>
      <c r="Q503" s="200"/>
      <c r="R503" s="200"/>
      <c r="T503" s="154"/>
      <c r="V503" s="200"/>
      <c r="W503" s="200"/>
      <c r="X503" s="200"/>
      <c r="Y503" s="200"/>
      <c r="Z503" s="329"/>
      <c r="AA503" s="200"/>
      <c r="AB503" s="200"/>
      <c r="AC503" s="210"/>
      <c r="AD503" s="210"/>
      <c r="AE503" s="200"/>
      <c r="AF503" s="200"/>
      <c r="AG503" s="209"/>
      <c r="AH503" s="201"/>
      <c r="AI503" s="200"/>
      <c r="AJ503" s="200"/>
      <c r="AK503" s="209"/>
      <c r="AL503" s="200"/>
      <c r="AM503" s="210"/>
      <c r="AN503" s="210"/>
    </row>
    <row r="504" spans="1:40" x14ac:dyDescent="0.25">
      <c r="A504" s="202"/>
      <c r="C504" s="154"/>
      <c r="F504" s="252"/>
      <c r="H504" s="252"/>
      <c r="I504" s="252"/>
      <c r="J504" s="329"/>
      <c r="K504" s="329"/>
      <c r="L504" s="200"/>
      <c r="M504" s="200"/>
      <c r="N504" s="210"/>
      <c r="O504" s="210"/>
      <c r="P504" s="200"/>
      <c r="Q504" s="200"/>
      <c r="R504" s="200"/>
      <c r="T504" s="154"/>
      <c r="V504" s="200"/>
      <c r="W504" s="200"/>
      <c r="X504" s="200"/>
      <c r="Y504" s="200"/>
      <c r="Z504" s="329"/>
      <c r="AA504" s="200"/>
      <c r="AB504" s="200"/>
      <c r="AC504" s="210"/>
      <c r="AD504" s="210"/>
      <c r="AE504" s="200"/>
      <c r="AF504" s="200"/>
      <c r="AG504" s="209"/>
      <c r="AH504" s="201"/>
      <c r="AI504" s="200"/>
      <c r="AJ504" s="200"/>
      <c r="AK504" s="209"/>
      <c r="AL504" s="200"/>
      <c r="AM504" s="210"/>
      <c r="AN504" s="210"/>
    </row>
    <row r="505" spans="1:40" x14ac:dyDescent="0.25">
      <c r="A505" s="202"/>
      <c r="C505" s="154"/>
      <c r="F505" s="252"/>
      <c r="H505" s="252"/>
      <c r="I505" s="252"/>
      <c r="J505" s="329"/>
      <c r="K505" s="329"/>
      <c r="L505" s="200"/>
      <c r="M505" s="200"/>
      <c r="N505" s="210"/>
      <c r="O505" s="210"/>
      <c r="P505" s="200"/>
      <c r="Q505" s="200"/>
      <c r="R505" s="200"/>
      <c r="T505" s="154"/>
      <c r="V505" s="200"/>
      <c r="W505" s="200"/>
      <c r="X505" s="200"/>
      <c r="Y505" s="200"/>
      <c r="Z505" s="329"/>
      <c r="AA505" s="200"/>
      <c r="AB505" s="200"/>
      <c r="AC505" s="210"/>
      <c r="AD505" s="210"/>
      <c r="AE505" s="200"/>
      <c r="AF505" s="200"/>
      <c r="AG505" s="209"/>
      <c r="AH505" s="201"/>
      <c r="AI505" s="200"/>
      <c r="AJ505" s="200"/>
      <c r="AK505" s="209"/>
      <c r="AL505" s="200"/>
      <c r="AM505" s="210"/>
      <c r="AN505" s="210"/>
    </row>
    <row r="506" spans="1:40" x14ac:dyDescent="0.25">
      <c r="A506" s="202"/>
      <c r="C506" s="154"/>
      <c r="F506" s="252"/>
      <c r="H506" s="252"/>
      <c r="I506" s="252"/>
      <c r="J506" s="329"/>
      <c r="K506" s="329"/>
      <c r="L506" s="200"/>
      <c r="M506" s="200"/>
      <c r="N506" s="210"/>
      <c r="O506" s="210"/>
      <c r="P506" s="200"/>
      <c r="Q506" s="200"/>
      <c r="R506" s="200"/>
      <c r="T506" s="154"/>
      <c r="V506" s="200"/>
      <c r="W506" s="200"/>
      <c r="X506" s="200"/>
      <c r="Y506" s="200"/>
      <c r="Z506" s="329"/>
      <c r="AA506" s="200"/>
      <c r="AB506" s="200"/>
      <c r="AC506" s="210"/>
      <c r="AD506" s="210"/>
      <c r="AE506" s="200"/>
      <c r="AF506" s="200"/>
      <c r="AG506" s="209"/>
      <c r="AH506" s="201"/>
      <c r="AI506" s="200"/>
      <c r="AJ506" s="200"/>
      <c r="AK506" s="209"/>
      <c r="AL506" s="200"/>
      <c r="AM506" s="210"/>
      <c r="AN506" s="210"/>
    </row>
    <row r="507" spans="1:40" x14ac:dyDescent="0.25">
      <c r="J507" s="334"/>
      <c r="K507" s="334"/>
      <c r="V507" s="200"/>
      <c r="W507" s="200"/>
      <c r="X507" s="200"/>
      <c r="Y507" s="200"/>
      <c r="Z507" s="329"/>
    </row>
    <row r="508" spans="1:40" x14ac:dyDescent="0.25">
      <c r="A508" s="202"/>
      <c r="C508" s="154"/>
      <c r="F508" s="252"/>
      <c r="H508" s="252"/>
      <c r="I508" s="252"/>
      <c r="J508" s="329"/>
      <c r="K508" s="329"/>
      <c r="L508" s="200"/>
      <c r="M508" s="200"/>
      <c r="N508" s="210"/>
      <c r="O508" s="210"/>
      <c r="P508" s="200"/>
      <c r="Q508" s="200"/>
      <c r="R508" s="200"/>
      <c r="T508" s="154"/>
      <c r="V508" s="200"/>
      <c r="W508" s="200"/>
      <c r="X508" s="200"/>
      <c r="Y508" s="200"/>
      <c r="Z508" s="329"/>
      <c r="AA508" s="200"/>
      <c r="AB508" s="200"/>
      <c r="AC508" s="210"/>
      <c r="AD508" s="210"/>
      <c r="AE508" s="200"/>
      <c r="AF508" s="200"/>
      <c r="AG508" s="209"/>
      <c r="AH508" s="201"/>
      <c r="AI508" s="200"/>
      <c r="AJ508" s="200"/>
      <c r="AK508" s="209"/>
      <c r="AL508" s="200"/>
      <c r="AM508" s="201"/>
      <c r="AN508" s="201"/>
    </row>
    <row r="509" spans="1:40" x14ac:dyDescent="0.25">
      <c r="A509" s="202"/>
      <c r="C509" s="154"/>
      <c r="J509" s="334"/>
      <c r="K509" s="334"/>
      <c r="T509" s="154"/>
      <c r="V509" s="200"/>
      <c r="W509" s="200"/>
      <c r="X509" s="200"/>
      <c r="Y509" s="200"/>
      <c r="Z509" s="329"/>
    </row>
    <row r="510" spans="1:40" x14ac:dyDescent="0.25">
      <c r="A510" s="202"/>
      <c r="C510" s="154"/>
      <c r="F510" s="252"/>
      <c r="H510" s="252"/>
      <c r="I510" s="252"/>
      <c r="J510" s="329"/>
      <c r="K510" s="329"/>
      <c r="L510" s="200"/>
      <c r="M510" s="200"/>
      <c r="N510" s="210"/>
      <c r="O510" s="210"/>
      <c r="P510" s="200"/>
      <c r="Q510" s="200"/>
      <c r="R510" s="200"/>
      <c r="T510" s="154"/>
      <c r="V510" s="200"/>
      <c r="W510" s="200"/>
      <c r="X510" s="200"/>
      <c r="Y510" s="200"/>
      <c r="Z510" s="329"/>
      <c r="AA510" s="200"/>
      <c r="AB510" s="200"/>
      <c r="AC510" s="210"/>
      <c r="AD510" s="210"/>
      <c r="AE510" s="200"/>
      <c r="AF510" s="200"/>
      <c r="AG510" s="209"/>
      <c r="AH510" s="201"/>
      <c r="AI510" s="200"/>
      <c r="AJ510" s="200"/>
      <c r="AK510" s="209"/>
      <c r="AL510" s="200"/>
      <c r="AM510" s="201"/>
      <c r="AN510" s="201"/>
    </row>
    <row r="511" spans="1:40" x14ac:dyDescent="0.25">
      <c r="J511" s="334"/>
      <c r="K511" s="334"/>
      <c r="Z511" s="334"/>
    </row>
    <row r="512" spans="1:40" x14ac:dyDescent="0.25">
      <c r="A512" s="202"/>
      <c r="C512" s="154"/>
      <c r="J512" s="334"/>
      <c r="K512" s="334"/>
      <c r="T512" s="154"/>
      <c r="V512" s="200"/>
      <c r="W512" s="200"/>
      <c r="X512" s="200"/>
      <c r="Y512" s="200"/>
      <c r="Z512" s="329"/>
    </row>
    <row r="513" spans="1:40" x14ac:dyDescent="0.25">
      <c r="A513" s="202"/>
      <c r="C513" s="154"/>
      <c r="F513" s="252"/>
      <c r="H513" s="252"/>
      <c r="I513" s="252"/>
      <c r="J513" s="329"/>
      <c r="K513" s="329"/>
      <c r="L513" s="200"/>
      <c r="M513" s="200"/>
      <c r="N513" s="210"/>
      <c r="O513" s="210"/>
      <c r="P513" s="200"/>
      <c r="Q513" s="200"/>
      <c r="R513" s="200"/>
      <c r="T513" s="154"/>
      <c r="V513" s="200"/>
      <c r="W513" s="200"/>
      <c r="X513" s="200"/>
      <c r="Y513" s="200"/>
      <c r="Z513" s="329"/>
      <c r="AA513" s="200"/>
      <c r="AB513" s="200"/>
      <c r="AC513" s="210"/>
      <c r="AD513" s="210"/>
      <c r="AE513" s="200"/>
      <c r="AF513" s="200"/>
      <c r="AG513" s="209"/>
      <c r="AH513" s="201"/>
      <c r="AI513" s="200"/>
      <c r="AJ513" s="200"/>
      <c r="AK513" s="209"/>
      <c r="AL513" s="200"/>
      <c r="AM513" s="201"/>
      <c r="AN513" s="201"/>
    </row>
    <row r="514" spans="1:40" x14ac:dyDescent="0.25">
      <c r="A514" s="202"/>
      <c r="C514" s="154"/>
      <c r="F514" s="252"/>
      <c r="H514" s="252"/>
      <c r="I514" s="252"/>
      <c r="J514" s="329"/>
      <c r="K514" s="329"/>
      <c r="L514" s="200"/>
      <c r="M514" s="200"/>
      <c r="N514" s="210"/>
      <c r="O514" s="210"/>
      <c r="P514" s="200"/>
      <c r="Q514" s="200"/>
      <c r="R514" s="200"/>
      <c r="T514" s="154"/>
      <c r="V514" s="200"/>
      <c r="W514" s="200"/>
      <c r="X514" s="200"/>
      <c r="Y514" s="200"/>
      <c r="Z514" s="329"/>
      <c r="AA514" s="200"/>
      <c r="AB514" s="200"/>
      <c r="AC514" s="210"/>
      <c r="AD514" s="210"/>
      <c r="AE514" s="200"/>
      <c r="AF514" s="200"/>
      <c r="AG514" s="209"/>
      <c r="AH514" s="201"/>
      <c r="AI514" s="200"/>
      <c r="AJ514" s="200"/>
      <c r="AK514" s="209"/>
      <c r="AL514" s="200"/>
      <c r="AM514" s="201"/>
      <c r="AN514" s="201"/>
    </row>
    <row r="515" spans="1:40" x14ac:dyDescent="0.25">
      <c r="F515" s="211"/>
      <c r="H515" s="211"/>
      <c r="I515" s="211"/>
      <c r="J515" s="329"/>
      <c r="K515" s="329"/>
      <c r="L515" s="211"/>
      <c r="M515" s="211"/>
      <c r="N515" s="211"/>
      <c r="O515" s="211"/>
      <c r="P515" s="211"/>
      <c r="Q515" s="211"/>
      <c r="R515" s="211"/>
      <c r="V515" s="211"/>
      <c r="Y515" s="211"/>
      <c r="Z515" s="305"/>
      <c r="AA515" s="211"/>
      <c r="AB515" s="211"/>
      <c r="AC515" s="211"/>
      <c r="AD515" s="211"/>
      <c r="AE515" s="211"/>
      <c r="AF515" s="211"/>
      <c r="AI515" s="211"/>
      <c r="AJ515" s="211"/>
      <c r="AK515" s="212"/>
      <c r="AL515" s="211"/>
    </row>
    <row r="516" spans="1:40" x14ac:dyDescent="0.25">
      <c r="A516" s="202"/>
      <c r="C516" s="154"/>
      <c r="F516" s="200"/>
      <c r="H516" s="200"/>
      <c r="I516" s="200"/>
      <c r="L516" s="200"/>
      <c r="M516" s="200"/>
      <c r="N516" s="210"/>
      <c r="O516" s="210"/>
      <c r="P516" s="252"/>
      <c r="Q516" s="252"/>
      <c r="R516" s="200"/>
      <c r="T516" s="154"/>
      <c r="V516" s="200"/>
      <c r="W516" s="200"/>
      <c r="X516" s="200"/>
      <c r="Y516" s="200"/>
      <c r="Z516" s="328"/>
      <c r="AA516" s="200"/>
      <c r="AB516" s="200"/>
      <c r="AC516" s="210"/>
      <c r="AD516" s="210"/>
      <c r="AE516" s="200"/>
      <c r="AF516" s="200"/>
      <c r="AG516" s="209"/>
      <c r="AH516" s="201"/>
      <c r="AI516" s="252"/>
      <c r="AJ516" s="252"/>
      <c r="AK516" s="209"/>
      <c r="AL516" s="200"/>
      <c r="AM516" s="201"/>
      <c r="AN516" s="201"/>
    </row>
    <row r="517" spans="1:40" x14ac:dyDescent="0.25">
      <c r="H517" s="211"/>
      <c r="I517" s="211"/>
      <c r="J517" s="305"/>
      <c r="K517" s="305"/>
      <c r="L517" s="211"/>
      <c r="M517" s="211"/>
      <c r="N517" s="211"/>
      <c r="O517" s="211"/>
      <c r="P517" s="211"/>
      <c r="Q517" s="211"/>
      <c r="R517" s="211"/>
      <c r="V517" s="211"/>
      <c r="Y517" s="211"/>
      <c r="Z517" s="305"/>
      <c r="AA517" s="211"/>
      <c r="AB517" s="211"/>
      <c r="AC517" s="211"/>
      <c r="AD517" s="211"/>
      <c r="AE517" s="211"/>
      <c r="AF517" s="211"/>
      <c r="AI517" s="211"/>
      <c r="AJ517" s="211"/>
      <c r="AK517" s="212"/>
      <c r="AL517" s="211"/>
    </row>
    <row r="518" spans="1:40" x14ac:dyDescent="0.25">
      <c r="F518" s="211"/>
    </row>
    <row r="519" spans="1:40" x14ac:dyDescent="0.25">
      <c r="C519" s="202"/>
      <c r="T519" s="202"/>
    </row>
    <row r="520" spans="1:40" x14ac:dyDescent="0.25">
      <c r="A520" s="154"/>
    </row>
    <row r="521" spans="1:40" x14ac:dyDescent="0.25">
      <c r="J521" s="202"/>
      <c r="K521" s="202"/>
      <c r="Z521" s="202"/>
    </row>
    <row r="522" spans="1:40" x14ac:dyDescent="0.25">
      <c r="H522" s="154"/>
      <c r="I522" s="154"/>
      <c r="Y522" s="154"/>
    </row>
    <row r="523" spans="1:40" x14ac:dyDescent="0.25">
      <c r="J523" s="202"/>
      <c r="K523" s="202"/>
      <c r="Z523" s="202"/>
    </row>
    <row r="524" spans="1:40" x14ac:dyDescent="0.25">
      <c r="L524" s="154"/>
      <c r="M524" s="154"/>
      <c r="AA524" s="154"/>
      <c r="AB524" s="154"/>
    </row>
    <row r="525" spans="1:40" x14ac:dyDescent="0.25">
      <c r="A525" s="202"/>
      <c r="R525" s="154"/>
      <c r="AK525" s="297"/>
      <c r="AL525" s="154"/>
    </row>
    <row r="526" spans="1:40" x14ac:dyDescent="0.25">
      <c r="A526" s="202"/>
      <c r="R526" s="154"/>
      <c r="AK526" s="297"/>
      <c r="AL526" s="154"/>
    </row>
    <row r="527" spans="1:40" x14ac:dyDescent="0.25">
      <c r="A527" s="154"/>
      <c r="R527" s="154"/>
      <c r="AK527" s="297"/>
      <c r="AL527" s="154"/>
    </row>
    <row r="528" spans="1:40" x14ac:dyDescent="0.25">
      <c r="L528" s="154"/>
      <c r="M528" s="154"/>
      <c r="R528" s="202"/>
      <c r="AA528" s="154"/>
      <c r="AB528" s="154"/>
      <c r="AK528" s="209"/>
      <c r="AL528" s="202"/>
    </row>
    <row r="529" spans="1:40" x14ac:dyDescent="0.25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208"/>
      <c r="AH529" s="102"/>
      <c r="AI529" s="102"/>
      <c r="AJ529" s="102"/>
      <c r="AK529" s="208"/>
      <c r="AL529" s="102"/>
      <c r="AM529" s="102"/>
      <c r="AN529" s="102"/>
    </row>
    <row r="530" spans="1:40" x14ac:dyDescent="0.25">
      <c r="L530" s="103"/>
      <c r="M530" s="103"/>
      <c r="N530" s="103"/>
      <c r="O530" s="103"/>
      <c r="R530" s="103"/>
      <c r="AA530" s="103"/>
      <c r="AB530" s="103"/>
      <c r="AC530" s="103"/>
      <c r="AD530" s="103"/>
      <c r="AE530" s="103"/>
      <c r="AF530" s="103"/>
      <c r="AG530" s="185"/>
      <c r="AH530" s="103"/>
      <c r="AK530" s="185"/>
      <c r="AL530" s="103"/>
      <c r="AM530" s="103"/>
      <c r="AN530" s="103"/>
    </row>
    <row r="531" spans="1:40" x14ac:dyDescent="0.25">
      <c r="L531" s="103"/>
      <c r="M531" s="103"/>
      <c r="N531" s="103"/>
      <c r="O531" s="103"/>
      <c r="R531" s="103"/>
      <c r="Z531" s="103"/>
      <c r="AA531" s="103"/>
      <c r="AB531" s="103"/>
      <c r="AC531" s="103"/>
      <c r="AD531" s="103"/>
      <c r="AE531" s="103"/>
      <c r="AF531" s="103"/>
      <c r="AG531" s="185"/>
      <c r="AH531" s="103"/>
      <c r="AK531" s="185"/>
      <c r="AL531" s="103"/>
      <c r="AM531" s="103"/>
      <c r="AN531" s="103"/>
    </row>
    <row r="532" spans="1:40" x14ac:dyDescent="0.25">
      <c r="A532" s="103"/>
      <c r="C532" s="103"/>
      <c r="D532" s="103"/>
      <c r="E532" s="103"/>
      <c r="F532" s="103"/>
      <c r="J532" s="103"/>
      <c r="K532" s="103"/>
      <c r="L532" s="103"/>
      <c r="M532" s="103"/>
      <c r="N532" s="103"/>
      <c r="O532" s="103"/>
      <c r="P532" s="103"/>
      <c r="Q532" s="103"/>
      <c r="R532" s="103"/>
      <c r="T532" s="103"/>
      <c r="U532" s="103"/>
      <c r="V532" s="103"/>
      <c r="Z532" s="103"/>
      <c r="AA532" s="103"/>
      <c r="AB532" s="103"/>
      <c r="AC532" s="103"/>
      <c r="AD532" s="103"/>
      <c r="AE532" s="103"/>
      <c r="AF532" s="103"/>
      <c r="AG532" s="185"/>
      <c r="AH532" s="103"/>
      <c r="AI532" s="103"/>
      <c r="AJ532" s="103"/>
      <c r="AK532" s="185"/>
      <c r="AL532" s="103"/>
      <c r="AM532" s="103"/>
      <c r="AN532" s="103"/>
    </row>
    <row r="533" spans="1:40" x14ac:dyDescent="0.25">
      <c r="A533" s="103"/>
      <c r="C533" s="103"/>
      <c r="D533" s="103"/>
      <c r="E533" s="103"/>
      <c r="F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T533" s="103"/>
      <c r="U533" s="103"/>
      <c r="V533" s="103"/>
      <c r="Y533" s="103"/>
      <c r="Z533" s="103"/>
      <c r="AA533" s="103"/>
      <c r="AB533" s="103"/>
      <c r="AC533" s="103"/>
      <c r="AD533" s="103"/>
      <c r="AE533" s="103"/>
      <c r="AF533" s="103"/>
      <c r="AG533" s="185"/>
      <c r="AH533" s="103"/>
      <c r="AI533" s="103"/>
      <c r="AJ533" s="103"/>
      <c r="AK533" s="185"/>
      <c r="AL533" s="103"/>
      <c r="AM533" s="103"/>
      <c r="AN533" s="103"/>
    </row>
    <row r="534" spans="1:40" x14ac:dyDescent="0.25">
      <c r="C534" s="103"/>
      <c r="D534" s="103"/>
      <c r="E534" s="103"/>
      <c r="F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T534" s="103"/>
      <c r="U534" s="103"/>
      <c r="V534" s="103"/>
      <c r="Y534" s="103"/>
      <c r="Z534" s="103"/>
      <c r="AA534" s="103"/>
      <c r="AB534" s="103"/>
      <c r="AC534" s="103"/>
      <c r="AD534" s="103"/>
      <c r="AE534" s="103"/>
      <c r="AF534" s="103"/>
      <c r="AG534" s="185"/>
      <c r="AH534" s="103"/>
      <c r="AI534" s="103"/>
      <c r="AJ534" s="103"/>
      <c r="AK534" s="185"/>
      <c r="AL534" s="103"/>
      <c r="AM534" s="103"/>
      <c r="AN534" s="103"/>
    </row>
    <row r="535" spans="1:40" x14ac:dyDescent="0.25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208"/>
      <c r="AH535" s="102"/>
      <c r="AI535" s="102"/>
      <c r="AJ535" s="102"/>
      <c r="AK535" s="208"/>
      <c r="AL535" s="102"/>
      <c r="AM535" s="102"/>
      <c r="AN535" s="102"/>
    </row>
    <row r="536" spans="1:40" x14ac:dyDescent="0.25"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Y536" s="103"/>
      <c r="Z536" s="103"/>
      <c r="AA536" s="103"/>
      <c r="AB536" s="103"/>
      <c r="AC536" s="103"/>
      <c r="AD536" s="103"/>
      <c r="AE536" s="103"/>
      <c r="AF536" s="103"/>
      <c r="AG536" s="185"/>
      <c r="AH536" s="103"/>
      <c r="AI536" s="103"/>
      <c r="AJ536" s="103"/>
      <c r="AK536" s="185"/>
      <c r="AL536" s="103"/>
      <c r="AM536" s="103"/>
      <c r="AN536" s="103"/>
    </row>
    <row r="537" spans="1:40" x14ac:dyDescent="0.25">
      <c r="A537" s="202"/>
      <c r="C537" s="154"/>
      <c r="D537" s="154"/>
      <c r="E537" s="154"/>
      <c r="T537" s="154"/>
      <c r="U537" s="154"/>
    </row>
    <row r="539" spans="1:40" x14ac:dyDescent="0.25">
      <c r="A539" s="202"/>
      <c r="C539" s="154"/>
      <c r="T539" s="154"/>
    </row>
    <row r="540" spans="1:40" x14ac:dyDescent="0.25">
      <c r="A540" s="202"/>
      <c r="C540" s="154"/>
      <c r="T540" s="154"/>
    </row>
    <row r="541" spans="1:40" x14ac:dyDescent="0.25">
      <c r="A541" s="202"/>
      <c r="C541" s="154"/>
      <c r="F541" s="252"/>
      <c r="H541" s="252"/>
      <c r="I541" s="252"/>
      <c r="J541" s="329"/>
      <c r="K541" s="329"/>
      <c r="L541" s="200"/>
      <c r="M541" s="200"/>
      <c r="N541" s="210"/>
      <c r="O541" s="210"/>
      <c r="P541" s="200"/>
      <c r="Q541" s="200"/>
      <c r="R541" s="200"/>
      <c r="T541" s="154"/>
      <c r="V541" s="200"/>
      <c r="W541" s="200"/>
      <c r="X541" s="200"/>
      <c r="Y541" s="200"/>
      <c r="Z541" s="329"/>
      <c r="AA541" s="200"/>
      <c r="AB541" s="200"/>
      <c r="AC541" s="210"/>
      <c r="AD541" s="210"/>
      <c r="AE541" s="200"/>
      <c r="AF541" s="200"/>
      <c r="AG541" s="209"/>
      <c r="AH541" s="201"/>
      <c r="AI541" s="200"/>
      <c r="AJ541" s="200"/>
      <c r="AK541" s="209"/>
      <c r="AL541" s="200"/>
      <c r="AM541" s="201"/>
      <c r="AN541" s="201"/>
    </row>
    <row r="542" spans="1:40" x14ac:dyDescent="0.25">
      <c r="A542" s="202"/>
      <c r="C542" s="154"/>
      <c r="F542" s="200"/>
      <c r="H542" s="200"/>
      <c r="I542" s="200"/>
      <c r="J542" s="334"/>
      <c r="K542" s="334"/>
      <c r="L542" s="200"/>
      <c r="M542" s="200"/>
      <c r="N542" s="210"/>
      <c r="O542" s="210"/>
      <c r="P542" s="200"/>
      <c r="Q542" s="200"/>
      <c r="R542" s="200"/>
      <c r="T542" s="154"/>
      <c r="V542" s="200"/>
      <c r="W542" s="200"/>
      <c r="X542" s="200"/>
      <c r="Y542" s="200"/>
      <c r="Z542" s="334"/>
      <c r="AA542" s="200"/>
      <c r="AB542" s="200"/>
      <c r="AC542" s="210"/>
      <c r="AD542" s="210"/>
      <c r="AE542" s="200"/>
      <c r="AF542" s="200"/>
      <c r="AG542" s="209"/>
      <c r="AH542" s="201"/>
      <c r="AI542" s="200"/>
      <c r="AJ542" s="200"/>
      <c r="AK542" s="209"/>
      <c r="AL542" s="200"/>
      <c r="AM542" s="201"/>
      <c r="AN542" s="201"/>
    </row>
    <row r="543" spans="1:40" x14ac:dyDescent="0.25">
      <c r="A543" s="202"/>
      <c r="C543" s="154"/>
      <c r="F543" s="200"/>
      <c r="H543" s="200"/>
      <c r="I543" s="200"/>
      <c r="J543" s="334"/>
      <c r="K543" s="334"/>
      <c r="L543" s="200"/>
      <c r="M543" s="200"/>
      <c r="N543" s="210"/>
      <c r="O543" s="210"/>
      <c r="P543" s="200"/>
      <c r="Q543" s="200"/>
      <c r="R543" s="200"/>
      <c r="T543" s="154"/>
      <c r="V543" s="200"/>
      <c r="W543" s="200"/>
      <c r="X543" s="200"/>
      <c r="Y543" s="200"/>
      <c r="Z543" s="334"/>
      <c r="AA543" s="200"/>
      <c r="AB543" s="200"/>
      <c r="AC543" s="210"/>
      <c r="AD543" s="210"/>
      <c r="AE543" s="200"/>
      <c r="AF543" s="200"/>
      <c r="AG543" s="209"/>
      <c r="AH543" s="201"/>
      <c r="AI543" s="200"/>
      <c r="AJ543" s="200"/>
      <c r="AK543" s="209"/>
      <c r="AL543" s="200"/>
      <c r="AM543" s="201"/>
      <c r="AN543" s="201"/>
    </row>
    <row r="544" spans="1:40" x14ac:dyDescent="0.25">
      <c r="A544" s="202"/>
      <c r="C544" s="154"/>
      <c r="F544" s="200"/>
      <c r="H544" s="200"/>
      <c r="I544" s="200"/>
      <c r="J544" s="334"/>
      <c r="K544" s="334"/>
      <c r="T544" s="154"/>
      <c r="V544" s="200"/>
      <c r="Z544" s="334"/>
    </row>
    <row r="545" spans="1:40" x14ac:dyDescent="0.25">
      <c r="A545" s="202"/>
      <c r="C545" s="154"/>
      <c r="F545" s="252"/>
      <c r="H545" s="252"/>
      <c r="I545" s="252"/>
      <c r="J545" s="329"/>
      <c r="K545" s="329"/>
      <c r="L545" s="200"/>
      <c r="M545" s="200"/>
      <c r="N545" s="210"/>
      <c r="O545" s="210"/>
      <c r="P545" s="200"/>
      <c r="Q545" s="200"/>
      <c r="R545" s="200"/>
      <c r="T545" s="154"/>
      <c r="V545" s="200"/>
      <c r="W545" s="200"/>
      <c r="X545" s="200"/>
      <c r="Y545" s="200"/>
      <c r="Z545" s="329"/>
      <c r="AA545" s="200"/>
      <c r="AB545" s="200"/>
      <c r="AC545" s="210"/>
      <c r="AD545" s="210"/>
      <c r="AE545" s="200"/>
      <c r="AF545" s="200"/>
      <c r="AG545" s="209"/>
      <c r="AH545" s="201"/>
      <c r="AI545" s="200"/>
      <c r="AJ545" s="200"/>
      <c r="AK545" s="209"/>
      <c r="AL545" s="200"/>
      <c r="AM545" s="201"/>
      <c r="AN545" s="201"/>
    </row>
    <row r="546" spans="1:40" x14ac:dyDescent="0.25">
      <c r="A546" s="202"/>
      <c r="C546" s="154"/>
      <c r="F546" s="200"/>
      <c r="H546" s="200"/>
      <c r="I546" s="200"/>
      <c r="J546" s="334"/>
      <c r="K546" s="334"/>
      <c r="T546" s="154"/>
      <c r="V546" s="200"/>
      <c r="W546" s="200"/>
      <c r="X546" s="200"/>
      <c r="Y546" s="200"/>
      <c r="Z546" s="334"/>
      <c r="AC546" s="210"/>
      <c r="AD546" s="210"/>
      <c r="AE546" s="200"/>
      <c r="AF546" s="200"/>
      <c r="AG546" s="209"/>
      <c r="AH546" s="201"/>
      <c r="AI546" s="200"/>
      <c r="AJ546" s="200"/>
      <c r="AK546" s="209"/>
      <c r="AL546" s="200"/>
      <c r="AM546" s="201"/>
      <c r="AN546" s="201"/>
    </row>
    <row r="547" spans="1:40" x14ac:dyDescent="0.25">
      <c r="A547" s="202"/>
      <c r="C547" s="154"/>
      <c r="F547" s="252"/>
      <c r="H547" s="252"/>
      <c r="I547" s="252"/>
      <c r="J547" s="329"/>
      <c r="K547" s="329"/>
      <c r="L547" s="200"/>
      <c r="M547" s="200"/>
      <c r="N547" s="210"/>
      <c r="O547" s="210"/>
      <c r="P547" s="200"/>
      <c r="Q547" s="200"/>
      <c r="R547" s="200"/>
      <c r="T547" s="154"/>
      <c r="V547" s="200"/>
      <c r="W547" s="200"/>
      <c r="X547" s="200"/>
      <c r="Y547" s="200"/>
      <c r="Z547" s="329"/>
      <c r="AA547" s="200"/>
      <c r="AB547" s="200"/>
      <c r="AC547" s="210"/>
      <c r="AD547" s="210"/>
      <c r="AE547" s="200"/>
      <c r="AF547" s="200"/>
      <c r="AG547" s="209"/>
      <c r="AH547" s="201"/>
      <c r="AI547" s="200"/>
      <c r="AJ547" s="200"/>
      <c r="AK547" s="209"/>
      <c r="AL547" s="200"/>
      <c r="AM547" s="201"/>
      <c r="AN547" s="201"/>
    </row>
    <row r="548" spans="1:40" x14ac:dyDescent="0.25">
      <c r="A548" s="202"/>
      <c r="C548" s="154"/>
      <c r="F548" s="200"/>
      <c r="H548" s="200"/>
      <c r="I548" s="200"/>
      <c r="J548" s="334"/>
      <c r="K548" s="334"/>
      <c r="L548" s="200"/>
      <c r="M548" s="200"/>
      <c r="N548" s="210"/>
      <c r="O548" s="210"/>
      <c r="P548" s="200"/>
      <c r="Q548" s="200"/>
      <c r="R548" s="200"/>
      <c r="T548" s="154"/>
      <c r="V548" s="200"/>
      <c r="W548" s="200"/>
      <c r="X548" s="200"/>
      <c r="Y548" s="200"/>
      <c r="Z548" s="334"/>
      <c r="AA548" s="200"/>
      <c r="AB548" s="200"/>
      <c r="AC548" s="210"/>
      <c r="AD548" s="210"/>
      <c r="AE548" s="200"/>
      <c r="AF548" s="200"/>
      <c r="AG548" s="209"/>
      <c r="AH548" s="201"/>
      <c r="AI548" s="200"/>
      <c r="AJ548" s="200"/>
      <c r="AK548" s="209"/>
      <c r="AL548" s="200"/>
      <c r="AM548" s="201"/>
      <c r="AN548" s="201"/>
    </row>
    <row r="549" spans="1:40" x14ac:dyDescent="0.25">
      <c r="F549" s="200"/>
      <c r="H549" s="200"/>
      <c r="I549" s="200"/>
      <c r="J549" s="334"/>
      <c r="K549" s="334"/>
      <c r="Z549" s="334"/>
    </row>
    <row r="550" spans="1:40" x14ac:dyDescent="0.25">
      <c r="A550" s="202"/>
      <c r="C550" s="154"/>
      <c r="F550" s="200"/>
      <c r="H550" s="252"/>
      <c r="I550" s="252"/>
      <c r="J550" s="329"/>
      <c r="K550" s="329"/>
      <c r="L550" s="200"/>
      <c r="M550" s="200"/>
      <c r="N550" s="210"/>
      <c r="O550" s="210"/>
      <c r="P550" s="200"/>
      <c r="Q550" s="200"/>
      <c r="R550" s="200"/>
      <c r="T550" s="154"/>
      <c r="V550" s="200"/>
      <c r="W550" s="200"/>
      <c r="X550" s="200"/>
      <c r="Y550" s="200"/>
      <c r="Z550" s="329"/>
      <c r="AA550" s="200"/>
      <c r="AB550" s="200"/>
      <c r="AC550" s="210"/>
      <c r="AD550" s="210"/>
      <c r="AE550" s="200"/>
      <c r="AF550" s="200"/>
      <c r="AG550" s="209"/>
      <c r="AH550" s="201"/>
      <c r="AI550" s="200"/>
      <c r="AJ550" s="200"/>
      <c r="AK550" s="209"/>
      <c r="AL550" s="200"/>
      <c r="AM550" s="201"/>
      <c r="AN550" s="201"/>
    </row>
    <row r="551" spans="1:40" x14ac:dyDescent="0.25">
      <c r="F551" s="211"/>
      <c r="H551" s="211"/>
      <c r="I551" s="211"/>
      <c r="J551" s="329"/>
      <c r="K551" s="329"/>
      <c r="L551" s="211"/>
      <c r="M551" s="211"/>
      <c r="N551" s="211"/>
      <c r="O551" s="211"/>
      <c r="P551" s="211"/>
      <c r="Q551" s="211"/>
      <c r="R551" s="211"/>
      <c r="V551" s="211"/>
      <c r="Y551" s="211"/>
      <c r="Z551" s="329"/>
      <c r="AA551" s="211"/>
      <c r="AB551" s="211"/>
      <c r="AC551" s="211"/>
      <c r="AD551" s="211"/>
      <c r="AE551" s="211"/>
      <c r="AF551" s="211"/>
      <c r="AI551" s="211"/>
      <c r="AJ551" s="211"/>
      <c r="AK551" s="212"/>
      <c r="AL551" s="211"/>
    </row>
    <row r="552" spans="1:40" x14ac:dyDescent="0.25">
      <c r="A552" s="202"/>
      <c r="C552" s="154"/>
      <c r="F552" s="200"/>
      <c r="H552" s="200"/>
      <c r="I552" s="200"/>
      <c r="J552" s="334"/>
      <c r="K552" s="334"/>
      <c r="L552" s="200"/>
      <c r="M552" s="200"/>
      <c r="N552" s="202"/>
      <c r="O552" s="202"/>
      <c r="P552" s="200"/>
      <c r="Q552" s="200"/>
      <c r="R552" s="200"/>
      <c r="T552" s="154"/>
      <c r="V552" s="200"/>
      <c r="Y552" s="200"/>
      <c r="Z552" s="334"/>
      <c r="AA552" s="200"/>
      <c r="AB552" s="200"/>
      <c r="AC552" s="201"/>
      <c r="AD552" s="201"/>
      <c r="AE552" s="200"/>
      <c r="AF552" s="200"/>
      <c r="AG552" s="209"/>
      <c r="AH552" s="201"/>
      <c r="AI552" s="200"/>
      <c r="AJ552" s="200"/>
      <c r="AK552" s="209"/>
      <c r="AL552" s="200"/>
      <c r="AM552" s="201"/>
      <c r="AN552" s="201"/>
    </row>
    <row r="553" spans="1:40" x14ac:dyDescent="0.25">
      <c r="F553" s="211"/>
      <c r="H553" s="211"/>
      <c r="I553" s="211"/>
      <c r="J553" s="329"/>
      <c r="K553" s="329"/>
      <c r="L553" s="211"/>
      <c r="M553" s="211"/>
      <c r="N553" s="211"/>
      <c r="O553" s="211"/>
      <c r="P553" s="211"/>
      <c r="Q553" s="211"/>
      <c r="R553" s="211"/>
      <c r="V553" s="211"/>
      <c r="Y553" s="211"/>
      <c r="Z553" s="329"/>
      <c r="AA553" s="211"/>
      <c r="AB553" s="211"/>
      <c r="AC553" s="211"/>
      <c r="AD553" s="211"/>
      <c r="AE553" s="211"/>
      <c r="AF553" s="211"/>
      <c r="AI553" s="211"/>
      <c r="AJ553" s="211"/>
      <c r="AK553" s="212"/>
      <c r="AL553" s="211"/>
    </row>
    <row r="554" spans="1:40" x14ac:dyDescent="0.25">
      <c r="J554" s="334"/>
      <c r="K554" s="334"/>
      <c r="Z554" s="334"/>
    </row>
    <row r="555" spans="1:40" x14ac:dyDescent="0.25">
      <c r="A555" s="202"/>
      <c r="C555" s="154"/>
      <c r="J555" s="334"/>
      <c r="K555" s="334"/>
      <c r="T555" s="154"/>
      <c r="Z555" s="334"/>
    </row>
    <row r="556" spans="1:40" x14ac:dyDescent="0.25">
      <c r="A556" s="202"/>
      <c r="C556" s="154"/>
      <c r="J556" s="334"/>
      <c r="K556" s="334"/>
      <c r="T556" s="154"/>
      <c r="Z556" s="334"/>
    </row>
    <row r="557" spans="1:40" x14ac:dyDescent="0.25">
      <c r="A557" s="202"/>
      <c r="C557" s="154"/>
      <c r="F557" s="252"/>
      <c r="H557" s="252"/>
      <c r="I557" s="252"/>
      <c r="J557" s="329"/>
      <c r="K557" s="329"/>
      <c r="L557" s="200"/>
      <c r="M557" s="200"/>
      <c r="N557" s="210"/>
      <c r="O557" s="210"/>
      <c r="P557" s="200"/>
      <c r="Q557" s="200"/>
      <c r="R557" s="200"/>
      <c r="T557" s="154"/>
      <c r="V557" s="200"/>
      <c r="W557" s="200"/>
      <c r="X557" s="200"/>
      <c r="Y557" s="200"/>
      <c r="Z557" s="329"/>
      <c r="AA557" s="200"/>
      <c r="AB557" s="200"/>
      <c r="AC557" s="210"/>
      <c r="AD557" s="210"/>
      <c r="AE557" s="200"/>
      <c r="AF557" s="200"/>
      <c r="AG557" s="209"/>
      <c r="AH557" s="201"/>
      <c r="AI557" s="200"/>
      <c r="AJ557" s="200"/>
      <c r="AK557" s="209"/>
      <c r="AL557" s="200"/>
      <c r="AM557" s="201"/>
      <c r="AN557" s="201"/>
    </row>
    <row r="558" spans="1:40" x14ac:dyDescent="0.25">
      <c r="A558" s="202"/>
      <c r="C558" s="154"/>
      <c r="J558" s="334"/>
      <c r="K558" s="334"/>
      <c r="T558" s="154"/>
      <c r="Z558" s="334"/>
    </row>
    <row r="559" spans="1:40" x14ac:dyDescent="0.25">
      <c r="A559" s="202"/>
      <c r="C559" s="154"/>
      <c r="F559" s="252"/>
      <c r="H559" s="252"/>
      <c r="I559" s="252"/>
      <c r="J559" s="329"/>
      <c r="K559" s="329"/>
      <c r="L559" s="200"/>
      <c r="M559" s="200"/>
      <c r="N559" s="210"/>
      <c r="O559" s="210"/>
      <c r="P559" s="200"/>
      <c r="Q559" s="200"/>
      <c r="R559" s="200"/>
      <c r="T559" s="154"/>
      <c r="V559" s="200"/>
      <c r="W559" s="200"/>
      <c r="X559" s="200"/>
      <c r="Y559" s="200"/>
      <c r="Z559" s="329"/>
      <c r="AA559" s="200"/>
      <c r="AB559" s="200"/>
      <c r="AC559" s="210"/>
      <c r="AD559" s="210"/>
      <c r="AE559" s="200"/>
      <c r="AF559" s="200"/>
      <c r="AG559" s="209"/>
      <c r="AH559" s="201"/>
      <c r="AI559" s="200"/>
      <c r="AJ559" s="200"/>
      <c r="AK559" s="209"/>
      <c r="AL559" s="200"/>
      <c r="AM559" s="201"/>
      <c r="AN559" s="201"/>
    </row>
    <row r="560" spans="1:40" x14ac:dyDescent="0.25">
      <c r="F560" s="211"/>
      <c r="H560" s="211"/>
      <c r="I560" s="211"/>
      <c r="J560" s="329"/>
      <c r="K560" s="329"/>
      <c r="L560" s="211"/>
      <c r="M560" s="211"/>
      <c r="N560" s="211"/>
      <c r="O560" s="211"/>
      <c r="P560" s="211"/>
      <c r="Q560" s="211"/>
      <c r="R560" s="211"/>
      <c r="V560" s="211"/>
      <c r="Y560" s="211"/>
      <c r="Z560" s="329"/>
      <c r="AA560" s="211"/>
      <c r="AB560" s="211"/>
      <c r="AC560" s="211"/>
      <c r="AD560" s="211"/>
      <c r="AE560" s="211"/>
      <c r="AF560" s="211"/>
      <c r="AI560" s="211"/>
      <c r="AJ560" s="211"/>
      <c r="AK560" s="212"/>
      <c r="AL560" s="211"/>
    </row>
    <row r="561" spans="1:40" x14ac:dyDescent="0.25">
      <c r="A561" s="202"/>
      <c r="C561" s="154"/>
      <c r="F561" s="200"/>
      <c r="H561" s="200"/>
      <c r="I561" s="200"/>
      <c r="J561" s="334"/>
      <c r="K561" s="334"/>
      <c r="L561" s="200"/>
      <c r="M561" s="200"/>
      <c r="N561" s="201"/>
      <c r="O561" s="201"/>
      <c r="P561" s="200"/>
      <c r="Q561" s="200"/>
      <c r="R561" s="200"/>
      <c r="T561" s="154"/>
      <c r="V561" s="200"/>
      <c r="Y561" s="200"/>
      <c r="Z561" s="334"/>
      <c r="AA561" s="200"/>
      <c r="AB561" s="200"/>
      <c r="AC561" s="201"/>
      <c r="AD561" s="201"/>
      <c r="AE561" s="200"/>
      <c r="AF561" s="200"/>
      <c r="AG561" s="209"/>
      <c r="AH561" s="201"/>
      <c r="AI561" s="200"/>
      <c r="AJ561" s="200"/>
      <c r="AK561" s="209"/>
      <c r="AL561" s="200"/>
      <c r="AM561" s="201"/>
      <c r="AN561" s="201"/>
    </row>
    <row r="562" spans="1:40" x14ac:dyDescent="0.25">
      <c r="F562" s="211"/>
      <c r="H562" s="211"/>
      <c r="I562" s="211"/>
      <c r="J562" s="329"/>
      <c r="K562" s="329"/>
      <c r="L562" s="211"/>
      <c r="M562" s="211"/>
      <c r="N562" s="211"/>
      <c r="O562" s="211"/>
      <c r="P562" s="211"/>
      <c r="Q562" s="211"/>
      <c r="R562" s="211"/>
      <c r="V562" s="211"/>
      <c r="Y562" s="211"/>
      <c r="Z562" s="305"/>
      <c r="AA562" s="211"/>
      <c r="AB562" s="211"/>
      <c r="AC562" s="211"/>
      <c r="AD562" s="211"/>
      <c r="AE562" s="211"/>
      <c r="AF562" s="211"/>
      <c r="AI562" s="211"/>
      <c r="AJ562" s="211"/>
      <c r="AK562" s="212"/>
      <c r="AL562" s="211"/>
    </row>
    <row r="563" spans="1:40" x14ac:dyDescent="0.25">
      <c r="J563" s="334"/>
      <c r="K563" s="334"/>
    </row>
    <row r="564" spans="1:40" x14ac:dyDescent="0.25">
      <c r="A564" s="202"/>
      <c r="C564" s="154"/>
      <c r="F564" s="200"/>
      <c r="H564" s="200"/>
      <c r="I564" s="200"/>
      <c r="J564" s="334"/>
      <c r="K564" s="334"/>
      <c r="L564" s="200"/>
      <c r="M564" s="200"/>
      <c r="N564" s="210"/>
      <c r="O564" s="210"/>
      <c r="P564" s="252"/>
      <c r="Q564" s="252"/>
      <c r="R564" s="200"/>
      <c r="T564" s="154"/>
      <c r="V564" s="200"/>
      <c r="Y564" s="200"/>
      <c r="AA564" s="200"/>
      <c r="AB564" s="200"/>
      <c r="AC564" s="201"/>
      <c r="AD564" s="201"/>
      <c r="AE564" s="200"/>
      <c r="AF564" s="200"/>
      <c r="AG564" s="209"/>
      <c r="AH564" s="201"/>
      <c r="AI564" s="252"/>
      <c r="AJ564" s="252"/>
      <c r="AK564" s="209"/>
      <c r="AL564" s="200"/>
      <c r="AM564" s="201"/>
      <c r="AN564" s="201"/>
    </row>
    <row r="565" spans="1:40" x14ac:dyDescent="0.25">
      <c r="H565" s="211"/>
      <c r="I565" s="211"/>
      <c r="J565" s="329"/>
      <c r="K565" s="329"/>
      <c r="L565" s="211"/>
      <c r="M565" s="211"/>
      <c r="N565" s="211"/>
      <c r="O565" s="211"/>
      <c r="P565" s="211"/>
      <c r="Q565" s="211"/>
      <c r="R565" s="211"/>
      <c r="V565" s="211"/>
      <c r="Y565" s="211"/>
      <c r="Z565" s="305"/>
      <c r="AA565" s="211"/>
      <c r="AB565" s="211"/>
      <c r="AC565" s="211"/>
      <c r="AD565" s="211"/>
      <c r="AE565" s="211"/>
      <c r="AF565" s="211"/>
      <c r="AI565" s="211"/>
      <c r="AJ565" s="211"/>
      <c r="AK565" s="212"/>
      <c r="AL565" s="211"/>
    </row>
    <row r="566" spans="1:40" x14ac:dyDescent="0.25">
      <c r="F566" s="211"/>
    </row>
    <row r="567" spans="1:40" x14ac:dyDescent="0.25">
      <c r="C567" s="202"/>
      <c r="T567" s="202"/>
    </row>
    <row r="568" spans="1:40" x14ac:dyDescent="0.25">
      <c r="A568" s="154"/>
    </row>
    <row r="569" spans="1:40" x14ac:dyDescent="0.25">
      <c r="J569" s="202"/>
      <c r="K569" s="202"/>
      <c r="Z569" s="202"/>
    </row>
    <row r="570" spans="1:40" x14ac:dyDescent="0.25">
      <c r="H570" s="154"/>
      <c r="I570" s="154"/>
      <c r="Y570" s="154"/>
    </row>
    <row r="571" spans="1:40" x14ac:dyDescent="0.25">
      <c r="J571" s="202"/>
      <c r="K571" s="202"/>
      <c r="Z571" s="202"/>
    </row>
    <row r="572" spans="1:40" x14ac:dyDescent="0.25">
      <c r="L572" s="154"/>
      <c r="M572" s="154"/>
      <c r="AA572" s="154"/>
      <c r="AB572" s="154"/>
    </row>
    <row r="573" spans="1:40" x14ac:dyDescent="0.25">
      <c r="A573" s="202"/>
      <c r="R573" s="154"/>
      <c r="AK573" s="297"/>
      <c r="AL573" s="154"/>
    </row>
    <row r="574" spans="1:40" x14ac:dyDescent="0.25">
      <c r="A574" s="202"/>
      <c r="R574" s="154"/>
      <c r="AK574" s="297"/>
      <c r="AL574" s="154"/>
    </row>
    <row r="575" spans="1:40" x14ac:dyDescent="0.25">
      <c r="A575" s="154"/>
      <c r="R575" s="154"/>
      <c r="AK575" s="297"/>
      <c r="AL575" s="154"/>
    </row>
    <row r="576" spans="1:40" x14ac:dyDescent="0.25">
      <c r="L576" s="154"/>
      <c r="M576" s="154"/>
      <c r="R576" s="202"/>
      <c r="AA576" s="154"/>
      <c r="AB576" s="154"/>
      <c r="AK576" s="209"/>
      <c r="AL576" s="202"/>
    </row>
    <row r="577" spans="1:40" x14ac:dyDescent="0.25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208"/>
      <c r="AH577" s="102"/>
      <c r="AI577" s="102"/>
      <c r="AJ577" s="102"/>
      <c r="AK577" s="208"/>
      <c r="AL577" s="102"/>
      <c r="AM577" s="102"/>
      <c r="AN577" s="102"/>
    </row>
    <row r="578" spans="1:40" x14ac:dyDescent="0.25">
      <c r="L578" s="103"/>
      <c r="M578" s="103"/>
      <c r="N578" s="103"/>
      <c r="O578" s="103"/>
      <c r="R578" s="103"/>
      <c r="AA578" s="103"/>
      <c r="AB578" s="103"/>
      <c r="AC578" s="103"/>
      <c r="AD578" s="103"/>
      <c r="AE578" s="103"/>
      <c r="AF578" s="103"/>
      <c r="AG578" s="185"/>
      <c r="AH578" s="103"/>
      <c r="AK578" s="185"/>
      <c r="AL578" s="103"/>
      <c r="AM578" s="103"/>
      <c r="AN578" s="103"/>
    </row>
    <row r="579" spans="1:40" x14ac:dyDescent="0.25">
      <c r="L579" s="103"/>
      <c r="M579" s="103"/>
      <c r="N579" s="103"/>
      <c r="O579" s="103"/>
      <c r="R579" s="103"/>
      <c r="Z579" s="103"/>
      <c r="AA579" s="103"/>
      <c r="AB579" s="103"/>
      <c r="AC579" s="103"/>
      <c r="AD579" s="103"/>
      <c r="AE579" s="103"/>
      <c r="AF579" s="103"/>
      <c r="AG579" s="185"/>
      <c r="AH579" s="103"/>
      <c r="AK579" s="185"/>
      <c r="AL579" s="103"/>
      <c r="AM579" s="103"/>
      <c r="AN579" s="103"/>
    </row>
    <row r="580" spans="1:40" x14ac:dyDescent="0.25">
      <c r="A580" s="103"/>
      <c r="C580" s="103"/>
      <c r="D580" s="103"/>
      <c r="E580" s="103"/>
      <c r="F580" s="103"/>
      <c r="J580" s="103"/>
      <c r="K580" s="103"/>
      <c r="L580" s="103"/>
      <c r="M580" s="103"/>
      <c r="N580" s="103"/>
      <c r="O580" s="103"/>
      <c r="P580" s="103"/>
      <c r="Q580" s="103"/>
      <c r="R580" s="103"/>
      <c r="T580" s="103"/>
      <c r="U580" s="103"/>
      <c r="V580" s="103"/>
      <c r="Z580" s="103"/>
      <c r="AA580" s="103"/>
      <c r="AB580" s="103"/>
      <c r="AC580" s="103"/>
      <c r="AD580" s="103"/>
      <c r="AE580" s="103"/>
      <c r="AF580" s="103"/>
      <c r="AG580" s="185"/>
      <c r="AH580" s="103"/>
      <c r="AI580" s="103"/>
      <c r="AJ580" s="103"/>
      <c r="AK580" s="185"/>
      <c r="AL580" s="103"/>
      <c r="AM580" s="103"/>
      <c r="AN580" s="103"/>
    </row>
    <row r="581" spans="1:40" x14ac:dyDescent="0.25">
      <c r="A581" s="103"/>
      <c r="C581" s="103"/>
      <c r="D581" s="103"/>
      <c r="E581" s="103"/>
      <c r="F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T581" s="103"/>
      <c r="U581" s="103"/>
      <c r="V581" s="103"/>
      <c r="Y581" s="103"/>
      <c r="Z581" s="103"/>
      <c r="AA581" s="103"/>
      <c r="AB581" s="103"/>
      <c r="AC581" s="103"/>
      <c r="AD581" s="103"/>
      <c r="AE581" s="103"/>
      <c r="AF581" s="103"/>
      <c r="AG581" s="185"/>
      <c r="AH581" s="103"/>
      <c r="AI581" s="103"/>
      <c r="AJ581" s="103"/>
      <c r="AK581" s="185"/>
      <c r="AL581" s="103"/>
      <c r="AM581" s="103"/>
      <c r="AN581" s="103"/>
    </row>
    <row r="582" spans="1:40" x14ac:dyDescent="0.25">
      <c r="C582" s="103"/>
      <c r="D582" s="103"/>
      <c r="E582" s="103"/>
      <c r="F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T582" s="103"/>
      <c r="U582" s="103"/>
      <c r="V582" s="103"/>
      <c r="Y582" s="103"/>
      <c r="Z582" s="103"/>
      <c r="AA582" s="103"/>
      <c r="AB582" s="103"/>
      <c r="AC582" s="103"/>
      <c r="AD582" s="103"/>
      <c r="AE582" s="103"/>
      <c r="AF582" s="103"/>
      <c r="AG582" s="185"/>
      <c r="AH582" s="103"/>
      <c r="AI582" s="103"/>
      <c r="AJ582" s="103"/>
      <c r="AK582" s="185"/>
      <c r="AL582" s="103"/>
      <c r="AM582" s="103"/>
      <c r="AN582" s="103"/>
    </row>
    <row r="583" spans="1:40" x14ac:dyDescent="0.25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208"/>
      <c r="AH583" s="102"/>
      <c r="AI583" s="102"/>
      <c r="AJ583" s="102"/>
      <c r="AK583" s="208"/>
      <c r="AL583" s="102"/>
      <c r="AM583" s="102"/>
      <c r="AN583" s="102"/>
    </row>
    <row r="584" spans="1:40" x14ac:dyDescent="0.25"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Y584" s="103"/>
      <c r="Z584" s="103"/>
      <c r="AA584" s="103"/>
      <c r="AB584" s="103"/>
      <c r="AC584" s="103"/>
      <c r="AD584" s="103"/>
      <c r="AE584" s="103"/>
      <c r="AF584" s="103"/>
      <c r="AG584" s="185"/>
      <c r="AH584" s="103"/>
      <c r="AI584" s="103"/>
      <c r="AJ584" s="103"/>
      <c r="AK584" s="185"/>
      <c r="AL584" s="103"/>
      <c r="AM584" s="103"/>
      <c r="AN584" s="103"/>
    </row>
    <row r="585" spans="1:40" x14ac:dyDescent="0.25">
      <c r="A585" s="202"/>
      <c r="C585" s="154"/>
      <c r="D585" s="154"/>
      <c r="E585" s="154"/>
      <c r="T585" s="154"/>
      <c r="U585" s="154"/>
    </row>
    <row r="587" spans="1:40" x14ac:dyDescent="0.25">
      <c r="A587" s="202"/>
      <c r="C587" s="154"/>
      <c r="D587" s="154"/>
      <c r="E587" s="154"/>
      <c r="T587" s="154"/>
      <c r="U587" s="154"/>
    </row>
    <row r="588" spans="1:40" x14ac:dyDescent="0.25">
      <c r="A588" s="202"/>
      <c r="C588" s="154"/>
      <c r="T588" s="154"/>
    </row>
    <row r="589" spans="1:40" x14ac:dyDescent="0.25">
      <c r="A589" s="202"/>
      <c r="C589" s="154"/>
      <c r="T589" s="154"/>
    </row>
    <row r="590" spans="1:40" x14ac:dyDescent="0.25">
      <c r="A590" s="202"/>
      <c r="C590" s="154"/>
      <c r="H590" s="252"/>
      <c r="I590" s="252"/>
      <c r="J590" s="329"/>
      <c r="K590" s="329"/>
      <c r="L590" s="200"/>
      <c r="M590" s="200"/>
      <c r="N590" s="210"/>
      <c r="O590" s="210"/>
      <c r="P590" s="200"/>
      <c r="Q590" s="200"/>
      <c r="R590" s="200"/>
      <c r="T590" s="154"/>
      <c r="V590" s="200"/>
      <c r="W590" s="200"/>
      <c r="X590" s="200"/>
      <c r="Y590" s="200"/>
      <c r="Z590" s="329"/>
      <c r="AA590" s="200"/>
      <c r="AB590" s="200"/>
      <c r="AC590" s="210"/>
      <c r="AD590" s="210"/>
      <c r="AE590" s="200"/>
      <c r="AF590" s="200"/>
      <c r="AG590" s="209"/>
      <c r="AH590" s="201"/>
      <c r="AI590" s="200"/>
      <c r="AJ590" s="200"/>
      <c r="AK590" s="209"/>
      <c r="AL590" s="200"/>
      <c r="AM590" s="210"/>
      <c r="AN590" s="210"/>
    </row>
    <row r="591" spans="1:40" x14ac:dyDescent="0.25">
      <c r="A591" s="202"/>
      <c r="C591" s="154"/>
      <c r="F591" s="252"/>
      <c r="J591" s="334"/>
      <c r="K591" s="334"/>
      <c r="T591" s="154"/>
      <c r="V591" s="200"/>
      <c r="W591" s="200"/>
      <c r="X591" s="200"/>
      <c r="Y591" s="200"/>
      <c r="Z591" s="329"/>
    </row>
    <row r="592" spans="1:40" x14ac:dyDescent="0.25">
      <c r="A592" s="202"/>
      <c r="C592" s="154"/>
      <c r="H592" s="252"/>
      <c r="I592" s="252"/>
      <c r="J592" s="329"/>
      <c r="K592" s="329"/>
      <c r="L592" s="200"/>
      <c r="M592" s="200"/>
      <c r="N592" s="210"/>
      <c r="O592" s="210"/>
      <c r="P592" s="200"/>
      <c r="Q592" s="200"/>
      <c r="R592" s="200"/>
      <c r="T592" s="154"/>
      <c r="V592" s="200"/>
      <c r="W592" s="200"/>
      <c r="X592" s="200"/>
      <c r="Y592" s="200"/>
      <c r="Z592" s="329"/>
      <c r="AA592" s="200"/>
      <c r="AB592" s="200"/>
      <c r="AC592" s="210"/>
      <c r="AD592" s="210"/>
      <c r="AE592" s="200"/>
      <c r="AF592" s="200"/>
      <c r="AG592" s="209"/>
      <c r="AH592" s="201"/>
      <c r="AI592" s="200"/>
      <c r="AJ592" s="200"/>
      <c r="AK592" s="209"/>
      <c r="AL592" s="200"/>
      <c r="AM592" s="210"/>
      <c r="AN592" s="210"/>
    </row>
    <row r="593" spans="1:40" x14ac:dyDescent="0.25">
      <c r="A593" s="202"/>
      <c r="C593" s="154"/>
      <c r="F593" s="252"/>
      <c r="J593" s="334"/>
      <c r="K593" s="334"/>
      <c r="T593" s="154"/>
      <c r="V593" s="200"/>
      <c r="W593" s="200"/>
      <c r="X593" s="200"/>
      <c r="Y593" s="200"/>
      <c r="Z593" s="329"/>
    </row>
    <row r="594" spans="1:40" x14ac:dyDescent="0.25">
      <c r="A594" s="202"/>
      <c r="C594" s="154"/>
      <c r="H594" s="252"/>
      <c r="I594" s="252"/>
      <c r="J594" s="329"/>
      <c r="K594" s="329"/>
      <c r="L594" s="200"/>
      <c r="M594" s="200"/>
      <c r="N594" s="210"/>
      <c r="O594" s="210"/>
      <c r="P594" s="200"/>
      <c r="Q594" s="200"/>
      <c r="R594" s="200"/>
      <c r="T594" s="154"/>
      <c r="V594" s="200"/>
      <c r="W594" s="200"/>
      <c r="X594" s="200"/>
      <c r="Y594" s="200"/>
      <c r="Z594" s="329"/>
      <c r="AA594" s="200"/>
      <c r="AB594" s="200"/>
      <c r="AC594" s="210"/>
      <c r="AD594" s="210"/>
      <c r="AE594" s="200"/>
      <c r="AF594" s="200"/>
      <c r="AG594" s="209"/>
      <c r="AH594" s="201"/>
      <c r="AI594" s="200"/>
      <c r="AJ594" s="200"/>
      <c r="AK594" s="209"/>
      <c r="AL594" s="200"/>
      <c r="AM594" s="210"/>
      <c r="AN594" s="210"/>
    </row>
    <row r="595" spans="1:40" x14ac:dyDescent="0.25">
      <c r="A595" s="202"/>
      <c r="C595" s="154"/>
      <c r="F595" s="252"/>
      <c r="J595" s="334"/>
      <c r="K595" s="334"/>
      <c r="T595" s="154"/>
      <c r="V595" s="200"/>
      <c r="W595" s="200"/>
      <c r="X595" s="200"/>
      <c r="Y595" s="200"/>
      <c r="Z595" s="329"/>
    </row>
    <row r="596" spans="1:40" x14ac:dyDescent="0.25">
      <c r="A596" s="202"/>
      <c r="C596" s="154"/>
      <c r="H596" s="252"/>
      <c r="I596" s="252"/>
      <c r="J596" s="329"/>
      <c r="K596" s="329"/>
      <c r="L596" s="200"/>
      <c r="M596" s="200"/>
      <c r="N596" s="210"/>
      <c r="O596" s="210"/>
      <c r="P596" s="200"/>
      <c r="Q596" s="200"/>
      <c r="R596" s="200"/>
      <c r="T596" s="154"/>
      <c r="V596" s="200"/>
      <c r="W596" s="200"/>
      <c r="X596" s="200"/>
      <c r="Y596" s="200"/>
      <c r="Z596" s="329"/>
      <c r="AA596" s="200"/>
      <c r="AB596" s="200"/>
      <c r="AC596" s="210"/>
      <c r="AD596" s="210"/>
      <c r="AE596" s="200"/>
      <c r="AF596" s="200"/>
      <c r="AG596" s="209"/>
      <c r="AH596" s="201"/>
      <c r="AI596" s="200"/>
      <c r="AJ596" s="200"/>
      <c r="AK596" s="209"/>
      <c r="AL596" s="200"/>
      <c r="AM596" s="210"/>
      <c r="AN596" s="210"/>
    </row>
    <row r="597" spans="1:40" x14ac:dyDescent="0.25">
      <c r="A597" s="202"/>
      <c r="C597" s="154"/>
      <c r="F597" s="252"/>
      <c r="J597" s="334"/>
      <c r="K597" s="334"/>
      <c r="T597" s="154"/>
      <c r="V597" s="200"/>
      <c r="W597" s="200"/>
      <c r="X597" s="200"/>
      <c r="Y597" s="200"/>
      <c r="Z597" s="329"/>
    </row>
    <row r="598" spans="1:40" x14ac:dyDescent="0.25">
      <c r="A598" s="202"/>
      <c r="C598" s="154"/>
      <c r="H598" s="252"/>
      <c r="I598" s="252"/>
      <c r="J598" s="329"/>
      <c r="K598" s="329"/>
      <c r="L598" s="200"/>
      <c r="M598" s="200"/>
      <c r="N598" s="210"/>
      <c r="O598" s="210"/>
      <c r="P598" s="200"/>
      <c r="Q598" s="200"/>
      <c r="R598" s="200"/>
      <c r="T598" s="154"/>
      <c r="V598" s="200"/>
      <c r="W598" s="200"/>
      <c r="X598" s="200"/>
      <c r="Y598" s="200"/>
      <c r="Z598" s="329"/>
      <c r="AA598" s="200"/>
      <c r="AB598" s="200"/>
      <c r="AC598" s="210"/>
      <c r="AD598" s="210"/>
      <c r="AE598" s="200"/>
      <c r="AF598" s="200"/>
      <c r="AG598" s="209"/>
      <c r="AH598" s="201"/>
      <c r="AI598" s="200"/>
      <c r="AJ598" s="200"/>
      <c r="AK598" s="209"/>
      <c r="AL598" s="200"/>
      <c r="AM598" s="210"/>
      <c r="AN598" s="210"/>
    </row>
    <row r="599" spans="1:40" x14ac:dyDescent="0.25">
      <c r="A599" s="202"/>
      <c r="C599" s="154"/>
      <c r="F599" s="252"/>
      <c r="J599" s="334"/>
      <c r="K599" s="334"/>
      <c r="T599" s="154"/>
      <c r="V599" s="200"/>
      <c r="W599" s="200"/>
      <c r="X599" s="200"/>
      <c r="Y599" s="200"/>
      <c r="Z599" s="329"/>
    </row>
    <row r="600" spans="1:40" x14ac:dyDescent="0.25">
      <c r="A600" s="202"/>
      <c r="C600" s="154"/>
      <c r="H600" s="252"/>
      <c r="I600" s="252"/>
      <c r="J600" s="329"/>
      <c r="K600" s="329"/>
      <c r="L600" s="200"/>
      <c r="M600" s="200"/>
      <c r="N600" s="210"/>
      <c r="O600" s="210"/>
      <c r="P600" s="200"/>
      <c r="Q600" s="200"/>
      <c r="R600" s="200"/>
      <c r="T600" s="154"/>
      <c r="V600" s="200"/>
      <c r="W600" s="200"/>
      <c r="X600" s="200"/>
      <c r="Y600" s="200"/>
      <c r="Z600" s="329"/>
      <c r="AA600" s="200"/>
      <c r="AB600" s="200"/>
      <c r="AC600" s="210"/>
      <c r="AD600" s="210"/>
      <c r="AE600" s="200"/>
      <c r="AF600" s="200"/>
      <c r="AG600" s="209"/>
      <c r="AH600" s="201"/>
      <c r="AI600" s="200"/>
      <c r="AJ600" s="200"/>
      <c r="AK600" s="209"/>
      <c r="AL600" s="200"/>
      <c r="AM600" s="210"/>
      <c r="AN600" s="210"/>
    </row>
    <row r="601" spans="1:40" x14ac:dyDescent="0.25">
      <c r="F601" s="252"/>
      <c r="H601" s="211"/>
      <c r="I601" s="211"/>
      <c r="J601" s="329"/>
      <c r="K601" s="329"/>
      <c r="L601" s="211"/>
      <c r="M601" s="211"/>
      <c r="N601" s="211"/>
      <c r="O601" s="211"/>
      <c r="P601" s="211"/>
      <c r="Q601" s="211"/>
      <c r="R601" s="211"/>
      <c r="V601" s="211"/>
      <c r="Y601" s="211"/>
      <c r="Z601" s="329"/>
      <c r="AA601" s="211"/>
      <c r="AB601" s="211"/>
      <c r="AC601" s="211"/>
      <c r="AD601" s="211"/>
      <c r="AE601" s="211"/>
      <c r="AF601" s="211"/>
      <c r="AI601" s="211"/>
      <c r="AJ601" s="211"/>
      <c r="AK601" s="212"/>
      <c r="AL601" s="211"/>
      <c r="AM601" s="210"/>
      <c r="AN601" s="210"/>
    </row>
    <row r="602" spans="1:40" x14ac:dyDescent="0.25">
      <c r="A602" s="202"/>
      <c r="C602" s="154"/>
      <c r="F602" s="211"/>
      <c r="H602" s="200"/>
      <c r="I602" s="200"/>
      <c r="J602" s="334"/>
      <c r="K602" s="334"/>
      <c r="L602" s="200"/>
      <c r="M602" s="200"/>
      <c r="N602" s="210"/>
      <c r="O602" s="210"/>
      <c r="P602" s="252"/>
      <c r="Q602" s="252"/>
      <c r="R602" s="200"/>
      <c r="T602" s="154"/>
      <c r="V602" s="200"/>
      <c r="W602" s="200"/>
      <c r="X602" s="200"/>
      <c r="Y602" s="200"/>
      <c r="Z602" s="329"/>
      <c r="AA602" s="200"/>
      <c r="AB602" s="200"/>
      <c r="AC602" s="210"/>
      <c r="AD602" s="210"/>
      <c r="AE602" s="200"/>
      <c r="AF602" s="200"/>
      <c r="AG602" s="209"/>
      <c r="AH602" s="201"/>
      <c r="AI602" s="252"/>
      <c r="AJ602" s="252"/>
      <c r="AK602" s="209"/>
      <c r="AL602" s="200"/>
      <c r="AM602" s="210"/>
      <c r="AN602" s="210"/>
    </row>
    <row r="603" spans="1:40" x14ac:dyDescent="0.25">
      <c r="F603" s="200"/>
      <c r="H603" s="211"/>
      <c r="I603" s="211"/>
      <c r="J603" s="329"/>
      <c r="K603" s="329"/>
      <c r="L603" s="211"/>
      <c r="M603" s="211"/>
      <c r="N603" s="211"/>
      <c r="O603" s="211"/>
      <c r="P603" s="211"/>
      <c r="Q603" s="211"/>
      <c r="R603" s="211"/>
      <c r="V603" s="211"/>
      <c r="Y603" s="211"/>
      <c r="Z603" s="329"/>
      <c r="AA603" s="211"/>
      <c r="AB603" s="211"/>
      <c r="AC603" s="211"/>
      <c r="AD603" s="211"/>
      <c r="AE603" s="211"/>
      <c r="AF603" s="211"/>
      <c r="AI603" s="211"/>
      <c r="AJ603" s="211"/>
      <c r="AK603" s="212"/>
      <c r="AL603" s="211"/>
    </row>
    <row r="604" spans="1:40" x14ac:dyDescent="0.25">
      <c r="A604" s="202"/>
      <c r="C604" s="154"/>
      <c r="D604" s="154"/>
      <c r="E604" s="154"/>
      <c r="F604" s="211"/>
      <c r="J604" s="334"/>
      <c r="K604" s="334"/>
      <c r="T604" s="154"/>
      <c r="U604" s="154"/>
      <c r="V604" s="200"/>
      <c r="W604" s="200"/>
      <c r="X604" s="200"/>
      <c r="Y604" s="200"/>
      <c r="Z604" s="329"/>
    </row>
    <row r="605" spans="1:40" x14ac:dyDescent="0.25">
      <c r="A605" s="202"/>
      <c r="C605" s="154"/>
      <c r="J605" s="334"/>
      <c r="K605" s="334"/>
      <c r="T605" s="154"/>
      <c r="V605" s="200"/>
      <c r="W605" s="200"/>
      <c r="X605" s="200"/>
      <c r="Y605" s="200"/>
      <c r="Z605" s="329"/>
    </row>
    <row r="606" spans="1:40" x14ac:dyDescent="0.25">
      <c r="A606" s="202"/>
      <c r="C606" s="154"/>
      <c r="J606" s="334"/>
      <c r="K606" s="334"/>
      <c r="T606" s="154"/>
      <c r="V606" s="200"/>
      <c r="W606" s="200"/>
      <c r="X606" s="200"/>
      <c r="Y606" s="200"/>
      <c r="Z606" s="329"/>
    </row>
    <row r="607" spans="1:40" x14ac:dyDescent="0.25">
      <c r="A607" s="202"/>
      <c r="C607" s="154"/>
      <c r="H607" s="252"/>
      <c r="I607" s="252"/>
      <c r="J607" s="329"/>
      <c r="K607" s="329"/>
      <c r="L607" s="200"/>
      <c r="M607" s="200"/>
      <c r="N607" s="210"/>
      <c r="O607" s="210"/>
      <c r="P607" s="200"/>
      <c r="Q607" s="200"/>
      <c r="R607" s="200"/>
      <c r="T607" s="154"/>
      <c r="V607" s="200"/>
      <c r="W607" s="200"/>
      <c r="X607" s="200"/>
      <c r="Y607" s="200"/>
      <c r="Z607" s="329"/>
      <c r="AA607" s="200"/>
      <c r="AB607" s="200"/>
      <c r="AC607" s="210"/>
      <c r="AD607" s="210"/>
      <c r="AE607" s="200"/>
      <c r="AF607" s="200"/>
      <c r="AG607" s="209"/>
      <c r="AH607" s="201"/>
      <c r="AI607" s="200"/>
      <c r="AJ607" s="200"/>
      <c r="AK607" s="209"/>
      <c r="AL607" s="200"/>
      <c r="AM607" s="210"/>
      <c r="AN607" s="210"/>
    </row>
    <row r="608" spans="1:40" x14ac:dyDescent="0.25">
      <c r="A608" s="202"/>
      <c r="C608" s="154"/>
      <c r="F608" s="252"/>
      <c r="J608" s="334"/>
      <c r="K608" s="334"/>
      <c r="T608" s="154"/>
      <c r="V608" s="200"/>
      <c r="W608" s="200"/>
      <c r="X608" s="200"/>
      <c r="Y608" s="200"/>
      <c r="Z608" s="329"/>
    </row>
    <row r="609" spans="1:40" x14ac:dyDescent="0.25">
      <c r="A609" s="202"/>
      <c r="C609" s="154"/>
      <c r="H609" s="252"/>
      <c r="I609" s="252"/>
      <c r="J609" s="329"/>
      <c r="K609" s="329"/>
      <c r="L609" s="200"/>
      <c r="M609" s="200"/>
      <c r="N609" s="210"/>
      <c r="O609" s="210"/>
      <c r="P609" s="200"/>
      <c r="Q609" s="200"/>
      <c r="R609" s="200"/>
      <c r="T609" s="154"/>
      <c r="V609" s="200"/>
      <c r="W609" s="200"/>
      <c r="X609" s="200"/>
      <c r="Y609" s="200"/>
      <c r="Z609" s="329"/>
      <c r="AA609" s="200"/>
      <c r="AB609" s="200"/>
      <c r="AC609" s="210"/>
      <c r="AD609" s="210"/>
      <c r="AE609" s="200"/>
      <c r="AF609" s="200"/>
      <c r="AG609" s="209"/>
      <c r="AH609" s="201"/>
      <c r="AI609" s="200"/>
      <c r="AJ609" s="200"/>
      <c r="AK609" s="209"/>
      <c r="AL609" s="200"/>
      <c r="AM609" s="210"/>
      <c r="AN609" s="210"/>
    </row>
    <row r="610" spans="1:40" x14ac:dyDescent="0.25">
      <c r="F610" s="252"/>
      <c r="H610" s="211"/>
      <c r="I610" s="211"/>
      <c r="J610" s="329"/>
      <c r="K610" s="329"/>
      <c r="L610" s="211"/>
      <c r="M610" s="211"/>
      <c r="N610" s="211"/>
      <c r="O610" s="211"/>
      <c r="P610" s="211"/>
      <c r="Q610" s="211"/>
      <c r="R610" s="211"/>
      <c r="V610" s="211"/>
      <c r="Y610" s="211"/>
      <c r="Z610" s="305"/>
      <c r="AA610" s="211"/>
      <c r="AB610" s="211"/>
      <c r="AC610" s="211"/>
      <c r="AD610" s="211"/>
      <c r="AE610" s="211"/>
      <c r="AF610" s="211"/>
      <c r="AI610" s="211"/>
      <c r="AJ610" s="211"/>
      <c r="AK610" s="212"/>
      <c r="AL610" s="211"/>
    </row>
    <row r="611" spans="1:40" x14ac:dyDescent="0.25">
      <c r="A611" s="202"/>
      <c r="C611" s="154"/>
      <c r="F611" s="211"/>
      <c r="H611" s="200"/>
      <c r="I611" s="200"/>
      <c r="L611" s="200"/>
      <c r="M611" s="200"/>
      <c r="N611" s="210"/>
      <c r="O611" s="210"/>
      <c r="P611" s="252"/>
      <c r="Q611" s="252"/>
      <c r="R611" s="200"/>
      <c r="T611" s="154"/>
      <c r="V611" s="200"/>
      <c r="W611" s="200"/>
      <c r="X611" s="200"/>
      <c r="Y611" s="200"/>
      <c r="Z611" s="328"/>
      <c r="AA611" s="200"/>
      <c r="AB611" s="200"/>
      <c r="AC611" s="210"/>
      <c r="AD611" s="210"/>
      <c r="AE611" s="200"/>
      <c r="AF611" s="200"/>
      <c r="AG611" s="209"/>
      <c r="AH611" s="201"/>
      <c r="AI611" s="252"/>
      <c r="AJ611" s="252"/>
      <c r="AK611" s="209"/>
      <c r="AL611" s="200"/>
      <c r="AM611" s="210"/>
      <c r="AN611" s="210"/>
    </row>
    <row r="612" spans="1:40" x14ac:dyDescent="0.25">
      <c r="F612" s="200"/>
      <c r="H612" s="211"/>
      <c r="I612" s="211"/>
      <c r="J612" s="305"/>
      <c r="K612" s="305"/>
      <c r="L612" s="211"/>
      <c r="M612" s="211"/>
      <c r="N612" s="211"/>
      <c r="O612" s="211"/>
      <c r="P612" s="211"/>
      <c r="Q612" s="211"/>
      <c r="R612" s="211"/>
      <c r="V612" s="211"/>
      <c r="Y612" s="211"/>
      <c r="Z612" s="305"/>
      <c r="AA612" s="211"/>
      <c r="AB612" s="211"/>
      <c r="AC612" s="211"/>
      <c r="AD612" s="211"/>
      <c r="AE612" s="211"/>
      <c r="AF612" s="211"/>
      <c r="AI612" s="211"/>
      <c r="AJ612" s="211"/>
      <c r="AK612" s="212"/>
      <c r="AL612" s="211"/>
    </row>
    <row r="613" spans="1:40" x14ac:dyDescent="0.25">
      <c r="A613" s="202"/>
      <c r="C613" s="154"/>
      <c r="D613" s="154"/>
      <c r="E613" s="154"/>
      <c r="F613" s="211"/>
      <c r="T613" s="154"/>
      <c r="U613" s="154"/>
      <c r="V613" s="200"/>
      <c r="W613" s="200"/>
      <c r="X613" s="200"/>
      <c r="Y613" s="200"/>
      <c r="Z613" s="328"/>
    </row>
    <row r="614" spans="1:40" x14ac:dyDescent="0.25">
      <c r="A614" s="202"/>
      <c r="C614" s="154"/>
      <c r="T614" s="154"/>
      <c r="V614" s="200"/>
      <c r="W614" s="200"/>
      <c r="X614" s="200"/>
      <c r="Y614" s="200"/>
      <c r="Z614" s="328"/>
    </row>
    <row r="615" spans="1:40" x14ac:dyDescent="0.25">
      <c r="A615" s="202"/>
      <c r="C615" s="154"/>
      <c r="H615" s="252"/>
      <c r="I615" s="252"/>
      <c r="J615" s="328"/>
      <c r="K615" s="328"/>
      <c r="L615" s="200"/>
      <c r="M615" s="200"/>
      <c r="N615" s="210"/>
      <c r="O615" s="210"/>
      <c r="P615" s="200"/>
      <c r="Q615" s="200"/>
      <c r="R615" s="200"/>
      <c r="T615" s="154"/>
      <c r="V615" s="200"/>
      <c r="W615" s="200"/>
      <c r="X615" s="200"/>
      <c r="Y615" s="200"/>
      <c r="Z615" s="328"/>
      <c r="AA615" s="200"/>
      <c r="AB615" s="200"/>
      <c r="AC615" s="210"/>
      <c r="AD615" s="210"/>
      <c r="AE615" s="200"/>
      <c r="AF615" s="200"/>
      <c r="AG615" s="209"/>
      <c r="AH615" s="201"/>
      <c r="AI615" s="200"/>
      <c r="AJ615" s="200"/>
      <c r="AK615" s="209"/>
      <c r="AL615" s="200"/>
      <c r="AM615" s="210"/>
      <c r="AN615" s="210"/>
    </row>
    <row r="616" spans="1:40" x14ac:dyDescent="0.25">
      <c r="A616" s="202"/>
      <c r="C616" s="154"/>
      <c r="F616" s="252"/>
      <c r="T616" s="154"/>
      <c r="V616" s="200"/>
      <c r="W616" s="200"/>
      <c r="X616" s="200"/>
      <c r="Y616" s="200"/>
      <c r="Z616" s="328"/>
    </row>
    <row r="617" spans="1:40" x14ac:dyDescent="0.25">
      <c r="A617" s="202"/>
      <c r="C617" s="154"/>
      <c r="H617" s="252"/>
      <c r="I617" s="252"/>
      <c r="J617" s="328"/>
      <c r="K617" s="328"/>
      <c r="L617" s="200"/>
      <c r="M617" s="200"/>
      <c r="N617" s="210"/>
      <c r="O617" s="210"/>
      <c r="P617" s="200"/>
      <c r="Q617" s="200"/>
      <c r="R617" s="200"/>
      <c r="T617" s="154"/>
      <c r="V617" s="200"/>
      <c r="W617" s="200"/>
      <c r="X617" s="200"/>
      <c r="Y617" s="200"/>
      <c r="Z617" s="328"/>
      <c r="AA617" s="200"/>
      <c r="AB617" s="200"/>
      <c r="AC617" s="210"/>
      <c r="AD617" s="210"/>
      <c r="AE617" s="200"/>
      <c r="AF617" s="200"/>
      <c r="AG617" s="209"/>
      <c r="AH617" s="201"/>
      <c r="AI617" s="200"/>
      <c r="AJ617" s="200"/>
      <c r="AK617" s="209"/>
      <c r="AL617" s="200"/>
      <c r="AM617" s="210"/>
      <c r="AN617" s="210"/>
    </row>
    <row r="618" spans="1:40" x14ac:dyDescent="0.25">
      <c r="A618" s="202"/>
      <c r="C618" s="154"/>
      <c r="F618" s="252"/>
      <c r="T618" s="154"/>
      <c r="V618" s="200"/>
      <c r="W618" s="200"/>
      <c r="X618" s="200"/>
      <c r="Y618" s="200"/>
      <c r="Z618" s="328"/>
    </row>
    <row r="619" spans="1:40" x14ac:dyDescent="0.25">
      <c r="A619" s="202"/>
      <c r="C619" s="154"/>
      <c r="H619" s="252"/>
      <c r="I619" s="252"/>
      <c r="J619" s="328"/>
      <c r="K619" s="328"/>
      <c r="L619" s="200"/>
      <c r="M619" s="200"/>
      <c r="N619" s="210"/>
      <c r="O619" s="210"/>
      <c r="P619" s="200"/>
      <c r="Q619" s="200"/>
      <c r="R619" s="200"/>
      <c r="T619" s="154"/>
      <c r="V619" s="200"/>
      <c r="W619" s="200"/>
      <c r="X619" s="200"/>
      <c r="Y619" s="200"/>
      <c r="Z619" s="328"/>
      <c r="AA619" s="200"/>
      <c r="AB619" s="200"/>
      <c r="AC619" s="210"/>
      <c r="AD619" s="210"/>
      <c r="AE619" s="200"/>
      <c r="AF619" s="200"/>
      <c r="AG619" s="209"/>
      <c r="AH619" s="201"/>
      <c r="AI619" s="200"/>
      <c r="AJ619" s="200"/>
      <c r="AK619" s="209"/>
      <c r="AL619" s="200"/>
      <c r="AM619" s="210"/>
      <c r="AN619" s="210"/>
    </row>
    <row r="620" spans="1:40" x14ac:dyDescent="0.25">
      <c r="A620" s="202"/>
      <c r="C620" s="154"/>
      <c r="F620" s="252"/>
      <c r="T620" s="154"/>
      <c r="V620" s="200"/>
      <c r="W620" s="200"/>
      <c r="X620" s="200"/>
      <c r="Y620" s="200"/>
      <c r="Z620" s="328"/>
    </row>
    <row r="621" spans="1:40" x14ac:dyDescent="0.25">
      <c r="A621" s="202"/>
      <c r="C621" s="154"/>
      <c r="H621" s="252"/>
      <c r="I621" s="252"/>
      <c r="J621" s="328"/>
      <c r="K621" s="328"/>
      <c r="L621" s="200"/>
      <c r="M621" s="200"/>
      <c r="N621" s="210"/>
      <c r="O621" s="210"/>
      <c r="P621" s="200"/>
      <c r="Q621" s="200"/>
      <c r="R621" s="200"/>
      <c r="T621" s="154"/>
      <c r="V621" s="200"/>
      <c r="W621" s="200"/>
      <c r="X621" s="200"/>
      <c r="Y621" s="200"/>
      <c r="Z621" s="328"/>
      <c r="AA621" s="200"/>
      <c r="AB621" s="200"/>
      <c r="AC621" s="210"/>
      <c r="AD621" s="210"/>
      <c r="AE621" s="200"/>
      <c r="AF621" s="200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F622" s="252"/>
      <c r="H622" s="211"/>
      <c r="I622" s="211"/>
      <c r="J622" s="305"/>
      <c r="K622" s="305"/>
      <c r="L622" s="211"/>
      <c r="M622" s="211"/>
      <c r="N622" s="211"/>
      <c r="O622" s="211"/>
      <c r="P622" s="211"/>
      <c r="Q622" s="211"/>
      <c r="R622" s="211"/>
      <c r="V622" s="211"/>
      <c r="Y622" s="211"/>
      <c r="Z622" s="305"/>
      <c r="AA622" s="211"/>
      <c r="AB622" s="211"/>
      <c r="AC622" s="211"/>
      <c r="AD622" s="211"/>
      <c r="AE622" s="211"/>
      <c r="AF622" s="211"/>
      <c r="AI622" s="211"/>
      <c r="AJ622" s="211"/>
      <c r="AK622" s="212"/>
      <c r="AL622" s="211"/>
    </row>
    <row r="623" spans="1:40" x14ac:dyDescent="0.25">
      <c r="A623" s="202"/>
      <c r="C623" s="154"/>
      <c r="F623" s="211"/>
      <c r="H623" s="200"/>
      <c r="I623" s="200"/>
      <c r="L623" s="200"/>
      <c r="M623" s="200"/>
      <c r="N623" s="210"/>
      <c r="O623" s="210"/>
      <c r="P623" s="252"/>
      <c r="Q623" s="252"/>
      <c r="R623" s="200"/>
      <c r="T623" s="154"/>
      <c r="V623" s="200"/>
      <c r="W623" s="200"/>
      <c r="X623" s="200"/>
      <c r="Y623" s="200"/>
      <c r="Z623" s="328"/>
      <c r="AA623" s="200"/>
      <c r="AB623" s="200"/>
      <c r="AC623" s="210"/>
      <c r="AD623" s="210"/>
      <c r="AE623" s="200"/>
      <c r="AF623" s="200"/>
      <c r="AG623" s="209"/>
      <c r="AH623" s="201"/>
      <c r="AI623" s="252"/>
      <c r="AJ623" s="252"/>
      <c r="AK623" s="209"/>
      <c r="AL623" s="200"/>
      <c r="AM623" s="210"/>
      <c r="AN623" s="210"/>
    </row>
    <row r="624" spans="1:40" x14ac:dyDescent="0.25">
      <c r="F624" s="200"/>
      <c r="H624" s="211"/>
      <c r="I624" s="211"/>
      <c r="J624" s="305"/>
      <c r="K624" s="305"/>
      <c r="L624" s="211"/>
      <c r="M624" s="211"/>
      <c r="N624" s="211"/>
      <c r="O624" s="211"/>
      <c r="P624" s="211"/>
      <c r="Q624" s="211"/>
      <c r="R624" s="211"/>
      <c r="V624" s="211"/>
      <c r="Y624" s="211"/>
      <c r="Z624" s="305"/>
      <c r="AA624" s="211"/>
      <c r="AB624" s="211"/>
      <c r="AC624" s="211"/>
      <c r="AD624" s="211"/>
      <c r="AE624" s="211"/>
      <c r="AF624" s="211"/>
      <c r="AI624" s="211"/>
      <c r="AJ624" s="211"/>
      <c r="AK624" s="212"/>
      <c r="AL624" s="211"/>
    </row>
    <row r="625" spans="1:40" x14ac:dyDescent="0.25">
      <c r="A625" s="202"/>
      <c r="C625" s="154"/>
      <c r="F625" s="211"/>
      <c r="H625" s="200"/>
      <c r="I625" s="200"/>
      <c r="L625" s="200"/>
      <c r="M625" s="200"/>
      <c r="N625" s="210"/>
      <c r="O625" s="210"/>
      <c r="P625" s="200"/>
      <c r="Q625" s="200"/>
      <c r="R625" s="200"/>
      <c r="T625" s="154"/>
      <c r="V625" s="200"/>
      <c r="W625" s="200"/>
      <c r="X625" s="200"/>
      <c r="Y625" s="200"/>
      <c r="AA625" s="200"/>
      <c r="AB625" s="200"/>
      <c r="AC625" s="210"/>
      <c r="AD625" s="210"/>
      <c r="AE625" s="200"/>
      <c r="AF625" s="200"/>
      <c r="AG625" s="209"/>
      <c r="AH625" s="201"/>
      <c r="AI625" s="200"/>
      <c r="AJ625" s="200"/>
      <c r="AK625" s="209"/>
      <c r="AL625" s="200"/>
      <c r="AM625" s="201"/>
      <c r="AN625" s="201"/>
    </row>
    <row r="626" spans="1:40" x14ac:dyDescent="0.25">
      <c r="F626" s="200"/>
      <c r="H626" s="211"/>
      <c r="I626" s="211"/>
      <c r="J626" s="305"/>
      <c r="K626" s="305"/>
      <c r="L626" s="211"/>
      <c r="M626" s="211"/>
      <c r="N626" s="211"/>
      <c r="O626" s="211"/>
      <c r="P626" s="211"/>
      <c r="Q626" s="211"/>
      <c r="R626" s="211"/>
      <c r="V626" s="211"/>
      <c r="Y626" s="211"/>
      <c r="Z626" s="305"/>
      <c r="AA626" s="211"/>
      <c r="AB626" s="211"/>
      <c r="AC626" s="211"/>
      <c r="AD626" s="211"/>
      <c r="AE626" s="211"/>
      <c r="AF626" s="211"/>
      <c r="AI626" s="211"/>
      <c r="AJ626" s="211"/>
      <c r="AK626" s="212"/>
      <c r="AL626" s="211"/>
    </row>
    <row r="628" spans="1:40" x14ac:dyDescent="0.25">
      <c r="C628" s="202"/>
      <c r="F628" s="211"/>
      <c r="T628" s="202"/>
    </row>
    <row r="629" spans="1:40" x14ac:dyDescent="0.25">
      <c r="A629" s="154"/>
    </row>
    <row r="630" spans="1:40" x14ac:dyDescent="0.25">
      <c r="J630" s="202"/>
      <c r="K630" s="202"/>
      <c r="Z630" s="202"/>
    </row>
    <row r="631" spans="1:40" x14ac:dyDescent="0.25">
      <c r="H631" s="154"/>
      <c r="I631" s="154"/>
      <c r="Y631" s="154"/>
    </row>
    <row r="632" spans="1:40" x14ac:dyDescent="0.25">
      <c r="J632" s="202"/>
      <c r="K632" s="202"/>
      <c r="Z632" s="202"/>
    </row>
    <row r="633" spans="1:40" x14ac:dyDescent="0.25">
      <c r="L633" s="154"/>
      <c r="M633" s="154"/>
      <c r="AA633" s="154"/>
      <c r="AB633" s="154"/>
    </row>
    <row r="634" spans="1:40" x14ac:dyDescent="0.25">
      <c r="A634" s="202"/>
      <c r="R634" s="154"/>
      <c r="AK634" s="297"/>
      <c r="AL634" s="154"/>
    </row>
    <row r="635" spans="1:40" x14ac:dyDescent="0.25">
      <c r="A635" s="202"/>
      <c r="R635" s="154"/>
      <c r="AK635" s="297"/>
      <c r="AL635" s="154"/>
    </row>
    <row r="636" spans="1:40" x14ac:dyDescent="0.25">
      <c r="A636" s="154"/>
      <c r="R636" s="154"/>
      <c r="AK636" s="297"/>
      <c r="AL636" s="154"/>
    </row>
    <row r="637" spans="1:40" x14ac:dyDescent="0.25">
      <c r="L637" s="154"/>
      <c r="M637" s="154"/>
      <c r="R637" s="202"/>
      <c r="AA637" s="154"/>
      <c r="AB637" s="154"/>
      <c r="AK637" s="209"/>
      <c r="AL637" s="202"/>
    </row>
    <row r="638" spans="1:40" x14ac:dyDescent="0.25">
      <c r="A638" s="102"/>
      <c r="B638" s="102"/>
      <c r="C638" s="102"/>
      <c r="D638" s="102"/>
      <c r="E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208"/>
      <c r="AH638" s="102"/>
      <c r="AI638" s="102"/>
      <c r="AJ638" s="102"/>
      <c r="AK638" s="208"/>
      <c r="AL638" s="102"/>
      <c r="AM638" s="102"/>
      <c r="AN638" s="102"/>
    </row>
    <row r="639" spans="1:40" x14ac:dyDescent="0.25">
      <c r="F639" s="102"/>
      <c r="L639" s="103"/>
      <c r="M639" s="103"/>
      <c r="N639" s="103"/>
      <c r="O639" s="103"/>
      <c r="R639" s="103"/>
      <c r="AA639" s="103"/>
      <c r="AB639" s="103"/>
      <c r="AC639" s="103"/>
      <c r="AD639" s="103"/>
      <c r="AE639" s="103"/>
      <c r="AF639" s="103"/>
      <c r="AG639" s="185"/>
      <c r="AH639" s="103"/>
      <c r="AK639" s="185"/>
      <c r="AL639" s="103"/>
      <c r="AM639" s="103"/>
      <c r="AN639" s="103"/>
    </row>
    <row r="640" spans="1:40" x14ac:dyDescent="0.25">
      <c r="L640" s="103"/>
      <c r="M640" s="103"/>
      <c r="N640" s="103"/>
      <c r="O640" s="103"/>
      <c r="R640" s="103"/>
      <c r="Z640" s="103"/>
      <c r="AA640" s="103"/>
      <c r="AB640" s="103"/>
      <c r="AC640" s="103"/>
      <c r="AD640" s="103"/>
      <c r="AE640" s="103"/>
      <c r="AF640" s="103"/>
      <c r="AG640" s="185"/>
      <c r="AH640" s="103"/>
      <c r="AK640" s="185"/>
      <c r="AL640" s="103"/>
      <c r="AM640" s="103"/>
      <c r="AN640" s="103"/>
    </row>
    <row r="641" spans="1:40" x14ac:dyDescent="0.25">
      <c r="A641" s="103"/>
      <c r="C641" s="103"/>
      <c r="D641" s="103"/>
      <c r="E641" s="103"/>
      <c r="J641" s="103"/>
      <c r="K641" s="103"/>
      <c r="L641" s="103"/>
      <c r="M641" s="103"/>
      <c r="N641" s="103"/>
      <c r="O641" s="103"/>
      <c r="P641" s="103"/>
      <c r="Q641" s="103"/>
      <c r="R641" s="103"/>
      <c r="T641" s="103"/>
      <c r="U641" s="103"/>
      <c r="V641" s="103"/>
      <c r="Z641" s="103"/>
      <c r="AA641" s="103"/>
      <c r="AB641" s="103"/>
      <c r="AC641" s="103"/>
      <c r="AD641" s="103"/>
      <c r="AE641" s="103"/>
      <c r="AF641" s="103"/>
      <c r="AG641" s="185"/>
      <c r="AH641" s="103"/>
      <c r="AI641" s="103"/>
      <c r="AJ641" s="103"/>
      <c r="AK641" s="185"/>
      <c r="AL641" s="103"/>
      <c r="AM641" s="103"/>
      <c r="AN641" s="103"/>
    </row>
    <row r="642" spans="1:40" x14ac:dyDescent="0.25">
      <c r="A642" s="103"/>
      <c r="C642" s="103"/>
      <c r="D642" s="103"/>
      <c r="E642" s="103"/>
      <c r="F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T642" s="103"/>
      <c r="U642" s="103"/>
      <c r="V642" s="103"/>
      <c r="Y642" s="103"/>
      <c r="Z642" s="103"/>
      <c r="AA642" s="103"/>
      <c r="AB642" s="103"/>
      <c r="AC642" s="103"/>
      <c r="AD642" s="103"/>
      <c r="AE642" s="103"/>
      <c r="AF642" s="103"/>
      <c r="AG642" s="185"/>
      <c r="AH642" s="103"/>
      <c r="AI642" s="103"/>
      <c r="AJ642" s="103"/>
      <c r="AK642" s="185"/>
      <c r="AL642" s="103"/>
      <c r="AM642" s="103"/>
      <c r="AN642" s="103"/>
    </row>
    <row r="643" spans="1:40" x14ac:dyDescent="0.25">
      <c r="C643" s="103"/>
      <c r="D643" s="103"/>
      <c r="E643" s="103"/>
      <c r="F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T643" s="103"/>
      <c r="U643" s="103"/>
      <c r="V643" s="103"/>
      <c r="Y643" s="103"/>
      <c r="Z643" s="103"/>
      <c r="AA643" s="103"/>
      <c r="AB643" s="103"/>
      <c r="AC643" s="103"/>
      <c r="AD643" s="103"/>
      <c r="AE643" s="103"/>
      <c r="AF643" s="103"/>
      <c r="AG643" s="185"/>
      <c r="AH643" s="103"/>
      <c r="AI643" s="103"/>
      <c r="AJ643" s="103"/>
      <c r="AK643" s="185"/>
      <c r="AL643" s="103"/>
      <c r="AM643" s="103"/>
      <c r="AN643" s="103"/>
    </row>
    <row r="644" spans="1:40" x14ac:dyDescent="0.25">
      <c r="A644" s="102"/>
      <c r="B644" s="102"/>
      <c r="C644" s="102"/>
      <c r="D644" s="102"/>
      <c r="E644" s="102"/>
      <c r="F644" s="103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208"/>
      <c r="AH644" s="102"/>
      <c r="AI644" s="102"/>
      <c r="AJ644" s="102"/>
      <c r="AK644" s="208"/>
      <c r="AL644" s="102"/>
      <c r="AM644" s="102"/>
      <c r="AN644" s="102"/>
    </row>
    <row r="645" spans="1:40" x14ac:dyDescent="0.25">
      <c r="F645" s="102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Y645" s="103"/>
      <c r="Z645" s="103"/>
      <c r="AA645" s="103"/>
      <c r="AB645" s="103"/>
      <c r="AC645" s="103"/>
      <c r="AD645" s="103"/>
      <c r="AE645" s="103"/>
      <c r="AF645" s="103"/>
      <c r="AG645" s="185"/>
      <c r="AH645" s="103"/>
      <c r="AI645" s="103"/>
      <c r="AJ645" s="103"/>
      <c r="AK645" s="185"/>
      <c r="AL645" s="103"/>
      <c r="AM645" s="103"/>
      <c r="AN645" s="103"/>
    </row>
    <row r="646" spans="1:40" x14ac:dyDescent="0.25">
      <c r="A646" s="202"/>
      <c r="C646" s="154"/>
      <c r="D646" s="154"/>
      <c r="E646" s="154"/>
      <c r="H646" s="200"/>
      <c r="I646" s="200"/>
      <c r="J646" s="213"/>
      <c r="K646" s="213"/>
      <c r="L646" s="200"/>
      <c r="M646" s="200"/>
      <c r="N646" s="213"/>
      <c r="O646" s="213"/>
      <c r="P646" s="200"/>
      <c r="Q646" s="200"/>
      <c r="R646" s="200"/>
      <c r="T646" s="154"/>
      <c r="U646" s="154"/>
      <c r="V646" s="200"/>
      <c r="Y646" s="200"/>
      <c r="Z646" s="213"/>
      <c r="AA646" s="200"/>
      <c r="AB646" s="200"/>
      <c r="AC646" s="213"/>
      <c r="AD646" s="213"/>
      <c r="AE646" s="200"/>
      <c r="AF646" s="200"/>
      <c r="AG646" s="209"/>
      <c r="AH646" s="201"/>
      <c r="AI646" s="200"/>
      <c r="AJ646" s="200"/>
      <c r="AK646" s="209"/>
      <c r="AL646" s="200"/>
      <c r="AM646" s="210"/>
      <c r="AN646" s="210"/>
    </row>
    <row r="647" spans="1:40" x14ac:dyDescent="0.25">
      <c r="F647" s="200"/>
      <c r="H647" s="211"/>
      <c r="I647" s="211"/>
      <c r="J647" s="305"/>
      <c r="K647" s="305"/>
      <c r="L647" s="211"/>
      <c r="M647" s="211"/>
      <c r="N647" s="211"/>
      <c r="O647" s="211"/>
      <c r="P647" s="211"/>
      <c r="Q647" s="211"/>
      <c r="R647" s="211"/>
      <c r="V647" s="211"/>
      <c r="Y647" s="211"/>
      <c r="Z647" s="305"/>
      <c r="AA647" s="211"/>
      <c r="AB647" s="211"/>
      <c r="AC647" s="211"/>
      <c r="AD647" s="211"/>
      <c r="AE647" s="211"/>
      <c r="AF647" s="211"/>
      <c r="AI647" s="211"/>
      <c r="AJ647" s="211"/>
      <c r="AK647" s="212"/>
      <c r="AL647" s="211"/>
      <c r="AM647" s="210"/>
      <c r="AN647" s="210"/>
    </row>
    <row r="648" spans="1:40" x14ac:dyDescent="0.25">
      <c r="A648" s="202"/>
      <c r="C648" s="154"/>
      <c r="F648" s="211"/>
      <c r="H648" s="200"/>
      <c r="I648" s="200"/>
      <c r="J648" s="213"/>
      <c r="K648" s="213"/>
      <c r="L648" s="200"/>
      <c r="M648" s="200"/>
      <c r="N648" s="213"/>
      <c r="O648" s="213"/>
      <c r="P648" s="200"/>
      <c r="Q648" s="200"/>
      <c r="R648" s="200"/>
      <c r="T648" s="154"/>
      <c r="V648" s="200"/>
      <c r="Y648" s="200"/>
      <c r="Z648" s="213"/>
      <c r="AA648" s="200"/>
      <c r="AB648" s="200"/>
      <c r="AC648" s="213"/>
      <c r="AD648" s="213"/>
      <c r="AE648" s="200"/>
      <c r="AF648" s="200"/>
      <c r="AG648" s="209"/>
      <c r="AH648" s="201"/>
      <c r="AI648" s="200"/>
      <c r="AJ648" s="200"/>
      <c r="AK648" s="209"/>
      <c r="AL648" s="200"/>
      <c r="AM648" s="210"/>
      <c r="AN648" s="210"/>
    </row>
    <row r="649" spans="1:40" x14ac:dyDescent="0.25">
      <c r="F649" s="200"/>
      <c r="H649" s="200"/>
      <c r="I649" s="200"/>
      <c r="J649" s="213"/>
      <c r="K649" s="213"/>
      <c r="L649" s="200"/>
      <c r="M649" s="200"/>
      <c r="N649" s="213"/>
      <c r="O649" s="213"/>
      <c r="P649" s="200"/>
      <c r="Q649" s="200"/>
      <c r="R649" s="200"/>
      <c r="V649" s="200"/>
      <c r="Y649" s="200"/>
      <c r="Z649" s="213"/>
      <c r="AA649" s="200"/>
      <c r="AB649" s="200"/>
      <c r="AC649" s="213"/>
      <c r="AD649" s="213"/>
      <c r="AG649" s="209"/>
      <c r="AH649" s="201"/>
      <c r="AI649" s="200"/>
      <c r="AJ649" s="200"/>
      <c r="AK649" s="209"/>
      <c r="AL649" s="200"/>
      <c r="AM649" s="210"/>
      <c r="AN649" s="210"/>
    </row>
    <row r="650" spans="1:40" x14ac:dyDescent="0.25">
      <c r="A650" s="202"/>
      <c r="C650" s="154"/>
      <c r="D650" s="154"/>
      <c r="E650" s="154"/>
      <c r="F650" s="200"/>
      <c r="H650" s="200"/>
      <c r="I650" s="200"/>
      <c r="J650" s="213"/>
      <c r="K650" s="213"/>
      <c r="L650" s="200"/>
      <c r="M650" s="200"/>
      <c r="N650" s="213"/>
      <c r="O650" s="213"/>
      <c r="P650" s="200"/>
      <c r="Q650" s="200"/>
      <c r="R650" s="200"/>
      <c r="T650" s="154"/>
      <c r="U650" s="154"/>
      <c r="V650" s="200"/>
      <c r="Y650" s="200"/>
      <c r="Z650" s="213"/>
      <c r="AA650" s="200"/>
      <c r="AB650" s="200"/>
      <c r="AC650" s="213"/>
      <c r="AD650" s="213"/>
      <c r="AE650" s="200"/>
      <c r="AF650" s="200"/>
      <c r="AG650" s="209"/>
      <c r="AH650" s="201"/>
      <c r="AI650" s="200"/>
      <c r="AJ650" s="200"/>
      <c r="AK650" s="209"/>
      <c r="AL650" s="200"/>
      <c r="AM650" s="210"/>
      <c r="AN650" s="210"/>
    </row>
    <row r="651" spans="1:40" x14ac:dyDescent="0.25">
      <c r="A651" s="202"/>
      <c r="C651" s="154"/>
      <c r="D651" s="154"/>
      <c r="E651" s="154"/>
      <c r="F651" s="200"/>
      <c r="H651" s="200"/>
      <c r="I651" s="200"/>
      <c r="J651" s="213"/>
      <c r="K651" s="213"/>
      <c r="L651" s="200"/>
      <c r="M651" s="200"/>
      <c r="N651" s="213"/>
      <c r="O651" s="213"/>
      <c r="P651" s="200"/>
      <c r="Q651" s="200"/>
      <c r="R651" s="200"/>
      <c r="T651" s="154"/>
      <c r="U651" s="154"/>
      <c r="V651" s="200"/>
      <c r="Y651" s="200"/>
      <c r="Z651" s="213"/>
      <c r="AA651" s="200"/>
      <c r="AB651" s="200"/>
      <c r="AC651" s="213"/>
      <c r="AD651" s="213"/>
      <c r="AE651" s="200"/>
      <c r="AF651" s="200"/>
      <c r="AG651" s="209"/>
      <c r="AH651" s="201"/>
      <c r="AI651" s="200"/>
      <c r="AJ651" s="200"/>
      <c r="AK651" s="209"/>
      <c r="AL651" s="200"/>
      <c r="AM651" s="210"/>
      <c r="AN651" s="210"/>
    </row>
    <row r="652" spans="1:40" x14ac:dyDescent="0.25">
      <c r="A652" s="202"/>
      <c r="C652" s="154"/>
      <c r="D652" s="154"/>
      <c r="E652" s="154"/>
      <c r="F652" s="200"/>
      <c r="H652" s="200"/>
      <c r="I652" s="200"/>
      <c r="J652" s="213"/>
      <c r="K652" s="213"/>
      <c r="L652" s="200"/>
      <c r="M652" s="200"/>
      <c r="N652" s="213"/>
      <c r="O652" s="213"/>
      <c r="P652" s="200"/>
      <c r="Q652" s="200"/>
      <c r="R652" s="200"/>
      <c r="T652" s="154"/>
      <c r="U652" s="154"/>
      <c r="V652" s="200"/>
      <c r="Y652" s="200"/>
      <c r="Z652" s="213"/>
      <c r="AA652" s="200"/>
      <c r="AB652" s="200"/>
      <c r="AC652" s="213"/>
      <c r="AD652" s="213"/>
      <c r="AE652" s="200"/>
      <c r="AF652" s="200"/>
      <c r="AG652" s="209"/>
      <c r="AH652" s="201"/>
      <c r="AI652" s="200"/>
      <c r="AJ652" s="200"/>
      <c r="AK652" s="209"/>
      <c r="AL652" s="200"/>
      <c r="AM652" s="210"/>
      <c r="AN652" s="210"/>
    </row>
    <row r="653" spans="1:40" x14ac:dyDescent="0.25">
      <c r="A653" s="202"/>
      <c r="C653" s="154"/>
      <c r="D653" s="154"/>
      <c r="E653" s="154"/>
      <c r="F653" s="200"/>
      <c r="H653" s="200"/>
      <c r="I653" s="200"/>
      <c r="J653" s="213"/>
      <c r="K653" s="213"/>
      <c r="L653" s="200"/>
      <c r="M653" s="200"/>
      <c r="N653" s="213"/>
      <c r="O653" s="213"/>
      <c r="P653" s="200"/>
      <c r="Q653" s="200"/>
      <c r="R653" s="200"/>
      <c r="T653" s="154"/>
      <c r="U653" s="154"/>
      <c r="V653" s="200"/>
      <c r="Y653" s="200"/>
      <c r="Z653" s="213"/>
      <c r="AA653" s="200"/>
      <c r="AB653" s="200"/>
      <c r="AC653" s="213"/>
      <c r="AD653" s="213"/>
      <c r="AE653" s="200"/>
      <c r="AF653" s="200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C654" s="154"/>
      <c r="D654" s="154"/>
      <c r="E654" s="154"/>
      <c r="F654" s="200"/>
      <c r="H654" s="200"/>
      <c r="I654" s="200"/>
      <c r="J654" s="213"/>
      <c r="K654" s="213"/>
      <c r="L654" s="200"/>
      <c r="M654" s="200"/>
      <c r="N654" s="213"/>
      <c r="O654" s="213"/>
      <c r="P654" s="200"/>
      <c r="Q654" s="200"/>
      <c r="R654" s="200"/>
      <c r="T654" s="154"/>
      <c r="U654" s="154"/>
      <c r="V654" s="200"/>
      <c r="Y654" s="200"/>
      <c r="Z654" s="213"/>
      <c r="AA654" s="200"/>
      <c r="AB654" s="200"/>
      <c r="AC654" s="213"/>
      <c r="AD654" s="213"/>
      <c r="AE654" s="200"/>
      <c r="AF654" s="200"/>
      <c r="AG654" s="209"/>
      <c r="AH654" s="201"/>
      <c r="AI654" s="200"/>
      <c r="AJ654" s="200"/>
      <c r="AK654" s="209"/>
      <c r="AL654" s="200"/>
      <c r="AM654" s="210"/>
      <c r="AN654" s="210"/>
    </row>
    <row r="655" spans="1:40" x14ac:dyDescent="0.25">
      <c r="A655" s="202"/>
      <c r="C655" s="154"/>
      <c r="D655" s="154"/>
      <c r="E655" s="154"/>
      <c r="F655" s="200"/>
      <c r="H655" s="200"/>
      <c r="I655" s="200"/>
      <c r="J655" s="213"/>
      <c r="K655" s="213"/>
      <c r="L655" s="200"/>
      <c r="M655" s="200"/>
      <c r="N655" s="213"/>
      <c r="O655" s="213"/>
      <c r="P655" s="200"/>
      <c r="Q655" s="200"/>
      <c r="R655" s="200"/>
      <c r="T655" s="154"/>
      <c r="U655" s="154"/>
      <c r="V655" s="200"/>
      <c r="Y655" s="200"/>
      <c r="Z655" s="213"/>
      <c r="AA655" s="200"/>
      <c r="AB655" s="200"/>
      <c r="AC655" s="213"/>
      <c r="AD655" s="213"/>
      <c r="AE655" s="200"/>
      <c r="AF655" s="200"/>
      <c r="AG655" s="209"/>
      <c r="AH655" s="201"/>
      <c r="AI655" s="200"/>
      <c r="AJ655" s="200"/>
      <c r="AK655" s="209"/>
      <c r="AL655" s="200"/>
      <c r="AM655" s="210"/>
      <c r="AN655" s="210"/>
    </row>
    <row r="656" spans="1:40" x14ac:dyDescent="0.25">
      <c r="F656" s="200"/>
      <c r="H656" s="211"/>
      <c r="I656" s="211"/>
      <c r="J656" s="305"/>
      <c r="K656" s="305"/>
      <c r="L656" s="211"/>
      <c r="M656" s="211"/>
      <c r="N656" s="211"/>
      <c r="O656" s="211"/>
      <c r="P656" s="211"/>
      <c r="Q656" s="211"/>
      <c r="R656" s="211"/>
      <c r="V656" s="211"/>
      <c r="Y656" s="211"/>
      <c r="Z656" s="305"/>
      <c r="AA656" s="211"/>
      <c r="AB656" s="211"/>
      <c r="AC656" s="211"/>
      <c r="AD656" s="211"/>
      <c r="AE656" s="211"/>
      <c r="AF656" s="211"/>
      <c r="AI656" s="211"/>
      <c r="AJ656" s="211"/>
      <c r="AK656" s="212"/>
      <c r="AL656" s="211"/>
      <c r="AM656" s="210"/>
      <c r="AN656" s="210"/>
    </row>
    <row r="657" spans="1:40" x14ac:dyDescent="0.25">
      <c r="A657" s="202"/>
      <c r="C657" s="154"/>
      <c r="F657" s="211"/>
      <c r="H657" s="200"/>
      <c r="I657" s="200"/>
      <c r="J657" s="213"/>
      <c r="K657" s="213"/>
      <c r="L657" s="200"/>
      <c r="M657" s="200"/>
      <c r="N657" s="213"/>
      <c r="O657" s="213"/>
      <c r="P657" s="200"/>
      <c r="Q657" s="200"/>
      <c r="R657" s="200"/>
      <c r="T657" s="154"/>
      <c r="V657" s="200"/>
      <c r="Y657" s="200"/>
      <c r="Z657" s="213"/>
      <c r="AA657" s="200"/>
      <c r="AB657" s="200"/>
      <c r="AC657" s="213"/>
      <c r="AD657" s="213"/>
      <c r="AE657" s="200"/>
      <c r="AF657" s="200"/>
      <c r="AG657" s="209"/>
      <c r="AH657" s="201"/>
      <c r="AI657" s="200"/>
      <c r="AJ657" s="200"/>
      <c r="AK657" s="209"/>
      <c r="AL657" s="200"/>
      <c r="AM657" s="210"/>
      <c r="AN657" s="210"/>
    </row>
    <row r="658" spans="1:40" x14ac:dyDescent="0.25">
      <c r="F658" s="200"/>
      <c r="H658" s="200"/>
      <c r="I658" s="200"/>
      <c r="J658" s="213"/>
      <c r="K658" s="213"/>
      <c r="L658" s="200"/>
      <c r="M658" s="200"/>
      <c r="N658" s="213"/>
      <c r="O658" s="213"/>
      <c r="P658" s="200"/>
      <c r="Q658" s="200"/>
      <c r="R658" s="200"/>
      <c r="V658" s="200"/>
      <c r="Y658" s="200"/>
      <c r="Z658" s="213"/>
      <c r="AA658" s="200"/>
      <c r="AB658" s="200"/>
      <c r="AC658" s="213"/>
      <c r="AD658" s="213"/>
      <c r="AG658" s="209"/>
      <c r="AH658" s="201"/>
      <c r="AI658" s="200"/>
      <c r="AJ658" s="200"/>
      <c r="AK658" s="209"/>
      <c r="AL658" s="200"/>
      <c r="AM658" s="210"/>
      <c r="AN658" s="210"/>
    </row>
    <row r="659" spans="1:40" x14ac:dyDescent="0.25">
      <c r="A659" s="202"/>
      <c r="C659" s="154"/>
      <c r="D659" s="154"/>
      <c r="E659" s="154"/>
      <c r="F659" s="200"/>
      <c r="H659" s="200"/>
      <c r="I659" s="200"/>
      <c r="J659" s="213"/>
      <c r="K659" s="213"/>
      <c r="L659" s="200"/>
      <c r="M659" s="200"/>
      <c r="N659" s="213"/>
      <c r="O659" s="213"/>
      <c r="P659" s="200"/>
      <c r="Q659" s="200"/>
      <c r="R659" s="200"/>
      <c r="T659" s="154"/>
      <c r="U659" s="154"/>
      <c r="V659" s="200"/>
      <c r="Y659" s="200"/>
      <c r="Z659" s="213"/>
      <c r="AA659" s="200"/>
      <c r="AB659" s="200"/>
      <c r="AC659" s="213"/>
      <c r="AD659" s="213"/>
      <c r="AE659" s="200"/>
      <c r="AF659" s="200"/>
      <c r="AG659" s="209"/>
      <c r="AH659" s="201"/>
      <c r="AI659" s="200"/>
      <c r="AJ659" s="200"/>
      <c r="AK659" s="209"/>
      <c r="AL659" s="200"/>
      <c r="AM659" s="210"/>
      <c r="AN659" s="210"/>
    </row>
    <row r="660" spans="1:40" x14ac:dyDescent="0.25">
      <c r="F660" s="200"/>
      <c r="H660" s="211"/>
      <c r="I660" s="211"/>
      <c r="J660" s="305"/>
      <c r="K660" s="305"/>
      <c r="L660" s="211"/>
      <c r="M660" s="211"/>
      <c r="N660" s="211"/>
      <c r="O660" s="211"/>
      <c r="P660" s="211"/>
      <c r="Q660" s="211"/>
      <c r="R660" s="211"/>
      <c r="V660" s="211"/>
      <c r="Y660" s="211"/>
      <c r="Z660" s="305"/>
      <c r="AA660" s="211"/>
      <c r="AB660" s="211"/>
      <c r="AC660" s="211"/>
      <c r="AD660" s="211"/>
      <c r="AE660" s="211"/>
      <c r="AF660" s="211"/>
      <c r="AI660" s="211"/>
      <c r="AJ660" s="211"/>
      <c r="AK660" s="212"/>
      <c r="AL660" s="211"/>
      <c r="AM660" s="210"/>
      <c r="AN660" s="210"/>
    </row>
    <row r="661" spans="1:40" x14ac:dyDescent="0.25">
      <c r="A661" s="202"/>
      <c r="C661" s="154"/>
      <c r="F661" s="211"/>
      <c r="H661" s="200"/>
      <c r="I661" s="200"/>
      <c r="J661" s="213"/>
      <c r="K661" s="213"/>
      <c r="L661" s="200"/>
      <c r="M661" s="200"/>
      <c r="N661" s="213"/>
      <c r="O661" s="213"/>
      <c r="P661" s="200"/>
      <c r="Q661" s="200"/>
      <c r="R661" s="200"/>
      <c r="T661" s="154"/>
      <c r="V661" s="200"/>
      <c r="Y661" s="200"/>
      <c r="Z661" s="213"/>
      <c r="AA661" s="200"/>
      <c r="AB661" s="200"/>
      <c r="AC661" s="213"/>
      <c r="AD661" s="213"/>
      <c r="AE661" s="200"/>
      <c r="AF661" s="200"/>
      <c r="AG661" s="209"/>
      <c r="AH661" s="201"/>
      <c r="AI661" s="200"/>
      <c r="AJ661" s="200"/>
      <c r="AK661" s="209"/>
      <c r="AL661" s="200"/>
      <c r="AM661" s="210"/>
      <c r="AN661" s="210"/>
    </row>
    <row r="662" spans="1:40" x14ac:dyDescent="0.25">
      <c r="F662" s="200"/>
      <c r="H662" s="200"/>
      <c r="I662" s="200"/>
      <c r="J662" s="213"/>
      <c r="K662" s="213"/>
      <c r="L662" s="200"/>
      <c r="M662" s="200"/>
      <c r="N662" s="213"/>
      <c r="O662" s="213"/>
      <c r="P662" s="200"/>
      <c r="Q662" s="200"/>
      <c r="R662" s="200"/>
      <c r="V662" s="200"/>
      <c r="Y662" s="200"/>
      <c r="Z662" s="213"/>
      <c r="AA662" s="200"/>
      <c r="AB662" s="200"/>
      <c r="AC662" s="213"/>
      <c r="AD662" s="213"/>
      <c r="AG662" s="209"/>
      <c r="AH662" s="201"/>
      <c r="AI662" s="200"/>
      <c r="AJ662" s="200"/>
      <c r="AK662" s="209"/>
      <c r="AL662" s="200"/>
      <c r="AM662" s="210"/>
      <c r="AN662" s="210"/>
    </row>
    <row r="663" spans="1:40" x14ac:dyDescent="0.25">
      <c r="A663" s="202"/>
      <c r="C663" s="154"/>
      <c r="D663" s="154"/>
      <c r="E663" s="154"/>
      <c r="F663" s="200"/>
      <c r="H663" s="200"/>
      <c r="I663" s="200"/>
      <c r="J663" s="213"/>
      <c r="K663" s="213"/>
      <c r="L663" s="200"/>
      <c r="M663" s="200"/>
      <c r="N663" s="213"/>
      <c r="O663" s="213"/>
      <c r="P663" s="200"/>
      <c r="Q663" s="200"/>
      <c r="R663" s="200"/>
      <c r="T663" s="154"/>
      <c r="U663" s="154"/>
      <c r="V663" s="200"/>
      <c r="Y663" s="200"/>
      <c r="Z663" s="213"/>
      <c r="AA663" s="200"/>
      <c r="AB663" s="200"/>
      <c r="AC663" s="213"/>
      <c r="AD663" s="213"/>
      <c r="AE663" s="200"/>
      <c r="AF663" s="200"/>
      <c r="AG663" s="209"/>
      <c r="AH663" s="201"/>
      <c r="AI663" s="200"/>
      <c r="AJ663" s="200"/>
      <c r="AK663" s="209"/>
      <c r="AL663" s="200"/>
      <c r="AM663" s="210"/>
      <c r="AN663" s="210"/>
    </row>
    <row r="664" spans="1:40" x14ac:dyDescent="0.25">
      <c r="A664" s="202"/>
      <c r="C664" s="154"/>
      <c r="D664" s="154"/>
      <c r="E664" s="154"/>
      <c r="F664" s="200"/>
      <c r="G664" s="200"/>
      <c r="H664" s="200"/>
      <c r="I664" s="200"/>
      <c r="J664" s="213"/>
      <c r="K664" s="213"/>
      <c r="L664" s="200"/>
      <c r="M664" s="200"/>
      <c r="N664" s="213"/>
      <c r="O664" s="213"/>
      <c r="P664" s="200"/>
      <c r="Q664" s="200"/>
      <c r="R664" s="200"/>
      <c r="T664" s="154"/>
      <c r="U664" s="154"/>
      <c r="V664" s="200"/>
      <c r="W664" s="200"/>
      <c r="X664" s="200"/>
      <c r="Y664" s="200"/>
      <c r="Z664" s="213"/>
      <c r="AA664" s="200"/>
      <c r="AB664" s="200"/>
      <c r="AC664" s="213"/>
      <c r="AD664" s="213"/>
      <c r="AE664" s="200"/>
      <c r="AF664" s="200"/>
      <c r="AG664" s="209"/>
      <c r="AH664" s="201"/>
      <c r="AI664" s="200"/>
      <c r="AJ664" s="200"/>
      <c r="AK664" s="209"/>
      <c r="AL664" s="200"/>
      <c r="AM664" s="210"/>
      <c r="AN664" s="210"/>
    </row>
    <row r="665" spans="1:40" x14ac:dyDescent="0.25">
      <c r="A665" s="202"/>
      <c r="C665" s="154"/>
      <c r="D665" s="154"/>
      <c r="E665" s="154"/>
      <c r="F665" s="200"/>
      <c r="G665" s="200"/>
      <c r="H665" s="200"/>
      <c r="I665" s="200"/>
      <c r="J665" s="213"/>
      <c r="K665" s="213"/>
      <c r="L665" s="200"/>
      <c r="M665" s="200"/>
      <c r="N665" s="213"/>
      <c r="O665" s="213"/>
      <c r="P665" s="200"/>
      <c r="Q665" s="200"/>
      <c r="R665" s="200"/>
      <c r="T665" s="154"/>
      <c r="U665" s="154"/>
      <c r="V665" s="200"/>
      <c r="W665" s="200"/>
      <c r="X665" s="200"/>
      <c r="Y665" s="200"/>
      <c r="Z665" s="213"/>
      <c r="AA665" s="200"/>
      <c r="AB665" s="200"/>
      <c r="AC665" s="213"/>
      <c r="AD665" s="213"/>
      <c r="AE665" s="200"/>
      <c r="AF665" s="200"/>
      <c r="AG665" s="209"/>
      <c r="AH665" s="201"/>
      <c r="AI665" s="200"/>
      <c r="AJ665" s="200"/>
      <c r="AK665" s="209"/>
      <c r="AL665" s="200"/>
      <c r="AM665" s="210"/>
      <c r="AN665" s="210"/>
    </row>
    <row r="666" spans="1:40" x14ac:dyDescent="0.25">
      <c r="A666" s="202"/>
      <c r="C666" s="154"/>
      <c r="D666" s="154"/>
      <c r="E666" s="154"/>
      <c r="F666" s="200"/>
      <c r="H666" s="200"/>
      <c r="I666" s="200"/>
      <c r="J666" s="213"/>
      <c r="K666" s="213"/>
      <c r="L666" s="200"/>
      <c r="M666" s="200"/>
      <c r="N666" s="213"/>
      <c r="O666" s="213"/>
      <c r="P666" s="200"/>
      <c r="Q666" s="200"/>
      <c r="R666" s="200"/>
      <c r="T666" s="154"/>
      <c r="U666" s="154"/>
      <c r="V666" s="200"/>
      <c r="Y666" s="200"/>
      <c r="Z666" s="213"/>
      <c r="AA666" s="200"/>
      <c r="AB666" s="200"/>
      <c r="AC666" s="213"/>
      <c r="AD666" s="213"/>
      <c r="AE666" s="200"/>
      <c r="AF666" s="200"/>
      <c r="AG666" s="209"/>
      <c r="AH666" s="201"/>
      <c r="AI666" s="200"/>
      <c r="AJ666" s="200"/>
      <c r="AK666" s="209"/>
      <c r="AL666" s="200"/>
      <c r="AM666" s="210"/>
      <c r="AN666" s="210"/>
    </row>
    <row r="667" spans="1:40" x14ac:dyDescent="0.25">
      <c r="A667" s="202"/>
      <c r="C667" s="154"/>
      <c r="D667" s="154"/>
      <c r="E667" s="154"/>
      <c r="F667" s="200"/>
      <c r="H667" s="200"/>
      <c r="I667" s="200"/>
      <c r="J667" s="213"/>
      <c r="K667" s="213"/>
      <c r="L667" s="200"/>
      <c r="M667" s="200"/>
      <c r="N667" s="213"/>
      <c r="O667" s="213"/>
      <c r="P667" s="200"/>
      <c r="Q667" s="200"/>
      <c r="R667" s="200"/>
      <c r="T667" s="154"/>
      <c r="U667" s="154"/>
      <c r="V667" s="200"/>
      <c r="Y667" s="200"/>
      <c r="Z667" s="213"/>
      <c r="AA667" s="200"/>
      <c r="AB667" s="200"/>
      <c r="AC667" s="213"/>
      <c r="AD667" s="213"/>
      <c r="AE667" s="200"/>
      <c r="AF667" s="200"/>
      <c r="AG667" s="209"/>
      <c r="AH667" s="201"/>
      <c r="AI667" s="200"/>
      <c r="AJ667" s="200"/>
      <c r="AK667" s="209"/>
      <c r="AL667" s="200"/>
      <c r="AM667" s="210"/>
      <c r="AN667" s="210"/>
    </row>
    <row r="668" spans="1:40" x14ac:dyDescent="0.25">
      <c r="A668" s="202"/>
      <c r="C668" s="154"/>
      <c r="D668" s="154"/>
      <c r="E668" s="154"/>
      <c r="F668" s="200"/>
      <c r="H668" s="200"/>
      <c r="I668" s="200"/>
      <c r="J668" s="213"/>
      <c r="K668" s="213"/>
      <c r="L668" s="200"/>
      <c r="M668" s="200"/>
      <c r="N668" s="213"/>
      <c r="O668" s="213"/>
      <c r="P668" s="200"/>
      <c r="Q668" s="200"/>
      <c r="R668" s="200"/>
      <c r="T668" s="154"/>
      <c r="U668" s="154"/>
      <c r="V668" s="200"/>
      <c r="Y668" s="200"/>
      <c r="Z668" s="213"/>
      <c r="AA668" s="200"/>
      <c r="AB668" s="200"/>
      <c r="AC668" s="213"/>
      <c r="AD668" s="213"/>
      <c r="AE668" s="200"/>
      <c r="AF668" s="200"/>
      <c r="AG668" s="209"/>
      <c r="AH668" s="201"/>
      <c r="AI668" s="200"/>
      <c r="AJ668" s="200"/>
      <c r="AK668" s="209"/>
      <c r="AL668" s="200"/>
      <c r="AM668" s="210"/>
      <c r="AN668" s="210"/>
    </row>
    <row r="669" spans="1:40" x14ac:dyDescent="0.25">
      <c r="A669" s="202"/>
      <c r="C669" s="154"/>
      <c r="D669" s="154"/>
      <c r="E669" s="154"/>
      <c r="F669" s="200"/>
      <c r="H669" s="200"/>
      <c r="I669" s="200"/>
      <c r="J669" s="213"/>
      <c r="K669" s="213"/>
      <c r="L669" s="200"/>
      <c r="M669" s="200"/>
      <c r="N669" s="213"/>
      <c r="O669" s="213"/>
      <c r="P669" s="200"/>
      <c r="Q669" s="200"/>
      <c r="R669" s="200"/>
      <c r="T669" s="154"/>
      <c r="U669" s="154"/>
      <c r="V669" s="200"/>
      <c r="Y669" s="200"/>
      <c r="Z669" s="213"/>
      <c r="AA669" s="200"/>
      <c r="AB669" s="200"/>
      <c r="AC669" s="213"/>
      <c r="AD669" s="213"/>
      <c r="AE669" s="200"/>
      <c r="AF669" s="200"/>
      <c r="AG669" s="209"/>
      <c r="AH669" s="201"/>
      <c r="AI669" s="200"/>
      <c r="AJ669" s="200"/>
      <c r="AK669" s="209"/>
      <c r="AL669" s="200"/>
      <c r="AM669" s="210"/>
      <c r="AN669" s="210"/>
    </row>
    <row r="670" spans="1:40" x14ac:dyDescent="0.25">
      <c r="F670" s="200"/>
      <c r="H670" s="211"/>
      <c r="I670" s="211"/>
      <c r="J670" s="305"/>
      <c r="K670" s="305"/>
      <c r="L670" s="211"/>
      <c r="M670" s="211"/>
      <c r="N670" s="211"/>
      <c r="O670" s="211"/>
      <c r="P670" s="211"/>
      <c r="Q670" s="211"/>
      <c r="R670" s="211"/>
      <c r="V670" s="211"/>
      <c r="Y670" s="211"/>
      <c r="Z670" s="305"/>
      <c r="AA670" s="211"/>
      <c r="AB670" s="211"/>
      <c r="AC670" s="211"/>
      <c r="AD670" s="211"/>
      <c r="AE670" s="211"/>
      <c r="AF670" s="211"/>
      <c r="AI670" s="211"/>
      <c r="AJ670" s="211"/>
      <c r="AK670" s="212"/>
      <c r="AL670" s="211"/>
      <c r="AM670" s="210"/>
      <c r="AN670" s="210"/>
    </row>
    <row r="671" spans="1:40" x14ac:dyDescent="0.25">
      <c r="A671" s="202"/>
      <c r="C671" s="154"/>
      <c r="F671" s="211"/>
      <c r="H671" s="200"/>
      <c r="I671" s="200"/>
      <c r="J671" s="213"/>
      <c r="K671" s="213"/>
      <c r="L671" s="200"/>
      <c r="M671" s="200"/>
      <c r="N671" s="213"/>
      <c r="O671" s="213"/>
      <c r="P671" s="200"/>
      <c r="Q671" s="200"/>
      <c r="R671" s="200"/>
      <c r="T671" s="154"/>
      <c r="V671" s="200"/>
      <c r="Y671" s="200"/>
      <c r="Z671" s="213"/>
      <c r="AA671" s="200"/>
      <c r="AB671" s="200"/>
      <c r="AC671" s="213"/>
      <c r="AD671" s="213"/>
      <c r="AE671" s="200"/>
      <c r="AF671" s="200"/>
      <c r="AG671" s="209"/>
      <c r="AH671" s="201"/>
      <c r="AI671" s="200"/>
      <c r="AJ671" s="200"/>
      <c r="AK671" s="209"/>
      <c r="AL671" s="200"/>
      <c r="AM671" s="210"/>
      <c r="AN671" s="210"/>
    </row>
    <row r="672" spans="1:40" x14ac:dyDescent="0.25">
      <c r="F672" s="200"/>
      <c r="V672" s="200"/>
      <c r="Y672" s="200"/>
      <c r="Z672" s="305"/>
      <c r="AA672" s="200"/>
      <c r="AB672" s="200"/>
      <c r="AC672" s="200"/>
      <c r="AD672" s="200"/>
      <c r="AE672" s="200"/>
      <c r="AF672" s="200"/>
      <c r="AI672" s="200"/>
      <c r="AJ672" s="200"/>
      <c r="AK672" s="209"/>
      <c r="AL672" s="200"/>
      <c r="AM672" s="210"/>
      <c r="AN672" s="210"/>
    </row>
    <row r="673" spans="1:40" x14ac:dyDescent="0.25">
      <c r="A673" s="202"/>
      <c r="C673" s="154"/>
      <c r="D673" s="154"/>
      <c r="E673" s="154"/>
      <c r="L673" s="200"/>
      <c r="M673" s="200"/>
      <c r="N673" s="213"/>
      <c r="O673" s="213"/>
      <c r="P673" s="202"/>
      <c r="Q673" s="202"/>
      <c r="R673" s="200"/>
      <c r="T673" s="154"/>
      <c r="U673" s="154"/>
      <c r="AA673" s="200"/>
      <c r="AB673" s="200"/>
      <c r="AC673" s="213"/>
      <c r="AD673" s="213"/>
      <c r="AE673" s="200"/>
      <c r="AF673" s="200"/>
      <c r="AG673" s="209"/>
      <c r="AH673" s="201"/>
      <c r="AI673" s="202"/>
      <c r="AJ673" s="202"/>
      <c r="AK673" s="209"/>
      <c r="AL673" s="200"/>
      <c r="AM673" s="210"/>
      <c r="AN673" s="210"/>
    </row>
    <row r="674" spans="1:40" x14ac:dyDescent="0.25">
      <c r="A674" s="202"/>
      <c r="D674" s="154"/>
      <c r="E674" s="154"/>
      <c r="H674" s="252"/>
      <c r="I674" s="252"/>
      <c r="J674" s="213"/>
      <c r="K674" s="213"/>
      <c r="L674" s="200"/>
      <c r="M674" s="200"/>
      <c r="N674" s="213"/>
      <c r="O674" s="213"/>
      <c r="P674" s="252"/>
      <c r="Q674" s="252"/>
      <c r="R674" s="200"/>
      <c r="U674" s="154"/>
      <c r="V674" s="200"/>
      <c r="Y674" s="200"/>
      <c r="Z674" s="213"/>
      <c r="AA674" s="200"/>
      <c r="AB674" s="200"/>
      <c r="AC674" s="213"/>
      <c r="AD674" s="213"/>
      <c r="AE674" s="200"/>
      <c r="AF674" s="200"/>
      <c r="AG674" s="209"/>
      <c r="AH674" s="201"/>
      <c r="AI674" s="200"/>
      <c r="AJ674" s="200"/>
      <c r="AK674" s="209"/>
      <c r="AL674" s="200"/>
      <c r="AM674" s="210"/>
      <c r="AN674" s="210"/>
    </row>
    <row r="675" spans="1:40" x14ac:dyDescent="0.25">
      <c r="F675" s="252"/>
      <c r="H675" s="211"/>
      <c r="I675" s="211"/>
      <c r="J675" s="305"/>
      <c r="K675" s="305"/>
      <c r="L675" s="211"/>
      <c r="M675" s="211"/>
      <c r="N675" s="211"/>
      <c r="O675" s="211"/>
      <c r="P675" s="211"/>
      <c r="Q675" s="211"/>
      <c r="R675" s="211"/>
      <c r="V675" s="211"/>
      <c r="Y675" s="211"/>
      <c r="Z675" s="305"/>
      <c r="AA675" s="211"/>
      <c r="AB675" s="211"/>
      <c r="AC675" s="211"/>
      <c r="AD675" s="211"/>
      <c r="AE675" s="211"/>
      <c r="AF675" s="211"/>
      <c r="AI675" s="211"/>
      <c r="AJ675" s="211"/>
      <c r="AK675" s="212"/>
      <c r="AL675" s="211"/>
      <c r="AM675" s="210"/>
      <c r="AN675" s="210"/>
    </row>
    <row r="676" spans="1:40" x14ac:dyDescent="0.25">
      <c r="A676" s="202"/>
      <c r="C676" s="154"/>
      <c r="F676" s="211"/>
      <c r="H676" s="200"/>
      <c r="I676" s="200"/>
      <c r="J676" s="213"/>
      <c r="K676" s="213"/>
      <c r="L676" s="200"/>
      <c r="M676" s="200"/>
      <c r="N676" s="213"/>
      <c r="O676" s="213"/>
      <c r="P676" s="200"/>
      <c r="Q676" s="200"/>
      <c r="R676" s="200"/>
      <c r="T676" s="154"/>
      <c r="V676" s="200"/>
      <c r="Y676" s="200"/>
      <c r="Z676" s="213"/>
      <c r="AA676" s="200"/>
      <c r="AB676" s="200"/>
      <c r="AC676" s="213"/>
      <c r="AD676" s="213"/>
      <c r="AE676" s="200"/>
      <c r="AF676" s="200"/>
      <c r="AG676" s="209"/>
      <c r="AH676" s="201"/>
      <c r="AI676" s="200"/>
      <c r="AJ676" s="200"/>
      <c r="AK676" s="209"/>
      <c r="AL676" s="200"/>
      <c r="AM676" s="210"/>
      <c r="AN676" s="210"/>
    </row>
    <row r="677" spans="1:40" x14ac:dyDescent="0.25">
      <c r="F677" s="200"/>
      <c r="H677" s="200"/>
      <c r="I677" s="200"/>
      <c r="J677" s="213"/>
      <c r="K677" s="213"/>
      <c r="L677" s="200"/>
      <c r="M677" s="200"/>
      <c r="N677" s="213"/>
      <c r="O677" s="213"/>
      <c r="P677" s="200"/>
      <c r="Q677" s="200"/>
      <c r="R677" s="200"/>
      <c r="V677" s="200"/>
      <c r="Y677" s="200"/>
      <c r="Z677" s="213"/>
      <c r="AA677" s="200"/>
      <c r="AB677" s="200"/>
      <c r="AC677" s="213"/>
      <c r="AD677" s="213"/>
      <c r="AG677" s="209"/>
      <c r="AH677" s="201"/>
      <c r="AI677" s="200"/>
      <c r="AJ677" s="200"/>
      <c r="AK677" s="209"/>
      <c r="AL677" s="200"/>
      <c r="AM677" s="210"/>
      <c r="AN677" s="210"/>
    </row>
    <row r="678" spans="1:40" x14ac:dyDescent="0.25">
      <c r="A678" s="202"/>
      <c r="D678" s="154"/>
      <c r="E678" s="154"/>
      <c r="F678" s="200"/>
      <c r="H678" s="200"/>
      <c r="I678" s="200"/>
      <c r="J678" s="213"/>
      <c r="K678" s="213"/>
      <c r="L678" s="252"/>
      <c r="M678" s="252"/>
      <c r="N678" s="213"/>
      <c r="O678" s="213"/>
      <c r="P678" s="200"/>
      <c r="Q678" s="200"/>
      <c r="R678" s="200"/>
      <c r="U678" s="154"/>
      <c r="V678" s="200"/>
      <c r="Y678" s="200"/>
      <c r="Z678" s="213"/>
      <c r="AA678" s="252"/>
      <c r="AB678" s="252"/>
      <c r="AC678" s="213"/>
      <c r="AD678" s="213"/>
      <c r="AE678" s="200"/>
      <c r="AF678" s="200"/>
      <c r="AG678" s="209"/>
      <c r="AH678" s="201"/>
      <c r="AI678" s="200"/>
      <c r="AJ678" s="200"/>
      <c r="AK678" s="209"/>
      <c r="AL678" s="200"/>
      <c r="AM678" s="210"/>
      <c r="AN678" s="210"/>
    </row>
    <row r="679" spans="1:40" x14ac:dyDescent="0.25">
      <c r="A679" s="202"/>
      <c r="D679" s="154"/>
      <c r="E679" s="154"/>
      <c r="F679" s="200"/>
      <c r="H679" s="200"/>
      <c r="I679" s="200"/>
      <c r="J679" s="213"/>
      <c r="K679" s="213"/>
      <c r="L679" s="252"/>
      <c r="M679" s="252"/>
      <c r="N679" s="213"/>
      <c r="O679" s="213"/>
      <c r="P679" s="200"/>
      <c r="Q679" s="200"/>
      <c r="R679" s="200"/>
      <c r="U679" s="154"/>
      <c r="V679" s="200"/>
      <c r="Y679" s="200"/>
      <c r="Z679" s="213"/>
      <c r="AA679" s="252"/>
      <c r="AB679" s="252"/>
      <c r="AC679" s="213"/>
      <c r="AD679" s="213"/>
      <c r="AE679" s="200"/>
      <c r="AF679" s="200"/>
      <c r="AG679" s="209"/>
      <c r="AH679" s="201"/>
      <c r="AI679" s="200"/>
      <c r="AJ679" s="200"/>
      <c r="AK679" s="209"/>
      <c r="AL679" s="200"/>
      <c r="AM679" s="210"/>
      <c r="AN679" s="210"/>
    </row>
    <row r="680" spans="1:40" x14ac:dyDescent="0.25">
      <c r="A680" s="202"/>
      <c r="D680" s="154"/>
      <c r="E680" s="154"/>
      <c r="F680" s="200"/>
      <c r="H680" s="200"/>
      <c r="I680" s="200"/>
      <c r="J680" s="213"/>
      <c r="K680" s="213"/>
      <c r="L680" s="252"/>
      <c r="M680" s="252"/>
      <c r="N680" s="213"/>
      <c r="O680" s="213"/>
      <c r="P680" s="200"/>
      <c r="Q680" s="200"/>
      <c r="R680" s="200"/>
      <c r="U680" s="154"/>
      <c r="V680" s="200"/>
      <c r="Y680" s="200"/>
      <c r="Z680" s="213"/>
      <c r="AA680" s="252"/>
      <c r="AB680" s="252"/>
      <c r="AC680" s="213"/>
      <c r="AD680" s="213"/>
      <c r="AE680" s="200"/>
      <c r="AF680" s="200"/>
      <c r="AG680" s="209"/>
      <c r="AH680" s="201"/>
      <c r="AI680" s="200"/>
      <c r="AJ680" s="200"/>
      <c r="AK680" s="209"/>
      <c r="AL680" s="200"/>
      <c r="AM680" s="210"/>
      <c r="AN680" s="210"/>
    </row>
    <row r="681" spans="1:40" x14ac:dyDescent="0.25">
      <c r="F681" s="200"/>
      <c r="H681" s="211"/>
      <c r="I681" s="211"/>
      <c r="J681" s="305"/>
      <c r="K681" s="305"/>
      <c r="L681" s="211"/>
      <c r="M681" s="211"/>
      <c r="N681" s="211"/>
      <c r="O681" s="211"/>
      <c r="P681" s="211"/>
      <c r="Q681" s="211"/>
      <c r="R681" s="211"/>
      <c r="V681" s="211"/>
      <c r="Y681" s="211"/>
      <c r="Z681" s="305"/>
      <c r="AA681" s="211"/>
      <c r="AB681" s="211"/>
      <c r="AC681" s="211"/>
      <c r="AD681" s="211"/>
      <c r="AE681" s="211"/>
      <c r="AF681" s="211"/>
      <c r="AI681" s="211"/>
      <c r="AJ681" s="211"/>
      <c r="AK681" s="212"/>
      <c r="AL681" s="211"/>
      <c r="AM681" s="210"/>
      <c r="AN681" s="210"/>
    </row>
    <row r="682" spans="1:40" x14ac:dyDescent="0.25">
      <c r="A682" s="202"/>
      <c r="C682" s="154"/>
      <c r="F682" s="211"/>
      <c r="H682" s="200"/>
      <c r="I682" s="200"/>
      <c r="J682" s="213"/>
      <c r="K682" s="213"/>
      <c r="L682" s="200"/>
      <c r="M682" s="200"/>
      <c r="N682" s="213"/>
      <c r="O682" s="213"/>
      <c r="P682" s="200"/>
      <c r="Q682" s="200"/>
      <c r="R682" s="200"/>
      <c r="T682" s="154"/>
      <c r="V682" s="200"/>
      <c r="Y682" s="200"/>
      <c r="Z682" s="213"/>
      <c r="AA682" s="200"/>
      <c r="AB682" s="200"/>
      <c r="AC682" s="213"/>
      <c r="AD682" s="213"/>
      <c r="AE682" s="200"/>
      <c r="AF682" s="200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F683" s="200"/>
      <c r="H683" s="200"/>
      <c r="I683" s="200"/>
      <c r="J683" s="213"/>
      <c r="K683" s="213"/>
      <c r="L683" s="200"/>
      <c r="M683" s="200"/>
      <c r="N683" s="213"/>
      <c r="O683" s="213"/>
      <c r="P683" s="200"/>
      <c r="Q683" s="200"/>
      <c r="R683" s="200"/>
      <c r="V683" s="200"/>
      <c r="Y683" s="200"/>
      <c r="Z683" s="213"/>
      <c r="AA683" s="200"/>
      <c r="AB683" s="200"/>
      <c r="AC683" s="213"/>
      <c r="AD683" s="213"/>
      <c r="AG683" s="209"/>
      <c r="AH683" s="201"/>
      <c r="AI683" s="200"/>
      <c r="AJ683" s="200"/>
      <c r="AK683" s="209"/>
      <c r="AL683" s="200"/>
      <c r="AM683" s="210"/>
      <c r="AN683" s="210"/>
    </row>
    <row r="684" spans="1:40" x14ac:dyDescent="0.25">
      <c r="A684" s="202"/>
      <c r="C684" s="154"/>
      <c r="F684" s="200"/>
      <c r="H684" s="200"/>
      <c r="I684" s="200"/>
      <c r="J684" s="213"/>
      <c r="K684" s="213"/>
      <c r="L684" s="200"/>
      <c r="M684" s="200"/>
      <c r="N684" s="213"/>
      <c r="O684" s="213"/>
      <c r="P684" s="200"/>
      <c r="Q684" s="200"/>
      <c r="R684" s="200"/>
      <c r="T684" s="154"/>
      <c r="V684" s="200"/>
      <c r="Y684" s="200"/>
      <c r="Z684" s="213"/>
      <c r="AA684" s="200"/>
      <c r="AB684" s="200"/>
      <c r="AC684" s="213"/>
      <c r="AD684" s="213"/>
      <c r="AE684" s="200"/>
      <c r="AF684" s="200"/>
      <c r="AG684" s="209"/>
      <c r="AH684" s="201"/>
      <c r="AI684" s="200"/>
      <c r="AJ684" s="200"/>
      <c r="AK684" s="209"/>
      <c r="AL684" s="200"/>
      <c r="AM684" s="210"/>
      <c r="AN684" s="210"/>
    </row>
    <row r="685" spans="1:40" x14ac:dyDescent="0.25">
      <c r="F685" s="200"/>
      <c r="H685" s="211"/>
      <c r="I685" s="211"/>
      <c r="J685" s="305"/>
      <c r="K685" s="305"/>
      <c r="L685" s="211"/>
      <c r="M685" s="211"/>
      <c r="N685" s="211"/>
      <c r="O685" s="211"/>
      <c r="P685" s="211"/>
      <c r="Q685" s="211"/>
      <c r="R685" s="211"/>
      <c r="V685" s="211"/>
      <c r="Y685" s="211"/>
      <c r="Z685" s="305"/>
      <c r="AA685" s="211"/>
      <c r="AB685" s="211"/>
      <c r="AC685" s="211"/>
      <c r="AD685" s="211"/>
      <c r="AE685" s="211"/>
      <c r="AF685" s="211"/>
      <c r="AI685" s="211"/>
      <c r="AJ685" s="211"/>
      <c r="AK685" s="212"/>
      <c r="AL685" s="211"/>
    </row>
    <row r="687" spans="1:40" x14ac:dyDescent="0.25">
      <c r="C687" s="154"/>
      <c r="F687" s="211"/>
      <c r="L687" s="200"/>
      <c r="M687" s="200"/>
      <c r="P687" s="200"/>
      <c r="Q687" s="200"/>
      <c r="R687" s="200"/>
      <c r="T687" s="154"/>
    </row>
    <row r="688" spans="1:40" x14ac:dyDescent="0.25">
      <c r="A688" s="154"/>
      <c r="L688" s="200"/>
      <c r="M688" s="200"/>
      <c r="P688" s="200"/>
      <c r="Q688" s="200"/>
      <c r="R688" s="200"/>
    </row>
    <row r="689" spans="12:18" x14ac:dyDescent="0.25">
      <c r="L689" s="200"/>
      <c r="M689" s="200"/>
      <c r="P689" s="200"/>
      <c r="Q689" s="200"/>
      <c r="R689" s="200"/>
    </row>
    <row r="690" spans="12:18" x14ac:dyDescent="0.25">
      <c r="L690" s="200"/>
      <c r="M690" s="200"/>
      <c r="P690" s="200"/>
      <c r="Q690" s="200"/>
      <c r="R690" s="200"/>
    </row>
    <row r="691" spans="12:18" x14ac:dyDescent="0.25">
      <c r="L691" s="200"/>
      <c r="M691" s="200"/>
      <c r="P691" s="200"/>
      <c r="Q691" s="200"/>
      <c r="R691" s="200"/>
    </row>
    <row r="692" spans="12:18" x14ac:dyDescent="0.25">
      <c r="L692" s="200"/>
      <c r="M692" s="200"/>
      <c r="P692" s="200"/>
      <c r="Q692" s="200"/>
      <c r="R692" s="200"/>
    </row>
    <row r="693" spans="12:18" x14ac:dyDescent="0.25">
      <c r="L693" s="200"/>
      <c r="M693" s="200"/>
      <c r="P693" s="200"/>
      <c r="Q693" s="200"/>
      <c r="R693" s="200"/>
    </row>
    <row r="726" spans="49:49" x14ac:dyDescent="0.25">
      <c r="AW726" s="200"/>
    </row>
    <row r="727" spans="49:49" x14ac:dyDescent="0.25">
      <c r="AW727" s="200"/>
    </row>
    <row r="728" spans="49:49" x14ac:dyDescent="0.25">
      <c r="AW728" s="200"/>
    </row>
    <row r="729" spans="49:49" x14ac:dyDescent="0.25">
      <c r="AW729" s="200"/>
    </row>
    <row r="730" spans="49:49" x14ac:dyDescent="0.25">
      <c r="AW730" s="200"/>
    </row>
    <row r="731" spans="49:49" x14ac:dyDescent="0.25">
      <c r="AW731" s="200"/>
    </row>
    <row r="734" spans="49:49" x14ac:dyDescent="0.25">
      <c r="AW734" s="200"/>
    </row>
    <row r="735" spans="49:49" x14ac:dyDescent="0.25">
      <c r="AW735" s="200"/>
    </row>
    <row r="736" spans="49:49" x14ac:dyDescent="0.25">
      <c r="AW736" s="200"/>
    </row>
    <row r="737" spans="49:49" x14ac:dyDescent="0.25">
      <c r="AW737" s="200"/>
    </row>
    <row r="738" spans="49:49" x14ac:dyDescent="0.25">
      <c r="AW738" s="200"/>
    </row>
    <row r="739" spans="49:49" x14ac:dyDescent="0.25">
      <c r="AW739" s="200"/>
    </row>
    <row r="740" spans="49:49" x14ac:dyDescent="0.25">
      <c r="AW740" s="200"/>
    </row>
    <row r="741" spans="49:49" x14ac:dyDescent="0.25">
      <c r="AW741" s="200"/>
    </row>
    <row r="744" spans="49:49" x14ac:dyDescent="0.25">
      <c r="AW744" s="200"/>
    </row>
    <row r="745" spans="49:49" x14ac:dyDescent="0.25">
      <c r="AW745" s="200"/>
    </row>
    <row r="748" spans="49:49" x14ac:dyDescent="0.25">
      <c r="AW748" s="200"/>
    </row>
    <row r="749" spans="49:49" x14ac:dyDescent="0.25">
      <c r="AW749" s="200"/>
    </row>
    <row r="750" spans="49:49" x14ac:dyDescent="0.25">
      <c r="AW750" s="200"/>
    </row>
    <row r="751" spans="49:49" x14ac:dyDescent="0.25">
      <c r="AW751" s="200"/>
    </row>
    <row r="757" spans="45:69" x14ac:dyDescent="0.25">
      <c r="AY757" s="202"/>
    </row>
    <row r="758" spans="45:69" x14ac:dyDescent="0.25">
      <c r="AY758" s="202"/>
    </row>
    <row r="759" spans="45:69" x14ac:dyDescent="0.25">
      <c r="AY759" s="154"/>
    </row>
    <row r="760" spans="45:69" x14ac:dyDescent="0.25">
      <c r="AY760" s="154"/>
    </row>
    <row r="761" spans="45:69" x14ac:dyDescent="0.25">
      <c r="AS761" s="202"/>
      <c r="BD761" s="154"/>
    </row>
    <row r="762" spans="45:69" x14ac:dyDescent="0.25">
      <c r="AS762" s="202"/>
      <c r="BD762" s="154"/>
    </row>
    <row r="763" spans="45:69" x14ac:dyDescent="0.25">
      <c r="AS763" s="154"/>
      <c r="BD763" s="154"/>
    </row>
    <row r="764" spans="45:69" x14ac:dyDescent="0.25">
      <c r="BD764" s="202"/>
    </row>
    <row r="765" spans="45:69" x14ac:dyDescent="0.25"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</row>
    <row r="766" spans="45:69" x14ac:dyDescent="0.25">
      <c r="AX766" s="154"/>
    </row>
    <row r="767" spans="45:69" x14ac:dyDescent="0.25">
      <c r="AX767" s="102"/>
      <c r="AY767" s="102"/>
      <c r="AZ767" s="102"/>
      <c r="BA767" s="102"/>
      <c r="BC767" s="103"/>
      <c r="BD767" s="103"/>
    </row>
    <row r="768" spans="45:69" x14ac:dyDescent="0.25">
      <c r="AV768" s="103"/>
      <c r="AW768" s="103"/>
      <c r="AZ768" s="103"/>
      <c r="BA768" s="103"/>
      <c r="BC768" s="103"/>
      <c r="BD768" s="103"/>
      <c r="BE768" s="103"/>
      <c r="BG768" s="102"/>
      <c r="BH768" s="154"/>
      <c r="BK768" s="102"/>
      <c r="BM768" s="102"/>
      <c r="BN768" s="154"/>
      <c r="BQ768" s="102"/>
    </row>
    <row r="769" spans="45:69" x14ac:dyDescent="0.25"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H769" s="103"/>
      <c r="BI769" s="103"/>
      <c r="BJ769" s="103"/>
      <c r="BN769" s="103"/>
      <c r="BO769" s="103"/>
      <c r="BP769" s="103"/>
    </row>
    <row r="770" spans="45:69" x14ac:dyDescent="0.25">
      <c r="AS770" s="103"/>
      <c r="AU770" s="154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G770" s="103"/>
      <c r="BH770" s="103"/>
      <c r="BI770" s="103"/>
      <c r="BJ770" s="103"/>
      <c r="BK770" s="103"/>
      <c r="BM770" s="103"/>
      <c r="BN770" s="103"/>
      <c r="BO770" s="103"/>
      <c r="BP770" s="103"/>
      <c r="BQ770" s="103"/>
    </row>
    <row r="771" spans="45:69" x14ac:dyDescent="0.25">
      <c r="AS771" s="103"/>
      <c r="AU771" s="154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G771" s="103"/>
      <c r="BH771" s="103"/>
      <c r="BI771" s="103"/>
      <c r="BJ771" s="103"/>
      <c r="BK771" s="103"/>
      <c r="BM771" s="103"/>
      <c r="BN771" s="103"/>
      <c r="BO771" s="103"/>
      <c r="BP771" s="103"/>
      <c r="BQ771" s="103"/>
    </row>
    <row r="772" spans="45:69" x14ac:dyDescent="0.25"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G772" s="102"/>
      <c r="BH772" s="102"/>
      <c r="BI772" s="102"/>
      <c r="BJ772" s="102"/>
      <c r="BK772" s="102"/>
      <c r="BM772" s="102"/>
      <c r="BN772" s="102"/>
      <c r="BO772" s="102"/>
      <c r="BP772" s="102"/>
      <c r="BQ772" s="102"/>
    </row>
    <row r="773" spans="45:69" x14ac:dyDescent="0.25"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</row>
    <row r="774" spans="45:69" x14ac:dyDescent="0.25">
      <c r="AS774" s="202"/>
      <c r="AU774" s="154"/>
      <c r="AV774" s="103"/>
      <c r="AY774" s="213"/>
    </row>
    <row r="775" spans="45:69" x14ac:dyDescent="0.25">
      <c r="AS775" s="202"/>
      <c r="AV775" s="103"/>
      <c r="AW775" s="200"/>
      <c r="AX775" s="334"/>
      <c r="AY775" s="334"/>
      <c r="AZ775" s="334"/>
      <c r="BA775" s="210"/>
      <c r="BB775" s="334"/>
      <c r="BC775" s="213"/>
      <c r="BD775" s="213"/>
      <c r="BE775" s="210"/>
      <c r="BG775" s="334"/>
      <c r="BH775" s="334"/>
      <c r="BI775" s="334"/>
      <c r="BJ775" s="334"/>
      <c r="BK775" s="334"/>
      <c r="BM775" s="334"/>
      <c r="BN775" s="334"/>
      <c r="BO775" s="334"/>
      <c r="BP775" s="334"/>
      <c r="BQ775" s="334"/>
    </row>
    <row r="776" spans="45:69" x14ac:dyDescent="0.25">
      <c r="AS776" s="202"/>
      <c r="AV776" s="103"/>
      <c r="AW776" s="200"/>
      <c r="AX776" s="334"/>
      <c r="AY776" s="334"/>
      <c r="AZ776" s="334"/>
      <c r="BA776" s="210"/>
      <c r="BB776" s="334"/>
      <c r="BC776" s="213"/>
      <c r="BD776" s="213"/>
      <c r="BE776" s="210"/>
      <c r="BG776" s="334"/>
      <c r="BH776" s="334"/>
      <c r="BI776" s="334"/>
      <c r="BJ776" s="334"/>
      <c r="BK776" s="334"/>
      <c r="BM776" s="334"/>
      <c r="BN776" s="334"/>
      <c r="BO776" s="334"/>
      <c r="BP776" s="334"/>
      <c r="BQ776" s="334"/>
    </row>
    <row r="777" spans="45:69" x14ac:dyDescent="0.25">
      <c r="AS777" s="202"/>
      <c r="AV777" s="103"/>
      <c r="AW777" s="200"/>
      <c r="AX777" s="334"/>
      <c r="AY777" s="334"/>
      <c r="AZ777" s="334"/>
      <c r="BA777" s="210"/>
      <c r="BB777" s="334"/>
      <c r="BC777" s="213"/>
      <c r="BD777" s="213"/>
      <c r="BE777" s="210"/>
      <c r="BG777" s="334"/>
      <c r="BH777" s="334"/>
      <c r="BI777" s="334"/>
      <c r="BJ777" s="334"/>
      <c r="BK777" s="334"/>
      <c r="BM777" s="334"/>
      <c r="BN777" s="334"/>
      <c r="BO777" s="334"/>
      <c r="BP777" s="334"/>
      <c r="BQ777" s="334"/>
    </row>
    <row r="778" spans="45:69" x14ac:dyDescent="0.25">
      <c r="AS778" s="202"/>
      <c r="AV778" s="103"/>
      <c r="AW778" s="200"/>
      <c r="AX778" s="334"/>
      <c r="AY778" s="334"/>
      <c r="AZ778" s="334"/>
      <c r="BA778" s="210"/>
      <c r="BB778" s="334"/>
      <c r="BC778" s="213"/>
      <c r="BD778" s="213"/>
      <c r="BE778" s="210"/>
      <c r="BG778" s="334"/>
      <c r="BH778" s="334"/>
      <c r="BI778" s="334"/>
      <c r="BJ778" s="334"/>
      <c r="BK778" s="334"/>
      <c r="BM778" s="334"/>
      <c r="BN778" s="334"/>
      <c r="BO778" s="334"/>
      <c r="BP778" s="334"/>
      <c r="BQ778" s="334"/>
    </row>
    <row r="779" spans="45:69" x14ac:dyDescent="0.25">
      <c r="AS779" s="202"/>
      <c r="AV779" s="103"/>
      <c r="AW779" s="200"/>
      <c r="AX779" s="334"/>
      <c r="AY779" s="334"/>
      <c r="AZ779" s="334"/>
      <c r="BA779" s="210"/>
      <c r="BB779" s="334"/>
      <c r="BC779" s="213"/>
      <c r="BD779" s="213"/>
      <c r="BE779" s="210"/>
      <c r="BG779" s="334"/>
      <c r="BH779" s="334"/>
      <c r="BI779" s="334"/>
      <c r="BJ779" s="334"/>
      <c r="BK779" s="334"/>
      <c r="BM779" s="334"/>
      <c r="BN779" s="334"/>
      <c r="BO779" s="334"/>
      <c r="BP779" s="334"/>
      <c r="BQ779" s="334"/>
    </row>
    <row r="780" spans="45:69" x14ac:dyDescent="0.25">
      <c r="AS780" s="202"/>
      <c r="AV780" s="103"/>
      <c r="AW780" s="200"/>
      <c r="AX780" s="334"/>
      <c r="AY780" s="334"/>
      <c r="AZ780" s="334"/>
      <c r="BA780" s="210"/>
      <c r="BB780" s="334"/>
      <c r="BC780" s="213"/>
      <c r="BD780" s="213"/>
      <c r="BE780" s="210"/>
      <c r="BG780" s="334"/>
      <c r="BH780" s="334"/>
      <c r="BI780" s="334"/>
      <c r="BJ780" s="334"/>
      <c r="BK780" s="334"/>
      <c r="BM780" s="334"/>
      <c r="BN780" s="334"/>
      <c r="BO780" s="334"/>
      <c r="BP780" s="334"/>
      <c r="BQ780" s="334"/>
    </row>
    <row r="781" spans="45:69" x14ac:dyDescent="0.25">
      <c r="AS781" s="202"/>
      <c r="AV781" s="103"/>
      <c r="AW781" s="200"/>
      <c r="AX781" s="334"/>
      <c r="AY781" s="334"/>
      <c r="AZ781" s="334"/>
      <c r="BA781" s="210"/>
      <c r="BB781" s="334"/>
      <c r="BC781" s="213"/>
      <c r="BD781" s="213"/>
      <c r="BE781" s="210"/>
      <c r="BG781" s="334"/>
      <c r="BH781" s="334"/>
      <c r="BI781" s="334"/>
      <c r="BJ781" s="334"/>
      <c r="BK781" s="334"/>
      <c r="BM781" s="334"/>
      <c r="BN781" s="334"/>
      <c r="BO781" s="334"/>
      <c r="BP781" s="334"/>
      <c r="BQ781" s="334"/>
    </row>
    <row r="782" spans="45:69" x14ac:dyDescent="0.25">
      <c r="AY782" s="213"/>
      <c r="AZ782" s="334"/>
      <c r="BA782" s="210"/>
      <c r="BB782" s="334"/>
      <c r="BC782" s="213"/>
      <c r="BD782" s="213"/>
      <c r="BE782" s="210"/>
      <c r="BK782" s="334"/>
      <c r="BQ782" s="334"/>
    </row>
    <row r="783" spans="45:69" x14ac:dyDescent="0.25">
      <c r="AS783" s="202"/>
      <c r="AV783" s="103"/>
      <c r="AY783" s="213"/>
      <c r="AZ783" s="334"/>
      <c r="BA783" s="210"/>
      <c r="BB783" s="334"/>
      <c r="BC783" s="213"/>
      <c r="BD783" s="213"/>
      <c r="BE783" s="210"/>
      <c r="BK783" s="334"/>
      <c r="BQ783" s="334"/>
    </row>
    <row r="784" spans="45:69" x14ac:dyDescent="0.25">
      <c r="AS784" s="202"/>
      <c r="AV784" s="103"/>
      <c r="AW784" s="200"/>
      <c r="AX784" s="334"/>
      <c r="AY784" s="334"/>
      <c r="AZ784" s="334"/>
      <c r="BA784" s="210"/>
      <c r="BB784" s="334"/>
      <c r="BC784" s="213"/>
      <c r="BD784" s="213"/>
      <c r="BE784" s="210"/>
      <c r="BG784" s="334"/>
      <c r="BH784" s="334"/>
      <c r="BI784" s="334"/>
      <c r="BJ784" s="334"/>
      <c r="BK784" s="334"/>
      <c r="BM784" s="334"/>
      <c r="BN784" s="334"/>
      <c r="BO784" s="334"/>
      <c r="BP784" s="334"/>
      <c r="BQ784" s="334"/>
    </row>
    <row r="785" spans="45:69" x14ac:dyDescent="0.25">
      <c r="AS785" s="202"/>
      <c r="AV785" s="103"/>
      <c r="AW785" s="200"/>
      <c r="AX785" s="334"/>
      <c r="AY785" s="334"/>
      <c r="AZ785" s="334"/>
      <c r="BA785" s="210"/>
      <c r="BB785" s="334"/>
      <c r="BC785" s="213"/>
      <c r="BD785" s="213"/>
      <c r="BE785" s="210"/>
      <c r="BG785" s="334"/>
      <c r="BH785" s="334"/>
      <c r="BI785" s="334"/>
      <c r="BJ785" s="334"/>
      <c r="BK785" s="334"/>
      <c r="BM785" s="334"/>
      <c r="BN785" s="334"/>
      <c r="BO785" s="334"/>
      <c r="BP785" s="334"/>
      <c r="BQ785" s="334"/>
    </row>
    <row r="786" spans="45:69" x14ac:dyDescent="0.25">
      <c r="AS786" s="202"/>
      <c r="AV786" s="103"/>
      <c r="AW786" s="200"/>
      <c r="AX786" s="334"/>
      <c r="AY786" s="334"/>
      <c r="AZ786" s="334"/>
      <c r="BA786" s="210"/>
      <c r="BB786" s="334"/>
      <c r="BC786" s="213"/>
      <c r="BD786" s="213"/>
      <c r="BE786" s="210"/>
      <c r="BG786" s="334"/>
      <c r="BH786" s="334"/>
      <c r="BI786" s="334"/>
      <c r="BJ786" s="334"/>
      <c r="BK786" s="334"/>
      <c r="BM786" s="334"/>
      <c r="BN786" s="334"/>
      <c r="BO786" s="334"/>
      <c r="BP786" s="334"/>
      <c r="BQ786" s="334"/>
    </row>
    <row r="787" spans="45:69" x14ac:dyDescent="0.25">
      <c r="AS787" s="202"/>
      <c r="AV787" s="103"/>
      <c r="AW787" s="200"/>
      <c r="AX787" s="334"/>
      <c r="AY787" s="334"/>
      <c r="AZ787" s="334"/>
      <c r="BA787" s="210"/>
      <c r="BB787" s="334"/>
      <c r="BC787" s="213"/>
      <c r="BD787" s="213"/>
      <c r="BE787" s="210"/>
      <c r="BG787" s="334"/>
      <c r="BH787" s="334"/>
      <c r="BI787" s="334"/>
      <c r="BJ787" s="334"/>
      <c r="BK787" s="334"/>
      <c r="BM787" s="334"/>
      <c r="BN787" s="334"/>
      <c r="BO787" s="334"/>
      <c r="BP787" s="334"/>
      <c r="BQ787" s="334"/>
    </row>
    <row r="788" spans="45:69" x14ac:dyDescent="0.25">
      <c r="AS788" s="202"/>
      <c r="AV788" s="103"/>
      <c r="AW788" s="200"/>
      <c r="AX788" s="334"/>
      <c r="AY788" s="334"/>
      <c r="AZ788" s="334"/>
      <c r="BA788" s="210"/>
      <c r="BB788" s="334"/>
      <c r="BC788" s="213"/>
      <c r="BD788" s="213"/>
      <c r="BE788" s="210"/>
      <c r="BG788" s="334"/>
      <c r="BH788" s="334"/>
      <c r="BI788" s="334"/>
      <c r="BJ788" s="334"/>
      <c r="BK788" s="334"/>
      <c r="BM788" s="334"/>
      <c r="BN788" s="334"/>
      <c r="BO788" s="334"/>
      <c r="BP788" s="334"/>
      <c r="BQ788" s="334"/>
    </row>
    <row r="789" spans="45:69" x14ac:dyDescent="0.25">
      <c r="AS789" s="202"/>
      <c r="AV789" s="103"/>
      <c r="AW789" s="200"/>
      <c r="AX789" s="334"/>
      <c r="AY789" s="334"/>
      <c r="AZ789" s="334"/>
      <c r="BA789" s="210"/>
      <c r="BB789" s="334"/>
      <c r="BC789" s="213"/>
      <c r="BD789" s="213"/>
      <c r="BE789" s="210"/>
      <c r="BG789" s="334"/>
      <c r="BH789" s="334"/>
      <c r="BI789" s="334"/>
      <c r="BJ789" s="334"/>
      <c r="BK789" s="334"/>
      <c r="BM789" s="334"/>
      <c r="BN789" s="334"/>
      <c r="BO789" s="334"/>
      <c r="BP789" s="334"/>
      <c r="BQ789" s="334"/>
    </row>
    <row r="790" spans="45:69" x14ac:dyDescent="0.25">
      <c r="AS790" s="202"/>
      <c r="AV790" s="103"/>
      <c r="AW790" s="200"/>
      <c r="AX790" s="334"/>
      <c r="AY790" s="334"/>
      <c r="AZ790" s="334"/>
      <c r="BA790" s="210"/>
      <c r="BB790" s="334"/>
      <c r="BC790" s="213"/>
      <c r="BD790" s="213"/>
      <c r="BE790" s="210"/>
      <c r="BG790" s="334"/>
      <c r="BH790" s="334"/>
      <c r="BI790" s="334"/>
      <c r="BJ790" s="334"/>
      <c r="BK790" s="334"/>
      <c r="BM790" s="334"/>
      <c r="BN790" s="334"/>
      <c r="BO790" s="334"/>
      <c r="BP790" s="334"/>
      <c r="BQ790" s="334"/>
    </row>
    <row r="791" spans="45:69" x14ac:dyDescent="0.25">
      <c r="AS791" s="202"/>
      <c r="AV791" s="103"/>
      <c r="AW791" s="200"/>
      <c r="AX791" s="334"/>
      <c r="AY791" s="334"/>
      <c r="AZ791" s="334"/>
      <c r="BA791" s="210"/>
      <c r="BB791" s="334"/>
      <c r="BC791" s="213"/>
      <c r="BD791" s="213"/>
      <c r="BE791" s="210"/>
      <c r="BG791" s="334"/>
      <c r="BH791" s="334"/>
      <c r="BI791" s="334"/>
      <c r="BJ791" s="334"/>
      <c r="BK791" s="334"/>
      <c r="BM791" s="334"/>
      <c r="BN791" s="334"/>
      <c r="BO791" s="334"/>
      <c r="BP791" s="334"/>
      <c r="BQ791" s="334"/>
    </row>
    <row r="792" spans="45:69" x14ac:dyDescent="0.25">
      <c r="AY792" s="213"/>
      <c r="AZ792" s="334"/>
      <c r="BA792" s="210"/>
      <c r="BB792" s="334"/>
      <c r="BC792" s="213"/>
      <c r="BD792" s="213"/>
      <c r="BE792" s="210"/>
      <c r="BK792" s="334"/>
      <c r="BQ792" s="334"/>
    </row>
    <row r="793" spans="45:69" x14ac:dyDescent="0.25">
      <c r="AU793" s="154"/>
      <c r="AZ793" s="334"/>
      <c r="BB793" s="334"/>
      <c r="BG793" s="334"/>
      <c r="BH793" s="334"/>
      <c r="BJ793" s="334"/>
      <c r="BK793" s="334"/>
    </row>
    <row r="794" spans="45:69" x14ac:dyDescent="0.25">
      <c r="AZ794" s="334"/>
      <c r="BB794" s="334"/>
    </row>
    <row r="795" spans="45:69" x14ac:dyDescent="0.25">
      <c r="AS795" s="154"/>
      <c r="AZ795" s="334"/>
      <c r="BB795" s="334"/>
      <c r="BI795" s="334"/>
    </row>
    <row r="796" spans="45:69" x14ac:dyDescent="0.25">
      <c r="AY796" s="202"/>
      <c r="AZ796" s="334"/>
      <c r="BB796" s="334"/>
    </row>
    <row r="797" spans="45:69" x14ac:dyDescent="0.25">
      <c r="AY797" s="334"/>
      <c r="BB797" s="334"/>
    </row>
    <row r="798" spans="45:69" x14ac:dyDescent="0.25">
      <c r="AY798" s="154"/>
      <c r="AZ798" s="334"/>
      <c r="BB798" s="334"/>
    </row>
    <row r="799" spans="45:69" x14ac:dyDescent="0.25">
      <c r="AY799" s="154"/>
      <c r="AZ799" s="334"/>
      <c r="BB799" s="334"/>
    </row>
    <row r="800" spans="45:69" x14ac:dyDescent="0.25">
      <c r="AS800" s="202"/>
      <c r="AZ800" s="334"/>
      <c r="BB800" s="334"/>
      <c r="BD800" s="154"/>
    </row>
    <row r="801" spans="45:75" x14ac:dyDescent="0.25">
      <c r="AS801" s="202"/>
      <c r="AZ801" s="334"/>
      <c r="BB801" s="334"/>
      <c r="BD801" s="154"/>
    </row>
    <row r="802" spans="45:75" x14ac:dyDescent="0.25">
      <c r="AS802" s="154"/>
      <c r="AZ802" s="334"/>
      <c r="BB802" s="334"/>
      <c r="BD802" s="154"/>
    </row>
    <row r="803" spans="45:75" x14ac:dyDescent="0.25">
      <c r="AZ803" s="334"/>
      <c r="BB803" s="334"/>
      <c r="BD803" s="202"/>
    </row>
    <row r="804" spans="45:75" x14ac:dyDescent="0.25">
      <c r="AS804" s="102"/>
      <c r="AT804" s="102"/>
      <c r="AU804" s="102"/>
      <c r="AV804" s="102"/>
      <c r="AW804" s="102"/>
      <c r="AX804" s="102"/>
      <c r="AY804" s="102"/>
      <c r="AZ804" s="335"/>
      <c r="BA804" s="102"/>
      <c r="BB804" s="335"/>
      <c r="BC804" s="102"/>
      <c r="BD804" s="102"/>
      <c r="BE804" s="102"/>
    </row>
    <row r="805" spans="45:75" x14ac:dyDescent="0.25">
      <c r="AX805" s="154"/>
      <c r="AZ805" s="334"/>
      <c r="BB805" s="334"/>
    </row>
    <row r="806" spans="45:75" x14ac:dyDescent="0.25">
      <c r="AX806" s="102"/>
      <c r="AY806" s="102"/>
      <c r="AZ806" s="335"/>
      <c r="BA806" s="102"/>
      <c r="BB806" s="334"/>
      <c r="BC806" s="103"/>
      <c r="BD806" s="103"/>
    </row>
    <row r="807" spans="45:75" x14ac:dyDescent="0.25">
      <c r="AV807" s="103"/>
      <c r="AW807" s="103"/>
      <c r="AZ807" s="336"/>
      <c r="BA807" s="103"/>
      <c r="BB807" s="334"/>
      <c r="BC807" s="103"/>
      <c r="BD807" s="103"/>
      <c r="BE807" s="103"/>
      <c r="BG807" s="102"/>
      <c r="BH807" s="102"/>
      <c r="BI807" s="154"/>
      <c r="BM807" s="102"/>
      <c r="BN807" s="102"/>
      <c r="BP807" s="102"/>
      <c r="BQ807" s="102"/>
      <c r="BR807" s="154"/>
      <c r="BV807" s="102"/>
      <c r="BW807" s="102"/>
    </row>
    <row r="808" spans="45:75" x14ac:dyDescent="0.25">
      <c r="AV808" s="103"/>
      <c r="AW808" s="103"/>
      <c r="AX808" s="103"/>
      <c r="AY808" s="103"/>
      <c r="AZ808" s="336"/>
      <c r="BA808" s="103"/>
      <c r="BB808" s="336"/>
      <c r="BC808" s="103"/>
      <c r="BD808" s="103"/>
      <c r="BE808" s="103"/>
      <c r="BH808" s="103"/>
      <c r="BI808" s="103"/>
      <c r="BJ808" s="103"/>
      <c r="BK808" s="103"/>
      <c r="BL808" s="103"/>
      <c r="BM808" s="103"/>
      <c r="BQ808" s="103"/>
      <c r="BR808" s="103"/>
      <c r="BS808" s="103"/>
      <c r="BT808" s="103"/>
      <c r="BU808" s="103"/>
      <c r="BV808" s="103"/>
    </row>
    <row r="809" spans="45:75" x14ac:dyDescent="0.25">
      <c r="AS809" s="103"/>
      <c r="AU809" s="154"/>
      <c r="AV809" s="103"/>
      <c r="AW809" s="103"/>
      <c r="AX809" s="103"/>
      <c r="AY809" s="103"/>
      <c r="AZ809" s="336"/>
      <c r="BA809" s="103"/>
      <c r="BB809" s="336"/>
      <c r="BC809" s="103"/>
      <c r="BD809" s="103"/>
      <c r="BE809" s="103"/>
      <c r="BG809" s="103"/>
      <c r="BH809" s="103"/>
      <c r="BI809" s="103"/>
      <c r="BJ809" s="103"/>
      <c r="BK809" s="103"/>
      <c r="BL809" s="103"/>
      <c r="BM809" s="103"/>
      <c r="BN809" s="103"/>
      <c r="BP809" s="103"/>
      <c r="BQ809" s="103"/>
      <c r="BR809" s="103"/>
      <c r="BS809" s="103"/>
      <c r="BT809" s="103"/>
      <c r="BU809" s="103"/>
      <c r="BV809" s="103"/>
      <c r="BW809" s="103"/>
    </row>
    <row r="810" spans="45:75" x14ac:dyDescent="0.25">
      <c r="AS810" s="103"/>
      <c r="AU810" s="154"/>
      <c r="AV810" s="103"/>
      <c r="AW810" s="103"/>
      <c r="AX810" s="103"/>
      <c r="AY810" s="103"/>
      <c r="AZ810" s="336"/>
      <c r="BA810" s="103"/>
      <c r="BB810" s="336"/>
      <c r="BC810" s="103"/>
      <c r="BD810" s="103"/>
      <c r="BE810" s="103"/>
      <c r="BG810" s="103"/>
      <c r="BH810" s="103"/>
      <c r="BI810" s="103"/>
      <c r="BJ810" s="103"/>
      <c r="BK810" s="103"/>
      <c r="BL810" s="103"/>
      <c r="BM810" s="103"/>
      <c r="BN810" s="103"/>
      <c r="BP810" s="103"/>
      <c r="BQ810" s="103"/>
      <c r="BR810" s="103"/>
      <c r="BS810" s="103"/>
      <c r="BT810" s="103"/>
      <c r="BU810" s="103"/>
      <c r="BV810" s="103"/>
      <c r="BW810" s="103"/>
    </row>
    <row r="811" spans="45:75" x14ac:dyDescent="0.25">
      <c r="AS811" s="102"/>
      <c r="AT811" s="102"/>
      <c r="AU811" s="102"/>
      <c r="AV811" s="102"/>
      <c r="AW811" s="102"/>
      <c r="AX811" s="102"/>
      <c r="AY811" s="102"/>
      <c r="AZ811" s="335"/>
      <c r="BA811" s="102"/>
      <c r="BB811" s="335"/>
      <c r="BC811" s="102"/>
      <c r="BD811" s="102"/>
      <c r="BE811" s="102"/>
      <c r="BG811" s="102"/>
      <c r="BH811" s="102"/>
      <c r="BI811" s="102"/>
      <c r="BJ811" s="102"/>
      <c r="BK811" s="102"/>
      <c r="BL811" s="102"/>
      <c r="BM811" s="102"/>
      <c r="BN811" s="102"/>
      <c r="BP811" s="102"/>
      <c r="BQ811" s="102"/>
      <c r="BR811" s="102"/>
      <c r="BS811" s="102"/>
      <c r="BT811" s="102"/>
      <c r="BU811" s="102"/>
      <c r="BV811" s="102"/>
      <c r="BW811" s="102"/>
    </row>
    <row r="812" spans="45:75" x14ac:dyDescent="0.25">
      <c r="AV812" s="103"/>
      <c r="AW812" s="103"/>
      <c r="AX812" s="103"/>
      <c r="AY812" s="103"/>
      <c r="AZ812" s="336"/>
      <c r="BA812" s="103"/>
      <c r="BB812" s="336"/>
      <c r="BC812" s="103"/>
      <c r="BD812" s="103"/>
      <c r="BE812" s="103"/>
      <c r="BG812" s="334"/>
      <c r="BH812" s="334"/>
      <c r="BI812" s="334"/>
      <c r="BJ812" s="334"/>
      <c r="BK812" s="334"/>
      <c r="BL812" s="334"/>
      <c r="BM812" s="334"/>
      <c r="BN812" s="334"/>
      <c r="BO812" s="334"/>
      <c r="BP812" s="334"/>
      <c r="BQ812" s="334"/>
      <c r="BR812" s="334"/>
      <c r="BS812" s="334"/>
      <c r="BT812" s="334"/>
      <c r="BU812" s="334"/>
      <c r="BV812" s="334"/>
      <c r="BW812" s="334"/>
    </row>
    <row r="813" spans="45:75" x14ac:dyDescent="0.25">
      <c r="AS813" s="202"/>
      <c r="AU813" s="154"/>
      <c r="AV813" s="202"/>
      <c r="AW813" s="200"/>
      <c r="AX813" s="334"/>
      <c r="AY813" s="334"/>
      <c r="AZ813" s="334"/>
      <c r="BA813" s="201"/>
      <c r="BB813" s="334"/>
      <c r="BC813" s="334"/>
      <c r="BD813" s="334"/>
      <c r="BE813" s="201"/>
      <c r="BG813" s="334"/>
      <c r="BH813" s="334"/>
      <c r="BI813" s="334"/>
      <c r="BJ813" s="334"/>
      <c r="BK813" s="334"/>
      <c r="BL813" s="334"/>
      <c r="BM813" s="334"/>
      <c r="BN813" s="334"/>
      <c r="BO813" s="334"/>
      <c r="BP813" s="334"/>
      <c r="BQ813" s="334"/>
      <c r="BR813" s="334"/>
      <c r="BS813" s="334"/>
      <c r="BT813" s="334"/>
      <c r="BU813" s="334"/>
      <c r="BV813" s="334"/>
      <c r="BW813" s="334"/>
    </row>
    <row r="814" spans="45:75" x14ac:dyDescent="0.25">
      <c r="AS814" s="202"/>
      <c r="AV814" s="202"/>
      <c r="AW814" s="200"/>
      <c r="AX814" s="334"/>
      <c r="AY814" s="334"/>
      <c r="AZ814" s="334"/>
      <c r="BA814" s="201"/>
      <c r="BB814" s="334"/>
      <c r="BC814" s="334"/>
      <c r="BD814" s="334"/>
      <c r="BE814" s="201"/>
      <c r="BG814" s="334"/>
      <c r="BH814" s="334"/>
      <c r="BI814" s="334"/>
      <c r="BJ814" s="334"/>
      <c r="BK814" s="334"/>
      <c r="BL814" s="334"/>
      <c r="BM814" s="334"/>
      <c r="BN814" s="334"/>
      <c r="BO814" s="334"/>
      <c r="BP814" s="334"/>
      <c r="BQ814" s="334"/>
      <c r="BR814" s="334"/>
      <c r="BS814" s="334"/>
      <c r="BT814" s="334"/>
      <c r="BU814" s="334"/>
      <c r="BV814" s="334"/>
      <c r="BW814" s="334"/>
    </row>
    <row r="815" spans="45:75" x14ac:dyDescent="0.25">
      <c r="AS815" s="202"/>
      <c r="AV815" s="202"/>
      <c r="AW815" s="200"/>
      <c r="AX815" s="334"/>
      <c r="AY815" s="334"/>
      <c r="AZ815" s="334"/>
      <c r="BA815" s="201"/>
      <c r="BB815" s="334"/>
      <c r="BC815" s="334"/>
      <c r="BD815" s="334"/>
      <c r="BE815" s="201"/>
      <c r="BG815" s="334"/>
      <c r="BH815" s="334"/>
      <c r="BI815" s="334"/>
      <c r="BJ815" s="334"/>
      <c r="BK815" s="334"/>
      <c r="BL815" s="334"/>
      <c r="BM815" s="334"/>
      <c r="BN815" s="334"/>
      <c r="BO815" s="334"/>
      <c r="BP815" s="334"/>
      <c r="BQ815" s="334"/>
      <c r="BR815" s="334"/>
      <c r="BS815" s="334"/>
      <c r="BT815" s="334"/>
      <c r="BU815" s="334"/>
      <c r="BV815" s="334"/>
      <c r="BW815" s="334"/>
    </row>
    <row r="816" spans="45:75" x14ac:dyDescent="0.25">
      <c r="AS816" s="202"/>
      <c r="AV816" s="202"/>
      <c r="AW816" s="200"/>
      <c r="AX816" s="334"/>
      <c r="AY816" s="334"/>
      <c r="AZ816" s="334"/>
      <c r="BA816" s="201"/>
      <c r="BB816" s="334"/>
      <c r="BC816" s="334"/>
      <c r="BD816" s="334"/>
      <c r="BE816" s="201"/>
      <c r="BG816" s="334"/>
      <c r="BH816" s="334"/>
      <c r="BI816" s="334"/>
      <c r="BJ816" s="334"/>
      <c r="BK816" s="334"/>
      <c r="BL816" s="334"/>
      <c r="BM816" s="334"/>
      <c r="BN816" s="334"/>
      <c r="BO816" s="334"/>
      <c r="BP816" s="334"/>
      <c r="BQ816" s="334"/>
      <c r="BR816" s="334"/>
      <c r="BS816" s="334"/>
      <c r="BT816" s="334"/>
      <c r="BU816" s="334"/>
      <c r="BV816" s="334"/>
      <c r="BW816" s="334"/>
    </row>
    <row r="817" spans="45:75" x14ac:dyDescent="0.25">
      <c r="AS817" s="202"/>
      <c r="AV817" s="202"/>
      <c r="AW817" s="200"/>
      <c r="AX817" s="334"/>
      <c r="AY817" s="334"/>
      <c r="AZ817" s="334"/>
      <c r="BA817" s="201"/>
      <c r="BB817" s="334"/>
      <c r="BC817" s="334"/>
      <c r="BD817" s="334"/>
      <c r="BE817" s="201"/>
      <c r="BG817" s="334"/>
      <c r="BH817" s="334"/>
      <c r="BI817" s="334"/>
      <c r="BJ817" s="334"/>
      <c r="BK817" s="334"/>
      <c r="BL817" s="334"/>
      <c r="BM817" s="334"/>
      <c r="BN817" s="334"/>
      <c r="BO817" s="334"/>
      <c r="BP817" s="334"/>
      <c r="BQ817" s="334"/>
      <c r="BR817" s="334"/>
      <c r="BS817" s="334"/>
      <c r="BT817" s="334"/>
      <c r="BU817" s="334"/>
      <c r="BV817" s="334"/>
      <c r="BW817" s="334"/>
    </row>
    <row r="818" spans="45:75" x14ac:dyDescent="0.25">
      <c r="AS818" s="202"/>
      <c r="AV818" s="202"/>
      <c r="AW818" s="200"/>
      <c r="AX818" s="334"/>
      <c r="AY818" s="334"/>
      <c r="AZ818" s="334"/>
      <c r="BA818" s="201"/>
      <c r="BB818" s="334"/>
      <c r="BC818" s="334"/>
      <c r="BD818" s="334"/>
      <c r="BE818" s="201"/>
      <c r="BG818" s="334"/>
      <c r="BH818" s="334"/>
      <c r="BI818" s="334"/>
      <c r="BJ818" s="334"/>
      <c r="BK818" s="334"/>
      <c r="BL818" s="334"/>
      <c r="BM818" s="334"/>
      <c r="BN818" s="334"/>
      <c r="BO818" s="334"/>
      <c r="BP818" s="334"/>
      <c r="BQ818" s="334"/>
      <c r="BR818" s="334"/>
      <c r="BS818" s="334"/>
      <c r="BT818" s="334"/>
      <c r="BU818" s="334"/>
      <c r="BV818" s="334"/>
      <c r="BW818" s="334"/>
    </row>
    <row r="819" spans="45:75" x14ac:dyDescent="0.25">
      <c r="AS819" s="202"/>
      <c r="AV819" s="202"/>
      <c r="AW819" s="200"/>
      <c r="AX819" s="334"/>
      <c r="AY819" s="334"/>
      <c r="AZ819" s="334"/>
      <c r="BA819" s="201"/>
      <c r="BB819" s="334"/>
      <c r="BC819" s="334"/>
      <c r="BD819" s="334"/>
      <c r="BE819" s="201"/>
      <c r="BG819" s="334"/>
      <c r="BH819" s="334"/>
      <c r="BI819" s="334"/>
      <c r="BJ819" s="334"/>
      <c r="BK819" s="334"/>
      <c r="BL819" s="334"/>
      <c r="BM819" s="334"/>
      <c r="BN819" s="334"/>
      <c r="BO819" s="334"/>
      <c r="BP819" s="334"/>
      <c r="BQ819" s="334"/>
      <c r="BR819" s="334"/>
      <c r="BS819" s="334"/>
      <c r="BT819" s="334"/>
      <c r="BU819" s="334"/>
      <c r="BV819" s="334"/>
      <c r="BW819" s="334"/>
    </row>
    <row r="820" spans="45:75" x14ac:dyDescent="0.25">
      <c r="AS820" s="202"/>
      <c r="AV820" s="202"/>
      <c r="AW820" s="200"/>
      <c r="AX820" s="334"/>
      <c r="AY820" s="334"/>
      <c r="AZ820" s="334"/>
      <c r="BA820" s="201"/>
      <c r="BB820" s="334"/>
      <c r="BC820" s="334"/>
      <c r="BD820" s="334"/>
      <c r="BE820" s="201"/>
      <c r="BG820" s="334"/>
      <c r="BH820" s="334"/>
      <c r="BI820" s="334"/>
      <c r="BJ820" s="334"/>
      <c r="BK820" s="334"/>
      <c r="BL820" s="334"/>
      <c r="BM820" s="334"/>
      <c r="BN820" s="334"/>
      <c r="BO820" s="334"/>
      <c r="BP820" s="334"/>
      <c r="BQ820" s="334"/>
      <c r="BR820" s="334"/>
      <c r="BS820" s="334"/>
      <c r="BT820" s="334"/>
      <c r="BU820" s="334"/>
      <c r="BV820" s="334"/>
      <c r="BW820" s="334"/>
    </row>
    <row r="821" spans="45:75" x14ac:dyDescent="0.25">
      <c r="AS821" s="202"/>
      <c r="AV821" s="202"/>
      <c r="AW821" s="200"/>
      <c r="AX821" s="334"/>
      <c r="AY821" s="334"/>
      <c r="AZ821" s="334"/>
      <c r="BA821" s="201"/>
      <c r="BB821" s="334"/>
      <c r="BC821" s="334"/>
      <c r="BD821" s="334"/>
      <c r="BE821" s="201"/>
      <c r="BG821" s="334"/>
      <c r="BH821" s="334"/>
      <c r="BI821" s="334"/>
      <c r="BJ821" s="334"/>
      <c r="BK821" s="334"/>
      <c r="BL821" s="334"/>
      <c r="BM821" s="334"/>
      <c r="BN821" s="334"/>
      <c r="BO821" s="334"/>
      <c r="BP821" s="334"/>
      <c r="BQ821" s="334"/>
      <c r="BR821" s="334"/>
      <c r="BS821" s="334"/>
      <c r="BT821" s="334"/>
      <c r="BU821" s="334"/>
      <c r="BV821" s="334"/>
      <c r="BW821" s="334"/>
    </row>
    <row r="822" spans="45:75" x14ac:dyDescent="0.25">
      <c r="AS822" s="202"/>
      <c r="AV822" s="202"/>
      <c r="AW822" s="200"/>
      <c r="AX822" s="334"/>
      <c r="AY822" s="334"/>
      <c r="AZ822" s="334"/>
      <c r="BA822" s="201"/>
      <c r="BB822" s="334"/>
      <c r="BC822" s="334"/>
      <c r="BD822" s="334"/>
      <c r="BE822" s="201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  <c r="BR822" s="334"/>
      <c r="BS822" s="334"/>
      <c r="BT822" s="334"/>
      <c r="BU822" s="334"/>
      <c r="BV822" s="334"/>
      <c r="BW822" s="334"/>
    </row>
    <row r="823" spans="45:75" x14ac:dyDescent="0.25">
      <c r="AS823" s="202"/>
      <c r="AV823" s="202"/>
      <c r="AW823" s="200"/>
      <c r="AX823" s="334"/>
      <c r="AY823" s="334"/>
      <c r="AZ823" s="334"/>
      <c r="BA823" s="201"/>
      <c r="BB823" s="334"/>
      <c r="BC823" s="334"/>
      <c r="BD823" s="334"/>
      <c r="BE823" s="201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  <c r="BT823" s="334"/>
      <c r="BU823" s="334"/>
      <c r="BV823" s="334"/>
      <c r="BW823" s="334"/>
    </row>
    <row r="824" spans="45:75" x14ac:dyDescent="0.25">
      <c r="AS824" s="202"/>
      <c r="AV824" s="202"/>
      <c r="AW824" s="200"/>
      <c r="AX824" s="334"/>
      <c r="AY824" s="334"/>
      <c r="AZ824" s="334"/>
      <c r="BA824" s="201"/>
      <c r="BB824" s="334"/>
      <c r="BC824" s="334"/>
      <c r="BD824" s="334"/>
      <c r="BE824" s="201"/>
      <c r="BG824" s="334"/>
      <c r="BH824" s="334"/>
      <c r="BI824" s="334"/>
      <c r="BJ824" s="334"/>
      <c r="BK824" s="334"/>
      <c r="BL824" s="334"/>
      <c r="BM824" s="334"/>
      <c r="BN824" s="334"/>
      <c r="BO824" s="334"/>
      <c r="BP824" s="334"/>
      <c r="BQ824" s="334"/>
      <c r="BR824" s="334"/>
      <c r="BS824" s="334"/>
      <c r="BT824" s="334"/>
      <c r="BU824" s="334"/>
      <c r="BV824" s="334"/>
      <c r="BW824" s="334"/>
    </row>
    <row r="825" spans="45:75" x14ac:dyDescent="0.25">
      <c r="AS825" s="202"/>
      <c r="AV825" s="202"/>
      <c r="AW825" s="200"/>
      <c r="AX825" s="334"/>
      <c r="AY825" s="334"/>
      <c r="AZ825" s="334"/>
      <c r="BA825" s="201"/>
      <c r="BB825" s="334"/>
      <c r="BC825" s="334"/>
      <c r="BD825" s="334"/>
      <c r="BE825" s="201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  <c r="BR825" s="334"/>
      <c r="BS825" s="334"/>
      <c r="BT825" s="334"/>
      <c r="BU825" s="334"/>
      <c r="BV825" s="334"/>
      <c r="BW825" s="334"/>
    </row>
    <row r="826" spans="45:75" x14ac:dyDescent="0.25">
      <c r="AS826" s="202"/>
      <c r="AV826" s="202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  <c r="BT826" s="334"/>
      <c r="BU826" s="334"/>
      <c r="BV826" s="334"/>
      <c r="BW826" s="334"/>
    </row>
    <row r="827" spans="45:75" x14ac:dyDescent="0.25">
      <c r="AS827" s="202"/>
      <c r="AV827" s="202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  <c r="BT827" s="334"/>
      <c r="BU827" s="334"/>
      <c r="BV827" s="334"/>
      <c r="BW827" s="334"/>
    </row>
    <row r="828" spans="45:75" x14ac:dyDescent="0.25">
      <c r="AS828" s="202"/>
      <c r="AV828" s="202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  <c r="BT828" s="334"/>
      <c r="BU828" s="334"/>
      <c r="BV828" s="334"/>
      <c r="BW828" s="334"/>
    </row>
    <row r="829" spans="45:75" x14ac:dyDescent="0.25">
      <c r="AS829" s="202"/>
      <c r="AV829" s="202"/>
      <c r="AW829" s="200"/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  <c r="BT829" s="334"/>
      <c r="BU829" s="334"/>
      <c r="BV829" s="334"/>
      <c r="BW829" s="334"/>
    </row>
    <row r="830" spans="45:75" x14ac:dyDescent="0.25">
      <c r="AS830" s="202"/>
      <c r="AV830" s="202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  <c r="BT830" s="334"/>
      <c r="BU830" s="334"/>
      <c r="BV830" s="334"/>
      <c r="BW830" s="334"/>
    </row>
    <row r="831" spans="45:75" x14ac:dyDescent="0.25">
      <c r="AS831" s="202"/>
      <c r="AV831" s="202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  <c r="BT831" s="334"/>
      <c r="BU831" s="334"/>
      <c r="BV831" s="334"/>
      <c r="BW831" s="334"/>
    </row>
    <row r="832" spans="45:75" x14ac:dyDescent="0.25">
      <c r="AS832" s="202"/>
      <c r="AV832" s="202"/>
      <c r="AW832" s="200"/>
      <c r="AX832" s="334"/>
      <c r="AY832" s="334"/>
      <c r="AZ832" s="334"/>
      <c r="BA832" s="201"/>
      <c r="BB832" s="334"/>
      <c r="BC832" s="334"/>
      <c r="BD832" s="334"/>
      <c r="BE832" s="201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  <c r="BT832" s="334"/>
      <c r="BU832" s="334"/>
      <c r="BV832" s="334"/>
      <c r="BW832" s="334"/>
    </row>
    <row r="833" spans="45:75" x14ac:dyDescent="0.25">
      <c r="AS833" s="202"/>
      <c r="AV833" s="202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  <c r="BT833" s="334"/>
      <c r="BU833" s="334"/>
      <c r="BV833" s="334"/>
      <c r="BW833" s="334"/>
    </row>
    <row r="834" spans="45:75" x14ac:dyDescent="0.25"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102"/>
      <c r="BH834" s="102"/>
      <c r="BI834" s="154"/>
      <c r="BM834" s="102"/>
      <c r="BN834" s="102"/>
      <c r="BO834" s="334"/>
      <c r="BP834" s="102"/>
      <c r="BQ834" s="102"/>
      <c r="BR834" s="154"/>
      <c r="BV834" s="102"/>
      <c r="BW834" s="102"/>
    </row>
    <row r="835" spans="45:75" x14ac:dyDescent="0.25">
      <c r="AS835" s="202"/>
      <c r="AU835" s="154"/>
      <c r="AV835" s="103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6"/>
      <c r="BH835" s="334"/>
      <c r="BI835" s="334"/>
      <c r="BJ835" s="334"/>
      <c r="BK835" s="336"/>
      <c r="BL835" s="337"/>
      <c r="BM835" s="334"/>
      <c r="BN835" s="336"/>
      <c r="BO835" s="334"/>
      <c r="BP835" s="336"/>
      <c r="BQ835" s="334"/>
      <c r="BR835" s="334"/>
      <c r="BS835" s="334"/>
      <c r="BT835" s="336"/>
      <c r="BU835" s="337"/>
      <c r="BV835" s="334"/>
      <c r="BW835" s="336"/>
    </row>
    <row r="836" spans="45:75" x14ac:dyDescent="0.25">
      <c r="AS836" s="202"/>
      <c r="AV836" s="103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7"/>
      <c r="BM836" s="334"/>
      <c r="BN836" s="334"/>
      <c r="BO836" s="334"/>
      <c r="BP836" s="334"/>
      <c r="BQ836" s="334"/>
      <c r="BR836" s="334"/>
      <c r="BS836" s="334"/>
      <c r="BT836" s="334"/>
      <c r="BU836" s="337"/>
      <c r="BV836" s="334"/>
      <c r="BW836" s="334"/>
    </row>
    <row r="837" spans="45:75" x14ac:dyDescent="0.25">
      <c r="AS837" s="202"/>
      <c r="AV837" s="103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7"/>
      <c r="BM837" s="334"/>
      <c r="BN837" s="334"/>
      <c r="BO837" s="334"/>
      <c r="BP837" s="334"/>
      <c r="BQ837" s="334"/>
      <c r="BR837" s="334"/>
      <c r="BS837" s="334"/>
      <c r="BT837" s="334"/>
      <c r="BU837" s="337"/>
      <c r="BV837" s="334"/>
      <c r="BW837" s="334"/>
    </row>
    <row r="838" spans="45:75" x14ac:dyDescent="0.25">
      <c r="AS838" s="202"/>
      <c r="AV838" s="103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7"/>
      <c r="BM838" s="334"/>
      <c r="BN838" s="334"/>
      <c r="BO838" s="334"/>
      <c r="BP838" s="334"/>
      <c r="BQ838" s="334"/>
      <c r="BR838" s="334"/>
      <c r="BS838" s="334"/>
      <c r="BT838" s="334"/>
      <c r="BU838" s="337"/>
      <c r="BV838" s="334"/>
      <c r="BW838" s="334"/>
    </row>
    <row r="839" spans="45:75" x14ac:dyDescent="0.25"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  <c r="BT839" s="334"/>
      <c r="BU839" s="334"/>
      <c r="BV839" s="334"/>
    </row>
    <row r="840" spans="45:75" x14ac:dyDescent="0.25">
      <c r="AU840" s="154"/>
    </row>
    <row r="841" spans="45:75" x14ac:dyDescent="0.25">
      <c r="AU841" s="15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  <c r="BT841" s="334"/>
      <c r="BU841" s="334"/>
      <c r="BV841" s="334"/>
    </row>
    <row r="842" spans="45:75" x14ac:dyDescent="0.25">
      <c r="AS842" s="154"/>
      <c r="AZ842" s="334"/>
      <c r="BB842" s="334"/>
    </row>
    <row r="843" spans="45:75" x14ac:dyDescent="0.25">
      <c r="AY843" s="202"/>
      <c r="AZ843" s="334"/>
      <c r="BB843" s="334"/>
      <c r="BO843" s="334"/>
      <c r="BP843" s="334"/>
      <c r="BQ843" s="334"/>
      <c r="BR843" s="334"/>
      <c r="BS843" s="334"/>
      <c r="BT843" s="334"/>
      <c r="BU843" s="334"/>
      <c r="BV843" s="334"/>
    </row>
    <row r="844" spans="45:75" x14ac:dyDescent="0.25">
      <c r="AY844" s="334"/>
      <c r="AZ844" s="334"/>
      <c r="BB844" s="334"/>
      <c r="BO844" s="334"/>
      <c r="BP844" s="334"/>
      <c r="BQ844" s="334"/>
      <c r="BR844" s="334"/>
      <c r="BS844" s="334"/>
      <c r="BT844" s="334"/>
      <c r="BU844" s="334"/>
      <c r="BV844" s="334"/>
    </row>
    <row r="845" spans="45:75" x14ac:dyDescent="0.25">
      <c r="AY845" s="154"/>
      <c r="AZ845" s="334"/>
      <c r="BB845" s="334"/>
      <c r="BO845" s="334"/>
      <c r="BP845" s="334"/>
      <c r="BQ845" s="334"/>
      <c r="BR845" s="334"/>
      <c r="BS845" s="334"/>
      <c r="BT845" s="334"/>
      <c r="BU845" s="334"/>
      <c r="BV845" s="334"/>
    </row>
    <row r="846" spans="45:75" x14ac:dyDescent="0.25">
      <c r="AY846" s="154"/>
      <c r="AZ846" s="334"/>
      <c r="BB846" s="334"/>
      <c r="BO846" s="334"/>
      <c r="BP846" s="334"/>
      <c r="BQ846" s="334"/>
      <c r="BR846" s="334"/>
      <c r="BS846" s="334"/>
      <c r="BT846" s="334"/>
      <c r="BU846" s="334"/>
      <c r="BV846" s="334"/>
    </row>
    <row r="847" spans="45:75" x14ac:dyDescent="0.25">
      <c r="AS847" s="202"/>
      <c r="AZ847" s="334"/>
      <c r="BB847" s="334"/>
      <c r="BD847" s="154"/>
      <c r="BO847" s="334"/>
      <c r="BP847" s="334"/>
      <c r="BQ847" s="334"/>
      <c r="BR847" s="334"/>
      <c r="BS847" s="334"/>
      <c r="BT847" s="334"/>
      <c r="BU847" s="334"/>
      <c r="BV847" s="334"/>
    </row>
    <row r="848" spans="45:75" x14ac:dyDescent="0.25">
      <c r="AS848" s="202"/>
      <c r="AZ848" s="334"/>
      <c r="BB848" s="334"/>
      <c r="BD848" s="154"/>
      <c r="BO848" s="334"/>
      <c r="BP848" s="334"/>
      <c r="BQ848" s="334"/>
      <c r="BR848" s="334"/>
      <c r="BS848" s="334"/>
      <c r="BT848" s="334"/>
      <c r="BU848" s="334"/>
      <c r="BV848" s="334"/>
    </row>
    <row r="849" spans="45:74" x14ac:dyDescent="0.25">
      <c r="AS849" s="154"/>
      <c r="AZ849" s="334"/>
      <c r="BB849" s="334"/>
      <c r="BD849" s="154"/>
      <c r="BO849" s="334"/>
      <c r="BP849" s="334"/>
      <c r="BQ849" s="334"/>
      <c r="BR849" s="334"/>
      <c r="BS849" s="334"/>
      <c r="BT849" s="334"/>
      <c r="BU849" s="334"/>
      <c r="BV849" s="334"/>
    </row>
    <row r="850" spans="45:74" x14ac:dyDescent="0.25">
      <c r="AZ850" s="334"/>
      <c r="BB850" s="334"/>
      <c r="BD850" s="202"/>
      <c r="BO850" s="334"/>
      <c r="BP850" s="334"/>
      <c r="BQ850" s="334"/>
      <c r="BR850" s="334"/>
      <c r="BS850" s="334"/>
      <c r="BT850" s="334"/>
      <c r="BU850" s="334"/>
      <c r="BV850" s="334"/>
    </row>
    <row r="851" spans="45:74" x14ac:dyDescent="0.25">
      <c r="AS851" s="102"/>
      <c r="AT851" s="102"/>
      <c r="AU851" s="102"/>
      <c r="AV851" s="102"/>
      <c r="AW851" s="102"/>
      <c r="AX851" s="102"/>
      <c r="AY851" s="102"/>
      <c r="AZ851" s="335"/>
      <c r="BA851" s="102"/>
      <c r="BB851" s="335"/>
      <c r="BC851" s="102"/>
      <c r="BD851" s="102"/>
      <c r="BE851" s="102"/>
      <c r="BO851" s="334"/>
      <c r="BP851" s="334"/>
      <c r="BQ851" s="334"/>
      <c r="BR851" s="334"/>
      <c r="BS851" s="334"/>
      <c r="BT851" s="334"/>
      <c r="BU851" s="334"/>
      <c r="BV851" s="334"/>
    </row>
    <row r="852" spans="45:74" x14ac:dyDescent="0.25">
      <c r="AX852" s="154"/>
      <c r="AZ852" s="334"/>
      <c r="BB852" s="334"/>
      <c r="BO852" s="334"/>
      <c r="BP852" s="334"/>
      <c r="BQ852" s="334"/>
      <c r="BR852" s="334"/>
      <c r="BS852" s="334"/>
      <c r="BT852" s="334"/>
      <c r="BU852" s="334"/>
      <c r="BV852" s="334"/>
    </row>
    <row r="853" spans="45:74" x14ac:dyDescent="0.25">
      <c r="AX853" s="102"/>
      <c r="AY853" s="102"/>
      <c r="AZ853" s="335"/>
      <c r="BA853" s="102"/>
      <c r="BB853" s="334"/>
      <c r="BC853" s="103"/>
      <c r="BD853" s="103"/>
      <c r="BO853" s="334"/>
      <c r="BP853" s="334"/>
      <c r="BQ853" s="334"/>
      <c r="BR853" s="334"/>
      <c r="BS853" s="334"/>
      <c r="BT853" s="334"/>
      <c r="BU853" s="334"/>
      <c r="BV853" s="334"/>
    </row>
    <row r="854" spans="45:74" x14ac:dyDescent="0.25">
      <c r="AV854" s="103"/>
      <c r="AW854" s="103"/>
      <c r="AZ854" s="336"/>
      <c r="BA854" s="103"/>
      <c r="BB854" s="334"/>
      <c r="BC854" s="103"/>
      <c r="BD854" s="103"/>
      <c r="BE854" s="103"/>
      <c r="BG854" s="102"/>
      <c r="BH854" s="154"/>
      <c r="BK854" s="102"/>
      <c r="BM854" s="102"/>
      <c r="BN854" s="154"/>
      <c r="BQ854" s="102"/>
    </row>
    <row r="855" spans="45:74" x14ac:dyDescent="0.25">
      <c r="AV855" s="103"/>
      <c r="AW855" s="103"/>
      <c r="AX855" s="103"/>
      <c r="AY855" s="103"/>
      <c r="AZ855" s="336"/>
      <c r="BA855" s="103"/>
      <c r="BB855" s="336"/>
      <c r="BC855" s="103"/>
      <c r="BD855" s="103"/>
      <c r="BE855" s="103"/>
      <c r="BH855" s="103"/>
      <c r="BI855" s="103"/>
      <c r="BN855" s="103"/>
      <c r="BO855" s="103"/>
    </row>
    <row r="856" spans="45:74" x14ac:dyDescent="0.25">
      <c r="AS856" s="103"/>
      <c r="AU856" s="154"/>
      <c r="AV856" s="103"/>
      <c r="AW856" s="103"/>
      <c r="AX856" s="103"/>
      <c r="AY856" s="103"/>
      <c r="AZ856" s="336"/>
      <c r="BA856" s="103"/>
      <c r="BB856" s="336"/>
      <c r="BC856" s="103"/>
      <c r="BD856" s="103"/>
      <c r="BE856" s="103"/>
      <c r="BG856" s="103"/>
      <c r="BH856" s="103"/>
      <c r="BI856" s="103"/>
      <c r="BJ856" s="103"/>
      <c r="BK856" s="103"/>
      <c r="BM856" s="103"/>
      <c r="BN856" s="103"/>
      <c r="BO856" s="103"/>
      <c r="BP856" s="103"/>
      <c r="BQ856" s="103"/>
    </row>
    <row r="857" spans="45:74" x14ac:dyDescent="0.25">
      <c r="AS857" s="103"/>
      <c r="AU857" s="154"/>
      <c r="AV857" s="103"/>
      <c r="AW857" s="103"/>
      <c r="AX857" s="103"/>
      <c r="AY857" s="103"/>
      <c r="AZ857" s="336"/>
      <c r="BA857" s="103"/>
      <c r="BB857" s="336"/>
      <c r="BC857" s="103"/>
      <c r="BD857" s="103"/>
      <c r="BE857" s="103"/>
      <c r="BG857" s="103"/>
      <c r="BH857" s="103"/>
      <c r="BI857" s="103"/>
      <c r="BJ857" s="103"/>
      <c r="BK857" s="103"/>
      <c r="BM857" s="103"/>
      <c r="BN857" s="103"/>
      <c r="BO857" s="103"/>
      <c r="BP857" s="103"/>
      <c r="BQ857" s="103"/>
    </row>
    <row r="858" spans="45:74" x14ac:dyDescent="0.25">
      <c r="AS858" s="102"/>
      <c r="AT858" s="102"/>
      <c r="AU858" s="102"/>
      <c r="AV858" s="102"/>
      <c r="AW858" s="102"/>
      <c r="AX858" s="102"/>
      <c r="AY858" s="102"/>
      <c r="AZ858" s="335"/>
      <c r="BA858" s="102"/>
      <c r="BB858" s="335"/>
      <c r="BC858" s="102"/>
      <c r="BD858" s="102"/>
      <c r="BE858" s="102"/>
      <c r="BG858" s="102"/>
      <c r="BH858" s="102"/>
      <c r="BI858" s="102"/>
      <c r="BJ858" s="102"/>
      <c r="BK858" s="102"/>
      <c r="BM858" s="102"/>
      <c r="BN858" s="102"/>
      <c r="BO858" s="102"/>
      <c r="BP858" s="102"/>
      <c r="BQ858" s="102"/>
    </row>
    <row r="859" spans="45:74" x14ac:dyDescent="0.25">
      <c r="AV859" s="103"/>
      <c r="AW859" s="103"/>
      <c r="AX859" s="103"/>
      <c r="AY859" s="103"/>
      <c r="AZ859" s="336"/>
      <c r="BA859" s="103"/>
      <c r="BB859" s="336"/>
      <c r="BC859" s="103"/>
      <c r="BD859" s="103"/>
      <c r="BE859" s="103"/>
      <c r="BG859" s="334"/>
      <c r="BH859" s="334"/>
      <c r="BI859" s="334"/>
      <c r="BJ859" s="334"/>
      <c r="BK859" s="334"/>
      <c r="BL859" s="334"/>
      <c r="BM859" s="334"/>
      <c r="BN859" s="334"/>
      <c r="BO859" s="334"/>
      <c r="BP859" s="334"/>
      <c r="BQ859" s="334"/>
    </row>
    <row r="860" spans="45:74" x14ac:dyDescent="0.25">
      <c r="AS860" s="202"/>
      <c r="AT860" s="154"/>
      <c r="AV860" s="200"/>
      <c r="AW860" s="200"/>
      <c r="AX860" s="334"/>
      <c r="AY860" s="334"/>
      <c r="AZ860" s="334"/>
      <c r="BA860" s="201"/>
      <c r="BB860" s="334"/>
      <c r="BC860" s="334"/>
      <c r="BD860" s="334"/>
      <c r="BE860" s="201"/>
      <c r="BG860" s="334"/>
      <c r="BH860" s="334"/>
      <c r="BI860" s="334"/>
      <c r="BJ860" s="334"/>
      <c r="BK860" s="334"/>
      <c r="BL860" s="334"/>
      <c r="BM860" s="334"/>
      <c r="BN860" s="334"/>
      <c r="BO860" s="334"/>
      <c r="BP860" s="334"/>
      <c r="BQ860" s="334"/>
      <c r="BR860" s="334"/>
      <c r="BS860" s="334"/>
    </row>
    <row r="861" spans="45:74" x14ac:dyDescent="0.25">
      <c r="AS861" s="202"/>
      <c r="AV861" s="200"/>
      <c r="AW861" s="200"/>
      <c r="AX861" s="334"/>
      <c r="AY861" s="334"/>
      <c r="AZ861" s="334"/>
      <c r="BA861" s="201"/>
      <c r="BB861" s="334"/>
      <c r="BC861" s="334"/>
      <c r="BD861" s="334"/>
      <c r="BE861" s="201"/>
      <c r="BG861" s="334"/>
      <c r="BH861" s="334"/>
      <c r="BI861" s="334"/>
      <c r="BJ861" s="334"/>
      <c r="BK861" s="334"/>
      <c r="BL861" s="334"/>
      <c r="BM861" s="334"/>
      <c r="BN861" s="334"/>
      <c r="BO861" s="334"/>
      <c r="BP861" s="334"/>
      <c r="BQ861" s="334"/>
      <c r="BR861" s="334"/>
      <c r="BS861" s="334"/>
    </row>
    <row r="862" spans="45:74" x14ac:dyDescent="0.25">
      <c r="AS862" s="202"/>
      <c r="AV862" s="200"/>
      <c r="AW862" s="200"/>
      <c r="AX862" s="334"/>
      <c r="AY862" s="334"/>
      <c r="AZ862" s="334"/>
      <c r="BA862" s="201"/>
      <c r="BB862" s="334"/>
      <c r="BC862" s="334"/>
      <c r="BD862" s="334"/>
      <c r="BE862" s="201"/>
      <c r="BG862" s="334"/>
      <c r="BH862" s="334"/>
      <c r="BI862" s="334"/>
      <c r="BJ862" s="334"/>
      <c r="BK862" s="334"/>
      <c r="BL862" s="334"/>
      <c r="BM862" s="334"/>
      <c r="BN862" s="334"/>
      <c r="BO862" s="334"/>
      <c r="BP862" s="334"/>
      <c r="BQ862" s="334"/>
      <c r="BR862" s="334"/>
      <c r="BS862" s="334"/>
    </row>
    <row r="863" spans="45:74" x14ac:dyDescent="0.25">
      <c r="AS863" s="202"/>
      <c r="AV863" s="200"/>
      <c r="AW863" s="200"/>
      <c r="AX863" s="334"/>
      <c r="AY863" s="334"/>
      <c r="AZ863" s="334"/>
      <c r="BA863" s="201"/>
      <c r="BB863" s="334"/>
      <c r="BC863" s="334"/>
      <c r="BD863" s="334"/>
      <c r="BE863" s="201"/>
      <c r="BG863" s="334"/>
      <c r="BH863" s="334"/>
      <c r="BI863" s="334"/>
      <c r="BJ863" s="334"/>
      <c r="BK863" s="334"/>
      <c r="BL863" s="334"/>
      <c r="BM863" s="334"/>
      <c r="BN863" s="334"/>
      <c r="BO863" s="334"/>
      <c r="BP863" s="334"/>
      <c r="BQ863" s="334"/>
      <c r="BR863" s="334"/>
      <c r="BS863" s="334"/>
    </row>
    <row r="864" spans="45:74" x14ac:dyDescent="0.25">
      <c r="AS864" s="202"/>
      <c r="AV864" s="200"/>
      <c r="AW864" s="200"/>
      <c r="AX864" s="334"/>
      <c r="AY864" s="334"/>
      <c r="AZ864" s="334"/>
      <c r="BA864" s="201"/>
      <c r="BB864" s="334"/>
      <c r="BC864" s="334"/>
      <c r="BD864" s="334"/>
      <c r="BE864" s="201"/>
      <c r="BG864" s="334"/>
      <c r="BH864" s="334"/>
      <c r="BI864" s="334"/>
      <c r="BJ864" s="334"/>
      <c r="BK864" s="334"/>
      <c r="BL864" s="334"/>
      <c r="BM864" s="334"/>
      <c r="BN864" s="334"/>
      <c r="BO864" s="334"/>
      <c r="BP864" s="334"/>
      <c r="BQ864" s="334"/>
      <c r="BR864" s="334"/>
      <c r="BS864" s="334"/>
    </row>
    <row r="865" spans="45:71" x14ac:dyDescent="0.25">
      <c r="AS865" s="202"/>
      <c r="AV865" s="200"/>
      <c r="AW865" s="200"/>
      <c r="AX865" s="334"/>
      <c r="AY865" s="334"/>
      <c r="AZ865" s="334"/>
      <c r="BA865" s="201"/>
      <c r="BB865" s="334"/>
      <c r="BC865" s="334"/>
      <c r="BD865" s="334"/>
      <c r="BE865" s="201"/>
      <c r="BG865" s="334"/>
      <c r="BH865" s="334"/>
      <c r="BI865" s="334"/>
      <c r="BJ865" s="334"/>
      <c r="BK865" s="334"/>
      <c r="BL865" s="334"/>
      <c r="BM865" s="334"/>
      <c r="BN865" s="334"/>
      <c r="BO865" s="334"/>
      <c r="BP865" s="334"/>
      <c r="BQ865" s="334"/>
      <c r="BR865" s="334"/>
      <c r="BS865" s="334"/>
    </row>
    <row r="866" spans="45:71" x14ac:dyDescent="0.25">
      <c r="AS866" s="202"/>
      <c r="AV866" s="200"/>
      <c r="AW866" s="200"/>
      <c r="AX866" s="334"/>
      <c r="AY866" s="334"/>
      <c r="AZ866" s="334"/>
      <c r="BA866" s="201"/>
      <c r="BB866" s="334"/>
      <c r="BC866" s="334"/>
      <c r="BD866" s="334"/>
      <c r="BE866" s="201"/>
      <c r="BG866" s="334"/>
      <c r="BH866" s="334"/>
      <c r="BI866" s="334"/>
      <c r="BJ866" s="334"/>
      <c r="BK866" s="334"/>
      <c r="BL866" s="334"/>
      <c r="BM866" s="334"/>
      <c r="BN866" s="334"/>
      <c r="BO866" s="334"/>
      <c r="BP866" s="334"/>
      <c r="BQ866" s="334"/>
      <c r="BR866" s="334"/>
      <c r="BS866" s="334"/>
    </row>
    <row r="867" spans="45:71" x14ac:dyDescent="0.25">
      <c r="AS867" s="202"/>
      <c r="AV867" s="200"/>
      <c r="AW867" s="200"/>
      <c r="AX867" s="334"/>
      <c r="AY867" s="334"/>
      <c r="AZ867" s="334"/>
      <c r="BA867" s="201"/>
      <c r="BB867" s="334"/>
      <c r="BC867" s="334"/>
      <c r="BD867" s="334"/>
      <c r="BE867" s="201"/>
      <c r="BG867" s="334"/>
      <c r="BH867" s="334"/>
      <c r="BI867" s="334"/>
      <c r="BJ867" s="334"/>
      <c r="BK867" s="334"/>
      <c r="BL867" s="334"/>
      <c r="BM867" s="334"/>
      <c r="BN867" s="334"/>
      <c r="BO867" s="334"/>
      <c r="BP867" s="334"/>
      <c r="BQ867" s="334"/>
      <c r="BR867" s="334"/>
      <c r="BS867" s="334"/>
    </row>
    <row r="868" spans="45:71" x14ac:dyDescent="0.25">
      <c r="AS868" s="202"/>
      <c r="AV868" s="200"/>
      <c r="AW868" s="200"/>
      <c r="AX868" s="334"/>
      <c r="AY868" s="334"/>
      <c r="AZ868" s="334"/>
      <c r="BA868" s="201"/>
      <c r="BB868" s="334"/>
      <c r="BC868" s="334"/>
      <c r="BD868" s="334"/>
      <c r="BE868" s="201"/>
      <c r="BG868" s="334"/>
      <c r="BH868" s="334"/>
      <c r="BI868" s="334"/>
      <c r="BJ868" s="334"/>
      <c r="BK868" s="334"/>
      <c r="BL868" s="334"/>
      <c r="BM868" s="334"/>
      <c r="BN868" s="334"/>
      <c r="BO868" s="334"/>
      <c r="BP868" s="334"/>
      <c r="BQ868" s="334"/>
      <c r="BR868" s="334"/>
      <c r="BS868" s="334"/>
    </row>
    <row r="869" spans="45:71" x14ac:dyDescent="0.25">
      <c r="AS869" s="202"/>
      <c r="AV869" s="200"/>
      <c r="AW869" s="200"/>
      <c r="AX869" s="334"/>
      <c r="AY869" s="334"/>
      <c r="AZ869" s="334"/>
      <c r="BA869" s="201"/>
      <c r="BB869" s="334"/>
      <c r="BC869" s="334"/>
      <c r="BD869" s="334"/>
      <c r="BE869" s="201"/>
      <c r="BG869" s="334"/>
      <c r="BH869" s="334"/>
      <c r="BI869" s="334"/>
      <c r="BJ869" s="334"/>
      <c r="BK869" s="334"/>
      <c r="BL869" s="334"/>
      <c r="BM869" s="334"/>
      <c r="BN869" s="334"/>
      <c r="BO869" s="334"/>
      <c r="BP869" s="334"/>
      <c r="BQ869" s="334"/>
      <c r="BR869" s="334"/>
      <c r="BS869" s="334"/>
    </row>
    <row r="870" spans="45:71" x14ac:dyDescent="0.25">
      <c r="AS870" s="202"/>
      <c r="AV870" s="200"/>
      <c r="AW870" s="200"/>
      <c r="AX870" s="334"/>
      <c r="AY870" s="334"/>
      <c r="AZ870" s="334"/>
      <c r="BA870" s="201"/>
      <c r="BB870" s="334"/>
      <c r="BC870" s="334"/>
      <c r="BD870" s="334"/>
      <c r="BE870" s="201"/>
      <c r="BG870" s="334"/>
      <c r="BH870" s="334"/>
      <c r="BI870" s="334"/>
      <c r="BJ870" s="334"/>
      <c r="BK870" s="334"/>
      <c r="BL870" s="334"/>
      <c r="BM870" s="334"/>
      <c r="BN870" s="334"/>
      <c r="BO870" s="334"/>
      <c r="BP870" s="334"/>
      <c r="BQ870" s="334"/>
      <c r="BR870" s="334"/>
      <c r="BS870" s="334"/>
    </row>
    <row r="871" spans="45:71" x14ac:dyDescent="0.25">
      <c r="AS871" s="202"/>
      <c r="AV871" s="200"/>
      <c r="AW871" s="200"/>
      <c r="AX871" s="334"/>
      <c r="AY871" s="334"/>
      <c r="AZ871" s="334"/>
      <c r="BA871" s="201"/>
      <c r="BB871" s="334"/>
      <c r="BC871" s="334"/>
      <c r="BD871" s="334"/>
      <c r="BE871" s="201"/>
      <c r="BG871" s="334"/>
      <c r="BH871" s="334"/>
      <c r="BI871" s="334"/>
      <c r="BJ871" s="334"/>
      <c r="BK871" s="334"/>
      <c r="BL871" s="334"/>
      <c r="BM871" s="334"/>
      <c r="BN871" s="334"/>
      <c r="BO871" s="334"/>
      <c r="BP871" s="334"/>
      <c r="BQ871" s="334"/>
      <c r="BR871" s="334"/>
      <c r="BS871" s="334"/>
    </row>
    <row r="872" spans="45:71" x14ac:dyDescent="0.25">
      <c r="AS872" s="202"/>
      <c r="AV872" s="200"/>
      <c r="AW872" s="200"/>
      <c r="AX872" s="334"/>
      <c r="AY872" s="334"/>
      <c r="AZ872" s="334"/>
      <c r="BA872" s="201"/>
      <c r="BB872" s="334"/>
      <c r="BC872" s="334"/>
      <c r="BD872" s="334"/>
      <c r="BE872" s="201"/>
      <c r="BG872" s="334"/>
      <c r="BH872" s="334"/>
      <c r="BI872" s="334"/>
      <c r="BJ872" s="334"/>
      <c r="BK872" s="334"/>
      <c r="BL872" s="334"/>
      <c r="BM872" s="334"/>
      <c r="BN872" s="334"/>
      <c r="BO872" s="334"/>
      <c r="BP872" s="334"/>
      <c r="BQ872" s="334"/>
      <c r="BR872" s="334"/>
      <c r="BS872" s="334"/>
    </row>
    <row r="873" spans="45:71" x14ac:dyDescent="0.25">
      <c r="AS873" s="202"/>
      <c r="AV873" s="200"/>
      <c r="AW873" s="200"/>
      <c r="AX873" s="334"/>
      <c r="AY873" s="334"/>
      <c r="AZ873" s="334"/>
      <c r="BA873" s="201"/>
      <c r="BB873" s="334"/>
      <c r="BC873" s="334"/>
      <c r="BD873" s="334"/>
      <c r="BE873" s="201"/>
      <c r="BG873" s="334"/>
      <c r="BH873" s="334"/>
      <c r="BI873" s="334"/>
      <c r="BJ873" s="334"/>
      <c r="BK873" s="334"/>
      <c r="BL873" s="334"/>
      <c r="BM873" s="334"/>
      <c r="BN873" s="334"/>
      <c r="BO873" s="334"/>
      <c r="BP873" s="334"/>
      <c r="BQ873" s="334"/>
      <c r="BR873" s="334"/>
      <c r="BS873" s="334"/>
    </row>
    <row r="874" spans="45:71" x14ac:dyDescent="0.25">
      <c r="AS874" s="202"/>
      <c r="AV874" s="200"/>
      <c r="AW874" s="200"/>
      <c r="AX874" s="334"/>
      <c r="AY874" s="334"/>
      <c r="AZ874" s="334"/>
      <c r="BA874" s="201"/>
      <c r="BB874" s="334"/>
      <c r="BC874" s="334"/>
      <c r="BD874" s="334"/>
      <c r="BE874" s="201"/>
      <c r="BG874" s="334"/>
      <c r="BH874" s="334"/>
      <c r="BI874" s="334"/>
      <c r="BJ874" s="334"/>
      <c r="BK874" s="334"/>
      <c r="BL874" s="334"/>
      <c r="BM874" s="334"/>
      <c r="BN874" s="334"/>
      <c r="BO874" s="334"/>
      <c r="BP874" s="334"/>
      <c r="BQ874" s="334"/>
      <c r="BR874" s="334"/>
      <c r="BS874" s="334"/>
    </row>
    <row r="875" spans="45:71" x14ac:dyDescent="0.25">
      <c r="AS875" s="202"/>
      <c r="AV875" s="200"/>
      <c r="AW875" s="200"/>
      <c r="AX875" s="334"/>
      <c r="AY875" s="334"/>
      <c r="AZ875" s="334"/>
      <c r="BA875" s="201"/>
      <c r="BB875" s="334"/>
      <c r="BC875" s="334"/>
      <c r="BD875" s="334"/>
      <c r="BE875" s="201"/>
      <c r="BG875" s="334"/>
      <c r="BH875" s="334"/>
      <c r="BI875" s="334"/>
      <c r="BJ875" s="334"/>
      <c r="BK875" s="334"/>
      <c r="BL875" s="334"/>
      <c r="BM875" s="334"/>
      <c r="BN875" s="334"/>
      <c r="BO875" s="334"/>
      <c r="BP875" s="334"/>
      <c r="BQ875" s="334"/>
      <c r="BR875" s="334"/>
      <c r="BS875" s="334"/>
    </row>
    <row r="876" spans="45:71" x14ac:dyDescent="0.25">
      <c r="AS876" s="202"/>
      <c r="AV876" s="200"/>
      <c r="AW876" s="200"/>
      <c r="AX876" s="334"/>
      <c r="AY876" s="334"/>
      <c r="AZ876" s="334"/>
      <c r="BA876" s="201"/>
      <c r="BB876" s="334"/>
      <c r="BC876" s="334"/>
      <c r="BD876" s="334"/>
      <c r="BE876" s="201"/>
      <c r="BG876" s="334"/>
      <c r="BH876" s="334"/>
      <c r="BI876" s="334"/>
      <c r="BJ876" s="334"/>
      <c r="BK876" s="334"/>
      <c r="BL876" s="334"/>
      <c r="BM876" s="334"/>
      <c r="BN876" s="334"/>
      <c r="BO876" s="334"/>
      <c r="BP876" s="334"/>
      <c r="BQ876" s="334"/>
      <c r="BR876" s="334"/>
      <c r="BS876" s="334"/>
    </row>
    <row r="877" spans="45:71" x14ac:dyDescent="0.25">
      <c r="AS877" s="202"/>
      <c r="AV877" s="200"/>
      <c r="AW877" s="200"/>
      <c r="AX877" s="334"/>
      <c r="AY877" s="334"/>
      <c r="AZ877" s="334"/>
      <c r="BA877" s="201"/>
      <c r="BB877" s="334"/>
      <c r="BC877" s="334"/>
      <c r="BD877" s="334"/>
      <c r="BE877" s="201"/>
      <c r="BG877" s="334"/>
      <c r="BH877" s="334"/>
      <c r="BI877" s="334"/>
      <c r="BJ877" s="334"/>
      <c r="BK877" s="334"/>
      <c r="BL877" s="334"/>
      <c r="BM877" s="334"/>
      <c r="BN877" s="334"/>
      <c r="BO877" s="334"/>
      <c r="BP877" s="334"/>
      <c r="BQ877" s="334"/>
      <c r="BR877" s="334"/>
      <c r="BS877" s="334"/>
    </row>
    <row r="878" spans="45:71" x14ac:dyDescent="0.25">
      <c r="AZ878" s="334"/>
      <c r="BB878" s="334"/>
      <c r="BC878" s="334"/>
      <c r="BD878" s="334"/>
      <c r="BG878" s="334"/>
      <c r="BH878" s="334"/>
      <c r="BI878" s="334"/>
      <c r="BJ878" s="334"/>
      <c r="BK878" s="334"/>
      <c r="BL878" s="334"/>
      <c r="BM878" s="334"/>
      <c r="BN878" s="334"/>
      <c r="BO878" s="334"/>
      <c r="BP878" s="334"/>
      <c r="BQ878" s="334"/>
      <c r="BR878" s="334"/>
      <c r="BS878" s="334"/>
    </row>
    <row r="879" spans="45:71" x14ac:dyDescent="0.25">
      <c r="AS879" s="202"/>
      <c r="AT879" s="154"/>
      <c r="AV879" s="200"/>
      <c r="AW879" s="200"/>
      <c r="AX879" s="334"/>
      <c r="AY879" s="334"/>
      <c r="AZ879" s="334"/>
      <c r="BA879" s="201"/>
      <c r="BB879" s="334"/>
      <c r="BC879" s="334"/>
      <c r="BD879" s="334"/>
      <c r="BE879" s="201"/>
    </row>
    <row r="880" spans="45:71" x14ac:dyDescent="0.25">
      <c r="AS880" s="202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</row>
    <row r="881" spans="45:57" x14ac:dyDescent="0.25">
      <c r="AS881" s="202"/>
      <c r="AV881" s="200"/>
      <c r="AW881" s="200"/>
      <c r="AX881" s="334"/>
      <c r="AY881" s="334"/>
      <c r="AZ881" s="334"/>
      <c r="BA881" s="201"/>
      <c r="BB881" s="334"/>
      <c r="BC881" s="334"/>
      <c r="BD881" s="334"/>
      <c r="BE881" s="201"/>
    </row>
    <row r="882" spans="45:57" x14ac:dyDescent="0.25">
      <c r="AS882" s="202"/>
      <c r="AV882" s="200"/>
      <c r="AW882" s="200"/>
      <c r="AX882" s="334"/>
      <c r="AY882" s="334"/>
      <c r="AZ882" s="334"/>
      <c r="BA882" s="201"/>
      <c r="BB882" s="334"/>
      <c r="BC882" s="334"/>
      <c r="BD882" s="334"/>
      <c r="BE882" s="201"/>
    </row>
    <row r="883" spans="45:57" x14ac:dyDescent="0.25">
      <c r="AS883" s="202"/>
      <c r="AV883" s="200"/>
      <c r="AW883" s="200"/>
      <c r="AX883" s="334"/>
      <c r="AY883" s="334"/>
      <c r="AZ883" s="334"/>
      <c r="BA883" s="201"/>
      <c r="BB883" s="334"/>
      <c r="BC883" s="334"/>
      <c r="BD883" s="334"/>
      <c r="BE883" s="201"/>
    </row>
    <row r="884" spans="45:57" x14ac:dyDescent="0.25">
      <c r="AS884" s="202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</row>
    <row r="885" spans="45:57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</row>
    <row r="886" spans="45:57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</row>
    <row r="887" spans="45:57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</row>
    <row r="888" spans="45:57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</row>
    <row r="889" spans="45:57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57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57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57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</row>
    <row r="893" spans="45:57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4" spans="45:57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</row>
    <row r="895" spans="45:57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</row>
    <row r="896" spans="45:57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</row>
    <row r="897" spans="45:57" x14ac:dyDescent="0.25">
      <c r="BB897" s="334"/>
    </row>
    <row r="898" spans="45:57" x14ac:dyDescent="0.25">
      <c r="AU898" s="154"/>
      <c r="BB898" s="334"/>
    </row>
    <row r="899" spans="45:57" x14ac:dyDescent="0.25">
      <c r="AU899" s="154"/>
    </row>
    <row r="900" spans="45:57" x14ac:dyDescent="0.25">
      <c r="AU900" s="154"/>
      <c r="BB900" s="334"/>
    </row>
    <row r="901" spans="45:57" x14ac:dyDescent="0.25">
      <c r="AS901" s="154"/>
      <c r="AZ901" s="334"/>
      <c r="BB901" s="334"/>
    </row>
    <row r="902" spans="45:57" x14ac:dyDescent="0.25">
      <c r="AY902" s="202"/>
      <c r="AZ902" s="334"/>
      <c r="BB902" s="334"/>
    </row>
    <row r="903" spans="45:57" x14ac:dyDescent="0.25">
      <c r="AY903" s="334"/>
      <c r="AZ903" s="334"/>
      <c r="BB903" s="334"/>
    </row>
    <row r="904" spans="45:57" x14ac:dyDescent="0.25">
      <c r="AY904" s="154"/>
      <c r="AZ904" s="334"/>
      <c r="BB904" s="334"/>
    </row>
    <row r="905" spans="45:57" x14ac:dyDescent="0.25">
      <c r="AY905" s="154"/>
      <c r="AZ905" s="334"/>
      <c r="BB905" s="334"/>
    </row>
    <row r="906" spans="45:57" x14ac:dyDescent="0.25">
      <c r="AS906" s="202"/>
      <c r="AZ906" s="334"/>
      <c r="BB906" s="334"/>
      <c r="BD906" s="154"/>
    </row>
    <row r="907" spans="45:57" x14ac:dyDescent="0.25">
      <c r="AS907" s="202"/>
      <c r="AZ907" s="334"/>
      <c r="BB907" s="334"/>
      <c r="BD907" s="154"/>
    </row>
    <row r="908" spans="45:57" x14ac:dyDescent="0.25">
      <c r="AS908" s="154"/>
      <c r="AZ908" s="334"/>
      <c r="BB908" s="334"/>
      <c r="BD908" s="154"/>
    </row>
    <row r="909" spans="45:57" x14ac:dyDescent="0.25">
      <c r="AZ909" s="334"/>
      <c r="BB909" s="334"/>
      <c r="BD909" s="202"/>
    </row>
    <row r="910" spans="45:57" x14ac:dyDescent="0.25">
      <c r="AS910" s="102"/>
      <c r="AT910" s="102"/>
      <c r="AU910" s="102"/>
      <c r="AV910" s="102"/>
      <c r="AW910" s="102"/>
      <c r="AX910" s="102"/>
      <c r="AY910" s="102"/>
      <c r="AZ910" s="335"/>
      <c r="BA910" s="102"/>
      <c r="BB910" s="335"/>
      <c r="BC910" s="102"/>
      <c r="BD910" s="102"/>
      <c r="BE910" s="102"/>
    </row>
    <row r="911" spans="45:57" x14ac:dyDescent="0.25">
      <c r="AX911" s="154"/>
      <c r="AZ911" s="334"/>
      <c r="BB911" s="334"/>
    </row>
    <row r="912" spans="45:57" x14ac:dyDescent="0.25">
      <c r="AX912" s="102"/>
      <c r="AY912" s="102"/>
      <c r="AZ912" s="335"/>
      <c r="BA912" s="102"/>
      <c r="BB912" s="334"/>
      <c r="BC912" s="103"/>
      <c r="BD912" s="103"/>
    </row>
    <row r="913" spans="45:57" x14ac:dyDescent="0.25">
      <c r="AV913" s="103"/>
      <c r="AW913" s="103"/>
      <c r="AZ913" s="336"/>
      <c r="BA913" s="103"/>
      <c r="BB913" s="334"/>
      <c r="BC913" s="103"/>
      <c r="BD913" s="103"/>
      <c r="BE913" s="103"/>
    </row>
    <row r="914" spans="45:57" x14ac:dyDescent="0.25">
      <c r="AV914" s="103"/>
      <c r="AW914" s="103"/>
      <c r="AX914" s="103"/>
      <c r="AY914" s="103"/>
      <c r="AZ914" s="336"/>
      <c r="BA914" s="103"/>
      <c r="BB914" s="336"/>
      <c r="BC914" s="103"/>
      <c r="BD914" s="103"/>
      <c r="BE914" s="103"/>
    </row>
    <row r="915" spans="45:57" x14ac:dyDescent="0.25">
      <c r="AS915" s="103"/>
      <c r="AU915" s="154"/>
      <c r="AV915" s="103"/>
      <c r="AW915" s="103"/>
      <c r="AX915" s="103"/>
      <c r="AY915" s="103"/>
      <c r="AZ915" s="336"/>
      <c r="BA915" s="103"/>
      <c r="BB915" s="336"/>
      <c r="BC915" s="103"/>
      <c r="BD915" s="103"/>
      <c r="BE915" s="103"/>
    </row>
    <row r="916" spans="45:57" x14ac:dyDescent="0.25">
      <c r="AS916" s="103"/>
      <c r="AU916" s="154"/>
      <c r="AV916" s="103"/>
      <c r="AW916" s="103"/>
      <c r="AX916" s="103"/>
      <c r="AY916" s="103"/>
      <c r="AZ916" s="336"/>
      <c r="BA916" s="103"/>
      <c r="BB916" s="336"/>
      <c r="BC916" s="103"/>
      <c r="BD916" s="103"/>
      <c r="BE916" s="103"/>
    </row>
    <row r="917" spans="45:57" x14ac:dyDescent="0.25">
      <c r="AS917" s="102"/>
      <c r="AT917" s="102"/>
      <c r="AU917" s="102"/>
      <c r="AV917" s="102"/>
      <c r="AW917" s="102"/>
      <c r="AX917" s="102"/>
      <c r="AY917" s="102"/>
      <c r="AZ917" s="335"/>
      <c r="BA917" s="102"/>
      <c r="BB917" s="335"/>
      <c r="BC917" s="102"/>
      <c r="BD917" s="102"/>
      <c r="BE917" s="102"/>
    </row>
    <row r="918" spans="45:57" x14ac:dyDescent="0.25">
      <c r="AV918" s="103"/>
      <c r="AW918" s="103"/>
      <c r="AX918" s="103"/>
      <c r="AY918" s="103"/>
      <c r="AZ918" s="336"/>
      <c r="BA918" s="103"/>
      <c r="BB918" s="336"/>
      <c r="BC918" s="103"/>
      <c r="BD918" s="103"/>
      <c r="BE918" s="103"/>
    </row>
    <row r="919" spans="45:57" x14ac:dyDescent="0.25">
      <c r="AS919" s="202"/>
      <c r="AT919" s="154"/>
      <c r="AV919" s="200"/>
      <c r="AW919" s="200"/>
      <c r="AX919" s="334"/>
      <c r="AY919" s="334"/>
      <c r="AZ919" s="334"/>
      <c r="BA919" s="201"/>
      <c r="BB919" s="334"/>
      <c r="BC919" s="334"/>
      <c r="BD919" s="334"/>
      <c r="BE919" s="201"/>
    </row>
    <row r="920" spans="45:57" x14ac:dyDescent="0.25">
      <c r="AS920" s="202"/>
      <c r="AV920" s="200"/>
      <c r="AW920" s="200"/>
      <c r="AX920" s="334"/>
      <c r="AY920" s="334"/>
      <c r="AZ920" s="334"/>
      <c r="BA920" s="201"/>
      <c r="BB920" s="334"/>
      <c r="BC920" s="334"/>
      <c r="BD920" s="334"/>
      <c r="BE920" s="201"/>
    </row>
    <row r="921" spans="45:57" x14ac:dyDescent="0.25">
      <c r="AS921" s="202"/>
      <c r="AV921" s="200"/>
      <c r="AW921" s="200"/>
      <c r="AX921" s="334"/>
      <c r="AY921" s="334"/>
      <c r="AZ921" s="334"/>
      <c r="BA921" s="201"/>
      <c r="BB921" s="334"/>
      <c r="BC921" s="334"/>
      <c r="BD921" s="334"/>
      <c r="BE921" s="201"/>
    </row>
    <row r="922" spans="45:57" x14ac:dyDescent="0.25">
      <c r="AS922" s="202"/>
      <c r="AV922" s="200"/>
      <c r="AW922" s="200"/>
      <c r="AX922" s="334"/>
      <c r="AY922" s="334"/>
      <c r="AZ922" s="334"/>
      <c r="BA922" s="201"/>
      <c r="BB922" s="334"/>
      <c r="BC922" s="334"/>
      <c r="BD922" s="334"/>
      <c r="BE922" s="201"/>
    </row>
    <row r="923" spans="45:57" x14ac:dyDescent="0.25">
      <c r="AS923" s="202"/>
      <c r="AV923" s="200"/>
      <c r="AW923" s="200"/>
      <c r="AX923" s="334"/>
      <c r="AY923" s="334"/>
      <c r="AZ923" s="334"/>
      <c r="BA923" s="201"/>
      <c r="BB923" s="334"/>
      <c r="BC923" s="334"/>
      <c r="BD923" s="334"/>
      <c r="BE923" s="201"/>
    </row>
    <row r="924" spans="45:57" x14ac:dyDescent="0.25">
      <c r="AS924" s="202"/>
      <c r="AV924" s="200"/>
      <c r="AW924" s="200"/>
      <c r="AX924" s="334"/>
      <c r="AY924" s="334"/>
      <c r="AZ924" s="334"/>
      <c r="BA924" s="201"/>
      <c r="BB924" s="334"/>
      <c r="BC924" s="334"/>
      <c r="BD924" s="334"/>
      <c r="BE924" s="201"/>
    </row>
    <row r="925" spans="45:57" x14ac:dyDescent="0.25">
      <c r="AS925" s="202"/>
      <c r="AV925" s="200"/>
      <c r="AW925" s="200"/>
      <c r="AX925" s="334"/>
      <c r="AY925" s="334"/>
      <c r="AZ925" s="334"/>
      <c r="BA925" s="201"/>
      <c r="BB925" s="334"/>
      <c r="BC925" s="334"/>
      <c r="BD925" s="334"/>
      <c r="BE925" s="201"/>
    </row>
    <row r="926" spans="45:57" x14ac:dyDescent="0.25">
      <c r="AS926" s="202"/>
      <c r="AV926" s="200"/>
      <c r="AW926" s="200"/>
      <c r="AX926" s="334"/>
      <c r="AY926" s="334"/>
      <c r="AZ926" s="334"/>
      <c r="BA926" s="201"/>
      <c r="BB926" s="334"/>
      <c r="BC926" s="334"/>
      <c r="BD926" s="334"/>
      <c r="BE926" s="201"/>
    </row>
    <row r="927" spans="45:57" x14ac:dyDescent="0.25">
      <c r="AS927" s="202"/>
      <c r="AV927" s="200"/>
      <c r="AW927" s="200"/>
      <c r="AX927" s="334"/>
      <c r="AY927" s="334"/>
      <c r="AZ927" s="334"/>
      <c r="BA927" s="201"/>
      <c r="BB927" s="334"/>
      <c r="BC927" s="334"/>
      <c r="BD927" s="334"/>
      <c r="BE927" s="201"/>
    </row>
    <row r="928" spans="45:57" x14ac:dyDescent="0.25">
      <c r="AS928" s="202"/>
      <c r="AV928" s="200"/>
      <c r="AW928" s="200"/>
      <c r="AX928" s="334"/>
      <c r="AY928" s="334"/>
      <c r="AZ928" s="334"/>
      <c r="BA928" s="201"/>
      <c r="BB928" s="334"/>
      <c r="BC928" s="334"/>
      <c r="BD928" s="334"/>
      <c r="BE928" s="201"/>
    </row>
    <row r="929" spans="45:57" x14ac:dyDescent="0.25">
      <c r="AV929" s="200"/>
      <c r="AW929" s="200"/>
      <c r="BB929" s="334"/>
    </row>
    <row r="930" spans="45:57" x14ac:dyDescent="0.25">
      <c r="AS930" s="202"/>
      <c r="AT930" s="154"/>
      <c r="AV930" s="200"/>
      <c r="AW930" s="200"/>
      <c r="AX930" s="334"/>
      <c r="AY930" s="334"/>
      <c r="AZ930" s="334"/>
      <c r="BA930" s="201"/>
      <c r="BB930" s="334"/>
      <c r="BC930" s="334"/>
      <c r="BD930" s="334"/>
      <c r="BE930" s="201"/>
    </row>
    <row r="931" spans="45:57" x14ac:dyDescent="0.25">
      <c r="AS931" s="202"/>
      <c r="AV931" s="200"/>
      <c r="AW931" s="200"/>
      <c r="AX931" s="334"/>
      <c r="AY931" s="334"/>
      <c r="AZ931" s="334"/>
      <c r="BA931" s="201"/>
      <c r="BB931" s="334"/>
      <c r="BC931" s="334"/>
      <c r="BD931" s="334"/>
      <c r="BE931" s="201"/>
    </row>
    <row r="932" spans="45:57" x14ac:dyDescent="0.25">
      <c r="AS932" s="202"/>
      <c r="AV932" s="200"/>
      <c r="AW932" s="200"/>
      <c r="AX932" s="334"/>
      <c r="AY932" s="334"/>
      <c r="AZ932" s="334"/>
      <c r="BA932" s="201"/>
      <c r="BB932" s="334"/>
      <c r="BC932" s="334"/>
      <c r="BD932" s="334"/>
      <c r="BE932" s="201"/>
    </row>
    <row r="933" spans="45:57" x14ac:dyDescent="0.25">
      <c r="AS933" s="202"/>
      <c r="AV933" s="200"/>
      <c r="AW933" s="200"/>
      <c r="AX933" s="334"/>
      <c r="AY933" s="334"/>
      <c r="AZ933" s="334"/>
      <c r="BA933" s="201"/>
      <c r="BB933" s="334"/>
      <c r="BC933" s="334"/>
      <c r="BD933" s="334"/>
      <c r="BE933" s="201"/>
    </row>
    <row r="934" spans="45:57" x14ac:dyDescent="0.25">
      <c r="AS934" s="202"/>
      <c r="AV934" s="200"/>
      <c r="AW934" s="200"/>
      <c r="AX934" s="334"/>
      <c r="AY934" s="334"/>
      <c r="AZ934" s="334"/>
      <c r="BA934" s="201"/>
      <c r="BB934" s="334"/>
      <c r="BC934" s="334"/>
      <c r="BD934" s="334"/>
      <c r="BE934" s="201"/>
    </row>
    <row r="935" spans="45:57" x14ac:dyDescent="0.25">
      <c r="AS935" s="202"/>
      <c r="AV935" s="200"/>
      <c r="AW935" s="200"/>
      <c r="AX935" s="334"/>
      <c r="AY935" s="334"/>
      <c r="AZ935" s="334"/>
      <c r="BA935" s="201"/>
      <c r="BB935" s="334"/>
      <c r="BC935" s="334"/>
      <c r="BD935" s="334"/>
      <c r="BE935" s="201"/>
    </row>
    <row r="936" spans="45:57" x14ac:dyDescent="0.25">
      <c r="AS936" s="202"/>
      <c r="AV936" s="200"/>
      <c r="AW936" s="200"/>
      <c r="AX936" s="334"/>
      <c r="AY936" s="334"/>
      <c r="AZ936" s="334"/>
      <c r="BA936" s="201"/>
      <c r="BB936" s="334"/>
      <c r="BC936" s="334"/>
      <c r="BD936" s="334"/>
      <c r="BE936" s="201"/>
    </row>
    <row r="937" spans="45:57" x14ac:dyDescent="0.25">
      <c r="AS937" s="202"/>
      <c r="AV937" s="200"/>
      <c r="AW937" s="200"/>
      <c r="AX937" s="334"/>
      <c r="AY937" s="334"/>
      <c r="AZ937" s="334"/>
      <c r="BA937" s="201"/>
      <c r="BB937" s="334"/>
      <c r="BC937" s="334"/>
      <c r="BD937" s="334"/>
      <c r="BE937" s="201"/>
    </row>
    <row r="938" spans="45:57" x14ac:dyDescent="0.25">
      <c r="AS938" s="202"/>
      <c r="AV938" s="200"/>
      <c r="AW938" s="200"/>
      <c r="AX938" s="334"/>
      <c r="AY938" s="334"/>
      <c r="AZ938" s="334"/>
      <c r="BA938" s="201"/>
      <c r="BB938" s="334"/>
      <c r="BC938" s="334"/>
      <c r="BD938" s="334"/>
      <c r="BE938" s="201"/>
    </row>
    <row r="939" spans="45:57" x14ac:dyDescent="0.25">
      <c r="AS939" s="202"/>
      <c r="AV939" s="200"/>
      <c r="AW939" s="200"/>
      <c r="AX939" s="334"/>
      <c r="AY939" s="334"/>
      <c r="AZ939" s="334"/>
      <c r="BA939" s="201"/>
      <c r="BB939" s="334"/>
      <c r="BC939" s="334"/>
      <c r="BD939" s="334"/>
      <c r="BE939" s="201"/>
    </row>
    <row r="941" spans="45:57" x14ac:dyDescent="0.25">
      <c r="AU941" s="154"/>
    </row>
    <row r="942" spans="45:57" x14ac:dyDescent="0.25">
      <c r="AU942" s="154"/>
    </row>
    <row r="943" spans="45:57" x14ac:dyDescent="0.25">
      <c r="AU943" s="154"/>
    </row>
    <row r="944" spans="45:57" x14ac:dyDescent="0.25">
      <c r="AS944" s="154"/>
    </row>
    <row r="965" spans="52:71" x14ac:dyDescent="0.25">
      <c r="AZ965" s="334"/>
      <c r="BB965" s="334"/>
      <c r="BC965" s="334"/>
      <c r="BD965" s="334"/>
      <c r="BG965" s="334"/>
      <c r="BH965" s="334"/>
      <c r="BI965" s="334"/>
      <c r="BJ965" s="334"/>
      <c r="BK965" s="334"/>
      <c r="BL965" s="334"/>
      <c r="BM965" s="334"/>
      <c r="BN965" s="334"/>
      <c r="BO965" s="334"/>
      <c r="BP965" s="334"/>
      <c r="BQ965" s="334"/>
      <c r="BR965" s="334"/>
      <c r="BS965" s="334"/>
    </row>
    <row r="966" spans="52:71" x14ac:dyDescent="0.25">
      <c r="AZ966" s="334"/>
      <c r="BB966" s="334"/>
      <c r="BC966" s="334"/>
      <c r="BD966" s="334"/>
      <c r="BG966" s="334"/>
      <c r="BH966" s="334"/>
      <c r="BI966" s="334"/>
      <c r="BJ966" s="334"/>
      <c r="BK966" s="334"/>
      <c r="BL966" s="334"/>
      <c r="BM966" s="334"/>
      <c r="BN966" s="334"/>
      <c r="BO966" s="334"/>
      <c r="BP966" s="334"/>
      <c r="BQ966" s="334"/>
      <c r="BR966" s="334"/>
      <c r="BS966" s="334"/>
    </row>
    <row r="967" spans="52:71" x14ac:dyDescent="0.25">
      <c r="AZ967" s="334"/>
      <c r="BB967" s="334"/>
      <c r="BC967" s="334"/>
      <c r="BD967" s="334"/>
      <c r="BG967" s="334"/>
      <c r="BH967" s="334"/>
      <c r="BI967" s="334"/>
      <c r="BJ967" s="334"/>
      <c r="BK967" s="334"/>
      <c r="BL967" s="334"/>
      <c r="BM967" s="334"/>
      <c r="BN967" s="334"/>
      <c r="BO967" s="334"/>
      <c r="BP967" s="334"/>
      <c r="BQ967" s="334"/>
      <c r="BR967" s="334"/>
      <c r="BS967" s="334"/>
    </row>
    <row r="968" spans="52:71" x14ac:dyDescent="0.25">
      <c r="AZ968" s="334"/>
      <c r="BB968" s="334"/>
      <c r="BC968" s="334"/>
      <c r="BD968" s="334"/>
      <c r="BG968" s="334"/>
      <c r="BH968" s="334"/>
      <c r="BI968" s="334"/>
      <c r="BJ968" s="334"/>
      <c r="BK968" s="334"/>
      <c r="BL968" s="334"/>
      <c r="BM968" s="334"/>
      <c r="BN968" s="334"/>
      <c r="BO968" s="334"/>
      <c r="BP968" s="334"/>
      <c r="BQ968" s="334"/>
      <c r="BR968" s="334"/>
      <c r="BS968" s="334"/>
    </row>
    <row r="969" spans="52:71" x14ac:dyDescent="0.25">
      <c r="AZ969" s="334"/>
      <c r="BB969" s="334"/>
      <c r="BC969" s="334"/>
      <c r="BD969" s="334"/>
      <c r="BG969" s="334"/>
      <c r="BH969" s="334"/>
      <c r="BI969" s="334"/>
      <c r="BJ969" s="334"/>
      <c r="BK969" s="334"/>
      <c r="BL969" s="334"/>
      <c r="BM969" s="334"/>
      <c r="BN969" s="334"/>
      <c r="BO969" s="334"/>
      <c r="BP969" s="334"/>
      <c r="BQ969" s="334"/>
      <c r="BR969" s="334"/>
      <c r="BS969" s="334"/>
    </row>
    <row r="970" spans="52:71" x14ac:dyDescent="0.25">
      <c r="AZ970" s="334"/>
      <c r="BB970" s="334"/>
      <c r="BC970" s="334"/>
      <c r="BD970" s="334"/>
      <c r="BG970" s="334"/>
      <c r="BH970" s="334"/>
      <c r="BI970" s="334"/>
      <c r="BJ970" s="334"/>
      <c r="BK970" s="334"/>
      <c r="BL970" s="334"/>
      <c r="BM970" s="334"/>
      <c r="BN970" s="334"/>
      <c r="BO970" s="334"/>
      <c r="BP970" s="334"/>
      <c r="BQ970" s="334"/>
      <c r="BR970" s="334"/>
      <c r="BS970" s="334"/>
    </row>
    <row r="971" spans="52:71" x14ac:dyDescent="0.25">
      <c r="AZ971" s="334"/>
      <c r="BB971" s="334"/>
      <c r="BC971" s="334"/>
      <c r="BD971" s="334"/>
      <c r="BG971" s="334"/>
      <c r="BH971" s="334"/>
      <c r="BI971" s="334"/>
      <c r="BJ971" s="334"/>
      <c r="BK971" s="334"/>
      <c r="BL971" s="334"/>
      <c r="BM971" s="334"/>
      <c r="BN971" s="334"/>
      <c r="BO971" s="334"/>
      <c r="BP971" s="334"/>
      <c r="BQ971" s="334"/>
      <c r="BR971" s="334"/>
      <c r="BS971" s="334"/>
    </row>
    <row r="972" spans="52:71" x14ac:dyDescent="0.25">
      <c r="AZ972" s="334"/>
      <c r="BB972" s="334"/>
      <c r="BC972" s="334"/>
      <c r="BD972" s="334"/>
      <c r="BG972" s="334"/>
      <c r="BH972" s="334"/>
      <c r="BI972" s="334"/>
      <c r="BJ972" s="334"/>
      <c r="BK972" s="334"/>
      <c r="BL972" s="334"/>
      <c r="BM972" s="334"/>
      <c r="BN972" s="334"/>
      <c r="BO972" s="334"/>
      <c r="BP972" s="334"/>
      <c r="BQ972" s="334"/>
      <c r="BR972" s="334"/>
      <c r="BS972" s="334"/>
    </row>
    <row r="973" spans="52:71" x14ac:dyDescent="0.25">
      <c r="AZ973" s="334"/>
      <c r="BB973" s="334"/>
      <c r="BC973" s="334"/>
      <c r="BD973" s="334"/>
      <c r="BG973" s="334"/>
      <c r="BH973" s="334"/>
      <c r="BI973" s="334"/>
      <c r="BJ973" s="334"/>
      <c r="BK973" s="334"/>
      <c r="BL973" s="334"/>
      <c r="BM973" s="334"/>
      <c r="BN973" s="334"/>
      <c r="BO973" s="334"/>
      <c r="BP973" s="334"/>
      <c r="BQ973" s="334"/>
      <c r="BR973" s="334"/>
      <c r="BS973" s="334"/>
    </row>
    <row r="974" spans="52:71" x14ac:dyDescent="0.25">
      <c r="AZ974" s="334"/>
      <c r="BB974" s="334"/>
      <c r="BC974" s="334"/>
      <c r="BD974" s="334"/>
      <c r="BG974" s="334"/>
      <c r="BH974" s="334"/>
      <c r="BI974" s="334"/>
      <c r="BJ974" s="334"/>
      <c r="BK974" s="334"/>
      <c r="BL974" s="334"/>
      <c r="BM974" s="334"/>
      <c r="BN974" s="334"/>
      <c r="BO974" s="334"/>
      <c r="BP974" s="334"/>
      <c r="BQ974" s="334"/>
      <c r="BR974" s="334"/>
      <c r="BS974" s="334"/>
    </row>
    <row r="975" spans="52:71" x14ac:dyDescent="0.25">
      <c r="AZ975" s="334"/>
      <c r="BB975" s="334"/>
      <c r="BC975" s="334"/>
      <c r="BD975" s="334"/>
      <c r="BG975" s="334"/>
      <c r="BH975" s="334"/>
      <c r="BI975" s="334"/>
      <c r="BJ975" s="334"/>
      <c r="BK975" s="334"/>
      <c r="BL975" s="334"/>
      <c r="BM975" s="334"/>
      <c r="BN975" s="334"/>
      <c r="BO975" s="334"/>
      <c r="BP975" s="334"/>
      <c r="BQ975" s="334"/>
      <c r="BR975" s="334"/>
      <c r="BS975" s="334"/>
    </row>
    <row r="976" spans="52:71" x14ac:dyDescent="0.25">
      <c r="AZ976" s="334"/>
      <c r="BB976" s="334"/>
      <c r="BC976" s="334"/>
      <c r="BD976" s="334"/>
      <c r="BG976" s="334"/>
      <c r="BH976" s="334"/>
      <c r="BI976" s="334"/>
      <c r="BJ976" s="334"/>
      <c r="BK976" s="334"/>
      <c r="BL976" s="334"/>
      <c r="BM976" s="334"/>
      <c r="BN976" s="334"/>
      <c r="BO976" s="334"/>
      <c r="BP976" s="334"/>
      <c r="BQ976" s="334"/>
      <c r="BR976" s="334"/>
      <c r="BS976" s="334"/>
    </row>
    <row r="977" spans="52:71" x14ac:dyDescent="0.25">
      <c r="AZ977" s="334"/>
      <c r="BG977" s="334"/>
      <c r="BH977" s="334"/>
      <c r="BI977" s="334"/>
      <c r="BJ977" s="334"/>
      <c r="BK977" s="334"/>
      <c r="BL977" s="334"/>
      <c r="BM977" s="334"/>
      <c r="BN977" s="334"/>
      <c r="BO977" s="334"/>
      <c r="BP977" s="334"/>
      <c r="BQ977" s="334"/>
      <c r="BR977" s="334"/>
      <c r="BS977" s="334"/>
    </row>
    <row r="978" spans="52:71" x14ac:dyDescent="0.25">
      <c r="AZ978" s="334"/>
      <c r="BG978" s="334"/>
      <c r="BH978" s="334"/>
      <c r="BI978" s="334"/>
      <c r="BJ978" s="334"/>
      <c r="BK978" s="334"/>
      <c r="BL978" s="334"/>
      <c r="BM978" s="334"/>
      <c r="BN978" s="334"/>
      <c r="BO978" s="334"/>
      <c r="BP978" s="334"/>
      <c r="BQ978" s="334"/>
      <c r="BR978" s="334"/>
      <c r="BS978" s="334"/>
    </row>
    <row r="979" spans="52:71" x14ac:dyDescent="0.25">
      <c r="AZ979" s="334"/>
      <c r="BG979" s="334"/>
      <c r="BH979" s="334"/>
      <c r="BI979" s="334"/>
      <c r="BJ979" s="334"/>
      <c r="BK979" s="334"/>
      <c r="BL979" s="334"/>
      <c r="BM979" s="334"/>
      <c r="BN979" s="334"/>
      <c r="BO979" s="334"/>
      <c r="BP979" s="334"/>
      <c r="BQ979" s="334"/>
      <c r="BR979" s="334"/>
      <c r="BS979" s="334"/>
    </row>
    <row r="980" spans="52:71" x14ac:dyDescent="0.25">
      <c r="AZ980" s="334"/>
      <c r="BG980" s="334"/>
      <c r="BH980" s="334"/>
      <c r="BI980" s="334"/>
      <c r="BJ980" s="334"/>
      <c r="BK980" s="334"/>
      <c r="BL980" s="334"/>
      <c r="BM980" s="334"/>
      <c r="BN980" s="334"/>
      <c r="BO980" s="334"/>
      <c r="BP980" s="334"/>
      <c r="BQ980" s="334"/>
      <c r="BR980" s="334"/>
      <c r="BS980" s="334"/>
    </row>
    <row r="981" spans="52:71" x14ac:dyDescent="0.25">
      <c r="AZ981" s="334"/>
      <c r="BG981" s="334"/>
      <c r="BH981" s="334"/>
      <c r="BI981" s="334"/>
      <c r="BJ981" s="334"/>
      <c r="BK981" s="334"/>
      <c r="BL981" s="334"/>
      <c r="BM981" s="334"/>
      <c r="BN981" s="334"/>
      <c r="BO981" s="334"/>
      <c r="BP981" s="334"/>
      <c r="BQ981" s="334"/>
      <c r="BR981" s="334"/>
      <c r="BS981" s="334"/>
    </row>
    <row r="982" spans="52:71" x14ac:dyDescent="0.25">
      <c r="AZ982" s="334"/>
      <c r="BG982" s="334"/>
      <c r="BH982" s="334"/>
      <c r="BI982" s="334"/>
      <c r="BJ982" s="334"/>
      <c r="BK982" s="334"/>
      <c r="BL982" s="334"/>
      <c r="BM982" s="334"/>
      <c r="BN982" s="334"/>
      <c r="BO982" s="334"/>
      <c r="BP982" s="334"/>
      <c r="BQ982" s="334"/>
      <c r="BR982" s="334"/>
      <c r="BS982" s="334"/>
    </row>
    <row r="983" spans="52:71" x14ac:dyDescent="0.25">
      <c r="AZ983" s="334"/>
      <c r="BG983" s="334"/>
      <c r="BH983" s="334"/>
      <c r="BI983" s="334"/>
      <c r="BJ983" s="334"/>
      <c r="BK983" s="334"/>
      <c r="BL983" s="334"/>
      <c r="BM983" s="334"/>
      <c r="BN983" s="334"/>
      <c r="BO983" s="334"/>
      <c r="BP983" s="334"/>
      <c r="BQ983" s="334"/>
      <c r="BR983" s="334"/>
      <c r="BS983" s="334"/>
    </row>
    <row r="984" spans="52:71" x14ac:dyDescent="0.25">
      <c r="AZ984" s="334"/>
    </row>
    <row r="985" spans="52:71" x14ac:dyDescent="0.25">
      <c r="AZ985" s="334"/>
    </row>
    <row r="999" spans="1:28" x14ac:dyDescent="0.25">
      <c r="A999" s="154"/>
    </row>
    <row r="1002" spans="1:28" x14ac:dyDescent="0.25">
      <c r="Y1002" s="154"/>
    </row>
    <row r="1003" spans="1:28" x14ac:dyDescent="0.25">
      <c r="A1003" s="154"/>
      <c r="H1003" s="154"/>
      <c r="I1003" s="154"/>
    </row>
    <row r="1004" spans="1:28" x14ac:dyDescent="0.25">
      <c r="A1004" s="154"/>
      <c r="V1004" s="103"/>
      <c r="AA1004" s="103"/>
      <c r="AB1004" s="103"/>
    </row>
    <row r="1005" spans="1:28" x14ac:dyDescent="0.25">
      <c r="A1005" s="154"/>
      <c r="V1005" s="102"/>
      <c r="AA1005" s="102"/>
      <c r="AB1005" s="102"/>
    </row>
    <row r="1006" spans="1:28" x14ac:dyDescent="0.25">
      <c r="A1006" s="154"/>
      <c r="U1006" s="154"/>
      <c r="AA1006" s="103"/>
      <c r="AB1006" s="103"/>
    </row>
    <row r="1007" spans="1:28" x14ac:dyDescent="0.25">
      <c r="A1007" s="154"/>
    </row>
    <row r="1008" spans="1:28" x14ac:dyDescent="0.25">
      <c r="A1008" s="154"/>
      <c r="U1008" s="154"/>
      <c r="AA1008" s="103"/>
      <c r="AB1008" s="103"/>
    </row>
    <row r="1009" spans="1:28" x14ac:dyDescent="0.25">
      <c r="A1009" s="154"/>
    </row>
    <row r="1010" spans="1:28" x14ac:dyDescent="0.25">
      <c r="A1010" s="154"/>
      <c r="U1010" s="154"/>
      <c r="V1010" s="338"/>
      <c r="AA1010" s="103"/>
      <c r="AB1010" s="103"/>
    </row>
    <row r="1011" spans="1:28" x14ac:dyDescent="0.25">
      <c r="A1011" s="154"/>
    </row>
    <row r="1012" spans="1:28" x14ac:dyDescent="0.25">
      <c r="A1012" s="154"/>
      <c r="U1012" s="154"/>
      <c r="AA1012" s="103"/>
      <c r="AB1012" s="103"/>
    </row>
    <row r="1013" spans="1:28" x14ac:dyDescent="0.25">
      <c r="A1013" s="154"/>
    </row>
    <row r="1014" spans="1:28" x14ac:dyDescent="0.25">
      <c r="A1014" s="154"/>
      <c r="U1014" s="154"/>
      <c r="AA1014" s="103"/>
      <c r="AB1014" s="103"/>
    </row>
    <row r="1015" spans="1:28" x14ac:dyDescent="0.25">
      <c r="A1015" s="154"/>
    </row>
    <row r="1016" spans="1:28" x14ac:dyDescent="0.25">
      <c r="A1016" s="154"/>
    </row>
    <row r="1017" spans="1:28" x14ac:dyDescent="0.25">
      <c r="A1017" s="154"/>
    </row>
    <row r="1018" spans="1:28" x14ac:dyDescent="0.25">
      <c r="A1018" s="154"/>
    </row>
    <row r="1019" spans="1:28" x14ac:dyDescent="0.25">
      <c r="A1019" s="154"/>
    </row>
    <row r="1020" spans="1:28" x14ac:dyDescent="0.25">
      <c r="A1020" s="154"/>
    </row>
    <row r="1021" spans="1:28" x14ac:dyDescent="0.25">
      <c r="A1021" s="154"/>
    </row>
    <row r="1022" spans="1:28" x14ac:dyDescent="0.25">
      <c r="A1022" s="154"/>
    </row>
    <row r="1023" spans="1:28" x14ac:dyDescent="0.25">
      <c r="A1023" s="154"/>
    </row>
    <row r="1024" spans="1:28" x14ac:dyDescent="0.25">
      <c r="A1024" s="154"/>
    </row>
    <row r="1025" spans="1:9" x14ac:dyDescent="0.25">
      <c r="A1025" s="154"/>
      <c r="H1025" s="154"/>
      <c r="I1025" s="154"/>
    </row>
    <row r="1028" spans="1:9" x14ac:dyDescent="0.25">
      <c r="A1028" s="154"/>
    </row>
    <row r="1031" spans="1:9" x14ac:dyDescent="0.25">
      <c r="A1031" s="154"/>
    </row>
    <row r="1034" spans="1:9" x14ac:dyDescent="0.25">
      <c r="A1034" s="154"/>
    </row>
    <row r="1035" spans="1:9" x14ac:dyDescent="0.25">
      <c r="A1035" s="154"/>
    </row>
    <row r="1036" spans="1:9" x14ac:dyDescent="0.25">
      <c r="A1036" s="154"/>
    </row>
    <row r="1037" spans="1:9" x14ac:dyDescent="0.25">
      <c r="A1037" s="154"/>
    </row>
    <row r="1038" spans="1:9" x14ac:dyDescent="0.25">
      <c r="A1038" s="154"/>
    </row>
    <row r="1039" spans="1:9" x14ac:dyDescent="0.25">
      <c r="A1039" s="154"/>
    </row>
    <row r="1040" spans="1:9" x14ac:dyDescent="0.25">
      <c r="A1040" s="154"/>
    </row>
    <row r="1041" spans="1:1" x14ac:dyDescent="0.25">
      <c r="A1041" s="154"/>
    </row>
    <row r="1042" spans="1:1" x14ac:dyDescent="0.25">
      <c r="A1042" s="154"/>
    </row>
    <row r="1043" spans="1:1" x14ac:dyDescent="0.25">
      <c r="A1043" s="154"/>
    </row>
    <row r="1044" spans="1:1" x14ac:dyDescent="0.25">
      <c r="A1044" s="154"/>
    </row>
    <row r="1045" spans="1:1" x14ac:dyDescent="0.25">
      <c r="A1045" s="154"/>
    </row>
    <row r="1046" spans="1:1" x14ac:dyDescent="0.25">
      <c r="A1046" s="154"/>
    </row>
    <row r="1047" spans="1:1" x14ac:dyDescent="0.25">
      <c r="A1047" s="154"/>
    </row>
    <row r="1048" spans="1:1" x14ac:dyDescent="0.25">
      <c r="A1048" s="154"/>
    </row>
    <row r="1049" spans="1:1" x14ac:dyDescent="0.25">
      <c r="A1049" s="154"/>
    </row>
    <row r="1050" spans="1:1" x14ac:dyDescent="0.25">
      <c r="A1050" s="154"/>
    </row>
    <row r="1051" spans="1:1" x14ac:dyDescent="0.25">
      <c r="A1051" s="154"/>
    </row>
    <row r="1052" spans="1:1" x14ac:dyDescent="0.25">
      <c r="A1052" s="154"/>
    </row>
    <row r="1053" spans="1:1" x14ac:dyDescent="0.25">
      <c r="A1053" s="154"/>
    </row>
    <row r="1054" spans="1:1" x14ac:dyDescent="0.25">
      <c r="A1054" s="154"/>
    </row>
    <row r="1055" spans="1:1" x14ac:dyDescent="0.25">
      <c r="A1055" s="154"/>
    </row>
    <row r="1056" spans="1:1" x14ac:dyDescent="0.25">
      <c r="A1056" s="154"/>
    </row>
    <row r="1057" spans="1:1" x14ac:dyDescent="0.25">
      <c r="A1057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  <row r="1068" spans="1:1" x14ac:dyDescent="0.25">
      <c r="A1068" s="154"/>
    </row>
    <row r="1073" spans="1:1" x14ac:dyDescent="0.25">
      <c r="A1073" s="154"/>
    </row>
    <row r="1074" spans="1:1" x14ac:dyDescent="0.25">
      <c r="A1074" s="154"/>
    </row>
    <row r="1077" spans="1:1" x14ac:dyDescent="0.25">
      <c r="A1077" s="154"/>
    </row>
    <row r="1079" spans="1:1" x14ac:dyDescent="0.25">
      <c r="A1079" s="154"/>
    </row>
    <row r="1081" spans="1:1" x14ac:dyDescent="0.25">
      <c r="A1081" s="154"/>
    </row>
    <row r="1083" spans="1:1" x14ac:dyDescent="0.25">
      <c r="A1083" s="154"/>
    </row>
    <row r="1086" spans="1:1" x14ac:dyDescent="0.25">
      <c r="A1086" s="154"/>
    </row>
    <row r="1087" spans="1:1" x14ac:dyDescent="0.25">
      <c r="A1087" s="154"/>
    </row>
    <row r="1088" spans="1:1" x14ac:dyDescent="0.25">
      <c r="A1088" s="154"/>
    </row>
    <row r="1089" spans="1:1" x14ac:dyDescent="0.25">
      <c r="A1089" s="154"/>
    </row>
    <row r="1090" spans="1:1" x14ac:dyDescent="0.25">
      <c r="A1090" s="154"/>
    </row>
    <row r="1091" spans="1:1" x14ac:dyDescent="0.25">
      <c r="A1091" s="154"/>
    </row>
    <row r="1092" spans="1:1" x14ac:dyDescent="0.25">
      <c r="A1092" s="154"/>
    </row>
    <row r="1093" spans="1:1" x14ac:dyDescent="0.25">
      <c r="A1093" s="154"/>
    </row>
  </sheetData>
  <customSheetViews>
    <customSheetView guid="{195DF303-1BBD-4236-94B5-47432850B006}" scale="75" fitToPage="1" showRuler="0">
      <pane xSplit="11.212121212121213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pane xSplit="11.484848484848484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3"/>
      <headerFooter alignWithMargins="0"/>
    </customSheetView>
    <customSheetView guid="{2431C9E5-7CC2-4B8D-99C3-962247B1DBF5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4"/>
      <headerFooter alignWithMargins="0"/>
    </customSheetView>
    <customSheetView guid="{2EA35095-1ADC-4CC7-8C3C-B487D65FA247}" scale="75" fitToPage="1" showRuler="0">
      <pane xSplit="18.295081967213115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pane xSplit="19.567567567567568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pane xSplit="19.567567567567568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pane xSplit="19.567567567567568" topLeftCell="V1"/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8"/>
      <headerFooter alignWithMargins="0"/>
    </customSheetView>
    <customSheetView guid="{0BC1F393-8A13-47D5-BC6C-0C99615B5AB9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49">
      <selection activeCell="P40" sqref="P4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mergeCells count="1">
    <mergeCell ref="T63:AQ63"/>
  </mergeCell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23"/>
  <dimension ref="A1:BX1056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6.77734375" style="101" customWidth="1"/>
    <col min="4" max="4" width="39.5546875" style="101" customWidth="1"/>
    <col min="5" max="5" width="0.332031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1.55468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20.5546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5.5546875" style="101" customWidth="1"/>
    <col min="23" max="23" width="39.77734375" style="101" customWidth="1"/>
    <col min="24" max="24" width="1.55468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2.3320312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50"/>
      <c r="K1" s="187"/>
      <c r="L1" s="187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50"/>
      <c r="K2" s="187"/>
      <c r="L2" s="187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50"/>
      <c r="K4" s="187"/>
      <c r="L4" s="187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87"/>
      <c r="N5" s="187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767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N9" s="82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187" t="s">
        <v>151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87"/>
      <c r="N10" s="187"/>
      <c r="O10" s="150"/>
      <c r="P10" s="150"/>
      <c r="Q10" s="150"/>
      <c r="R10" s="150"/>
      <c r="T10" s="445"/>
      <c r="AA10" s="154"/>
      <c r="AB10" s="154"/>
      <c r="AK10" s="209"/>
      <c r="AL10" s="202"/>
    </row>
    <row r="11" spans="1:40" x14ac:dyDescent="0.25">
      <c r="A11" s="151"/>
      <c r="B11" s="151"/>
      <c r="C11" s="151"/>
      <c r="D11" s="151"/>
      <c r="E11" s="151"/>
      <c r="F11" s="151"/>
      <c r="G11" s="80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T11" s="211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208"/>
      <c r="AH11" s="102"/>
      <c r="AI11" s="102"/>
      <c r="AJ11" s="102"/>
      <c r="AK11" s="208"/>
      <c r="AL11" s="102"/>
      <c r="AM11" s="102"/>
      <c r="AN11" s="102"/>
    </row>
    <row r="12" spans="1:40" ht="18" customHeight="1" x14ac:dyDescent="0.25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93" t="s">
        <v>6</v>
      </c>
      <c r="M12" s="193"/>
      <c r="N12" s="193" t="s">
        <v>7</v>
      </c>
      <c r="O12" s="193"/>
      <c r="P12" s="152"/>
      <c r="Q12" s="152"/>
      <c r="R12" s="193" t="s">
        <v>6</v>
      </c>
      <c r="T12" s="329"/>
      <c r="Y12" s="104"/>
      <c r="AA12" s="103"/>
      <c r="AB12" s="103"/>
      <c r="AC12" s="103"/>
      <c r="AD12" s="103"/>
      <c r="AE12" s="103"/>
      <c r="AF12" s="103"/>
      <c r="AG12" s="185"/>
      <c r="AH12" s="103"/>
      <c r="AK12" s="185"/>
      <c r="AL12" s="103"/>
      <c r="AM12" s="103"/>
      <c r="AN12" s="103"/>
    </row>
    <row r="13" spans="1:40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12</v>
      </c>
      <c r="M13" s="83"/>
      <c r="N13" s="83" t="s">
        <v>13</v>
      </c>
      <c r="O13" s="83"/>
      <c r="P13" s="80"/>
      <c r="Q13" s="80"/>
      <c r="R13" s="83" t="s">
        <v>11</v>
      </c>
      <c r="T13" s="329"/>
      <c r="Y13" s="104"/>
      <c r="Z13" s="103"/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3" t="s">
        <v>17</v>
      </c>
      <c r="B14" s="80"/>
      <c r="C14" s="83" t="s">
        <v>18</v>
      </c>
      <c r="D14" s="83" t="s">
        <v>19</v>
      </c>
      <c r="E14" s="83"/>
      <c r="F14" s="83" t="s">
        <v>20</v>
      </c>
      <c r="G14" s="80"/>
      <c r="H14" s="80"/>
      <c r="I14" s="80"/>
      <c r="J14" s="83" t="s">
        <v>6</v>
      </c>
      <c r="K14" s="83"/>
      <c r="L14" s="83" t="s">
        <v>21</v>
      </c>
      <c r="M14" s="83"/>
      <c r="N14" s="83" t="s">
        <v>21</v>
      </c>
      <c r="O14" s="83"/>
      <c r="P14" s="83" t="s">
        <v>21</v>
      </c>
      <c r="Q14" s="83"/>
      <c r="R14" s="83" t="s">
        <v>9</v>
      </c>
      <c r="T14" s="329"/>
      <c r="V14" s="103"/>
      <c r="Y14" s="104"/>
      <c r="Z14" s="103"/>
      <c r="AA14" s="103"/>
      <c r="AB14" s="103"/>
      <c r="AC14" s="103"/>
      <c r="AD14" s="103"/>
      <c r="AE14" s="103"/>
      <c r="AF14" s="103"/>
      <c r="AG14" s="185"/>
      <c r="AH14" s="103"/>
      <c r="AI14" s="103"/>
      <c r="AJ14" s="103"/>
      <c r="AK14" s="185"/>
      <c r="AL14" s="103"/>
      <c r="AM14" s="103"/>
      <c r="AN14" s="103"/>
    </row>
    <row r="15" spans="1:40" x14ac:dyDescent="0.25">
      <c r="A15" s="83" t="s">
        <v>24</v>
      </c>
      <c r="B15" s="80"/>
      <c r="C15" s="83" t="s">
        <v>25</v>
      </c>
      <c r="D15" s="83" t="s">
        <v>26</v>
      </c>
      <c r="E15" s="83"/>
      <c r="F15" s="83" t="s">
        <v>27</v>
      </c>
      <c r="G15" s="80"/>
      <c r="H15" s="83" t="s">
        <v>28</v>
      </c>
      <c r="I15" s="83"/>
      <c r="J15" s="196" t="s">
        <v>431</v>
      </c>
      <c r="K15" s="83"/>
      <c r="L15" s="83" t="s">
        <v>9</v>
      </c>
      <c r="M15" s="83"/>
      <c r="N15" s="83" t="s">
        <v>9</v>
      </c>
      <c r="O15" s="83"/>
      <c r="P15" s="83" t="s">
        <v>430</v>
      </c>
      <c r="Q15" s="83"/>
      <c r="R15" s="256" t="s">
        <v>30</v>
      </c>
      <c r="T15" s="329"/>
      <c r="U15" s="100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0"/>
      <c r="B16" s="80"/>
      <c r="C16" s="256" t="s">
        <v>35</v>
      </c>
      <c r="D16" s="256" t="s">
        <v>36</v>
      </c>
      <c r="E16" s="256"/>
      <c r="F16" s="256" t="s">
        <v>37</v>
      </c>
      <c r="G16" s="258"/>
      <c r="H16" s="256" t="s">
        <v>38</v>
      </c>
      <c r="I16" s="256"/>
      <c r="J16" s="256" t="s">
        <v>39</v>
      </c>
      <c r="K16" s="256"/>
      <c r="L16" s="256" t="s">
        <v>40</v>
      </c>
      <c r="M16" s="256"/>
      <c r="N16" s="256" t="s">
        <v>41</v>
      </c>
      <c r="O16" s="256"/>
      <c r="P16" s="256" t="s">
        <v>42</v>
      </c>
      <c r="Q16" s="256"/>
      <c r="R16" s="256" t="s">
        <v>43</v>
      </c>
      <c r="T16" s="329"/>
      <c r="U16" s="273"/>
      <c r="V16" s="102"/>
      <c r="W16" s="102"/>
      <c r="X16" s="102"/>
      <c r="Z16" s="102"/>
      <c r="AA16" s="102"/>
      <c r="AB16" s="102"/>
      <c r="AC16" s="102"/>
      <c r="AD16" s="102"/>
      <c r="AE16" s="102"/>
      <c r="AF16" s="102"/>
      <c r="AG16" s="208"/>
      <c r="AH16" s="102"/>
      <c r="AI16" s="102"/>
      <c r="AJ16" s="102"/>
      <c r="AK16" s="208"/>
      <c r="AL16" s="102"/>
      <c r="AM16" s="102"/>
      <c r="AN16" s="102"/>
    </row>
    <row r="17" spans="1:43" ht="17.100000000000001" customHeight="1" x14ac:dyDescent="0.25">
      <c r="A17" s="152"/>
      <c r="B17" s="152"/>
      <c r="C17" s="152"/>
      <c r="D17" s="152"/>
      <c r="E17" s="152"/>
      <c r="F17" s="152"/>
      <c r="G17" s="152"/>
      <c r="H17" s="376" t="s">
        <v>51</v>
      </c>
      <c r="I17" s="376"/>
      <c r="J17" s="375" t="s">
        <v>418</v>
      </c>
      <c r="K17" s="376"/>
      <c r="L17" s="376" t="s">
        <v>52</v>
      </c>
      <c r="M17" s="376"/>
      <c r="N17" s="376" t="s">
        <v>53</v>
      </c>
      <c r="O17" s="376"/>
      <c r="P17" s="376" t="s">
        <v>52</v>
      </c>
      <c r="Q17" s="376"/>
      <c r="R17" s="376" t="s">
        <v>52</v>
      </c>
      <c r="T17" s="329"/>
      <c r="U17" s="100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3" x14ac:dyDescent="0.25">
      <c r="H18" s="103"/>
      <c r="I18" s="103"/>
      <c r="J18" s="105"/>
      <c r="K18" s="103"/>
      <c r="L18" s="103"/>
      <c r="M18" s="103"/>
      <c r="N18" s="103"/>
      <c r="O18" s="103"/>
      <c r="P18" s="103"/>
      <c r="Q18" s="103"/>
      <c r="R18" s="103"/>
      <c r="T18" s="329"/>
      <c r="U18" s="273"/>
      <c r="Z18" s="103"/>
      <c r="AA18" s="103"/>
      <c r="AB18" s="103"/>
      <c r="AC18" s="103"/>
      <c r="AD18" s="103"/>
      <c r="AE18" s="103"/>
      <c r="AF18" s="103"/>
      <c r="AG18" s="185"/>
      <c r="AH18" s="103"/>
      <c r="AI18" s="103"/>
      <c r="AJ18" s="103"/>
      <c r="AK18" s="185"/>
      <c r="AL18" s="103"/>
      <c r="AM18" s="103"/>
      <c r="AN18" s="103"/>
    </row>
    <row r="19" spans="1:43" ht="27.75" customHeight="1" x14ac:dyDescent="0.25">
      <c r="A19" s="159">
        <v>1</v>
      </c>
      <c r="B19" s="80"/>
      <c r="C19" s="253" t="s">
        <v>293</v>
      </c>
      <c r="D19" s="265" t="s">
        <v>294</v>
      </c>
      <c r="E19" s="80"/>
      <c r="F19" s="163"/>
      <c r="G19" s="70"/>
      <c r="H19" s="163"/>
      <c r="I19" s="79"/>
      <c r="J19" s="70"/>
      <c r="K19" s="70"/>
      <c r="L19" s="163"/>
      <c r="M19" s="79"/>
      <c r="N19" s="198"/>
      <c r="O19" s="156"/>
      <c r="P19" s="230"/>
      <c r="Q19" s="78"/>
      <c r="R19" s="163"/>
      <c r="T19" s="100"/>
      <c r="U19" s="100"/>
      <c r="V19" s="100"/>
      <c r="W19" s="100"/>
      <c r="X19" s="100"/>
      <c r="Y19" s="446"/>
      <c r="Z19" s="100"/>
      <c r="AA19" s="100"/>
      <c r="AB19" s="100"/>
      <c r="AC19" s="100"/>
      <c r="AD19" s="100"/>
      <c r="AE19" s="312"/>
      <c r="AF19" s="312"/>
      <c r="AG19" s="380"/>
      <c r="AH19" s="100"/>
      <c r="AI19" s="100"/>
      <c r="AJ19" s="100"/>
      <c r="AK19" s="380"/>
      <c r="AL19" s="100"/>
      <c r="AM19" s="100"/>
      <c r="AN19" s="100"/>
      <c r="AO19" s="100"/>
      <c r="AP19" s="100"/>
      <c r="AQ19" s="380"/>
    </row>
    <row r="20" spans="1:43" x14ac:dyDescent="0.25">
      <c r="A20" s="159"/>
      <c r="B20" s="80"/>
      <c r="C20" s="253"/>
      <c r="D20" s="265"/>
      <c r="E20" s="80"/>
      <c r="F20" s="163"/>
      <c r="G20" s="70"/>
      <c r="H20" s="163"/>
      <c r="I20" s="79"/>
      <c r="J20" s="70"/>
      <c r="K20" s="70"/>
      <c r="L20" s="163"/>
      <c r="M20" s="79"/>
      <c r="N20" s="198"/>
      <c r="O20" s="156"/>
      <c r="P20" s="230"/>
      <c r="Q20" s="78"/>
      <c r="R20" s="163"/>
      <c r="T20" s="100"/>
      <c r="U20" s="100"/>
      <c r="V20" s="100"/>
      <c r="W20" s="100"/>
      <c r="X20" s="100"/>
      <c r="Y20" s="446"/>
      <c r="Z20" s="100"/>
      <c r="AA20" s="100"/>
      <c r="AB20" s="100"/>
      <c r="AC20" s="100"/>
      <c r="AD20" s="100"/>
      <c r="AE20" s="312"/>
      <c r="AF20" s="312"/>
      <c r="AG20" s="380"/>
      <c r="AH20" s="100"/>
      <c r="AI20" s="100"/>
      <c r="AJ20" s="100"/>
      <c r="AK20" s="380"/>
      <c r="AL20" s="100"/>
      <c r="AM20" s="100"/>
      <c r="AN20" s="100"/>
      <c r="AO20" s="100"/>
      <c r="AP20" s="100"/>
      <c r="AQ20" s="380"/>
    </row>
    <row r="21" spans="1:43" ht="30" customHeight="1" x14ac:dyDescent="0.25">
      <c r="A21" s="101">
        <v>2</v>
      </c>
      <c r="C21" s="82" t="s">
        <v>295</v>
      </c>
      <c r="D21" s="80"/>
      <c r="E21" s="80"/>
      <c r="F21" s="287">
        <v>83973</v>
      </c>
      <c r="G21" s="70"/>
      <c r="H21" s="287">
        <v>5308606</v>
      </c>
      <c r="I21" s="70"/>
      <c r="J21" s="288">
        <f>ROUND(AC58+(AC58*LT_COS_RATE),6)</f>
        <v>4.1936000000000001E-2</v>
      </c>
      <c r="K21" s="70"/>
      <c r="L21" s="167">
        <f>ROUND((H21*J21),0)</f>
        <v>222622</v>
      </c>
      <c r="M21" s="70"/>
      <c r="N21" s="341">
        <f>ROUND((L21/L$30)*100,1)</f>
        <v>101.1</v>
      </c>
      <c r="O21" s="70"/>
      <c r="P21" s="167">
        <f>P30</f>
        <v>5457</v>
      </c>
      <c r="Q21" s="70"/>
      <c r="R21" s="167">
        <f>P21+L21</f>
        <v>228079</v>
      </c>
      <c r="Y21" s="446"/>
      <c r="AE21" s="103"/>
      <c r="AF21" s="103"/>
      <c r="AG21" s="185"/>
      <c r="AH21" s="103"/>
      <c r="AI21" s="103"/>
      <c r="AJ21" s="103"/>
      <c r="AK21" s="185"/>
      <c r="AL21" s="103"/>
      <c r="AO21" s="103"/>
      <c r="AP21" s="103"/>
      <c r="AQ21" s="185"/>
    </row>
    <row r="22" spans="1:43" ht="15.75" customHeight="1" x14ac:dyDescent="0.25">
      <c r="A22" s="159"/>
      <c r="B22" s="80"/>
      <c r="C22" s="265"/>
      <c r="D22" s="80"/>
      <c r="E22" s="80"/>
      <c r="F22" s="252"/>
      <c r="G22" s="70"/>
      <c r="H22" s="252"/>
      <c r="I22" s="70"/>
      <c r="J22" s="288"/>
      <c r="K22" s="70"/>
      <c r="L22" s="163"/>
      <c r="M22" s="70"/>
      <c r="N22" s="198"/>
      <c r="O22" s="70"/>
      <c r="P22" s="163"/>
      <c r="Q22" s="70"/>
      <c r="R22" s="163"/>
      <c r="Y22" s="446"/>
      <c r="AE22" s="103"/>
      <c r="AF22" s="103"/>
      <c r="AG22" s="185"/>
      <c r="AH22" s="103"/>
      <c r="AI22" s="103"/>
      <c r="AJ22" s="103"/>
      <c r="AK22" s="185"/>
      <c r="AL22" s="103"/>
      <c r="AO22" s="103"/>
      <c r="AP22" s="103"/>
      <c r="AQ22" s="185"/>
    </row>
    <row r="23" spans="1:43" ht="17.100000000000001" customHeight="1" x14ac:dyDescent="0.25">
      <c r="A23" s="159">
        <v>3</v>
      </c>
      <c r="B23" s="80"/>
      <c r="C23" s="253" t="s">
        <v>605</v>
      </c>
      <c r="D23" s="80"/>
      <c r="E23" s="80"/>
      <c r="F23" s="252"/>
      <c r="G23" s="70"/>
      <c r="H23" s="252"/>
      <c r="I23" s="70"/>
      <c r="J23" s="288"/>
      <c r="K23" s="70"/>
      <c r="L23" s="163"/>
      <c r="M23" s="70"/>
      <c r="N23" s="198"/>
      <c r="O23" s="70"/>
      <c r="P23" s="163"/>
      <c r="Q23" s="70"/>
      <c r="R23" s="163"/>
      <c r="Y23" s="446"/>
      <c r="AE23" s="103"/>
      <c r="AF23" s="103"/>
      <c r="AG23" s="185"/>
      <c r="AH23" s="103"/>
      <c r="AI23" s="103"/>
      <c r="AJ23" s="103"/>
      <c r="AK23" s="185"/>
      <c r="AL23" s="103"/>
      <c r="AO23" s="103"/>
      <c r="AP23" s="103"/>
      <c r="AQ23" s="185"/>
    </row>
    <row r="24" spans="1:43" ht="17.100000000000001" customHeight="1" x14ac:dyDescent="0.25">
      <c r="A24" s="159">
        <v>4</v>
      </c>
      <c r="B24" s="80"/>
      <c r="C24" s="153" t="str">
        <f>ESM_Name</f>
        <v>ENVIRONMENTAL SURCHARGE MECHANISM RIDER (ESM)</v>
      </c>
      <c r="D24" s="80"/>
      <c r="E24" s="80"/>
      <c r="F24" s="252"/>
      <c r="G24" s="70"/>
      <c r="H24" s="252"/>
      <c r="I24" s="70"/>
      <c r="J24" s="430">
        <f>PRO_ESM</f>
        <v>0</v>
      </c>
      <c r="K24" s="70"/>
      <c r="L24" s="163">
        <f>ROUND($R$21*J24,0)</f>
        <v>0</v>
      </c>
      <c r="M24" s="70"/>
      <c r="N24" s="198">
        <f t="shared" ref="N24:N26" si="0">ROUND((L24/L$30)*100,1)</f>
        <v>0</v>
      </c>
      <c r="O24" s="70"/>
      <c r="P24" s="163"/>
      <c r="Q24" s="70"/>
      <c r="R24" s="163">
        <f t="shared" ref="R24:R26" si="1">P24+L24</f>
        <v>0</v>
      </c>
      <c r="Y24" s="446"/>
      <c r="AE24" s="103"/>
      <c r="AF24" s="103"/>
      <c r="AG24" s="185"/>
      <c r="AH24" s="103"/>
      <c r="AI24" s="103"/>
      <c r="AJ24" s="103"/>
      <c r="AK24" s="185"/>
      <c r="AL24" s="103"/>
      <c r="AO24" s="103"/>
      <c r="AP24" s="103"/>
      <c r="AQ24" s="185"/>
    </row>
    <row r="25" spans="1:43" ht="17.100000000000001" customHeight="1" x14ac:dyDescent="0.25">
      <c r="A25" s="159">
        <v>5</v>
      </c>
      <c r="B25" s="80"/>
      <c r="C25" s="153" t="str">
        <f>DCI_Name</f>
        <v>DISTRIBUTION CAPITAL INVESTMENT RIDER (DCI)</v>
      </c>
      <c r="D25" s="80"/>
      <c r="E25" s="80"/>
      <c r="F25" s="252"/>
      <c r="G25" s="70"/>
      <c r="H25" s="252"/>
      <c r="I25" s="70"/>
      <c r="J25" s="430">
        <f>PRO_DCI_SL</f>
        <v>0</v>
      </c>
      <c r="K25" s="70"/>
      <c r="L25" s="163">
        <f>ROUND($H$21*J25,0)</f>
        <v>0</v>
      </c>
      <c r="M25" s="70"/>
      <c r="N25" s="198">
        <f t="shared" si="0"/>
        <v>0</v>
      </c>
      <c r="O25" s="70"/>
      <c r="P25" s="163"/>
      <c r="Q25" s="70"/>
      <c r="R25" s="163">
        <f t="shared" si="1"/>
        <v>0</v>
      </c>
      <c r="Y25" s="446"/>
      <c r="AE25" s="103"/>
      <c r="AF25" s="103"/>
      <c r="AG25" s="185"/>
      <c r="AH25" s="103"/>
      <c r="AI25" s="103"/>
      <c r="AJ25" s="103"/>
      <c r="AK25" s="185"/>
      <c r="AL25" s="103"/>
      <c r="AO25" s="103"/>
      <c r="AP25" s="103"/>
      <c r="AQ25" s="185"/>
    </row>
    <row r="26" spans="1:43" ht="17.100000000000001" customHeight="1" x14ac:dyDescent="0.25">
      <c r="A26" s="159">
        <v>6</v>
      </c>
      <c r="B26" s="80"/>
      <c r="C26" s="153" t="str">
        <f>FTR_Name</f>
        <v>FERC TRANSMISSION COST RECOVERY RECONCILIATION (FTR)</v>
      </c>
      <c r="D26" s="80"/>
      <c r="E26" s="80"/>
      <c r="F26" s="252"/>
      <c r="G26" s="70"/>
      <c r="H26" s="252"/>
      <c r="I26" s="70"/>
      <c r="J26" s="430">
        <f>PRO_FTR_SL</f>
        <v>0</v>
      </c>
      <c r="K26" s="70"/>
      <c r="L26" s="163">
        <f>ROUND($H$21*J26,0)</f>
        <v>0</v>
      </c>
      <c r="M26" s="70"/>
      <c r="N26" s="198">
        <f t="shared" si="0"/>
        <v>0</v>
      </c>
      <c r="O26" s="70"/>
      <c r="P26" s="163"/>
      <c r="Q26" s="70"/>
      <c r="R26" s="163">
        <f t="shared" si="1"/>
        <v>0</v>
      </c>
      <c r="Y26" s="446"/>
      <c r="AE26" s="103"/>
      <c r="AF26" s="103"/>
      <c r="AG26" s="185"/>
      <c r="AH26" s="103"/>
      <c r="AI26" s="103"/>
      <c r="AJ26" s="103"/>
      <c r="AK26" s="185"/>
      <c r="AL26" s="103"/>
      <c r="AO26" s="103"/>
      <c r="AP26" s="103"/>
      <c r="AQ26" s="185"/>
    </row>
    <row r="27" spans="1:43" ht="15.75" customHeight="1" x14ac:dyDescent="0.25">
      <c r="A27" s="159">
        <v>7</v>
      </c>
      <c r="B27" s="80"/>
      <c r="C27" s="153" t="str">
        <f>PSM_Name</f>
        <v>PROFIT SHARING MECHANISM (PSM)</v>
      </c>
      <c r="D27" s="80"/>
      <c r="E27" s="80"/>
      <c r="F27" s="252"/>
      <c r="G27" s="70"/>
      <c r="H27" s="252"/>
      <c r="I27" s="70"/>
      <c r="J27" s="438">
        <f>PRO_PSM</f>
        <v>-4.5600000000000003E-4</v>
      </c>
      <c r="K27" s="70"/>
      <c r="L27" s="167">
        <f>ROUND($H$21*J27,0)</f>
        <v>-2421</v>
      </c>
      <c r="M27" s="70"/>
      <c r="N27" s="166">
        <f>ROUND((L27/L$30)*100,1)</f>
        <v>-1.1000000000000001</v>
      </c>
      <c r="O27" s="70"/>
      <c r="P27" s="167"/>
      <c r="Q27" s="70"/>
      <c r="R27" s="167">
        <f t="shared" ref="R27" si="2">P27+L27</f>
        <v>-2421</v>
      </c>
      <c r="Y27" s="446"/>
      <c r="AE27" s="103"/>
      <c r="AF27" s="103"/>
      <c r="AG27" s="185"/>
      <c r="AH27" s="103"/>
      <c r="AI27" s="103"/>
      <c r="AJ27" s="103"/>
      <c r="AK27" s="185"/>
      <c r="AL27" s="103"/>
      <c r="AO27" s="103"/>
      <c r="AP27" s="103"/>
      <c r="AQ27" s="185"/>
    </row>
    <row r="28" spans="1:43" ht="20.100000000000001" customHeight="1" x14ac:dyDescent="0.25">
      <c r="A28" s="159">
        <v>8</v>
      </c>
      <c r="B28" s="80"/>
      <c r="C28" s="253" t="s">
        <v>585</v>
      </c>
      <c r="D28" s="80"/>
      <c r="E28" s="80"/>
      <c r="F28" s="287"/>
      <c r="G28" s="85"/>
      <c r="H28" s="287"/>
      <c r="I28" s="85"/>
      <c r="J28" s="447"/>
      <c r="K28" s="85"/>
      <c r="L28" s="169">
        <f>SUM(L24:L27)</f>
        <v>-2421</v>
      </c>
      <c r="M28" s="85"/>
      <c r="N28" s="170">
        <f>ROUND((L28/L$30)*100,1)</f>
        <v>-1.1000000000000001</v>
      </c>
      <c r="O28" s="85"/>
      <c r="P28" s="169"/>
      <c r="Q28" s="85"/>
      <c r="R28" s="169">
        <f>SUM(R24:R27)</f>
        <v>-2421</v>
      </c>
      <c r="Y28" s="446"/>
      <c r="AE28" s="103"/>
      <c r="AF28" s="103"/>
      <c r="AG28" s="185"/>
      <c r="AH28" s="103"/>
      <c r="AI28" s="103"/>
      <c r="AJ28" s="103"/>
      <c r="AK28" s="185"/>
      <c r="AL28" s="103"/>
      <c r="AO28" s="103"/>
      <c r="AP28" s="103"/>
      <c r="AQ28" s="185"/>
    </row>
    <row r="29" spans="1:43" ht="15.75" customHeight="1" x14ac:dyDescent="0.25">
      <c r="A29" s="159"/>
      <c r="B29" s="80"/>
      <c r="C29" s="253"/>
      <c r="D29" s="80"/>
      <c r="E29" s="80"/>
      <c r="F29" s="252"/>
      <c r="G29" s="85"/>
      <c r="H29" s="252"/>
      <c r="I29" s="85"/>
      <c r="J29" s="447"/>
      <c r="K29" s="85"/>
      <c r="L29" s="163"/>
      <c r="M29" s="85"/>
      <c r="N29" s="198"/>
      <c r="O29" s="85"/>
      <c r="P29" s="163"/>
      <c r="Q29" s="85"/>
      <c r="R29" s="163"/>
      <c r="Y29" s="446"/>
      <c r="AE29" s="103"/>
      <c r="AF29" s="103"/>
      <c r="AG29" s="185"/>
      <c r="AH29" s="103"/>
      <c r="AI29" s="103"/>
      <c r="AJ29" s="103"/>
      <c r="AK29" s="185"/>
      <c r="AL29" s="103"/>
      <c r="AO29" s="103"/>
      <c r="AP29" s="103"/>
      <c r="AQ29" s="185"/>
    </row>
    <row r="30" spans="1:43" ht="20.100000000000001" customHeight="1" thickBot="1" x14ac:dyDescent="0.3">
      <c r="A30" s="159">
        <v>9</v>
      </c>
      <c r="B30" s="80"/>
      <c r="C30" s="253" t="s">
        <v>588</v>
      </c>
      <c r="D30" s="80"/>
      <c r="E30" s="80"/>
      <c r="F30" s="275">
        <f>F21</f>
        <v>83973</v>
      </c>
      <c r="G30" s="70"/>
      <c r="H30" s="275">
        <f>H21</f>
        <v>5308606</v>
      </c>
      <c r="I30" s="79"/>
      <c r="J30" s="70"/>
      <c r="K30" s="70"/>
      <c r="L30" s="275">
        <f>L21+L28</f>
        <v>220201</v>
      </c>
      <c r="M30" s="79"/>
      <c r="N30" s="448">
        <f>SUM(N21,N28)</f>
        <v>100</v>
      </c>
      <c r="O30" s="156"/>
      <c r="P30" s="435">
        <f>ROUND(H30*CUR_FAC,0)</f>
        <v>5457</v>
      </c>
      <c r="Q30" s="78"/>
      <c r="R30" s="275">
        <f>R21+R28</f>
        <v>225658</v>
      </c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312"/>
      <c r="AF30" s="312"/>
      <c r="AG30" s="380"/>
      <c r="AH30" s="100"/>
      <c r="AI30" s="100"/>
      <c r="AJ30" s="100"/>
      <c r="AK30" s="380"/>
      <c r="AL30" s="100"/>
      <c r="AM30" s="100"/>
      <c r="AN30" s="100"/>
      <c r="AO30" s="100"/>
      <c r="AP30" s="100"/>
      <c r="AQ30" s="380"/>
    </row>
    <row r="31" spans="1:43" ht="16.5" thickTop="1" x14ac:dyDescent="0.25">
      <c r="A31" s="159"/>
      <c r="B31" s="80"/>
      <c r="C31" s="82"/>
      <c r="D31" s="80"/>
      <c r="E31" s="80"/>
      <c r="F31" s="163"/>
      <c r="G31" s="70"/>
      <c r="H31" s="163"/>
      <c r="I31" s="79"/>
      <c r="J31" s="70"/>
      <c r="K31" s="70"/>
      <c r="L31" s="163"/>
      <c r="M31" s="79"/>
      <c r="N31" s="199"/>
      <c r="O31" s="156"/>
      <c r="P31" s="163"/>
      <c r="Q31" s="78"/>
      <c r="R31" s="163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312"/>
      <c r="AF31" s="312"/>
      <c r="AG31" s="380"/>
      <c r="AH31" s="100"/>
      <c r="AI31" s="100"/>
      <c r="AJ31" s="100"/>
      <c r="AK31" s="380"/>
      <c r="AL31" s="100"/>
      <c r="AM31" s="100"/>
      <c r="AN31" s="100"/>
      <c r="AO31" s="100"/>
      <c r="AP31" s="100"/>
      <c r="AQ31" s="380"/>
    </row>
    <row r="32" spans="1:43" ht="21.95" customHeight="1" x14ac:dyDescent="0.25">
      <c r="A32" s="80"/>
      <c r="B32" s="80"/>
      <c r="C32" s="173" t="s">
        <v>80</v>
      </c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T32" s="154"/>
      <c r="AO32" s="202"/>
      <c r="AP32" s="202"/>
    </row>
    <row r="33" spans="1:76" x14ac:dyDescent="0.25">
      <c r="A33" s="80"/>
      <c r="B33" s="80"/>
      <c r="C33" s="173" t="str">
        <f>"(2) REFLECTS FUEL COMPONENT OF "&amp;TEXT(PRO_FAC,"$0.000000;($0.000000)")&amp;" PER KWH."</f>
        <v>(2) REFLECTS FUEL COMPONENT OF $0.001028 PER KWH.</v>
      </c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T33" s="154"/>
      <c r="AO33" s="202"/>
      <c r="AP33" s="202"/>
    </row>
    <row r="34" spans="1:76" x14ac:dyDescent="0.25">
      <c r="A34" s="80"/>
      <c r="B34" s="80"/>
      <c r="C34" s="173" t="str">
        <f>"(3) REFLECTS FUEL COST RECOVERY INCLUDED IN BASE RATES OF "&amp;TEXT(PRO_BASE_FUEL,"$0.000000;($0.000000)")&amp;"  PER KWH."</f>
        <v>(3) REFLECTS FUEL COST RECOVERY INCLUDED IN BASE RATES OF $0.023837  PER KWH.</v>
      </c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T34" s="312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380"/>
      <c r="AH34" s="100"/>
      <c r="AI34" s="100"/>
      <c r="AJ34" s="100"/>
      <c r="AK34" s="380"/>
      <c r="AL34" s="100"/>
      <c r="AM34" s="100"/>
      <c r="AN34" s="100"/>
      <c r="AO34" s="100"/>
      <c r="AP34" s="100"/>
      <c r="AQ34" s="380"/>
    </row>
    <row r="35" spans="1:76" x14ac:dyDescent="0.25">
      <c r="A35" s="82"/>
      <c r="B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AE35" s="103"/>
      <c r="AF35" s="103"/>
      <c r="AG35" s="185"/>
      <c r="AH35" s="103"/>
      <c r="AI35" s="103"/>
      <c r="AJ35" s="103"/>
      <c r="AK35" s="185"/>
      <c r="AL35" s="103"/>
      <c r="AO35" s="103"/>
      <c r="AP35" s="103"/>
      <c r="AQ35" s="185"/>
    </row>
    <row r="36" spans="1:76" x14ac:dyDescent="0.25">
      <c r="A36" s="202"/>
      <c r="C36" s="154"/>
      <c r="F36" s="200"/>
      <c r="H36" s="200"/>
      <c r="I36" s="200"/>
      <c r="J36" s="305"/>
      <c r="K36" s="305"/>
      <c r="L36" s="200"/>
      <c r="M36" s="200"/>
      <c r="N36" s="210"/>
      <c r="O36" s="210"/>
      <c r="P36" s="200"/>
      <c r="Q36" s="200"/>
      <c r="R36" s="200"/>
      <c r="AC36" s="103"/>
      <c r="AD36" s="103"/>
      <c r="AE36" s="103"/>
      <c r="AF36" s="103"/>
      <c r="AG36" s="185"/>
      <c r="AH36" s="103"/>
      <c r="AI36" s="103"/>
      <c r="AJ36" s="103"/>
      <c r="AK36" s="185"/>
      <c r="AL36" s="103"/>
      <c r="AO36" s="103"/>
      <c r="AP36" s="103"/>
      <c r="AQ36" s="185"/>
    </row>
    <row r="37" spans="1:76" x14ac:dyDescent="0.25">
      <c r="A37" s="202"/>
      <c r="C37" s="154"/>
      <c r="F37" s="109"/>
      <c r="H37" s="109"/>
      <c r="I37" s="109"/>
      <c r="L37" s="109"/>
      <c r="M37" s="109"/>
      <c r="N37" s="449"/>
      <c r="O37" s="449"/>
      <c r="P37" s="109"/>
      <c r="Q37" s="109"/>
      <c r="R37" s="109"/>
      <c r="T37" s="103"/>
      <c r="V37" s="103"/>
      <c r="W37" s="103"/>
      <c r="X37" s="103"/>
      <c r="Y37" s="103"/>
      <c r="AA37" s="103"/>
      <c r="AB37" s="103"/>
      <c r="AC37" s="103"/>
      <c r="AD37" s="103"/>
      <c r="AE37" s="103"/>
      <c r="AF37" s="103"/>
      <c r="AG37" s="185"/>
      <c r="AH37" s="103"/>
      <c r="AI37" s="103"/>
      <c r="AJ37" s="103"/>
      <c r="AK37" s="185"/>
      <c r="AL37" s="103"/>
      <c r="AM37" s="103"/>
      <c r="AN37" s="103"/>
      <c r="AO37" s="103"/>
      <c r="AP37" s="103"/>
      <c r="AQ37" s="185"/>
      <c r="AS37" s="200"/>
      <c r="AT37" s="200"/>
      <c r="AU37" s="210"/>
      <c r="BX37" s="317"/>
    </row>
    <row r="38" spans="1:76" x14ac:dyDescent="0.25">
      <c r="A38" s="202"/>
      <c r="C38" s="154"/>
      <c r="F38" s="200"/>
      <c r="H38" s="200"/>
      <c r="I38" s="200"/>
      <c r="L38" s="200"/>
      <c r="M38" s="200"/>
      <c r="N38" s="210"/>
      <c r="O38" s="210"/>
      <c r="P38" s="252"/>
      <c r="Q38" s="252"/>
      <c r="R38" s="200"/>
      <c r="T38" s="150" t="str">
        <f>NAME</f>
        <v>DUKE ENERGY KENTUCKY, INC.</v>
      </c>
      <c r="U38" s="150"/>
      <c r="V38" s="150"/>
      <c r="W38" s="150"/>
      <c r="X38" s="150"/>
      <c r="Y38" s="150"/>
      <c r="Z38" s="150"/>
      <c r="AA38" s="150"/>
      <c r="AB38" s="150"/>
      <c r="AC38" s="150"/>
      <c r="AD38" s="187"/>
      <c r="AE38" s="187"/>
      <c r="AF38" s="150"/>
      <c r="AG38" s="380"/>
      <c r="AH38" s="150"/>
      <c r="AI38" s="100"/>
      <c r="AJ38" s="150"/>
      <c r="AK38" s="190"/>
      <c r="AL38" s="150"/>
      <c r="AM38" s="150"/>
      <c r="AN38" s="150"/>
      <c r="AO38" s="100"/>
      <c r="AP38" s="150"/>
      <c r="AQ38" s="190"/>
      <c r="AS38" s="200"/>
      <c r="AT38" s="200"/>
      <c r="AU38" s="210"/>
    </row>
    <row r="39" spans="1:76" x14ac:dyDescent="0.25">
      <c r="A39" s="202"/>
      <c r="C39" s="154"/>
      <c r="F39" s="200"/>
      <c r="H39" s="200"/>
      <c r="I39" s="200"/>
      <c r="L39" s="200"/>
      <c r="M39" s="200"/>
      <c r="N39" s="210"/>
      <c r="O39" s="210"/>
      <c r="P39" s="200"/>
      <c r="Q39" s="252"/>
      <c r="R39" s="200"/>
      <c r="T39" s="150" t="str">
        <f>CASE_NO</f>
        <v>CASE NO.   2017-00321</v>
      </c>
      <c r="U39" s="150"/>
      <c r="V39" s="150"/>
      <c r="W39" s="150"/>
      <c r="X39" s="150"/>
      <c r="Y39" s="150"/>
      <c r="Z39" s="150"/>
      <c r="AA39" s="150"/>
      <c r="AB39" s="150"/>
      <c r="AC39" s="150"/>
      <c r="AD39" s="187"/>
      <c r="AE39" s="187"/>
      <c r="AF39" s="150"/>
      <c r="AG39" s="380"/>
      <c r="AH39" s="150"/>
      <c r="AI39" s="100"/>
      <c r="AJ39" s="150"/>
      <c r="AK39" s="190"/>
      <c r="AL39" s="150"/>
      <c r="AM39" s="150"/>
      <c r="AN39" s="150"/>
      <c r="AO39" s="100"/>
      <c r="AP39" s="150"/>
      <c r="AQ39" s="190"/>
      <c r="AS39" s="200"/>
      <c r="AT39" s="200"/>
      <c r="AU39" s="210"/>
    </row>
    <row r="40" spans="1:76" x14ac:dyDescent="0.25">
      <c r="T40" s="187" t="str">
        <f>TITLE</f>
        <v>ANNUALIZED BASE YEAR REVENUES AT PROPOSED VS. MOST CURRENT RATES</v>
      </c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380"/>
      <c r="AH40" s="150"/>
      <c r="AI40" s="100"/>
      <c r="AJ40" s="150"/>
      <c r="AK40" s="190"/>
      <c r="AL40" s="150"/>
      <c r="AM40" s="150"/>
      <c r="AN40" s="150"/>
      <c r="AO40" s="100"/>
      <c r="AP40" s="150"/>
      <c r="AQ40" s="190"/>
      <c r="AS40" s="200"/>
      <c r="AT40" s="200"/>
      <c r="AU40" s="327"/>
    </row>
    <row r="41" spans="1:76" x14ac:dyDescent="0.25">
      <c r="C41" s="154"/>
      <c r="L41" s="200"/>
      <c r="M41" s="200"/>
      <c r="N41" s="200"/>
      <c r="O41" s="200"/>
      <c r="P41" s="200"/>
      <c r="Q41" s="200"/>
      <c r="R41" s="200"/>
      <c r="T41" s="150" t="str">
        <f>DATE</f>
        <v>FOR THE TWELVE MONTHS ENDED November 30, 2017</v>
      </c>
      <c r="U41" s="150"/>
      <c r="V41" s="150"/>
      <c r="W41" s="150"/>
      <c r="X41" s="150"/>
      <c r="Y41" s="150"/>
      <c r="Z41" s="150"/>
      <c r="AA41" s="150"/>
      <c r="AB41" s="150"/>
      <c r="AC41" s="150"/>
      <c r="AD41" s="187"/>
      <c r="AE41" s="187"/>
      <c r="AF41" s="150"/>
      <c r="AG41" s="380"/>
      <c r="AH41" s="150"/>
      <c r="AI41" s="100"/>
      <c r="AJ41" s="150"/>
      <c r="AK41" s="190"/>
      <c r="AL41" s="150"/>
      <c r="AM41" s="150"/>
      <c r="AN41" s="150"/>
      <c r="AO41" s="100"/>
      <c r="AP41" s="150"/>
      <c r="AQ41" s="190"/>
      <c r="AS41" s="200"/>
      <c r="AT41" s="200"/>
      <c r="AU41" s="210"/>
    </row>
    <row r="42" spans="1:76" x14ac:dyDescent="0.25">
      <c r="A42" s="154"/>
      <c r="T42" s="150" t="str">
        <f>SERVICE</f>
        <v>(ELECTRIC SERVICE)</v>
      </c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87"/>
      <c r="AG42" s="424"/>
      <c r="AH42" s="150"/>
      <c r="AI42" s="100"/>
      <c r="AJ42" s="150"/>
      <c r="AK42" s="190"/>
      <c r="AL42" s="150"/>
      <c r="AM42" s="150"/>
      <c r="AN42" s="150"/>
      <c r="AO42" s="100"/>
      <c r="AP42" s="150"/>
      <c r="AQ42" s="190"/>
      <c r="AS42" s="200"/>
      <c r="AT42" s="200"/>
      <c r="AU42" s="210"/>
    </row>
    <row r="43" spans="1:76" x14ac:dyDescent="0.25">
      <c r="A43" s="202"/>
      <c r="C43" s="154"/>
      <c r="F43" s="200"/>
      <c r="H43" s="200"/>
      <c r="I43" s="200"/>
      <c r="J43" s="213"/>
      <c r="K43" s="213"/>
      <c r="L43" s="200"/>
      <c r="M43" s="200"/>
      <c r="N43" s="210"/>
      <c r="O43" s="210"/>
      <c r="P43" s="200"/>
      <c r="Q43" s="200"/>
      <c r="R43" s="200"/>
      <c r="T43" s="159" t="str">
        <f>DATA_PERIOD</f>
        <v>DATA: __X__ BASE PERIOD   ____FORECASTED PERIOD</v>
      </c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H43" s="80"/>
      <c r="AJ43" s="80"/>
      <c r="AK43" s="188"/>
      <c r="AL43" s="80"/>
      <c r="AM43" s="80"/>
      <c r="AN43" s="80"/>
      <c r="AO43" s="82" t="s">
        <v>179</v>
      </c>
      <c r="AQ43" s="440"/>
      <c r="AS43" s="200"/>
      <c r="AT43" s="200"/>
      <c r="AU43" s="210"/>
    </row>
    <row r="44" spans="1:76" x14ac:dyDescent="0.25">
      <c r="F44" s="211"/>
      <c r="H44" s="211"/>
      <c r="I44" s="211"/>
      <c r="J44" s="305"/>
      <c r="K44" s="305"/>
      <c r="L44" s="211"/>
      <c r="M44" s="211"/>
      <c r="N44" s="211"/>
      <c r="O44" s="211"/>
      <c r="P44" s="211"/>
      <c r="Q44" s="211"/>
      <c r="R44" s="211"/>
      <c r="T44" s="159" t="str">
        <f>TYPE</f>
        <v>TYPE OF FILING: _X_ ORIGINAL   ___UPDATED  ___ REVISED</v>
      </c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H44" s="80"/>
      <c r="AJ44" s="80"/>
      <c r="AK44" s="188"/>
      <c r="AL44" s="80"/>
      <c r="AM44" s="80"/>
      <c r="AN44" s="80"/>
      <c r="AO44" s="81" t="str">
        <f>R7</f>
        <v>PAGE  17  OF  22</v>
      </c>
      <c r="AQ44" s="440"/>
      <c r="AS44" s="200"/>
      <c r="AT44" s="200"/>
      <c r="AU44" s="210"/>
    </row>
    <row r="45" spans="1:76" x14ac:dyDescent="0.25">
      <c r="A45" s="202"/>
      <c r="C45" s="154"/>
      <c r="F45" s="200"/>
      <c r="H45" s="200"/>
      <c r="I45" s="200"/>
      <c r="J45" s="213"/>
      <c r="K45" s="213"/>
      <c r="L45" s="200"/>
      <c r="M45" s="200"/>
      <c r="N45" s="210"/>
      <c r="O45" s="210"/>
      <c r="P45" s="200"/>
      <c r="Q45" s="200"/>
      <c r="R45" s="200"/>
      <c r="T45" s="82" t="s">
        <v>192</v>
      </c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188"/>
      <c r="AH45" s="80"/>
      <c r="AI45" s="80"/>
      <c r="AJ45" s="80"/>
      <c r="AK45" s="188"/>
      <c r="AL45" s="80"/>
      <c r="AM45" s="80"/>
      <c r="AN45" s="80"/>
      <c r="AO45" s="82" t="s">
        <v>3</v>
      </c>
      <c r="AQ45" s="440"/>
      <c r="AR45" s="202"/>
      <c r="AS45" s="200"/>
      <c r="AT45" s="200"/>
      <c r="AU45" s="210"/>
    </row>
    <row r="46" spans="1:76" x14ac:dyDescent="0.25">
      <c r="A46" s="154"/>
      <c r="F46" s="200"/>
      <c r="H46" s="200"/>
      <c r="I46" s="200"/>
      <c r="J46" s="213"/>
      <c r="K46" s="213"/>
      <c r="L46" s="200"/>
      <c r="M46" s="200"/>
      <c r="N46" s="200"/>
      <c r="O46" s="200"/>
      <c r="P46" s="200"/>
      <c r="Q46" s="200"/>
      <c r="R46" s="200"/>
      <c r="T46" s="258" t="str">
        <f>TIME</f>
        <v>6 Months Actual and 6 Months Projected</v>
      </c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G46" s="440"/>
      <c r="AH46" s="80"/>
      <c r="AI46" s="80"/>
      <c r="AJ46" s="80"/>
      <c r="AK46" s="188"/>
      <c r="AL46" s="80"/>
      <c r="AM46" s="80"/>
      <c r="AN46" s="80"/>
      <c r="AO46" s="159" t="str">
        <f>WIT</f>
        <v>B. L. SAILERS</v>
      </c>
      <c r="AR46" s="200"/>
      <c r="AS46" s="200"/>
      <c r="AT46" s="200"/>
      <c r="AU46" s="210"/>
    </row>
    <row r="47" spans="1:76" x14ac:dyDescent="0.25">
      <c r="L47" s="200"/>
      <c r="M47" s="200"/>
      <c r="N47" s="200"/>
      <c r="O47" s="200"/>
      <c r="P47" s="200"/>
      <c r="Q47" s="200"/>
      <c r="R47" s="200"/>
      <c r="T47" s="187" t="s">
        <v>152</v>
      </c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87"/>
      <c r="AG47" s="450"/>
      <c r="AH47" s="150"/>
      <c r="AI47" s="150"/>
      <c r="AJ47" s="150"/>
      <c r="AK47" s="190"/>
      <c r="AL47" s="150"/>
      <c r="AM47" s="150"/>
      <c r="AN47" s="150"/>
      <c r="AO47" s="150"/>
      <c r="AP47" s="187"/>
      <c r="AQ47" s="450"/>
      <c r="AR47" s="200"/>
      <c r="AS47" s="200"/>
      <c r="AT47" s="200"/>
      <c r="AU47" s="210"/>
    </row>
    <row r="48" spans="1:76" x14ac:dyDescent="0.25">
      <c r="H48" s="154"/>
      <c r="I48" s="154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91"/>
      <c r="AH48" s="151"/>
      <c r="AI48" s="151"/>
      <c r="AJ48" s="151"/>
      <c r="AK48" s="191"/>
      <c r="AL48" s="151"/>
      <c r="AM48" s="151"/>
      <c r="AN48" s="151"/>
      <c r="AO48" s="151"/>
      <c r="AP48" s="151"/>
      <c r="AQ48" s="191"/>
      <c r="AR48" s="200"/>
    </row>
    <row r="49" spans="1:51" ht="18" customHeight="1" x14ac:dyDescent="0.25">
      <c r="L49" s="154"/>
      <c r="M49" s="154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93" t="s">
        <v>8</v>
      </c>
      <c r="AF49" s="193"/>
      <c r="AG49" s="194" t="s">
        <v>7</v>
      </c>
      <c r="AH49" s="193"/>
      <c r="AI49" s="193" t="s">
        <v>9</v>
      </c>
      <c r="AJ49" s="193"/>
      <c r="AK49" s="194" t="s">
        <v>10</v>
      </c>
      <c r="AL49" s="193"/>
      <c r="AM49" s="152"/>
      <c r="AN49" s="152"/>
      <c r="AO49" s="193" t="s">
        <v>8</v>
      </c>
      <c r="AP49" s="193"/>
      <c r="AQ49" s="194" t="s">
        <v>11</v>
      </c>
      <c r="AR49" s="252"/>
    </row>
    <row r="50" spans="1:51" x14ac:dyDescent="0.25">
      <c r="A50" s="202"/>
      <c r="R50" s="154"/>
      <c r="T50" s="80"/>
      <c r="U50" s="80"/>
      <c r="V50" s="80"/>
      <c r="W50" s="80"/>
      <c r="X50" s="80"/>
      <c r="Y50" s="80"/>
      <c r="Z50" s="80"/>
      <c r="AA50" s="80"/>
      <c r="AB50" s="80"/>
      <c r="AC50" s="83" t="s">
        <v>14</v>
      </c>
      <c r="AD50" s="83"/>
      <c r="AE50" s="83" t="s">
        <v>12</v>
      </c>
      <c r="AF50" s="83"/>
      <c r="AG50" s="195" t="s">
        <v>13</v>
      </c>
      <c r="AH50" s="83"/>
      <c r="AI50" s="83" t="s">
        <v>15</v>
      </c>
      <c r="AJ50" s="83"/>
      <c r="AK50" s="195" t="s">
        <v>16</v>
      </c>
      <c r="AL50" s="83"/>
      <c r="AM50" s="80"/>
      <c r="AN50" s="80"/>
      <c r="AO50" s="83" t="s">
        <v>11</v>
      </c>
      <c r="AP50" s="83"/>
      <c r="AQ50" s="195" t="s">
        <v>9</v>
      </c>
      <c r="AR50" s="252"/>
      <c r="AU50" s="104" t="s">
        <v>521</v>
      </c>
    </row>
    <row r="51" spans="1:51" x14ac:dyDescent="0.25">
      <c r="A51" s="202"/>
      <c r="R51" s="154"/>
      <c r="T51" s="83" t="s">
        <v>17</v>
      </c>
      <c r="U51" s="80"/>
      <c r="V51" s="83" t="s">
        <v>18</v>
      </c>
      <c r="W51" s="83" t="s">
        <v>19</v>
      </c>
      <c r="X51" s="83"/>
      <c r="Y51" s="83" t="s">
        <v>20</v>
      </c>
      <c r="Z51" s="80"/>
      <c r="AA51" s="80"/>
      <c r="AB51" s="80"/>
      <c r="AC51" s="83" t="s">
        <v>8</v>
      </c>
      <c r="AD51" s="83"/>
      <c r="AE51" s="83" t="s">
        <v>21</v>
      </c>
      <c r="AF51" s="83"/>
      <c r="AG51" s="195" t="s">
        <v>21</v>
      </c>
      <c r="AH51" s="83"/>
      <c r="AI51" s="83" t="s">
        <v>22</v>
      </c>
      <c r="AJ51" s="83"/>
      <c r="AK51" s="195" t="s">
        <v>22</v>
      </c>
      <c r="AL51" s="83"/>
      <c r="AM51" s="83" t="s">
        <v>21</v>
      </c>
      <c r="AN51" s="83"/>
      <c r="AO51" s="83" t="s">
        <v>9</v>
      </c>
      <c r="AP51" s="83"/>
      <c r="AQ51" s="195" t="s">
        <v>23</v>
      </c>
      <c r="AR51" s="200"/>
      <c r="AU51" s="104" t="s">
        <v>522</v>
      </c>
    </row>
    <row r="52" spans="1:51" x14ac:dyDescent="0.25">
      <c r="A52" s="154"/>
      <c r="R52" s="154"/>
      <c r="T52" s="83" t="s">
        <v>24</v>
      </c>
      <c r="U52" s="80"/>
      <c r="V52" s="83" t="s">
        <v>25</v>
      </c>
      <c r="W52" s="83" t="s">
        <v>26</v>
      </c>
      <c r="X52" s="83"/>
      <c r="Y52" s="83" t="s">
        <v>27</v>
      </c>
      <c r="Z52" s="80"/>
      <c r="AA52" s="83" t="s">
        <v>28</v>
      </c>
      <c r="AB52" s="83"/>
      <c r="AC52" s="196" t="s">
        <v>431</v>
      </c>
      <c r="AD52" s="83"/>
      <c r="AE52" s="83" t="s">
        <v>9</v>
      </c>
      <c r="AF52" s="83"/>
      <c r="AG52" s="195" t="s">
        <v>9</v>
      </c>
      <c r="AH52" s="83"/>
      <c r="AI52" s="256" t="s">
        <v>31</v>
      </c>
      <c r="AJ52" s="256"/>
      <c r="AK52" s="257" t="s">
        <v>32</v>
      </c>
      <c r="AL52" s="83"/>
      <c r="AM52" s="83" t="s">
        <v>430</v>
      </c>
      <c r="AN52" s="83"/>
      <c r="AO52" s="256" t="s">
        <v>33</v>
      </c>
      <c r="AP52" s="256"/>
      <c r="AQ52" s="257" t="s">
        <v>34</v>
      </c>
      <c r="AR52" s="200"/>
      <c r="AU52" s="104" t="s">
        <v>523</v>
      </c>
      <c r="AX52" s="101" t="s">
        <v>404</v>
      </c>
      <c r="AY52" s="101" t="s">
        <v>405</v>
      </c>
    </row>
    <row r="53" spans="1:51" x14ac:dyDescent="0.25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T53" s="80"/>
      <c r="U53" s="80"/>
      <c r="V53" s="256" t="s">
        <v>35</v>
      </c>
      <c r="W53" s="256" t="s">
        <v>36</v>
      </c>
      <c r="X53" s="256"/>
      <c r="Y53" s="256" t="s">
        <v>37</v>
      </c>
      <c r="Z53" s="258"/>
      <c r="AA53" s="256" t="s">
        <v>38</v>
      </c>
      <c r="AB53" s="256"/>
      <c r="AC53" s="256" t="s">
        <v>44</v>
      </c>
      <c r="AD53" s="256"/>
      <c r="AE53" s="256" t="s">
        <v>45</v>
      </c>
      <c r="AF53" s="256"/>
      <c r="AG53" s="257" t="s">
        <v>46</v>
      </c>
      <c r="AH53" s="256"/>
      <c r="AI53" s="256" t="s">
        <v>47</v>
      </c>
      <c r="AJ53" s="256"/>
      <c r="AK53" s="257" t="s">
        <v>48</v>
      </c>
      <c r="AL53" s="256"/>
      <c r="AM53" s="256" t="s">
        <v>42</v>
      </c>
      <c r="AN53" s="256"/>
      <c r="AO53" s="256" t="s">
        <v>49</v>
      </c>
      <c r="AP53" s="256"/>
      <c r="AQ53" s="257" t="s">
        <v>50</v>
      </c>
      <c r="AW53" s="101" t="s">
        <v>403</v>
      </c>
      <c r="AX53" s="101" t="s">
        <v>402</v>
      </c>
      <c r="AY53" s="101" t="s">
        <v>402</v>
      </c>
    </row>
    <row r="54" spans="1:51" ht="17.100000000000001" customHeight="1" x14ac:dyDescent="0.25">
      <c r="L54" s="103"/>
      <c r="M54" s="103"/>
      <c r="N54" s="103"/>
      <c r="O54" s="103"/>
      <c r="R54" s="103"/>
      <c r="T54" s="152"/>
      <c r="U54" s="152"/>
      <c r="V54" s="152"/>
      <c r="W54" s="152"/>
      <c r="X54" s="152"/>
      <c r="Y54" s="152"/>
      <c r="Z54" s="152"/>
      <c r="AA54" s="451" t="s">
        <v>51</v>
      </c>
      <c r="AB54" s="451"/>
      <c r="AC54" s="452" t="s">
        <v>418</v>
      </c>
      <c r="AD54" s="451"/>
      <c r="AE54" s="451" t="s">
        <v>52</v>
      </c>
      <c r="AF54" s="451"/>
      <c r="AG54" s="453" t="s">
        <v>53</v>
      </c>
      <c r="AH54" s="451"/>
      <c r="AI54" s="451" t="s">
        <v>52</v>
      </c>
      <c r="AJ54" s="451"/>
      <c r="AK54" s="453" t="s">
        <v>53</v>
      </c>
      <c r="AL54" s="451"/>
      <c r="AM54" s="451" t="s">
        <v>52</v>
      </c>
      <c r="AN54" s="451"/>
      <c r="AO54" s="451" t="s">
        <v>52</v>
      </c>
      <c r="AP54" s="451"/>
      <c r="AQ54" s="453" t="s">
        <v>53</v>
      </c>
    </row>
    <row r="55" spans="1:51" x14ac:dyDescent="0.25">
      <c r="L55" s="103"/>
      <c r="M55" s="103"/>
      <c r="N55" s="103"/>
      <c r="O55" s="103"/>
      <c r="R55" s="103"/>
      <c r="Y55" s="85"/>
      <c r="Z55" s="85"/>
      <c r="AA55" s="345"/>
      <c r="AB55" s="345"/>
      <c r="AC55" s="105"/>
      <c r="AD55" s="345"/>
      <c r="AE55" s="345"/>
      <c r="AF55" s="345"/>
      <c r="AG55" s="454"/>
      <c r="AH55" s="345"/>
      <c r="AI55" s="345"/>
      <c r="AJ55" s="345"/>
      <c r="AK55" s="454"/>
      <c r="AL55" s="345"/>
      <c r="AM55" s="345"/>
      <c r="AN55" s="345"/>
      <c r="AO55" s="345"/>
      <c r="AP55" s="345"/>
      <c r="AQ55" s="454"/>
      <c r="AX55" s="101">
        <f>CUR_BASE_FUEL</f>
        <v>2.3837000000000001E-2</v>
      </c>
      <c r="AY55" s="101">
        <f>PRO_BASE_FUEL</f>
        <v>2.3837000000000001E-2</v>
      </c>
    </row>
    <row r="56" spans="1:51" ht="30" customHeight="1" x14ac:dyDescent="0.25">
      <c r="L56" s="103"/>
      <c r="M56" s="103"/>
      <c r="N56" s="103"/>
      <c r="O56" s="103"/>
      <c r="R56" s="103"/>
      <c r="T56" s="159">
        <v>1</v>
      </c>
      <c r="U56" s="80"/>
      <c r="V56" s="253" t="s">
        <v>293</v>
      </c>
      <c r="W56" s="265" t="s">
        <v>294</v>
      </c>
      <c r="X56" s="258"/>
      <c r="Y56" s="455"/>
      <c r="Z56" s="70"/>
      <c r="AA56" s="163"/>
      <c r="AB56" s="79"/>
      <c r="AC56" s="70"/>
      <c r="AD56" s="339"/>
      <c r="AE56" s="163"/>
      <c r="AF56" s="79"/>
      <c r="AG56" s="197"/>
      <c r="AH56" s="156"/>
      <c r="AI56" s="163"/>
      <c r="AJ56" s="79"/>
      <c r="AK56" s="197"/>
      <c r="AL56" s="158"/>
      <c r="AM56" s="230"/>
      <c r="AN56" s="78"/>
      <c r="AO56" s="163"/>
      <c r="AP56" s="79"/>
      <c r="AQ56" s="155"/>
      <c r="AW56" s="78"/>
      <c r="AX56" s="85"/>
      <c r="AY56" s="85"/>
    </row>
    <row r="57" spans="1:51" ht="15.75" customHeight="1" x14ac:dyDescent="0.25">
      <c r="L57" s="103"/>
      <c r="M57" s="103"/>
      <c r="N57" s="103"/>
      <c r="O57" s="103"/>
      <c r="R57" s="103"/>
      <c r="T57" s="159"/>
      <c r="U57" s="80"/>
      <c r="V57" s="253"/>
      <c r="W57" s="265"/>
      <c r="X57" s="258"/>
      <c r="Y57" s="455"/>
      <c r="Z57" s="70"/>
      <c r="AA57" s="163"/>
      <c r="AB57" s="79"/>
      <c r="AC57" s="70"/>
      <c r="AD57" s="339"/>
      <c r="AE57" s="163"/>
      <c r="AF57" s="79"/>
      <c r="AG57" s="197"/>
      <c r="AH57" s="156"/>
      <c r="AI57" s="163"/>
      <c r="AJ57" s="79"/>
      <c r="AK57" s="197"/>
      <c r="AL57" s="158"/>
      <c r="AM57" s="230"/>
      <c r="AN57" s="78"/>
      <c r="AO57" s="163"/>
      <c r="AP57" s="79"/>
      <c r="AQ57" s="155"/>
      <c r="AW57" s="78"/>
      <c r="AX57" s="85"/>
      <c r="AY57" s="85"/>
    </row>
    <row r="58" spans="1:51" ht="30" customHeight="1" x14ac:dyDescent="0.25">
      <c r="L58" s="103"/>
      <c r="M58" s="103"/>
      <c r="N58" s="103"/>
      <c r="O58" s="103"/>
      <c r="R58" s="103"/>
      <c r="T58" s="101">
        <v>2</v>
      </c>
      <c r="V58" s="82" t="s">
        <v>295</v>
      </c>
      <c r="W58" s="80"/>
      <c r="X58" s="80"/>
      <c r="Y58" s="286">
        <f>F21</f>
        <v>83973</v>
      </c>
      <c r="Z58" s="70"/>
      <c r="AA58" s="286">
        <f>H21</f>
        <v>5308606</v>
      </c>
      <c r="AB58" s="70"/>
      <c r="AC58" s="430">
        <v>3.7481E-2</v>
      </c>
      <c r="AD58" s="339"/>
      <c r="AE58" s="167">
        <f>ROUND((AA58*AC58),0)</f>
        <v>198972</v>
      </c>
      <c r="AF58" s="79"/>
      <c r="AG58" s="166">
        <f>ROUND((AE58/AE$67)*100,1)</f>
        <v>101.2</v>
      </c>
      <c r="AH58" s="156"/>
      <c r="AI58" s="167">
        <f>L21-AE58</f>
        <v>23650</v>
      </c>
      <c r="AJ58" s="79"/>
      <c r="AK58" s="166">
        <f>ROUND((AI58/AE58)*100,1)</f>
        <v>11.9</v>
      </c>
      <c r="AL58" s="158"/>
      <c r="AM58" s="167">
        <f>ROUND($AM$67/$AA$67*AA58,0)</f>
        <v>5457</v>
      </c>
      <c r="AN58" s="78"/>
      <c r="AO58" s="167">
        <f>AE58+AM58</f>
        <v>204429</v>
      </c>
      <c r="AP58" s="79"/>
      <c r="AQ58" s="155">
        <f>ROUND((AI58/AO58)*100,1)</f>
        <v>11.6</v>
      </c>
      <c r="AU58" s="446">
        <f>AC58-CUR_BASE_FUEL</f>
        <v>1.3644E-2</v>
      </c>
      <c r="AW58" s="230"/>
      <c r="AX58" s="85"/>
      <c r="AY58" s="85"/>
    </row>
    <row r="59" spans="1:51" ht="15.75" customHeight="1" x14ac:dyDescent="0.25">
      <c r="L59" s="103"/>
      <c r="M59" s="103"/>
      <c r="N59" s="103"/>
      <c r="O59" s="103"/>
      <c r="R59" s="103"/>
      <c r="V59" s="82"/>
      <c r="W59" s="80"/>
      <c r="X59" s="80"/>
      <c r="Y59" s="230"/>
      <c r="Z59" s="70"/>
      <c r="AA59" s="230"/>
      <c r="AB59" s="70"/>
      <c r="AC59" s="430"/>
      <c r="AD59" s="339"/>
      <c r="AE59" s="163"/>
      <c r="AF59" s="79"/>
      <c r="AG59" s="197"/>
      <c r="AH59" s="156"/>
      <c r="AI59" s="163"/>
      <c r="AJ59" s="79"/>
      <c r="AK59" s="197"/>
      <c r="AL59" s="158"/>
      <c r="AM59" s="163"/>
      <c r="AN59" s="78"/>
      <c r="AO59" s="163"/>
      <c r="AP59" s="79"/>
      <c r="AQ59" s="155"/>
      <c r="AU59" s="446"/>
      <c r="AW59" s="230"/>
      <c r="AX59" s="85"/>
      <c r="AY59" s="85"/>
    </row>
    <row r="60" spans="1:51" ht="19.5" customHeight="1" x14ac:dyDescent="0.25">
      <c r="L60" s="103"/>
      <c r="M60" s="103"/>
      <c r="N60" s="103"/>
      <c r="O60" s="103"/>
      <c r="R60" s="103"/>
      <c r="T60" s="159">
        <f>A23</f>
        <v>3</v>
      </c>
      <c r="U60" s="80"/>
      <c r="V60" s="253" t="s">
        <v>605</v>
      </c>
      <c r="W60" s="80"/>
      <c r="X60" s="80"/>
      <c r="Y60" s="230"/>
      <c r="Z60" s="70"/>
      <c r="AA60" s="230"/>
      <c r="AB60" s="70"/>
      <c r="AC60" s="430"/>
      <c r="AD60" s="339"/>
      <c r="AE60" s="163"/>
      <c r="AF60" s="79"/>
      <c r="AG60" s="155"/>
      <c r="AH60" s="156"/>
      <c r="AI60" s="163"/>
      <c r="AJ60" s="79"/>
      <c r="AK60" s="197"/>
      <c r="AL60" s="158"/>
      <c r="AM60" s="79"/>
      <c r="AN60" s="78"/>
      <c r="AO60" s="163"/>
      <c r="AP60" s="79"/>
      <c r="AQ60" s="155"/>
      <c r="AU60" s="446"/>
      <c r="AW60" s="230"/>
      <c r="AX60" s="85"/>
      <c r="AY60" s="85"/>
    </row>
    <row r="61" spans="1:51" ht="19.5" customHeight="1" x14ac:dyDescent="0.25">
      <c r="L61" s="103"/>
      <c r="M61" s="103"/>
      <c r="N61" s="103"/>
      <c r="O61" s="103"/>
      <c r="R61" s="103"/>
      <c r="T61" s="159">
        <f t="shared" ref="T61:T65" si="3">A24</f>
        <v>4</v>
      </c>
      <c r="U61" s="80"/>
      <c r="V61" s="153" t="str">
        <f t="shared" ref="V61:V63" si="4">C24</f>
        <v>ENVIRONMENTAL SURCHARGE MECHANISM RIDER (ESM)</v>
      </c>
      <c r="W61" s="80"/>
      <c r="X61" s="80"/>
      <c r="Y61" s="230"/>
      <c r="Z61" s="70"/>
      <c r="AA61" s="230"/>
      <c r="AB61" s="70"/>
      <c r="AC61" s="401">
        <f>CUR_ESM</f>
        <v>0</v>
      </c>
      <c r="AD61" s="339"/>
      <c r="AE61" s="163">
        <f>ROUND($AO$58*AC61,0)</f>
        <v>0</v>
      </c>
      <c r="AF61" s="79"/>
      <c r="AG61" s="155">
        <f>ROUND((AE61/AE$67)*100,1)</f>
        <v>0</v>
      </c>
      <c r="AH61" s="156"/>
      <c r="AI61" s="163">
        <f t="shared" ref="AI61:AI63" si="5">L24-AE61</f>
        <v>0</v>
      </c>
      <c r="AJ61" s="79"/>
      <c r="AK61" s="197">
        <f>IF(AE61=0,0,ROUND((AI61/AE61)*100,1))</f>
        <v>0</v>
      </c>
      <c r="AL61" s="158"/>
      <c r="AM61" s="79"/>
      <c r="AN61" s="78"/>
      <c r="AO61" s="163">
        <f t="shared" ref="AO61:AO63" si="6">AE61+AM61</f>
        <v>0</v>
      </c>
      <c r="AP61" s="79"/>
      <c r="AQ61" s="155">
        <f>IF(AO61=0,0,ROUND((AI61/AO61)*100,1))</f>
        <v>0</v>
      </c>
      <c r="AU61" s="446"/>
      <c r="AW61" s="230"/>
      <c r="AX61" s="85"/>
      <c r="AY61" s="85"/>
    </row>
    <row r="62" spans="1:51" ht="19.5" customHeight="1" x14ac:dyDescent="0.25">
      <c r="L62" s="103"/>
      <c r="M62" s="103"/>
      <c r="N62" s="103"/>
      <c r="O62" s="103"/>
      <c r="R62" s="103"/>
      <c r="T62" s="159">
        <f t="shared" si="3"/>
        <v>5</v>
      </c>
      <c r="U62" s="80"/>
      <c r="V62" s="153" t="str">
        <f t="shared" si="4"/>
        <v>DISTRIBUTION CAPITAL INVESTMENT RIDER (DCI)</v>
      </c>
      <c r="W62" s="80"/>
      <c r="X62" s="80"/>
      <c r="Y62" s="230"/>
      <c r="Z62" s="70"/>
      <c r="AA62" s="230"/>
      <c r="AB62" s="70"/>
      <c r="AC62" s="401">
        <f>CUR_DCI_SL</f>
        <v>0</v>
      </c>
      <c r="AD62" s="339"/>
      <c r="AE62" s="163">
        <f>ROUND($AA$58*AC62,0)</f>
        <v>0</v>
      </c>
      <c r="AF62" s="79"/>
      <c r="AG62" s="155">
        <f>ROUND((AE62/AE$67)*100,1)</f>
        <v>0</v>
      </c>
      <c r="AH62" s="156"/>
      <c r="AI62" s="163">
        <f t="shared" si="5"/>
        <v>0</v>
      </c>
      <c r="AJ62" s="79"/>
      <c r="AK62" s="197">
        <f t="shared" ref="AK62:AK63" si="7">IF(AE62=0,0,ROUND((AI62/AE62)*100,1))</f>
        <v>0</v>
      </c>
      <c r="AL62" s="158"/>
      <c r="AM62" s="79"/>
      <c r="AN62" s="78"/>
      <c r="AO62" s="163">
        <f t="shared" si="6"/>
        <v>0</v>
      </c>
      <c r="AP62" s="79"/>
      <c r="AQ62" s="155">
        <f t="shared" ref="AQ62:AQ63" si="8">IF(AO62=0,0,ROUND((AI62/AO62)*100,1))</f>
        <v>0</v>
      </c>
      <c r="AU62" s="446"/>
      <c r="AW62" s="230"/>
      <c r="AX62" s="85"/>
      <c r="AY62" s="85"/>
    </row>
    <row r="63" spans="1:51" ht="19.5" customHeight="1" x14ac:dyDescent="0.25">
      <c r="L63" s="103"/>
      <c r="M63" s="103"/>
      <c r="N63" s="103"/>
      <c r="O63" s="103"/>
      <c r="R63" s="103"/>
      <c r="T63" s="159">
        <f t="shared" si="3"/>
        <v>6</v>
      </c>
      <c r="U63" s="80"/>
      <c r="V63" s="153" t="str">
        <f t="shared" si="4"/>
        <v>FERC TRANSMISSION COST RECOVERY RECONCILIATION (FTR)</v>
      </c>
      <c r="W63" s="80"/>
      <c r="X63" s="80"/>
      <c r="Y63" s="230"/>
      <c r="Z63" s="70"/>
      <c r="AA63" s="230"/>
      <c r="AB63" s="70"/>
      <c r="AC63" s="401">
        <f>CUR_FTR_SL</f>
        <v>0</v>
      </c>
      <c r="AD63" s="339"/>
      <c r="AE63" s="163">
        <f t="shared" ref="AE63" si="9">ROUND($AA$58*AC63,0)</f>
        <v>0</v>
      </c>
      <c r="AF63" s="79"/>
      <c r="AG63" s="155">
        <f>ROUND((AE63/AE$67)*100,1)</f>
        <v>0</v>
      </c>
      <c r="AH63" s="156"/>
      <c r="AI63" s="163">
        <f t="shared" si="5"/>
        <v>0</v>
      </c>
      <c r="AJ63" s="79"/>
      <c r="AK63" s="197">
        <f t="shared" si="7"/>
        <v>0</v>
      </c>
      <c r="AL63" s="158"/>
      <c r="AM63" s="79"/>
      <c r="AN63" s="78"/>
      <c r="AO63" s="163">
        <f t="shared" si="6"/>
        <v>0</v>
      </c>
      <c r="AP63" s="79"/>
      <c r="AQ63" s="155">
        <f t="shared" si="8"/>
        <v>0</v>
      </c>
      <c r="AU63" s="446"/>
      <c r="AW63" s="230"/>
      <c r="AX63" s="85"/>
      <c r="AY63" s="85"/>
    </row>
    <row r="64" spans="1:51" ht="15.75" customHeight="1" x14ac:dyDescent="0.25">
      <c r="L64" s="103"/>
      <c r="M64" s="103"/>
      <c r="N64" s="103"/>
      <c r="O64" s="103"/>
      <c r="R64" s="103"/>
      <c r="T64" s="159">
        <f t="shared" si="3"/>
        <v>7</v>
      </c>
      <c r="U64" s="80"/>
      <c r="V64" s="153" t="str">
        <f>C27</f>
        <v>PROFIT SHARING MECHANISM (PSM)</v>
      </c>
      <c r="W64" s="80"/>
      <c r="X64" s="80"/>
      <c r="Y64" s="230"/>
      <c r="Z64" s="70"/>
      <c r="AA64" s="230"/>
      <c r="AB64" s="70"/>
      <c r="AC64" s="288">
        <f>RS_PSM</f>
        <v>-4.5600000000000003E-4</v>
      </c>
      <c r="AD64" s="339"/>
      <c r="AE64" s="167">
        <f>ROUND($AA$58*AC64,0)</f>
        <v>-2421</v>
      </c>
      <c r="AF64" s="79"/>
      <c r="AG64" s="166">
        <f>ROUND((AE64/AE$67)*100,1)</f>
        <v>-1.2</v>
      </c>
      <c r="AH64" s="156"/>
      <c r="AI64" s="167">
        <f>L27-AE64</f>
        <v>0</v>
      </c>
      <c r="AJ64" s="79"/>
      <c r="AK64" s="166">
        <f t="shared" ref="AK64:AK65" si="10">ROUND((AI64/AE64)*100,1)</f>
        <v>0</v>
      </c>
      <c r="AL64" s="158"/>
      <c r="AM64" s="167"/>
      <c r="AN64" s="78"/>
      <c r="AO64" s="167">
        <f t="shared" ref="AO64" si="11">AE64+AM64</f>
        <v>-2421</v>
      </c>
      <c r="AP64" s="79"/>
      <c r="AQ64" s="155">
        <f t="shared" ref="AQ64:AQ65" si="12">ROUND((AI64/AO64)*100,1)</f>
        <v>0</v>
      </c>
      <c r="AU64" s="446"/>
      <c r="AW64" s="230"/>
      <c r="AX64" s="85"/>
      <c r="AY64" s="85"/>
    </row>
    <row r="65" spans="1:51" ht="20.100000000000001" customHeight="1" x14ac:dyDescent="0.25">
      <c r="L65" s="103"/>
      <c r="M65" s="103"/>
      <c r="N65" s="103"/>
      <c r="O65" s="103"/>
      <c r="R65" s="103"/>
      <c r="T65" s="159">
        <f t="shared" si="3"/>
        <v>8</v>
      </c>
      <c r="U65" s="80"/>
      <c r="V65" s="253" t="s">
        <v>585</v>
      </c>
      <c r="W65" s="80"/>
      <c r="X65" s="80"/>
      <c r="Y65" s="286"/>
      <c r="Z65" s="70"/>
      <c r="AA65" s="286"/>
      <c r="AB65" s="70"/>
      <c r="AC65" s="456"/>
      <c r="AD65" s="339"/>
      <c r="AE65" s="169">
        <f>SUM(AE61:AE64)</f>
        <v>-2421</v>
      </c>
      <c r="AF65" s="79"/>
      <c r="AG65" s="166">
        <f>ROUND((AE65/AE$67)*100,1)</f>
        <v>-1.2</v>
      </c>
      <c r="AH65" s="156"/>
      <c r="AI65" s="169">
        <f>SUM(AI61:AI64)</f>
        <v>0</v>
      </c>
      <c r="AJ65" s="79"/>
      <c r="AK65" s="166">
        <f t="shared" si="10"/>
        <v>0</v>
      </c>
      <c r="AL65" s="158"/>
      <c r="AM65" s="169"/>
      <c r="AN65" s="78"/>
      <c r="AO65" s="169">
        <f>SUM(AO61:AO64)</f>
        <v>-2421</v>
      </c>
      <c r="AP65" s="79"/>
      <c r="AQ65" s="155">
        <f t="shared" si="12"/>
        <v>0</v>
      </c>
      <c r="AU65" s="446"/>
      <c r="AW65" s="230"/>
      <c r="AX65" s="85"/>
      <c r="AY65" s="85"/>
    </row>
    <row r="66" spans="1:51" ht="15.75" customHeight="1" x14ac:dyDescent="0.25">
      <c r="L66" s="103"/>
      <c r="M66" s="103"/>
      <c r="N66" s="103"/>
      <c r="O66" s="103"/>
      <c r="R66" s="103"/>
      <c r="V66" s="82"/>
      <c r="W66" s="80"/>
      <c r="X66" s="80"/>
      <c r="Y66" s="230"/>
      <c r="Z66" s="85"/>
      <c r="AA66" s="230"/>
      <c r="AB66" s="85"/>
      <c r="AC66" s="457"/>
      <c r="AD66" s="458"/>
      <c r="AE66" s="163"/>
      <c r="AF66" s="163"/>
      <c r="AG66" s="197"/>
      <c r="AH66" s="198"/>
      <c r="AI66" s="163"/>
      <c r="AJ66" s="163"/>
      <c r="AK66" s="197"/>
      <c r="AL66" s="199"/>
      <c r="AM66" s="163"/>
      <c r="AN66" s="230"/>
      <c r="AO66" s="163"/>
      <c r="AP66" s="79"/>
      <c r="AQ66" s="155"/>
      <c r="AU66" s="446"/>
      <c r="AW66" s="230"/>
      <c r="AX66" s="85"/>
      <c r="AY66" s="85"/>
    </row>
    <row r="67" spans="1:51" ht="20.100000000000001" customHeight="1" thickBot="1" x14ac:dyDescent="0.3">
      <c r="L67" s="103"/>
      <c r="M67" s="103"/>
      <c r="N67" s="103"/>
      <c r="O67" s="103"/>
      <c r="R67" s="103"/>
      <c r="T67" s="159">
        <f>A30</f>
        <v>9</v>
      </c>
      <c r="U67" s="80"/>
      <c r="V67" s="253" t="s">
        <v>588</v>
      </c>
      <c r="W67" s="80"/>
      <c r="X67" s="80"/>
      <c r="Y67" s="275">
        <f>Y58</f>
        <v>83973</v>
      </c>
      <c r="Z67" s="70"/>
      <c r="AA67" s="275">
        <f>AA58</f>
        <v>5308606</v>
      </c>
      <c r="AB67" s="79"/>
      <c r="AC67" s="70"/>
      <c r="AD67" s="339"/>
      <c r="AE67" s="275">
        <f>AE65+AE58</f>
        <v>196551</v>
      </c>
      <c r="AF67" s="79"/>
      <c r="AG67" s="291">
        <v>100</v>
      </c>
      <c r="AH67" s="156"/>
      <c r="AI67" s="275">
        <f>AI58+AI65</f>
        <v>23650</v>
      </c>
      <c r="AJ67" s="79"/>
      <c r="AK67" s="291">
        <f>ROUND((AI67/AE67)*100,1)</f>
        <v>12</v>
      </c>
      <c r="AL67" s="158"/>
      <c r="AM67" s="403">
        <f>ROUND(AA67*CUR_FAC,0)</f>
        <v>5457</v>
      </c>
      <c r="AN67" s="78"/>
      <c r="AO67" s="275">
        <f>AO65+AO58</f>
        <v>202008</v>
      </c>
      <c r="AP67" s="79"/>
      <c r="AQ67" s="155">
        <f>ROUND((AI67/AO67)*100,1)</f>
        <v>11.7</v>
      </c>
      <c r="AW67" s="163"/>
    </row>
    <row r="68" spans="1:51" ht="16.5" thickTop="1" x14ac:dyDescent="0.25">
      <c r="L68" s="103"/>
      <c r="M68" s="103"/>
      <c r="N68" s="103"/>
      <c r="O68" s="103"/>
      <c r="R68" s="103"/>
      <c r="T68" s="159"/>
      <c r="U68" s="80"/>
      <c r="V68" s="82"/>
      <c r="W68" s="80"/>
      <c r="X68" s="80"/>
      <c r="Y68" s="163"/>
      <c r="Z68" s="70"/>
      <c r="AA68" s="163"/>
      <c r="AB68" s="79"/>
      <c r="AC68" s="70"/>
      <c r="AD68" s="339"/>
      <c r="AE68" s="163"/>
      <c r="AF68" s="79"/>
      <c r="AG68" s="197"/>
      <c r="AH68" s="156"/>
      <c r="AI68" s="163"/>
      <c r="AJ68" s="79"/>
      <c r="AK68" s="197"/>
      <c r="AL68" s="158"/>
      <c r="AM68" s="110"/>
      <c r="AN68" s="78"/>
      <c r="AO68" s="163"/>
      <c r="AP68" s="79"/>
      <c r="AQ68" s="155"/>
      <c r="AW68" s="163"/>
    </row>
    <row r="69" spans="1:51" ht="21.95" customHeight="1" x14ac:dyDescent="0.25">
      <c r="A69" s="202"/>
      <c r="C69" s="154"/>
      <c r="F69" s="200"/>
      <c r="H69" s="200"/>
      <c r="I69" s="200"/>
      <c r="J69" s="213"/>
      <c r="K69" s="213"/>
      <c r="L69" s="200"/>
      <c r="M69" s="200"/>
      <c r="N69" s="210"/>
      <c r="O69" s="210"/>
      <c r="P69" s="200"/>
      <c r="Q69" s="200"/>
      <c r="R69" s="200"/>
      <c r="T69" s="80"/>
      <c r="U69" s="80"/>
      <c r="V69" s="173" t="s">
        <v>80</v>
      </c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188"/>
      <c r="AH69" s="80"/>
      <c r="AI69" s="80"/>
      <c r="AJ69" s="80"/>
      <c r="AK69" s="188"/>
      <c r="AL69" s="80"/>
      <c r="AM69" s="80"/>
      <c r="AN69" s="80"/>
      <c r="AO69" s="80"/>
      <c r="AP69" s="80"/>
      <c r="AQ69" s="188"/>
    </row>
    <row r="70" spans="1:51" x14ac:dyDescent="0.25">
      <c r="A70" s="202"/>
      <c r="C70" s="154"/>
      <c r="F70" s="200"/>
      <c r="H70" s="200"/>
      <c r="I70" s="200"/>
      <c r="J70" s="213"/>
      <c r="K70" s="213"/>
      <c r="L70" s="200"/>
      <c r="M70" s="200"/>
      <c r="N70" s="210"/>
      <c r="O70" s="210"/>
      <c r="P70" s="200"/>
      <c r="Q70" s="200"/>
      <c r="R70" s="200"/>
      <c r="T70" s="80"/>
      <c r="U70" s="80"/>
      <c r="V70" s="173" t="str">
        <f>"(2) REFLECTS FUEL COMPONENT OF "&amp;TEXT(CUR_FAC,"$0.000000;($0.000000)")&amp;" PER KWH."</f>
        <v>(2) REFLECTS FUEL COMPONENT OF $0.001028 PER KWH.</v>
      </c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188"/>
      <c r="AH70" s="80"/>
      <c r="AI70" s="80"/>
      <c r="AJ70" s="80"/>
      <c r="AK70" s="188"/>
      <c r="AL70" s="80"/>
      <c r="AM70" s="80"/>
      <c r="AN70" s="80"/>
      <c r="AO70" s="80"/>
      <c r="AP70" s="80"/>
      <c r="AQ70" s="188"/>
    </row>
    <row r="71" spans="1:51" x14ac:dyDescent="0.25">
      <c r="A71" s="202"/>
      <c r="C71" s="154"/>
      <c r="F71" s="200"/>
      <c r="H71" s="252"/>
      <c r="I71" s="252"/>
      <c r="J71" s="320"/>
      <c r="K71" s="320"/>
      <c r="L71" s="200"/>
      <c r="M71" s="200"/>
      <c r="N71" s="210"/>
      <c r="O71" s="210"/>
      <c r="P71" s="200"/>
      <c r="Q71" s="200"/>
      <c r="R71" s="200"/>
      <c r="T71" s="82"/>
      <c r="U71" s="80"/>
      <c r="V71" s="173" t="str">
        <f>"(3) REFLECTS FUEL COST RECOVERY INCLUDED IN BASE RATES OF "&amp;TEXT(CUR_BASE_FUEL,"$0.000000;($0.000000)")&amp;"  PER KWH."</f>
        <v>(3) REFLECTS FUEL COST RECOVERY INCLUDED IN BASE RATES OF $0.023837  PER KWH.</v>
      </c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188"/>
      <c r="AH71" s="80"/>
      <c r="AI71" s="80"/>
      <c r="AJ71" s="80"/>
      <c r="AK71" s="188"/>
      <c r="AL71" s="80"/>
      <c r="AM71" s="80"/>
      <c r="AN71" s="80"/>
      <c r="AO71" s="80"/>
      <c r="AP71" s="80"/>
      <c r="AQ71" s="188"/>
    </row>
    <row r="72" spans="1:51" x14ac:dyDescent="0.25">
      <c r="F72" s="211"/>
      <c r="H72" s="211"/>
      <c r="I72" s="211"/>
      <c r="J72" s="305"/>
      <c r="K72" s="305"/>
      <c r="L72" s="211"/>
      <c r="M72" s="211"/>
      <c r="N72" s="211"/>
      <c r="O72" s="211"/>
      <c r="P72" s="211"/>
      <c r="Q72" s="211"/>
      <c r="R72" s="211"/>
      <c r="T72" s="202"/>
      <c r="V72" s="154"/>
      <c r="Y72" s="200"/>
      <c r="AA72" s="252"/>
      <c r="AB72" s="252"/>
      <c r="AC72" s="300"/>
      <c r="AD72" s="300"/>
      <c r="AE72" s="200"/>
      <c r="AF72" s="200"/>
      <c r="AG72" s="209"/>
      <c r="AH72" s="210"/>
      <c r="AI72" s="200"/>
      <c r="AJ72" s="200"/>
      <c r="AK72" s="209"/>
      <c r="AL72" s="201"/>
      <c r="AM72" s="202"/>
      <c r="AN72" s="202"/>
      <c r="AO72" s="200"/>
      <c r="AP72" s="200"/>
      <c r="AQ72" s="209"/>
    </row>
    <row r="73" spans="1:51" x14ac:dyDescent="0.25">
      <c r="F73" s="211"/>
      <c r="H73" s="211"/>
      <c r="I73" s="211"/>
      <c r="J73" s="305"/>
      <c r="K73" s="305"/>
      <c r="L73" s="211"/>
      <c r="M73" s="211"/>
      <c r="N73" s="211"/>
      <c r="O73" s="211"/>
      <c r="P73" s="211"/>
      <c r="Q73" s="211"/>
      <c r="R73" s="211"/>
      <c r="S73" s="200"/>
      <c r="T73" s="202"/>
      <c r="V73" s="154"/>
      <c r="Y73" s="252"/>
      <c r="AA73" s="252"/>
      <c r="AB73" s="252"/>
      <c r="AC73" s="328"/>
      <c r="AD73" s="328"/>
      <c r="AE73" s="200"/>
      <c r="AF73" s="200"/>
      <c r="AG73" s="209"/>
      <c r="AH73" s="210"/>
      <c r="AI73" s="200"/>
      <c r="AJ73" s="200"/>
      <c r="AK73" s="209"/>
      <c r="AL73" s="210"/>
      <c r="AM73" s="200"/>
      <c r="AN73" s="200"/>
      <c r="AO73" s="200"/>
      <c r="AP73" s="200"/>
      <c r="AQ73" s="209"/>
    </row>
    <row r="74" spans="1:51" x14ac:dyDescent="0.25">
      <c r="A74" s="202"/>
      <c r="C74" s="154"/>
      <c r="F74" s="252"/>
      <c r="H74" s="330"/>
      <c r="I74" s="330"/>
      <c r="J74" s="305"/>
      <c r="K74" s="305"/>
      <c r="L74" s="200"/>
      <c r="M74" s="200"/>
      <c r="N74" s="210"/>
      <c r="O74" s="210"/>
      <c r="P74" s="200"/>
      <c r="Q74" s="200"/>
      <c r="R74" s="200"/>
      <c r="S74" s="200"/>
      <c r="T74" s="202"/>
      <c r="V74" s="154"/>
      <c r="Y74" s="252"/>
      <c r="AA74" s="200"/>
      <c r="AB74" s="200"/>
      <c r="AC74" s="300"/>
      <c r="AD74" s="300"/>
      <c r="AE74" s="200"/>
      <c r="AF74" s="200"/>
      <c r="AG74" s="209"/>
      <c r="AH74" s="210"/>
      <c r="AI74" s="200"/>
      <c r="AJ74" s="200"/>
      <c r="AK74" s="209"/>
      <c r="AL74" s="201"/>
      <c r="AM74" s="200"/>
      <c r="AN74" s="200"/>
      <c r="AO74" s="200"/>
      <c r="AP74" s="200"/>
      <c r="AQ74" s="209"/>
    </row>
    <row r="75" spans="1:51" x14ac:dyDescent="0.25">
      <c r="T75" s="202"/>
      <c r="V75" s="154"/>
      <c r="Y75" s="252"/>
      <c r="AA75" s="200"/>
      <c r="AB75" s="200"/>
      <c r="AC75" s="300"/>
      <c r="AD75" s="300"/>
      <c r="AE75" s="200"/>
      <c r="AF75" s="200"/>
      <c r="AG75" s="209"/>
      <c r="AH75" s="210"/>
      <c r="AI75" s="200"/>
      <c r="AJ75" s="200"/>
      <c r="AK75" s="209"/>
      <c r="AL75" s="201"/>
      <c r="AM75" s="200"/>
      <c r="AN75" s="200"/>
      <c r="AO75" s="200"/>
      <c r="AP75" s="200"/>
      <c r="AQ75" s="209"/>
    </row>
    <row r="76" spans="1:51" x14ac:dyDescent="0.25">
      <c r="A76" s="202"/>
      <c r="C76" s="154"/>
      <c r="F76" s="252"/>
      <c r="H76" s="252"/>
      <c r="I76" s="252"/>
      <c r="J76" s="300"/>
      <c r="K76" s="300"/>
      <c r="L76" s="200"/>
      <c r="M76" s="200"/>
      <c r="N76" s="210"/>
      <c r="O76" s="210"/>
      <c r="P76" s="202"/>
      <c r="Q76" s="202"/>
      <c r="R76" s="200"/>
      <c r="T76" s="202"/>
      <c r="V76" s="154"/>
      <c r="Y76" s="200"/>
      <c r="AA76" s="200"/>
      <c r="AB76" s="200"/>
      <c r="AC76" s="213"/>
      <c r="AD76" s="213"/>
      <c r="AE76" s="200"/>
      <c r="AF76" s="200"/>
      <c r="AG76" s="209"/>
      <c r="AH76" s="210"/>
      <c r="AI76" s="200"/>
      <c r="AJ76" s="200"/>
      <c r="AK76" s="209"/>
      <c r="AL76" s="201"/>
      <c r="AM76" s="200"/>
      <c r="AN76" s="200"/>
      <c r="AO76" s="200"/>
      <c r="AP76" s="200"/>
      <c r="AQ76" s="209"/>
    </row>
    <row r="77" spans="1:51" x14ac:dyDescent="0.25">
      <c r="A77" s="202"/>
      <c r="C77" s="154"/>
      <c r="F77" s="252"/>
      <c r="H77" s="252"/>
      <c r="I77" s="252"/>
      <c r="J77" s="300"/>
      <c r="K77" s="300"/>
      <c r="L77" s="200"/>
      <c r="M77" s="200"/>
      <c r="N77" s="210"/>
      <c r="O77" s="210"/>
      <c r="P77" s="202"/>
      <c r="Q77" s="202"/>
      <c r="R77" s="200"/>
      <c r="T77" s="202"/>
      <c r="V77" s="154"/>
      <c r="Y77" s="200"/>
      <c r="AA77" s="200"/>
      <c r="AB77" s="200"/>
      <c r="AC77" s="213"/>
      <c r="AD77" s="213"/>
      <c r="AE77" s="200"/>
      <c r="AF77" s="200"/>
      <c r="AG77" s="209"/>
      <c r="AH77" s="210"/>
      <c r="AI77" s="200"/>
      <c r="AJ77" s="200"/>
      <c r="AK77" s="209"/>
      <c r="AL77" s="201"/>
      <c r="AM77" s="200"/>
      <c r="AN77" s="200"/>
      <c r="AO77" s="200"/>
      <c r="AP77" s="200"/>
      <c r="AQ77" s="209"/>
    </row>
    <row r="78" spans="1:51" x14ac:dyDescent="0.25">
      <c r="F78" s="211"/>
      <c r="H78" s="200"/>
      <c r="I78" s="200"/>
      <c r="J78" s="305"/>
      <c r="K78" s="305"/>
      <c r="L78" s="211"/>
      <c r="M78" s="211"/>
      <c r="N78" s="211"/>
      <c r="O78" s="211"/>
      <c r="P78" s="211"/>
      <c r="Q78" s="211"/>
      <c r="R78" s="211"/>
      <c r="T78" s="202"/>
      <c r="V78" s="154"/>
      <c r="Y78" s="200"/>
      <c r="AA78" s="200"/>
      <c r="AB78" s="200"/>
      <c r="AC78" s="304"/>
      <c r="AD78" s="304"/>
      <c r="AE78" s="200"/>
      <c r="AF78" s="200"/>
      <c r="AG78" s="209"/>
      <c r="AH78" s="210"/>
      <c r="AI78" s="200"/>
      <c r="AJ78" s="200"/>
      <c r="AK78" s="209"/>
      <c r="AL78" s="201"/>
      <c r="AM78" s="200"/>
      <c r="AN78" s="200"/>
      <c r="AO78" s="200"/>
      <c r="AP78" s="200"/>
      <c r="AQ78" s="209"/>
    </row>
    <row r="79" spans="1:51" x14ac:dyDescent="0.25">
      <c r="F79" s="211"/>
      <c r="H79" s="200"/>
      <c r="I79" s="200"/>
      <c r="J79" s="305"/>
      <c r="K79" s="305"/>
      <c r="L79" s="211"/>
      <c r="M79" s="211"/>
      <c r="N79" s="211"/>
      <c r="O79" s="211"/>
      <c r="P79" s="211"/>
      <c r="Q79" s="211"/>
      <c r="R79" s="211"/>
    </row>
    <row r="80" spans="1:51" x14ac:dyDescent="0.25">
      <c r="A80" s="202"/>
      <c r="C80" s="154"/>
      <c r="F80" s="252"/>
      <c r="H80" s="252"/>
      <c r="I80" s="252"/>
      <c r="J80" s="328"/>
      <c r="K80" s="328"/>
      <c r="L80" s="200"/>
      <c r="M80" s="200"/>
      <c r="N80" s="210"/>
      <c r="O80" s="210"/>
      <c r="P80" s="200"/>
      <c r="Q80" s="200"/>
      <c r="R80" s="200"/>
      <c r="S80" s="200"/>
      <c r="T80" s="202"/>
      <c r="V80" s="154"/>
      <c r="Y80" s="200"/>
      <c r="AA80" s="200"/>
      <c r="AB80" s="200"/>
      <c r="AC80" s="305"/>
      <c r="AD80" s="305"/>
      <c r="AE80" s="200"/>
      <c r="AF80" s="200"/>
      <c r="AG80" s="209"/>
      <c r="AH80" s="210"/>
      <c r="AI80" s="200"/>
      <c r="AJ80" s="200"/>
      <c r="AK80" s="209"/>
      <c r="AL80" s="210"/>
      <c r="AM80" s="200"/>
      <c r="AN80" s="200"/>
      <c r="AO80" s="200"/>
      <c r="AP80" s="200"/>
      <c r="AQ80" s="209"/>
    </row>
    <row r="81" spans="1:43" x14ac:dyDescent="0.25">
      <c r="A81" s="202"/>
      <c r="C81" s="154"/>
      <c r="F81" s="252"/>
      <c r="H81" s="252"/>
      <c r="I81" s="252"/>
      <c r="J81" s="300"/>
      <c r="K81" s="300"/>
      <c r="L81" s="200"/>
      <c r="M81" s="200"/>
      <c r="N81" s="210"/>
      <c r="O81" s="210"/>
      <c r="P81" s="200"/>
      <c r="Q81" s="200"/>
      <c r="R81" s="200"/>
      <c r="T81" s="202"/>
      <c r="V81" s="154"/>
    </row>
    <row r="82" spans="1:43" x14ac:dyDescent="0.25">
      <c r="F82" s="200"/>
      <c r="H82" s="211"/>
      <c r="I82" s="211"/>
      <c r="J82" s="305"/>
      <c r="K82" s="305"/>
      <c r="L82" s="211"/>
      <c r="M82" s="211"/>
      <c r="N82" s="211"/>
      <c r="O82" s="211"/>
      <c r="P82" s="211"/>
      <c r="Q82" s="211"/>
      <c r="R82" s="211"/>
      <c r="T82" s="202"/>
      <c r="V82" s="154"/>
      <c r="Y82" s="200"/>
      <c r="AA82" s="200"/>
      <c r="AB82" s="200"/>
      <c r="AE82" s="200"/>
      <c r="AF82" s="200"/>
      <c r="AG82" s="209"/>
      <c r="AH82" s="210"/>
      <c r="AI82" s="200"/>
      <c r="AJ82" s="200"/>
      <c r="AK82" s="209"/>
      <c r="AL82" s="210"/>
      <c r="AM82" s="252"/>
      <c r="AN82" s="252"/>
      <c r="AO82" s="200"/>
      <c r="AP82" s="200"/>
      <c r="AQ82" s="209"/>
    </row>
    <row r="83" spans="1:43" x14ac:dyDescent="0.25">
      <c r="F83" s="200"/>
      <c r="H83" s="211"/>
      <c r="I83" s="211"/>
      <c r="J83" s="305"/>
      <c r="K83" s="305"/>
      <c r="L83" s="211"/>
      <c r="M83" s="211"/>
      <c r="N83" s="211"/>
      <c r="O83" s="211"/>
      <c r="P83" s="211"/>
      <c r="Q83" s="211"/>
      <c r="R83" s="211"/>
    </row>
    <row r="84" spans="1:43" x14ac:dyDescent="0.25">
      <c r="A84" s="202"/>
      <c r="C84" s="154"/>
      <c r="F84" s="200"/>
      <c r="H84" s="200"/>
      <c r="I84" s="200"/>
      <c r="J84" s="305"/>
      <c r="K84" s="305"/>
      <c r="L84" s="200"/>
      <c r="M84" s="200"/>
      <c r="N84" s="200"/>
      <c r="O84" s="200"/>
      <c r="P84" s="200"/>
      <c r="Q84" s="200"/>
      <c r="R84" s="200"/>
      <c r="V84" s="154"/>
      <c r="AE84" s="200"/>
      <c r="AF84" s="200"/>
      <c r="AG84" s="209"/>
      <c r="AH84" s="200"/>
      <c r="AM84" s="200"/>
      <c r="AN84" s="200"/>
      <c r="AO84" s="200"/>
      <c r="AP84" s="200"/>
    </row>
    <row r="85" spans="1:43" x14ac:dyDescent="0.25">
      <c r="A85" s="202"/>
      <c r="C85" s="154"/>
      <c r="F85" s="200"/>
      <c r="H85" s="252"/>
      <c r="I85" s="252"/>
      <c r="J85" s="329"/>
      <c r="K85" s="329"/>
      <c r="L85" s="200"/>
      <c r="M85" s="200"/>
      <c r="N85" s="210"/>
      <c r="O85" s="210"/>
      <c r="P85" s="200"/>
      <c r="Q85" s="200"/>
      <c r="R85" s="200"/>
      <c r="T85" s="154"/>
    </row>
    <row r="86" spans="1:43" x14ac:dyDescent="0.25">
      <c r="A86" s="202"/>
      <c r="C86" s="154"/>
      <c r="H86" s="252"/>
      <c r="I86" s="252"/>
      <c r="J86" s="329"/>
      <c r="K86" s="329"/>
      <c r="L86" s="200"/>
      <c r="M86" s="200"/>
      <c r="N86" s="210"/>
      <c r="O86" s="210"/>
      <c r="P86" s="200"/>
      <c r="Q86" s="200"/>
      <c r="R86" s="200"/>
      <c r="T86" s="154"/>
      <c r="V86" s="252"/>
      <c r="Y86" s="252"/>
      <c r="Z86" s="328"/>
      <c r="AA86" s="200"/>
      <c r="AB86" s="200"/>
      <c r="AC86" s="210"/>
      <c r="AD86" s="210"/>
      <c r="AE86" s="200"/>
      <c r="AF86" s="200"/>
      <c r="AG86" s="209"/>
      <c r="AH86" s="210"/>
      <c r="AI86" s="200"/>
      <c r="AJ86" s="200"/>
      <c r="AK86" s="209"/>
      <c r="AL86" s="200"/>
      <c r="AM86" s="210"/>
      <c r="AN86" s="210"/>
    </row>
    <row r="87" spans="1:43" x14ac:dyDescent="0.25">
      <c r="F87" s="200"/>
      <c r="H87" s="200"/>
      <c r="I87" s="200"/>
      <c r="J87" s="305"/>
      <c r="K87" s="305"/>
      <c r="L87" s="211"/>
      <c r="M87" s="211"/>
      <c r="N87" s="211"/>
      <c r="O87" s="211"/>
      <c r="P87" s="211"/>
      <c r="Q87" s="211"/>
      <c r="R87" s="211"/>
      <c r="T87" s="154"/>
      <c r="V87" s="252"/>
      <c r="Y87" s="200"/>
      <c r="Z87" s="300"/>
      <c r="AA87" s="200"/>
      <c r="AB87" s="200"/>
      <c r="AC87" s="210"/>
      <c r="AD87" s="210"/>
      <c r="AE87" s="200"/>
      <c r="AF87" s="200"/>
      <c r="AG87" s="209"/>
      <c r="AH87" s="201"/>
      <c r="AI87" s="200"/>
      <c r="AJ87" s="200"/>
      <c r="AK87" s="209"/>
      <c r="AL87" s="200"/>
      <c r="AM87" s="210"/>
      <c r="AN87" s="210"/>
    </row>
    <row r="88" spans="1:43" x14ac:dyDescent="0.25">
      <c r="A88" s="202"/>
      <c r="C88" s="154"/>
      <c r="F88" s="200"/>
      <c r="H88" s="200"/>
      <c r="I88" s="200"/>
      <c r="J88" s="213"/>
      <c r="K88" s="213"/>
      <c r="L88" s="200"/>
      <c r="M88" s="200"/>
      <c r="N88" s="210"/>
      <c r="O88" s="210"/>
      <c r="P88" s="200"/>
      <c r="Q88" s="200"/>
      <c r="R88" s="200"/>
      <c r="T88" s="154"/>
      <c r="V88" s="252"/>
      <c r="Y88" s="200"/>
      <c r="Z88" s="300"/>
      <c r="AA88" s="200"/>
      <c r="AB88" s="200"/>
      <c r="AC88" s="210"/>
      <c r="AD88" s="210"/>
      <c r="AE88" s="200"/>
      <c r="AF88" s="200"/>
      <c r="AG88" s="209"/>
      <c r="AH88" s="201"/>
      <c r="AI88" s="200"/>
      <c r="AJ88" s="200"/>
      <c r="AK88" s="209"/>
      <c r="AL88" s="200"/>
      <c r="AM88" s="210"/>
      <c r="AN88" s="210"/>
    </row>
    <row r="89" spans="1:43" x14ac:dyDescent="0.25">
      <c r="F89" s="200"/>
      <c r="H89" s="200"/>
      <c r="I89" s="200"/>
      <c r="J89" s="305"/>
      <c r="K89" s="305"/>
      <c r="L89" s="211"/>
      <c r="M89" s="211"/>
      <c r="N89" s="211"/>
      <c r="O89" s="211"/>
      <c r="P89" s="211"/>
      <c r="Q89" s="211"/>
      <c r="R89" s="211"/>
      <c r="V89" s="200"/>
      <c r="Y89" s="211"/>
      <c r="Z89" s="305"/>
      <c r="AA89" s="211"/>
      <c r="AB89" s="211"/>
      <c r="AC89" s="211"/>
      <c r="AD89" s="211"/>
      <c r="AE89" s="211"/>
      <c r="AF89" s="211"/>
      <c r="AI89" s="211"/>
      <c r="AJ89" s="211"/>
      <c r="AK89" s="212"/>
      <c r="AL89" s="211"/>
      <c r="AM89" s="210"/>
      <c r="AN89" s="210"/>
    </row>
    <row r="90" spans="1:43" x14ac:dyDescent="0.25">
      <c r="A90" s="202"/>
      <c r="C90" s="154"/>
      <c r="F90" s="200"/>
      <c r="H90" s="200"/>
      <c r="I90" s="200"/>
      <c r="J90" s="213"/>
      <c r="K90" s="213"/>
      <c r="L90" s="200"/>
      <c r="M90" s="200"/>
      <c r="N90" s="210"/>
      <c r="O90" s="210"/>
      <c r="P90" s="200"/>
      <c r="Q90" s="200"/>
      <c r="R90" s="200"/>
      <c r="T90" s="154"/>
      <c r="V90" s="200"/>
      <c r="Y90" s="200"/>
      <c r="Z90" s="305"/>
      <c r="AA90" s="200"/>
      <c r="AB90" s="200"/>
      <c r="AC90" s="210"/>
      <c r="AD90" s="210"/>
      <c r="AE90" s="200"/>
      <c r="AF90" s="200"/>
      <c r="AG90" s="209"/>
      <c r="AH90" s="201"/>
      <c r="AI90" s="200"/>
      <c r="AJ90" s="200"/>
      <c r="AK90" s="209"/>
      <c r="AL90" s="200"/>
      <c r="AM90" s="210"/>
      <c r="AN90" s="210"/>
    </row>
    <row r="91" spans="1:43" x14ac:dyDescent="0.25">
      <c r="A91" s="202"/>
      <c r="C91" s="154"/>
      <c r="F91" s="252"/>
      <c r="H91" s="252"/>
      <c r="I91" s="252"/>
      <c r="J91" s="320"/>
      <c r="K91" s="320"/>
      <c r="L91" s="200"/>
      <c r="M91" s="200"/>
      <c r="N91" s="210"/>
      <c r="O91" s="210"/>
      <c r="P91" s="200"/>
      <c r="Q91" s="200"/>
      <c r="R91" s="200"/>
      <c r="V91" s="200"/>
      <c r="Y91" s="211"/>
      <c r="Z91" s="305"/>
      <c r="AA91" s="211"/>
      <c r="AB91" s="211"/>
      <c r="AC91" s="211"/>
      <c r="AD91" s="211"/>
      <c r="AE91" s="211"/>
      <c r="AF91" s="211"/>
      <c r="AI91" s="211"/>
      <c r="AJ91" s="211"/>
      <c r="AK91" s="212"/>
      <c r="AL91" s="211"/>
      <c r="AM91" s="210"/>
      <c r="AN91" s="210"/>
    </row>
    <row r="92" spans="1:43" x14ac:dyDescent="0.25">
      <c r="F92" s="211"/>
      <c r="H92" s="211"/>
      <c r="I92" s="211"/>
      <c r="J92" s="305"/>
      <c r="K92" s="305"/>
      <c r="L92" s="211"/>
      <c r="M92" s="211"/>
      <c r="N92" s="211"/>
      <c r="O92" s="211"/>
      <c r="P92" s="211"/>
      <c r="Q92" s="211"/>
      <c r="R92" s="211"/>
      <c r="T92" s="154"/>
      <c r="V92" s="200"/>
      <c r="Y92" s="200"/>
      <c r="Z92" s="305"/>
      <c r="AA92" s="200"/>
      <c r="AB92" s="200"/>
      <c r="AC92" s="200"/>
      <c r="AD92" s="200"/>
      <c r="AE92" s="200"/>
      <c r="AF92" s="200"/>
      <c r="AG92" s="209"/>
      <c r="AH92" s="201"/>
      <c r="AI92" s="200"/>
      <c r="AJ92" s="200"/>
      <c r="AK92" s="209"/>
      <c r="AL92" s="200"/>
      <c r="AM92" s="210"/>
      <c r="AN92" s="210"/>
    </row>
    <row r="93" spans="1:43" x14ac:dyDescent="0.25">
      <c r="A93" s="202"/>
      <c r="C93" s="154"/>
      <c r="F93" s="200"/>
      <c r="H93" s="200"/>
      <c r="I93" s="200"/>
      <c r="J93" s="305"/>
      <c r="K93" s="305"/>
      <c r="L93" s="200"/>
      <c r="M93" s="200"/>
      <c r="N93" s="210"/>
      <c r="O93" s="210"/>
      <c r="P93" s="200"/>
      <c r="Q93" s="200"/>
      <c r="R93" s="200"/>
      <c r="S93" s="200"/>
      <c r="T93" s="154"/>
      <c r="V93" s="200"/>
      <c r="Y93" s="200"/>
      <c r="Z93" s="329"/>
      <c r="AA93" s="200"/>
      <c r="AB93" s="200"/>
      <c r="AC93" s="210"/>
      <c r="AD93" s="210"/>
      <c r="AE93" s="200"/>
      <c r="AF93" s="200"/>
      <c r="AG93" s="209"/>
      <c r="AH93" s="201"/>
      <c r="AI93" s="200"/>
      <c r="AJ93" s="200"/>
      <c r="AK93" s="209"/>
      <c r="AL93" s="200"/>
      <c r="AM93" s="210"/>
      <c r="AN93" s="210"/>
    </row>
    <row r="94" spans="1:43" x14ac:dyDescent="0.25">
      <c r="F94" s="211"/>
      <c r="H94" s="211"/>
      <c r="I94" s="211"/>
      <c r="J94" s="305"/>
      <c r="K94" s="305"/>
      <c r="L94" s="211"/>
      <c r="M94" s="211"/>
      <c r="N94" s="211"/>
      <c r="O94" s="211"/>
      <c r="P94" s="211"/>
      <c r="Q94" s="211"/>
      <c r="R94" s="211"/>
      <c r="S94" s="200"/>
      <c r="T94" s="154"/>
      <c r="Y94" s="200"/>
      <c r="Z94" s="329"/>
      <c r="AA94" s="200"/>
      <c r="AB94" s="200"/>
      <c r="AC94" s="210"/>
      <c r="AD94" s="210"/>
      <c r="AE94" s="200"/>
      <c r="AF94" s="200"/>
      <c r="AG94" s="209"/>
      <c r="AH94" s="201"/>
      <c r="AI94" s="200"/>
      <c r="AJ94" s="200"/>
      <c r="AK94" s="209"/>
      <c r="AL94" s="200"/>
      <c r="AM94" s="210"/>
      <c r="AN94" s="210"/>
    </row>
    <row r="95" spans="1:43" x14ac:dyDescent="0.25">
      <c r="A95" s="202"/>
      <c r="C95" s="154"/>
      <c r="V95" s="200"/>
      <c r="Y95" s="200"/>
      <c r="Z95" s="305"/>
      <c r="AA95" s="211"/>
      <c r="AB95" s="211"/>
      <c r="AC95" s="211"/>
      <c r="AD95" s="211"/>
      <c r="AE95" s="211"/>
      <c r="AF95" s="211"/>
      <c r="AI95" s="211"/>
      <c r="AJ95" s="211"/>
      <c r="AK95" s="212"/>
      <c r="AL95" s="211"/>
      <c r="AM95" s="210"/>
      <c r="AN95" s="210"/>
    </row>
    <row r="96" spans="1:43" x14ac:dyDescent="0.25">
      <c r="A96" s="202"/>
      <c r="C96" s="154"/>
      <c r="F96" s="200"/>
      <c r="H96" s="200"/>
      <c r="I96" s="200"/>
      <c r="L96" s="200"/>
      <c r="M96" s="200"/>
      <c r="N96" s="210"/>
      <c r="O96" s="210"/>
      <c r="P96" s="252"/>
      <c r="Q96" s="252"/>
      <c r="R96" s="200"/>
      <c r="T96" s="154"/>
      <c r="V96" s="200"/>
      <c r="Y96" s="200"/>
      <c r="Z96" s="213"/>
      <c r="AA96" s="200"/>
      <c r="AB96" s="200"/>
      <c r="AC96" s="210"/>
      <c r="AD96" s="210"/>
      <c r="AE96" s="200"/>
      <c r="AF96" s="200"/>
      <c r="AG96" s="209"/>
      <c r="AH96" s="201"/>
      <c r="AI96" s="200"/>
      <c r="AJ96" s="200"/>
      <c r="AK96" s="209"/>
      <c r="AL96" s="200"/>
      <c r="AM96" s="210"/>
      <c r="AN96" s="210"/>
    </row>
    <row r="97" spans="1:40" x14ac:dyDescent="0.25">
      <c r="F97" s="211"/>
      <c r="H97" s="211"/>
      <c r="I97" s="211"/>
      <c r="J97" s="305"/>
      <c r="K97" s="305"/>
      <c r="L97" s="211"/>
      <c r="M97" s="211"/>
      <c r="N97" s="211"/>
      <c r="O97" s="211"/>
      <c r="P97" s="211"/>
      <c r="Q97" s="211"/>
      <c r="R97" s="211"/>
      <c r="V97" s="200"/>
      <c r="Y97" s="200"/>
      <c r="Z97" s="305"/>
      <c r="AA97" s="211"/>
      <c r="AB97" s="211"/>
      <c r="AC97" s="211"/>
      <c r="AD97" s="211"/>
      <c r="AE97" s="211"/>
      <c r="AF97" s="211"/>
      <c r="AI97" s="211"/>
      <c r="AJ97" s="211"/>
      <c r="AK97" s="212"/>
      <c r="AL97" s="211"/>
      <c r="AM97" s="210"/>
      <c r="AN97" s="210"/>
    </row>
    <row r="98" spans="1:40" x14ac:dyDescent="0.25">
      <c r="T98" s="154"/>
      <c r="V98" s="200"/>
      <c r="Y98" s="200"/>
      <c r="Z98" s="213"/>
      <c r="AA98" s="200"/>
      <c r="AB98" s="200"/>
      <c r="AC98" s="210"/>
      <c r="AD98" s="210"/>
      <c r="AE98" s="200"/>
      <c r="AF98" s="200"/>
      <c r="AG98" s="209"/>
      <c r="AH98" s="201"/>
      <c r="AI98" s="200"/>
      <c r="AJ98" s="200"/>
      <c r="AK98" s="209"/>
      <c r="AL98" s="200"/>
      <c r="AM98" s="210"/>
      <c r="AN98" s="210"/>
    </row>
    <row r="99" spans="1:40" x14ac:dyDescent="0.25">
      <c r="C99" s="154"/>
      <c r="L99" s="200"/>
      <c r="M99" s="200"/>
      <c r="N99" s="200"/>
      <c r="O99" s="200"/>
      <c r="P99" s="200"/>
      <c r="Q99" s="200"/>
      <c r="R99" s="200"/>
      <c r="S99" s="200"/>
      <c r="T99" s="154"/>
      <c r="V99" s="252"/>
      <c r="Y99" s="200"/>
      <c r="Z99" s="320"/>
      <c r="AA99" s="200"/>
      <c r="AB99" s="200"/>
      <c r="AC99" s="210"/>
      <c r="AD99" s="210"/>
      <c r="AE99" s="200"/>
      <c r="AF99" s="200"/>
      <c r="AG99" s="209"/>
      <c r="AH99" s="201"/>
      <c r="AI99" s="200"/>
      <c r="AJ99" s="200"/>
      <c r="AK99" s="209"/>
      <c r="AL99" s="200"/>
      <c r="AM99" s="210"/>
      <c r="AN99" s="210"/>
    </row>
    <row r="100" spans="1:40" x14ac:dyDescent="0.25">
      <c r="A100" s="154"/>
      <c r="V100" s="211"/>
      <c r="Y100" s="211"/>
      <c r="Z100" s="305"/>
      <c r="AA100" s="211"/>
      <c r="AB100" s="211"/>
      <c r="AC100" s="211"/>
      <c r="AD100" s="211"/>
      <c r="AE100" s="211"/>
      <c r="AF100" s="211"/>
      <c r="AI100" s="211"/>
      <c r="AJ100" s="211"/>
      <c r="AK100" s="212"/>
      <c r="AL100" s="211"/>
      <c r="AM100" s="210"/>
      <c r="AN100" s="210"/>
    </row>
    <row r="101" spans="1:40" x14ac:dyDescent="0.25">
      <c r="J101" s="202"/>
      <c r="K101" s="202"/>
      <c r="T101" s="154"/>
      <c r="V101" s="200"/>
      <c r="Y101" s="200"/>
      <c r="Z101" s="305"/>
      <c r="AA101" s="200"/>
      <c r="AB101" s="200"/>
      <c r="AC101" s="210"/>
      <c r="AD101" s="210"/>
      <c r="AE101" s="200"/>
      <c r="AF101" s="200"/>
      <c r="AG101" s="209"/>
      <c r="AH101" s="210"/>
      <c r="AI101" s="200"/>
      <c r="AJ101" s="200"/>
      <c r="AK101" s="209"/>
      <c r="AL101" s="200"/>
      <c r="AM101" s="210"/>
      <c r="AN101" s="210"/>
    </row>
    <row r="102" spans="1:40" x14ac:dyDescent="0.25">
      <c r="H102" s="154"/>
      <c r="I102" s="154"/>
      <c r="V102" s="211"/>
      <c r="Y102" s="211"/>
      <c r="Z102" s="305"/>
      <c r="AA102" s="211"/>
      <c r="AB102" s="211"/>
      <c r="AC102" s="211"/>
      <c r="AD102" s="211"/>
      <c r="AE102" s="211"/>
      <c r="AF102" s="211"/>
      <c r="AI102" s="211"/>
      <c r="AJ102" s="211"/>
      <c r="AK102" s="212"/>
      <c r="AL102" s="211"/>
      <c r="AM102" s="210"/>
      <c r="AN102" s="210"/>
    </row>
    <row r="103" spans="1:40" x14ac:dyDescent="0.25">
      <c r="J103" s="202"/>
      <c r="K103" s="202"/>
      <c r="T103" s="154"/>
    </row>
    <row r="104" spans="1:40" x14ac:dyDescent="0.25">
      <c r="L104" s="154"/>
      <c r="M104" s="154"/>
      <c r="AA104" s="154"/>
      <c r="AB104" s="154"/>
    </row>
    <row r="105" spans="1:40" x14ac:dyDescent="0.25">
      <c r="A105" s="202"/>
      <c r="R105" s="154"/>
      <c r="AK105" s="297"/>
      <c r="AL105" s="154"/>
    </row>
    <row r="106" spans="1:40" x14ac:dyDescent="0.25">
      <c r="A106" s="202"/>
      <c r="R106" s="154"/>
      <c r="AK106" s="297"/>
      <c r="AL106" s="154"/>
    </row>
    <row r="107" spans="1:40" x14ac:dyDescent="0.25">
      <c r="A107" s="154"/>
      <c r="R107" s="154"/>
      <c r="AK107" s="297"/>
      <c r="AL107" s="154"/>
    </row>
    <row r="108" spans="1:40" x14ac:dyDescent="0.25">
      <c r="L108" s="154"/>
      <c r="M108" s="154"/>
      <c r="R108" s="202"/>
      <c r="AA108" s="154"/>
      <c r="AB108" s="154"/>
      <c r="AK108" s="209"/>
      <c r="AL108" s="202"/>
    </row>
    <row r="109" spans="1:40" x14ac:dyDescent="0.2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208"/>
      <c r="AH109" s="102"/>
      <c r="AI109" s="102"/>
      <c r="AJ109" s="102"/>
      <c r="AK109" s="208"/>
      <c r="AL109" s="102"/>
      <c r="AM109" s="102"/>
      <c r="AN109" s="102"/>
    </row>
    <row r="110" spans="1:40" x14ac:dyDescent="0.25">
      <c r="L110" s="103"/>
      <c r="M110" s="103"/>
      <c r="N110" s="103"/>
      <c r="O110" s="103"/>
      <c r="R110" s="103"/>
      <c r="AA110" s="103"/>
      <c r="AB110" s="103"/>
      <c r="AC110" s="103"/>
      <c r="AD110" s="103"/>
      <c r="AE110" s="103"/>
      <c r="AF110" s="103"/>
      <c r="AG110" s="185"/>
      <c r="AH110" s="103"/>
      <c r="AK110" s="185"/>
      <c r="AL110" s="103"/>
      <c r="AM110" s="103"/>
      <c r="AN110" s="103"/>
    </row>
    <row r="111" spans="1:40" x14ac:dyDescent="0.25">
      <c r="L111" s="103"/>
      <c r="M111" s="103"/>
      <c r="N111" s="103"/>
      <c r="O111" s="103"/>
      <c r="R111" s="103"/>
      <c r="Z111" s="103"/>
      <c r="AA111" s="103"/>
      <c r="AB111" s="103"/>
      <c r="AC111" s="103"/>
      <c r="AD111" s="103"/>
      <c r="AE111" s="103"/>
      <c r="AF111" s="103"/>
      <c r="AG111" s="185"/>
      <c r="AH111" s="103"/>
      <c r="AK111" s="185"/>
      <c r="AL111" s="103"/>
      <c r="AM111" s="103"/>
      <c r="AN111" s="103"/>
    </row>
    <row r="112" spans="1:40" x14ac:dyDescent="0.25">
      <c r="A112" s="103"/>
      <c r="C112" s="103"/>
      <c r="D112" s="103"/>
      <c r="E112" s="103"/>
      <c r="F112" s="103"/>
      <c r="J112" s="103"/>
      <c r="K112" s="103"/>
      <c r="L112" s="103"/>
      <c r="M112" s="103"/>
      <c r="N112" s="103"/>
      <c r="O112" s="103"/>
      <c r="P112" s="103"/>
      <c r="Q112" s="103"/>
      <c r="R112" s="103"/>
      <c r="T112" s="103"/>
      <c r="U112" s="103"/>
      <c r="V112" s="103"/>
      <c r="Z112" s="103"/>
      <c r="AA112" s="103"/>
      <c r="AB112" s="103"/>
      <c r="AC112" s="103"/>
      <c r="AD112" s="103"/>
      <c r="AE112" s="103"/>
      <c r="AF112" s="103"/>
      <c r="AG112" s="185"/>
      <c r="AH112" s="103"/>
      <c r="AI112" s="103"/>
      <c r="AJ112" s="103"/>
      <c r="AK112" s="185"/>
      <c r="AL112" s="103"/>
      <c r="AM112" s="103"/>
      <c r="AN112" s="103"/>
    </row>
    <row r="113" spans="1:40" x14ac:dyDescent="0.25">
      <c r="A113" s="103"/>
      <c r="C113" s="103"/>
      <c r="D113" s="103"/>
      <c r="E113" s="103"/>
      <c r="F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T113" s="103"/>
      <c r="U113" s="103"/>
      <c r="V113" s="103"/>
      <c r="Y113" s="103"/>
      <c r="Z113" s="103"/>
      <c r="AA113" s="103"/>
      <c r="AB113" s="103"/>
      <c r="AC113" s="103"/>
      <c r="AD113" s="103"/>
      <c r="AE113" s="103"/>
      <c r="AF113" s="103"/>
      <c r="AG113" s="185"/>
      <c r="AH113" s="103"/>
      <c r="AI113" s="103"/>
      <c r="AJ113" s="103"/>
      <c r="AK113" s="185"/>
      <c r="AL113" s="103"/>
      <c r="AM113" s="103"/>
      <c r="AN113" s="103"/>
    </row>
    <row r="114" spans="1:40" x14ac:dyDescent="0.25">
      <c r="C114" s="103"/>
      <c r="D114" s="103"/>
      <c r="E114" s="103"/>
      <c r="F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T114" s="103"/>
      <c r="U114" s="103"/>
      <c r="V114" s="103"/>
      <c r="Y114" s="103"/>
      <c r="Z114" s="103"/>
      <c r="AA114" s="103"/>
      <c r="AB114" s="103"/>
      <c r="AC114" s="103"/>
      <c r="AD114" s="103"/>
      <c r="AE114" s="103"/>
      <c r="AF114" s="103"/>
      <c r="AG114" s="185"/>
      <c r="AH114" s="103"/>
      <c r="AI114" s="103"/>
      <c r="AJ114" s="103"/>
      <c r="AK114" s="185"/>
      <c r="AL114" s="103"/>
      <c r="AM114" s="103"/>
      <c r="AN114" s="103"/>
    </row>
    <row r="115" spans="1:40" x14ac:dyDescent="0.2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208"/>
      <c r="AH115" s="102"/>
      <c r="AI115" s="102"/>
      <c r="AJ115" s="102"/>
      <c r="AK115" s="208"/>
      <c r="AL115" s="102"/>
      <c r="AM115" s="102"/>
      <c r="AN115" s="102"/>
    </row>
    <row r="116" spans="1:40" x14ac:dyDescent="0.25"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Y116" s="103"/>
      <c r="Z116" s="103"/>
      <c r="AA116" s="103"/>
      <c r="AB116" s="103"/>
      <c r="AC116" s="103"/>
      <c r="AD116" s="103"/>
      <c r="AE116" s="103"/>
      <c r="AF116" s="103"/>
      <c r="AG116" s="185"/>
      <c r="AH116" s="103"/>
      <c r="AI116" s="103"/>
      <c r="AJ116" s="103"/>
      <c r="AK116" s="185"/>
      <c r="AL116" s="103"/>
      <c r="AM116" s="103"/>
      <c r="AN116" s="103"/>
    </row>
    <row r="117" spans="1:40" x14ac:dyDescent="0.25">
      <c r="A117" s="202"/>
      <c r="C117" s="154"/>
      <c r="D117" s="154"/>
      <c r="E117" s="154"/>
      <c r="T117" s="154"/>
      <c r="U117" s="154"/>
    </row>
    <row r="118" spans="1:40" x14ac:dyDescent="0.25">
      <c r="A118" s="202"/>
      <c r="D118" s="154"/>
      <c r="E118" s="154"/>
      <c r="U118" s="154"/>
    </row>
    <row r="120" spans="1:40" x14ac:dyDescent="0.25">
      <c r="A120" s="202"/>
      <c r="C120" s="154"/>
      <c r="F120" s="252"/>
      <c r="H120" s="252"/>
      <c r="I120" s="252"/>
      <c r="J120" s="300"/>
      <c r="K120" s="300"/>
      <c r="L120" s="200"/>
      <c r="M120" s="200"/>
      <c r="N120" s="210"/>
      <c r="O120" s="210"/>
      <c r="R120" s="200"/>
      <c r="T120" s="154"/>
      <c r="V120" s="200"/>
      <c r="Y120" s="252"/>
      <c r="Z120" s="300"/>
      <c r="AA120" s="200"/>
      <c r="AB120" s="200"/>
      <c r="AC120" s="210"/>
      <c r="AD120" s="210"/>
      <c r="AE120" s="200"/>
      <c r="AF120" s="200"/>
      <c r="AG120" s="325"/>
      <c r="AH120" s="326"/>
      <c r="AK120" s="209"/>
      <c r="AL120" s="200"/>
      <c r="AM120" s="327"/>
      <c r="AN120" s="327"/>
    </row>
    <row r="121" spans="1:40" x14ac:dyDescent="0.25">
      <c r="A121" s="202"/>
      <c r="C121" s="154"/>
      <c r="F121" s="252"/>
      <c r="H121" s="252"/>
      <c r="I121" s="252"/>
      <c r="J121" s="300"/>
      <c r="K121" s="300"/>
      <c r="L121" s="200"/>
      <c r="M121" s="200"/>
      <c r="N121" s="210"/>
      <c r="O121" s="210"/>
      <c r="P121" s="202"/>
      <c r="Q121" s="202"/>
      <c r="R121" s="200"/>
      <c r="T121" s="154"/>
      <c r="V121" s="200"/>
      <c r="Y121" s="252"/>
      <c r="Z121" s="300"/>
      <c r="AA121" s="200"/>
      <c r="AB121" s="200"/>
      <c r="AC121" s="210"/>
      <c r="AD121" s="210"/>
      <c r="AE121" s="200"/>
      <c r="AF121" s="200"/>
      <c r="AG121" s="209"/>
      <c r="AH121" s="201"/>
      <c r="AI121" s="202"/>
      <c r="AJ121" s="202"/>
      <c r="AK121" s="209"/>
      <c r="AL121" s="200"/>
      <c r="AM121" s="210"/>
      <c r="AN121" s="210"/>
    </row>
    <row r="122" spans="1:40" x14ac:dyDescent="0.25">
      <c r="F122" s="211"/>
      <c r="H122" s="200"/>
      <c r="I122" s="200"/>
      <c r="J122" s="305"/>
      <c r="K122" s="305"/>
      <c r="L122" s="211"/>
      <c r="M122" s="211"/>
      <c r="N122" s="211"/>
      <c r="O122" s="211"/>
      <c r="P122" s="211"/>
      <c r="Q122" s="211"/>
      <c r="R122" s="211"/>
      <c r="V122" s="211"/>
      <c r="Y122" s="200"/>
      <c r="Z122" s="305"/>
      <c r="AA122" s="211"/>
      <c r="AB122" s="211"/>
      <c r="AC122" s="211"/>
      <c r="AD122" s="211"/>
      <c r="AE122" s="211"/>
      <c r="AF122" s="211"/>
      <c r="AI122" s="211"/>
      <c r="AJ122" s="211"/>
      <c r="AK122" s="212"/>
      <c r="AL122" s="211"/>
      <c r="AM122" s="210"/>
      <c r="AN122" s="210"/>
    </row>
    <row r="123" spans="1:40" x14ac:dyDescent="0.25">
      <c r="A123" s="202"/>
      <c r="C123" s="154"/>
      <c r="F123" s="200"/>
      <c r="H123" s="200"/>
      <c r="I123" s="200"/>
      <c r="J123" s="305"/>
      <c r="K123" s="305"/>
      <c r="L123" s="200"/>
      <c r="M123" s="200"/>
      <c r="N123" s="210"/>
      <c r="O123" s="210"/>
      <c r="P123" s="200"/>
      <c r="Q123" s="200"/>
      <c r="R123" s="200"/>
      <c r="T123" s="154"/>
      <c r="V123" s="200"/>
      <c r="Y123" s="200"/>
      <c r="Z123" s="213"/>
      <c r="AA123" s="200"/>
      <c r="AB123" s="200"/>
      <c r="AC123" s="210"/>
      <c r="AD123" s="210"/>
      <c r="AE123" s="200"/>
      <c r="AF123" s="200"/>
      <c r="AG123" s="209"/>
      <c r="AH123" s="201"/>
      <c r="AI123" s="200"/>
      <c r="AJ123" s="200"/>
      <c r="AK123" s="209"/>
      <c r="AL123" s="200"/>
      <c r="AM123" s="210"/>
      <c r="AN123" s="210"/>
    </row>
    <row r="124" spans="1:40" x14ac:dyDescent="0.25">
      <c r="F124" s="211"/>
      <c r="H124" s="200"/>
      <c r="I124" s="200"/>
      <c r="J124" s="305"/>
      <c r="K124" s="305"/>
      <c r="L124" s="211"/>
      <c r="M124" s="211"/>
      <c r="N124" s="211"/>
      <c r="O124" s="211"/>
      <c r="P124" s="211"/>
      <c r="Q124" s="211"/>
      <c r="R124" s="211"/>
      <c r="V124" s="211"/>
      <c r="Y124" s="200"/>
      <c r="Z124" s="305"/>
      <c r="AA124" s="211"/>
      <c r="AB124" s="211"/>
      <c r="AC124" s="211"/>
      <c r="AD124" s="211"/>
      <c r="AE124" s="211"/>
      <c r="AF124" s="211"/>
      <c r="AI124" s="211"/>
      <c r="AJ124" s="211"/>
      <c r="AK124" s="212"/>
      <c r="AL124" s="211"/>
      <c r="AM124" s="210"/>
      <c r="AN124" s="210"/>
    </row>
    <row r="125" spans="1:40" x14ac:dyDescent="0.25">
      <c r="F125" s="200"/>
      <c r="H125" s="200"/>
      <c r="I125" s="200"/>
      <c r="J125" s="305"/>
      <c r="K125" s="305"/>
      <c r="L125" s="200"/>
      <c r="M125" s="200"/>
      <c r="N125" s="210"/>
      <c r="O125" s="210"/>
      <c r="P125" s="200"/>
      <c r="Q125" s="200"/>
      <c r="R125" s="200"/>
      <c r="V125" s="200"/>
      <c r="Y125" s="200"/>
      <c r="Z125" s="213"/>
      <c r="AA125" s="200"/>
      <c r="AB125" s="200"/>
      <c r="AC125" s="210"/>
      <c r="AD125" s="210"/>
      <c r="AE125" s="200"/>
      <c r="AF125" s="200"/>
      <c r="AG125" s="209"/>
      <c r="AH125" s="201"/>
      <c r="AI125" s="200"/>
      <c r="AJ125" s="200"/>
      <c r="AK125" s="209"/>
      <c r="AL125" s="200"/>
      <c r="AM125" s="210"/>
      <c r="AN125" s="210"/>
    </row>
    <row r="126" spans="1:40" x14ac:dyDescent="0.25">
      <c r="A126" s="202"/>
      <c r="C126" s="154"/>
      <c r="F126" s="252"/>
      <c r="H126" s="252"/>
      <c r="I126" s="252"/>
      <c r="J126" s="300"/>
      <c r="K126" s="300"/>
      <c r="L126" s="200"/>
      <c r="M126" s="200"/>
      <c r="N126" s="210"/>
      <c r="O126" s="210"/>
      <c r="P126" s="200"/>
      <c r="Q126" s="200"/>
      <c r="R126" s="200"/>
      <c r="T126" s="154"/>
      <c r="V126" s="252"/>
      <c r="Y126" s="200"/>
      <c r="Z126" s="300"/>
      <c r="AA126" s="200"/>
      <c r="AB126" s="200"/>
      <c r="AC126" s="210"/>
      <c r="AD126" s="210"/>
      <c r="AE126" s="200"/>
      <c r="AF126" s="200"/>
      <c r="AG126" s="325"/>
      <c r="AH126" s="326"/>
      <c r="AI126" s="200"/>
      <c r="AJ126" s="200"/>
      <c r="AK126" s="209"/>
      <c r="AL126" s="200"/>
      <c r="AM126" s="327"/>
      <c r="AN126" s="327"/>
    </row>
    <row r="127" spans="1:40" x14ac:dyDescent="0.25">
      <c r="A127" s="202"/>
      <c r="C127" s="154"/>
      <c r="F127" s="252"/>
      <c r="H127" s="252"/>
      <c r="I127" s="252"/>
      <c r="J127" s="300"/>
      <c r="K127" s="300"/>
      <c r="L127" s="200"/>
      <c r="M127" s="200"/>
      <c r="N127" s="210"/>
      <c r="O127" s="210"/>
      <c r="P127" s="200"/>
      <c r="Q127" s="200"/>
      <c r="R127" s="200"/>
      <c r="T127" s="154"/>
      <c r="V127" s="252"/>
      <c r="Y127" s="200"/>
      <c r="Z127" s="300"/>
      <c r="AA127" s="200"/>
      <c r="AB127" s="200"/>
      <c r="AC127" s="210"/>
      <c r="AD127" s="210"/>
      <c r="AE127" s="200"/>
      <c r="AF127" s="200"/>
      <c r="AG127" s="209"/>
      <c r="AH127" s="201"/>
      <c r="AI127" s="200"/>
      <c r="AJ127" s="200"/>
      <c r="AK127" s="209"/>
      <c r="AL127" s="200"/>
      <c r="AM127" s="210"/>
      <c r="AN127" s="210"/>
    </row>
    <row r="128" spans="1:40" x14ac:dyDescent="0.25">
      <c r="F128" s="200"/>
      <c r="H128" s="211"/>
      <c r="I128" s="211"/>
      <c r="J128" s="305"/>
      <c r="K128" s="305"/>
      <c r="L128" s="211"/>
      <c r="M128" s="211"/>
      <c r="N128" s="211"/>
      <c r="O128" s="211"/>
      <c r="P128" s="211"/>
      <c r="Q128" s="211"/>
      <c r="R128" s="211"/>
      <c r="V128" s="200"/>
      <c r="Y128" s="211"/>
      <c r="Z128" s="305"/>
      <c r="AA128" s="211"/>
      <c r="AB128" s="211"/>
      <c r="AC128" s="211"/>
      <c r="AD128" s="211"/>
      <c r="AE128" s="211"/>
      <c r="AF128" s="211"/>
      <c r="AI128" s="211"/>
      <c r="AJ128" s="211"/>
      <c r="AK128" s="212"/>
      <c r="AL128" s="211"/>
      <c r="AM128" s="210"/>
      <c r="AN128" s="210"/>
    </row>
    <row r="129" spans="1:40" x14ac:dyDescent="0.25">
      <c r="A129" s="202"/>
      <c r="C129" s="154"/>
      <c r="F129" s="200"/>
      <c r="H129" s="200"/>
      <c r="I129" s="200"/>
      <c r="J129" s="305"/>
      <c r="K129" s="305"/>
      <c r="L129" s="200"/>
      <c r="M129" s="200"/>
      <c r="N129" s="210"/>
      <c r="O129" s="210"/>
      <c r="P129" s="200"/>
      <c r="Q129" s="200"/>
      <c r="R129" s="200"/>
      <c r="T129" s="154"/>
      <c r="V129" s="200"/>
      <c r="Y129" s="200"/>
      <c r="Z129" s="305"/>
      <c r="AA129" s="200"/>
      <c r="AB129" s="200"/>
      <c r="AC129" s="210"/>
      <c r="AD129" s="210"/>
      <c r="AE129" s="200"/>
      <c r="AF129" s="200"/>
      <c r="AG129" s="209"/>
      <c r="AH129" s="201"/>
      <c r="AI129" s="200"/>
      <c r="AJ129" s="200"/>
      <c r="AK129" s="209"/>
      <c r="AL129" s="200"/>
      <c r="AM129" s="210"/>
      <c r="AN129" s="210"/>
    </row>
    <row r="130" spans="1:40" x14ac:dyDescent="0.25">
      <c r="F130" s="200"/>
      <c r="H130" s="211"/>
      <c r="I130" s="211"/>
      <c r="J130" s="305"/>
      <c r="K130" s="305"/>
      <c r="L130" s="211"/>
      <c r="M130" s="211"/>
      <c r="N130" s="211"/>
      <c r="O130" s="211"/>
      <c r="P130" s="211"/>
      <c r="Q130" s="211"/>
      <c r="R130" s="211"/>
      <c r="V130" s="200"/>
      <c r="Y130" s="211"/>
      <c r="Z130" s="305"/>
      <c r="AA130" s="211"/>
      <c r="AB130" s="211"/>
      <c r="AC130" s="211"/>
      <c r="AD130" s="211"/>
      <c r="AE130" s="211"/>
      <c r="AF130" s="211"/>
      <c r="AI130" s="211"/>
      <c r="AJ130" s="211"/>
      <c r="AK130" s="212"/>
      <c r="AL130" s="211"/>
      <c r="AM130" s="210"/>
      <c r="AN130" s="210"/>
    </row>
    <row r="131" spans="1:40" x14ac:dyDescent="0.25">
      <c r="F131" s="200"/>
      <c r="H131" s="200"/>
      <c r="I131" s="200"/>
      <c r="J131" s="305"/>
      <c r="K131" s="305"/>
      <c r="L131" s="200"/>
      <c r="M131" s="200"/>
      <c r="N131" s="200"/>
      <c r="O131" s="200"/>
      <c r="P131" s="200"/>
      <c r="Q131" s="200"/>
      <c r="R131" s="200"/>
      <c r="V131" s="200"/>
      <c r="Y131" s="200"/>
      <c r="Z131" s="305"/>
      <c r="AA131" s="200"/>
      <c r="AB131" s="200"/>
      <c r="AC131" s="200"/>
      <c r="AD131" s="200"/>
      <c r="AE131" s="200"/>
      <c r="AF131" s="200"/>
      <c r="AG131" s="209"/>
      <c r="AH131" s="201"/>
      <c r="AI131" s="200"/>
      <c r="AJ131" s="200"/>
      <c r="AK131" s="209"/>
      <c r="AL131" s="200"/>
      <c r="AM131" s="210"/>
      <c r="AN131" s="210"/>
    </row>
    <row r="132" spans="1:40" x14ac:dyDescent="0.25">
      <c r="A132" s="202"/>
      <c r="C132" s="154"/>
      <c r="F132" s="252"/>
      <c r="H132" s="252"/>
      <c r="I132" s="252"/>
      <c r="J132" s="320"/>
      <c r="K132" s="320"/>
      <c r="L132" s="200"/>
      <c r="M132" s="200"/>
      <c r="N132" s="210"/>
      <c r="O132" s="210"/>
      <c r="P132" s="252"/>
      <c r="Q132" s="252"/>
      <c r="R132" s="200"/>
      <c r="T132" s="154"/>
      <c r="V132" s="252"/>
      <c r="Y132" s="252"/>
      <c r="Z132" s="328"/>
      <c r="AA132" s="200"/>
      <c r="AB132" s="200"/>
      <c r="AC132" s="210"/>
      <c r="AD132" s="210"/>
      <c r="AE132" s="200"/>
      <c r="AF132" s="200"/>
      <c r="AG132" s="209"/>
      <c r="AH132" s="201"/>
      <c r="AI132" s="252"/>
      <c r="AJ132" s="252"/>
      <c r="AK132" s="209"/>
      <c r="AL132" s="200"/>
      <c r="AM132" s="210"/>
      <c r="AN132" s="210"/>
    </row>
    <row r="133" spans="1:40" x14ac:dyDescent="0.25">
      <c r="A133" s="202"/>
      <c r="C133" s="154"/>
      <c r="F133" s="252"/>
      <c r="H133" s="252"/>
      <c r="I133" s="252"/>
      <c r="J133" s="320"/>
      <c r="K133" s="320"/>
      <c r="L133" s="200"/>
      <c r="M133" s="200"/>
      <c r="N133" s="210"/>
      <c r="O133" s="210"/>
      <c r="P133" s="252"/>
      <c r="Q133" s="252"/>
      <c r="R133" s="200"/>
      <c r="T133" s="154"/>
      <c r="V133" s="252"/>
      <c r="Y133" s="200"/>
      <c r="Z133" s="304"/>
      <c r="AA133" s="200"/>
      <c r="AB133" s="200"/>
      <c r="AC133" s="210"/>
      <c r="AD133" s="210"/>
      <c r="AE133" s="200"/>
      <c r="AF133" s="200"/>
      <c r="AG133" s="209"/>
      <c r="AH133" s="201"/>
      <c r="AI133" s="252"/>
      <c r="AJ133" s="252"/>
      <c r="AK133" s="209"/>
      <c r="AL133" s="200"/>
      <c r="AM133" s="210"/>
      <c r="AN133" s="210"/>
    </row>
    <row r="134" spans="1:40" x14ac:dyDescent="0.25">
      <c r="A134" s="202"/>
      <c r="C134" s="154"/>
      <c r="F134" s="252"/>
      <c r="H134" s="252"/>
      <c r="I134" s="252"/>
      <c r="J134" s="320"/>
      <c r="K134" s="320"/>
      <c r="L134" s="200"/>
      <c r="M134" s="200"/>
      <c r="N134" s="210"/>
      <c r="O134" s="210"/>
      <c r="P134" s="252"/>
      <c r="Q134" s="252"/>
      <c r="R134" s="200"/>
      <c r="T134" s="154"/>
      <c r="V134" s="252"/>
      <c r="Y134" s="200"/>
      <c r="Z134" s="304"/>
      <c r="AA134" s="200"/>
      <c r="AB134" s="200"/>
      <c r="AC134" s="210"/>
      <c r="AD134" s="210"/>
      <c r="AE134" s="200"/>
      <c r="AF134" s="200"/>
      <c r="AG134" s="209"/>
      <c r="AH134" s="201"/>
      <c r="AI134" s="252"/>
      <c r="AJ134" s="252"/>
      <c r="AK134" s="209"/>
      <c r="AL134" s="200"/>
      <c r="AM134" s="210"/>
      <c r="AN134" s="210"/>
    </row>
    <row r="135" spans="1:40" x14ac:dyDescent="0.25">
      <c r="F135" s="211"/>
      <c r="H135" s="211"/>
      <c r="I135" s="211"/>
      <c r="J135" s="305"/>
      <c r="K135" s="305"/>
      <c r="L135" s="211"/>
      <c r="M135" s="211"/>
      <c r="N135" s="211"/>
      <c r="O135" s="211"/>
      <c r="P135" s="211"/>
      <c r="Q135" s="211"/>
      <c r="R135" s="211"/>
      <c r="V135" s="211"/>
      <c r="Y135" s="211"/>
      <c r="Z135" s="305"/>
      <c r="AA135" s="211"/>
      <c r="AB135" s="211"/>
      <c r="AC135" s="211"/>
      <c r="AD135" s="211"/>
      <c r="AE135" s="211"/>
      <c r="AF135" s="211"/>
      <c r="AI135" s="211"/>
      <c r="AJ135" s="211"/>
      <c r="AK135" s="212"/>
      <c r="AL135" s="211"/>
      <c r="AM135" s="210"/>
      <c r="AN135" s="210"/>
    </row>
    <row r="136" spans="1:40" x14ac:dyDescent="0.25">
      <c r="A136" s="202"/>
      <c r="C136" s="154"/>
      <c r="F136" s="200"/>
      <c r="H136" s="200"/>
      <c r="I136" s="200"/>
      <c r="J136" s="213"/>
      <c r="K136" s="213"/>
      <c r="L136" s="200"/>
      <c r="M136" s="200"/>
      <c r="N136" s="210"/>
      <c r="O136" s="210"/>
      <c r="P136" s="200"/>
      <c r="Q136" s="200"/>
      <c r="R136" s="200"/>
      <c r="T136" s="154"/>
      <c r="V136" s="200"/>
      <c r="Y136" s="200"/>
      <c r="Z136" s="213"/>
      <c r="AA136" s="200"/>
      <c r="AB136" s="200"/>
      <c r="AC136" s="210"/>
      <c r="AD136" s="210"/>
      <c r="AE136" s="200"/>
      <c r="AF136" s="200"/>
      <c r="AG136" s="209"/>
      <c r="AH136" s="201"/>
      <c r="AI136" s="200"/>
      <c r="AJ136" s="200"/>
      <c r="AK136" s="209"/>
      <c r="AL136" s="200"/>
      <c r="AM136" s="210"/>
      <c r="AN136" s="210"/>
    </row>
    <row r="137" spans="1:40" x14ac:dyDescent="0.25">
      <c r="F137" s="211"/>
      <c r="H137" s="211"/>
      <c r="I137" s="211"/>
      <c r="J137" s="305"/>
      <c r="K137" s="305"/>
      <c r="L137" s="211"/>
      <c r="M137" s="211"/>
      <c r="N137" s="211"/>
      <c r="O137" s="211"/>
      <c r="P137" s="211"/>
      <c r="Q137" s="211"/>
      <c r="R137" s="211"/>
      <c r="V137" s="211"/>
      <c r="Y137" s="211"/>
      <c r="Z137" s="305"/>
      <c r="AA137" s="211"/>
      <c r="AB137" s="211"/>
      <c r="AC137" s="211"/>
      <c r="AD137" s="211"/>
      <c r="AE137" s="211"/>
      <c r="AF137" s="211"/>
      <c r="AI137" s="211"/>
      <c r="AJ137" s="211"/>
      <c r="AK137" s="212"/>
      <c r="AL137" s="211"/>
      <c r="AM137" s="210"/>
      <c r="AN137" s="210"/>
    </row>
    <row r="138" spans="1:40" x14ac:dyDescent="0.25">
      <c r="A138" s="202"/>
      <c r="C138" s="154"/>
      <c r="F138" s="200"/>
      <c r="H138" s="200"/>
      <c r="I138" s="200"/>
      <c r="J138" s="213"/>
      <c r="K138" s="213"/>
      <c r="L138" s="200"/>
      <c r="M138" s="200"/>
      <c r="N138" s="210"/>
      <c r="O138" s="210"/>
      <c r="P138" s="200"/>
      <c r="Q138" s="200"/>
      <c r="R138" s="200"/>
      <c r="T138" s="154"/>
      <c r="V138" s="200"/>
      <c r="Y138" s="200"/>
      <c r="Z138" s="213"/>
      <c r="AA138" s="200"/>
      <c r="AB138" s="200"/>
      <c r="AC138" s="210"/>
      <c r="AD138" s="210"/>
      <c r="AE138" s="200"/>
      <c r="AF138" s="200"/>
      <c r="AG138" s="209"/>
      <c r="AH138" s="201"/>
      <c r="AI138" s="200"/>
      <c r="AJ138" s="200"/>
      <c r="AK138" s="209"/>
      <c r="AL138" s="200"/>
      <c r="AM138" s="210"/>
      <c r="AN138" s="210"/>
    </row>
    <row r="139" spans="1:40" x14ac:dyDescent="0.25">
      <c r="A139" s="202"/>
      <c r="C139" s="154"/>
      <c r="F139" s="200"/>
      <c r="H139" s="200"/>
      <c r="I139" s="200"/>
      <c r="J139" s="213"/>
      <c r="K139" s="213"/>
      <c r="L139" s="200"/>
      <c r="M139" s="200"/>
      <c r="N139" s="210"/>
      <c r="O139" s="210"/>
      <c r="P139" s="200"/>
      <c r="Q139" s="200"/>
      <c r="R139" s="200"/>
      <c r="T139" s="154"/>
      <c r="V139" s="200"/>
      <c r="Y139" s="200"/>
      <c r="Z139" s="213"/>
      <c r="AA139" s="200"/>
      <c r="AB139" s="200"/>
      <c r="AC139" s="210"/>
      <c r="AD139" s="210"/>
      <c r="AE139" s="200"/>
      <c r="AF139" s="200"/>
      <c r="AG139" s="209"/>
      <c r="AH139" s="201"/>
      <c r="AI139" s="200"/>
      <c r="AJ139" s="200"/>
      <c r="AK139" s="209"/>
      <c r="AL139" s="200"/>
      <c r="AM139" s="210"/>
      <c r="AN139" s="210"/>
    </row>
    <row r="140" spans="1:40" x14ac:dyDescent="0.25">
      <c r="F140" s="211"/>
      <c r="H140" s="211"/>
      <c r="I140" s="211"/>
      <c r="J140" s="305"/>
      <c r="K140" s="305"/>
      <c r="L140" s="211"/>
      <c r="M140" s="211"/>
      <c r="N140" s="211"/>
      <c r="O140" s="211"/>
      <c r="P140" s="211"/>
      <c r="Q140" s="211"/>
      <c r="R140" s="211"/>
      <c r="V140" s="211"/>
      <c r="Y140" s="211"/>
      <c r="Z140" s="305"/>
      <c r="AA140" s="211"/>
      <c r="AB140" s="211"/>
      <c r="AC140" s="211"/>
      <c r="AD140" s="211"/>
      <c r="AE140" s="211"/>
      <c r="AF140" s="211"/>
      <c r="AI140" s="211"/>
      <c r="AJ140" s="211"/>
      <c r="AK140" s="212"/>
      <c r="AL140" s="211"/>
      <c r="AM140" s="200"/>
      <c r="AN140" s="200"/>
    </row>
    <row r="141" spans="1:40" x14ac:dyDescent="0.25">
      <c r="F141" s="200"/>
      <c r="H141" s="200"/>
      <c r="I141" s="200"/>
      <c r="J141" s="213"/>
      <c r="K141" s="213"/>
      <c r="L141" s="200"/>
      <c r="M141" s="200"/>
      <c r="N141" s="200"/>
      <c r="O141" s="200"/>
      <c r="P141" s="200"/>
      <c r="Q141" s="200"/>
      <c r="R141" s="200"/>
      <c r="V141" s="200"/>
      <c r="Y141" s="200"/>
      <c r="Z141" s="213"/>
      <c r="AA141" s="200"/>
      <c r="AB141" s="200"/>
      <c r="AC141" s="200"/>
      <c r="AD141" s="200"/>
    </row>
    <row r="142" spans="1:40" x14ac:dyDescent="0.25">
      <c r="C142" s="154"/>
      <c r="F142" s="200"/>
      <c r="H142" s="200"/>
      <c r="I142" s="200"/>
      <c r="J142" s="213"/>
      <c r="K142" s="213"/>
      <c r="L142" s="200"/>
      <c r="M142" s="200"/>
      <c r="N142" s="200"/>
      <c r="O142" s="200"/>
      <c r="P142" s="200"/>
      <c r="Q142" s="200"/>
      <c r="R142" s="200"/>
      <c r="T142" s="154"/>
      <c r="V142" s="200"/>
      <c r="Y142" s="200"/>
      <c r="Z142" s="213"/>
      <c r="AA142" s="200"/>
      <c r="AB142" s="200"/>
      <c r="AC142" s="200"/>
      <c r="AD142" s="200"/>
    </row>
    <row r="143" spans="1:40" x14ac:dyDescent="0.25">
      <c r="A143" s="154"/>
    </row>
    <row r="144" spans="1:40" x14ac:dyDescent="0.25">
      <c r="J144" s="202"/>
      <c r="K144" s="202"/>
      <c r="Z144" s="202"/>
    </row>
    <row r="145" spans="1:40" x14ac:dyDescent="0.25">
      <c r="H145" s="154"/>
      <c r="I145" s="154"/>
      <c r="Y145" s="154"/>
    </row>
    <row r="146" spans="1:40" x14ac:dyDescent="0.25">
      <c r="J146" s="202"/>
      <c r="K146" s="202"/>
      <c r="Z146" s="202"/>
    </row>
    <row r="147" spans="1:40" x14ac:dyDescent="0.25">
      <c r="L147" s="154"/>
      <c r="M147" s="154"/>
      <c r="AA147" s="154"/>
      <c r="AB147" s="154"/>
    </row>
    <row r="148" spans="1:40" x14ac:dyDescent="0.25">
      <c r="A148" s="202"/>
      <c r="R148" s="154"/>
      <c r="AK148" s="297"/>
      <c r="AL148" s="154"/>
    </row>
    <row r="149" spans="1:40" x14ac:dyDescent="0.25">
      <c r="A149" s="202"/>
      <c r="R149" s="154"/>
      <c r="AK149" s="297"/>
      <c r="AL149" s="154"/>
    </row>
    <row r="150" spans="1:40" x14ac:dyDescent="0.25">
      <c r="A150" s="154"/>
      <c r="R150" s="154"/>
      <c r="AK150" s="297"/>
      <c r="AL150" s="154"/>
    </row>
    <row r="151" spans="1:40" x14ac:dyDescent="0.25">
      <c r="L151" s="154"/>
      <c r="M151" s="154"/>
      <c r="R151" s="202"/>
      <c r="AA151" s="154"/>
      <c r="AB151" s="154"/>
      <c r="AK151" s="209"/>
      <c r="AL151" s="202"/>
    </row>
    <row r="152" spans="1:40" x14ac:dyDescent="0.2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208"/>
      <c r="AH152" s="102"/>
      <c r="AI152" s="102"/>
      <c r="AJ152" s="102"/>
      <c r="AK152" s="208"/>
      <c r="AL152" s="102"/>
      <c r="AM152" s="102"/>
      <c r="AN152" s="102"/>
    </row>
    <row r="153" spans="1:40" x14ac:dyDescent="0.25">
      <c r="L153" s="103"/>
      <c r="M153" s="103"/>
      <c r="N153" s="103"/>
      <c r="O153" s="103"/>
      <c r="R153" s="103"/>
      <c r="AA153" s="103"/>
      <c r="AB153" s="103"/>
      <c r="AC153" s="103"/>
      <c r="AD153" s="103"/>
      <c r="AE153" s="103"/>
      <c r="AF153" s="103"/>
      <c r="AG153" s="185"/>
      <c r="AH153" s="103"/>
      <c r="AK153" s="185"/>
      <c r="AL153" s="103"/>
      <c r="AM153" s="103"/>
      <c r="AN153" s="103"/>
    </row>
    <row r="154" spans="1:40" x14ac:dyDescent="0.25">
      <c r="L154" s="103"/>
      <c r="M154" s="103"/>
      <c r="N154" s="103"/>
      <c r="O154" s="103"/>
      <c r="R154" s="103"/>
      <c r="Z154" s="103"/>
      <c r="AA154" s="103"/>
      <c r="AB154" s="103"/>
      <c r="AC154" s="103"/>
      <c r="AD154" s="103"/>
      <c r="AE154" s="103"/>
      <c r="AF154" s="103"/>
      <c r="AG154" s="185"/>
      <c r="AH154" s="103"/>
      <c r="AK154" s="185"/>
      <c r="AL154" s="103"/>
      <c r="AM154" s="103"/>
      <c r="AN154" s="103"/>
    </row>
    <row r="155" spans="1:40" x14ac:dyDescent="0.25">
      <c r="A155" s="103"/>
      <c r="C155" s="103"/>
      <c r="D155" s="103"/>
      <c r="E155" s="103"/>
      <c r="F155" s="103"/>
      <c r="J155" s="103"/>
      <c r="K155" s="103"/>
      <c r="L155" s="103"/>
      <c r="M155" s="103"/>
      <c r="N155" s="103"/>
      <c r="O155" s="103"/>
      <c r="P155" s="103"/>
      <c r="Q155" s="103"/>
      <c r="R155" s="103"/>
      <c r="T155" s="103"/>
      <c r="U155" s="103"/>
      <c r="V155" s="103"/>
      <c r="Z155" s="103"/>
      <c r="AA155" s="103"/>
      <c r="AB155" s="103"/>
      <c r="AC155" s="103"/>
      <c r="AD155" s="103"/>
      <c r="AE155" s="103"/>
      <c r="AF155" s="103"/>
      <c r="AG155" s="185"/>
      <c r="AH155" s="103"/>
      <c r="AI155" s="103"/>
      <c r="AJ155" s="103"/>
      <c r="AK155" s="185"/>
      <c r="AL155" s="103"/>
      <c r="AM155" s="103"/>
      <c r="AN155" s="103"/>
    </row>
    <row r="156" spans="1:40" x14ac:dyDescent="0.25">
      <c r="A156" s="103"/>
      <c r="C156" s="103"/>
      <c r="D156" s="103"/>
      <c r="E156" s="103"/>
      <c r="F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T156" s="103"/>
      <c r="U156" s="103"/>
      <c r="V156" s="103"/>
      <c r="Y156" s="103"/>
      <c r="Z156" s="103"/>
      <c r="AA156" s="103"/>
      <c r="AB156" s="103"/>
      <c r="AC156" s="103"/>
      <c r="AD156" s="103"/>
      <c r="AE156" s="103"/>
      <c r="AF156" s="103"/>
      <c r="AG156" s="185"/>
      <c r="AH156" s="103"/>
      <c r="AI156" s="103"/>
      <c r="AJ156" s="103"/>
      <c r="AK156" s="185"/>
      <c r="AL156" s="103"/>
      <c r="AM156" s="103"/>
      <c r="AN156" s="103"/>
    </row>
    <row r="157" spans="1:40" x14ac:dyDescent="0.25">
      <c r="C157" s="103"/>
      <c r="D157" s="103"/>
      <c r="E157" s="103"/>
      <c r="F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T157" s="103"/>
      <c r="U157" s="103"/>
      <c r="V157" s="103"/>
      <c r="Y157" s="103"/>
      <c r="Z157" s="103"/>
      <c r="AA157" s="103"/>
      <c r="AB157" s="103"/>
      <c r="AC157" s="103"/>
      <c r="AD157" s="103"/>
      <c r="AE157" s="103"/>
      <c r="AF157" s="103"/>
      <c r="AG157" s="185"/>
      <c r="AH157" s="103"/>
      <c r="AI157" s="103"/>
      <c r="AJ157" s="103"/>
      <c r="AK157" s="185"/>
      <c r="AL157" s="103"/>
      <c r="AM157" s="103"/>
      <c r="AN157" s="103"/>
    </row>
    <row r="158" spans="1:40" x14ac:dyDescent="0.2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208"/>
      <c r="AH158" s="102"/>
      <c r="AI158" s="102"/>
      <c r="AJ158" s="102"/>
      <c r="AK158" s="208"/>
      <c r="AL158" s="102"/>
      <c r="AM158" s="102"/>
      <c r="AN158" s="102"/>
    </row>
    <row r="159" spans="1:40" x14ac:dyDescent="0.25"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Y159" s="103"/>
      <c r="Z159" s="103"/>
      <c r="AA159" s="103"/>
      <c r="AB159" s="103"/>
      <c r="AC159" s="103"/>
      <c r="AD159" s="103"/>
      <c r="AE159" s="103"/>
      <c r="AF159" s="103"/>
      <c r="AG159" s="185"/>
      <c r="AH159" s="103"/>
      <c r="AI159" s="103"/>
      <c r="AJ159" s="103"/>
      <c r="AK159" s="185"/>
      <c r="AL159" s="103"/>
      <c r="AM159" s="103"/>
      <c r="AN159" s="103"/>
    </row>
    <row r="160" spans="1:40" x14ac:dyDescent="0.25">
      <c r="A160" s="202"/>
      <c r="C160" s="154"/>
      <c r="D160" s="154"/>
      <c r="E160" s="154"/>
      <c r="T160" s="154"/>
      <c r="U160" s="154"/>
    </row>
    <row r="162" spans="1:40" x14ac:dyDescent="0.25">
      <c r="A162" s="202"/>
      <c r="C162" s="154"/>
      <c r="F162" s="252"/>
      <c r="H162" s="317"/>
      <c r="I162" s="317"/>
      <c r="J162" s="300"/>
      <c r="K162" s="300"/>
      <c r="L162" s="200"/>
      <c r="M162" s="200"/>
      <c r="N162" s="202"/>
      <c r="O162" s="202"/>
      <c r="P162" s="202"/>
      <c r="Q162" s="202"/>
      <c r="R162" s="200"/>
      <c r="T162" s="154"/>
      <c r="V162" s="200"/>
      <c r="Y162" s="202"/>
      <c r="Z162" s="300"/>
      <c r="AA162" s="200"/>
      <c r="AB162" s="200"/>
      <c r="AC162" s="202"/>
      <c r="AD162" s="202"/>
      <c r="AE162" s="200"/>
      <c r="AF162" s="200"/>
      <c r="AG162" s="325"/>
      <c r="AH162" s="326"/>
      <c r="AI162" s="200"/>
      <c r="AJ162" s="200"/>
      <c r="AK162" s="209"/>
      <c r="AL162" s="200"/>
      <c r="AM162" s="327"/>
      <c r="AN162" s="327"/>
    </row>
    <row r="163" spans="1:40" x14ac:dyDescent="0.25">
      <c r="F163" s="252"/>
      <c r="H163" s="317"/>
      <c r="I163" s="317"/>
      <c r="J163" s="317"/>
      <c r="K163" s="317"/>
      <c r="R163" s="200"/>
      <c r="V163" s="200"/>
      <c r="Z163" s="317"/>
    </row>
    <row r="164" spans="1:40" x14ac:dyDescent="0.25">
      <c r="A164" s="202"/>
      <c r="C164" s="154"/>
      <c r="F164" s="252"/>
      <c r="H164" s="252"/>
      <c r="I164" s="252"/>
      <c r="J164" s="320"/>
      <c r="K164" s="320"/>
      <c r="L164" s="200"/>
      <c r="M164" s="200"/>
      <c r="N164" s="210"/>
      <c r="O164" s="210"/>
      <c r="P164" s="252"/>
      <c r="Q164" s="252"/>
      <c r="R164" s="200"/>
      <c r="T164" s="154"/>
      <c r="V164" s="200"/>
      <c r="Y164" s="200"/>
      <c r="Z164" s="304"/>
      <c r="AA164" s="200"/>
      <c r="AB164" s="200"/>
      <c r="AC164" s="210"/>
      <c r="AD164" s="210"/>
      <c r="AE164" s="200"/>
      <c r="AF164" s="200"/>
      <c r="AG164" s="209"/>
      <c r="AH164" s="201"/>
      <c r="AI164" s="252"/>
      <c r="AJ164" s="252"/>
      <c r="AK164" s="209"/>
      <c r="AL164" s="200"/>
      <c r="AM164" s="210"/>
      <c r="AN164" s="210"/>
    </row>
    <row r="165" spans="1:40" x14ac:dyDescent="0.25">
      <c r="F165" s="211"/>
      <c r="H165" s="211"/>
      <c r="I165" s="211"/>
      <c r="J165" s="305"/>
      <c r="K165" s="305"/>
      <c r="L165" s="211"/>
      <c r="M165" s="211"/>
      <c r="N165" s="211"/>
      <c r="O165" s="211"/>
      <c r="P165" s="211"/>
      <c r="Q165" s="211"/>
      <c r="R165" s="211"/>
      <c r="V165" s="211"/>
      <c r="Y165" s="211"/>
      <c r="Z165" s="305"/>
      <c r="AA165" s="211"/>
      <c r="AB165" s="211"/>
      <c r="AC165" s="211"/>
      <c r="AD165" s="211"/>
      <c r="AE165" s="211"/>
      <c r="AF165" s="211"/>
      <c r="AI165" s="211"/>
      <c r="AJ165" s="211"/>
      <c r="AK165" s="212"/>
      <c r="AL165" s="211"/>
    </row>
    <row r="166" spans="1:40" x14ac:dyDescent="0.25">
      <c r="A166" s="202"/>
      <c r="D166" s="154"/>
      <c r="E166" s="154"/>
      <c r="F166" s="200"/>
      <c r="H166" s="200"/>
      <c r="I166" s="200"/>
      <c r="J166" s="213"/>
      <c r="K166" s="213"/>
      <c r="L166" s="200"/>
      <c r="M166" s="200"/>
      <c r="N166" s="210"/>
      <c r="O166" s="210"/>
      <c r="P166" s="200"/>
      <c r="Q166" s="200"/>
      <c r="R166" s="200"/>
      <c r="U166" s="154"/>
      <c r="V166" s="200"/>
      <c r="Y166" s="200"/>
      <c r="Z166" s="213"/>
      <c r="AA166" s="200"/>
      <c r="AB166" s="200"/>
      <c r="AC166" s="210"/>
      <c r="AD166" s="210"/>
      <c r="AE166" s="200"/>
      <c r="AF166" s="200"/>
      <c r="AG166" s="209"/>
      <c r="AH166" s="201"/>
      <c r="AI166" s="200"/>
      <c r="AJ166" s="200"/>
      <c r="AK166" s="209"/>
      <c r="AL166" s="200"/>
      <c r="AM166" s="210"/>
      <c r="AN166" s="210"/>
    </row>
    <row r="167" spans="1:40" x14ac:dyDescent="0.25">
      <c r="F167" s="211"/>
      <c r="H167" s="211"/>
      <c r="I167" s="211"/>
      <c r="J167" s="305"/>
      <c r="K167" s="305"/>
      <c r="L167" s="211"/>
      <c r="M167" s="211"/>
      <c r="N167" s="211"/>
      <c r="O167" s="211"/>
      <c r="P167" s="211"/>
      <c r="Q167" s="211"/>
      <c r="R167" s="211"/>
      <c r="V167" s="211"/>
      <c r="Y167" s="211"/>
      <c r="Z167" s="305"/>
      <c r="AA167" s="211"/>
      <c r="AB167" s="211"/>
      <c r="AC167" s="211"/>
      <c r="AD167" s="211"/>
      <c r="AE167" s="211"/>
      <c r="AF167" s="211"/>
      <c r="AI167" s="211"/>
      <c r="AJ167" s="211"/>
      <c r="AK167" s="212"/>
      <c r="AL167" s="211"/>
    </row>
    <row r="168" spans="1:40" x14ac:dyDescent="0.25">
      <c r="R168" s="200"/>
    </row>
    <row r="169" spans="1:40" x14ac:dyDescent="0.25">
      <c r="R169" s="200"/>
    </row>
    <row r="170" spans="1:40" x14ac:dyDescent="0.25">
      <c r="R170" s="200"/>
    </row>
    <row r="171" spans="1:40" x14ac:dyDescent="0.25">
      <c r="A171" s="202"/>
      <c r="C171" s="154"/>
      <c r="D171" s="154"/>
      <c r="E171" s="154"/>
      <c r="H171" s="200"/>
      <c r="I171" s="200"/>
      <c r="J171" s="213"/>
      <c r="K171" s="213"/>
      <c r="L171" s="200"/>
      <c r="M171" s="200"/>
      <c r="N171" s="210"/>
      <c r="O171" s="210"/>
      <c r="P171" s="200"/>
      <c r="Q171" s="200"/>
      <c r="R171" s="200"/>
      <c r="T171" s="154"/>
      <c r="U171" s="154"/>
      <c r="Y171" s="200"/>
      <c r="Z171" s="213"/>
      <c r="AA171" s="200"/>
      <c r="AB171" s="200"/>
      <c r="AC171" s="210"/>
      <c r="AD171" s="210"/>
    </row>
    <row r="172" spans="1:40" x14ac:dyDescent="0.25">
      <c r="H172" s="200"/>
      <c r="I172" s="200"/>
      <c r="J172" s="213"/>
      <c r="K172" s="213"/>
      <c r="L172" s="200"/>
      <c r="M172" s="200"/>
      <c r="N172" s="210"/>
      <c r="O172" s="210"/>
      <c r="P172" s="200"/>
      <c r="Q172" s="200"/>
      <c r="R172" s="200"/>
      <c r="Y172" s="200"/>
      <c r="Z172" s="213"/>
      <c r="AA172" s="200"/>
      <c r="AB172" s="200"/>
      <c r="AC172" s="210"/>
      <c r="AD172" s="210"/>
    </row>
    <row r="173" spans="1:40" x14ac:dyDescent="0.25">
      <c r="A173" s="202"/>
      <c r="C173" s="154"/>
      <c r="F173" s="252"/>
      <c r="H173" s="252"/>
      <c r="I173" s="252"/>
      <c r="J173" s="214"/>
      <c r="K173" s="214"/>
      <c r="L173" s="252"/>
      <c r="M173" s="252"/>
      <c r="N173" s="210"/>
      <c r="O173" s="210"/>
      <c r="P173" s="200"/>
      <c r="Q173" s="200"/>
      <c r="R173" s="200"/>
      <c r="T173" s="154"/>
      <c r="V173" s="200"/>
      <c r="Y173" s="200"/>
      <c r="Z173" s="214"/>
      <c r="AA173" s="200"/>
      <c r="AB173" s="200"/>
      <c r="AC173" s="210"/>
      <c r="AD173" s="210"/>
      <c r="AE173" s="200"/>
      <c r="AF173" s="200"/>
      <c r="AG173" s="209"/>
      <c r="AH173" s="201"/>
      <c r="AI173" s="200"/>
      <c r="AJ173" s="200"/>
      <c r="AK173" s="209"/>
      <c r="AL173" s="200"/>
      <c r="AM173" s="210"/>
      <c r="AN173" s="210"/>
    </row>
    <row r="174" spans="1:40" x14ac:dyDescent="0.25">
      <c r="F174" s="252"/>
      <c r="H174" s="317"/>
      <c r="I174" s="317"/>
      <c r="J174" s="317"/>
      <c r="K174" s="317"/>
      <c r="R174" s="200"/>
      <c r="V174" s="200"/>
      <c r="Z174" s="317"/>
    </row>
    <row r="175" spans="1:40" x14ac:dyDescent="0.25">
      <c r="A175" s="202"/>
      <c r="C175" s="154"/>
      <c r="F175" s="252"/>
      <c r="H175" s="252"/>
      <c r="I175" s="252"/>
      <c r="J175" s="300"/>
      <c r="K175" s="300"/>
      <c r="L175" s="200"/>
      <c r="M175" s="200"/>
      <c r="N175" s="210"/>
      <c r="O175" s="210"/>
      <c r="P175" s="200"/>
      <c r="Q175" s="200"/>
      <c r="R175" s="200"/>
      <c r="T175" s="154"/>
      <c r="V175" s="200"/>
      <c r="Y175" s="200"/>
      <c r="Z175" s="300"/>
      <c r="AA175" s="200"/>
      <c r="AB175" s="200"/>
      <c r="AC175" s="210"/>
      <c r="AD175" s="210"/>
      <c r="AE175" s="200"/>
      <c r="AF175" s="200"/>
      <c r="AG175" s="209"/>
      <c r="AH175" s="201"/>
      <c r="AI175" s="200"/>
      <c r="AJ175" s="200"/>
      <c r="AK175" s="209"/>
      <c r="AL175" s="200"/>
      <c r="AM175" s="210"/>
      <c r="AN175" s="210"/>
    </row>
    <row r="176" spans="1:40" x14ac:dyDescent="0.25">
      <c r="F176" s="252"/>
      <c r="H176" s="317"/>
      <c r="I176" s="317"/>
      <c r="J176" s="317"/>
      <c r="K176" s="317"/>
      <c r="R176" s="200"/>
      <c r="V176" s="200"/>
      <c r="Z176" s="317"/>
    </row>
    <row r="177" spans="1:40" x14ac:dyDescent="0.25">
      <c r="A177" s="202"/>
      <c r="C177" s="154"/>
      <c r="F177" s="252"/>
      <c r="H177" s="252"/>
      <c r="I177" s="252"/>
      <c r="J177" s="320"/>
      <c r="K177" s="320"/>
      <c r="L177" s="200"/>
      <c r="M177" s="200"/>
      <c r="N177" s="210"/>
      <c r="O177" s="210"/>
      <c r="P177" s="200"/>
      <c r="Q177" s="200"/>
      <c r="R177" s="200"/>
      <c r="T177" s="154"/>
      <c r="V177" s="200"/>
      <c r="Y177" s="200"/>
      <c r="Z177" s="304"/>
      <c r="AA177" s="200"/>
      <c r="AB177" s="200"/>
      <c r="AC177" s="210"/>
      <c r="AD177" s="210"/>
      <c r="AE177" s="200"/>
      <c r="AF177" s="200"/>
      <c r="AG177" s="209"/>
      <c r="AH177" s="201"/>
      <c r="AI177" s="200"/>
      <c r="AJ177" s="200"/>
      <c r="AK177" s="209"/>
      <c r="AL177" s="200"/>
      <c r="AM177" s="210"/>
      <c r="AN177" s="210"/>
    </row>
    <row r="178" spans="1:40" x14ac:dyDescent="0.25">
      <c r="F178" s="211"/>
      <c r="H178" s="211"/>
      <c r="I178" s="211"/>
      <c r="J178" s="305"/>
      <c r="K178" s="305"/>
      <c r="L178" s="211"/>
      <c r="M178" s="211"/>
      <c r="N178" s="211"/>
      <c r="O178" s="211"/>
      <c r="P178" s="211"/>
      <c r="Q178" s="211"/>
      <c r="R178" s="211"/>
      <c r="S178" s="200"/>
      <c r="V178" s="211"/>
      <c r="Y178" s="211"/>
      <c r="Z178" s="305"/>
      <c r="AA178" s="211"/>
      <c r="AB178" s="211"/>
      <c r="AC178" s="211"/>
      <c r="AD178" s="211"/>
      <c r="AE178" s="211"/>
      <c r="AF178" s="211"/>
      <c r="AI178" s="211"/>
      <c r="AJ178" s="211"/>
      <c r="AK178" s="212"/>
      <c r="AL178" s="211"/>
    </row>
    <row r="179" spans="1:40" x14ac:dyDescent="0.25">
      <c r="A179" s="202"/>
      <c r="D179" s="154"/>
      <c r="E179" s="154"/>
      <c r="F179" s="200"/>
      <c r="H179" s="200"/>
      <c r="I179" s="200"/>
      <c r="J179" s="213"/>
      <c r="K179" s="213"/>
      <c r="L179" s="200"/>
      <c r="M179" s="200"/>
      <c r="N179" s="210"/>
      <c r="O179" s="210"/>
      <c r="P179" s="252"/>
      <c r="Q179" s="252"/>
      <c r="R179" s="200"/>
      <c r="S179" s="200"/>
      <c r="U179" s="154"/>
      <c r="V179" s="200"/>
      <c r="Y179" s="200"/>
      <c r="Z179" s="213"/>
      <c r="AA179" s="200"/>
      <c r="AB179" s="200"/>
      <c r="AC179" s="210"/>
      <c r="AD179" s="210"/>
      <c r="AE179" s="200"/>
      <c r="AF179" s="200"/>
      <c r="AG179" s="209"/>
      <c r="AH179" s="201"/>
      <c r="AI179" s="252"/>
      <c r="AJ179" s="252"/>
      <c r="AK179" s="209"/>
      <c r="AL179" s="200"/>
      <c r="AM179" s="210"/>
      <c r="AN179" s="210"/>
    </row>
    <row r="180" spans="1:40" x14ac:dyDescent="0.25">
      <c r="F180" s="211"/>
      <c r="H180" s="211"/>
      <c r="I180" s="211"/>
      <c r="J180" s="305"/>
      <c r="K180" s="305"/>
      <c r="L180" s="211"/>
      <c r="M180" s="211"/>
      <c r="N180" s="211"/>
      <c r="O180" s="211"/>
      <c r="P180" s="211"/>
      <c r="Q180" s="211"/>
      <c r="R180" s="211"/>
      <c r="S180" s="200"/>
      <c r="V180" s="211"/>
      <c r="Y180" s="211"/>
      <c r="Z180" s="305"/>
      <c r="AA180" s="211"/>
      <c r="AB180" s="211"/>
      <c r="AC180" s="211"/>
      <c r="AD180" s="211"/>
      <c r="AE180" s="211"/>
      <c r="AF180" s="211"/>
      <c r="AI180" s="211"/>
      <c r="AJ180" s="211"/>
      <c r="AK180" s="212"/>
      <c r="AL180" s="211"/>
    </row>
    <row r="181" spans="1:40" x14ac:dyDescent="0.25">
      <c r="R181" s="200"/>
    </row>
    <row r="182" spans="1:40" x14ac:dyDescent="0.25">
      <c r="F182" s="200"/>
      <c r="H182" s="200"/>
      <c r="I182" s="200"/>
      <c r="J182" s="213"/>
      <c r="K182" s="213"/>
      <c r="L182" s="200"/>
      <c r="M182" s="200"/>
      <c r="N182" s="200"/>
      <c r="O182" s="200"/>
      <c r="P182" s="200"/>
      <c r="Q182" s="200"/>
      <c r="R182" s="200"/>
      <c r="V182" s="200"/>
      <c r="Y182" s="200"/>
      <c r="Z182" s="213"/>
      <c r="AA182" s="200"/>
      <c r="AB182" s="200"/>
      <c r="AC182" s="200"/>
      <c r="AD182" s="200"/>
    </row>
    <row r="183" spans="1:40" x14ac:dyDescent="0.25">
      <c r="C183" s="154"/>
      <c r="F183" s="200"/>
      <c r="H183" s="200"/>
      <c r="I183" s="200"/>
      <c r="J183" s="213"/>
      <c r="K183" s="213"/>
      <c r="L183" s="200"/>
      <c r="M183" s="200"/>
      <c r="N183" s="200"/>
      <c r="O183" s="200"/>
      <c r="P183" s="200"/>
      <c r="Q183" s="200"/>
      <c r="R183" s="200"/>
      <c r="T183" s="154"/>
      <c r="V183" s="200"/>
      <c r="Y183" s="200"/>
      <c r="Z183" s="213"/>
      <c r="AA183" s="200"/>
      <c r="AB183" s="200"/>
      <c r="AC183" s="200"/>
      <c r="AD183" s="200"/>
    </row>
    <row r="184" spans="1:40" x14ac:dyDescent="0.25">
      <c r="C184" s="154"/>
      <c r="T184" s="154"/>
    </row>
    <row r="185" spans="1:40" x14ac:dyDescent="0.25">
      <c r="A185" s="154"/>
    </row>
    <row r="187" spans="1:40" x14ac:dyDescent="0.25">
      <c r="J187" s="202"/>
      <c r="K187" s="202"/>
      <c r="Z187" s="202"/>
    </row>
    <row r="188" spans="1:40" x14ac:dyDescent="0.25">
      <c r="H188" s="154"/>
      <c r="I188" s="154"/>
      <c r="Y188" s="154"/>
    </row>
    <row r="189" spans="1:40" x14ac:dyDescent="0.25">
      <c r="J189" s="202"/>
      <c r="K189" s="202"/>
      <c r="Z189" s="202"/>
    </row>
    <row r="190" spans="1:40" x14ac:dyDescent="0.25">
      <c r="L190" s="154"/>
      <c r="M190" s="154"/>
      <c r="AA190" s="154"/>
      <c r="AB190" s="154"/>
    </row>
    <row r="191" spans="1:40" x14ac:dyDescent="0.25">
      <c r="A191" s="202"/>
      <c r="R191" s="154"/>
      <c r="AK191" s="297"/>
      <c r="AL191" s="154"/>
    </row>
    <row r="192" spans="1:40" x14ac:dyDescent="0.25">
      <c r="A192" s="202"/>
      <c r="R192" s="154"/>
      <c r="AK192" s="297"/>
      <c r="AL192" s="154"/>
    </row>
    <row r="193" spans="1:40" x14ac:dyDescent="0.25">
      <c r="A193" s="154"/>
      <c r="R193" s="154"/>
      <c r="AK193" s="297"/>
      <c r="AL193" s="154"/>
    </row>
    <row r="194" spans="1:40" x14ac:dyDescent="0.25">
      <c r="L194" s="154"/>
      <c r="M194" s="154"/>
      <c r="R194" s="202"/>
      <c r="AA194" s="154"/>
      <c r="AB194" s="154"/>
      <c r="AK194" s="209"/>
      <c r="AL194" s="202"/>
    </row>
    <row r="195" spans="1:40" x14ac:dyDescent="0.25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208"/>
      <c r="AH195" s="102"/>
      <c r="AI195" s="102"/>
      <c r="AJ195" s="102"/>
      <c r="AK195" s="208"/>
      <c r="AL195" s="102"/>
      <c r="AM195" s="102"/>
      <c r="AN195" s="102"/>
    </row>
    <row r="196" spans="1:40" x14ac:dyDescent="0.25">
      <c r="L196" s="103"/>
      <c r="M196" s="103"/>
      <c r="N196" s="103"/>
      <c r="O196" s="103"/>
      <c r="R196" s="103"/>
      <c r="AA196" s="103"/>
      <c r="AB196" s="103"/>
      <c r="AC196" s="103"/>
      <c r="AD196" s="103"/>
      <c r="AE196" s="103"/>
      <c r="AF196" s="103"/>
      <c r="AG196" s="185"/>
      <c r="AH196" s="103"/>
      <c r="AK196" s="185"/>
      <c r="AL196" s="103"/>
      <c r="AM196" s="103"/>
      <c r="AN196" s="103"/>
    </row>
    <row r="197" spans="1:40" x14ac:dyDescent="0.25">
      <c r="L197" s="103"/>
      <c r="M197" s="103"/>
      <c r="N197" s="103"/>
      <c r="O197" s="103"/>
      <c r="R197" s="103"/>
      <c r="Z197" s="103"/>
      <c r="AA197" s="103"/>
      <c r="AB197" s="103"/>
      <c r="AC197" s="103"/>
      <c r="AD197" s="103"/>
      <c r="AE197" s="103"/>
      <c r="AF197" s="103"/>
      <c r="AG197" s="185"/>
      <c r="AH197" s="103"/>
      <c r="AK197" s="185"/>
      <c r="AL197" s="103"/>
      <c r="AM197" s="103"/>
      <c r="AN197" s="103"/>
    </row>
    <row r="198" spans="1:40" x14ac:dyDescent="0.25">
      <c r="A198" s="103"/>
      <c r="C198" s="103"/>
      <c r="D198" s="103"/>
      <c r="E198" s="103"/>
      <c r="F198" s="103"/>
      <c r="J198" s="103"/>
      <c r="K198" s="103"/>
      <c r="L198" s="103"/>
      <c r="M198" s="103"/>
      <c r="N198" s="103"/>
      <c r="O198" s="103"/>
      <c r="P198" s="103"/>
      <c r="Q198" s="103"/>
      <c r="R198" s="103"/>
      <c r="T198" s="103"/>
      <c r="U198" s="103"/>
      <c r="V198" s="103"/>
      <c r="Z198" s="103"/>
      <c r="AA198" s="103"/>
      <c r="AB198" s="103"/>
      <c r="AC198" s="103"/>
      <c r="AD198" s="103"/>
      <c r="AE198" s="103"/>
      <c r="AF198" s="103"/>
      <c r="AG198" s="185"/>
      <c r="AH198" s="103"/>
      <c r="AI198" s="103"/>
      <c r="AJ198" s="103"/>
      <c r="AK198" s="185"/>
      <c r="AL198" s="103"/>
      <c r="AM198" s="103"/>
      <c r="AN198" s="103"/>
    </row>
    <row r="199" spans="1:40" x14ac:dyDescent="0.25">
      <c r="A199" s="103"/>
      <c r="C199" s="103"/>
      <c r="D199" s="103"/>
      <c r="E199" s="103"/>
      <c r="F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T199" s="103"/>
      <c r="U199" s="103"/>
      <c r="V199" s="103"/>
      <c r="Y199" s="103"/>
      <c r="Z199" s="103"/>
      <c r="AA199" s="103"/>
      <c r="AB199" s="103"/>
      <c r="AC199" s="103"/>
      <c r="AD199" s="103"/>
      <c r="AE199" s="103"/>
      <c r="AF199" s="103"/>
      <c r="AG199" s="185"/>
      <c r="AH199" s="103"/>
      <c r="AI199" s="103"/>
      <c r="AJ199" s="103"/>
      <c r="AK199" s="185"/>
      <c r="AL199" s="103"/>
      <c r="AM199" s="103"/>
      <c r="AN199" s="103"/>
    </row>
    <row r="200" spans="1:40" x14ac:dyDescent="0.25">
      <c r="C200" s="103"/>
      <c r="D200" s="103"/>
      <c r="E200" s="103"/>
      <c r="F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T200" s="103"/>
      <c r="U200" s="103"/>
      <c r="V200" s="103"/>
      <c r="Y200" s="103"/>
      <c r="Z200" s="103"/>
      <c r="AA200" s="103"/>
      <c r="AB200" s="103"/>
      <c r="AC200" s="103"/>
      <c r="AD200" s="103"/>
      <c r="AE200" s="103"/>
      <c r="AF200" s="103"/>
      <c r="AG200" s="185"/>
      <c r="AH200" s="103"/>
      <c r="AI200" s="103"/>
      <c r="AJ200" s="103"/>
      <c r="AK200" s="185"/>
      <c r="AL200" s="103"/>
      <c r="AM200" s="103"/>
      <c r="AN200" s="103"/>
    </row>
    <row r="201" spans="1:40" x14ac:dyDescent="0.25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208"/>
      <c r="AH201" s="102"/>
      <c r="AI201" s="102"/>
      <c r="AJ201" s="102"/>
      <c r="AK201" s="208"/>
      <c r="AL201" s="102"/>
      <c r="AM201" s="102"/>
      <c r="AN201" s="102"/>
    </row>
    <row r="202" spans="1:40" x14ac:dyDescent="0.25"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Y202" s="103"/>
      <c r="Z202" s="103"/>
      <c r="AA202" s="103"/>
      <c r="AB202" s="103"/>
      <c r="AC202" s="103"/>
      <c r="AD202" s="103"/>
      <c r="AE202" s="103"/>
      <c r="AF202" s="103"/>
      <c r="AG202" s="185"/>
      <c r="AH202" s="103"/>
      <c r="AI202" s="103"/>
      <c r="AJ202" s="103"/>
      <c r="AK202" s="185"/>
      <c r="AL202" s="103"/>
      <c r="AM202" s="103"/>
      <c r="AN202" s="103"/>
    </row>
    <row r="203" spans="1:40" x14ac:dyDescent="0.25">
      <c r="A203" s="202"/>
      <c r="C203" s="154"/>
      <c r="D203" s="154"/>
      <c r="E203" s="154"/>
      <c r="T203" s="154"/>
      <c r="U203" s="154"/>
    </row>
    <row r="204" spans="1:40" x14ac:dyDescent="0.25">
      <c r="A204" s="202"/>
      <c r="D204" s="154"/>
      <c r="E204" s="154"/>
      <c r="U204" s="154"/>
    </row>
    <row r="206" spans="1:40" x14ac:dyDescent="0.25">
      <c r="A206" s="202"/>
      <c r="C206" s="154"/>
      <c r="F206" s="200"/>
      <c r="J206" s="215"/>
      <c r="K206" s="215"/>
      <c r="L206" s="200"/>
      <c r="M206" s="200"/>
      <c r="R206" s="200"/>
      <c r="T206" s="154"/>
      <c r="V206" s="200"/>
      <c r="Z206" s="215"/>
      <c r="AA206" s="200"/>
      <c r="AB206" s="200"/>
      <c r="AK206" s="209"/>
      <c r="AL206" s="200"/>
    </row>
    <row r="207" spans="1:40" x14ac:dyDescent="0.25">
      <c r="F207" s="200"/>
      <c r="R207" s="200"/>
      <c r="V207" s="200"/>
      <c r="AK207" s="209"/>
      <c r="AL207" s="200"/>
    </row>
    <row r="208" spans="1:40" x14ac:dyDescent="0.25">
      <c r="A208" s="202"/>
      <c r="C208" s="154"/>
      <c r="F208" s="252"/>
      <c r="H208" s="252"/>
      <c r="I208" s="252"/>
      <c r="J208" s="300"/>
      <c r="K208" s="300"/>
      <c r="L208" s="200"/>
      <c r="M208" s="200"/>
      <c r="N208" s="210"/>
      <c r="O208" s="210"/>
      <c r="P208" s="200"/>
      <c r="Q208" s="200"/>
      <c r="R208" s="200"/>
      <c r="T208" s="154"/>
      <c r="V208" s="200"/>
      <c r="Y208" s="200"/>
      <c r="Z208" s="300"/>
      <c r="AA208" s="200"/>
      <c r="AB208" s="200"/>
      <c r="AC208" s="210"/>
      <c r="AD208" s="210"/>
      <c r="AE208" s="200"/>
      <c r="AF208" s="200"/>
      <c r="AG208" s="209"/>
      <c r="AH208" s="201"/>
      <c r="AI208" s="200"/>
      <c r="AJ208" s="200"/>
      <c r="AK208" s="209"/>
      <c r="AL208" s="200"/>
      <c r="AM208" s="210"/>
      <c r="AN208" s="210"/>
    </row>
    <row r="209" spans="1:40" x14ac:dyDescent="0.25">
      <c r="A209" s="202"/>
      <c r="C209" s="154"/>
      <c r="F209" s="252"/>
      <c r="H209" s="317"/>
      <c r="I209" s="317"/>
      <c r="J209" s="300"/>
      <c r="K209" s="300"/>
      <c r="L209" s="200"/>
      <c r="M209" s="200"/>
      <c r="N209" s="210"/>
      <c r="O209" s="210"/>
      <c r="P209" s="200"/>
      <c r="Q209" s="200"/>
      <c r="R209" s="200"/>
      <c r="T209" s="154"/>
      <c r="V209" s="200"/>
      <c r="Y209" s="200"/>
      <c r="Z209" s="300"/>
      <c r="AA209" s="200"/>
      <c r="AB209" s="200"/>
      <c r="AC209" s="210"/>
      <c r="AD209" s="210"/>
      <c r="AE209" s="200"/>
      <c r="AF209" s="200"/>
      <c r="AG209" s="209"/>
      <c r="AH209" s="201"/>
      <c r="AI209" s="200"/>
      <c r="AJ209" s="200"/>
      <c r="AK209" s="209"/>
      <c r="AL209" s="200"/>
      <c r="AM209" s="210"/>
      <c r="AN209" s="210"/>
    </row>
    <row r="210" spans="1:40" x14ac:dyDescent="0.25">
      <c r="F210" s="211"/>
      <c r="H210" s="200"/>
      <c r="I210" s="200"/>
      <c r="J210" s="305"/>
      <c r="K210" s="305"/>
      <c r="L210" s="211"/>
      <c r="M210" s="211"/>
      <c r="N210" s="211"/>
      <c r="O210" s="211"/>
      <c r="P210" s="211"/>
      <c r="Q210" s="211"/>
      <c r="R210" s="211"/>
      <c r="V210" s="211"/>
      <c r="Y210" s="200"/>
      <c r="Z210" s="305"/>
      <c r="AA210" s="211"/>
      <c r="AB210" s="211"/>
      <c r="AC210" s="211"/>
      <c r="AD210" s="211"/>
      <c r="AE210" s="211"/>
      <c r="AF210" s="211"/>
      <c r="AI210" s="211"/>
      <c r="AJ210" s="211"/>
      <c r="AK210" s="212"/>
      <c r="AL210" s="211"/>
    </row>
    <row r="211" spans="1:40" x14ac:dyDescent="0.25">
      <c r="A211" s="202"/>
      <c r="C211" s="154"/>
      <c r="F211" s="200"/>
      <c r="H211" s="200"/>
      <c r="I211" s="200"/>
      <c r="J211" s="213"/>
      <c r="K211" s="213"/>
      <c r="L211" s="200"/>
      <c r="M211" s="200"/>
      <c r="N211" s="210"/>
      <c r="O211" s="210"/>
      <c r="P211" s="200"/>
      <c r="Q211" s="200"/>
      <c r="R211" s="200"/>
      <c r="T211" s="154"/>
      <c r="V211" s="200"/>
      <c r="Y211" s="200"/>
      <c r="Z211" s="213"/>
      <c r="AA211" s="200"/>
      <c r="AB211" s="200"/>
      <c r="AC211" s="210"/>
      <c r="AD211" s="210"/>
      <c r="AE211" s="200"/>
      <c r="AF211" s="200"/>
      <c r="AG211" s="209"/>
      <c r="AH211" s="201"/>
      <c r="AI211" s="200"/>
      <c r="AJ211" s="200"/>
      <c r="AK211" s="209"/>
      <c r="AL211" s="200"/>
      <c r="AM211" s="210"/>
      <c r="AN211" s="210"/>
    </row>
    <row r="212" spans="1:40" x14ac:dyDescent="0.25">
      <c r="F212" s="211"/>
      <c r="H212" s="200"/>
      <c r="I212" s="200"/>
      <c r="J212" s="305"/>
      <c r="K212" s="305"/>
      <c r="L212" s="211"/>
      <c r="M212" s="211"/>
      <c r="N212" s="211"/>
      <c r="O212" s="211"/>
      <c r="P212" s="211"/>
      <c r="Q212" s="211"/>
      <c r="R212" s="211"/>
      <c r="V212" s="211"/>
      <c r="Y212" s="200"/>
      <c r="Z212" s="305"/>
      <c r="AA212" s="211"/>
      <c r="AB212" s="211"/>
      <c r="AC212" s="211"/>
      <c r="AD212" s="211"/>
      <c r="AE212" s="211"/>
      <c r="AF212" s="211"/>
      <c r="AI212" s="211"/>
      <c r="AJ212" s="211"/>
      <c r="AK212" s="212"/>
      <c r="AL212" s="211"/>
    </row>
    <row r="213" spans="1:40" x14ac:dyDescent="0.25">
      <c r="F213" s="200"/>
      <c r="R213" s="200"/>
      <c r="V213" s="200"/>
      <c r="AK213" s="209"/>
      <c r="AL213" s="200"/>
    </row>
    <row r="214" spans="1:40" x14ac:dyDescent="0.25">
      <c r="A214" s="202"/>
      <c r="C214" s="154"/>
      <c r="F214" s="200"/>
      <c r="R214" s="200"/>
      <c r="T214" s="154"/>
      <c r="V214" s="200"/>
      <c r="AK214" s="209"/>
      <c r="AL214" s="200"/>
    </row>
    <row r="215" spans="1:40" x14ac:dyDescent="0.25">
      <c r="F215" s="200"/>
      <c r="R215" s="200"/>
      <c r="V215" s="200"/>
      <c r="AK215" s="209"/>
      <c r="AL215" s="200"/>
    </row>
    <row r="216" spans="1:40" x14ac:dyDescent="0.25">
      <c r="A216" s="202"/>
      <c r="C216" s="154"/>
      <c r="F216" s="200"/>
      <c r="H216" s="252"/>
      <c r="I216" s="252"/>
      <c r="J216" s="320"/>
      <c r="K216" s="320"/>
      <c r="L216" s="200"/>
      <c r="M216" s="200"/>
      <c r="N216" s="210"/>
      <c r="O216" s="210"/>
      <c r="P216" s="252"/>
      <c r="Q216" s="252"/>
      <c r="R216" s="200"/>
      <c r="T216" s="154"/>
      <c r="V216" s="200"/>
      <c r="Y216" s="200"/>
      <c r="Z216" s="304"/>
      <c r="AA216" s="200"/>
      <c r="AB216" s="200"/>
      <c r="AC216" s="210"/>
      <c r="AD216" s="210"/>
      <c r="AE216" s="200"/>
      <c r="AF216" s="200"/>
      <c r="AG216" s="209"/>
      <c r="AH216" s="201"/>
      <c r="AI216" s="252"/>
      <c r="AJ216" s="252"/>
      <c r="AK216" s="209"/>
      <c r="AL216" s="200"/>
      <c r="AM216" s="210"/>
      <c r="AN216" s="210"/>
    </row>
    <row r="217" spans="1:40" x14ac:dyDescent="0.25">
      <c r="H217" s="211"/>
      <c r="I217" s="211"/>
      <c r="J217" s="305"/>
      <c r="K217" s="305"/>
      <c r="L217" s="211"/>
      <c r="M217" s="211"/>
      <c r="N217" s="211"/>
      <c r="O217" s="211"/>
      <c r="P217" s="211"/>
      <c r="Q217" s="211"/>
      <c r="R217" s="211"/>
      <c r="V217" s="211"/>
      <c r="Y217" s="211"/>
      <c r="Z217" s="305"/>
      <c r="AA217" s="211"/>
      <c r="AB217" s="211"/>
      <c r="AC217" s="211"/>
      <c r="AD217" s="211"/>
      <c r="AE217" s="211"/>
      <c r="AF217" s="211"/>
      <c r="AI217" s="211"/>
      <c r="AJ217" s="211"/>
      <c r="AK217" s="212"/>
      <c r="AL217" s="211"/>
    </row>
    <row r="218" spans="1:40" x14ac:dyDescent="0.25">
      <c r="F218" s="211"/>
    </row>
    <row r="219" spans="1:40" x14ac:dyDescent="0.25">
      <c r="A219" s="202"/>
      <c r="C219" s="154"/>
      <c r="F219" s="200"/>
      <c r="H219" s="200"/>
      <c r="I219" s="200"/>
      <c r="J219" s="215"/>
      <c r="K219" s="215"/>
      <c r="L219" s="200"/>
      <c r="M219" s="200"/>
      <c r="N219" s="210"/>
      <c r="O219" s="210"/>
      <c r="P219" s="200"/>
      <c r="Q219" s="200"/>
      <c r="R219" s="200"/>
      <c r="T219" s="154"/>
      <c r="V219" s="200"/>
      <c r="Y219" s="200"/>
      <c r="Z219" s="215"/>
      <c r="AA219" s="200"/>
      <c r="AB219" s="200"/>
      <c r="AC219" s="210"/>
      <c r="AD219" s="210"/>
      <c r="AE219" s="200"/>
      <c r="AF219" s="200"/>
      <c r="AG219" s="209"/>
      <c r="AH219" s="201"/>
      <c r="AI219" s="200"/>
      <c r="AJ219" s="200"/>
      <c r="AK219" s="209"/>
      <c r="AL219" s="200"/>
      <c r="AM219" s="210"/>
      <c r="AN219" s="210"/>
    </row>
    <row r="220" spans="1:40" x14ac:dyDescent="0.25">
      <c r="F220" s="211"/>
      <c r="H220" s="211"/>
      <c r="I220" s="211"/>
      <c r="J220" s="305"/>
      <c r="K220" s="305"/>
      <c r="L220" s="211"/>
      <c r="M220" s="211"/>
      <c r="N220" s="211"/>
      <c r="O220" s="211"/>
      <c r="P220" s="211"/>
      <c r="Q220" s="211"/>
      <c r="R220" s="211"/>
      <c r="V220" s="211"/>
      <c r="Y220" s="211"/>
      <c r="Z220" s="305"/>
      <c r="AA220" s="211"/>
      <c r="AB220" s="211"/>
      <c r="AC220" s="211"/>
      <c r="AD220" s="211"/>
      <c r="AE220" s="211"/>
      <c r="AF220" s="211"/>
      <c r="AI220" s="211"/>
      <c r="AJ220" s="211"/>
      <c r="AK220" s="212"/>
      <c r="AL220" s="211"/>
    </row>
    <row r="221" spans="1:40" x14ac:dyDescent="0.25">
      <c r="R221" s="200"/>
      <c r="AG221" s="209"/>
      <c r="AH221" s="200"/>
    </row>
    <row r="222" spans="1:40" x14ac:dyDescent="0.25">
      <c r="F222" s="200"/>
      <c r="H222" s="200"/>
      <c r="I222" s="200"/>
      <c r="J222" s="213"/>
      <c r="K222" s="213"/>
      <c r="L222" s="200"/>
      <c r="M222" s="200"/>
      <c r="N222" s="200"/>
      <c r="O222" s="200"/>
      <c r="P222" s="200"/>
      <c r="Q222" s="200"/>
      <c r="R222" s="200"/>
      <c r="V222" s="200"/>
      <c r="Y222" s="200"/>
      <c r="Z222" s="213"/>
      <c r="AA222" s="200"/>
      <c r="AB222" s="200"/>
      <c r="AC222" s="200"/>
      <c r="AD222" s="200"/>
      <c r="AE222" s="200"/>
      <c r="AF222" s="200"/>
      <c r="AG222" s="209"/>
      <c r="AH222" s="200"/>
    </row>
    <row r="223" spans="1:40" x14ac:dyDescent="0.25">
      <c r="C223" s="154"/>
      <c r="F223" s="200"/>
      <c r="H223" s="200"/>
      <c r="I223" s="200"/>
      <c r="J223" s="213"/>
      <c r="K223" s="213"/>
      <c r="L223" s="200"/>
      <c r="M223" s="200"/>
      <c r="N223" s="200"/>
      <c r="O223" s="200"/>
      <c r="P223" s="200"/>
      <c r="Q223" s="200"/>
      <c r="R223" s="200"/>
      <c r="T223" s="154"/>
      <c r="V223" s="200"/>
      <c r="Y223" s="200"/>
      <c r="Z223" s="213"/>
      <c r="AA223" s="200"/>
      <c r="AB223" s="200"/>
      <c r="AC223" s="200"/>
      <c r="AD223" s="200"/>
      <c r="AE223" s="200"/>
      <c r="AF223" s="200"/>
      <c r="AG223" s="209"/>
      <c r="AH223" s="200"/>
    </row>
    <row r="224" spans="1:40" x14ac:dyDescent="0.25">
      <c r="A224" s="154"/>
    </row>
    <row r="226" spans="1:40" x14ac:dyDescent="0.25">
      <c r="J226" s="202"/>
      <c r="K226" s="202"/>
      <c r="Z226" s="202"/>
    </row>
    <row r="227" spans="1:40" x14ac:dyDescent="0.25">
      <c r="H227" s="154"/>
      <c r="I227" s="154"/>
      <c r="Y227" s="154"/>
    </row>
    <row r="228" spans="1:40" x14ac:dyDescent="0.25">
      <c r="J228" s="202"/>
      <c r="K228" s="202"/>
      <c r="Z228" s="202"/>
    </row>
    <row r="229" spans="1:40" x14ac:dyDescent="0.25">
      <c r="L229" s="154"/>
      <c r="M229" s="154"/>
      <c r="AA229" s="154"/>
      <c r="AB229" s="154"/>
    </row>
    <row r="230" spans="1:40" x14ac:dyDescent="0.25">
      <c r="A230" s="202"/>
      <c r="R230" s="154"/>
      <c r="AK230" s="297"/>
      <c r="AL230" s="154"/>
    </row>
    <row r="231" spans="1:40" x14ac:dyDescent="0.25">
      <c r="A231" s="202"/>
      <c r="R231" s="154"/>
      <c r="AK231" s="297"/>
      <c r="AL231" s="154"/>
    </row>
    <row r="232" spans="1:40" x14ac:dyDescent="0.25">
      <c r="A232" s="154"/>
      <c r="R232" s="154"/>
      <c r="AK232" s="297"/>
      <c r="AL232" s="154"/>
    </row>
    <row r="233" spans="1:40" x14ac:dyDescent="0.25">
      <c r="L233" s="154"/>
      <c r="M233" s="154"/>
      <c r="R233" s="202"/>
      <c r="AA233" s="154"/>
      <c r="AB233" s="154"/>
      <c r="AK233" s="209"/>
      <c r="AL233" s="202"/>
    </row>
    <row r="234" spans="1:40" x14ac:dyDescent="0.25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208"/>
      <c r="AH234" s="102"/>
      <c r="AI234" s="102"/>
      <c r="AJ234" s="102"/>
      <c r="AK234" s="208"/>
      <c r="AL234" s="102"/>
      <c r="AM234" s="102"/>
      <c r="AN234" s="102"/>
    </row>
    <row r="235" spans="1:40" x14ac:dyDescent="0.25">
      <c r="L235" s="103"/>
      <c r="M235" s="103"/>
      <c r="N235" s="103"/>
      <c r="O235" s="103"/>
      <c r="R235" s="103"/>
      <c r="AA235" s="103"/>
      <c r="AB235" s="103"/>
      <c r="AC235" s="103"/>
      <c r="AD235" s="103"/>
      <c r="AE235" s="103"/>
      <c r="AF235" s="103"/>
      <c r="AG235" s="185"/>
      <c r="AH235" s="103"/>
      <c r="AK235" s="185"/>
      <c r="AL235" s="103"/>
      <c r="AM235" s="103"/>
      <c r="AN235" s="103"/>
    </row>
    <row r="236" spans="1:40" x14ac:dyDescent="0.25">
      <c r="L236" s="103"/>
      <c r="M236" s="103"/>
      <c r="N236" s="103"/>
      <c r="O236" s="103"/>
      <c r="R236" s="103"/>
      <c r="Z236" s="103"/>
      <c r="AA236" s="103"/>
      <c r="AB236" s="103"/>
      <c r="AC236" s="103"/>
      <c r="AD236" s="103"/>
      <c r="AE236" s="103"/>
      <c r="AF236" s="103"/>
      <c r="AG236" s="185"/>
      <c r="AH236" s="103"/>
      <c r="AK236" s="185"/>
      <c r="AL236" s="103"/>
      <c r="AM236" s="103"/>
      <c r="AN236" s="103"/>
    </row>
    <row r="237" spans="1:40" x14ac:dyDescent="0.25">
      <c r="A237" s="103"/>
      <c r="C237" s="103"/>
      <c r="D237" s="103"/>
      <c r="E237" s="103"/>
      <c r="F237" s="103"/>
      <c r="J237" s="103"/>
      <c r="K237" s="103"/>
      <c r="L237" s="103"/>
      <c r="M237" s="103"/>
      <c r="N237" s="103"/>
      <c r="O237" s="103"/>
      <c r="P237" s="103"/>
      <c r="Q237" s="103"/>
      <c r="R237" s="103"/>
      <c r="T237" s="103"/>
      <c r="U237" s="103"/>
      <c r="V237" s="103"/>
      <c r="Z237" s="103"/>
      <c r="AA237" s="103"/>
      <c r="AB237" s="103"/>
      <c r="AC237" s="103"/>
      <c r="AD237" s="103"/>
      <c r="AE237" s="103"/>
      <c r="AF237" s="103"/>
      <c r="AG237" s="185"/>
      <c r="AH237" s="103"/>
      <c r="AI237" s="103"/>
      <c r="AJ237" s="103"/>
      <c r="AK237" s="185"/>
      <c r="AL237" s="103"/>
      <c r="AM237" s="103"/>
      <c r="AN237" s="103"/>
    </row>
    <row r="238" spans="1:40" x14ac:dyDescent="0.25">
      <c r="A238" s="103"/>
      <c r="C238" s="103"/>
      <c r="D238" s="103"/>
      <c r="E238" s="103"/>
      <c r="F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T238" s="103"/>
      <c r="U238" s="103"/>
      <c r="V238" s="103"/>
      <c r="Y238" s="103"/>
      <c r="Z238" s="103"/>
      <c r="AA238" s="103"/>
      <c r="AB238" s="103"/>
      <c r="AC238" s="103"/>
      <c r="AD238" s="103"/>
      <c r="AE238" s="103"/>
      <c r="AF238" s="103"/>
      <c r="AG238" s="185"/>
      <c r="AH238" s="103"/>
      <c r="AI238" s="103"/>
      <c r="AJ238" s="103"/>
      <c r="AK238" s="185"/>
      <c r="AL238" s="103"/>
      <c r="AM238" s="103"/>
      <c r="AN238" s="103"/>
    </row>
    <row r="239" spans="1:40" x14ac:dyDescent="0.25">
      <c r="C239" s="103"/>
      <c r="D239" s="103"/>
      <c r="E239" s="103"/>
      <c r="F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T239" s="103"/>
      <c r="U239" s="103"/>
      <c r="V239" s="103"/>
      <c r="Y239" s="103"/>
      <c r="Z239" s="103"/>
      <c r="AA239" s="103"/>
      <c r="AB239" s="103"/>
      <c r="AC239" s="103"/>
      <c r="AD239" s="103"/>
      <c r="AE239" s="103"/>
      <c r="AF239" s="103"/>
      <c r="AG239" s="185"/>
      <c r="AH239" s="103"/>
      <c r="AI239" s="103"/>
      <c r="AJ239" s="103"/>
      <c r="AK239" s="185"/>
      <c r="AL239" s="103"/>
      <c r="AM239" s="103"/>
      <c r="AN239" s="103"/>
    </row>
    <row r="240" spans="1:40" x14ac:dyDescent="0.25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208"/>
      <c r="AH240" s="102"/>
      <c r="AI240" s="102"/>
      <c r="AJ240" s="102"/>
      <c r="AK240" s="208"/>
      <c r="AL240" s="102"/>
      <c r="AM240" s="102"/>
      <c r="AN240" s="102"/>
    </row>
    <row r="241" spans="1:40" x14ac:dyDescent="0.25"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Y241" s="103"/>
      <c r="Z241" s="103"/>
      <c r="AA241" s="103"/>
      <c r="AB241" s="103"/>
      <c r="AC241" s="103"/>
      <c r="AD241" s="103"/>
      <c r="AE241" s="103"/>
      <c r="AF241" s="103"/>
      <c r="AG241" s="185"/>
      <c r="AH241" s="103"/>
      <c r="AI241" s="103"/>
      <c r="AJ241" s="103"/>
      <c r="AK241" s="185"/>
      <c r="AL241" s="103"/>
      <c r="AM241" s="103"/>
      <c r="AN241" s="103"/>
    </row>
    <row r="242" spans="1:40" x14ac:dyDescent="0.25">
      <c r="A242" s="202"/>
      <c r="C242" s="154"/>
      <c r="D242" s="154"/>
      <c r="E242" s="154"/>
      <c r="T242" s="154"/>
      <c r="U242" s="154"/>
    </row>
    <row r="243" spans="1:40" x14ac:dyDescent="0.25">
      <c r="A243" s="202"/>
      <c r="C243" s="154"/>
      <c r="T243" s="154"/>
    </row>
    <row r="245" spans="1:40" x14ac:dyDescent="0.25">
      <c r="A245" s="202"/>
      <c r="C245" s="154"/>
      <c r="F245" s="252"/>
      <c r="H245" s="252"/>
      <c r="I245" s="252"/>
      <c r="J245" s="300"/>
      <c r="K245" s="300"/>
      <c r="L245" s="200"/>
      <c r="M245" s="200"/>
      <c r="N245" s="210"/>
      <c r="O245" s="210"/>
      <c r="P245" s="202"/>
      <c r="Q245" s="202"/>
      <c r="R245" s="200"/>
      <c r="T245" s="154"/>
      <c r="V245" s="200"/>
      <c r="Y245" s="252"/>
      <c r="Z245" s="300"/>
      <c r="AA245" s="200"/>
      <c r="AB245" s="200"/>
      <c r="AC245" s="210"/>
      <c r="AD245" s="210"/>
      <c r="AE245" s="200"/>
      <c r="AF245" s="200"/>
      <c r="AG245" s="209"/>
      <c r="AH245" s="201"/>
      <c r="AI245" s="202"/>
      <c r="AJ245" s="202"/>
      <c r="AK245" s="209"/>
      <c r="AL245" s="200"/>
      <c r="AM245" s="210"/>
      <c r="AN245" s="210"/>
    </row>
    <row r="246" spans="1:40" x14ac:dyDescent="0.25">
      <c r="F246" s="211"/>
      <c r="H246" s="200"/>
      <c r="I246" s="200"/>
      <c r="J246" s="305"/>
      <c r="K246" s="305"/>
      <c r="L246" s="211"/>
      <c r="M246" s="211"/>
      <c r="N246" s="211"/>
      <c r="O246" s="211"/>
      <c r="P246" s="211"/>
      <c r="Q246" s="211"/>
      <c r="R246" s="211"/>
      <c r="V246" s="211"/>
      <c r="Y246" s="200"/>
      <c r="Z246" s="305"/>
      <c r="AA246" s="211"/>
      <c r="AB246" s="211"/>
      <c r="AC246" s="211"/>
      <c r="AD246" s="211"/>
      <c r="AE246" s="211"/>
      <c r="AF246" s="211"/>
      <c r="AI246" s="211"/>
      <c r="AJ246" s="211"/>
      <c r="AK246" s="212"/>
      <c r="AL246" s="211"/>
      <c r="AM246" s="210"/>
      <c r="AN246" s="210"/>
    </row>
    <row r="247" spans="1:40" x14ac:dyDescent="0.25">
      <c r="A247" s="202"/>
      <c r="C247" s="154"/>
      <c r="F247" s="252"/>
      <c r="H247" s="252"/>
      <c r="I247" s="252"/>
      <c r="J247" s="328"/>
      <c r="K247" s="328"/>
      <c r="L247" s="200"/>
      <c r="M247" s="200"/>
      <c r="N247" s="210"/>
      <c r="O247" s="210"/>
      <c r="P247" s="200"/>
      <c r="Q247" s="200"/>
      <c r="R247" s="200"/>
      <c r="S247" s="200"/>
      <c r="T247" s="154"/>
      <c r="V247" s="252"/>
      <c r="Y247" s="252"/>
      <c r="Z247" s="328"/>
      <c r="AA247" s="200"/>
      <c r="AB247" s="200"/>
      <c r="AC247" s="210"/>
      <c r="AD247" s="210"/>
      <c r="AE247" s="200"/>
      <c r="AF247" s="200"/>
      <c r="AG247" s="209"/>
      <c r="AH247" s="210"/>
      <c r="AI247" s="200"/>
      <c r="AJ247" s="200"/>
      <c r="AK247" s="209"/>
      <c r="AL247" s="200"/>
      <c r="AM247" s="210"/>
      <c r="AN247" s="210"/>
    </row>
    <row r="248" spans="1:40" x14ac:dyDescent="0.25">
      <c r="A248" s="202"/>
      <c r="C248" s="154"/>
      <c r="F248" s="252"/>
      <c r="H248" s="252"/>
      <c r="I248" s="252"/>
      <c r="J248" s="300"/>
      <c r="K248" s="300"/>
      <c r="L248" s="200"/>
      <c r="M248" s="200"/>
      <c r="N248" s="210"/>
      <c r="O248" s="210"/>
      <c r="P248" s="200"/>
      <c r="Q248" s="200"/>
      <c r="R248" s="200"/>
      <c r="T248" s="154"/>
      <c r="V248" s="252"/>
      <c r="Y248" s="200"/>
      <c r="Z248" s="300"/>
      <c r="AA248" s="200"/>
      <c r="AB248" s="200"/>
      <c r="AC248" s="210"/>
      <c r="AD248" s="210"/>
      <c r="AE248" s="200"/>
      <c r="AF248" s="200"/>
      <c r="AG248" s="209"/>
      <c r="AH248" s="201"/>
      <c r="AI248" s="200"/>
      <c r="AJ248" s="200"/>
      <c r="AK248" s="209"/>
      <c r="AL248" s="200"/>
      <c r="AM248" s="210"/>
      <c r="AN248" s="210"/>
    </row>
    <row r="249" spans="1:40" x14ac:dyDescent="0.25">
      <c r="A249" s="202"/>
      <c r="C249" s="154"/>
      <c r="F249" s="252"/>
      <c r="H249" s="252"/>
      <c r="I249" s="252"/>
      <c r="J249" s="300"/>
      <c r="K249" s="300"/>
      <c r="L249" s="200"/>
      <c r="M249" s="200"/>
      <c r="N249" s="210"/>
      <c r="O249" s="210"/>
      <c r="P249" s="200"/>
      <c r="Q249" s="200"/>
      <c r="R249" s="200"/>
      <c r="T249" s="154"/>
      <c r="V249" s="252"/>
      <c r="Y249" s="200"/>
      <c r="Z249" s="300"/>
      <c r="AA249" s="200"/>
      <c r="AB249" s="200"/>
      <c r="AC249" s="210"/>
      <c r="AD249" s="210"/>
      <c r="AE249" s="200"/>
      <c r="AF249" s="200"/>
      <c r="AG249" s="209"/>
      <c r="AH249" s="201"/>
      <c r="AI249" s="200"/>
      <c r="AJ249" s="200"/>
      <c r="AK249" s="209"/>
      <c r="AL249" s="200"/>
      <c r="AM249" s="210"/>
      <c r="AN249" s="210"/>
    </row>
    <row r="250" spans="1:40" x14ac:dyDescent="0.25">
      <c r="F250" s="211"/>
      <c r="H250" s="211"/>
      <c r="I250" s="211"/>
      <c r="J250" s="305"/>
      <c r="K250" s="305"/>
      <c r="L250" s="211"/>
      <c r="M250" s="211"/>
      <c r="N250" s="211"/>
      <c r="O250" s="211"/>
      <c r="P250" s="211"/>
      <c r="Q250" s="211"/>
      <c r="R250" s="211"/>
      <c r="V250" s="211"/>
      <c r="Y250" s="211"/>
      <c r="Z250" s="305"/>
      <c r="AA250" s="211"/>
      <c r="AB250" s="211"/>
      <c r="AC250" s="211"/>
      <c r="AD250" s="211"/>
      <c r="AE250" s="211"/>
      <c r="AF250" s="211"/>
      <c r="AI250" s="211"/>
      <c r="AJ250" s="211"/>
      <c r="AK250" s="212"/>
      <c r="AL250" s="211"/>
      <c r="AM250" s="210"/>
      <c r="AN250" s="210"/>
    </row>
    <row r="251" spans="1:40" x14ac:dyDescent="0.25">
      <c r="A251" s="202"/>
      <c r="C251" s="154"/>
      <c r="F251" s="200"/>
      <c r="H251" s="200"/>
      <c r="I251" s="200"/>
      <c r="J251" s="213"/>
      <c r="K251" s="213"/>
      <c r="L251" s="200"/>
      <c r="M251" s="200"/>
      <c r="N251" s="210"/>
      <c r="O251" s="210"/>
      <c r="P251" s="200"/>
      <c r="Q251" s="200"/>
      <c r="R251" s="200"/>
      <c r="T251" s="154"/>
      <c r="V251" s="200"/>
      <c r="Y251" s="200"/>
      <c r="Z251" s="213"/>
      <c r="AA251" s="200"/>
      <c r="AB251" s="200"/>
      <c r="AC251" s="210"/>
      <c r="AD251" s="210"/>
      <c r="AE251" s="200"/>
      <c r="AF251" s="200"/>
      <c r="AG251" s="209"/>
      <c r="AH251" s="201"/>
      <c r="AI251" s="200"/>
      <c r="AJ251" s="200"/>
      <c r="AK251" s="209"/>
      <c r="AL251" s="200"/>
      <c r="AM251" s="210"/>
      <c r="AN251" s="210"/>
    </row>
    <row r="252" spans="1:40" x14ac:dyDescent="0.25">
      <c r="F252" s="211"/>
      <c r="H252" s="211"/>
      <c r="I252" s="211"/>
      <c r="J252" s="305"/>
      <c r="K252" s="305"/>
      <c r="L252" s="211"/>
      <c r="M252" s="211"/>
      <c r="N252" s="211"/>
      <c r="O252" s="211"/>
      <c r="P252" s="211"/>
      <c r="Q252" s="211"/>
      <c r="R252" s="211"/>
      <c r="V252" s="211"/>
      <c r="Y252" s="211"/>
      <c r="Z252" s="305"/>
      <c r="AA252" s="211"/>
      <c r="AB252" s="211"/>
      <c r="AC252" s="211"/>
      <c r="AD252" s="211"/>
      <c r="AE252" s="211"/>
      <c r="AF252" s="211"/>
      <c r="AI252" s="211"/>
      <c r="AJ252" s="211"/>
      <c r="AK252" s="212"/>
      <c r="AL252" s="211"/>
      <c r="AM252" s="210"/>
      <c r="AN252" s="210"/>
    </row>
    <row r="253" spans="1:40" x14ac:dyDescent="0.25">
      <c r="A253" s="202"/>
      <c r="C253" s="154"/>
      <c r="F253" s="200"/>
      <c r="H253" s="200"/>
      <c r="I253" s="200"/>
      <c r="J253" s="213"/>
      <c r="K253" s="213"/>
      <c r="L253" s="200"/>
      <c r="M253" s="200"/>
      <c r="N253" s="210"/>
      <c r="O253" s="210"/>
      <c r="P253" s="200"/>
      <c r="Q253" s="200"/>
      <c r="R253" s="200"/>
      <c r="T253" s="154"/>
      <c r="V253" s="200"/>
      <c r="Y253" s="200"/>
      <c r="Z253" s="213"/>
      <c r="AA253" s="200"/>
      <c r="AB253" s="200"/>
      <c r="AC253" s="210"/>
      <c r="AD253" s="210"/>
      <c r="AE253" s="200"/>
      <c r="AF253" s="200"/>
      <c r="AG253" s="209"/>
      <c r="AH253" s="201"/>
      <c r="AI253" s="200"/>
      <c r="AJ253" s="200"/>
      <c r="AK253" s="209"/>
      <c r="AL253" s="200"/>
      <c r="AM253" s="210"/>
      <c r="AN253" s="210"/>
    </row>
    <row r="254" spans="1:40" x14ac:dyDescent="0.25">
      <c r="A254" s="202"/>
      <c r="C254" s="154"/>
      <c r="F254" s="200"/>
      <c r="H254" s="252"/>
      <c r="I254" s="252"/>
      <c r="J254" s="320"/>
      <c r="K254" s="320"/>
      <c r="L254" s="200"/>
      <c r="M254" s="200"/>
      <c r="N254" s="210"/>
      <c r="O254" s="210"/>
      <c r="P254" s="200"/>
      <c r="Q254" s="200"/>
      <c r="R254" s="200"/>
      <c r="T254" s="154"/>
      <c r="V254" s="200"/>
      <c r="Y254" s="200"/>
      <c r="Z254" s="304"/>
      <c r="AA254" s="200"/>
      <c r="AB254" s="200"/>
      <c r="AC254" s="210"/>
      <c r="AD254" s="210"/>
      <c r="AE254" s="200"/>
      <c r="AF254" s="200"/>
      <c r="AG254" s="209"/>
      <c r="AH254" s="201"/>
      <c r="AI254" s="200"/>
      <c r="AJ254" s="200"/>
      <c r="AK254" s="209"/>
      <c r="AL254" s="200"/>
      <c r="AM254" s="210"/>
      <c r="AN254" s="210"/>
    </row>
    <row r="255" spans="1:40" x14ac:dyDescent="0.25">
      <c r="H255" s="211"/>
      <c r="I255" s="211"/>
      <c r="J255" s="305"/>
      <c r="K255" s="305"/>
      <c r="L255" s="211"/>
      <c r="M255" s="211"/>
      <c r="N255" s="211"/>
      <c r="O255" s="211"/>
      <c r="P255" s="211"/>
      <c r="Q255" s="211"/>
      <c r="R255" s="211"/>
      <c r="V255" s="211"/>
      <c r="Y255" s="211"/>
      <c r="Z255" s="305"/>
      <c r="AA255" s="211"/>
      <c r="AB255" s="211"/>
      <c r="AC255" s="211"/>
      <c r="AD255" s="211"/>
      <c r="AE255" s="211"/>
      <c r="AF255" s="211"/>
      <c r="AI255" s="211"/>
      <c r="AJ255" s="211"/>
      <c r="AK255" s="212"/>
      <c r="AL255" s="211"/>
      <c r="AM255" s="210"/>
      <c r="AN255" s="210"/>
    </row>
    <row r="256" spans="1:40" x14ac:dyDescent="0.25">
      <c r="F256" s="211"/>
    </row>
    <row r="257" spans="1:40" x14ac:dyDescent="0.25">
      <c r="A257" s="202"/>
      <c r="C257" s="154"/>
      <c r="F257" s="200"/>
      <c r="H257" s="200"/>
      <c r="I257" s="200"/>
      <c r="J257" s="305"/>
      <c r="K257" s="305"/>
      <c r="L257" s="200"/>
      <c r="M257" s="200"/>
      <c r="N257" s="210"/>
      <c r="O257" s="210"/>
      <c r="P257" s="200"/>
      <c r="Q257" s="200"/>
      <c r="R257" s="200"/>
      <c r="S257" s="200"/>
      <c r="T257" s="154"/>
      <c r="V257" s="200"/>
      <c r="Y257" s="200"/>
      <c r="Z257" s="305"/>
      <c r="AA257" s="200"/>
      <c r="AB257" s="200"/>
      <c r="AC257" s="210"/>
      <c r="AD257" s="210"/>
      <c r="AE257" s="200"/>
      <c r="AF257" s="200"/>
      <c r="AG257" s="209"/>
      <c r="AH257" s="210"/>
      <c r="AI257" s="200"/>
      <c r="AJ257" s="200"/>
      <c r="AK257" s="209"/>
      <c r="AL257" s="200"/>
      <c r="AM257" s="210"/>
      <c r="AN257" s="210"/>
    </row>
    <row r="258" spans="1:40" x14ac:dyDescent="0.25">
      <c r="F258" s="211"/>
      <c r="H258" s="211"/>
      <c r="I258" s="211"/>
      <c r="J258" s="305"/>
      <c r="K258" s="305"/>
      <c r="L258" s="211"/>
      <c r="M258" s="211"/>
      <c r="N258" s="211"/>
      <c r="O258" s="211"/>
      <c r="P258" s="211"/>
      <c r="Q258" s="211"/>
      <c r="R258" s="211"/>
      <c r="S258" s="200"/>
      <c r="V258" s="211"/>
      <c r="Y258" s="211"/>
      <c r="Z258" s="305"/>
      <c r="AA258" s="211"/>
      <c r="AB258" s="211"/>
      <c r="AC258" s="211"/>
      <c r="AD258" s="211"/>
      <c r="AE258" s="211"/>
      <c r="AF258" s="211"/>
      <c r="AI258" s="211"/>
      <c r="AJ258" s="211"/>
      <c r="AK258" s="212"/>
      <c r="AL258" s="211"/>
      <c r="AM258" s="210"/>
      <c r="AN258" s="210"/>
    </row>
    <row r="259" spans="1:40" x14ac:dyDescent="0.25">
      <c r="A259" s="202"/>
      <c r="C259" s="154"/>
      <c r="H259" s="252"/>
      <c r="I259" s="252"/>
      <c r="J259" s="305"/>
      <c r="K259" s="305"/>
      <c r="L259" s="200"/>
      <c r="M259" s="200"/>
      <c r="N259" s="210"/>
      <c r="O259" s="210"/>
      <c r="P259" s="200"/>
      <c r="Q259" s="200"/>
      <c r="R259" s="200"/>
      <c r="S259" s="200"/>
      <c r="T259" s="154"/>
      <c r="V259" s="252"/>
      <c r="Y259" s="252"/>
      <c r="Z259" s="305"/>
      <c r="AA259" s="200"/>
      <c r="AB259" s="200"/>
      <c r="AC259" s="210"/>
      <c r="AD259" s="210"/>
      <c r="AE259" s="200"/>
      <c r="AF259" s="200"/>
      <c r="AI259" s="200"/>
      <c r="AJ259" s="200"/>
      <c r="AK259" s="209"/>
      <c r="AL259" s="200"/>
      <c r="AM259" s="210"/>
      <c r="AN259" s="210"/>
    </row>
    <row r="260" spans="1:40" x14ac:dyDescent="0.25">
      <c r="F260" s="252"/>
    </row>
    <row r="261" spans="1:40" x14ac:dyDescent="0.25">
      <c r="A261" s="202"/>
      <c r="C261" s="154"/>
      <c r="F261" s="252"/>
      <c r="H261" s="252"/>
      <c r="I261" s="252"/>
      <c r="J261" s="300"/>
      <c r="K261" s="300"/>
      <c r="L261" s="200"/>
      <c r="M261" s="200"/>
      <c r="N261" s="210"/>
      <c r="O261" s="210"/>
      <c r="P261" s="202"/>
      <c r="Q261" s="202"/>
      <c r="R261" s="200"/>
      <c r="T261" s="154"/>
      <c r="V261" s="200"/>
      <c r="Y261" s="252"/>
      <c r="Z261" s="300"/>
      <c r="AA261" s="200"/>
      <c r="AB261" s="200"/>
      <c r="AC261" s="210"/>
      <c r="AD261" s="210"/>
      <c r="AE261" s="200"/>
      <c r="AF261" s="200"/>
      <c r="AG261" s="209"/>
      <c r="AH261" s="201"/>
      <c r="AI261" s="202"/>
      <c r="AJ261" s="202"/>
      <c r="AK261" s="209"/>
      <c r="AL261" s="200"/>
      <c r="AM261" s="210"/>
      <c r="AN261" s="210"/>
    </row>
    <row r="262" spans="1:40" x14ac:dyDescent="0.25">
      <c r="F262" s="211"/>
      <c r="H262" s="200"/>
      <c r="I262" s="200"/>
      <c r="J262" s="305"/>
      <c r="K262" s="305"/>
      <c r="L262" s="211"/>
      <c r="M262" s="211"/>
      <c r="N262" s="211"/>
      <c r="O262" s="211"/>
      <c r="P262" s="211"/>
      <c r="Q262" s="211"/>
      <c r="R262" s="211"/>
      <c r="V262" s="211"/>
      <c r="Y262" s="200"/>
      <c r="Z262" s="305"/>
      <c r="AA262" s="211"/>
      <c r="AB262" s="211"/>
      <c r="AC262" s="211"/>
      <c r="AD262" s="211"/>
      <c r="AE262" s="211"/>
      <c r="AF262" s="211"/>
      <c r="AI262" s="211"/>
      <c r="AJ262" s="211"/>
      <c r="AK262" s="212"/>
      <c r="AL262" s="211"/>
      <c r="AM262" s="210"/>
      <c r="AN262" s="210"/>
    </row>
    <row r="263" spans="1:40" x14ac:dyDescent="0.25">
      <c r="A263" s="202"/>
      <c r="C263" s="154"/>
      <c r="F263" s="252"/>
      <c r="H263" s="252"/>
      <c r="I263" s="252"/>
      <c r="J263" s="328"/>
      <c r="K263" s="328"/>
      <c r="L263" s="200"/>
      <c r="M263" s="200"/>
      <c r="N263" s="210"/>
      <c r="O263" s="210"/>
      <c r="P263" s="200"/>
      <c r="Q263" s="200"/>
      <c r="R263" s="200"/>
      <c r="S263" s="200"/>
      <c r="T263" s="154"/>
      <c r="V263" s="252"/>
      <c r="Y263" s="252"/>
      <c r="Z263" s="328"/>
      <c r="AA263" s="200"/>
      <c r="AB263" s="200"/>
      <c r="AC263" s="210"/>
      <c r="AD263" s="210"/>
      <c r="AE263" s="200"/>
      <c r="AF263" s="200"/>
      <c r="AG263" s="209"/>
      <c r="AH263" s="210"/>
      <c r="AI263" s="200"/>
      <c r="AJ263" s="200"/>
      <c r="AK263" s="209"/>
      <c r="AL263" s="200"/>
      <c r="AM263" s="210"/>
      <c r="AN263" s="210"/>
    </row>
    <row r="264" spans="1:40" x14ac:dyDescent="0.25">
      <c r="A264" s="202"/>
      <c r="C264" s="154"/>
      <c r="F264" s="252"/>
      <c r="H264" s="252"/>
      <c r="I264" s="252"/>
      <c r="J264" s="300"/>
      <c r="K264" s="300"/>
      <c r="L264" s="200"/>
      <c r="M264" s="200"/>
      <c r="N264" s="210"/>
      <c r="O264" s="210"/>
      <c r="P264" s="200"/>
      <c r="Q264" s="200"/>
      <c r="R264" s="200"/>
      <c r="T264" s="154"/>
      <c r="V264" s="252"/>
      <c r="Y264" s="200"/>
      <c r="Z264" s="300"/>
      <c r="AA264" s="200"/>
      <c r="AB264" s="200"/>
      <c r="AC264" s="210"/>
      <c r="AD264" s="210"/>
      <c r="AE264" s="200"/>
      <c r="AF264" s="200"/>
      <c r="AG264" s="209"/>
      <c r="AH264" s="201"/>
      <c r="AI264" s="200"/>
      <c r="AJ264" s="200"/>
      <c r="AK264" s="209"/>
      <c r="AL264" s="200"/>
      <c r="AM264" s="210"/>
      <c r="AN264" s="210"/>
    </row>
    <row r="265" spans="1:40" x14ac:dyDescent="0.25">
      <c r="A265" s="202"/>
      <c r="C265" s="154"/>
      <c r="F265" s="252"/>
      <c r="H265" s="252"/>
      <c r="I265" s="252"/>
      <c r="J265" s="300"/>
      <c r="K265" s="300"/>
      <c r="L265" s="200"/>
      <c r="M265" s="200"/>
      <c r="N265" s="210"/>
      <c r="O265" s="210"/>
      <c r="P265" s="200"/>
      <c r="Q265" s="200"/>
      <c r="R265" s="200"/>
      <c r="T265" s="154"/>
      <c r="V265" s="252"/>
      <c r="Y265" s="200"/>
      <c r="Z265" s="300"/>
      <c r="AA265" s="200"/>
      <c r="AB265" s="200"/>
      <c r="AC265" s="210"/>
      <c r="AD265" s="210"/>
      <c r="AE265" s="200"/>
      <c r="AF265" s="200"/>
      <c r="AG265" s="209"/>
      <c r="AH265" s="201"/>
      <c r="AI265" s="200"/>
      <c r="AJ265" s="200"/>
      <c r="AK265" s="209"/>
      <c r="AL265" s="200"/>
      <c r="AM265" s="210"/>
      <c r="AN265" s="210"/>
    </row>
    <row r="266" spans="1:40" x14ac:dyDescent="0.25">
      <c r="F266" s="211"/>
      <c r="H266" s="211"/>
      <c r="I266" s="211"/>
      <c r="J266" s="305"/>
      <c r="K266" s="305"/>
      <c r="L266" s="211"/>
      <c r="M266" s="211"/>
      <c r="N266" s="211"/>
      <c r="O266" s="211"/>
      <c r="P266" s="211"/>
      <c r="Q266" s="211"/>
      <c r="R266" s="211"/>
      <c r="V266" s="211"/>
      <c r="Y266" s="211"/>
      <c r="Z266" s="305"/>
      <c r="AA266" s="211"/>
      <c r="AB266" s="211"/>
      <c r="AC266" s="211"/>
      <c r="AD266" s="211"/>
      <c r="AE266" s="211"/>
      <c r="AF266" s="211"/>
      <c r="AI266" s="211"/>
      <c r="AJ266" s="211"/>
      <c r="AK266" s="212"/>
      <c r="AL266" s="211"/>
      <c r="AM266" s="210"/>
      <c r="AN266" s="210"/>
    </row>
    <row r="267" spans="1:40" x14ac:dyDescent="0.25">
      <c r="A267" s="202"/>
      <c r="C267" s="154"/>
      <c r="F267" s="200"/>
      <c r="H267" s="200"/>
      <c r="I267" s="200"/>
      <c r="J267" s="213"/>
      <c r="K267" s="213"/>
      <c r="L267" s="200"/>
      <c r="M267" s="200"/>
      <c r="N267" s="210"/>
      <c r="O267" s="210"/>
      <c r="P267" s="200"/>
      <c r="Q267" s="200"/>
      <c r="R267" s="200"/>
      <c r="T267" s="154"/>
      <c r="V267" s="200"/>
      <c r="Y267" s="200"/>
      <c r="Z267" s="213"/>
      <c r="AA267" s="200"/>
      <c r="AB267" s="200"/>
      <c r="AC267" s="210"/>
      <c r="AD267" s="210"/>
      <c r="AE267" s="200"/>
      <c r="AF267" s="200"/>
      <c r="AG267" s="209"/>
      <c r="AH267" s="201"/>
      <c r="AI267" s="200"/>
      <c r="AJ267" s="200"/>
      <c r="AK267" s="209"/>
      <c r="AL267" s="200"/>
      <c r="AM267" s="210"/>
      <c r="AN267" s="210"/>
    </row>
    <row r="268" spans="1:40" x14ac:dyDescent="0.25">
      <c r="F268" s="211"/>
      <c r="H268" s="211"/>
      <c r="I268" s="211"/>
      <c r="J268" s="305"/>
      <c r="K268" s="305"/>
      <c r="L268" s="211"/>
      <c r="M268" s="211"/>
      <c r="N268" s="211"/>
      <c r="O268" s="211"/>
      <c r="P268" s="211"/>
      <c r="Q268" s="211"/>
      <c r="R268" s="211"/>
      <c r="V268" s="211"/>
      <c r="Y268" s="211"/>
      <c r="Z268" s="305"/>
      <c r="AA268" s="211"/>
      <c r="AB268" s="211"/>
      <c r="AC268" s="211"/>
      <c r="AD268" s="211"/>
      <c r="AE268" s="211"/>
      <c r="AF268" s="211"/>
      <c r="AI268" s="211"/>
      <c r="AJ268" s="211"/>
      <c r="AK268" s="212"/>
      <c r="AL268" s="211"/>
      <c r="AM268" s="210"/>
      <c r="AN268" s="210"/>
    </row>
    <row r="269" spans="1:40" x14ac:dyDescent="0.25">
      <c r="A269" s="202"/>
      <c r="C269" s="154"/>
      <c r="F269" s="200"/>
      <c r="H269" s="200"/>
      <c r="I269" s="200"/>
      <c r="J269" s="213"/>
      <c r="K269" s="213"/>
      <c r="L269" s="200"/>
      <c r="M269" s="200"/>
      <c r="N269" s="210"/>
      <c r="O269" s="210"/>
      <c r="P269" s="200"/>
      <c r="Q269" s="200"/>
      <c r="R269" s="200"/>
      <c r="T269" s="154"/>
      <c r="V269" s="200"/>
      <c r="Y269" s="200"/>
      <c r="Z269" s="213"/>
      <c r="AA269" s="200"/>
      <c r="AB269" s="200"/>
      <c r="AC269" s="210"/>
      <c r="AD269" s="210"/>
      <c r="AE269" s="200"/>
      <c r="AF269" s="200"/>
      <c r="AG269" s="209"/>
      <c r="AH269" s="201"/>
      <c r="AI269" s="200"/>
      <c r="AJ269" s="200"/>
      <c r="AK269" s="209"/>
      <c r="AL269" s="200"/>
      <c r="AM269" s="210"/>
      <c r="AN269" s="210"/>
    </row>
    <row r="270" spans="1:40" x14ac:dyDescent="0.25">
      <c r="A270" s="202"/>
      <c r="C270" s="154"/>
      <c r="F270" s="200"/>
      <c r="H270" s="252"/>
      <c r="I270" s="252"/>
      <c r="J270" s="320"/>
      <c r="K270" s="320"/>
      <c r="L270" s="200"/>
      <c r="M270" s="200"/>
      <c r="N270" s="210"/>
      <c r="O270" s="210"/>
      <c r="P270" s="200"/>
      <c r="Q270" s="200"/>
      <c r="R270" s="200"/>
      <c r="T270" s="154"/>
      <c r="V270" s="200"/>
      <c r="Y270" s="200"/>
      <c r="Z270" s="304"/>
      <c r="AA270" s="200"/>
      <c r="AB270" s="200"/>
      <c r="AC270" s="210"/>
      <c r="AD270" s="210"/>
      <c r="AE270" s="200"/>
      <c r="AF270" s="200"/>
      <c r="AG270" s="209"/>
      <c r="AH270" s="201"/>
      <c r="AI270" s="200"/>
      <c r="AJ270" s="200"/>
      <c r="AK270" s="209"/>
      <c r="AL270" s="200"/>
      <c r="AM270" s="210"/>
      <c r="AN270" s="210"/>
    </row>
    <row r="271" spans="1:40" x14ac:dyDescent="0.25">
      <c r="H271" s="211"/>
      <c r="I271" s="211"/>
      <c r="J271" s="305"/>
      <c r="K271" s="305"/>
      <c r="L271" s="211"/>
      <c r="M271" s="211"/>
      <c r="N271" s="211"/>
      <c r="O271" s="211"/>
      <c r="P271" s="211"/>
      <c r="Q271" s="211"/>
      <c r="R271" s="211"/>
      <c r="V271" s="211"/>
      <c r="Y271" s="211"/>
      <c r="Z271" s="305"/>
      <c r="AA271" s="211"/>
      <c r="AB271" s="211"/>
      <c r="AC271" s="211"/>
      <c r="AD271" s="211"/>
      <c r="AE271" s="211"/>
      <c r="AF271" s="211"/>
      <c r="AI271" s="211"/>
      <c r="AJ271" s="211"/>
      <c r="AK271" s="212"/>
      <c r="AL271" s="211"/>
      <c r="AM271" s="210"/>
      <c r="AN271" s="210"/>
    </row>
    <row r="272" spans="1:40" x14ac:dyDescent="0.25">
      <c r="F272" s="211"/>
    </row>
    <row r="273" spans="1:40" x14ac:dyDescent="0.25">
      <c r="A273" s="202"/>
      <c r="C273" s="154"/>
      <c r="F273" s="200"/>
      <c r="H273" s="200"/>
      <c r="I273" s="200"/>
      <c r="J273" s="305"/>
      <c r="K273" s="305"/>
      <c r="L273" s="200"/>
      <c r="M273" s="200"/>
      <c r="N273" s="210"/>
      <c r="O273" s="210"/>
      <c r="P273" s="200"/>
      <c r="Q273" s="200"/>
      <c r="R273" s="200"/>
      <c r="S273" s="200"/>
      <c r="T273" s="154"/>
      <c r="V273" s="200"/>
      <c r="Y273" s="200"/>
      <c r="Z273" s="305"/>
      <c r="AA273" s="200"/>
      <c r="AB273" s="200"/>
      <c r="AC273" s="210"/>
      <c r="AD273" s="210"/>
      <c r="AE273" s="200"/>
      <c r="AF273" s="200"/>
      <c r="AG273" s="209"/>
      <c r="AH273" s="210"/>
      <c r="AI273" s="200"/>
      <c r="AJ273" s="200"/>
      <c r="AK273" s="209"/>
      <c r="AL273" s="200"/>
      <c r="AM273" s="210"/>
      <c r="AN273" s="210"/>
    </row>
    <row r="274" spans="1:40" x14ac:dyDescent="0.25">
      <c r="F274" s="211"/>
      <c r="H274" s="211"/>
      <c r="I274" s="211"/>
      <c r="J274" s="305"/>
      <c r="K274" s="305"/>
      <c r="L274" s="211"/>
      <c r="M274" s="211"/>
      <c r="N274" s="211"/>
      <c r="O274" s="211"/>
      <c r="P274" s="211"/>
      <c r="Q274" s="211"/>
      <c r="R274" s="211"/>
      <c r="S274" s="200"/>
      <c r="V274" s="211"/>
      <c r="Y274" s="211"/>
      <c r="Z274" s="305"/>
      <c r="AA274" s="211"/>
      <c r="AB274" s="211"/>
      <c r="AC274" s="211"/>
      <c r="AD274" s="211"/>
      <c r="AE274" s="211"/>
      <c r="AF274" s="211"/>
      <c r="AI274" s="211"/>
      <c r="AJ274" s="211"/>
      <c r="AK274" s="212"/>
      <c r="AL274" s="211"/>
      <c r="AM274" s="210"/>
      <c r="AN274" s="210"/>
    </row>
    <row r="275" spans="1:40" x14ac:dyDescent="0.25">
      <c r="A275" s="202"/>
      <c r="C275" s="154"/>
      <c r="T275" s="154"/>
    </row>
    <row r="276" spans="1:40" x14ac:dyDescent="0.25">
      <c r="A276" s="202"/>
      <c r="C276" s="154"/>
      <c r="F276" s="200"/>
      <c r="H276" s="200"/>
      <c r="I276" s="200"/>
      <c r="L276" s="200"/>
      <c r="M276" s="200"/>
      <c r="N276" s="210"/>
      <c r="O276" s="210"/>
      <c r="P276" s="252"/>
      <c r="Q276" s="252"/>
      <c r="R276" s="200"/>
      <c r="T276" s="154"/>
      <c r="V276" s="200"/>
      <c r="Y276" s="200"/>
      <c r="AA276" s="200"/>
      <c r="AB276" s="200"/>
      <c r="AC276" s="210"/>
      <c r="AD276" s="210"/>
      <c r="AE276" s="200"/>
      <c r="AF276" s="200"/>
      <c r="AG276" s="209"/>
      <c r="AH276" s="210"/>
      <c r="AI276" s="252"/>
      <c r="AJ276" s="252"/>
      <c r="AK276" s="209"/>
      <c r="AL276" s="200"/>
      <c r="AM276" s="210"/>
      <c r="AN276" s="210"/>
    </row>
    <row r="277" spans="1:40" x14ac:dyDescent="0.25">
      <c r="H277" s="211"/>
      <c r="I277" s="211"/>
      <c r="J277" s="305"/>
      <c r="K277" s="305"/>
      <c r="L277" s="211"/>
      <c r="M277" s="211"/>
      <c r="N277" s="211"/>
      <c r="O277" s="211"/>
      <c r="P277" s="211"/>
      <c r="Q277" s="211"/>
      <c r="R277" s="211"/>
      <c r="V277" s="211"/>
      <c r="Y277" s="211"/>
      <c r="Z277" s="305"/>
      <c r="AA277" s="211"/>
      <c r="AB277" s="211"/>
      <c r="AC277" s="211"/>
      <c r="AD277" s="211"/>
      <c r="AE277" s="211"/>
      <c r="AF277" s="211"/>
      <c r="AI277" s="211"/>
      <c r="AJ277" s="211"/>
      <c r="AK277" s="212"/>
      <c r="AL277" s="211"/>
    </row>
    <row r="278" spans="1:40" x14ac:dyDescent="0.25">
      <c r="F278" s="211"/>
    </row>
    <row r="279" spans="1:40" x14ac:dyDescent="0.25">
      <c r="C279" s="154"/>
      <c r="L279" s="200"/>
      <c r="M279" s="200"/>
      <c r="N279" s="200"/>
      <c r="O279" s="200"/>
      <c r="P279" s="200"/>
      <c r="Q279" s="200"/>
      <c r="R279" s="200"/>
      <c r="S279" s="200"/>
      <c r="T279" s="154"/>
      <c r="AA279" s="200"/>
      <c r="AB279" s="200"/>
      <c r="AC279" s="200"/>
      <c r="AD279" s="200"/>
      <c r="AI279" s="200"/>
      <c r="AJ279" s="200"/>
      <c r="AK279" s="209"/>
      <c r="AL279" s="200"/>
    </row>
    <row r="280" spans="1:40" x14ac:dyDescent="0.25">
      <c r="A280" s="154"/>
    </row>
    <row r="281" spans="1:40" x14ac:dyDescent="0.25">
      <c r="J281" s="202"/>
      <c r="K281" s="202"/>
      <c r="Z281" s="202"/>
    </row>
    <row r="282" spans="1:40" x14ac:dyDescent="0.25">
      <c r="H282" s="154"/>
      <c r="I282" s="154"/>
      <c r="Y282" s="154"/>
    </row>
    <row r="283" spans="1:40" x14ac:dyDescent="0.25">
      <c r="J283" s="202"/>
      <c r="K283" s="202"/>
      <c r="Z283" s="202"/>
    </row>
    <row r="284" spans="1:40" x14ac:dyDescent="0.25">
      <c r="L284" s="154"/>
      <c r="M284" s="154"/>
      <c r="AA284" s="154"/>
      <c r="AB284" s="154"/>
    </row>
    <row r="285" spans="1:40" x14ac:dyDescent="0.25">
      <c r="A285" s="202"/>
      <c r="R285" s="154"/>
      <c r="AK285" s="297"/>
      <c r="AL285" s="154"/>
    </row>
    <row r="286" spans="1:40" x14ac:dyDescent="0.25">
      <c r="A286" s="202"/>
      <c r="R286" s="154"/>
      <c r="AK286" s="297"/>
      <c r="AL286" s="154"/>
    </row>
    <row r="287" spans="1:40" x14ac:dyDescent="0.25">
      <c r="A287" s="154"/>
      <c r="R287" s="154"/>
      <c r="AK287" s="297"/>
      <c r="AL287" s="154"/>
    </row>
    <row r="288" spans="1:40" x14ac:dyDescent="0.25">
      <c r="L288" s="154"/>
      <c r="M288" s="154"/>
      <c r="R288" s="202"/>
      <c r="AA288" s="154"/>
      <c r="AB288" s="154"/>
      <c r="AK288" s="209"/>
      <c r="AL288" s="202"/>
    </row>
    <row r="289" spans="1:40" x14ac:dyDescent="0.25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208"/>
      <c r="AH289" s="102"/>
      <c r="AI289" s="102"/>
      <c r="AJ289" s="102"/>
      <c r="AK289" s="208"/>
      <c r="AL289" s="102"/>
      <c r="AM289" s="102"/>
      <c r="AN289" s="102"/>
    </row>
    <row r="290" spans="1:40" x14ac:dyDescent="0.25">
      <c r="L290" s="103"/>
      <c r="M290" s="103"/>
      <c r="N290" s="103"/>
      <c r="O290" s="103"/>
      <c r="R290" s="103"/>
      <c r="AA290" s="103"/>
      <c r="AB290" s="103"/>
      <c r="AC290" s="103"/>
      <c r="AD290" s="103"/>
      <c r="AE290" s="103"/>
      <c r="AF290" s="103"/>
      <c r="AG290" s="185"/>
      <c r="AH290" s="103"/>
      <c r="AK290" s="185"/>
      <c r="AL290" s="103"/>
      <c r="AM290" s="103"/>
      <c r="AN290" s="103"/>
    </row>
    <row r="291" spans="1:40" x14ac:dyDescent="0.25">
      <c r="L291" s="103"/>
      <c r="M291" s="103"/>
      <c r="N291" s="103"/>
      <c r="O291" s="103"/>
      <c r="R291" s="103"/>
      <c r="Z291" s="103"/>
      <c r="AA291" s="103"/>
      <c r="AB291" s="103"/>
      <c r="AC291" s="103"/>
      <c r="AD291" s="103"/>
      <c r="AE291" s="103"/>
      <c r="AF291" s="103"/>
      <c r="AG291" s="185"/>
      <c r="AH291" s="103"/>
      <c r="AK291" s="185"/>
      <c r="AL291" s="103"/>
      <c r="AM291" s="103"/>
      <c r="AN291" s="103"/>
    </row>
    <row r="292" spans="1:40" x14ac:dyDescent="0.25">
      <c r="A292" s="103"/>
      <c r="C292" s="103"/>
      <c r="D292" s="103"/>
      <c r="E292" s="103"/>
      <c r="F292" s="103"/>
      <c r="J292" s="103"/>
      <c r="K292" s="103"/>
      <c r="L292" s="103"/>
      <c r="M292" s="103"/>
      <c r="N292" s="103"/>
      <c r="O292" s="103"/>
      <c r="P292" s="103"/>
      <c r="Q292" s="103"/>
      <c r="R292" s="103"/>
      <c r="T292" s="103"/>
      <c r="U292" s="103"/>
      <c r="V292" s="103"/>
      <c r="Z292" s="103"/>
      <c r="AA292" s="103"/>
      <c r="AB292" s="103"/>
      <c r="AC292" s="103"/>
      <c r="AD292" s="103"/>
      <c r="AE292" s="103"/>
      <c r="AF292" s="103"/>
      <c r="AG292" s="185"/>
      <c r="AH292" s="103"/>
      <c r="AI292" s="103"/>
      <c r="AJ292" s="103"/>
      <c r="AK292" s="185"/>
      <c r="AL292" s="103"/>
      <c r="AM292" s="103"/>
      <c r="AN292" s="103"/>
    </row>
    <row r="293" spans="1:40" x14ac:dyDescent="0.25">
      <c r="A293" s="103"/>
      <c r="C293" s="103"/>
      <c r="D293" s="103"/>
      <c r="E293" s="103"/>
      <c r="F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T293" s="103"/>
      <c r="U293" s="103"/>
      <c r="V293" s="103"/>
      <c r="Y293" s="103"/>
      <c r="Z293" s="103"/>
      <c r="AA293" s="103"/>
      <c r="AB293" s="103"/>
      <c r="AC293" s="103"/>
      <c r="AD293" s="103"/>
      <c r="AE293" s="103"/>
      <c r="AF293" s="103"/>
      <c r="AG293" s="185"/>
      <c r="AH293" s="103"/>
      <c r="AI293" s="103"/>
      <c r="AJ293" s="103"/>
      <c r="AK293" s="185"/>
      <c r="AL293" s="103"/>
      <c r="AM293" s="103"/>
      <c r="AN293" s="103"/>
    </row>
    <row r="294" spans="1:40" x14ac:dyDescent="0.25">
      <c r="C294" s="103"/>
      <c r="D294" s="103"/>
      <c r="E294" s="103"/>
      <c r="F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T294" s="103"/>
      <c r="U294" s="103"/>
      <c r="V294" s="103"/>
      <c r="Y294" s="103"/>
      <c r="Z294" s="103"/>
      <c r="AA294" s="103"/>
      <c r="AB294" s="103"/>
      <c r="AC294" s="103"/>
      <c r="AD294" s="103"/>
      <c r="AE294" s="103"/>
      <c r="AF294" s="103"/>
      <c r="AG294" s="185"/>
      <c r="AH294" s="103"/>
      <c r="AI294" s="103"/>
      <c r="AJ294" s="103"/>
      <c r="AK294" s="185"/>
      <c r="AL294" s="103"/>
      <c r="AM294" s="103"/>
      <c r="AN294" s="103"/>
    </row>
    <row r="295" spans="1:40" x14ac:dyDescent="0.2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208"/>
      <c r="AH295" s="102"/>
      <c r="AI295" s="102"/>
      <c r="AJ295" s="102"/>
      <c r="AK295" s="208"/>
      <c r="AL295" s="102"/>
      <c r="AM295" s="102"/>
      <c r="AN295" s="102"/>
    </row>
    <row r="296" spans="1:40" x14ac:dyDescent="0.25"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Y296" s="103"/>
      <c r="Z296" s="103"/>
      <c r="AA296" s="103"/>
      <c r="AB296" s="103"/>
      <c r="AC296" s="103"/>
      <c r="AD296" s="103"/>
      <c r="AE296" s="103"/>
      <c r="AF296" s="103"/>
      <c r="AG296" s="185"/>
      <c r="AH296" s="103"/>
      <c r="AI296" s="103"/>
      <c r="AJ296" s="103"/>
      <c r="AK296" s="185"/>
      <c r="AL296" s="103"/>
      <c r="AM296" s="103"/>
      <c r="AN296" s="103"/>
    </row>
    <row r="297" spans="1:40" x14ac:dyDescent="0.25">
      <c r="A297" s="202"/>
      <c r="C297" s="154"/>
      <c r="D297" s="154"/>
      <c r="E297" s="154"/>
      <c r="T297" s="154"/>
      <c r="U297" s="154"/>
    </row>
    <row r="298" spans="1:40" x14ac:dyDescent="0.25">
      <c r="D298" s="154"/>
      <c r="E298" s="154"/>
      <c r="U298" s="154"/>
    </row>
    <row r="300" spans="1:40" x14ac:dyDescent="0.25">
      <c r="A300" s="202"/>
      <c r="C300" s="154"/>
      <c r="T300" s="154"/>
    </row>
    <row r="301" spans="1:40" x14ac:dyDescent="0.25">
      <c r="A301" s="202"/>
      <c r="C301" s="154"/>
      <c r="F301" s="252"/>
      <c r="H301" s="252"/>
      <c r="I301" s="252"/>
      <c r="J301" s="329"/>
      <c r="K301" s="329"/>
      <c r="L301" s="200"/>
      <c r="M301" s="200"/>
      <c r="N301" s="210"/>
      <c r="O301" s="210"/>
      <c r="P301" s="200"/>
      <c r="Q301" s="200"/>
      <c r="R301" s="200"/>
      <c r="T301" s="154"/>
      <c r="V301" s="252"/>
      <c r="W301" s="200"/>
      <c r="X301" s="200"/>
      <c r="Y301" s="252"/>
      <c r="Z301" s="329"/>
      <c r="AA301" s="200"/>
      <c r="AB301" s="200"/>
      <c r="AC301" s="210"/>
      <c r="AD301" s="210"/>
      <c r="AE301" s="200"/>
      <c r="AF301" s="200"/>
      <c r="AG301" s="209"/>
      <c r="AH301" s="201"/>
      <c r="AI301" s="200"/>
      <c r="AJ301" s="200"/>
      <c r="AK301" s="209"/>
      <c r="AL301" s="200"/>
      <c r="AM301" s="210"/>
      <c r="AN301" s="210"/>
    </row>
    <row r="302" spans="1:40" x14ac:dyDescent="0.25">
      <c r="A302" s="202"/>
      <c r="C302" s="154"/>
      <c r="F302" s="200"/>
      <c r="H302" s="200"/>
      <c r="I302" s="200"/>
      <c r="J302" s="305"/>
      <c r="K302" s="305"/>
      <c r="L302" s="200"/>
      <c r="M302" s="200"/>
      <c r="N302" s="210"/>
      <c r="O302" s="210"/>
      <c r="P302" s="200"/>
      <c r="Q302" s="200"/>
      <c r="R302" s="200"/>
      <c r="T302" s="154"/>
      <c r="V302" s="252"/>
      <c r="W302" s="200"/>
      <c r="X302" s="200"/>
      <c r="Y302" s="252"/>
      <c r="Z302" s="305"/>
      <c r="AA302" s="200"/>
      <c r="AB302" s="200"/>
      <c r="AC302" s="210"/>
      <c r="AD302" s="210"/>
      <c r="AE302" s="200"/>
      <c r="AF302" s="200"/>
      <c r="AG302" s="209"/>
      <c r="AH302" s="201"/>
      <c r="AI302" s="200"/>
      <c r="AJ302" s="200"/>
      <c r="AK302" s="209"/>
      <c r="AL302" s="200"/>
      <c r="AM302" s="210"/>
      <c r="AN302" s="210"/>
    </row>
    <row r="303" spans="1:40" x14ac:dyDescent="0.25">
      <c r="A303" s="202"/>
      <c r="C303" s="154"/>
      <c r="F303" s="252"/>
      <c r="H303" s="252"/>
      <c r="I303" s="252"/>
      <c r="J303" s="329"/>
      <c r="K303" s="329"/>
      <c r="L303" s="200"/>
      <c r="M303" s="200"/>
      <c r="N303" s="210"/>
      <c r="O303" s="210"/>
      <c r="P303" s="200"/>
      <c r="Q303" s="200"/>
      <c r="R303" s="200"/>
      <c r="T303" s="154"/>
      <c r="V303" s="252"/>
      <c r="W303" s="200"/>
      <c r="X303" s="200"/>
      <c r="Y303" s="252"/>
      <c r="Z303" s="329"/>
      <c r="AA303" s="200"/>
      <c r="AB303" s="200"/>
      <c r="AC303" s="210"/>
      <c r="AD303" s="210"/>
      <c r="AE303" s="200"/>
      <c r="AF303" s="200"/>
      <c r="AG303" s="209"/>
      <c r="AH303" s="201"/>
      <c r="AI303" s="200"/>
      <c r="AJ303" s="200"/>
      <c r="AK303" s="209"/>
      <c r="AL303" s="200"/>
      <c r="AM303" s="210"/>
      <c r="AN303" s="210"/>
    </row>
    <row r="304" spans="1:40" x14ac:dyDescent="0.25">
      <c r="A304" s="202"/>
      <c r="C304" s="154"/>
      <c r="F304" s="252"/>
      <c r="H304" s="252"/>
      <c r="I304" s="252"/>
      <c r="J304" s="329"/>
      <c r="K304" s="329"/>
      <c r="L304" s="200"/>
      <c r="M304" s="200"/>
      <c r="N304" s="210"/>
      <c r="O304" s="210"/>
      <c r="P304" s="200"/>
      <c r="Q304" s="200"/>
      <c r="R304" s="200"/>
      <c r="T304" s="154"/>
      <c r="V304" s="252"/>
      <c r="W304" s="200"/>
      <c r="X304" s="200"/>
      <c r="Y304" s="252"/>
      <c r="Z304" s="329"/>
      <c r="AA304" s="200"/>
      <c r="AB304" s="200"/>
      <c r="AC304" s="210"/>
      <c r="AD304" s="210"/>
      <c r="AE304" s="200"/>
      <c r="AF304" s="200"/>
      <c r="AG304" s="209"/>
      <c r="AH304" s="201"/>
      <c r="AI304" s="200"/>
      <c r="AJ304" s="200"/>
      <c r="AK304" s="209"/>
      <c r="AL304" s="200"/>
      <c r="AM304" s="210"/>
      <c r="AN304" s="210"/>
    </row>
    <row r="305" spans="1:40" x14ac:dyDescent="0.25">
      <c r="A305" s="202"/>
      <c r="C305" s="154"/>
      <c r="F305" s="252"/>
      <c r="H305" s="252"/>
      <c r="I305" s="252"/>
      <c r="J305" s="329"/>
      <c r="K305" s="329"/>
      <c r="L305" s="200"/>
      <c r="M305" s="200"/>
      <c r="N305" s="210"/>
      <c r="O305" s="210"/>
      <c r="P305" s="200"/>
      <c r="Q305" s="200"/>
      <c r="R305" s="200"/>
      <c r="T305" s="154"/>
      <c r="V305" s="252"/>
      <c r="W305" s="200"/>
      <c r="X305" s="200"/>
      <c r="Y305" s="252"/>
      <c r="Z305" s="329"/>
      <c r="AA305" s="200"/>
      <c r="AB305" s="200"/>
      <c r="AC305" s="210"/>
      <c r="AD305" s="210"/>
      <c r="AE305" s="200"/>
      <c r="AF305" s="200"/>
      <c r="AG305" s="209"/>
      <c r="AH305" s="201"/>
      <c r="AI305" s="200"/>
      <c r="AJ305" s="200"/>
      <c r="AK305" s="209"/>
      <c r="AL305" s="200"/>
      <c r="AM305" s="210"/>
      <c r="AN305" s="210"/>
    </row>
    <row r="306" spans="1:40" x14ac:dyDescent="0.25">
      <c r="A306" s="202"/>
      <c r="C306" s="154"/>
      <c r="F306" s="200"/>
      <c r="H306" s="200"/>
      <c r="I306" s="200"/>
      <c r="J306" s="329"/>
      <c r="K306" s="329"/>
      <c r="L306" s="200"/>
      <c r="M306" s="200"/>
      <c r="N306" s="210"/>
      <c r="O306" s="210"/>
      <c r="P306" s="200"/>
      <c r="Q306" s="200"/>
      <c r="R306" s="200"/>
      <c r="T306" s="154"/>
      <c r="V306" s="252"/>
      <c r="W306" s="200"/>
      <c r="X306" s="200"/>
      <c r="Y306" s="252"/>
      <c r="Z306" s="329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A307" s="202"/>
      <c r="C307" s="154"/>
      <c r="F307" s="200"/>
      <c r="H307" s="200"/>
      <c r="I307" s="200"/>
      <c r="J307" s="329"/>
      <c r="K307" s="329"/>
      <c r="L307" s="200"/>
      <c r="M307" s="200"/>
      <c r="N307" s="210"/>
      <c r="O307" s="210"/>
      <c r="P307" s="200"/>
      <c r="Q307" s="200"/>
      <c r="R307" s="200"/>
      <c r="T307" s="154"/>
      <c r="V307" s="252"/>
      <c r="W307" s="200"/>
      <c r="X307" s="200"/>
      <c r="Y307" s="252"/>
      <c r="Z307" s="329"/>
      <c r="AA307" s="200"/>
      <c r="AB307" s="200"/>
      <c r="AC307" s="210"/>
      <c r="AD307" s="210"/>
      <c r="AE307" s="200"/>
      <c r="AF307" s="200"/>
      <c r="AG307" s="209"/>
      <c r="AH307" s="201"/>
      <c r="AI307" s="200"/>
      <c r="AJ307" s="200"/>
      <c r="AK307" s="209"/>
      <c r="AL307" s="200"/>
      <c r="AM307" s="210"/>
      <c r="AN307" s="210"/>
    </row>
    <row r="308" spans="1:40" x14ac:dyDescent="0.25">
      <c r="F308" s="331"/>
      <c r="H308" s="332"/>
      <c r="I308" s="332"/>
      <c r="J308" s="329"/>
      <c r="K308" s="329"/>
      <c r="L308" s="331"/>
      <c r="M308" s="331"/>
      <c r="N308" s="211"/>
      <c r="O308" s="211"/>
      <c r="P308" s="331"/>
      <c r="Q308" s="331"/>
      <c r="R308" s="331"/>
      <c r="V308" s="331"/>
      <c r="W308" s="200"/>
      <c r="X308" s="200"/>
      <c r="Y308" s="331"/>
      <c r="Z308" s="329"/>
      <c r="AA308" s="331"/>
      <c r="AB308" s="331"/>
      <c r="AC308" s="333"/>
      <c r="AD308" s="333"/>
      <c r="AE308" s="331"/>
      <c r="AF308" s="331"/>
      <c r="AG308" s="209"/>
      <c r="AH308" s="201"/>
      <c r="AI308" s="331"/>
      <c r="AJ308" s="331"/>
      <c r="AK308" s="208"/>
      <c r="AL308" s="331"/>
      <c r="AM308" s="210"/>
      <c r="AN308" s="210"/>
    </row>
    <row r="309" spans="1:40" x14ac:dyDescent="0.25">
      <c r="A309" s="202"/>
      <c r="C309" s="154"/>
      <c r="F309" s="200"/>
      <c r="H309" s="200"/>
      <c r="I309" s="200"/>
      <c r="J309" s="329"/>
      <c r="K309" s="329"/>
      <c r="L309" s="200"/>
      <c r="M309" s="200"/>
      <c r="N309" s="201"/>
      <c r="O309" s="201"/>
      <c r="P309" s="200"/>
      <c r="Q309" s="200"/>
      <c r="R309" s="200"/>
      <c r="T309" s="103"/>
      <c r="V309" s="200"/>
      <c r="W309" s="200"/>
      <c r="X309" s="200"/>
      <c r="Y309" s="200"/>
      <c r="Z309" s="329"/>
      <c r="AA309" s="200"/>
      <c r="AB309" s="200"/>
      <c r="AC309" s="201"/>
      <c r="AD309" s="201"/>
      <c r="AE309" s="200"/>
      <c r="AF309" s="200"/>
      <c r="AG309" s="209"/>
      <c r="AH309" s="201"/>
      <c r="AI309" s="200"/>
      <c r="AJ309" s="200"/>
      <c r="AK309" s="209"/>
      <c r="AL309" s="200"/>
      <c r="AM309" s="210"/>
      <c r="AN309" s="210"/>
    </row>
    <row r="310" spans="1:40" x14ac:dyDescent="0.25">
      <c r="F310" s="102"/>
      <c r="H310" s="102"/>
      <c r="I310" s="102"/>
      <c r="L310" s="102"/>
      <c r="M310" s="102"/>
      <c r="N310" s="333"/>
      <c r="O310" s="333"/>
      <c r="P310" s="331"/>
      <c r="Q310" s="331"/>
      <c r="R310" s="331"/>
      <c r="V310" s="331"/>
      <c r="Y310" s="331"/>
      <c r="Z310" s="305"/>
      <c r="AA310" s="331"/>
      <c r="AB310" s="331"/>
      <c r="AC310" s="331"/>
      <c r="AD310" s="331"/>
      <c r="AE310" s="331"/>
      <c r="AF310" s="331"/>
      <c r="AI310" s="331"/>
      <c r="AJ310" s="331"/>
      <c r="AK310" s="208"/>
      <c r="AL310" s="331"/>
      <c r="AM310" s="333"/>
      <c r="AN310" s="333"/>
    </row>
    <row r="311" spans="1:40" x14ac:dyDescent="0.25">
      <c r="AI311" s="202"/>
      <c r="AJ311" s="202"/>
    </row>
    <row r="315" spans="1:40" x14ac:dyDescent="0.25">
      <c r="N315" s="200"/>
      <c r="O315" s="200"/>
      <c r="P315" s="200"/>
      <c r="Q315" s="200"/>
      <c r="R315" s="200"/>
      <c r="V315" s="200"/>
      <c r="Y315" s="200"/>
      <c r="Z315" s="213"/>
      <c r="AA315" s="200"/>
      <c r="AB315" s="200"/>
      <c r="AC315" s="210"/>
      <c r="AD315" s="210"/>
      <c r="AE315" s="200"/>
      <c r="AF315" s="200"/>
      <c r="AG315" s="209"/>
      <c r="AH315" s="201"/>
      <c r="AI315" s="200"/>
      <c r="AJ315" s="200"/>
      <c r="AK315" s="209"/>
      <c r="AL315" s="200"/>
      <c r="AM315" s="210"/>
      <c r="AN315" s="210"/>
    </row>
    <row r="316" spans="1:40" x14ac:dyDescent="0.25">
      <c r="A316" s="202"/>
      <c r="C316" s="154"/>
      <c r="D316" s="154"/>
      <c r="E316" s="154"/>
      <c r="J316" s="334"/>
      <c r="K316" s="334"/>
      <c r="T316" s="154"/>
      <c r="U316" s="154"/>
      <c r="Z316" s="334"/>
      <c r="AE316" s="200"/>
      <c r="AF316" s="200"/>
      <c r="AI316" s="200"/>
      <c r="AJ316" s="200"/>
      <c r="AK316" s="209"/>
      <c r="AL316" s="200"/>
      <c r="AM316" s="210"/>
      <c r="AN316" s="210"/>
    </row>
    <row r="317" spans="1:40" x14ac:dyDescent="0.25">
      <c r="D317" s="154"/>
      <c r="E317" s="154"/>
      <c r="F317" s="200"/>
      <c r="H317" s="200"/>
      <c r="I317" s="200"/>
      <c r="J317" s="329"/>
      <c r="K317" s="329"/>
      <c r="L317" s="200"/>
      <c r="M317" s="200"/>
      <c r="N317" s="210"/>
      <c r="O317" s="210"/>
      <c r="P317" s="200"/>
      <c r="Q317" s="200"/>
      <c r="R317" s="200"/>
      <c r="U317" s="154"/>
      <c r="V317" s="200"/>
      <c r="Y317" s="200"/>
      <c r="Z317" s="329"/>
      <c r="AA317" s="200"/>
      <c r="AB317" s="200"/>
      <c r="AC317" s="210"/>
      <c r="AD317" s="210"/>
      <c r="AE317" s="200"/>
      <c r="AF317" s="200"/>
      <c r="AG317" s="209"/>
      <c r="AH317" s="201"/>
      <c r="AI317" s="200"/>
      <c r="AJ317" s="200"/>
      <c r="AK317" s="209"/>
      <c r="AL317" s="200"/>
      <c r="AM317" s="210"/>
      <c r="AN317" s="210"/>
    </row>
    <row r="318" spans="1:40" x14ac:dyDescent="0.25">
      <c r="F318" s="200"/>
      <c r="H318" s="200"/>
      <c r="I318" s="200"/>
      <c r="J318" s="305"/>
      <c r="K318" s="305"/>
      <c r="L318" s="200"/>
      <c r="M318" s="200"/>
      <c r="N318" s="200"/>
      <c r="O318" s="200"/>
      <c r="P318" s="200"/>
      <c r="Q318" s="200"/>
      <c r="R318" s="200"/>
      <c r="V318" s="200"/>
      <c r="Y318" s="200"/>
      <c r="Z318" s="305"/>
      <c r="AA318" s="200"/>
      <c r="AB318" s="200"/>
      <c r="AC318" s="200"/>
      <c r="AD318" s="200"/>
      <c r="AE318" s="200"/>
      <c r="AF318" s="200"/>
      <c r="AG318" s="209"/>
      <c r="AH318" s="201"/>
      <c r="AI318" s="252"/>
      <c r="AJ318" s="252"/>
      <c r="AK318" s="209"/>
      <c r="AL318" s="200"/>
      <c r="AM318" s="210"/>
      <c r="AN318" s="210"/>
    </row>
    <row r="319" spans="1:40" x14ac:dyDescent="0.25">
      <c r="A319" s="202"/>
      <c r="C319" s="154"/>
      <c r="F319" s="252"/>
      <c r="H319" s="252"/>
      <c r="I319" s="252"/>
      <c r="J319" s="304"/>
      <c r="K319" s="304"/>
      <c r="L319" s="200"/>
      <c r="M319" s="200"/>
      <c r="N319" s="210"/>
      <c r="O319" s="210"/>
      <c r="P319" s="200"/>
      <c r="Q319" s="200"/>
      <c r="R319" s="200"/>
      <c r="T319" s="154"/>
      <c r="V319" s="252"/>
      <c r="Y319" s="252"/>
      <c r="Z319" s="304"/>
      <c r="AA319" s="200"/>
      <c r="AB319" s="200"/>
      <c r="AC319" s="210"/>
      <c r="AD319" s="210"/>
      <c r="AE319" s="200"/>
      <c r="AF319" s="200"/>
      <c r="AG319" s="209"/>
      <c r="AH319" s="201"/>
      <c r="AI319" s="200"/>
      <c r="AJ319" s="200"/>
      <c r="AK319" s="209"/>
      <c r="AL319" s="200"/>
      <c r="AM319" s="210"/>
      <c r="AN319" s="210"/>
    </row>
    <row r="320" spans="1:40" x14ac:dyDescent="0.25">
      <c r="F320" s="102"/>
      <c r="H320" s="102"/>
      <c r="I320" s="102"/>
      <c r="L320" s="102"/>
      <c r="M320" s="102"/>
      <c r="N320" s="102"/>
      <c r="O320" s="102"/>
      <c r="P320" s="102"/>
      <c r="Q320" s="102"/>
      <c r="R320" s="102"/>
      <c r="V320" s="102"/>
      <c r="Y320" s="102"/>
      <c r="AA320" s="102"/>
      <c r="AB320" s="102"/>
      <c r="AC320" s="102"/>
      <c r="AD320" s="102"/>
      <c r="AE320" s="102"/>
      <c r="AF320" s="102"/>
      <c r="AG320" s="208"/>
      <c r="AH320" s="102"/>
      <c r="AI320" s="102"/>
      <c r="AJ320" s="102"/>
      <c r="AK320" s="208"/>
      <c r="AL320" s="102"/>
      <c r="AM320" s="102"/>
      <c r="AN320" s="102"/>
    </row>
    <row r="321" spans="1:40" x14ac:dyDescent="0.25">
      <c r="A321" s="202"/>
      <c r="C321" s="103"/>
      <c r="F321" s="252"/>
      <c r="H321" s="252"/>
      <c r="I321" s="252"/>
      <c r="J321" s="300"/>
      <c r="K321" s="300"/>
      <c r="L321" s="252"/>
      <c r="M321" s="252"/>
      <c r="N321" s="210"/>
      <c r="O321" s="210"/>
      <c r="P321" s="252"/>
      <c r="Q321" s="252"/>
      <c r="R321" s="252"/>
      <c r="T321" s="103"/>
      <c r="V321" s="200"/>
      <c r="Y321" s="200"/>
      <c r="Z321" s="213"/>
      <c r="AA321" s="200"/>
      <c r="AB321" s="200"/>
      <c r="AC321" s="210"/>
      <c r="AD321" s="210"/>
      <c r="AE321" s="202"/>
      <c r="AF321" s="202"/>
      <c r="AG321" s="209"/>
      <c r="AH321" s="201"/>
      <c r="AI321" s="200"/>
      <c r="AJ321" s="200"/>
      <c r="AK321" s="209"/>
      <c r="AL321" s="200"/>
      <c r="AM321" s="210"/>
      <c r="AN321" s="210"/>
    </row>
    <row r="322" spans="1:40" x14ac:dyDescent="0.25">
      <c r="F322" s="331"/>
      <c r="H322" s="331"/>
      <c r="I322" s="331"/>
      <c r="J322" s="305"/>
      <c r="K322" s="305"/>
      <c r="L322" s="331"/>
      <c r="M322" s="331"/>
      <c r="N322" s="331"/>
      <c r="O322" s="331"/>
      <c r="P322" s="331"/>
      <c r="Q322" s="331"/>
      <c r="R322" s="331"/>
      <c r="V322" s="102"/>
      <c r="Y322" s="102"/>
      <c r="AA322" s="102"/>
      <c r="AB322" s="102"/>
      <c r="AC322" s="102"/>
      <c r="AD322" s="102"/>
      <c r="AE322" s="102"/>
      <c r="AF322" s="102"/>
      <c r="AG322" s="208"/>
      <c r="AH322" s="102"/>
      <c r="AI322" s="102"/>
      <c r="AJ322" s="102"/>
      <c r="AK322" s="208"/>
      <c r="AL322" s="102"/>
      <c r="AM322" s="102"/>
      <c r="AN322" s="102"/>
    </row>
    <row r="323" spans="1:40" x14ac:dyDescent="0.25">
      <c r="F323" s="252"/>
      <c r="H323" s="252"/>
      <c r="I323" s="252"/>
      <c r="J323" s="328"/>
      <c r="K323" s="328"/>
      <c r="L323" s="200"/>
      <c r="M323" s="200"/>
      <c r="N323" s="210"/>
      <c r="O323" s="210"/>
      <c r="P323" s="200"/>
      <c r="Q323" s="200"/>
      <c r="R323" s="200"/>
    </row>
    <row r="324" spans="1:40" x14ac:dyDescent="0.25">
      <c r="A324" s="154"/>
      <c r="F324" s="252"/>
      <c r="H324" s="252"/>
      <c r="I324" s="252"/>
      <c r="J324" s="300"/>
      <c r="K324" s="300"/>
      <c r="L324" s="200"/>
      <c r="M324" s="200"/>
      <c r="N324" s="210"/>
      <c r="O324" s="210"/>
      <c r="P324" s="200"/>
      <c r="Q324" s="200"/>
      <c r="R324" s="200"/>
    </row>
    <row r="325" spans="1:40" x14ac:dyDescent="0.25">
      <c r="F325" s="252"/>
      <c r="H325" s="252"/>
      <c r="I325" s="252"/>
      <c r="J325" s="300"/>
      <c r="K325" s="300"/>
      <c r="L325" s="200"/>
      <c r="M325" s="200"/>
      <c r="N325" s="210"/>
      <c r="O325" s="210"/>
      <c r="P325" s="200"/>
      <c r="Q325" s="200"/>
      <c r="R325" s="200"/>
    </row>
    <row r="326" spans="1:40" x14ac:dyDescent="0.25">
      <c r="A326" s="154"/>
    </row>
    <row r="328" spans="1:40" x14ac:dyDescent="0.25">
      <c r="J328" s="202"/>
      <c r="K328" s="202"/>
      <c r="Z328" s="202"/>
    </row>
    <row r="329" spans="1:40" x14ac:dyDescent="0.25">
      <c r="H329" s="154"/>
      <c r="I329" s="154"/>
      <c r="Y329" s="154"/>
    </row>
    <row r="330" spans="1:40" x14ac:dyDescent="0.25">
      <c r="J330" s="202"/>
      <c r="K330" s="202"/>
      <c r="Z330" s="202"/>
    </row>
    <row r="331" spans="1:40" x14ac:dyDescent="0.25">
      <c r="L331" s="154"/>
      <c r="M331" s="154"/>
      <c r="AA331" s="154"/>
      <c r="AB331" s="154"/>
    </row>
    <row r="332" spans="1:40" x14ac:dyDescent="0.25">
      <c r="A332" s="202"/>
      <c r="R332" s="154"/>
      <c r="AK332" s="297"/>
      <c r="AL332" s="154"/>
    </row>
    <row r="333" spans="1:40" x14ac:dyDescent="0.25">
      <c r="A333" s="202"/>
      <c r="R333" s="154"/>
      <c r="AK333" s="297"/>
      <c r="AL333" s="154"/>
    </row>
    <row r="334" spans="1:40" x14ac:dyDescent="0.25">
      <c r="A334" s="154"/>
      <c r="R334" s="154"/>
      <c r="AK334" s="297"/>
      <c r="AL334" s="154"/>
    </row>
    <row r="335" spans="1:40" x14ac:dyDescent="0.25">
      <c r="L335" s="154"/>
      <c r="M335" s="154"/>
      <c r="R335" s="202"/>
      <c r="AA335" s="154"/>
      <c r="AB335" s="154"/>
      <c r="AK335" s="209"/>
      <c r="AL335" s="202"/>
    </row>
    <row r="336" spans="1:40" x14ac:dyDescent="0.2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208"/>
      <c r="AH336" s="102"/>
      <c r="AI336" s="102"/>
      <c r="AJ336" s="102"/>
      <c r="AK336" s="208"/>
      <c r="AL336" s="102"/>
      <c r="AM336" s="102"/>
      <c r="AN336" s="102"/>
    </row>
    <row r="337" spans="1:40" x14ac:dyDescent="0.25">
      <c r="L337" s="103"/>
      <c r="M337" s="103"/>
      <c r="N337" s="103"/>
      <c r="O337" s="103"/>
      <c r="R337" s="103"/>
      <c r="AA337" s="103"/>
      <c r="AB337" s="103"/>
      <c r="AC337" s="103"/>
      <c r="AD337" s="103"/>
      <c r="AE337" s="103"/>
      <c r="AF337" s="103"/>
      <c r="AG337" s="185"/>
      <c r="AH337" s="103"/>
      <c r="AK337" s="185"/>
      <c r="AL337" s="103"/>
      <c r="AM337" s="103"/>
      <c r="AN337" s="103"/>
    </row>
    <row r="338" spans="1:40" x14ac:dyDescent="0.25">
      <c r="L338" s="103"/>
      <c r="M338" s="103"/>
      <c r="N338" s="103"/>
      <c r="O338" s="103"/>
      <c r="R338" s="103"/>
      <c r="Z338" s="103"/>
      <c r="AA338" s="103"/>
      <c r="AB338" s="103"/>
      <c r="AC338" s="103"/>
      <c r="AD338" s="103"/>
      <c r="AE338" s="103"/>
      <c r="AF338" s="103"/>
      <c r="AG338" s="185"/>
      <c r="AH338" s="103"/>
      <c r="AK338" s="185"/>
      <c r="AL338" s="103"/>
      <c r="AM338" s="103"/>
      <c r="AN338" s="103"/>
    </row>
    <row r="339" spans="1:40" x14ac:dyDescent="0.25">
      <c r="A339" s="103"/>
      <c r="C339" s="103"/>
      <c r="D339" s="103"/>
      <c r="E339" s="103"/>
      <c r="F339" s="103"/>
      <c r="J339" s="103"/>
      <c r="K339" s="103"/>
      <c r="L339" s="103"/>
      <c r="M339" s="103"/>
      <c r="N339" s="103"/>
      <c r="O339" s="103"/>
      <c r="P339" s="103"/>
      <c r="Q339" s="103"/>
      <c r="R339" s="103"/>
      <c r="T339" s="103"/>
      <c r="U339" s="103"/>
      <c r="V339" s="103"/>
      <c r="Z339" s="103"/>
      <c r="AA339" s="103"/>
      <c r="AB339" s="103"/>
      <c r="AC339" s="103"/>
      <c r="AD339" s="103"/>
      <c r="AE339" s="103"/>
      <c r="AF339" s="103"/>
      <c r="AG339" s="185"/>
      <c r="AH339" s="103"/>
      <c r="AI339" s="103"/>
      <c r="AJ339" s="103"/>
      <c r="AK339" s="185"/>
      <c r="AL339" s="103"/>
      <c r="AM339" s="103"/>
      <c r="AN339" s="103"/>
    </row>
    <row r="340" spans="1:40" x14ac:dyDescent="0.25">
      <c r="A340" s="103"/>
      <c r="C340" s="103"/>
      <c r="D340" s="103"/>
      <c r="E340" s="103"/>
      <c r="F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T340" s="103"/>
      <c r="U340" s="103"/>
      <c r="V340" s="103"/>
      <c r="Y340" s="103"/>
      <c r="Z340" s="103"/>
      <c r="AA340" s="103"/>
      <c r="AB340" s="103"/>
      <c r="AC340" s="103"/>
      <c r="AD340" s="103"/>
      <c r="AE340" s="103"/>
      <c r="AF340" s="103"/>
      <c r="AG340" s="185"/>
      <c r="AH340" s="103"/>
      <c r="AI340" s="103"/>
      <c r="AJ340" s="103"/>
      <c r="AK340" s="185"/>
      <c r="AL340" s="103"/>
      <c r="AM340" s="103"/>
      <c r="AN340" s="103"/>
    </row>
    <row r="341" spans="1:40" x14ac:dyDescent="0.25">
      <c r="C341" s="103"/>
      <c r="D341" s="103"/>
      <c r="E341" s="103"/>
      <c r="F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T341" s="103"/>
      <c r="U341" s="103"/>
      <c r="V341" s="103"/>
      <c r="Y341" s="103"/>
      <c r="Z341" s="103"/>
      <c r="AA341" s="103"/>
      <c r="AB341" s="103"/>
      <c r="AC341" s="103"/>
      <c r="AD341" s="103"/>
      <c r="AE341" s="103"/>
      <c r="AF341" s="103"/>
      <c r="AG341" s="185"/>
      <c r="AH341" s="103"/>
      <c r="AI341" s="103"/>
      <c r="AJ341" s="103"/>
      <c r="AK341" s="185"/>
      <c r="AL341" s="103"/>
      <c r="AM341" s="103"/>
      <c r="AN341" s="103"/>
    </row>
    <row r="342" spans="1:40" x14ac:dyDescent="0.25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208"/>
      <c r="AH342" s="102"/>
      <c r="AI342" s="102"/>
      <c r="AJ342" s="102"/>
      <c r="AK342" s="208"/>
      <c r="AL342" s="102"/>
      <c r="AM342" s="102"/>
      <c r="AN342" s="102"/>
    </row>
    <row r="343" spans="1:40" x14ac:dyDescent="0.25"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Y343" s="103"/>
      <c r="Z343" s="103"/>
      <c r="AA343" s="103"/>
      <c r="AB343" s="103"/>
      <c r="AC343" s="103"/>
      <c r="AD343" s="103"/>
      <c r="AE343" s="103"/>
      <c r="AF343" s="103"/>
      <c r="AG343" s="185"/>
      <c r="AH343" s="103"/>
      <c r="AI343" s="103"/>
      <c r="AJ343" s="103"/>
      <c r="AK343" s="185"/>
      <c r="AL343" s="103"/>
      <c r="AM343" s="103"/>
      <c r="AN343" s="103"/>
    </row>
    <row r="344" spans="1:40" x14ac:dyDescent="0.25">
      <c r="A344" s="202"/>
      <c r="C344" s="154"/>
      <c r="D344" s="154"/>
      <c r="E344" s="154"/>
      <c r="T344" s="154"/>
      <c r="U344" s="154"/>
    </row>
    <row r="346" spans="1:40" x14ac:dyDescent="0.25">
      <c r="A346" s="202"/>
      <c r="C346" s="154"/>
      <c r="T346" s="154"/>
    </row>
    <row r="347" spans="1:40" x14ac:dyDescent="0.25">
      <c r="A347" s="202"/>
      <c r="C347" s="154"/>
      <c r="F347" s="252"/>
      <c r="H347" s="252"/>
      <c r="I347" s="252"/>
      <c r="J347" s="305"/>
      <c r="K347" s="305"/>
      <c r="L347" s="200"/>
      <c r="M347" s="200"/>
      <c r="N347" s="210"/>
      <c r="O347" s="210"/>
      <c r="P347" s="200"/>
      <c r="Q347" s="200"/>
      <c r="R347" s="200"/>
      <c r="T347" s="154"/>
      <c r="V347" s="252"/>
      <c r="Y347" s="252"/>
      <c r="Z347" s="305"/>
      <c r="AA347" s="200"/>
      <c r="AB347" s="200"/>
      <c r="AC347" s="210"/>
      <c r="AD347" s="210"/>
      <c r="AE347" s="200"/>
      <c r="AF347" s="200"/>
      <c r="AG347" s="209"/>
      <c r="AH347" s="201"/>
      <c r="AI347" s="200"/>
      <c r="AJ347" s="200"/>
      <c r="AK347" s="209"/>
      <c r="AL347" s="200"/>
      <c r="AM347" s="210"/>
      <c r="AN347" s="210"/>
    </row>
    <row r="348" spans="1:40" x14ac:dyDescent="0.25">
      <c r="A348" s="202"/>
      <c r="C348" s="154"/>
      <c r="T348" s="154"/>
    </row>
    <row r="349" spans="1:40" x14ac:dyDescent="0.25">
      <c r="A349" s="202"/>
      <c r="C349" s="154"/>
      <c r="F349" s="252"/>
      <c r="H349" s="252"/>
      <c r="I349" s="252"/>
      <c r="J349" s="329"/>
      <c r="K349" s="329"/>
      <c r="L349" s="200"/>
      <c r="M349" s="200"/>
      <c r="N349" s="210"/>
      <c r="O349" s="210"/>
      <c r="P349" s="200"/>
      <c r="Q349" s="200"/>
      <c r="R349" s="200"/>
      <c r="T349" s="154"/>
      <c r="V349" s="200"/>
      <c r="Y349" s="200"/>
      <c r="Z349" s="329"/>
      <c r="AA349" s="200"/>
      <c r="AB349" s="200"/>
      <c r="AC349" s="210"/>
      <c r="AD349" s="210"/>
      <c r="AE349" s="200"/>
      <c r="AF349" s="200"/>
      <c r="AG349" s="209"/>
      <c r="AH349" s="201"/>
      <c r="AI349" s="200"/>
      <c r="AJ349" s="200"/>
      <c r="AK349" s="209"/>
      <c r="AL349" s="200"/>
      <c r="AM349" s="210"/>
      <c r="AN349" s="210"/>
    </row>
    <row r="350" spans="1:40" x14ac:dyDescent="0.25">
      <c r="A350" s="202"/>
      <c r="C350" s="154"/>
      <c r="F350" s="252"/>
      <c r="H350" s="252"/>
      <c r="I350" s="252"/>
      <c r="J350" s="329"/>
      <c r="K350" s="329"/>
      <c r="L350" s="200"/>
      <c r="M350" s="200"/>
      <c r="N350" s="210"/>
      <c r="O350" s="210"/>
      <c r="P350" s="200"/>
      <c r="Q350" s="200"/>
      <c r="R350" s="200"/>
      <c r="T350" s="154"/>
      <c r="V350" s="200"/>
      <c r="Y350" s="200"/>
      <c r="Z350" s="329"/>
      <c r="AA350" s="200"/>
      <c r="AB350" s="200"/>
      <c r="AC350" s="210"/>
      <c r="AD350" s="210"/>
      <c r="AE350" s="200"/>
      <c r="AF350" s="200"/>
      <c r="AG350" s="209"/>
      <c r="AH350" s="201"/>
      <c r="AI350" s="200"/>
      <c r="AJ350" s="200"/>
      <c r="AK350" s="209"/>
      <c r="AL350" s="200"/>
      <c r="AM350" s="210"/>
      <c r="AN350" s="210"/>
    </row>
    <row r="351" spans="1:40" x14ac:dyDescent="0.25">
      <c r="A351" s="202"/>
      <c r="C351" s="154"/>
      <c r="F351" s="252"/>
      <c r="H351" s="252"/>
      <c r="I351" s="252"/>
      <c r="J351" s="329"/>
      <c r="K351" s="329"/>
      <c r="L351" s="200"/>
      <c r="M351" s="200"/>
      <c r="N351" s="210"/>
      <c r="O351" s="210"/>
      <c r="P351" s="200"/>
      <c r="Q351" s="200"/>
      <c r="R351" s="200"/>
      <c r="T351" s="154"/>
      <c r="V351" s="200"/>
      <c r="Y351" s="200"/>
      <c r="Z351" s="329"/>
      <c r="AA351" s="200"/>
      <c r="AB351" s="200"/>
      <c r="AC351" s="210"/>
      <c r="AD351" s="210"/>
      <c r="AE351" s="200"/>
      <c r="AF351" s="200"/>
      <c r="AG351" s="209"/>
      <c r="AH351" s="201"/>
      <c r="AI351" s="200"/>
      <c r="AJ351" s="200"/>
      <c r="AK351" s="209"/>
      <c r="AL351" s="200"/>
      <c r="AM351" s="210"/>
      <c r="AN351" s="210"/>
    </row>
    <row r="352" spans="1:40" x14ac:dyDescent="0.25">
      <c r="A352" s="202"/>
      <c r="C352" s="154"/>
      <c r="F352" s="252"/>
      <c r="H352" s="252"/>
      <c r="I352" s="252"/>
      <c r="J352" s="329"/>
      <c r="K352" s="329"/>
      <c r="L352" s="200"/>
      <c r="M352" s="200"/>
      <c r="N352" s="210"/>
      <c r="O352" s="210"/>
      <c r="P352" s="200"/>
      <c r="Q352" s="200"/>
      <c r="R352" s="200"/>
      <c r="T352" s="154"/>
      <c r="V352" s="200"/>
      <c r="Y352" s="200"/>
      <c r="Z352" s="329"/>
      <c r="AA352" s="200"/>
      <c r="AB352" s="200"/>
      <c r="AC352" s="210"/>
      <c r="AD352" s="210"/>
      <c r="AE352" s="200"/>
      <c r="AF352" s="200"/>
      <c r="AG352" s="209"/>
      <c r="AH352" s="201"/>
      <c r="AI352" s="200"/>
      <c r="AJ352" s="200"/>
      <c r="AK352" s="209"/>
      <c r="AL352" s="200"/>
      <c r="AM352" s="210"/>
      <c r="AN352" s="210"/>
    </row>
    <row r="353" spans="1:40" x14ac:dyDescent="0.25">
      <c r="A353" s="202"/>
      <c r="C353" s="154"/>
      <c r="J353" s="334"/>
      <c r="K353" s="334"/>
      <c r="T353" s="154"/>
      <c r="Z353" s="334"/>
    </row>
    <row r="354" spans="1:40" x14ac:dyDescent="0.25">
      <c r="A354" s="202"/>
      <c r="C354" s="154"/>
      <c r="F354" s="252"/>
      <c r="H354" s="252"/>
      <c r="I354" s="252"/>
      <c r="J354" s="329"/>
      <c r="K354" s="329"/>
      <c r="L354" s="200"/>
      <c r="M354" s="200"/>
      <c r="N354" s="210"/>
      <c r="O354" s="210"/>
      <c r="P354" s="200"/>
      <c r="Q354" s="200"/>
      <c r="R354" s="200"/>
      <c r="T354" s="154"/>
      <c r="V354" s="200"/>
      <c r="Y354" s="200"/>
      <c r="Z354" s="329"/>
      <c r="AA354" s="200"/>
      <c r="AB354" s="200"/>
      <c r="AC354" s="210"/>
      <c r="AD354" s="210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A355" s="202"/>
      <c r="C355" s="154"/>
      <c r="F355" s="252"/>
      <c r="H355" s="252"/>
      <c r="I355" s="252"/>
      <c r="J355" s="329"/>
      <c r="K355" s="329"/>
      <c r="L355" s="200"/>
      <c r="M355" s="200"/>
      <c r="N355" s="210"/>
      <c r="O355" s="210"/>
      <c r="P355" s="200"/>
      <c r="Q355" s="200"/>
      <c r="R355" s="200"/>
      <c r="T355" s="154"/>
      <c r="V355" s="200"/>
      <c r="Y355" s="200"/>
      <c r="Z355" s="329"/>
      <c r="AA355" s="200"/>
      <c r="AB355" s="200"/>
      <c r="AC355" s="210"/>
      <c r="AD355" s="210"/>
      <c r="AE355" s="200"/>
      <c r="AF355" s="200"/>
      <c r="AG355" s="209"/>
      <c r="AH355" s="201"/>
      <c r="AI355" s="200"/>
      <c r="AJ355" s="200"/>
      <c r="AK355" s="209"/>
      <c r="AL355" s="200"/>
      <c r="AM355" s="210"/>
      <c r="AN355" s="210"/>
    </row>
    <row r="356" spans="1:40" x14ac:dyDescent="0.25">
      <c r="A356" s="202"/>
      <c r="C356" s="154"/>
      <c r="F356" s="252"/>
      <c r="H356" s="252"/>
      <c r="I356" s="252"/>
      <c r="J356" s="329"/>
      <c r="K356" s="329"/>
      <c r="L356" s="200"/>
      <c r="M356" s="200"/>
      <c r="N356" s="210"/>
      <c r="O356" s="210"/>
      <c r="P356" s="200"/>
      <c r="Q356" s="200"/>
      <c r="R356" s="200"/>
      <c r="T356" s="154"/>
      <c r="V356" s="200"/>
      <c r="Y356" s="200"/>
      <c r="Z356" s="329"/>
      <c r="AA356" s="200"/>
      <c r="AB356" s="200"/>
      <c r="AC356" s="210"/>
      <c r="AD356" s="21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A357" s="202"/>
      <c r="C357" s="154"/>
      <c r="J357" s="334"/>
      <c r="K357" s="334"/>
      <c r="T357" s="154"/>
      <c r="Z357" s="334"/>
    </row>
    <row r="358" spans="1:40" x14ac:dyDescent="0.25">
      <c r="A358" s="202"/>
      <c r="C358" s="154"/>
      <c r="F358" s="252"/>
      <c r="H358" s="252"/>
      <c r="I358" s="252"/>
      <c r="J358" s="329"/>
      <c r="K358" s="329"/>
      <c r="L358" s="200"/>
      <c r="M358" s="200"/>
      <c r="N358" s="210"/>
      <c r="O358" s="210"/>
      <c r="P358" s="200"/>
      <c r="Q358" s="200"/>
      <c r="R358" s="200"/>
      <c r="T358" s="154"/>
      <c r="V358" s="200"/>
      <c r="Y358" s="200"/>
      <c r="Z358" s="329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A359" s="202"/>
      <c r="C359" s="154"/>
      <c r="F359" s="252"/>
      <c r="H359" s="252"/>
      <c r="I359" s="252"/>
      <c r="J359" s="329"/>
      <c r="K359" s="329"/>
      <c r="L359" s="200"/>
      <c r="M359" s="200"/>
      <c r="N359" s="210"/>
      <c r="O359" s="210"/>
      <c r="P359" s="200"/>
      <c r="Q359" s="200"/>
      <c r="R359" s="200"/>
      <c r="T359" s="154"/>
      <c r="V359" s="200"/>
      <c r="Y359" s="200"/>
      <c r="Z359" s="329"/>
      <c r="AA359" s="200"/>
      <c r="AB359" s="200"/>
      <c r="AC359" s="210"/>
      <c r="AD359" s="210"/>
      <c r="AE359" s="200"/>
      <c r="AF359" s="200"/>
      <c r="AG359" s="209"/>
      <c r="AH359" s="201"/>
      <c r="AI359" s="200"/>
      <c r="AJ359" s="200"/>
      <c r="AK359" s="209"/>
      <c r="AL359" s="200"/>
      <c r="AM359" s="210"/>
      <c r="AN359" s="210"/>
    </row>
    <row r="360" spans="1:40" x14ac:dyDescent="0.25">
      <c r="A360" s="202"/>
      <c r="C360" s="154"/>
      <c r="J360" s="334"/>
      <c r="K360" s="334"/>
      <c r="T360" s="154"/>
      <c r="Z360" s="334"/>
    </row>
    <row r="361" spans="1:40" x14ac:dyDescent="0.25">
      <c r="A361" s="202"/>
      <c r="C361" s="154"/>
      <c r="F361" s="252"/>
      <c r="H361" s="252"/>
      <c r="I361" s="252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00"/>
      <c r="Y361" s="200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00"/>
      <c r="Y362" s="200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52"/>
      <c r="H363" s="252"/>
      <c r="I363" s="252"/>
      <c r="J363" s="329"/>
      <c r="K363" s="329"/>
      <c r="L363" s="200"/>
      <c r="M363" s="200"/>
      <c r="N363" s="210"/>
      <c r="O363" s="210"/>
      <c r="P363" s="200"/>
      <c r="Q363" s="200"/>
      <c r="R363" s="200"/>
      <c r="T363" s="154"/>
      <c r="V363" s="200"/>
      <c r="Y363" s="200"/>
      <c r="Z363" s="329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F364" s="211"/>
      <c r="H364" s="211"/>
      <c r="I364" s="211"/>
      <c r="J364" s="329"/>
      <c r="K364" s="329"/>
      <c r="L364" s="211"/>
      <c r="M364" s="211"/>
      <c r="N364" s="211"/>
      <c r="O364" s="211"/>
      <c r="P364" s="211"/>
      <c r="Q364" s="211"/>
      <c r="R364" s="211"/>
      <c r="V364" s="211"/>
      <c r="Y364" s="211"/>
      <c r="Z364" s="329"/>
      <c r="AA364" s="211"/>
      <c r="AB364" s="211"/>
      <c r="AC364" s="211"/>
      <c r="AD364" s="211"/>
      <c r="AE364" s="211"/>
      <c r="AF364" s="211"/>
      <c r="AI364" s="211"/>
      <c r="AJ364" s="211"/>
      <c r="AK364" s="212"/>
      <c r="AL364" s="211"/>
    </row>
    <row r="365" spans="1:40" x14ac:dyDescent="0.25">
      <c r="A365" s="202"/>
      <c r="C365" s="103"/>
      <c r="F365" s="200"/>
      <c r="H365" s="200"/>
      <c r="I365" s="200"/>
      <c r="J365" s="334"/>
      <c r="K365" s="334"/>
      <c r="L365" s="200"/>
      <c r="M365" s="200"/>
      <c r="N365" s="201"/>
      <c r="O365" s="201"/>
      <c r="P365" s="200"/>
      <c r="Q365" s="200"/>
      <c r="R365" s="200"/>
      <c r="T365" s="103"/>
      <c r="V365" s="200"/>
      <c r="Y365" s="200"/>
      <c r="Z365" s="334"/>
      <c r="AA365" s="200"/>
      <c r="AB365" s="200"/>
      <c r="AC365" s="200"/>
      <c r="AD365" s="20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F366" s="211"/>
      <c r="H366" s="211"/>
      <c r="I366" s="211"/>
      <c r="J366" s="329"/>
      <c r="K366" s="329"/>
      <c r="L366" s="211"/>
      <c r="M366" s="211"/>
      <c r="N366" s="211"/>
      <c r="O366" s="211"/>
      <c r="P366" s="211"/>
      <c r="Q366" s="211"/>
      <c r="R366" s="211"/>
      <c r="V366" s="211"/>
      <c r="Y366" s="211"/>
      <c r="Z366" s="329"/>
      <c r="AA366" s="211"/>
      <c r="AB366" s="211"/>
      <c r="AC366" s="211"/>
      <c r="AD366" s="211"/>
      <c r="AE366" s="211"/>
      <c r="AF366" s="211"/>
      <c r="AI366" s="211"/>
      <c r="AJ366" s="211"/>
      <c r="AK366" s="212"/>
      <c r="AL366" s="211"/>
    </row>
    <row r="367" spans="1:40" x14ac:dyDescent="0.25">
      <c r="A367" s="202"/>
      <c r="C367" s="154"/>
      <c r="J367" s="334"/>
      <c r="K367" s="334"/>
      <c r="T367" s="154"/>
      <c r="Z367" s="334"/>
    </row>
    <row r="368" spans="1:40" x14ac:dyDescent="0.25">
      <c r="A368" s="202"/>
      <c r="C368" s="154"/>
      <c r="J368" s="334"/>
      <c r="K368" s="334"/>
      <c r="T368" s="154"/>
      <c r="Z368" s="334"/>
    </row>
    <row r="369" spans="1:40" x14ac:dyDescent="0.25">
      <c r="A369" s="202"/>
      <c r="C369" s="154"/>
      <c r="F369" s="252"/>
      <c r="H369" s="252"/>
      <c r="I369" s="252"/>
      <c r="J369" s="329"/>
      <c r="K369" s="329"/>
      <c r="L369" s="200"/>
      <c r="M369" s="200"/>
      <c r="N369" s="210"/>
      <c r="O369" s="210"/>
      <c r="P369" s="200"/>
      <c r="Q369" s="200"/>
      <c r="R369" s="200"/>
      <c r="T369" s="154"/>
      <c r="V369" s="200"/>
      <c r="Y369" s="200"/>
      <c r="Z369" s="329"/>
      <c r="AA369" s="200"/>
      <c r="AB369" s="200"/>
      <c r="AC369" s="210"/>
      <c r="AD369" s="210"/>
      <c r="AE369" s="200"/>
      <c r="AF369" s="200"/>
      <c r="AG369" s="209"/>
      <c r="AH369" s="201"/>
      <c r="AI369" s="200"/>
      <c r="AJ369" s="200"/>
      <c r="AK369" s="209"/>
      <c r="AL369" s="200"/>
      <c r="AM369" s="210"/>
      <c r="AN369" s="210"/>
    </row>
    <row r="370" spans="1:40" x14ac:dyDescent="0.25">
      <c r="A370" s="202"/>
      <c r="C370" s="154"/>
      <c r="F370" s="252"/>
      <c r="H370" s="252"/>
      <c r="I370" s="252"/>
      <c r="J370" s="329"/>
      <c r="K370" s="329"/>
      <c r="L370" s="200"/>
      <c r="M370" s="200"/>
      <c r="N370" s="210"/>
      <c r="O370" s="210"/>
      <c r="P370" s="200"/>
      <c r="Q370" s="200"/>
      <c r="R370" s="200"/>
      <c r="T370" s="154"/>
      <c r="V370" s="200"/>
      <c r="Y370" s="200"/>
      <c r="Z370" s="329"/>
      <c r="AA370" s="200"/>
      <c r="AB370" s="200"/>
      <c r="AC370" s="210"/>
      <c r="AD370" s="210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A371" s="202"/>
      <c r="C371" s="154"/>
      <c r="F371" s="252"/>
      <c r="H371" s="252"/>
      <c r="I371" s="252"/>
      <c r="J371" s="329"/>
      <c r="K371" s="329"/>
      <c r="L371" s="200"/>
      <c r="M371" s="200"/>
      <c r="N371" s="210"/>
      <c r="O371" s="210"/>
      <c r="P371" s="200"/>
      <c r="Q371" s="200"/>
      <c r="R371" s="200"/>
      <c r="T371" s="154"/>
      <c r="V371" s="200"/>
      <c r="Y371" s="200"/>
      <c r="Z371" s="329"/>
      <c r="AA371" s="200"/>
      <c r="AB371" s="200"/>
      <c r="AC371" s="210"/>
      <c r="AD371" s="210"/>
      <c r="AE371" s="200"/>
      <c r="AF371" s="200"/>
      <c r="AG371" s="209"/>
      <c r="AH371" s="201"/>
      <c r="AI371" s="200"/>
      <c r="AJ371" s="200"/>
      <c r="AK371" s="209"/>
      <c r="AL371" s="200"/>
      <c r="AM371" s="210"/>
      <c r="AN371" s="210"/>
    </row>
    <row r="372" spans="1:40" x14ac:dyDescent="0.25">
      <c r="A372" s="202"/>
      <c r="C372" s="154"/>
      <c r="F372" s="252"/>
      <c r="H372" s="252"/>
      <c r="I372" s="252"/>
      <c r="J372" s="329"/>
      <c r="K372" s="329"/>
      <c r="L372" s="200"/>
      <c r="M372" s="200"/>
      <c r="N372" s="210"/>
      <c r="O372" s="210"/>
      <c r="P372" s="200"/>
      <c r="Q372" s="200"/>
      <c r="R372" s="200"/>
      <c r="T372" s="154"/>
      <c r="V372" s="200"/>
      <c r="Y372" s="200"/>
      <c r="Z372" s="329"/>
      <c r="AA372" s="200"/>
      <c r="AB372" s="200"/>
      <c r="AC372" s="210"/>
      <c r="AD372" s="210"/>
      <c r="AE372" s="200"/>
      <c r="AF372" s="200"/>
      <c r="AG372" s="209"/>
      <c r="AH372" s="201"/>
      <c r="AI372" s="200"/>
      <c r="AJ372" s="200"/>
      <c r="AK372" s="209"/>
      <c r="AL372" s="200"/>
      <c r="AM372" s="210"/>
      <c r="AN372" s="210"/>
    </row>
    <row r="373" spans="1:40" x14ac:dyDescent="0.25">
      <c r="A373" s="202"/>
      <c r="C373" s="154"/>
      <c r="F373" s="252"/>
      <c r="H373" s="252"/>
      <c r="I373" s="252"/>
      <c r="J373" s="329"/>
      <c r="K373" s="329"/>
      <c r="L373" s="200"/>
      <c r="M373" s="200"/>
      <c r="N373" s="210"/>
      <c r="O373" s="210"/>
      <c r="P373" s="200"/>
      <c r="Q373" s="200"/>
      <c r="R373" s="200"/>
      <c r="T373" s="154"/>
      <c r="V373" s="200"/>
      <c r="Y373" s="200"/>
      <c r="Z373" s="329"/>
      <c r="AA373" s="200"/>
      <c r="AB373" s="200"/>
      <c r="AC373" s="210"/>
      <c r="AD373" s="210"/>
      <c r="AE373" s="200"/>
      <c r="AF373" s="200"/>
      <c r="AG373" s="209"/>
      <c r="AH373" s="201"/>
      <c r="AI373" s="200"/>
      <c r="AJ373" s="200"/>
      <c r="AK373" s="209"/>
      <c r="AL373" s="200"/>
      <c r="AM373" s="210"/>
      <c r="AN373" s="210"/>
    </row>
    <row r="374" spans="1:40" x14ac:dyDescent="0.25">
      <c r="A374" s="202"/>
      <c r="C374" s="154"/>
      <c r="F374" s="252"/>
      <c r="H374" s="252"/>
      <c r="I374" s="252"/>
      <c r="J374" s="329"/>
      <c r="K374" s="329"/>
      <c r="L374" s="200"/>
      <c r="M374" s="200"/>
      <c r="N374" s="210"/>
      <c r="O374" s="210"/>
      <c r="P374" s="200"/>
      <c r="Q374" s="200"/>
      <c r="R374" s="200"/>
      <c r="T374" s="154"/>
      <c r="V374" s="200"/>
      <c r="Y374" s="200"/>
      <c r="Z374" s="329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A375" s="202"/>
      <c r="C375" s="154"/>
      <c r="F375" s="252"/>
      <c r="H375" s="252"/>
      <c r="I375" s="252"/>
      <c r="J375" s="329"/>
      <c r="K375" s="329"/>
      <c r="L375" s="200"/>
      <c r="M375" s="200"/>
      <c r="N375" s="210"/>
      <c r="O375" s="210"/>
      <c r="P375" s="200"/>
      <c r="Q375" s="200"/>
      <c r="R375" s="200"/>
      <c r="T375" s="154"/>
      <c r="V375" s="200"/>
      <c r="Y375" s="200"/>
      <c r="Z375" s="329"/>
      <c r="AA375" s="200"/>
      <c r="AB375" s="200"/>
      <c r="AC375" s="210"/>
      <c r="AD375" s="210"/>
      <c r="AE375" s="200"/>
      <c r="AF375" s="200"/>
      <c r="AG375" s="209"/>
      <c r="AH375" s="201"/>
      <c r="AI375" s="200"/>
      <c r="AJ375" s="200"/>
      <c r="AK375" s="209"/>
      <c r="AL375" s="200"/>
      <c r="AM375" s="210"/>
      <c r="AN375" s="210"/>
    </row>
    <row r="376" spans="1:40" x14ac:dyDescent="0.25">
      <c r="A376" s="202"/>
      <c r="C376" s="154"/>
      <c r="J376" s="334"/>
      <c r="K376" s="334"/>
      <c r="T376" s="154"/>
      <c r="Z376" s="334"/>
    </row>
    <row r="377" spans="1:40" x14ac:dyDescent="0.25">
      <c r="A377" s="202"/>
      <c r="C377" s="154"/>
      <c r="F377" s="252"/>
      <c r="H377" s="252"/>
      <c r="I377" s="252"/>
      <c r="J377" s="329"/>
      <c r="K377" s="329"/>
      <c r="L377" s="200"/>
      <c r="M377" s="200"/>
      <c r="N377" s="210"/>
      <c r="O377" s="210"/>
      <c r="P377" s="200"/>
      <c r="Q377" s="200"/>
      <c r="R377" s="200"/>
      <c r="T377" s="154"/>
      <c r="V377" s="200"/>
      <c r="Y377" s="200"/>
      <c r="Z377" s="329"/>
      <c r="AA377" s="200"/>
      <c r="AB377" s="200"/>
      <c r="AC377" s="210"/>
      <c r="AD377" s="210"/>
      <c r="AE377" s="200"/>
      <c r="AF377" s="200"/>
      <c r="AG377" s="209"/>
      <c r="AH377" s="201"/>
      <c r="AI377" s="200"/>
      <c r="AJ377" s="200"/>
      <c r="AK377" s="209"/>
      <c r="AL377" s="200"/>
      <c r="AM377" s="210"/>
      <c r="AN377" s="210"/>
    </row>
    <row r="378" spans="1:40" x14ac:dyDescent="0.25">
      <c r="A378" s="202"/>
      <c r="C378" s="154"/>
      <c r="F378" s="252"/>
      <c r="H378" s="252"/>
      <c r="I378" s="252"/>
      <c r="J378" s="329"/>
      <c r="K378" s="329"/>
      <c r="L378" s="200"/>
      <c r="M378" s="200"/>
      <c r="N378" s="210"/>
      <c r="O378" s="210"/>
      <c r="P378" s="200"/>
      <c r="Q378" s="200"/>
      <c r="R378" s="200"/>
      <c r="T378" s="154"/>
      <c r="V378" s="200"/>
      <c r="Y378" s="200"/>
      <c r="Z378" s="329"/>
      <c r="AA378" s="200"/>
      <c r="AB378" s="200"/>
      <c r="AC378" s="210"/>
      <c r="AD378" s="210"/>
      <c r="AE378" s="200"/>
      <c r="AF378" s="200"/>
      <c r="AG378" s="209"/>
      <c r="AH378" s="201"/>
      <c r="AI378" s="200"/>
      <c r="AJ378" s="200"/>
      <c r="AK378" s="209"/>
      <c r="AL378" s="200"/>
      <c r="AM378" s="210"/>
      <c r="AN378" s="210"/>
    </row>
    <row r="379" spans="1:40" x14ac:dyDescent="0.25">
      <c r="A379" s="202"/>
      <c r="C379" s="154"/>
      <c r="F379" s="252"/>
      <c r="H379" s="252"/>
      <c r="I379" s="252"/>
      <c r="J379" s="329"/>
      <c r="K379" s="329"/>
      <c r="L379" s="200"/>
      <c r="M379" s="200"/>
      <c r="N379" s="210"/>
      <c r="O379" s="210"/>
      <c r="P379" s="200"/>
      <c r="Q379" s="200"/>
      <c r="R379" s="200"/>
      <c r="T379" s="154"/>
      <c r="V379" s="200"/>
      <c r="Y379" s="200"/>
      <c r="Z379" s="329"/>
      <c r="AA379" s="200"/>
      <c r="AB379" s="200"/>
      <c r="AC379" s="210"/>
      <c r="AD379" s="210"/>
      <c r="AE379" s="200"/>
      <c r="AF379" s="200"/>
      <c r="AG379" s="209"/>
      <c r="AH379" s="201"/>
      <c r="AI379" s="200"/>
      <c r="AJ379" s="200"/>
      <c r="AK379" s="209"/>
      <c r="AL379" s="200"/>
      <c r="AM379" s="210"/>
      <c r="AN379" s="210"/>
    </row>
    <row r="380" spans="1:40" x14ac:dyDescent="0.25">
      <c r="A380" s="202"/>
      <c r="C380" s="154"/>
      <c r="F380" s="252"/>
      <c r="H380" s="252"/>
      <c r="I380" s="252"/>
      <c r="J380" s="329"/>
      <c r="K380" s="329"/>
      <c r="L380" s="200"/>
      <c r="M380" s="200"/>
      <c r="N380" s="210"/>
      <c r="O380" s="210"/>
      <c r="P380" s="200"/>
      <c r="Q380" s="200"/>
      <c r="R380" s="200"/>
      <c r="T380" s="154"/>
      <c r="V380" s="200"/>
      <c r="Y380" s="200"/>
      <c r="Z380" s="329"/>
      <c r="AA380" s="200"/>
      <c r="AB380" s="200"/>
      <c r="AC380" s="210"/>
      <c r="AD380" s="210"/>
      <c r="AE380" s="200"/>
      <c r="AF380" s="200"/>
      <c r="AG380" s="209"/>
      <c r="AH380" s="201"/>
      <c r="AI380" s="200"/>
      <c r="AJ380" s="200"/>
      <c r="AK380" s="209"/>
      <c r="AL380" s="200"/>
      <c r="AM380" s="210"/>
      <c r="AN380" s="210"/>
    </row>
    <row r="381" spans="1:40" x14ac:dyDescent="0.25">
      <c r="A381" s="202"/>
      <c r="C381" s="154"/>
      <c r="J381" s="334"/>
      <c r="K381" s="334"/>
      <c r="T381" s="154"/>
      <c r="Z381" s="334"/>
    </row>
    <row r="382" spans="1:40" x14ac:dyDescent="0.25">
      <c r="A382" s="202"/>
      <c r="C382" s="154"/>
      <c r="F382" s="252"/>
      <c r="H382" s="252"/>
      <c r="I382" s="252"/>
      <c r="J382" s="329"/>
      <c r="K382" s="329"/>
      <c r="L382" s="200"/>
      <c r="M382" s="200"/>
      <c r="N382" s="210"/>
      <c r="O382" s="210"/>
      <c r="P382" s="200"/>
      <c r="Q382" s="200"/>
      <c r="R382" s="200"/>
      <c r="T382" s="154"/>
      <c r="V382" s="200"/>
      <c r="Y382" s="200"/>
      <c r="Z382" s="329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A383" s="202"/>
      <c r="C383" s="154"/>
      <c r="F383" s="252"/>
      <c r="H383" s="252"/>
      <c r="I383" s="252"/>
      <c r="J383" s="329"/>
      <c r="K383" s="329"/>
      <c r="L383" s="200"/>
      <c r="M383" s="200"/>
      <c r="N383" s="210"/>
      <c r="O383" s="210"/>
      <c r="P383" s="200"/>
      <c r="Q383" s="200"/>
      <c r="R383" s="200"/>
      <c r="T383" s="154"/>
      <c r="V383" s="200"/>
      <c r="Y383" s="200"/>
      <c r="Z383" s="329"/>
      <c r="AA383" s="200"/>
      <c r="AB383" s="200"/>
      <c r="AC383" s="210"/>
      <c r="AD383" s="210"/>
      <c r="AE383" s="200"/>
      <c r="AF383" s="200"/>
      <c r="AG383" s="209"/>
      <c r="AH383" s="201"/>
      <c r="AI383" s="200"/>
      <c r="AJ383" s="200"/>
      <c r="AK383" s="209"/>
      <c r="AL383" s="200"/>
      <c r="AM383" s="210"/>
      <c r="AN383" s="210"/>
    </row>
    <row r="384" spans="1:40" x14ac:dyDescent="0.25">
      <c r="A384" s="202"/>
      <c r="C384" s="154"/>
      <c r="F384" s="252"/>
      <c r="H384" s="252"/>
      <c r="I384" s="252"/>
      <c r="J384" s="329"/>
      <c r="K384" s="329"/>
      <c r="L384" s="200"/>
      <c r="M384" s="200"/>
      <c r="N384" s="210"/>
      <c r="O384" s="210"/>
      <c r="P384" s="200"/>
      <c r="Q384" s="200"/>
      <c r="R384" s="200"/>
      <c r="T384" s="154"/>
      <c r="V384" s="200"/>
      <c r="Y384" s="200"/>
      <c r="Z384" s="329"/>
      <c r="AA384" s="200"/>
      <c r="AB384" s="200"/>
      <c r="AC384" s="210"/>
      <c r="AD384" s="210"/>
      <c r="AE384" s="200"/>
      <c r="AF384" s="200"/>
      <c r="AG384" s="209"/>
      <c r="AH384" s="201"/>
      <c r="AI384" s="200"/>
      <c r="AJ384" s="200"/>
      <c r="AK384" s="209"/>
      <c r="AL384" s="200"/>
      <c r="AM384" s="210"/>
      <c r="AN384" s="210"/>
    </row>
    <row r="385" spans="1:40" x14ac:dyDescent="0.25">
      <c r="A385" s="202"/>
      <c r="C385" s="154"/>
      <c r="F385" s="252"/>
      <c r="H385" s="252"/>
      <c r="I385" s="252"/>
      <c r="J385" s="329"/>
      <c r="K385" s="329"/>
      <c r="L385" s="200"/>
      <c r="M385" s="200"/>
      <c r="N385" s="210"/>
      <c r="O385" s="210"/>
      <c r="P385" s="200"/>
      <c r="Q385" s="200"/>
      <c r="R385" s="200"/>
      <c r="T385" s="154"/>
      <c r="V385" s="200"/>
      <c r="Y385" s="200"/>
      <c r="Z385" s="329"/>
      <c r="AA385" s="200"/>
      <c r="AB385" s="200"/>
      <c r="AC385" s="210"/>
      <c r="AD385" s="210"/>
      <c r="AE385" s="200"/>
      <c r="AF385" s="200"/>
      <c r="AG385" s="209"/>
      <c r="AH385" s="201"/>
      <c r="AI385" s="200"/>
      <c r="AJ385" s="200"/>
      <c r="AK385" s="209"/>
      <c r="AL385" s="200"/>
      <c r="AM385" s="210"/>
      <c r="AN385" s="210"/>
    </row>
    <row r="386" spans="1:40" x14ac:dyDescent="0.25">
      <c r="A386" s="202"/>
      <c r="C386" s="154"/>
      <c r="F386" s="252"/>
      <c r="H386" s="252"/>
      <c r="I386" s="252"/>
      <c r="J386" s="329"/>
      <c r="K386" s="329"/>
      <c r="L386" s="200"/>
      <c r="M386" s="200"/>
      <c r="N386" s="210"/>
      <c r="O386" s="210"/>
      <c r="P386" s="200"/>
      <c r="Q386" s="200"/>
      <c r="R386" s="200"/>
      <c r="T386" s="154"/>
      <c r="V386" s="200"/>
      <c r="Y386" s="200"/>
      <c r="Z386" s="329"/>
      <c r="AA386" s="200"/>
      <c r="AB386" s="200"/>
      <c r="AC386" s="210"/>
      <c r="AD386" s="210"/>
      <c r="AE386" s="200"/>
      <c r="AF386" s="200"/>
      <c r="AG386" s="209"/>
      <c r="AH386" s="201"/>
      <c r="AI386" s="200"/>
      <c r="AJ386" s="200"/>
      <c r="AK386" s="209"/>
      <c r="AL386" s="200"/>
      <c r="AM386" s="210"/>
      <c r="AN386" s="210"/>
    </row>
    <row r="387" spans="1:40" x14ac:dyDescent="0.25">
      <c r="F387" s="211"/>
      <c r="H387" s="211"/>
      <c r="I387" s="211"/>
      <c r="J387" s="305"/>
      <c r="K387" s="305"/>
      <c r="L387" s="211"/>
      <c r="M387" s="211"/>
      <c r="N387" s="211"/>
      <c r="O387" s="211"/>
      <c r="P387" s="211"/>
      <c r="Q387" s="211"/>
      <c r="R387" s="211"/>
      <c r="V387" s="211"/>
      <c r="Y387" s="211"/>
      <c r="Z387" s="329"/>
      <c r="AA387" s="211"/>
      <c r="AB387" s="211"/>
      <c r="AC387" s="211"/>
      <c r="AD387" s="211"/>
      <c r="AE387" s="211"/>
      <c r="AF387" s="211"/>
      <c r="AI387" s="211"/>
      <c r="AJ387" s="211"/>
      <c r="AK387" s="212"/>
      <c r="AL387" s="211"/>
    </row>
    <row r="388" spans="1:40" x14ac:dyDescent="0.25">
      <c r="A388" s="202"/>
      <c r="C388" s="154"/>
      <c r="F388" s="200"/>
      <c r="H388" s="200"/>
      <c r="I388" s="200"/>
      <c r="L388" s="200"/>
      <c r="M388" s="200"/>
      <c r="N388" s="201"/>
      <c r="O388" s="201"/>
      <c r="P388" s="200"/>
      <c r="Q388" s="200"/>
      <c r="R388" s="200"/>
      <c r="T388" s="154"/>
      <c r="V388" s="200"/>
      <c r="Y388" s="200"/>
      <c r="AA388" s="200"/>
      <c r="AB388" s="200"/>
      <c r="AC388" s="210"/>
      <c r="AD388" s="210"/>
      <c r="AE388" s="200"/>
      <c r="AF388" s="200"/>
      <c r="AG388" s="209"/>
      <c r="AH388" s="201"/>
      <c r="AI388" s="200"/>
      <c r="AJ388" s="200"/>
      <c r="AK388" s="209"/>
      <c r="AL388" s="200"/>
      <c r="AM388" s="210"/>
      <c r="AN388" s="210"/>
    </row>
    <row r="389" spans="1:40" x14ac:dyDescent="0.25">
      <c r="F389" s="211"/>
      <c r="H389" s="211"/>
      <c r="I389" s="211"/>
      <c r="J389" s="305"/>
      <c r="K389" s="305"/>
      <c r="L389" s="211"/>
      <c r="M389" s="211"/>
      <c r="N389" s="211"/>
      <c r="O389" s="211"/>
      <c r="P389" s="211"/>
      <c r="Q389" s="211"/>
      <c r="R389" s="211"/>
      <c r="V389" s="211"/>
      <c r="Y389" s="211"/>
      <c r="Z389" s="305"/>
      <c r="AA389" s="211"/>
      <c r="AB389" s="211"/>
      <c r="AC389" s="211"/>
      <c r="AD389" s="211"/>
      <c r="AE389" s="211"/>
      <c r="AF389" s="211"/>
      <c r="AI389" s="211"/>
      <c r="AJ389" s="211"/>
      <c r="AK389" s="212"/>
      <c r="AL389" s="211"/>
    </row>
    <row r="390" spans="1:40" x14ac:dyDescent="0.25">
      <c r="A390" s="202"/>
      <c r="C390" s="154"/>
      <c r="T390" s="154"/>
    </row>
    <row r="391" spans="1:40" x14ac:dyDescent="0.25">
      <c r="A391" s="202"/>
      <c r="C391" s="154"/>
      <c r="F391" s="252"/>
      <c r="H391" s="252"/>
      <c r="I391" s="252"/>
      <c r="J391" s="300"/>
      <c r="K391" s="300"/>
      <c r="L391" s="200"/>
      <c r="M391" s="200"/>
      <c r="N391" s="210"/>
      <c r="O391" s="210"/>
      <c r="P391" s="200"/>
      <c r="Q391" s="200"/>
      <c r="R391" s="200"/>
      <c r="T391" s="154"/>
      <c r="V391" s="200"/>
      <c r="Y391" s="200"/>
      <c r="Z391" s="300"/>
      <c r="AA391" s="200"/>
      <c r="AB391" s="200"/>
      <c r="AC391" s="210"/>
      <c r="AD391" s="210"/>
      <c r="AE391" s="200"/>
      <c r="AF391" s="200"/>
      <c r="AG391" s="209"/>
      <c r="AH391" s="201"/>
      <c r="AI391" s="200"/>
      <c r="AJ391" s="200"/>
      <c r="AK391" s="209"/>
      <c r="AL391" s="200"/>
      <c r="AM391" s="210"/>
      <c r="AN391" s="210"/>
    </row>
    <row r="392" spans="1:40" x14ac:dyDescent="0.25">
      <c r="A392" s="202"/>
      <c r="C392" s="154"/>
      <c r="F392" s="252"/>
      <c r="H392" s="252"/>
      <c r="I392" s="252"/>
      <c r="J392" s="300"/>
      <c r="K392" s="300"/>
      <c r="L392" s="200"/>
      <c r="M392" s="200"/>
      <c r="N392" s="210"/>
      <c r="O392" s="210"/>
      <c r="P392" s="200"/>
      <c r="Q392" s="200"/>
      <c r="R392" s="200"/>
      <c r="T392" s="154"/>
      <c r="V392" s="200"/>
      <c r="Y392" s="200"/>
      <c r="Z392" s="300"/>
      <c r="AA392" s="200"/>
      <c r="AB392" s="200"/>
      <c r="AC392" s="210"/>
      <c r="AD392" s="21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F393" s="211"/>
      <c r="H393" s="200"/>
      <c r="I393" s="200"/>
      <c r="J393" s="305"/>
      <c r="K393" s="305"/>
      <c r="L393" s="211"/>
      <c r="M393" s="211"/>
      <c r="N393" s="211"/>
      <c r="O393" s="211"/>
      <c r="P393" s="211"/>
      <c r="Q393" s="211"/>
      <c r="R393" s="211"/>
      <c r="V393" s="211"/>
      <c r="Y393" s="200"/>
      <c r="Z393" s="305"/>
      <c r="AA393" s="211"/>
      <c r="AB393" s="211"/>
      <c r="AC393" s="211"/>
      <c r="AD393" s="211"/>
      <c r="AE393" s="211"/>
      <c r="AF393" s="211"/>
      <c r="AI393" s="211"/>
      <c r="AJ393" s="211"/>
      <c r="AK393" s="212"/>
      <c r="AL393" s="211"/>
    </row>
    <row r="394" spans="1:40" x14ac:dyDescent="0.25">
      <c r="F394" s="200"/>
      <c r="H394" s="200"/>
      <c r="I394" s="200"/>
      <c r="J394" s="305"/>
      <c r="K394" s="305"/>
      <c r="L394" s="200"/>
      <c r="M394" s="200"/>
      <c r="N394" s="200"/>
      <c r="O394" s="200"/>
      <c r="P394" s="200"/>
      <c r="Q394" s="200"/>
      <c r="R394" s="200"/>
      <c r="V394" s="200"/>
      <c r="Y394" s="200"/>
      <c r="Z394" s="305"/>
      <c r="AA394" s="200"/>
      <c r="AB394" s="200"/>
      <c r="AC394" s="200"/>
      <c r="AD394" s="200"/>
      <c r="AE394" s="200"/>
      <c r="AF394" s="200"/>
      <c r="AI394" s="200"/>
      <c r="AJ394" s="200"/>
      <c r="AK394" s="209"/>
      <c r="AL394" s="200"/>
    </row>
    <row r="395" spans="1:40" x14ac:dyDescent="0.25">
      <c r="A395" s="202"/>
      <c r="C395" s="154"/>
      <c r="F395" s="200"/>
      <c r="H395" s="200"/>
      <c r="I395" s="200"/>
      <c r="L395" s="200"/>
      <c r="M395" s="200"/>
      <c r="N395" s="210"/>
      <c r="O395" s="210"/>
      <c r="P395" s="200"/>
      <c r="Q395" s="200"/>
      <c r="R395" s="200"/>
      <c r="T395" s="154"/>
      <c r="V395" s="200"/>
      <c r="Y395" s="200"/>
      <c r="AA395" s="200"/>
      <c r="AB395" s="200"/>
      <c r="AC395" s="210"/>
      <c r="AD395" s="210"/>
      <c r="AE395" s="200"/>
      <c r="AF395" s="200"/>
      <c r="AG395" s="209"/>
      <c r="AH395" s="201"/>
      <c r="AI395" s="252"/>
      <c r="AJ395" s="252"/>
      <c r="AK395" s="209"/>
      <c r="AL395" s="200"/>
      <c r="AM395" s="210"/>
      <c r="AN395" s="210"/>
    </row>
    <row r="396" spans="1:40" x14ac:dyDescent="0.25">
      <c r="H396" s="211"/>
      <c r="I396" s="211"/>
      <c r="J396" s="305"/>
      <c r="K396" s="305"/>
      <c r="L396" s="211"/>
      <c r="M396" s="211"/>
      <c r="N396" s="211"/>
      <c r="O396" s="211"/>
      <c r="P396" s="211"/>
      <c r="Q396" s="211"/>
      <c r="R396" s="211"/>
      <c r="V396" s="211"/>
      <c r="Y396" s="211"/>
      <c r="Z396" s="305"/>
      <c r="AA396" s="211"/>
      <c r="AB396" s="211"/>
      <c r="AC396" s="211"/>
      <c r="AD396" s="211"/>
      <c r="AE396" s="211"/>
      <c r="AF396" s="211"/>
      <c r="AI396" s="211"/>
      <c r="AJ396" s="211"/>
      <c r="AK396" s="212"/>
      <c r="AL396" s="211"/>
    </row>
    <row r="397" spans="1:40" x14ac:dyDescent="0.25">
      <c r="F397" s="211"/>
    </row>
    <row r="398" spans="1:40" x14ac:dyDescent="0.25">
      <c r="A398" s="154"/>
      <c r="T398" s="154"/>
    </row>
    <row r="399" spans="1:40" x14ac:dyDescent="0.25">
      <c r="A399" s="154"/>
      <c r="T399" s="154"/>
    </row>
    <row r="400" spans="1:40" x14ac:dyDescent="0.25">
      <c r="A400" s="154"/>
      <c r="T400" s="154"/>
    </row>
    <row r="401" spans="1:38" x14ac:dyDescent="0.25">
      <c r="A401" s="154"/>
      <c r="T401" s="154"/>
    </row>
    <row r="402" spans="1:38" x14ac:dyDescent="0.25">
      <c r="A402" s="154"/>
      <c r="T402" s="154"/>
    </row>
    <row r="403" spans="1:38" x14ac:dyDescent="0.25">
      <c r="A403" s="154"/>
      <c r="T403" s="154"/>
    </row>
    <row r="404" spans="1:38" x14ac:dyDescent="0.25">
      <c r="A404" s="154"/>
      <c r="T404" s="154"/>
    </row>
    <row r="405" spans="1:38" x14ac:dyDescent="0.25">
      <c r="A405" s="154"/>
      <c r="T405" s="154"/>
    </row>
    <row r="406" spans="1:38" x14ac:dyDescent="0.25">
      <c r="A406" s="154"/>
      <c r="T406" s="154"/>
    </row>
    <row r="408" spans="1:38" x14ac:dyDescent="0.25">
      <c r="A408" s="154"/>
    </row>
    <row r="409" spans="1:38" x14ac:dyDescent="0.25">
      <c r="J409" s="202"/>
      <c r="K409" s="202"/>
      <c r="Z409" s="202"/>
    </row>
    <row r="410" spans="1:38" x14ac:dyDescent="0.25">
      <c r="H410" s="154"/>
      <c r="I410" s="154"/>
      <c r="Y410" s="154"/>
    </row>
    <row r="411" spans="1:38" x14ac:dyDescent="0.25">
      <c r="J411" s="202"/>
      <c r="K411" s="202"/>
      <c r="Z411" s="202"/>
    </row>
    <row r="412" spans="1:38" x14ac:dyDescent="0.25">
      <c r="L412" s="154"/>
      <c r="M412" s="154"/>
      <c r="AA412" s="154"/>
      <c r="AB412" s="154"/>
    </row>
    <row r="413" spans="1:38" x14ac:dyDescent="0.25">
      <c r="A413" s="202"/>
      <c r="R413" s="154"/>
      <c r="AK413" s="297"/>
      <c r="AL413" s="154"/>
    </row>
    <row r="414" spans="1:38" x14ac:dyDescent="0.25">
      <c r="A414" s="202"/>
      <c r="R414" s="154"/>
      <c r="AK414" s="297"/>
      <c r="AL414" s="154"/>
    </row>
    <row r="415" spans="1:38" x14ac:dyDescent="0.25">
      <c r="A415" s="154"/>
      <c r="R415" s="154"/>
      <c r="AK415" s="297"/>
      <c r="AL415" s="154"/>
    </row>
    <row r="416" spans="1:38" x14ac:dyDescent="0.25">
      <c r="L416" s="154"/>
      <c r="M416" s="154"/>
      <c r="R416" s="202"/>
      <c r="AA416" s="154"/>
      <c r="AB416" s="154"/>
      <c r="AK416" s="209"/>
      <c r="AL416" s="202"/>
    </row>
    <row r="417" spans="1:40" x14ac:dyDescent="0.25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208"/>
      <c r="AH417" s="102"/>
      <c r="AI417" s="102"/>
      <c r="AJ417" s="102"/>
      <c r="AK417" s="208"/>
      <c r="AL417" s="102"/>
      <c r="AM417" s="102"/>
      <c r="AN417" s="102"/>
    </row>
    <row r="418" spans="1:40" x14ac:dyDescent="0.25">
      <c r="L418" s="103"/>
      <c r="M418" s="103"/>
      <c r="N418" s="103"/>
      <c r="O418" s="103"/>
      <c r="R418" s="103"/>
      <c r="AA418" s="103"/>
      <c r="AB418" s="103"/>
      <c r="AC418" s="103"/>
      <c r="AD418" s="103"/>
      <c r="AE418" s="103"/>
      <c r="AF418" s="103"/>
      <c r="AG418" s="185"/>
      <c r="AH418" s="103"/>
      <c r="AK418" s="185"/>
      <c r="AL418" s="103"/>
      <c r="AM418" s="103"/>
      <c r="AN418" s="103"/>
    </row>
    <row r="419" spans="1:40" x14ac:dyDescent="0.25">
      <c r="L419" s="103"/>
      <c r="M419" s="103"/>
      <c r="N419" s="103"/>
      <c r="O419" s="103"/>
      <c r="R419" s="103"/>
      <c r="Z419" s="103"/>
      <c r="AA419" s="103"/>
      <c r="AB419" s="103"/>
      <c r="AC419" s="103"/>
      <c r="AD419" s="103"/>
      <c r="AE419" s="103"/>
      <c r="AF419" s="103"/>
      <c r="AG419" s="185"/>
      <c r="AH419" s="103"/>
      <c r="AK419" s="185"/>
      <c r="AL419" s="103"/>
      <c r="AM419" s="103"/>
      <c r="AN419" s="103"/>
    </row>
    <row r="420" spans="1:40" x14ac:dyDescent="0.25">
      <c r="A420" s="103"/>
      <c r="C420" s="103"/>
      <c r="D420" s="103"/>
      <c r="E420" s="103"/>
      <c r="F420" s="103"/>
      <c r="J420" s="103"/>
      <c r="K420" s="103"/>
      <c r="L420" s="103"/>
      <c r="M420" s="103"/>
      <c r="N420" s="103"/>
      <c r="O420" s="103"/>
      <c r="P420" s="103"/>
      <c r="Q420" s="103"/>
      <c r="R420" s="103"/>
      <c r="T420" s="103"/>
      <c r="U420" s="103"/>
      <c r="V420" s="103"/>
      <c r="Z420" s="103"/>
      <c r="AA420" s="103"/>
      <c r="AB420" s="103"/>
      <c r="AC420" s="103"/>
      <c r="AD420" s="103"/>
      <c r="AE420" s="103"/>
      <c r="AF420" s="103"/>
      <c r="AG420" s="185"/>
      <c r="AH420" s="103"/>
      <c r="AI420" s="103"/>
      <c r="AJ420" s="103"/>
      <c r="AK420" s="185"/>
      <c r="AL420" s="103"/>
      <c r="AM420" s="103"/>
      <c r="AN420" s="103"/>
    </row>
    <row r="421" spans="1:40" x14ac:dyDescent="0.25">
      <c r="A421" s="103"/>
      <c r="C421" s="103"/>
      <c r="D421" s="103"/>
      <c r="E421" s="103"/>
      <c r="F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T421" s="103"/>
      <c r="U421" s="103"/>
      <c r="V421" s="103"/>
      <c r="Y421" s="103"/>
      <c r="Z421" s="103"/>
      <c r="AA421" s="103"/>
      <c r="AB421" s="103"/>
      <c r="AC421" s="103"/>
      <c r="AD421" s="103"/>
      <c r="AE421" s="103"/>
      <c r="AF421" s="103"/>
      <c r="AG421" s="185"/>
      <c r="AH421" s="103"/>
      <c r="AI421" s="103"/>
      <c r="AJ421" s="103"/>
      <c r="AK421" s="185"/>
      <c r="AL421" s="103"/>
      <c r="AM421" s="103"/>
      <c r="AN421" s="103"/>
    </row>
    <row r="422" spans="1:40" x14ac:dyDescent="0.25">
      <c r="C422" s="103"/>
      <c r="D422" s="103"/>
      <c r="E422" s="103"/>
      <c r="F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T422" s="103"/>
      <c r="U422" s="103"/>
      <c r="V422" s="103"/>
      <c r="Y422" s="103"/>
      <c r="Z422" s="103"/>
      <c r="AA422" s="103"/>
      <c r="AB422" s="103"/>
      <c r="AC422" s="103"/>
      <c r="AD422" s="103"/>
      <c r="AE422" s="103"/>
      <c r="AF422" s="103"/>
      <c r="AG422" s="185"/>
      <c r="AH422" s="103"/>
      <c r="AI422" s="103"/>
      <c r="AJ422" s="103"/>
      <c r="AK422" s="185"/>
      <c r="AL422" s="103"/>
      <c r="AM422" s="103"/>
      <c r="AN422" s="103"/>
    </row>
    <row r="423" spans="1:40" x14ac:dyDescent="0.25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208"/>
      <c r="AH423" s="102"/>
      <c r="AI423" s="102"/>
      <c r="AJ423" s="102"/>
      <c r="AK423" s="208"/>
      <c r="AL423" s="102"/>
      <c r="AM423" s="102"/>
      <c r="AN423" s="102"/>
    </row>
    <row r="424" spans="1:40" x14ac:dyDescent="0.25"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Y424" s="103"/>
      <c r="Z424" s="103"/>
      <c r="AA424" s="103"/>
      <c r="AB424" s="103"/>
      <c r="AC424" s="103"/>
      <c r="AD424" s="103"/>
      <c r="AE424" s="103"/>
      <c r="AF424" s="103"/>
      <c r="AG424" s="185"/>
      <c r="AH424" s="103"/>
      <c r="AI424" s="103"/>
      <c r="AJ424" s="103"/>
      <c r="AK424" s="185"/>
      <c r="AL424" s="103"/>
      <c r="AM424" s="103"/>
      <c r="AN424" s="103"/>
    </row>
    <row r="425" spans="1:40" x14ac:dyDescent="0.25">
      <c r="A425" s="202"/>
      <c r="C425" s="154"/>
      <c r="D425" s="154"/>
      <c r="E425" s="154"/>
      <c r="T425" s="154"/>
      <c r="U425" s="154"/>
    </row>
    <row r="426" spans="1:40" x14ac:dyDescent="0.25">
      <c r="A426" s="202"/>
      <c r="D426" s="154"/>
      <c r="E426" s="154"/>
      <c r="U426" s="154"/>
    </row>
    <row r="428" spans="1:40" x14ac:dyDescent="0.25">
      <c r="A428" s="202"/>
      <c r="C428" s="154"/>
      <c r="F428" s="200"/>
      <c r="J428" s="215"/>
      <c r="K428" s="215"/>
      <c r="L428" s="200"/>
      <c r="M428" s="200"/>
      <c r="R428" s="200"/>
      <c r="T428" s="154"/>
      <c r="V428" s="200"/>
      <c r="Z428" s="215"/>
      <c r="AA428" s="200"/>
      <c r="AB428" s="200"/>
      <c r="AG428" s="209"/>
      <c r="AH428" s="200"/>
      <c r="AK428" s="209"/>
      <c r="AL428" s="200"/>
    </row>
    <row r="429" spans="1:40" x14ac:dyDescent="0.25">
      <c r="A429" s="202"/>
      <c r="C429" s="154"/>
      <c r="F429" s="200"/>
      <c r="R429" s="200"/>
      <c r="T429" s="154"/>
      <c r="V429" s="200"/>
      <c r="AG429" s="209"/>
      <c r="AH429" s="200"/>
      <c r="AK429" s="209"/>
      <c r="AL429" s="200"/>
    </row>
    <row r="430" spans="1:40" x14ac:dyDescent="0.25">
      <c r="AI430" s="200"/>
      <c r="AJ430" s="200"/>
      <c r="AK430" s="209"/>
      <c r="AL430" s="200"/>
      <c r="AM430" s="210"/>
      <c r="AN430" s="210"/>
    </row>
    <row r="431" spans="1:40" x14ac:dyDescent="0.25">
      <c r="A431" s="202"/>
      <c r="C431" s="154"/>
      <c r="F431" s="252"/>
      <c r="H431" s="252"/>
      <c r="I431" s="252"/>
      <c r="J431" s="328"/>
      <c r="K431" s="328"/>
      <c r="L431" s="200"/>
      <c r="M431" s="200"/>
      <c r="N431" s="210"/>
      <c r="O431" s="210"/>
      <c r="P431" s="200"/>
      <c r="Q431" s="200"/>
      <c r="R431" s="200"/>
      <c r="T431" s="154"/>
      <c r="V431" s="200"/>
      <c r="Y431" s="200"/>
      <c r="Z431" s="328"/>
      <c r="AA431" s="200"/>
      <c r="AB431" s="200"/>
      <c r="AC431" s="210"/>
      <c r="AD431" s="210"/>
      <c r="AE431" s="200"/>
      <c r="AF431" s="200"/>
      <c r="AG431" s="209"/>
      <c r="AH431" s="201"/>
      <c r="AI431" s="200"/>
      <c r="AJ431" s="200"/>
      <c r="AK431" s="209"/>
      <c r="AL431" s="200"/>
      <c r="AM431" s="210"/>
      <c r="AN431" s="210"/>
    </row>
    <row r="432" spans="1:40" x14ac:dyDescent="0.25">
      <c r="F432" s="200"/>
      <c r="H432" s="200"/>
      <c r="I432" s="200"/>
      <c r="J432" s="213"/>
      <c r="K432" s="213"/>
      <c r="L432" s="200"/>
      <c r="M432" s="200"/>
      <c r="P432" s="200"/>
      <c r="Q432" s="200"/>
      <c r="R432" s="200"/>
      <c r="V432" s="200"/>
      <c r="Y432" s="200"/>
      <c r="Z432" s="213"/>
      <c r="AA432" s="200"/>
      <c r="AB432" s="200"/>
      <c r="AI432" s="200"/>
      <c r="AJ432" s="200"/>
      <c r="AK432" s="209"/>
      <c r="AL432" s="200"/>
      <c r="AM432" s="210"/>
      <c r="AN432" s="210"/>
    </row>
    <row r="433" spans="1:40" x14ac:dyDescent="0.25">
      <c r="F433" s="200"/>
      <c r="R433" s="200"/>
      <c r="V433" s="200"/>
      <c r="AK433" s="209"/>
      <c r="AL433" s="200"/>
      <c r="AM433" s="210"/>
      <c r="AN433" s="210"/>
    </row>
    <row r="434" spans="1:40" x14ac:dyDescent="0.25">
      <c r="A434" s="202"/>
      <c r="C434" s="154"/>
      <c r="F434" s="200"/>
      <c r="J434" s="215"/>
      <c r="K434" s="215"/>
      <c r="L434" s="200"/>
      <c r="M434" s="200"/>
      <c r="N434" s="210"/>
      <c r="O434" s="210"/>
      <c r="R434" s="200"/>
      <c r="T434" s="154"/>
      <c r="V434" s="200"/>
      <c r="Z434" s="215"/>
      <c r="AA434" s="200"/>
      <c r="AB434" s="200"/>
      <c r="AC434" s="210"/>
      <c r="AD434" s="210"/>
      <c r="AK434" s="209"/>
      <c r="AL434" s="200"/>
      <c r="AM434" s="210"/>
      <c r="AN434" s="210"/>
    </row>
    <row r="435" spans="1:40" x14ac:dyDescent="0.25">
      <c r="A435" s="202"/>
      <c r="C435" s="154"/>
      <c r="F435" s="200"/>
      <c r="H435" s="200"/>
      <c r="I435" s="200"/>
      <c r="J435" s="215"/>
      <c r="K435" s="215"/>
      <c r="L435" s="200"/>
      <c r="M435" s="200"/>
      <c r="N435" s="210"/>
      <c r="O435" s="210"/>
      <c r="P435" s="200"/>
      <c r="Q435" s="200"/>
      <c r="R435" s="200"/>
      <c r="T435" s="154"/>
      <c r="V435" s="200"/>
      <c r="Y435" s="200"/>
      <c r="Z435" s="215"/>
      <c r="AA435" s="200"/>
      <c r="AB435" s="200"/>
      <c r="AC435" s="210"/>
      <c r="AD435" s="210"/>
      <c r="AI435" s="200"/>
      <c r="AJ435" s="200"/>
      <c r="AK435" s="209"/>
      <c r="AL435" s="200"/>
      <c r="AM435" s="210"/>
      <c r="AN435" s="210"/>
    </row>
    <row r="436" spans="1:40" x14ac:dyDescent="0.25">
      <c r="A436" s="202"/>
      <c r="C436" s="154"/>
      <c r="T436" s="154"/>
      <c r="AM436" s="210"/>
      <c r="AN436" s="210"/>
    </row>
    <row r="437" spans="1:40" x14ac:dyDescent="0.25">
      <c r="A437" s="202"/>
      <c r="C437" s="154"/>
      <c r="T437" s="154"/>
      <c r="AM437" s="210"/>
      <c r="AN437" s="210"/>
    </row>
    <row r="438" spans="1:40" x14ac:dyDescent="0.25">
      <c r="AM438" s="210"/>
      <c r="AN438" s="210"/>
    </row>
    <row r="439" spans="1:40" x14ac:dyDescent="0.25">
      <c r="A439" s="202"/>
      <c r="C439" s="154"/>
      <c r="F439" s="252"/>
      <c r="H439" s="252"/>
      <c r="I439" s="252"/>
      <c r="J439" s="328"/>
      <c r="K439" s="328"/>
      <c r="L439" s="200"/>
      <c r="M439" s="200"/>
      <c r="N439" s="210"/>
      <c r="O439" s="210"/>
      <c r="P439" s="200"/>
      <c r="Q439" s="200"/>
      <c r="R439" s="200"/>
      <c r="T439" s="154"/>
      <c r="V439" s="200"/>
      <c r="Y439" s="200"/>
      <c r="Z439" s="328"/>
      <c r="AA439" s="200"/>
      <c r="AB439" s="200"/>
      <c r="AC439" s="210"/>
      <c r="AD439" s="210"/>
      <c r="AE439" s="200"/>
      <c r="AF439" s="200"/>
      <c r="AG439" s="209"/>
      <c r="AH439" s="201"/>
      <c r="AI439" s="200"/>
      <c r="AJ439" s="200"/>
      <c r="AK439" s="209"/>
      <c r="AL439" s="200"/>
      <c r="AM439" s="210"/>
      <c r="AN439" s="210"/>
    </row>
    <row r="440" spans="1:40" x14ac:dyDescent="0.25">
      <c r="F440" s="211"/>
      <c r="H440" s="211"/>
      <c r="I440" s="211"/>
      <c r="J440" s="305"/>
      <c r="K440" s="305"/>
      <c r="L440" s="211"/>
      <c r="M440" s="211"/>
      <c r="N440" s="211"/>
      <c r="O440" s="211"/>
      <c r="P440" s="211"/>
      <c r="Q440" s="211"/>
      <c r="R440" s="211"/>
      <c r="V440" s="211"/>
      <c r="Y440" s="211"/>
      <c r="Z440" s="305"/>
      <c r="AA440" s="211"/>
      <c r="AB440" s="211"/>
      <c r="AC440" s="211"/>
      <c r="AD440" s="211"/>
      <c r="AE440" s="211"/>
      <c r="AF440" s="211"/>
      <c r="AI440" s="211"/>
      <c r="AJ440" s="211"/>
      <c r="AK440" s="212"/>
      <c r="AL440" s="211"/>
      <c r="AM440" s="210"/>
      <c r="AN440" s="210"/>
    </row>
    <row r="441" spans="1:40" x14ac:dyDescent="0.25">
      <c r="H441" s="200"/>
      <c r="I441" s="200"/>
      <c r="Y441" s="200"/>
      <c r="AM441" s="210"/>
      <c r="AN441" s="210"/>
    </row>
    <row r="442" spans="1:40" x14ac:dyDescent="0.25">
      <c r="A442" s="202"/>
      <c r="C442" s="154"/>
      <c r="F442" s="200"/>
      <c r="H442" s="200"/>
      <c r="I442" s="200"/>
      <c r="L442" s="200"/>
      <c r="M442" s="200"/>
      <c r="N442" s="210"/>
      <c r="O442" s="210"/>
      <c r="P442" s="252"/>
      <c r="Q442" s="252"/>
      <c r="R442" s="200"/>
      <c r="T442" s="154"/>
      <c r="V442" s="200"/>
      <c r="Y442" s="200"/>
      <c r="AA442" s="200"/>
      <c r="AB442" s="200"/>
      <c r="AC442" s="210"/>
      <c r="AD442" s="210"/>
      <c r="AE442" s="200"/>
      <c r="AF442" s="200"/>
      <c r="AG442" s="209"/>
      <c r="AH442" s="201"/>
      <c r="AI442" s="252"/>
      <c r="AJ442" s="252"/>
      <c r="AK442" s="209"/>
      <c r="AL442" s="200"/>
      <c r="AM442" s="210"/>
      <c r="AN442" s="210"/>
    </row>
    <row r="443" spans="1:40" x14ac:dyDescent="0.25">
      <c r="H443" s="211"/>
      <c r="I443" s="211"/>
      <c r="J443" s="305"/>
      <c r="K443" s="305"/>
      <c r="L443" s="211"/>
      <c r="M443" s="211"/>
      <c r="N443" s="211"/>
      <c r="O443" s="211"/>
      <c r="P443" s="211"/>
      <c r="Q443" s="211"/>
      <c r="R443" s="211"/>
      <c r="V443" s="211"/>
      <c r="Y443" s="211"/>
      <c r="Z443" s="305"/>
      <c r="AA443" s="211"/>
      <c r="AB443" s="211"/>
      <c r="AC443" s="211"/>
      <c r="AD443" s="211"/>
      <c r="AE443" s="211"/>
      <c r="AF443" s="211"/>
      <c r="AI443" s="211"/>
      <c r="AJ443" s="211"/>
      <c r="AK443" s="212"/>
      <c r="AL443" s="211"/>
      <c r="AM443" s="210"/>
      <c r="AN443" s="210"/>
    </row>
    <row r="444" spans="1:40" x14ac:dyDescent="0.25">
      <c r="F444" s="211"/>
    </row>
    <row r="445" spans="1:40" x14ac:dyDescent="0.25">
      <c r="F445" s="200"/>
      <c r="H445" s="200"/>
      <c r="I445" s="200"/>
      <c r="J445" s="213"/>
      <c r="K445" s="213"/>
      <c r="L445" s="200"/>
      <c r="M445" s="200"/>
      <c r="N445" s="200"/>
      <c r="O445" s="200"/>
      <c r="P445" s="200"/>
      <c r="Q445" s="200"/>
      <c r="R445" s="200"/>
      <c r="V445" s="200"/>
      <c r="Y445" s="200"/>
      <c r="Z445" s="213"/>
      <c r="AA445" s="200"/>
      <c r="AB445" s="200"/>
      <c r="AC445" s="200"/>
      <c r="AD445" s="200"/>
      <c r="AE445" s="200"/>
      <c r="AF445" s="200"/>
      <c r="AG445" s="209"/>
      <c r="AH445" s="200"/>
      <c r="AI445" s="200"/>
      <c r="AJ445" s="200"/>
      <c r="AK445" s="209"/>
      <c r="AL445" s="200"/>
    </row>
    <row r="446" spans="1:40" x14ac:dyDescent="0.25">
      <c r="A446" s="154"/>
    </row>
    <row r="447" spans="1:40" x14ac:dyDescent="0.25">
      <c r="J447" s="202"/>
      <c r="K447" s="202"/>
      <c r="Z447" s="202"/>
    </row>
    <row r="448" spans="1:40" x14ac:dyDescent="0.25">
      <c r="H448" s="154"/>
      <c r="I448" s="154"/>
      <c r="Y448" s="154"/>
    </row>
    <row r="449" spans="1:40" x14ac:dyDescent="0.25">
      <c r="J449" s="202"/>
      <c r="K449" s="202"/>
      <c r="Z449" s="202"/>
    </row>
    <row r="450" spans="1:40" x14ac:dyDescent="0.25">
      <c r="L450" s="154"/>
      <c r="M450" s="154"/>
      <c r="AA450" s="154"/>
      <c r="AB450" s="154"/>
    </row>
    <row r="451" spans="1:40" x14ac:dyDescent="0.25">
      <c r="A451" s="202"/>
      <c r="R451" s="154"/>
      <c r="AK451" s="297"/>
      <c r="AL451" s="154"/>
    </row>
    <row r="452" spans="1:40" x14ac:dyDescent="0.25">
      <c r="A452" s="202"/>
      <c r="R452" s="154"/>
      <c r="AK452" s="297"/>
      <c r="AL452" s="154"/>
    </row>
    <row r="453" spans="1:40" x14ac:dyDescent="0.25">
      <c r="A453" s="154"/>
      <c r="R453" s="154"/>
      <c r="AK453" s="297"/>
      <c r="AL453" s="154"/>
    </row>
    <row r="454" spans="1:40" x14ac:dyDescent="0.25">
      <c r="L454" s="154"/>
      <c r="M454" s="154"/>
      <c r="R454" s="202"/>
      <c r="AA454" s="154"/>
      <c r="AB454" s="154"/>
      <c r="AK454" s="209"/>
      <c r="AL454" s="202"/>
    </row>
    <row r="455" spans="1:40" x14ac:dyDescent="0.25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208"/>
      <c r="AH455" s="102"/>
      <c r="AI455" s="102"/>
      <c r="AJ455" s="102"/>
      <c r="AK455" s="208"/>
      <c r="AL455" s="102"/>
      <c r="AM455" s="102"/>
      <c r="AN455" s="102"/>
    </row>
    <row r="456" spans="1:40" x14ac:dyDescent="0.25">
      <c r="L456" s="103"/>
      <c r="M456" s="103"/>
      <c r="N456" s="103"/>
      <c r="O456" s="103"/>
      <c r="R456" s="103"/>
      <c r="AA456" s="103"/>
      <c r="AB456" s="103"/>
      <c r="AC456" s="103"/>
      <c r="AD456" s="103"/>
      <c r="AE456" s="103"/>
      <c r="AF456" s="103"/>
      <c r="AG456" s="185"/>
      <c r="AH456" s="103"/>
      <c r="AK456" s="185"/>
      <c r="AL456" s="103"/>
      <c r="AM456" s="103"/>
      <c r="AN456" s="103"/>
    </row>
    <row r="457" spans="1:40" x14ac:dyDescent="0.25">
      <c r="L457" s="103"/>
      <c r="M457" s="103"/>
      <c r="N457" s="103"/>
      <c r="O457" s="103"/>
      <c r="R457" s="103"/>
      <c r="Z457" s="103"/>
      <c r="AA457" s="103"/>
      <c r="AB457" s="103"/>
      <c r="AC457" s="103"/>
      <c r="AD457" s="103"/>
      <c r="AE457" s="103"/>
      <c r="AF457" s="103"/>
      <c r="AG457" s="185"/>
      <c r="AH457" s="103"/>
      <c r="AK457" s="185"/>
      <c r="AL457" s="103"/>
      <c r="AM457" s="103"/>
      <c r="AN457" s="103"/>
    </row>
    <row r="458" spans="1:40" x14ac:dyDescent="0.25">
      <c r="A458" s="103"/>
      <c r="C458" s="103"/>
      <c r="D458" s="103"/>
      <c r="E458" s="103"/>
      <c r="F458" s="103"/>
      <c r="J458" s="103"/>
      <c r="K458" s="103"/>
      <c r="L458" s="103"/>
      <c r="M458" s="103"/>
      <c r="N458" s="103"/>
      <c r="O458" s="103"/>
      <c r="P458" s="103"/>
      <c r="Q458" s="103"/>
      <c r="R458" s="103"/>
      <c r="T458" s="103"/>
      <c r="U458" s="103"/>
      <c r="V458" s="103"/>
      <c r="Z458" s="103"/>
      <c r="AA458" s="103"/>
      <c r="AB458" s="103"/>
      <c r="AC458" s="103"/>
      <c r="AD458" s="103"/>
      <c r="AE458" s="103"/>
      <c r="AF458" s="103"/>
      <c r="AG458" s="185"/>
      <c r="AH458" s="103"/>
      <c r="AI458" s="103"/>
      <c r="AJ458" s="103"/>
      <c r="AK458" s="185"/>
      <c r="AL458" s="103"/>
      <c r="AM458" s="103"/>
      <c r="AN458" s="103"/>
    </row>
    <row r="459" spans="1:40" x14ac:dyDescent="0.25">
      <c r="A459" s="103"/>
      <c r="C459" s="103"/>
      <c r="D459" s="103"/>
      <c r="E459" s="103"/>
      <c r="F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T459" s="103"/>
      <c r="U459" s="103"/>
      <c r="V459" s="103"/>
      <c r="Y459" s="103"/>
      <c r="Z459" s="103"/>
      <c r="AA459" s="103"/>
      <c r="AB459" s="103"/>
      <c r="AC459" s="103"/>
      <c r="AD459" s="103"/>
      <c r="AE459" s="103"/>
      <c r="AF459" s="103"/>
      <c r="AG459" s="185"/>
      <c r="AH459" s="103"/>
      <c r="AI459" s="103"/>
      <c r="AJ459" s="103"/>
      <c r="AK459" s="185"/>
      <c r="AL459" s="103"/>
      <c r="AM459" s="103"/>
      <c r="AN459" s="103"/>
    </row>
    <row r="460" spans="1:40" x14ac:dyDescent="0.25">
      <c r="C460" s="103"/>
      <c r="D460" s="103"/>
      <c r="E460" s="103"/>
      <c r="F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T460" s="103"/>
      <c r="U460" s="103"/>
      <c r="V460" s="103"/>
      <c r="Y460" s="103"/>
      <c r="Z460" s="103"/>
      <c r="AA460" s="103"/>
      <c r="AB460" s="103"/>
      <c r="AC460" s="103"/>
      <c r="AD460" s="103"/>
      <c r="AE460" s="103"/>
      <c r="AF460" s="103"/>
      <c r="AG460" s="185"/>
      <c r="AH460" s="103"/>
      <c r="AI460" s="103"/>
      <c r="AJ460" s="103"/>
      <c r="AK460" s="185"/>
      <c r="AL460" s="103"/>
      <c r="AM460" s="103"/>
      <c r="AN460" s="103"/>
    </row>
    <row r="461" spans="1:40" x14ac:dyDescent="0.25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208"/>
      <c r="AH461" s="102"/>
      <c r="AI461" s="102"/>
      <c r="AJ461" s="102"/>
      <c r="AK461" s="208"/>
      <c r="AL461" s="102"/>
      <c r="AM461" s="102"/>
      <c r="AN461" s="102"/>
    </row>
    <row r="462" spans="1:40" x14ac:dyDescent="0.25"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Y462" s="103"/>
      <c r="Z462" s="103"/>
      <c r="AA462" s="103"/>
      <c r="AB462" s="103"/>
      <c r="AC462" s="103"/>
      <c r="AD462" s="103"/>
      <c r="AE462" s="103"/>
      <c r="AF462" s="103"/>
      <c r="AG462" s="185"/>
      <c r="AH462" s="103"/>
      <c r="AI462" s="103"/>
      <c r="AJ462" s="103"/>
      <c r="AK462" s="185"/>
      <c r="AL462" s="103"/>
      <c r="AM462" s="103"/>
      <c r="AN462" s="103"/>
    </row>
    <row r="463" spans="1:40" x14ac:dyDescent="0.25">
      <c r="A463" s="202"/>
      <c r="C463" s="154"/>
      <c r="D463" s="154"/>
      <c r="E463" s="154"/>
      <c r="T463" s="154"/>
      <c r="U463" s="154"/>
      <c r="V463" s="200"/>
      <c r="W463" s="200"/>
      <c r="X463" s="200"/>
      <c r="Y463" s="200"/>
      <c r="Z463" s="328"/>
    </row>
    <row r="465" spans="1:40" x14ac:dyDescent="0.25">
      <c r="A465" s="202"/>
      <c r="C465" s="154"/>
      <c r="T465" s="154"/>
      <c r="V465" s="200"/>
      <c r="W465" s="200"/>
      <c r="X465" s="200"/>
      <c r="Y465" s="200"/>
      <c r="Z465" s="328"/>
    </row>
    <row r="466" spans="1:40" x14ac:dyDescent="0.25">
      <c r="A466" s="202"/>
      <c r="C466" s="154"/>
      <c r="F466" s="252"/>
      <c r="H466" s="252"/>
      <c r="I466" s="252"/>
      <c r="J466" s="329"/>
      <c r="K466" s="329"/>
      <c r="L466" s="200"/>
      <c r="M466" s="200"/>
      <c r="N466" s="210"/>
      <c r="O466" s="210"/>
      <c r="P466" s="200"/>
      <c r="Q466" s="200"/>
      <c r="R466" s="200"/>
      <c r="T466" s="154"/>
      <c r="V466" s="200"/>
      <c r="W466" s="200"/>
      <c r="X466" s="200"/>
      <c r="Y466" s="200"/>
      <c r="Z466" s="329"/>
      <c r="AA466" s="200"/>
      <c r="AB466" s="200"/>
      <c r="AC466" s="210"/>
      <c r="AD466" s="210"/>
      <c r="AE466" s="200"/>
      <c r="AF466" s="200"/>
      <c r="AG466" s="209"/>
      <c r="AH466" s="201"/>
      <c r="AI466" s="200"/>
      <c r="AJ466" s="200"/>
      <c r="AK466" s="209"/>
      <c r="AL466" s="200"/>
      <c r="AM466" s="210"/>
      <c r="AN466" s="210"/>
    </row>
    <row r="467" spans="1:40" x14ac:dyDescent="0.25">
      <c r="A467" s="202"/>
      <c r="C467" s="154"/>
      <c r="F467" s="252"/>
      <c r="H467" s="252"/>
      <c r="I467" s="252"/>
      <c r="J467" s="329"/>
      <c r="K467" s="329"/>
      <c r="L467" s="200"/>
      <c r="M467" s="200"/>
      <c r="N467" s="210"/>
      <c r="O467" s="210"/>
      <c r="P467" s="200"/>
      <c r="Q467" s="200"/>
      <c r="R467" s="200"/>
      <c r="T467" s="154"/>
      <c r="V467" s="200"/>
      <c r="W467" s="200"/>
      <c r="X467" s="200"/>
      <c r="Y467" s="200"/>
      <c r="Z467" s="329"/>
      <c r="AA467" s="200"/>
      <c r="AB467" s="200"/>
      <c r="AC467" s="210"/>
      <c r="AD467" s="210"/>
      <c r="AE467" s="200"/>
      <c r="AF467" s="200"/>
      <c r="AG467" s="209"/>
      <c r="AH467" s="201"/>
      <c r="AI467" s="200"/>
      <c r="AJ467" s="200"/>
      <c r="AK467" s="209"/>
      <c r="AL467" s="200"/>
      <c r="AM467" s="210"/>
      <c r="AN467" s="210"/>
    </row>
    <row r="468" spans="1:40" x14ac:dyDescent="0.25">
      <c r="A468" s="202"/>
      <c r="C468" s="154"/>
      <c r="F468" s="252"/>
      <c r="H468" s="252"/>
      <c r="I468" s="252"/>
      <c r="J468" s="329"/>
      <c r="K468" s="329"/>
      <c r="L468" s="200"/>
      <c r="M468" s="200"/>
      <c r="N468" s="210"/>
      <c r="O468" s="210"/>
      <c r="P468" s="200"/>
      <c r="Q468" s="200"/>
      <c r="R468" s="200"/>
      <c r="T468" s="154"/>
      <c r="V468" s="200"/>
      <c r="W468" s="200"/>
      <c r="X468" s="200"/>
      <c r="Y468" s="200"/>
      <c r="Z468" s="329"/>
      <c r="AA468" s="200"/>
      <c r="AB468" s="200"/>
      <c r="AC468" s="210"/>
      <c r="AD468" s="210"/>
      <c r="AE468" s="200"/>
      <c r="AF468" s="200"/>
      <c r="AG468" s="209"/>
      <c r="AH468" s="201"/>
      <c r="AI468" s="200"/>
      <c r="AJ468" s="200"/>
      <c r="AK468" s="209"/>
      <c r="AL468" s="200"/>
      <c r="AM468" s="210"/>
      <c r="AN468" s="210"/>
    </row>
    <row r="469" spans="1:40" x14ac:dyDescent="0.25">
      <c r="A469" s="202"/>
      <c r="C469" s="154"/>
      <c r="F469" s="252"/>
      <c r="H469" s="252"/>
      <c r="I469" s="252"/>
      <c r="J469" s="329"/>
      <c r="K469" s="329"/>
      <c r="L469" s="200"/>
      <c r="M469" s="200"/>
      <c r="N469" s="210"/>
      <c r="O469" s="210"/>
      <c r="P469" s="200"/>
      <c r="Q469" s="200"/>
      <c r="R469" s="200"/>
      <c r="T469" s="154"/>
      <c r="V469" s="200"/>
      <c r="W469" s="200"/>
      <c r="X469" s="200"/>
      <c r="Y469" s="200"/>
      <c r="Z469" s="329"/>
      <c r="AA469" s="200"/>
      <c r="AB469" s="200"/>
      <c r="AC469" s="210"/>
      <c r="AD469" s="210"/>
      <c r="AE469" s="200"/>
      <c r="AF469" s="200"/>
      <c r="AG469" s="209"/>
      <c r="AH469" s="201"/>
      <c r="AI469" s="200"/>
      <c r="AJ469" s="200"/>
      <c r="AK469" s="209"/>
      <c r="AL469" s="200"/>
      <c r="AM469" s="210"/>
      <c r="AN469" s="210"/>
    </row>
    <row r="470" spans="1:40" x14ac:dyDescent="0.25">
      <c r="J470" s="334"/>
      <c r="K470" s="334"/>
      <c r="V470" s="200"/>
      <c r="W470" s="200"/>
      <c r="X470" s="200"/>
      <c r="Y470" s="200"/>
      <c r="Z470" s="329"/>
    </row>
    <row r="471" spans="1:40" x14ac:dyDescent="0.25">
      <c r="A471" s="202"/>
      <c r="C471" s="154"/>
      <c r="F471" s="252"/>
      <c r="H471" s="252"/>
      <c r="I471" s="252"/>
      <c r="J471" s="329"/>
      <c r="K471" s="329"/>
      <c r="L471" s="200"/>
      <c r="M471" s="200"/>
      <c r="N471" s="210"/>
      <c r="O471" s="210"/>
      <c r="P471" s="200"/>
      <c r="Q471" s="200"/>
      <c r="R471" s="200"/>
      <c r="T471" s="154"/>
      <c r="V471" s="200"/>
      <c r="W471" s="200"/>
      <c r="X471" s="200"/>
      <c r="Y471" s="200"/>
      <c r="Z471" s="329"/>
      <c r="AA471" s="200"/>
      <c r="AB471" s="200"/>
      <c r="AC471" s="210"/>
      <c r="AD471" s="210"/>
      <c r="AE471" s="200"/>
      <c r="AF471" s="200"/>
      <c r="AG471" s="209"/>
      <c r="AH471" s="201"/>
      <c r="AI471" s="200"/>
      <c r="AJ471" s="200"/>
      <c r="AK471" s="209"/>
      <c r="AL471" s="200"/>
      <c r="AM471" s="201"/>
      <c r="AN471" s="201"/>
    </row>
    <row r="472" spans="1:40" x14ac:dyDescent="0.25">
      <c r="A472" s="202"/>
      <c r="C472" s="154"/>
      <c r="J472" s="334"/>
      <c r="K472" s="334"/>
      <c r="T472" s="154"/>
      <c r="V472" s="200"/>
      <c r="W472" s="200"/>
      <c r="X472" s="200"/>
      <c r="Y472" s="200"/>
      <c r="Z472" s="329"/>
    </row>
    <row r="473" spans="1:40" x14ac:dyDescent="0.25">
      <c r="A473" s="202"/>
      <c r="C473" s="154"/>
      <c r="F473" s="252"/>
      <c r="H473" s="252"/>
      <c r="I473" s="252"/>
      <c r="J473" s="329"/>
      <c r="K473" s="329"/>
      <c r="L473" s="200"/>
      <c r="M473" s="200"/>
      <c r="N473" s="210"/>
      <c r="O473" s="210"/>
      <c r="P473" s="200"/>
      <c r="Q473" s="200"/>
      <c r="R473" s="200"/>
      <c r="T473" s="154"/>
      <c r="V473" s="200"/>
      <c r="W473" s="200"/>
      <c r="X473" s="200"/>
      <c r="Y473" s="200"/>
      <c r="Z473" s="329"/>
      <c r="AA473" s="200"/>
      <c r="AB473" s="200"/>
      <c r="AC473" s="210"/>
      <c r="AD473" s="210"/>
      <c r="AE473" s="200"/>
      <c r="AF473" s="200"/>
      <c r="AG473" s="209"/>
      <c r="AH473" s="201"/>
      <c r="AI473" s="200"/>
      <c r="AJ473" s="200"/>
      <c r="AK473" s="209"/>
      <c r="AL473" s="200"/>
      <c r="AM473" s="201"/>
      <c r="AN473" s="201"/>
    </row>
    <row r="474" spans="1:40" x14ac:dyDescent="0.25">
      <c r="J474" s="334"/>
      <c r="K474" s="334"/>
      <c r="Z474" s="334"/>
    </row>
    <row r="475" spans="1:40" x14ac:dyDescent="0.25">
      <c r="A475" s="202"/>
      <c r="C475" s="154"/>
      <c r="J475" s="334"/>
      <c r="K475" s="334"/>
      <c r="T475" s="154"/>
      <c r="V475" s="200"/>
      <c r="W475" s="200"/>
      <c r="X475" s="200"/>
      <c r="Y475" s="200"/>
      <c r="Z475" s="329"/>
    </row>
    <row r="476" spans="1:40" x14ac:dyDescent="0.25">
      <c r="A476" s="202"/>
      <c r="C476" s="154"/>
      <c r="F476" s="252"/>
      <c r="H476" s="252"/>
      <c r="I476" s="252"/>
      <c r="J476" s="329"/>
      <c r="K476" s="329"/>
      <c r="L476" s="200"/>
      <c r="M476" s="200"/>
      <c r="N476" s="210"/>
      <c r="O476" s="210"/>
      <c r="P476" s="200"/>
      <c r="Q476" s="200"/>
      <c r="R476" s="200"/>
      <c r="T476" s="154"/>
      <c r="V476" s="200"/>
      <c r="W476" s="200"/>
      <c r="X476" s="200"/>
      <c r="Y476" s="200"/>
      <c r="Z476" s="329"/>
      <c r="AA476" s="200"/>
      <c r="AB476" s="200"/>
      <c r="AC476" s="210"/>
      <c r="AD476" s="210"/>
      <c r="AE476" s="200"/>
      <c r="AF476" s="200"/>
      <c r="AG476" s="209"/>
      <c r="AH476" s="201"/>
      <c r="AI476" s="200"/>
      <c r="AJ476" s="200"/>
      <c r="AK476" s="209"/>
      <c r="AL476" s="200"/>
      <c r="AM476" s="201"/>
      <c r="AN476" s="201"/>
    </row>
    <row r="477" spans="1:40" x14ac:dyDescent="0.25">
      <c r="A477" s="202"/>
      <c r="C477" s="154"/>
      <c r="F477" s="252"/>
      <c r="H477" s="252"/>
      <c r="I477" s="252"/>
      <c r="J477" s="329"/>
      <c r="K477" s="329"/>
      <c r="L477" s="200"/>
      <c r="M477" s="200"/>
      <c r="N477" s="210"/>
      <c r="O477" s="210"/>
      <c r="P477" s="200"/>
      <c r="Q477" s="200"/>
      <c r="R477" s="200"/>
      <c r="T477" s="154"/>
      <c r="V477" s="200"/>
      <c r="W477" s="200"/>
      <c r="X477" s="200"/>
      <c r="Y477" s="200"/>
      <c r="Z477" s="329"/>
      <c r="AA477" s="200"/>
      <c r="AB477" s="200"/>
      <c r="AC477" s="210"/>
      <c r="AD477" s="210"/>
      <c r="AE477" s="200"/>
      <c r="AF477" s="200"/>
      <c r="AG477" s="209"/>
      <c r="AH477" s="201"/>
      <c r="AI477" s="200"/>
      <c r="AJ477" s="200"/>
      <c r="AK477" s="209"/>
      <c r="AL477" s="200"/>
      <c r="AM477" s="201"/>
      <c r="AN477" s="201"/>
    </row>
    <row r="478" spans="1:40" x14ac:dyDescent="0.25">
      <c r="F478" s="211"/>
      <c r="H478" s="211"/>
      <c r="I478" s="211"/>
      <c r="J478" s="329"/>
      <c r="K478" s="329"/>
      <c r="L478" s="211"/>
      <c r="M478" s="211"/>
      <c r="N478" s="211"/>
      <c r="O478" s="211"/>
      <c r="P478" s="211"/>
      <c r="Q478" s="211"/>
      <c r="R478" s="211"/>
      <c r="V478" s="211"/>
      <c r="Y478" s="211"/>
      <c r="Z478" s="305"/>
      <c r="AA478" s="211"/>
      <c r="AB478" s="211"/>
      <c r="AC478" s="211"/>
      <c r="AD478" s="211"/>
      <c r="AE478" s="211"/>
      <c r="AF478" s="211"/>
      <c r="AI478" s="211"/>
      <c r="AJ478" s="211"/>
      <c r="AK478" s="212"/>
      <c r="AL478" s="211"/>
    </row>
    <row r="479" spans="1:40" x14ac:dyDescent="0.25">
      <c r="A479" s="202"/>
      <c r="C479" s="154"/>
      <c r="F479" s="200"/>
      <c r="H479" s="200"/>
      <c r="I479" s="200"/>
      <c r="L479" s="200"/>
      <c r="M479" s="200"/>
      <c r="N479" s="210"/>
      <c r="O479" s="210"/>
      <c r="P479" s="252"/>
      <c r="Q479" s="252"/>
      <c r="R479" s="200"/>
      <c r="T479" s="154"/>
      <c r="V479" s="200"/>
      <c r="W479" s="200"/>
      <c r="X479" s="200"/>
      <c r="Y479" s="200"/>
      <c r="Z479" s="328"/>
      <c r="AA479" s="200"/>
      <c r="AB479" s="200"/>
      <c r="AC479" s="210"/>
      <c r="AD479" s="210"/>
      <c r="AE479" s="200"/>
      <c r="AF479" s="200"/>
      <c r="AG479" s="209"/>
      <c r="AH479" s="201"/>
      <c r="AI479" s="252"/>
      <c r="AJ479" s="252"/>
      <c r="AK479" s="209"/>
      <c r="AL479" s="200"/>
      <c r="AM479" s="201"/>
      <c r="AN479" s="201"/>
    </row>
    <row r="480" spans="1:40" x14ac:dyDescent="0.25">
      <c r="H480" s="211"/>
      <c r="I480" s="211"/>
      <c r="J480" s="305"/>
      <c r="K480" s="305"/>
      <c r="L480" s="211"/>
      <c r="M480" s="211"/>
      <c r="N480" s="211"/>
      <c r="O480" s="211"/>
      <c r="P480" s="211"/>
      <c r="Q480" s="211"/>
      <c r="R480" s="211"/>
      <c r="V480" s="211"/>
      <c r="Y480" s="211"/>
      <c r="Z480" s="305"/>
      <c r="AA480" s="211"/>
      <c r="AB480" s="211"/>
      <c r="AC480" s="211"/>
      <c r="AD480" s="211"/>
      <c r="AE480" s="211"/>
      <c r="AF480" s="211"/>
      <c r="AI480" s="211"/>
      <c r="AJ480" s="211"/>
      <c r="AK480" s="212"/>
      <c r="AL480" s="211"/>
    </row>
    <row r="481" spans="1:40" x14ac:dyDescent="0.25">
      <c r="F481" s="211"/>
    </row>
    <row r="482" spans="1:40" x14ac:dyDescent="0.25">
      <c r="C482" s="202"/>
      <c r="T482" s="202"/>
    </row>
    <row r="483" spans="1:40" x14ac:dyDescent="0.25">
      <c r="A483" s="154"/>
    </row>
    <row r="484" spans="1:40" x14ac:dyDescent="0.25">
      <c r="J484" s="202"/>
      <c r="K484" s="202"/>
      <c r="Z484" s="202"/>
    </row>
    <row r="485" spans="1:40" x14ac:dyDescent="0.25">
      <c r="H485" s="154"/>
      <c r="I485" s="154"/>
      <c r="Y485" s="154"/>
    </row>
    <row r="486" spans="1:40" x14ac:dyDescent="0.25">
      <c r="J486" s="202"/>
      <c r="K486" s="202"/>
      <c r="Z486" s="202"/>
    </row>
    <row r="487" spans="1:40" x14ac:dyDescent="0.25">
      <c r="L487" s="154"/>
      <c r="M487" s="154"/>
      <c r="AA487" s="154"/>
      <c r="AB487" s="154"/>
    </row>
    <row r="488" spans="1:40" x14ac:dyDescent="0.25">
      <c r="A488" s="202"/>
      <c r="R488" s="154"/>
      <c r="AK488" s="297"/>
      <c r="AL488" s="154"/>
    </row>
    <row r="489" spans="1:40" x14ac:dyDescent="0.25">
      <c r="A489" s="202"/>
      <c r="R489" s="154"/>
      <c r="AK489" s="297"/>
      <c r="AL489" s="154"/>
    </row>
    <row r="490" spans="1:40" x14ac:dyDescent="0.25">
      <c r="A490" s="154"/>
      <c r="R490" s="154"/>
      <c r="AK490" s="297"/>
      <c r="AL490" s="154"/>
    </row>
    <row r="491" spans="1:40" x14ac:dyDescent="0.25">
      <c r="L491" s="154"/>
      <c r="M491" s="154"/>
      <c r="R491" s="202"/>
      <c r="AA491" s="154"/>
      <c r="AB491" s="154"/>
      <c r="AK491" s="209"/>
      <c r="AL491" s="202"/>
    </row>
    <row r="492" spans="1:40" x14ac:dyDescent="0.2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208"/>
      <c r="AH492" s="102"/>
      <c r="AI492" s="102"/>
      <c r="AJ492" s="102"/>
      <c r="AK492" s="208"/>
      <c r="AL492" s="102"/>
      <c r="AM492" s="102"/>
      <c r="AN492" s="102"/>
    </row>
    <row r="493" spans="1:40" x14ac:dyDescent="0.25">
      <c r="L493" s="103"/>
      <c r="M493" s="103"/>
      <c r="N493" s="103"/>
      <c r="O493" s="103"/>
      <c r="R493" s="103"/>
      <c r="AA493" s="103"/>
      <c r="AB493" s="103"/>
      <c r="AC493" s="103"/>
      <c r="AD493" s="103"/>
      <c r="AE493" s="103"/>
      <c r="AF493" s="103"/>
      <c r="AG493" s="185"/>
      <c r="AH493" s="103"/>
      <c r="AK493" s="185"/>
      <c r="AL493" s="103"/>
      <c r="AM493" s="103"/>
      <c r="AN493" s="103"/>
    </row>
    <row r="494" spans="1:40" x14ac:dyDescent="0.25">
      <c r="L494" s="103"/>
      <c r="M494" s="103"/>
      <c r="N494" s="103"/>
      <c r="O494" s="103"/>
      <c r="R494" s="103"/>
      <c r="Z494" s="103"/>
      <c r="AA494" s="103"/>
      <c r="AB494" s="103"/>
      <c r="AC494" s="103"/>
      <c r="AD494" s="103"/>
      <c r="AE494" s="103"/>
      <c r="AF494" s="103"/>
      <c r="AG494" s="185"/>
      <c r="AH494" s="103"/>
      <c r="AK494" s="185"/>
      <c r="AL494" s="103"/>
      <c r="AM494" s="103"/>
      <c r="AN494" s="103"/>
    </row>
    <row r="495" spans="1:40" x14ac:dyDescent="0.25">
      <c r="A495" s="103"/>
      <c r="C495" s="103"/>
      <c r="D495" s="103"/>
      <c r="E495" s="103"/>
      <c r="F495" s="103"/>
      <c r="J495" s="103"/>
      <c r="K495" s="103"/>
      <c r="L495" s="103"/>
      <c r="M495" s="103"/>
      <c r="N495" s="103"/>
      <c r="O495" s="103"/>
      <c r="P495" s="103"/>
      <c r="Q495" s="103"/>
      <c r="R495" s="103"/>
      <c r="T495" s="103"/>
      <c r="U495" s="103"/>
      <c r="V495" s="103"/>
      <c r="Z495" s="103"/>
      <c r="AA495" s="103"/>
      <c r="AB495" s="103"/>
      <c r="AC495" s="103"/>
      <c r="AD495" s="103"/>
      <c r="AE495" s="103"/>
      <c r="AF495" s="103"/>
      <c r="AG495" s="185"/>
      <c r="AH495" s="103"/>
      <c r="AI495" s="103"/>
      <c r="AJ495" s="103"/>
      <c r="AK495" s="185"/>
      <c r="AL495" s="103"/>
      <c r="AM495" s="103"/>
      <c r="AN495" s="103"/>
    </row>
    <row r="496" spans="1:40" x14ac:dyDescent="0.25">
      <c r="A496" s="103"/>
      <c r="C496" s="103"/>
      <c r="D496" s="103"/>
      <c r="E496" s="103"/>
      <c r="F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T496" s="103"/>
      <c r="U496" s="103"/>
      <c r="V496" s="103"/>
      <c r="Y496" s="103"/>
      <c r="Z496" s="103"/>
      <c r="AA496" s="103"/>
      <c r="AB496" s="103"/>
      <c r="AC496" s="103"/>
      <c r="AD496" s="103"/>
      <c r="AE496" s="103"/>
      <c r="AF496" s="103"/>
      <c r="AG496" s="185"/>
      <c r="AH496" s="103"/>
      <c r="AI496" s="103"/>
      <c r="AJ496" s="103"/>
      <c r="AK496" s="185"/>
      <c r="AL496" s="103"/>
      <c r="AM496" s="103"/>
      <c r="AN496" s="103"/>
    </row>
    <row r="497" spans="1:40" x14ac:dyDescent="0.25">
      <c r="C497" s="103"/>
      <c r="D497" s="103"/>
      <c r="E497" s="103"/>
      <c r="F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T497" s="103"/>
      <c r="U497" s="103"/>
      <c r="V497" s="103"/>
      <c r="Y497" s="103"/>
      <c r="Z497" s="103"/>
      <c r="AA497" s="103"/>
      <c r="AB497" s="103"/>
      <c r="AC497" s="103"/>
      <c r="AD497" s="103"/>
      <c r="AE497" s="103"/>
      <c r="AF497" s="103"/>
      <c r="AG497" s="185"/>
      <c r="AH497" s="103"/>
      <c r="AI497" s="103"/>
      <c r="AJ497" s="103"/>
      <c r="AK497" s="185"/>
      <c r="AL497" s="103"/>
      <c r="AM497" s="103"/>
      <c r="AN497" s="103"/>
    </row>
    <row r="498" spans="1:40" x14ac:dyDescent="0.2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208"/>
      <c r="AH498" s="102"/>
      <c r="AI498" s="102"/>
      <c r="AJ498" s="102"/>
      <c r="AK498" s="208"/>
      <c r="AL498" s="102"/>
      <c r="AM498" s="102"/>
      <c r="AN498" s="102"/>
    </row>
    <row r="499" spans="1:40" x14ac:dyDescent="0.25"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Y499" s="103"/>
      <c r="Z499" s="103"/>
      <c r="AA499" s="103"/>
      <c r="AB499" s="103"/>
      <c r="AC499" s="103"/>
      <c r="AD499" s="103"/>
      <c r="AE499" s="103"/>
      <c r="AF499" s="103"/>
      <c r="AG499" s="185"/>
      <c r="AH499" s="103"/>
      <c r="AI499" s="103"/>
      <c r="AJ499" s="103"/>
      <c r="AK499" s="185"/>
      <c r="AL499" s="103"/>
      <c r="AM499" s="103"/>
      <c r="AN499" s="103"/>
    </row>
    <row r="500" spans="1:40" x14ac:dyDescent="0.25">
      <c r="A500" s="202"/>
      <c r="C500" s="154"/>
      <c r="D500" s="154"/>
      <c r="E500" s="154"/>
      <c r="T500" s="154"/>
      <c r="U500" s="154"/>
    </row>
    <row r="502" spans="1:40" x14ac:dyDescent="0.25">
      <c r="A502" s="202"/>
      <c r="C502" s="154"/>
      <c r="T502" s="154"/>
    </row>
    <row r="503" spans="1:40" x14ac:dyDescent="0.25">
      <c r="A503" s="202"/>
      <c r="C503" s="154"/>
      <c r="T503" s="154"/>
    </row>
    <row r="504" spans="1:40" x14ac:dyDescent="0.25">
      <c r="A504" s="202"/>
      <c r="C504" s="154"/>
      <c r="F504" s="252"/>
      <c r="H504" s="252"/>
      <c r="I504" s="252"/>
      <c r="J504" s="329"/>
      <c r="K504" s="329"/>
      <c r="L504" s="200"/>
      <c r="M504" s="200"/>
      <c r="N504" s="210"/>
      <c r="O504" s="210"/>
      <c r="P504" s="200"/>
      <c r="Q504" s="200"/>
      <c r="R504" s="200"/>
      <c r="T504" s="154"/>
      <c r="V504" s="200"/>
      <c r="W504" s="200"/>
      <c r="X504" s="200"/>
      <c r="Y504" s="200"/>
      <c r="Z504" s="329"/>
      <c r="AA504" s="200"/>
      <c r="AB504" s="200"/>
      <c r="AC504" s="210"/>
      <c r="AD504" s="210"/>
      <c r="AE504" s="200"/>
      <c r="AF504" s="200"/>
      <c r="AG504" s="209"/>
      <c r="AH504" s="201"/>
      <c r="AI504" s="200"/>
      <c r="AJ504" s="200"/>
      <c r="AK504" s="209"/>
      <c r="AL504" s="200"/>
      <c r="AM504" s="201"/>
      <c r="AN504" s="201"/>
    </row>
    <row r="505" spans="1:40" x14ac:dyDescent="0.25">
      <c r="A505" s="202"/>
      <c r="C505" s="154"/>
      <c r="F505" s="200"/>
      <c r="H505" s="200"/>
      <c r="I505" s="200"/>
      <c r="J505" s="334"/>
      <c r="K505" s="334"/>
      <c r="L505" s="200"/>
      <c r="M505" s="200"/>
      <c r="N505" s="210"/>
      <c r="O505" s="210"/>
      <c r="P505" s="200"/>
      <c r="Q505" s="200"/>
      <c r="R505" s="200"/>
      <c r="T505" s="154"/>
      <c r="V505" s="200"/>
      <c r="W505" s="200"/>
      <c r="X505" s="200"/>
      <c r="Y505" s="200"/>
      <c r="Z505" s="334"/>
      <c r="AA505" s="200"/>
      <c r="AB505" s="200"/>
      <c r="AC505" s="210"/>
      <c r="AD505" s="210"/>
      <c r="AE505" s="200"/>
      <c r="AF505" s="200"/>
      <c r="AG505" s="209"/>
      <c r="AH505" s="201"/>
      <c r="AI505" s="200"/>
      <c r="AJ505" s="200"/>
      <c r="AK505" s="209"/>
      <c r="AL505" s="200"/>
      <c r="AM505" s="201"/>
      <c r="AN505" s="201"/>
    </row>
    <row r="506" spans="1:40" x14ac:dyDescent="0.25">
      <c r="A506" s="202"/>
      <c r="C506" s="154"/>
      <c r="F506" s="200"/>
      <c r="H506" s="200"/>
      <c r="I506" s="200"/>
      <c r="J506" s="334"/>
      <c r="K506" s="334"/>
      <c r="L506" s="200"/>
      <c r="M506" s="200"/>
      <c r="N506" s="210"/>
      <c r="O506" s="210"/>
      <c r="P506" s="200"/>
      <c r="Q506" s="200"/>
      <c r="R506" s="200"/>
      <c r="T506" s="154"/>
      <c r="V506" s="200"/>
      <c r="W506" s="200"/>
      <c r="X506" s="200"/>
      <c r="Y506" s="200"/>
      <c r="Z506" s="334"/>
      <c r="AA506" s="200"/>
      <c r="AB506" s="200"/>
      <c r="AC506" s="210"/>
      <c r="AD506" s="210"/>
      <c r="AE506" s="200"/>
      <c r="AF506" s="200"/>
      <c r="AG506" s="209"/>
      <c r="AH506" s="201"/>
      <c r="AI506" s="200"/>
      <c r="AJ506" s="200"/>
      <c r="AK506" s="209"/>
      <c r="AL506" s="200"/>
      <c r="AM506" s="201"/>
      <c r="AN506" s="201"/>
    </row>
    <row r="507" spans="1:40" x14ac:dyDescent="0.25">
      <c r="A507" s="202"/>
      <c r="C507" s="154"/>
      <c r="F507" s="200"/>
      <c r="H507" s="200"/>
      <c r="I507" s="200"/>
      <c r="J507" s="334"/>
      <c r="K507" s="334"/>
      <c r="T507" s="154"/>
      <c r="V507" s="200"/>
      <c r="Z507" s="334"/>
    </row>
    <row r="508" spans="1:40" x14ac:dyDescent="0.25">
      <c r="A508" s="202"/>
      <c r="C508" s="154"/>
      <c r="F508" s="252"/>
      <c r="H508" s="252"/>
      <c r="I508" s="252"/>
      <c r="J508" s="329"/>
      <c r="K508" s="329"/>
      <c r="L508" s="200"/>
      <c r="M508" s="200"/>
      <c r="N508" s="210"/>
      <c r="O508" s="210"/>
      <c r="P508" s="200"/>
      <c r="Q508" s="200"/>
      <c r="R508" s="200"/>
      <c r="T508" s="154"/>
      <c r="V508" s="200"/>
      <c r="W508" s="200"/>
      <c r="X508" s="200"/>
      <c r="Y508" s="200"/>
      <c r="Z508" s="329"/>
      <c r="AA508" s="200"/>
      <c r="AB508" s="200"/>
      <c r="AC508" s="210"/>
      <c r="AD508" s="210"/>
      <c r="AE508" s="200"/>
      <c r="AF508" s="200"/>
      <c r="AG508" s="209"/>
      <c r="AH508" s="201"/>
      <c r="AI508" s="200"/>
      <c r="AJ508" s="200"/>
      <c r="AK508" s="209"/>
      <c r="AL508" s="200"/>
      <c r="AM508" s="201"/>
      <c r="AN508" s="201"/>
    </row>
    <row r="509" spans="1:40" x14ac:dyDescent="0.25">
      <c r="A509" s="202"/>
      <c r="C509" s="154"/>
      <c r="F509" s="200"/>
      <c r="H509" s="200"/>
      <c r="I509" s="200"/>
      <c r="J509" s="334"/>
      <c r="K509" s="334"/>
      <c r="T509" s="154"/>
      <c r="V509" s="200"/>
      <c r="W509" s="200"/>
      <c r="X509" s="200"/>
      <c r="Y509" s="200"/>
      <c r="Z509" s="334"/>
      <c r="AC509" s="210"/>
      <c r="AD509" s="210"/>
      <c r="AE509" s="200"/>
      <c r="AF509" s="200"/>
      <c r="AG509" s="209"/>
      <c r="AH509" s="201"/>
      <c r="AI509" s="200"/>
      <c r="AJ509" s="200"/>
      <c r="AK509" s="209"/>
      <c r="AL509" s="200"/>
      <c r="AM509" s="201"/>
      <c r="AN509" s="201"/>
    </row>
    <row r="510" spans="1:40" x14ac:dyDescent="0.25">
      <c r="A510" s="202"/>
      <c r="C510" s="154"/>
      <c r="F510" s="252"/>
      <c r="H510" s="252"/>
      <c r="I510" s="252"/>
      <c r="J510" s="329"/>
      <c r="K510" s="329"/>
      <c r="L510" s="200"/>
      <c r="M510" s="200"/>
      <c r="N510" s="210"/>
      <c r="O510" s="210"/>
      <c r="P510" s="200"/>
      <c r="Q510" s="200"/>
      <c r="R510" s="200"/>
      <c r="T510" s="154"/>
      <c r="V510" s="200"/>
      <c r="W510" s="200"/>
      <c r="X510" s="200"/>
      <c r="Y510" s="200"/>
      <c r="Z510" s="329"/>
      <c r="AA510" s="200"/>
      <c r="AB510" s="200"/>
      <c r="AC510" s="210"/>
      <c r="AD510" s="210"/>
      <c r="AE510" s="200"/>
      <c r="AF510" s="200"/>
      <c r="AG510" s="209"/>
      <c r="AH510" s="201"/>
      <c r="AI510" s="200"/>
      <c r="AJ510" s="200"/>
      <c r="AK510" s="209"/>
      <c r="AL510" s="200"/>
      <c r="AM510" s="201"/>
      <c r="AN510" s="201"/>
    </row>
    <row r="511" spans="1:40" x14ac:dyDescent="0.25">
      <c r="A511" s="202"/>
      <c r="C511" s="154"/>
      <c r="F511" s="200"/>
      <c r="H511" s="200"/>
      <c r="I511" s="200"/>
      <c r="J511" s="334"/>
      <c r="K511" s="334"/>
      <c r="L511" s="200"/>
      <c r="M511" s="200"/>
      <c r="N511" s="210"/>
      <c r="O511" s="210"/>
      <c r="P511" s="200"/>
      <c r="Q511" s="200"/>
      <c r="R511" s="200"/>
      <c r="T511" s="154"/>
      <c r="V511" s="200"/>
      <c r="W511" s="200"/>
      <c r="X511" s="200"/>
      <c r="Y511" s="200"/>
      <c r="Z511" s="334"/>
      <c r="AA511" s="200"/>
      <c r="AB511" s="200"/>
      <c r="AC511" s="210"/>
      <c r="AD511" s="210"/>
      <c r="AE511" s="200"/>
      <c r="AF511" s="200"/>
      <c r="AG511" s="209"/>
      <c r="AH511" s="201"/>
      <c r="AI511" s="200"/>
      <c r="AJ511" s="200"/>
      <c r="AK511" s="209"/>
      <c r="AL511" s="200"/>
      <c r="AM511" s="201"/>
      <c r="AN511" s="201"/>
    </row>
    <row r="512" spans="1:40" x14ac:dyDescent="0.25">
      <c r="F512" s="200"/>
      <c r="H512" s="200"/>
      <c r="I512" s="200"/>
      <c r="J512" s="334"/>
      <c r="K512" s="334"/>
      <c r="Z512" s="334"/>
    </row>
    <row r="513" spans="1:40" x14ac:dyDescent="0.25">
      <c r="A513" s="202"/>
      <c r="C513" s="154"/>
      <c r="F513" s="200"/>
      <c r="H513" s="252"/>
      <c r="I513" s="252"/>
      <c r="J513" s="329"/>
      <c r="K513" s="329"/>
      <c r="L513" s="200"/>
      <c r="M513" s="200"/>
      <c r="N513" s="210"/>
      <c r="O513" s="210"/>
      <c r="P513" s="200"/>
      <c r="Q513" s="200"/>
      <c r="R513" s="200"/>
      <c r="T513" s="154"/>
      <c r="V513" s="200"/>
      <c r="W513" s="200"/>
      <c r="X513" s="200"/>
      <c r="Y513" s="200"/>
      <c r="Z513" s="329"/>
      <c r="AA513" s="200"/>
      <c r="AB513" s="200"/>
      <c r="AC513" s="210"/>
      <c r="AD513" s="210"/>
      <c r="AE513" s="200"/>
      <c r="AF513" s="200"/>
      <c r="AG513" s="209"/>
      <c r="AH513" s="201"/>
      <c r="AI513" s="200"/>
      <c r="AJ513" s="200"/>
      <c r="AK513" s="209"/>
      <c r="AL513" s="200"/>
      <c r="AM513" s="201"/>
      <c r="AN513" s="201"/>
    </row>
    <row r="514" spans="1:40" x14ac:dyDescent="0.25">
      <c r="F514" s="211"/>
      <c r="H514" s="211"/>
      <c r="I514" s="211"/>
      <c r="J514" s="329"/>
      <c r="K514" s="329"/>
      <c r="L514" s="211"/>
      <c r="M514" s="211"/>
      <c r="N514" s="211"/>
      <c r="O514" s="211"/>
      <c r="P514" s="211"/>
      <c r="Q514" s="211"/>
      <c r="R514" s="211"/>
      <c r="V514" s="211"/>
      <c r="Y514" s="211"/>
      <c r="Z514" s="329"/>
      <c r="AA514" s="211"/>
      <c r="AB514" s="211"/>
      <c r="AC514" s="211"/>
      <c r="AD514" s="211"/>
      <c r="AE514" s="211"/>
      <c r="AF514" s="211"/>
      <c r="AI514" s="211"/>
      <c r="AJ514" s="211"/>
      <c r="AK514" s="212"/>
      <c r="AL514" s="211"/>
    </row>
    <row r="515" spans="1:40" x14ac:dyDescent="0.25">
      <c r="A515" s="202"/>
      <c r="C515" s="154"/>
      <c r="F515" s="200"/>
      <c r="H515" s="200"/>
      <c r="I515" s="200"/>
      <c r="J515" s="334"/>
      <c r="K515" s="334"/>
      <c r="L515" s="200"/>
      <c r="M515" s="200"/>
      <c r="N515" s="202"/>
      <c r="O515" s="202"/>
      <c r="P515" s="200"/>
      <c r="Q515" s="200"/>
      <c r="R515" s="200"/>
      <c r="T515" s="154"/>
      <c r="V515" s="200"/>
      <c r="Y515" s="200"/>
      <c r="Z515" s="334"/>
      <c r="AA515" s="200"/>
      <c r="AB515" s="200"/>
      <c r="AC515" s="201"/>
      <c r="AD515" s="201"/>
      <c r="AE515" s="200"/>
      <c r="AF515" s="200"/>
      <c r="AG515" s="209"/>
      <c r="AH515" s="201"/>
      <c r="AI515" s="200"/>
      <c r="AJ515" s="200"/>
      <c r="AK515" s="209"/>
      <c r="AL515" s="200"/>
      <c r="AM515" s="201"/>
      <c r="AN515" s="201"/>
    </row>
    <row r="516" spans="1:40" x14ac:dyDescent="0.25">
      <c r="F516" s="211"/>
      <c r="H516" s="211"/>
      <c r="I516" s="211"/>
      <c r="J516" s="329"/>
      <c r="K516" s="329"/>
      <c r="L516" s="211"/>
      <c r="M516" s="211"/>
      <c r="N516" s="211"/>
      <c r="O516" s="211"/>
      <c r="P516" s="211"/>
      <c r="Q516" s="211"/>
      <c r="R516" s="211"/>
      <c r="V516" s="211"/>
      <c r="Y516" s="211"/>
      <c r="Z516" s="329"/>
      <c r="AA516" s="211"/>
      <c r="AB516" s="211"/>
      <c r="AC516" s="211"/>
      <c r="AD516" s="211"/>
      <c r="AE516" s="211"/>
      <c r="AF516" s="211"/>
      <c r="AI516" s="211"/>
      <c r="AJ516" s="211"/>
      <c r="AK516" s="212"/>
      <c r="AL516" s="211"/>
    </row>
    <row r="517" spans="1:40" x14ac:dyDescent="0.25">
      <c r="J517" s="334"/>
      <c r="K517" s="334"/>
      <c r="Z517" s="334"/>
    </row>
    <row r="518" spans="1:40" x14ac:dyDescent="0.25">
      <c r="A518" s="202"/>
      <c r="C518" s="154"/>
      <c r="J518" s="334"/>
      <c r="K518" s="334"/>
      <c r="T518" s="154"/>
      <c r="Z518" s="334"/>
    </row>
    <row r="519" spans="1:40" x14ac:dyDescent="0.25">
      <c r="A519" s="202"/>
      <c r="C519" s="154"/>
      <c r="J519" s="334"/>
      <c r="K519" s="334"/>
      <c r="T519" s="154"/>
      <c r="Z519" s="334"/>
    </row>
    <row r="520" spans="1:40" x14ac:dyDescent="0.25">
      <c r="A520" s="202"/>
      <c r="C520" s="154"/>
      <c r="F520" s="252"/>
      <c r="H520" s="252"/>
      <c r="I520" s="252"/>
      <c r="J520" s="329"/>
      <c r="K520" s="329"/>
      <c r="L520" s="200"/>
      <c r="M520" s="200"/>
      <c r="N520" s="210"/>
      <c r="O520" s="210"/>
      <c r="P520" s="200"/>
      <c r="Q520" s="200"/>
      <c r="R520" s="200"/>
      <c r="T520" s="154"/>
      <c r="V520" s="200"/>
      <c r="W520" s="200"/>
      <c r="X520" s="200"/>
      <c r="Y520" s="200"/>
      <c r="Z520" s="329"/>
      <c r="AA520" s="200"/>
      <c r="AB520" s="200"/>
      <c r="AC520" s="210"/>
      <c r="AD520" s="210"/>
      <c r="AE520" s="200"/>
      <c r="AF520" s="200"/>
      <c r="AG520" s="209"/>
      <c r="AH520" s="201"/>
      <c r="AI520" s="200"/>
      <c r="AJ520" s="200"/>
      <c r="AK520" s="209"/>
      <c r="AL520" s="200"/>
      <c r="AM520" s="201"/>
      <c r="AN520" s="201"/>
    </row>
    <row r="521" spans="1:40" x14ac:dyDescent="0.25">
      <c r="A521" s="202"/>
      <c r="C521" s="154"/>
      <c r="J521" s="334"/>
      <c r="K521" s="334"/>
      <c r="T521" s="154"/>
      <c r="Z521" s="334"/>
    </row>
    <row r="522" spans="1:40" x14ac:dyDescent="0.25">
      <c r="A522" s="202"/>
      <c r="C522" s="154"/>
      <c r="F522" s="252"/>
      <c r="H522" s="252"/>
      <c r="I522" s="252"/>
      <c r="J522" s="329"/>
      <c r="K522" s="329"/>
      <c r="L522" s="200"/>
      <c r="M522" s="200"/>
      <c r="N522" s="210"/>
      <c r="O522" s="210"/>
      <c r="P522" s="200"/>
      <c r="Q522" s="200"/>
      <c r="R522" s="200"/>
      <c r="T522" s="154"/>
      <c r="V522" s="200"/>
      <c r="W522" s="200"/>
      <c r="X522" s="200"/>
      <c r="Y522" s="200"/>
      <c r="Z522" s="329"/>
      <c r="AA522" s="200"/>
      <c r="AB522" s="200"/>
      <c r="AC522" s="210"/>
      <c r="AD522" s="210"/>
      <c r="AE522" s="200"/>
      <c r="AF522" s="200"/>
      <c r="AG522" s="209"/>
      <c r="AH522" s="201"/>
      <c r="AI522" s="200"/>
      <c r="AJ522" s="200"/>
      <c r="AK522" s="209"/>
      <c r="AL522" s="200"/>
      <c r="AM522" s="201"/>
      <c r="AN522" s="201"/>
    </row>
    <row r="523" spans="1:40" x14ac:dyDescent="0.25">
      <c r="F523" s="211"/>
      <c r="H523" s="211"/>
      <c r="I523" s="211"/>
      <c r="J523" s="329"/>
      <c r="K523" s="329"/>
      <c r="L523" s="211"/>
      <c r="M523" s="211"/>
      <c r="N523" s="211"/>
      <c r="O523" s="211"/>
      <c r="P523" s="211"/>
      <c r="Q523" s="211"/>
      <c r="R523" s="211"/>
      <c r="V523" s="211"/>
      <c r="Y523" s="211"/>
      <c r="Z523" s="329"/>
      <c r="AA523" s="211"/>
      <c r="AB523" s="211"/>
      <c r="AC523" s="211"/>
      <c r="AD523" s="211"/>
      <c r="AE523" s="211"/>
      <c r="AF523" s="211"/>
      <c r="AI523" s="211"/>
      <c r="AJ523" s="211"/>
      <c r="AK523" s="212"/>
      <c r="AL523" s="211"/>
    </row>
    <row r="524" spans="1:40" x14ac:dyDescent="0.25">
      <c r="A524" s="202"/>
      <c r="C524" s="154"/>
      <c r="F524" s="200"/>
      <c r="H524" s="200"/>
      <c r="I524" s="200"/>
      <c r="J524" s="334"/>
      <c r="K524" s="334"/>
      <c r="L524" s="200"/>
      <c r="M524" s="200"/>
      <c r="N524" s="201"/>
      <c r="O524" s="201"/>
      <c r="P524" s="200"/>
      <c r="Q524" s="200"/>
      <c r="R524" s="200"/>
      <c r="T524" s="154"/>
      <c r="V524" s="200"/>
      <c r="Y524" s="200"/>
      <c r="Z524" s="334"/>
      <c r="AA524" s="200"/>
      <c r="AB524" s="200"/>
      <c r="AC524" s="201"/>
      <c r="AD524" s="201"/>
      <c r="AE524" s="200"/>
      <c r="AF524" s="200"/>
      <c r="AG524" s="209"/>
      <c r="AH524" s="201"/>
      <c r="AI524" s="200"/>
      <c r="AJ524" s="200"/>
      <c r="AK524" s="209"/>
      <c r="AL524" s="200"/>
      <c r="AM524" s="201"/>
      <c r="AN524" s="201"/>
    </row>
    <row r="525" spans="1:40" x14ac:dyDescent="0.25">
      <c r="F525" s="211"/>
      <c r="H525" s="211"/>
      <c r="I525" s="211"/>
      <c r="J525" s="329"/>
      <c r="K525" s="329"/>
      <c r="L525" s="211"/>
      <c r="M525" s="211"/>
      <c r="N525" s="211"/>
      <c r="O525" s="211"/>
      <c r="P525" s="211"/>
      <c r="Q525" s="211"/>
      <c r="R525" s="211"/>
      <c r="V525" s="211"/>
      <c r="Y525" s="211"/>
      <c r="Z525" s="305"/>
      <c r="AA525" s="211"/>
      <c r="AB525" s="211"/>
      <c r="AC525" s="211"/>
      <c r="AD525" s="211"/>
      <c r="AE525" s="211"/>
      <c r="AF525" s="211"/>
      <c r="AI525" s="211"/>
      <c r="AJ525" s="211"/>
      <c r="AK525" s="212"/>
      <c r="AL525" s="211"/>
    </row>
    <row r="526" spans="1:40" x14ac:dyDescent="0.25">
      <c r="J526" s="334"/>
      <c r="K526" s="334"/>
    </row>
    <row r="527" spans="1:40" x14ac:dyDescent="0.25">
      <c r="A527" s="202"/>
      <c r="C527" s="154"/>
      <c r="F527" s="200"/>
      <c r="H527" s="200"/>
      <c r="I527" s="200"/>
      <c r="J527" s="334"/>
      <c r="K527" s="334"/>
      <c r="L527" s="200"/>
      <c r="M527" s="200"/>
      <c r="N527" s="210"/>
      <c r="O527" s="210"/>
      <c r="P527" s="252"/>
      <c r="Q527" s="252"/>
      <c r="R527" s="200"/>
      <c r="T527" s="154"/>
      <c r="V527" s="200"/>
      <c r="Y527" s="200"/>
      <c r="AA527" s="200"/>
      <c r="AB527" s="200"/>
      <c r="AC527" s="201"/>
      <c r="AD527" s="201"/>
      <c r="AE527" s="200"/>
      <c r="AF527" s="200"/>
      <c r="AG527" s="209"/>
      <c r="AH527" s="201"/>
      <c r="AI527" s="252"/>
      <c r="AJ527" s="252"/>
      <c r="AK527" s="209"/>
      <c r="AL527" s="200"/>
      <c r="AM527" s="201"/>
      <c r="AN527" s="201"/>
    </row>
    <row r="528" spans="1:40" x14ac:dyDescent="0.25">
      <c r="H528" s="211"/>
      <c r="I528" s="211"/>
      <c r="J528" s="329"/>
      <c r="K528" s="329"/>
      <c r="L528" s="211"/>
      <c r="M528" s="211"/>
      <c r="N528" s="211"/>
      <c r="O528" s="211"/>
      <c r="P528" s="211"/>
      <c r="Q528" s="211"/>
      <c r="R528" s="211"/>
      <c r="V528" s="211"/>
      <c r="Y528" s="211"/>
      <c r="Z528" s="305"/>
      <c r="AA528" s="211"/>
      <c r="AB528" s="211"/>
      <c r="AC528" s="211"/>
      <c r="AD528" s="211"/>
      <c r="AE528" s="211"/>
      <c r="AF528" s="211"/>
      <c r="AI528" s="211"/>
      <c r="AJ528" s="211"/>
      <c r="AK528" s="212"/>
      <c r="AL528" s="211"/>
    </row>
    <row r="529" spans="1:40" x14ac:dyDescent="0.25">
      <c r="F529" s="211"/>
    </row>
    <row r="530" spans="1:40" x14ac:dyDescent="0.25">
      <c r="C530" s="202"/>
      <c r="T530" s="202"/>
    </row>
    <row r="531" spans="1:40" x14ac:dyDescent="0.25">
      <c r="A531" s="154"/>
    </row>
    <row r="532" spans="1:40" x14ac:dyDescent="0.25">
      <c r="J532" s="202"/>
      <c r="K532" s="202"/>
      <c r="Z532" s="202"/>
    </row>
    <row r="533" spans="1:40" x14ac:dyDescent="0.25">
      <c r="H533" s="154"/>
      <c r="I533" s="154"/>
      <c r="Y533" s="154"/>
    </row>
    <row r="534" spans="1:40" x14ac:dyDescent="0.25">
      <c r="J534" s="202"/>
      <c r="K534" s="202"/>
      <c r="Z534" s="202"/>
    </row>
    <row r="535" spans="1:40" x14ac:dyDescent="0.25">
      <c r="L535" s="154"/>
      <c r="M535" s="154"/>
      <c r="AA535" s="154"/>
      <c r="AB535" s="154"/>
    </row>
    <row r="536" spans="1:40" x14ac:dyDescent="0.25">
      <c r="A536" s="202"/>
      <c r="R536" s="154"/>
      <c r="AK536" s="297"/>
      <c r="AL536" s="154"/>
    </row>
    <row r="537" spans="1:40" x14ac:dyDescent="0.25">
      <c r="A537" s="202"/>
      <c r="R537" s="154"/>
      <c r="AK537" s="297"/>
      <c r="AL537" s="154"/>
    </row>
    <row r="538" spans="1:40" x14ac:dyDescent="0.25">
      <c r="A538" s="154"/>
      <c r="R538" s="154"/>
      <c r="AK538" s="297"/>
      <c r="AL538" s="154"/>
    </row>
    <row r="539" spans="1:40" x14ac:dyDescent="0.25">
      <c r="L539" s="154"/>
      <c r="M539" s="154"/>
      <c r="R539" s="202"/>
      <c r="AA539" s="154"/>
      <c r="AB539" s="154"/>
      <c r="AK539" s="209"/>
      <c r="AL539" s="202"/>
    </row>
    <row r="540" spans="1:40" x14ac:dyDescent="0.25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208"/>
      <c r="AH540" s="102"/>
      <c r="AI540" s="102"/>
      <c r="AJ540" s="102"/>
      <c r="AK540" s="208"/>
      <c r="AL540" s="102"/>
      <c r="AM540" s="102"/>
      <c r="AN540" s="102"/>
    </row>
    <row r="541" spans="1:40" x14ac:dyDescent="0.25">
      <c r="L541" s="103"/>
      <c r="M541" s="103"/>
      <c r="N541" s="103"/>
      <c r="O541" s="103"/>
      <c r="R541" s="103"/>
      <c r="AA541" s="103"/>
      <c r="AB541" s="103"/>
      <c r="AC541" s="103"/>
      <c r="AD541" s="103"/>
      <c r="AE541" s="103"/>
      <c r="AF541" s="103"/>
      <c r="AG541" s="185"/>
      <c r="AH541" s="103"/>
      <c r="AK541" s="185"/>
      <c r="AL541" s="103"/>
      <c r="AM541" s="103"/>
      <c r="AN541" s="103"/>
    </row>
    <row r="542" spans="1:40" x14ac:dyDescent="0.25">
      <c r="L542" s="103"/>
      <c r="M542" s="103"/>
      <c r="N542" s="103"/>
      <c r="O542" s="103"/>
      <c r="R542" s="103"/>
      <c r="Z542" s="103"/>
      <c r="AA542" s="103"/>
      <c r="AB542" s="103"/>
      <c r="AC542" s="103"/>
      <c r="AD542" s="103"/>
      <c r="AE542" s="103"/>
      <c r="AF542" s="103"/>
      <c r="AG542" s="185"/>
      <c r="AH542" s="103"/>
      <c r="AK542" s="185"/>
      <c r="AL542" s="103"/>
      <c r="AM542" s="103"/>
      <c r="AN542" s="103"/>
    </row>
    <row r="543" spans="1:40" x14ac:dyDescent="0.25">
      <c r="A543" s="103"/>
      <c r="C543" s="103"/>
      <c r="D543" s="103"/>
      <c r="E543" s="103"/>
      <c r="F543" s="103"/>
      <c r="J543" s="103"/>
      <c r="K543" s="103"/>
      <c r="L543" s="103"/>
      <c r="M543" s="103"/>
      <c r="N543" s="103"/>
      <c r="O543" s="103"/>
      <c r="P543" s="103"/>
      <c r="Q543" s="103"/>
      <c r="R543" s="103"/>
      <c r="T543" s="103"/>
      <c r="U543" s="103"/>
      <c r="V543" s="103"/>
      <c r="Z543" s="103"/>
      <c r="AA543" s="103"/>
      <c r="AB543" s="103"/>
      <c r="AC543" s="103"/>
      <c r="AD543" s="103"/>
      <c r="AE543" s="103"/>
      <c r="AF543" s="103"/>
      <c r="AG543" s="185"/>
      <c r="AH543" s="103"/>
      <c r="AI543" s="103"/>
      <c r="AJ543" s="103"/>
      <c r="AK543" s="185"/>
      <c r="AL543" s="103"/>
      <c r="AM543" s="103"/>
      <c r="AN543" s="103"/>
    </row>
    <row r="544" spans="1:40" x14ac:dyDescent="0.25">
      <c r="A544" s="103"/>
      <c r="C544" s="103"/>
      <c r="D544" s="103"/>
      <c r="E544" s="103"/>
      <c r="F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T544" s="103"/>
      <c r="U544" s="103"/>
      <c r="V544" s="103"/>
      <c r="Y544" s="103"/>
      <c r="Z544" s="103"/>
      <c r="AA544" s="103"/>
      <c r="AB544" s="103"/>
      <c r="AC544" s="103"/>
      <c r="AD544" s="103"/>
      <c r="AE544" s="103"/>
      <c r="AF544" s="103"/>
      <c r="AG544" s="185"/>
      <c r="AH544" s="103"/>
      <c r="AI544" s="103"/>
      <c r="AJ544" s="103"/>
      <c r="AK544" s="185"/>
      <c r="AL544" s="103"/>
      <c r="AM544" s="103"/>
      <c r="AN544" s="103"/>
    </row>
    <row r="545" spans="1:40" x14ac:dyDescent="0.25">
      <c r="C545" s="103"/>
      <c r="D545" s="103"/>
      <c r="E545" s="103"/>
      <c r="F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T545" s="103"/>
      <c r="U545" s="103"/>
      <c r="V545" s="103"/>
      <c r="Y545" s="103"/>
      <c r="Z545" s="103"/>
      <c r="AA545" s="103"/>
      <c r="AB545" s="103"/>
      <c r="AC545" s="103"/>
      <c r="AD545" s="103"/>
      <c r="AE545" s="103"/>
      <c r="AF545" s="103"/>
      <c r="AG545" s="185"/>
      <c r="AH545" s="103"/>
      <c r="AI545" s="103"/>
      <c r="AJ545" s="103"/>
      <c r="AK545" s="185"/>
      <c r="AL545" s="103"/>
      <c r="AM545" s="103"/>
      <c r="AN545" s="103"/>
    </row>
    <row r="546" spans="1:40" x14ac:dyDescent="0.25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208"/>
      <c r="AH546" s="102"/>
      <c r="AI546" s="102"/>
      <c r="AJ546" s="102"/>
      <c r="AK546" s="208"/>
      <c r="AL546" s="102"/>
      <c r="AM546" s="102"/>
      <c r="AN546" s="102"/>
    </row>
    <row r="547" spans="1:40" x14ac:dyDescent="0.25"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Y547" s="103"/>
      <c r="Z547" s="103"/>
      <c r="AA547" s="103"/>
      <c r="AB547" s="103"/>
      <c r="AC547" s="103"/>
      <c r="AD547" s="103"/>
      <c r="AE547" s="103"/>
      <c r="AF547" s="103"/>
      <c r="AG547" s="185"/>
      <c r="AH547" s="103"/>
      <c r="AI547" s="103"/>
      <c r="AJ547" s="103"/>
      <c r="AK547" s="185"/>
      <c r="AL547" s="103"/>
      <c r="AM547" s="103"/>
      <c r="AN547" s="103"/>
    </row>
    <row r="548" spans="1:40" x14ac:dyDescent="0.25">
      <c r="A548" s="202"/>
      <c r="C548" s="154"/>
      <c r="D548" s="154"/>
      <c r="E548" s="154"/>
      <c r="T548" s="154"/>
      <c r="U548" s="154"/>
    </row>
    <row r="550" spans="1:40" x14ac:dyDescent="0.25">
      <c r="A550" s="202"/>
      <c r="C550" s="154"/>
      <c r="D550" s="154"/>
      <c r="E550" s="154"/>
      <c r="T550" s="154"/>
      <c r="U550" s="154"/>
    </row>
    <row r="551" spans="1:40" x14ac:dyDescent="0.25">
      <c r="A551" s="202"/>
      <c r="C551" s="154"/>
      <c r="T551" s="154"/>
    </row>
    <row r="552" spans="1:40" x14ac:dyDescent="0.25">
      <c r="A552" s="202"/>
      <c r="C552" s="154"/>
      <c r="T552" s="154"/>
    </row>
    <row r="553" spans="1:40" x14ac:dyDescent="0.25">
      <c r="A553" s="202"/>
      <c r="C553" s="154"/>
      <c r="H553" s="252"/>
      <c r="I553" s="252"/>
      <c r="J553" s="329"/>
      <c r="K553" s="329"/>
      <c r="L553" s="200"/>
      <c r="M553" s="200"/>
      <c r="N553" s="210"/>
      <c r="O553" s="210"/>
      <c r="P553" s="200"/>
      <c r="Q553" s="200"/>
      <c r="R553" s="200"/>
      <c r="T553" s="154"/>
      <c r="V553" s="200"/>
      <c r="W553" s="200"/>
      <c r="X553" s="200"/>
      <c r="Y553" s="200"/>
      <c r="Z553" s="329"/>
      <c r="AA553" s="200"/>
      <c r="AB553" s="200"/>
      <c r="AC553" s="210"/>
      <c r="AD553" s="210"/>
      <c r="AE553" s="200"/>
      <c r="AF553" s="200"/>
      <c r="AG553" s="209"/>
      <c r="AH553" s="201"/>
      <c r="AI553" s="200"/>
      <c r="AJ553" s="200"/>
      <c r="AK553" s="209"/>
      <c r="AL553" s="200"/>
      <c r="AM553" s="210"/>
      <c r="AN553" s="210"/>
    </row>
    <row r="554" spans="1:40" x14ac:dyDescent="0.25">
      <c r="A554" s="202"/>
      <c r="C554" s="154"/>
      <c r="F554" s="252"/>
      <c r="J554" s="334"/>
      <c r="K554" s="334"/>
      <c r="T554" s="154"/>
      <c r="V554" s="200"/>
      <c r="W554" s="200"/>
      <c r="X554" s="200"/>
      <c r="Y554" s="200"/>
      <c r="Z554" s="329"/>
    </row>
    <row r="555" spans="1:40" x14ac:dyDescent="0.25">
      <c r="A555" s="202"/>
      <c r="C555" s="154"/>
      <c r="H555" s="252"/>
      <c r="I555" s="252"/>
      <c r="J555" s="329"/>
      <c r="K555" s="329"/>
      <c r="L555" s="200"/>
      <c r="M555" s="200"/>
      <c r="N555" s="210"/>
      <c r="O555" s="210"/>
      <c r="P555" s="200"/>
      <c r="Q555" s="200"/>
      <c r="R555" s="200"/>
      <c r="T555" s="154"/>
      <c r="V555" s="200"/>
      <c r="W555" s="200"/>
      <c r="X555" s="200"/>
      <c r="Y555" s="200"/>
      <c r="Z555" s="329"/>
      <c r="AA555" s="200"/>
      <c r="AB555" s="200"/>
      <c r="AC555" s="210"/>
      <c r="AD555" s="210"/>
      <c r="AE555" s="200"/>
      <c r="AF555" s="200"/>
      <c r="AG555" s="209"/>
      <c r="AH555" s="201"/>
      <c r="AI555" s="200"/>
      <c r="AJ555" s="200"/>
      <c r="AK555" s="209"/>
      <c r="AL555" s="200"/>
      <c r="AM555" s="210"/>
      <c r="AN555" s="210"/>
    </row>
    <row r="556" spans="1:40" x14ac:dyDescent="0.25">
      <c r="A556" s="202"/>
      <c r="C556" s="154"/>
      <c r="F556" s="252"/>
      <c r="J556" s="334"/>
      <c r="K556" s="334"/>
      <c r="T556" s="154"/>
      <c r="V556" s="200"/>
      <c r="W556" s="200"/>
      <c r="X556" s="200"/>
      <c r="Y556" s="200"/>
      <c r="Z556" s="329"/>
    </row>
    <row r="557" spans="1:40" x14ac:dyDescent="0.25">
      <c r="A557" s="202"/>
      <c r="C557" s="154"/>
      <c r="H557" s="252"/>
      <c r="I557" s="252"/>
      <c r="J557" s="329"/>
      <c r="K557" s="329"/>
      <c r="L557" s="200"/>
      <c r="M557" s="200"/>
      <c r="N557" s="210"/>
      <c r="O557" s="210"/>
      <c r="P557" s="200"/>
      <c r="Q557" s="200"/>
      <c r="R557" s="200"/>
      <c r="T557" s="154"/>
      <c r="V557" s="200"/>
      <c r="W557" s="200"/>
      <c r="X557" s="200"/>
      <c r="Y557" s="200"/>
      <c r="Z557" s="329"/>
      <c r="AA557" s="200"/>
      <c r="AB557" s="200"/>
      <c r="AC557" s="210"/>
      <c r="AD557" s="210"/>
      <c r="AE557" s="200"/>
      <c r="AF557" s="200"/>
      <c r="AG557" s="209"/>
      <c r="AH557" s="201"/>
      <c r="AI557" s="200"/>
      <c r="AJ557" s="200"/>
      <c r="AK557" s="209"/>
      <c r="AL557" s="200"/>
      <c r="AM557" s="210"/>
      <c r="AN557" s="210"/>
    </row>
    <row r="558" spans="1:40" x14ac:dyDescent="0.25">
      <c r="A558" s="202"/>
      <c r="C558" s="154"/>
      <c r="F558" s="252"/>
      <c r="J558" s="334"/>
      <c r="K558" s="334"/>
      <c r="T558" s="154"/>
      <c r="V558" s="200"/>
      <c r="W558" s="200"/>
      <c r="X558" s="200"/>
      <c r="Y558" s="200"/>
      <c r="Z558" s="329"/>
    </row>
    <row r="559" spans="1:40" x14ac:dyDescent="0.25">
      <c r="A559" s="202"/>
      <c r="C559" s="154"/>
      <c r="H559" s="252"/>
      <c r="I559" s="252"/>
      <c r="J559" s="329"/>
      <c r="K559" s="329"/>
      <c r="L559" s="200"/>
      <c r="M559" s="200"/>
      <c r="N559" s="210"/>
      <c r="O559" s="210"/>
      <c r="P559" s="200"/>
      <c r="Q559" s="200"/>
      <c r="R559" s="200"/>
      <c r="T559" s="154"/>
      <c r="V559" s="200"/>
      <c r="W559" s="200"/>
      <c r="X559" s="200"/>
      <c r="Y559" s="200"/>
      <c r="Z559" s="329"/>
      <c r="AA559" s="200"/>
      <c r="AB559" s="200"/>
      <c r="AC559" s="210"/>
      <c r="AD559" s="210"/>
      <c r="AE559" s="200"/>
      <c r="AF559" s="200"/>
      <c r="AG559" s="209"/>
      <c r="AH559" s="201"/>
      <c r="AI559" s="200"/>
      <c r="AJ559" s="200"/>
      <c r="AK559" s="209"/>
      <c r="AL559" s="200"/>
      <c r="AM559" s="210"/>
      <c r="AN559" s="210"/>
    </row>
    <row r="560" spans="1:40" x14ac:dyDescent="0.25">
      <c r="A560" s="202"/>
      <c r="C560" s="154"/>
      <c r="F560" s="252"/>
      <c r="J560" s="334"/>
      <c r="K560" s="334"/>
      <c r="T560" s="154"/>
      <c r="V560" s="200"/>
      <c r="W560" s="200"/>
      <c r="X560" s="200"/>
      <c r="Y560" s="200"/>
      <c r="Z560" s="329"/>
    </row>
    <row r="561" spans="1:40" x14ac:dyDescent="0.25">
      <c r="A561" s="202"/>
      <c r="C561" s="154"/>
      <c r="H561" s="252"/>
      <c r="I561" s="252"/>
      <c r="J561" s="329"/>
      <c r="K561" s="329"/>
      <c r="L561" s="200"/>
      <c r="M561" s="200"/>
      <c r="N561" s="210"/>
      <c r="O561" s="210"/>
      <c r="P561" s="200"/>
      <c r="Q561" s="200"/>
      <c r="R561" s="200"/>
      <c r="T561" s="154"/>
      <c r="V561" s="200"/>
      <c r="W561" s="200"/>
      <c r="X561" s="200"/>
      <c r="Y561" s="200"/>
      <c r="Z561" s="329"/>
      <c r="AA561" s="200"/>
      <c r="AB561" s="200"/>
      <c r="AC561" s="210"/>
      <c r="AD561" s="210"/>
      <c r="AE561" s="200"/>
      <c r="AF561" s="200"/>
      <c r="AG561" s="209"/>
      <c r="AH561" s="201"/>
      <c r="AI561" s="200"/>
      <c r="AJ561" s="200"/>
      <c r="AK561" s="209"/>
      <c r="AL561" s="200"/>
      <c r="AM561" s="210"/>
      <c r="AN561" s="210"/>
    </row>
    <row r="562" spans="1:40" x14ac:dyDescent="0.25">
      <c r="A562" s="202"/>
      <c r="C562" s="154"/>
      <c r="F562" s="252"/>
      <c r="J562" s="334"/>
      <c r="K562" s="334"/>
      <c r="T562" s="154"/>
      <c r="V562" s="200"/>
      <c r="W562" s="200"/>
      <c r="X562" s="200"/>
      <c r="Y562" s="200"/>
      <c r="Z562" s="329"/>
    </row>
    <row r="563" spans="1:40" x14ac:dyDescent="0.25">
      <c r="A563" s="202"/>
      <c r="C563" s="154"/>
      <c r="H563" s="252"/>
      <c r="I563" s="252"/>
      <c r="J563" s="329"/>
      <c r="K563" s="329"/>
      <c r="L563" s="200"/>
      <c r="M563" s="200"/>
      <c r="N563" s="210"/>
      <c r="O563" s="210"/>
      <c r="P563" s="200"/>
      <c r="Q563" s="200"/>
      <c r="R563" s="200"/>
      <c r="T563" s="154"/>
      <c r="V563" s="200"/>
      <c r="W563" s="200"/>
      <c r="X563" s="200"/>
      <c r="Y563" s="200"/>
      <c r="Z563" s="329"/>
      <c r="AA563" s="200"/>
      <c r="AB563" s="200"/>
      <c r="AC563" s="210"/>
      <c r="AD563" s="210"/>
      <c r="AE563" s="200"/>
      <c r="AF563" s="200"/>
      <c r="AG563" s="209"/>
      <c r="AH563" s="201"/>
      <c r="AI563" s="200"/>
      <c r="AJ563" s="200"/>
      <c r="AK563" s="209"/>
      <c r="AL563" s="200"/>
      <c r="AM563" s="210"/>
      <c r="AN563" s="210"/>
    </row>
    <row r="564" spans="1:40" x14ac:dyDescent="0.25">
      <c r="F564" s="252"/>
      <c r="H564" s="211"/>
      <c r="I564" s="211"/>
      <c r="J564" s="329"/>
      <c r="K564" s="329"/>
      <c r="L564" s="211"/>
      <c r="M564" s="211"/>
      <c r="N564" s="211"/>
      <c r="O564" s="211"/>
      <c r="P564" s="211"/>
      <c r="Q564" s="211"/>
      <c r="R564" s="211"/>
      <c r="V564" s="211"/>
      <c r="Y564" s="211"/>
      <c r="Z564" s="329"/>
      <c r="AA564" s="211"/>
      <c r="AB564" s="211"/>
      <c r="AC564" s="211"/>
      <c r="AD564" s="211"/>
      <c r="AE564" s="211"/>
      <c r="AF564" s="211"/>
      <c r="AI564" s="211"/>
      <c r="AJ564" s="211"/>
      <c r="AK564" s="212"/>
      <c r="AL564" s="211"/>
      <c r="AM564" s="210"/>
      <c r="AN564" s="210"/>
    </row>
    <row r="565" spans="1:40" x14ac:dyDescent="0.25">
      <c r="A565" s="202"/>
      <c r="C565" s="154"/>
      <c r="F565" s="211"/>
      <c r="H565" s="200"/>
      <c r="I565" s="200"/>
      <c r="J565" s="334"/>
      <c r="K565" s="334"/>
      <c r="L565" s="200"/>
      <c r="M565" s="200"/>
      <c r="N565" s="210"/>
      <c r="O565" s="210"/>
      <c r="P565" s="252"/>
      <c r="Q565" s="252"/>
      <c r="R565" s="200"/>
      <c r="T565" s="154"/>
      <c r="V565" s="200"/>
      <c r="W565" s="200"/>
      <c r="X565" s="200"/>
      <c r="Y565" s="200"/>
      <c r="Z565" s="329"/>
      <c r="AA565" s="200"/>
      <c r="AB565" s="200"/>
      <c r="AC565" s="210"/>
      <c r="AD565" s="210"/>
      <c r="AE565" s="200"/>
      <c r="AF565" s="200"/>
      <c r="AG565" s="209"/>
      <c r="AH565" s="201"/>
      <c r="AI565" s="252"/>
      <c r="AJ565" s="252"/>
      <c r="AK565" s="209"/>
      <c r="AL565" s="200"/>
      <c r="AM565" s="210"/>
      <c r="AN565" s="210"/>
    </row>
    <row r="566" spans="1:40" x14ac:dyDescent="0.25">
      <c r="F566" s="200"/>
      <c r="H566" s="211"/>
      <c r="I566" s="211"/>
      <c r="J566" s="329"/>
      <c r="K566" s="329"/>
      <c r="L566" s="211"/>
      <c r="M566" s="211"/>
      <c r="N566" s="211"/>
      <c r="O566" s="211"/>
      <c r="P566" s="211"/>
      <c r="Q566" s="211"/>
      <c r="R566" s="211"/>
      <c r="V566" s="211"/>
      <c r="Y566" s="211"/>
      <c r="Z566" s="329"/>
      <c r="AA566" s="211"/>
      <c r="AB566" s="211"/>
      <c r="AC566" s="211"/>
      <c r="AD566" s="211"/>
      <c r="AE566" s="211"/>
      <c r="AF566" s="211"/>
      <c r="AI566" s="211"/>
      <c r="AJ566" s="211"/>
      <c r="AK566" s="212"/>
      <c r="AL566" s="211"/>
    </row>
    <row r="567" spans="1:40" x14ac:dyDescent="0.25">
      <c r="A567" s="202"/>
      <c r="C567" s="154"/>
      <c r="D567" s="154"/>
      <c r="E567" s="154"/>
      <c r="F567" s="211"/>
      <c r="J567" s="334"/>
      <c r="K567" s="334"/>
      <c r="T567" s="154"/>
      <c r="U567" s="154"/>
      <c r="V567" s="200"/>
      <c r="W567" s="200"/>
      <c r="X567" s="200"/>
      <c r="Y567" s="200"/>
      <c r="Z567" s="329"/>
    </row>
    <row r="568" spans="1:40" x14ac:dyDescent="0.25">
      <c r="A568" s="202"/>
      <c r="C568" s="154"/>
      <c r="J568" s="334"/>
      <c r="K568" s="334"/>
      <c r="T568" s="154"/>
      <c r="V568" s="200"/>
      <c r="W568" s="200"/>
      <c r="X568" s="200"/>
      <c r="Y568" s="200"/>
      <c r="Z568" s="329"/>
    </row>
    <row r="569" spans="1:40" x14ac:dyDescent="0.25">
      <c r="A569" s="202"/>
      <c r="C569" s="154"/>
      <c r="J569" s="334"/>
      <c r="K569" s="334"/>
      <c r="T569" s="154"/>
      <c r="V569" s="200"/>
      <c r="W569" s="200"/>
      <c r="X569" s="200"/>
      <c r="Y569" s="200"/>
      <c r="Z569" s="329"/>
    </row>
    <row r="570" spans="1:40" x14ac:dyDescent="0.25">
      <c r="A570" s="202"/>
      <c r="C570" s="154"/>
      <c r="H570" s="252"/>
      <c r="I570" s="252"/>
      <c r="J570" s="329"/>
      <c r="K570" s="329"/>
      <c r="L570" s="200"/>
      <c r="M570" s="200"/>
      <c r="N570" s="210"/>
      <c r="O570" s="210"/>
      <c r="P570" s="200"/>
      <c r="Q570" s="200"/>
      <c r="R570" s="200"/>
      <c r="T570" s="154"/>
      <c r="V570" s="200"/>
      <c r="W570" s="200"/>
      <c r="X570" s="200"/>
      <c r="Y570" s="200"/>
      <c r="Z570" s="329"/>
      <c r="AA570" s="200"/>
      <c r="AB570" s="200"/>
      <c r="AC570" s="210"/>
      <c r="AD570" s="210"/>
      <c r="AE570" s="200"/>
      <c r="AF570" s="200"/>
      <c r="AG570" s="209"/>
      <c r="AH570" s="201"/>
      <c r="AI570" s="200"/>
      <c r="AJ570" s="200"/>
      <c r="AK570" s="209"/>
      <c r="AL570" s="200"/>
      <c r="AM570" s="210"/>
      <c r="AN570" s="210"/>
    </row>
    <row r="571" spans="1:40" x14ac:dyDescent="0.25">
      <c r="A571" s="202"/>
      <c r="C571" s="154"/>
      <c r="F571" s="252"/>
      <c r="J571" s="334"/>
      <c r="K571" s="334"/>
      <c r="T571" s="154"/>
      <c r="V571" s="200"/>
      <c r="W571" s="200"/>
      <c r="X571" s="200"/>
      <c r="Y571" s="200"/>
      <c r="Z571" s="329"/>
    </row>
    <row r="572" spans="1:40" x14ac:dyDescent="0.25">
      <c r="A572" s="202"/>
      <c r="C572" s="154"/>
      <c r="H572" s="252"/>
      <c r="I572" s="252"/>
      <c r="J572" s="329"/>
      <c r="K572" s="329"/>
      <c r="L572" s="200"/>
      <c r="M572" s="200"/>
      <c r="N572" s="210"/>
      <c r="O572" s="210"/>
      <c r="P572" s="200"/>
      <c r="Q572" s="200"/>
      <c r="R572" s="200"/>
      <c r="T572" s="154"/>
      <c r="V572" s="200"/>
      <c r="W572" s="200"/>
      <c r="X572" s="200"/>
      <c r="Y572" s="200"/>
      <c r="Z572" s="329"/>
      <c r="AA572" s="200"/>
      <c r="AB572" s="200"/>
      <c r="AC572" s="210"/>
      <c r="AD572" s="210"/>
      <c r="AE572" s="200"/>
      <c r="AF572" s="200"/>
      <c r="AG572" s="209"/>
      <c r="AH572" s="201"/>
      <c r="AI572" s="200"/>
      <c r="AJ572" s="200"/>
      <c r="AK572" s="209"/>
      <c r="AL572" s="200"/>
      <c r="AM572" s="210"/>
      <c r="AN572" s="210"/>
    </row>
    <row r="573" spans="1:40" x14ac:dyDescent="0.25">
      <c r="F573" s="252"/>
      <c r="H573" s="211"/>
      <c r="I573" s="211"/>
      <c r="J573" s="329"/>
      <c r="K573" s="329"/>
      <c r="L573" s="211"/>
      <c r="M573" s="211"/>
      <c r="N573" s="211"/>
      <c r="O573" s="211"/>
      <c r="P573" s="211"/>
      <c r="Q573" s="211"/>
      <c r="R573" s="211"/>
      <c r="V573" s="211"/>
      <c r="Y573" s="211"/>
      <c r="Z573" s="305"/>
      <c r="AA573" s="211"/>
      <c r="AB573" s="211"/>
      <c r="AC573" s="211"/>
      <c r="AD573" s="211"/>
      <c r="AE573" s="211"/>
      <c r="AF573" s="211"/>
      <c r="AI573" s="211"/>
      <c r="AJ573" s="211"/>
      <c r="AK573" s="212"/>
      <c r="AL573" s="211"/>
    </row>
    <row r="574" spans="1:40" x14ac:dyDescent="0.25">
      <c r="A574" s="202"/>
      <c r="C574" s="154"/>
      <c r="F574" s="211"/>
      <c r="H574" s="200"/>
      <c r="I574" s="200"/>
      <c r="L574" s="200"/>
      <c r="M574" s="200"/>
      <c r="N574" s="210"/>
      <c r="O574" s="210"/>
      <c r="P574" s="252"/>
      <c r="Q574" s="252"/>
      <c r="R574" s="200"/>
      <c r="T574" s="154"/>
      <c r="V574" s="200"/>
      <c r="W574" s="200"/>
      <c r="X574" s="200"/>
      <c r="Y574" s="200"/>
      <c r="Z574" s="328"/>
      <c r="AA574" s="200"/>
      <c r="AB574" s="200"/>
      <c r="AC574" s="210"/>
      <c r="AD574" s="210"/>
      <c r="AE574" s="200"/>
      <c r="AF574" s="200"/>
      <c r="AG574" s="209"/>
      <c r="AH574" s="201"/>
      <c r="AI574" s="252"/>
      <c r="AJ574" s="252"/>
      <c r="AK574" s="209"/>
      <c r="AL574" s="200"/>
      <c r="AM574" s="210"/>
      <c r="AN574" s="210"/>
    </row>
    <row r="575" spans="1:40" x14ac:dyDescent="0.25">
      <c r="F575" s="200"/>
      <c r="H575" s="211"/>
      <c r="I575" s="211"/>
      <c r="J575" s="305"/>
      <c r="K575" s="305"/>
      <c r="L575" s="211"/>
      <c r="M575" s="211"/>
      <c r="N575" s="211"/>
      <c r="O575" s="211"/>
      <c r="P575" s="211"/>
      <c r="Q575" s="211"/>
      <c r="R575" s="211"/>
      <c r="V575" s="211"/>
      <c r="Y575" s="211"/>
      <c r="Z575" s="305"/>
      <c r="AA575" s="211"/>
      <c r="AB575" s="211"/>
      <c r="AC575" s="211"/>
      <c r="AD575" s="211"/>
      <c r="AE575" s="211"/>
      <c r="AF575" s="211"/>
      <c r="AI575" s="211"/>
      <c r="AJ575" s="211"/>
      <c r="AK575" s="212"/>
      <c r="AL575" s="211"/>
    </row>
    <row r="576" spans="1:40" x14ac:dyDescent="0.25">
      <c r="A576" s="202"/>
      <c r="C576" s="154"/>
      <c r="D576" s="154"/>
      <c r="E576" s="154"/>
      <c r="F576" s="211"/>
      <c r="T576" s="154"/>
      <c r="U576" s="154"/>
      <c r="V576" s="200"/>
      <c r="W576" s="200"/>
      <c r="X576" s="200"/>
      <c r="Y576" s="200"/>
      <c r="Z576" s="328"/>
    </row>
    <row r="577" spans="1:40" x14ac:dyDescent="0.25">
      <c r="A577" s="202"/>
      <c r="C577" s="154"/>
      <c r="T577" s="154"/>
      <c r="V577" s="200"/>
      <c r="W577" s="200"/>
      <c r="X577" s="200"/>
      <c r="Y577" s="200"/>
      <c r="Z577" s="328"/>
    </row>
    <row r="578" spans="1:40" x14ac:dyDescent="0.25">
      <c r="A578" s="202"/>
      <c r="C578" s="154"/>
      <c r="H578" s="252"/>
      <c r="I578" s="252"/>
      <c r="J578" s="328"/>
      <c r="K578" s="328"/>
      <c r="L578" s="200"/>
      <c r="M578" s="200"/>
      <c r="N578" s="210"/>
      <c r="O578" s="210"/>
      <c r="P578" s="200"/>
      <c r="Q578" s="200"/>
      <c r="R578" s="200"/>
      <c r="T578" s="154"/>
      <c r="V578" s="200"/>
      <c r="W578" s="200"/>
      <c r="X578" s="200"/>
      <c r="Y578" s="200"/>
      <c r="Z578" s="328"/>
      <c r="AA578" s="200"/>
      <c r="AB578" s="200"/>
      <c r="AC578" s="210"/>
      <c r="AD578" s="210"/>
      <c r="AE578" s="200"/>
      <c r="AF578" s="200"/>
      <c r="AG578" s="209"/>
      <c r="AH578" s="201"/>
      <c r="AI578" s="200"/>
      <c r="AJ578" s="200"/>
      <c r="AK578" s="209"/>
      <c r="AL578" s="200"/>
      <c r="AM578" s="210"/>
      <c r="AN578" s="210"/>
    </row>
    <row r="579" spans="1:40" x14ac:dyDescent="0.25">
      <c r="A579" s="202"/>
      <c r="C579" s="154"/>
      <c r="F579" s="252"/>
      <c r="T579" s="154"/>
      <c r="V579" s="200"/>
      <c r="W579" s="200"/>
      <c r="X579" s="200"/>
      <c r="Y579" s="200"/>
      <c r="Z579" s="328"/>
    </row>
    <row r="580" spans="1:40" x14ac:dyDescent="0.25">
      <c r="A580" s="202"/>
      <c r="C580" s="154"/>
      <c r="H580" s="252"/>
      <c r="I580" s="252"/>
      <c r="J580" s="328"/>
      <c r="K580" s="328"/>
      <c r="L580" s="200"/>
      <c r="M580" s="200"/>
      <c r="N580" s="210"/>
      <c r="O580" s="210"/>
      <c r="P580" s="200"/>
      <c r="Q580" s="200"/>
      <c r="R580" s="200"/>
      <c r="T580" s="154"/>
      <c r="V580" s="200"/>
      <c r="W580" s="200"/>
      <c r="X580" s="200"/>
      <c r="Y580" s="200"/>
      <c r="Z580" s="328"/>
      <c r="AA580" s="200"/>
      <c r="AB580" s="200"/>
      <c r="AC580" s="210"/>
      <c r="AD580" s="210"/>
      <c r="AE580" s="200"/>
      <c r="AF580" s="200"/>
      <c r="AG580" s="209"/>
      <c r="AH580" s="201"/>
      <c r="AI580" s="200"/>
      <c r="AJ580" s="200"/>
      <c r="AK580" s="209"/>
      <c r="AL580" s="200"/>
      <c r="AM580" s="210"/>
      <c r="AN580" s="210"/>
    </row>
    <row r="581" spans="1:40" x14ac:dyDescent="0.25">
      <c r="A581" s="202"/>
      <c r="C581" s="154"/>
      <c r="F581" s="252"/>
      <c r="T581" s="154"/>
      <c r="V581" s="200"/>
      <c r="W581" s="200"/>
      <c r="X581" s="200"/>
      <c r="Y581" s="200"/>
      <c r="Z581" s="328"/>
    </row>
    <row r="582" spans="1:40" x14ac:dyDescent="0.25">
      <c r="A582" s="202"/>
      <c r="C582" s="154"/>
      <c r="H582" s="252"/>
      <c r="I582" s="252"/>
      <c r="J582" s="328"/>
      <c r="K582" s="328"/>
      <c r="L582" s="200"/>
      <c r="M582" s="200"/>
      <c r="N582" s="210"/>
      <c r="O582" s="210"/>
      <c r="P582" s="200"/>
      <c r="Q582" s="200"/>
      <c r="R582" s="200"/>
      <c r="T582" s="154"/>
      <c r="V582" s="200"/>
      <c r="W582" s="200"/>
      <c r="X582" s="200"/>
      <c r="Y582" s="200"/>
      <c r="Z582" s="328"/>
      <c r="AA582" s="200"/>
      <c r="AB582" s="200"/>
      <c r="AC582" s="210"/>
      <c r="AD582" s="210"/>
      <c r="AE582" s="200"/>
      <c r="AF582" s="200"/>
      <c r="AG582" s="209"/>
      <c r="AH582" s="201"/>
      <c r="AI582" s="200"/>
      <c r="AJ582" s="200"/>
      <c r="AK582" s="209"/>
      <c r="AL582" s="200"/>
      <c r="AM582" s="210"/>
      <c r="AN582" s="210"/>
    </row>
    <row r="583" spans="1:40" x14ac:dyDescent="0.25">
      <c r="A583" s="202"/>
      <c r="C583" s="154"/>
      <c r="F583" s="252"/>
      <c r="T583" s="154"/>
      <c r="V583" s="200"/>
      <c r="W583" s="200"/>
      <c r="X583" s="200"/>
      <c r="Y583" s="200"/>
      <c r="Z583" s="328"/>
    </row>
    <row r="584" spans="1:40" x14ac:dyDescent="0.25">
      <c r="A584" s="202"/>
      <c r="C584" s="154"/>
      <c r="H584" s="252"/>
      <c r="I584" s="252"/>
      <c r="J584" s="328"/>
      <c r="K584" s="328"/>
      <c r="L584" s="200"/>
      <c r="M584" s="200"/>
      <c r="N584" s="210"/>
      <c r="O584" s="210"/>
      <c r="P584" s="200"/>
      <c r="Q584" s="200"/>
      <c r="R584" s="200"/>
      <c r="T584" s="154"/>
      <c r="V584" s="200"/>
      <c r="W584" s="200"/>
      <c r="X584" s="200"/>
      <c r="Y584" s="200"/>
      <c r="Z584" s="328"/>
      <c r="AA584" s="200"/>
      <c r="AB584" s="200"/>
      <c r="AC584" s="210"/>
      <c r="AD584" s="210"/>
      <c r="AE584" s="200"/>
      <c r="AF584" s="200"/>
      <c r="AG584" s="209"/>
      <c r="AH584" s="201"/>
      <c r="AI584" s="200"/>
      <c r="AJ584" s="200"/>
      <c r="AK584" s="209"/>
      <c r="AL584" s="200"/>
      <c r="AM584" s="210"/>
      <c r="AN584" s="210"/>
    </row>
    <row r="585" spans="1:40" x14ac:dyDescent="0.25">
      <c r="F585" s="252"/>
      <c r="H585" s="211"/>
      <c r="I585" s="211"/>
      <c r="J585" s="305"/>
      <c r="K585" s="305"/>
      <c r="L585" s="211"/>
      <c r="M585" s="211"/>
      <c r="N585" s="211"/>
      <c r="O585" s="211"/>
      <c r="P585" s="211"/>
      <c r="Q585" s="211"/>
      <c r="R585" s="211"/>
      <c r="V585" s="211"/>
      <c r="Y585" s="211"/>
      <c r="Z585" s="305"/>
      <c r="AA585" s="211"/>
      <c r="AB585" s="211"/>
      <c r="AC585" s="211"/>
      <c r="AD585" s="211"/>
      <c r="AE585" s="211"/>
      <c r="AF585" s="211"/>
      <c r="AI585" s="211"/>
      <c r="AJ585" s="211"/>
      <c r="AK585" s="212"/>
      <c r="AL585" s="211"/>
    </row>
    <row r="586" spans="1:40" x14ac:dyDescent="0.25">
      <c r="A586" s="202"/>
      <c r="C586" s="154"/>
      <c r="F586" s="211"/>
      <c r="H586" s="200"/>
      <c r="I586" s="200"/>
      <c r="L586" s="200"/>
      <c r="M586" s="200"/>
      <c r="N586" s="210"/>
      <c r="O586" s="210"/>
      <c r="P586" s="252"/>
      <c r="Q586" s="252"/>
      <c r="R586" s="200"/>
      <c r="T586" s="154"/>
      <c r="V586" s="200"/>
      <c r="W586" s="200"/>
      <c r="X586" s="200"/>
      <c r="Y586" s="200"/>
      <c r="Z586" s="328"/>
      <c r="AA586" s="200"/>
      <c r="AB586" s="200"/>
      <c r="AC586" s="210"/>
      <c r="AD586" s="210"/>
      <c r="AE586" s="200"/>
      <c r="AF586" s="200"/>
      <c r="AG586" s="209"/>
      <c r="AH586" s="201"/>
      <c r="AI586" s="252"/>
      <c r="AJ586" s="252"/>
      <c r="AK586" s="209"/>
      <c r="AL586" s="200"/>
      <c r="AM586" s="210"/>
      <c r="AN586" s="210"/>
    </row>
    <row r="587" spans="1:40" x14ac:dyDescent="0.25">
      <c r="F587" s="200"/>
      <c r="H587" s="211"/>
      <c r="I587" s="211"/>
      <c r="J587" s="305"/>
      <c r="K587" s="305"/>
      <c r="L587" s="211"/>
      <c r="M587" s="211"/>
      <c r="N587" s="211"/>
      <c r="O587" s="211"/>
      <c r="P587" s="211"/>
      <c r="Q587" s="211"/>
      <c r="R587" s="211"/>
      <c r="V587" s="211"/>
      <c r="Y587" s="211"/>
      <c r="Z587" s="305"/>
      <c r="AA587" s="211"/>
      <c r="AB587" s="211"/>
      <c r="AC587" s="211"/>
      <c r="AD587" s="211"/>
      <c r="AE587" s="211"/>
      <c r="AF587" s="211"/>
      <c r="AI587" s="211"/>
      <c r="AJ587" s="211"/>
      <c r="AK587" s="212"/>
      <c r="AL587" s="211"/>
    </row>
    <row r="588" spans="1:40" x14ac:dyDescent="0.25">
      <c r="A588" s="202"/>
      <c r="C588" s="154"/>
      <c r="F588" s="211"/>
      <c r="H588" s="200"/>
      <c r="I588" s="200"/>
      <c r="L588" s="200"/>
      <c r="M588" s="200"/>
      <c r="N588" s="210"/>
      <c r="O588" s="210"/>
      <c r="P588" s="200"/>
      <c r="Q588" s="200"/>
      <c r="R588" s="200"/>
      <c r="T588" s="154"/>
      <c r="V588" s="200"/>
      <c r="W588" s="200"/>
      <c r="X588" s="200"/>
      <c r="Y588" s="200"/>
      <c r="AA588" s="200"/>
      <c r="AB588" s="200"/>
      <c r="AC588" s="210"/>
      <c r="AD588" s="210"/>
      <c r="AE588" s="200"/>
      <c r="AF588" s="200"/>
      <c r="AG588" s="209"/>
      <c r="AH588" s="201"/>
      <c r="AI588" s="200"/>
      <c r="AJ588" s="200"/>
      <c r="AK588" s="209"/>
      <c r="AL588" s="200"/>
      <c r="AM588" s="201"/>
      <c r="AN588" s="201"/>
    </row>
    <row r="589" spans="1:40" x14ac:dyDescent="0.25">
      <c r="F589" s="200"/>
      <c r="H589" s="211"/>
      <c r="I589" s="211"/>
      <c r="J589" s="305"/>
      <c r="K589" s="305"/>
      <c r="L589" s="211"/>
      <c r="M589" s="211"/>
      <c r="N589" s="211"/>
      <c r="O589" s="211"/>
      <c r="P589" s="211"/>
      <c r="Q589" s="211"/>
      <c r="R589" s="211"/>
      <c r="V589" s="211"/>
      <c r="Y589" s="211"/>
      <c r="Z589" s="305"/>
      <c r="AA589" s="211"/>
      <c r="AB589" s="211"/>
      <c r="AC589" s="211"/>
      <c r="AD589" s="211"/>
      <c r="AE589" s="211"/>
      <c r="AF589" s="211"/>
      <c r="AI589" s="211"/>
      <c r="AJ589" s="211"/>
      <c r="AK589" s="212"/>
      <c r="AL589" s="211"/>
    </row>
    <row r="591" spans="1:40" x14ac:dyDescent="0.25">
      <c r="C591" s="202"/>
      <c r="F591" s="211"/>
      <c r="T591" s="202"/>
    </row>
    <row r="592" spans="1:40" x14ac:dyDescent="0.25">
      <c r="A592" s="154"/>
    </row>
    <row r="593" spans="1:40" x14ac:dyDescent="0.25">
      <c r="J593" s="202"/>
      <c r="K593" s="202"/>
      <c r="Z593" s="202"/>
    </row>
    <row r="594" spans="1:40" x14ac:dyDescent="0.25">
      <c r="H594" s="154"/>
      <c r="I594" s="154"/>
      <c r="Y594" s="154"/>
    </row>
    <row r="595" spans="1:40" x14ac:dyDescent="0.25">
      <c r="J595" s="202"/>
      <c r="K595" s="202"/>
      <c r="Z595" s="202"/>
    </row>
    <row r="596" spans="1:40" x14ac:dyDescent="0.25">
      <c r="L596" s="154"/>
      <c r="M596" s="154"/>
      <c r="AA596" s="154"/>
      <c r="AB596" s="154"/>
    </row>
    <row r="597" spans="1:40" x14ac:dyDescent="0.25">
      <c r="A597" s="202"/>
      <c r="R597" s="154"/>
      <c r="AK597" s="297"/>
      <c r="AL597" s="154"/>
    </row>
    <row r="598" spans="1:40" x14ac:dyDescent="0.25">
      <c r="A598" s="202"/>
      <c r="R598" s="154"/>
      <c r="AK598" s="297"/>
      <c r="AL598" s="154"/>
    </row>
    <row r="599" spans="1:40" x14ac:dyDescent="0.25">
      <c r="A599" s="154"/>
      <c r="R599" s="154"/>
      <c r="AK599" s="297"/>
      <c r="AL599" s="154"/>
    </row>
    <row r="600" spans="1:40" x14ac:dyDescent="0.25">
      <c r="L600" s="154"/>
      <c r="M600" s="154"/>
      <c r="R600" s="202"/>
      <c r="AA600" s="154"/>
      <c r="AB600" s="154"/>
      <c r="AK600" s="209"/>
      <c r="AL600" s="202"/>
    </row>
    <row r="601" spans="1:40" x14ac:dyDescent="0.25">
      <c r="A601" s="102"/>
      <c r="B601" s="102"/>
      <c r="C601" s="102"/>
      <c r="D601" s="102"/>
      <c r="E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208"/>
      <c r="AH601" s="102"/>
      <c r="AI601" s="102"/>
      <c r="AJ601" s="102"/>
      <c r="AK601" s="208"/>
      <c r="AL601" s="102"/>
      <c r="AM601" s="102"/>
      <c r="AN601" s="102"/>
    </row>
    <row r="602" spans="1:40" x14ac:dyDescent="0.25">
      <c r="F602" s="102"/>
      <c r="L602" s="103"/>
      <c r="M602" s="103"/>
      <c r="N602" s="103"/>
      <c r="O602" s="103"/>
      <c r="R602" s="103"/>
      <c r="AA602" s="103"/>
      <c r="AB602" s="103"/>
      <c r="AC602" s="103"/>
      <c r="AD602" s="103"/>
      <c r="AE602" s="103"/>
      <c r="AF602" s="103"/>
      <c r="AG602" s="185"/>
      <c r="AH602" s="103"/>
      <c r="AK602" s="185"/>
      <c r="AL602" s="103"/>
      <c r="AM602" s="103"/>
      <c r="AN602" s="103"/>
    </row>
    <row r="603" spans="1:40" x14ac:dyDescent="0.25">
      <c r="L603" s="103"/>
      <c r="M603" s="103"/>
      <c r="N603" s="103"/>
      <c r="O603" s="103"/>
      <c r="R603" s="103"/>
      <c r="Z603" s="103"/>
      <c r="AA603" s="103"/>
      <c r="AB603" s="103"/>
      <c r="AC603" s="103"/>
      <c r="AD603" s="103"/>
      <c r="AE603" s="103"/>
      <c r="AF603" s="103"/>
      <c r="AG603" s="185"/>
      <c r="AH603" s="103"/>
      <c r="AK603" s="185"/>
      <c r="AL603" s="103"/>
      <c r="AM603" s="103"/>
      <c r="AN603" s="103"/>
    </row>
    <row r="604" spans="1:40" x14ac:dyDescent="0.25">
      <c r="A604" s="103"/>
      <c r="C604" s="103"/>
      <c r="D604" s="103"/>
      <c r="E604" s="103"/>
      <c r="J604" s="103"/>
      <c r="K604" s="103"/>
      <c r="L604" s="103"/>
      <c r="M604" s="103"/>
      <c r="N604" s="103"/>
      <c r="O604" s="103"/>
      <c r="P604" s="103"/>
      <c r="Q604" s="103"/>
      <c r="R604" s="103"/>
      <c r="T604" s="103"/>
      <c r="U604" s="103"/>
      <c r="V604" s="103"/>
      <c r="Z604" s="103"/>
      <c r="AA604" s="103"/>
      <c r="AB604" s="103"/>
      <c r="AC604" s="103"/>
      <c r="AD604" s="103"/>
      <c r="AE604" s="103"/>
      <c r="AF604" s="103"/>
      <c r="AG604" s="185"/>
      <c r="AH604" s="103"/>
      <c r="AI604" s="103"/>
      <c r="AJ604" s="103"/>
      <c r="AK604" s="185"/>
      <c r="AL604" s="103"/>
      <c r="AM604" s="103"/>
      <c r="AN604" s="103"/>
    </row>
    <row r="605" spans="1:40" x14ac:dyDescent="0.25">
      <c r="A605" s="103"/>
      <c r="C605" s="103"/>
      <c r="D605" s="103"/>
      <c r="E605" s="103"/>
      <c r="F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T605" s="103"/>
      <c r="U605" s="103"/>
      <c r="V605" s="103"/>
      <c r="Y605" s="103"/>
      <c r="Z605" s="103"/>
      <c r="AA605" s="103"/>
      <c r="AB605" s="103"/>
      <c r="AC605" s="103"/>
      <c r="AD605" s="103"/>
      <c r="AE605" s="103"/>
      <c r="AF605" s="103"/>
      <c r="AG605" s="185"/>
      <c r="AH605" s="103"/>
      <c r="AI605" s="103"/>
      <c r="AJ605" s="103"/>
      <c r="AK605" s="185"/>
      <c r="AL605" s="103"/>
      <c r="AM605" s="103"/>
      <c r="AN605" s="103"/>
    </row>
    <row r="606" spans="1:40" x14ac:dyDescent="0.25">
      <c r="C606" s="103"/>
      <c r="D606" s="103"/>
      <c r="E606" s="103"/>
      <c r="F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T606" s="103"/>
      <c r="U606" s="103"/>
      <c r="V606" s="103"/>
      <c r="Y606" s="103"/>
      <c r="Z606" s="103"/>
      <c r="AA606" s="103"/>
      <c r="AB606" s="103"/>
      <c r="AC606" s="103"/>
      <c r="AD606" s="103"/>
      <c r="AE606" s="103"/>
      <c r="AF606" s="103"/>
      <c r="AG606" s="185"/>
      <c r="AH606" s="103"/>
      <c r="AI606" s="103"/>
      <c r="AJ606" s="103"/>
      <c r="AK606" s="185"/>
      <c r="AL606" s="103"/>
      <c r="AM606" s="103"/>
      <c r="AN606" s="103"/>
    </row>
    <row r="607" spans="1:40" x14ac:dyDescent="0.25">
      <c r="A607" s="102"/>
      <c r="B607" s="102"/>
      <c r="C607" s="102"/>
      <c r="D607" s="102"/>
      <c r="E607" s="102"/>
      <c r="F607" s="103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208"/>
      <c r="AH607" s="102"/>
      <c r="AI607" s="102"/>
      <c r="AJ607" s="102"/>
      <c r="AK607" s="208"/>
      <c r="AL607" s="102"/>
      <c r="AM607" s="102"/>
      <c r="AN607" s="102"/>
    </row>
    <row r="608" spans="1:40" x14ac:dyDescent="0.25">
      <c r="F608" s="102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Y608" s="103"/>
      <c r="Z608" s="103"/>
      <c r="AA608" s="103"/>
      <c r="AB608" s="103"/>
      <c r="AC608" s="103"/>
      <c r="AD608" s="103"/>
      <c r="AE608" s="103"/>
      <c r="AF608" s="103"/>
      <c r="AG608" s="185"/>
      <c r="AH608" s="103"/>
      <c r="AI608" s="103"/>
      <c r="AJ608" s="103"/>
      <c r="AK608" s="185"/>
      <c r="AL608" s="103"/>
      <c r="AM608" s="103"/>
      <c r="AN608" s="103"/>
    </row>
    <row r="609" spans="1:40" x14ac:dyDescent="0.25">
      <c r="A609" s="202"/>
      <c r="C609" s="154"/>
      <c r="D609" s="154"/>
      <c r="E609" s="154"/>
      <c r="H609" s="200"/>
      <c r="I609" s="200"/>
      <c r="J609" s="213"/>
      <c r="K609" s="213"/>
      <c r="L609" s="200"/>
      <c r="M609" s="200"/>
      <c r="N609" s="213"/>
      <c r="O609" s="213"/>
      <c r="P609" s="200"/>
      <c r="Q609" s="200"/>
      <c r="R609" s="200"/>
      <c r="T609" s="154"/>
      <c r="U609" s="154"/>
      <c r="V609" s="200"/>
      <c r="Y609" s="200"/>
      <c r="Z609" s="213"/>
      <c r="AA609" s="200"/>
      <c r="AB609" s="200"/>
      <c r="AC609" s="213"/>
      <c r="AD609" s="213"/>
      <c r="AE609" s="200"/>
      <c r="AF609" s="200"/>
      <c r="AG609" s="209"/>
      <c r="AH609" s="201"/>
      <c r="AI609" s="200"/>
      <c r="AJ609" s="200"/>
      <c r="AK609" s="209"/>
      <c r="AL609" s="200"/>
      <c r="AM609" s="210"/>
      <c r="AN609" s="210"/>
    </row>
    <row r="610" spans="1:40" x14ac:dyDescent="0.25">
      <c r="F610" s="200"/>
      <c r="H610" s="211"/>
      <c r="I610" s="211"/>
      <c r="J610" s="305"/>
      <c r="K610" s="305"/>
      <c r="L610" s="211"/>
      <c r="M610" s="211"/>
      <c r="N610" s="211"/>
      <c r="O610" s="211"/>
      <c r="P610" s="211"/>
      <c r="Q610" s="211"/>
      <c r="R610" s="211"/>
      <c r="V610" s="211"/>
      <c r="Y610" s="211"/>
      <c r="Z610" s="305"/>
      <c r="AA610" s="211"/>
      <c r="AB610" s="211"/>
      <c r="AC610" s="211"/>
      <c r="AD610" s="211"/>
      <c r="AE610" s="211"/>
      <c r="AF610" s="211"/>
      <c r="AI610" s="211"/>
      <c r="AJ610" s="211"/>
      <c r="AK610" s="212"/>
      <c r="AL610" s="211"/>
      <c r="AM610" s="210"/>
      <c r="AN610" s="210"/>
    </row>
    <row r="611" spans="1:40" x14ac:dyDescent="0.25">
      <c r="A611" s="202"/>
      <c r="C611" s="154"/>
      <c r="F611" s="211"/>
      <c r="H611" s="200"/>
      <c r="I611" s="200"/>
      <c r="J611" s="213"/>
      <c r="K611" s="213"/>
      <c r="L611" s="200"/>
      <c r="M611" s="200"/>
      <c r="N611" s="213"/>
      <c r="O611" s="213"/>
      <c r="P611" s="200"/>
      <c r="Q611" s="200"/>
      <c r="R611" s="200"/>
      <c r="T611" s="154"/>
      <c r="V611" s="200"/>
      <c r="Y611" s="200"/>
      <c r="Z611" s="213"/>
      <c r="AA611" s="200"/>
      <c r="AB611" s="200"/>
      <c r="AC611" s="213"/>
      <c r="AD611" s="213"/>
      <c r="AE611" s="200"/>
      <c r="AF611" s="200"/>
      <c r="AG611" s="209"/>
      <c r="AH611" s="201"/>
      <c r="AI611" s="200"/>
      <c r="AJ611" s="200"/>
      <c r="AK611" s="209"/>
      <c r="AL611" s="200"/>
      <c r="AM611" s="210"/>
      <c r="AN611" s="210"/>
    </row>
    <row r="612" spans="1:40" x14ac:dyDescent="0.25">
      <c r="F612" s="200"/>
      <c r="H612" s="200"/>
      <c r="I612" s="200"/>
      <c r="J612" s="213"/>
      <c r="K612" s="213"/>
      <c r="L612" s="200"/>
      <c r="M612" s="200"/>
      <c r="N612" s="213"/>
      <c r="O612" s="213"/>
      <c r="P612" s="200"/>
      <c r="Q612" s="200"/>
      <c r="R612" s="200"/>
      <c r="V612" s="200"/>
      <c r="Y612" s="200"/>
      <c r="Z612" s="213"/>
      <c r="AA612" s="200"/>
      <c r="AB612" s="200"/>
      <c r="AC612" s="213"/>
      <c r="AD612" s="213"/>
      <c r="AG612" s="209"/>
      <c r="AH612" s="201"/>
      <c r="AI612" s="200"/>
      <c r="AJ612" s="200"/>
      <c r="AK612" s="209"/>
      <c r="AL612" s="200"/>
      <c r="AM612" s="210"/>
      <c r="AN612" s="210"/>
    </row>
    <row r="613" spans="1:40" x14ac:dyDescent="0.25">
      <c r="A613" s="202"/>
      <c r="C613" s="154"/>
      <c r="D613" s="154"/>
      <c r="E613" s="154"/>
      <c r="F613" s="200"/>
      <c r="H613" s="200"/>
      <c r="I613" s="200"/>
      <c r="J613" s="213"/>
      <c r="K613" s="213"/>
      <c r="L613" s="200"/>
      <c r="M613" s="200"/>
      <c r="N613" s="213"/>
      <c r="O613" s="213"/>
      <c r="P613" s="200"/>
      <c r="Q613" s="200"/>
      <c r="R613" s="200"/>
      <c r="T613" s="154"/>
      <c r="U613" s="154"/>
      <c r="V613" s="200"/>
      <c r="Y613" s="200"/>
      <c r="Z613" s="213"/>
      <c r="AA613" s="200"/>
      <c r="AB613" s="200"/>
      <c r="AC613" s="213"/>
      <c r="AD613" s="213"/>
      <c r="AE613" s="200"/>
      <c r="AF613" s="200"/>
      <c r="AG613" s="209"/>
      <c r="AH613" s="201"/>
      <c r="AI613" s="200"/>
      <c r="AJ613" s="200"/>
      <c r="AK613" s="209"/>
      <c r="AL613" s="200"/>
      <c r="AM613" s="210"/>
      <c r="AN613" s="210"/>
    </row>
    <row r="614" spans="1:40" x14ac:dyDescent="0.25">
      <c r="A614" s="202"/>
      <c r="C614" s="154"/>
      <c r="D614" s="154"/>
      <c r="E614" s="154"/>
      <c r="F614" s="200"/>
      <c r="H614" s="200"/>
      <c r="I614" s="200"/>
      <c r="J614" s="213"/>
      <c r="K614" s="213"/>
      <c r="L614" s="200"/>
      <c r="M614" s="200"/>
      <c r="N614" s="213"/>
      <c r="O614" s="213"/>
      <c r="P614" s="200"/>
      <c r="Q614" s="200"/>
      <c r="R614" s="200"/>
      <c r="T614" s="154"/>
      <c r="U614" s="154"/>
      <c r="V614" s="200"/>
      <c r="Y614" s="200"/>
      <c r="Z614" s="213"/>
      <c r="AA614" s="200"/>
      <c r="AB614" s="200"/>
      <c r="AC614" s="213"/>
      <c r="AD614" s="213"/>
      <c r="AE614" s="200"/>
      <c r="AF614" s="200"/>
      <c r="AG614" s="209"/>
      <c r="AH614" s="201"/>
      <c r="AI614" s="200"/>
      <c r="AJ614" s="200"/>
      <c r="AK614" s="209"/>
      <c r="AL614" s="200"/>
      <c r="AM614" s="210"/>
      <c r="AN614" s="210"/>
    </row>
    <row r="615" spans="1:40" x14ac:dyDescent="0.25">
      <c r="A615" s="202"/>
      <c r="C615" s="154"/>
      <c r="D615" s="154"/>
      <c r="E615" s="154"/>
      <c r="F615" s="200"/>
      <c r="H615" s="200"/>
      <c r="I615" s="200"/>
      <c r="J615" s="213"/>
      <c r="K615" s="213"/>
      <c r="L615" s="200"/>
      <c r="M615" s="200"/>
      <c r="N615" s="213"/>
      <c r="O615" s="213"/>
      <c r="P615" s="200"/>
      <c r="Q615" s="200"/>
      <c r="R615" s="200"/>
      <c r="T615" s="154"/>
      <c r="U615" s="154"/>
      <c r="V615" s="200"/>
      <c r="Y615" s="200"/>
      <c r="Z615" s="213"/>
      <c r="AA615" s="200"/>
      <c r="AB615" s="200"/>
      <c r="AC615" s="213"/>
      <c r="AD615" s="213"/>
      <c r="AE615" s="200"/>
      <c r="AF615" s="200"/>
      <c r="AG615" s="209"/>
      <c r="AH615" s="201"/>
      <c r="AI615" s="200"/>
      <c r="AJ615" s="200"/>
      <c r="AK615" s="209"/>
      <c r="AL615" s="200"/>
      <c r="AM615" s="210"/>
      <c r="AN615" s="210"/>
    </row>
    <row r="616" spans="1:40" x14ac:dyDescent="0.25">
      <c r="A616" s="202"/>
      <c r="C616" s="154"/>
      <c r="D616" s="154"/>
      <c r="E616" s="154"/>
      <c r="F616" s="200"/>
      <c r="H616" s="200"/>
      <c r="I616" s="200"/>
      <c r="J616" s="213"/>
      <c r="K616" s="213"/>
      <c r="L616" s="200"/>
      <c r="M616" s="200"/>
      <c r="N616" s="213"/>
      <c r="O616" s="213"/>
      <c r="P616" s="200"/>
      <c r="Q616" s="200"/>
      <c r="R616" s="200"/>
      <c r="T616" s="154"/>
      <c r="U616" s="154"/>
      <c r="V616" s="200"/>
      <c r="Y616" s="200"/>
      <c r="Z616" s="213"/>
      <c r="AA616" s="200"/>
      <c r="AB616" s="200"/>
      <c r="AC616" s="213"/>
      <c r="AD616" s="213"/>
      <c r="AE616" s="200"/>
      <c r="AF616" s="200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A617" s="202"/>
      <c r="C617" s="154"/>
      <c r="D617" s="154"/>
      <c r="E617" s="154"/>
      <c r="F617" s="200"/>
      <c r="H617" s="200"/>
      <c r="I617" s="200"/>
      <c r="J617" s="213"/>
      <c r="K617" s="213"/>
      <c r="L617" s="200"/>
      <c r="M617" s="200"/>
      <c r="N617" s="213"/>
      <c r="O617" s="213"/>
      <c r="P617" s="200"/>
      <c r="Q617" s="200"/>
      <c r="R617" s="200"/>
      <c r="T617" s="154"/>
      <c r="U617" s="154"/>
      <c r="V617" s="200"/>
      <c r="Y617" s="200"/>
      <c r="Z617" s="213"/>
      <c r="AA617" s="200"/>
      <c r="AB617" s="200"/>
      <c r="AC617" s="213"/>
      <c r="AD617" s="213"/>
      <c r="AE617" s="200"/>
      <c r="AF617" s="200"/>
      <c r="AG617" s="209"/>
      <c r="AH617" s="201"/>
      <c r="AI617" s="200"/>
      <c r="AJ617" s="200"/>
      <c r="AK617" s="209"/>
      <c r="AL617" s="200"/>
      <c r="AM617" s="210"/>
      <c r="AN617" s="210"/>
    </row>
    <row r="618" spans="1:40" x14ac:dyDescent="0.25">
      <c r="A618" s="202"/>
      <c r="C618" s="154"/>
      <c r="D618" s="154"/>
      <c r="E618" s="154"/>
      <c r="F618" s="200"/>
      <c r="H618" s="200"/>
      <c r="I618" s="200"/>
      <c r="J618" s="213"/>
      <c r="K618" s="213"/>
      <c r="L618" s="200"/>
      <c r="M618" s="200"/>
      <c r="N618" s="213"/>
      <c r="O618" s="213"/>
      <c r="P618" s="200"/>
      <c r="Q618" s="200"/>
      <c r="R618" s="200"/>
      <c r="T618" s="154"/>
      <c r="U618" s="154"/>
      <c r="V618" s="200"/>
      <c r="Y618" s="200"/>
      <c r="Z618" s="213"/>
      <c r="AA618" s="200"/>
      <c r="AB618" s="200"/>
      <c r="AC618" s="213"/>
      <c r="AD618" s="213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F619" s="200"/>
      <c r="H619" s="211"/>
      <c r="I619" s="211"/>
      <c r="J619" s="305"/>
      <c r="K619" s="305"/>
      <c r="L619" s="211"/>
      <c r="M619" s="211"/>
      <c r="N619" s="211"/>
      <c r="O619" s="211"/>
      <c r="P619" s="211"/>
      <c r="Q619" s="211"/>
      <c r="R619" s="211"/>
      <c r="V619" s="211"/>
      <c r="Y619" s="211"/>
      <c r="Z619" s="305"/>
      <c r="AA619" s="211"/>
      <c r="AB619" s="211"/>
      <c r="AC619" s="211"/>
      <c r="AD619" s="211"/>
      <c r="AE619" s="211"/>
      <c r="AF619" s="211"/>
      <c r="AI619" s="211"/>
      <c r="AJ619" s="211"/>
      <c r="AK619" s="212"/>
      <c r="AL619" s="211"/>
      <c r="AM619" s="210"/>
      <c r="AN619" s="210"/>
    </row>
    <row r="620" spans="1:40" x14ac:dyDescent="0.25">
      <c r="A620" s="202"/>
      <c r="C620" s="154"/>
      <c r="F620" s="211"/>
      <c r="H620" s="200"/>
      <c r="I620" s="200"/>
      <c r="J620" s="213"/>
      <c r="K620" s="213"/>
      <c r="L620" s="200"/>
      <c r="M620" s="200"/>
      <c r="N620" s="213"/>
      <c r="O620" s="213"/>
      <c r="P620" s="200"/>
      <c r="Q620" s="200"/>
      <c r="R620" s="200"/>
      <c r="T620" s="154"/>
      <c r="V620" s="200"/>
      <c r="Y620" s="200"/>
      <c r="Z620" s="213"/>
      <c r="AA620" s="200"/>
      <c r="AB620" s="200"/>
      <c r="AC620" s="213"/>
      <c r="AD620" s="213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F621" s="200"/>
      <c r="H621" s="200"/>
      <c r="I621" s="200"/>
      <c r="J621" s="213"/>
      <c r="K621" s="213"/>
      <c r="L621" s="200"/>
      <c r="M621" s="200"/>
      <c r="N621" s="213"/>
      <c r="O621" s="213"/>
      <c r="P621" s="200"/>
      <c r="Q621" s="200"/>
      <c r="R621" s="200"/>
      <c r="V621" s="200"/>
      <c r="Y621" s="200"/>
      <c r="Z621" s="213"/>
      <c r="AA621" s="200"/>
      <c r="AB621" s="200"/>
      <c r="AC621" s="213"/>
      <c r="AD621" s="213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A622" s="202"/>
      <c r="C622" s="154"/>
      <c r="D622" s="154"/>
      <c r="E622" s="154"/>
      <c r="F622" s="200"/>
      <c r="H622" s="200"/>
      <c r="I622" s="200"/>
      <c r="J622" s="213"/>
      <c r="K622" s="213"/>
      <c r="L622" s="200"/>
      <c r="M622" s="200"/>
      <c r="N622" s="213"/>
      <c r="O622" s="213"/>
      <c r="P622" s="200"/>
      <c r="Q622" s="200"/>
      <c r="R622" s="200"/>
      <c r="T622" s="154"/>
      <c r="U622" s="154"/>
      <c r="V622" s="200"/>
      <c r="Y622" s="200"/>
      <c r="Z622" s="213"/>
      <c r="AA622" s="200"/>
      <c r="AB622" s="200"/>
      <c r="AC622" s="213"/>
      <c r="AD622" s="213"/>
      <c r="AE622" s="200"/>
      <c r="AF622" s="200"/>
      <c r="AG622" s="209"/>
      <c r="AH622" s="201"/>
      <c r="AI622" s="200"/>
      <c r="AJ622" s="200"/>
      <c r="AK622" s="209"/>
      <c r="AL622" s="200"/>
      <c r="AM622" s="210"/>
      <c r="AN622" s="210"/>
    </row>
    <row r="623" spans="1:40" x14ac:dyDescent="0.25">
      <c r="F623" s="200"/>
      <c r="H623" s="211"/>
      <c r="I623" s="211"/>
      <c r="J623" s="305"/>
      <c r="K623" s="305"/>
      <c r="L623" s="211"/>
      <c r="M623" s="211"/>
      <c r="N623" s="211"/>
      <c r="O623" s="211"/>
      <c r="P623" s="211"/>
      <c r="Q623" s="211"/>
      <c r="R623" s="211"/>
      <c r="V623" s="211"/>
      <c r="Y623" s="211"/>
      <c r="Z623" s="305"/>
      <c r="AA623" s="211"/>
      <c r="AB623" s="211"/>
      <c r="AC623" s="211"/>
      <c r="AD623" s="211"/>
      <c r="AE623" s="211"/>
      <c r="AF623" s="211"/>
      <c r="AI623" s="211"/>
      <c r="AJ623" s="211"/>
      <c r="AK623" s="212"/>
      <c r="AL623" s="211"/>
      <c r="AM623" s="210"/>
      <c r="AN623" s="210"/>
    </row>
    <row r="624" spans="1:40" x14ac:dyDescent="0.25">
      <c r="A624" s="202"/>
      <c r="C624" s="154"/>
      <c r="F624" s="211"/>
      <c r="H624" s="200"/>
      <c r="I624" s="200"/>
      <c r="J624" s="213"/>
      <c r="K624" s="213"/>
      <c r="L624" s="200"/>
      <c r="M624" s="200"/>
      <c r="N624" s="213"/>
      <c r="O624" s="213"/>
      <c r="P624" s="200"/>
      <c r="Q624" s="200"/>
      <c r="R624" s="200"/>
      <c r="T624" s="154"/>
      <c r="V624" s="200"/>
      <c r="Y624" s="200"/>
      <c r="Z624" s="213"/>
      <c r="AA624" s="200"/>
      <c r="AB624" s="200"/>
      <c r="AC624" s="213"/>
      <c r="AD624" s="213"/>
      <c r="AE624" s="200"/>
      <c r="AF624" s="200"/>
      <c r="AG624" s="209"/>
      <c r="AH624" s="201"/>
      <c r="AI624" s="200"/>
      <c r="AJ624" s="200"/>
      <c r="AK624" s="209"/>
      <c r="AL624" s="200"/>
      <c r="AM624" s="210"/>
      <c r="AN624" s="210"/>
    </row>
    <row r="625" spans="1:40" x14ac:dyDescent="0.25">
      <c r="F625" s="200"/>
      <c r="H625" s="200"/>
      <c r="I625" s="200"/>
      <c r="J625" s="213"/>
      <c r="K625" s="213"/>
      <c r="L625" s="200"/>
      <c r="M625" s="200"/>
      <c r="N625" s="213"/>
      <c r="O625" s="213"/>
      <c r="P625" s="200"/>
      <c r="Q625" s="200"/>
      <c r="R625" s="200"/>
      <c r="V625" s="200"/>
      <c r="Y625" s="200"/>
      <c r="Z625" s="213"/>
      <c r="AA625" s="200"/>
      <c r="AB625" s="200"/>
      <c r="AC625" s="213"/>
      <c r="AD625" s="213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A626" s="202"/>
      <c r="C626" s="154"/>
      <c r="D626" s="154"/>
      <c r="E626" s="154"/>
      <c r="F626" s="200"/>
      <c r="H626" s="200"/>
      <c r="I626" s="200"/>
      <c r="J626" s="213"/>
      <c r="K626" s="213"/>
      <c r="L626" s="200"/>
      <c r="M626" s="200"/>
      <c r="N626" s="213"/>
      <c r="O626" s="213"/>
      <c r="P626" s="200"/>
      <c r="Q626" s="200"/>
      <c r="R626" s="200"/>
      <c r="T626" s="154"/>
      <c r="U626" s="154"/>
      <c r="V626" s="200"/>
      <c r="Y626" s="200"/>
      <c r="Z626" s="213"/>
      <c r="AA626" s="200"/>
      <c r="AB626" s="200"/>
      <c r="AC626" s="213"/>
      <c r="AD626" s="213"/>
      <c r="AE626" s="200"/>
      <c r="AF626" s="200"/>
      <c r="AG626" s="209"/>
      <c r="AH626" s="201"/>
      <c r="AI626" s="200"/>
      <c r="AJ626" s="200"/>
      <c r="AK626" s="209"/>
      <c r="AL626" s="200"/>
      <c r="AM626" s="210"/>
      <c r="AN626" s="210"/>
    </row>
    <row r="627" spans="1:40" x14ac:dyDescent="0.25">
      <c r="A627" s="202"/>
      <c r="C627" s="154"/>
      <c r="D627" s="154"/>
      <c r="E627" s="154"/>
      <c r="F627" s="200"/>
      <c r="G627" s="200"/>
      <c r="H627" s="200"/>
      <c r="I627" s="200"/>
      <c r="J627" s="213"/>
      <c r="K627" s="213"/>
      <c r="L627" s="200"/>
      <c r="M627" s="200"/>
      <c r="N627" s="213"/>
      <c r="O627" s="213"/>
      <c r="P627" s="200"/>
      <c r="Q627" s="200"/>
      <c r="R627" s="200"/>
      <c r="T627" s="154"/>
      <c r="U627" s="154"/>
      <c r="V627" s="200"/>
      <c r="W627" s="200"/>
      <c r="X627" s="200"/>
      <c r="Y627" s="200"/>
      <c r="Z627" s="213"/>
      <c r="AA627" s="200"/>
      <c r="AB627" s="200"/>
      <c r="AC627" s="213"/>
      <c r="AD627" s="213"/>
      <c r="AE627" s="200"/>
      <c r="AF627" s="200"/>
      <c r="AG627" s="209"/>
      <c r="AH627" s="201"/>
      <c r="AI627" s="200"/>
      <c r="AJ627" s="200"/>
      <c r="AK627" s="209"/>
      <c r="AL627" s="200"/>
      <c r="AM627" s="210"/>
      <c r="AN627" s="210"/>
    </row>
    <row r="628" spans="1:40" x14ac:dyDescent="0.25">
      <c r="A628" s="202"/>
      <c r="C628" s="154"/>
      <c r="D628" s="154"/>
      <c r="E628" s="154"/>
      <c r="F628" s="200"/>
      <c r="G628" s="200"/>
      <c r="H628" s="200"/>
      <c r="I628" s="200"/>
      <c r="J628" s="213"/>
      <c r="K628" s="213"/>
      <c r="L628" s="200"/>
      <c r="M628" s="200"/>
      <c r="N628" s="213"/>
      <c r="O628" s="213"/>
      <c r="P628" s="200"/>
      <c r="Q628" s="200"/>
      <c r="R628" s="200"/>
      <c r="T628" s="154"/>
      <c r="U628" s="154"/>
      <c r="V628" s="200"/>
      <c r="W628" s="200"/>
      <c r="X628" s="200"/>
      <c r="Y628" s="200"/>
      <c r="Z628" s="213"/>
      <c r="AA628" s="200"/>
      <c r="AB628" s="200"/>
      <c r="AC628" s="213"/>
      <c r="AD628" s="213"/>
      <c r="AE628" s="200"/>
      <c r="AF628" s="200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A629" s="202"/>
      <c r="C629" s="154"/>
      <c r="D629" s="154"/>
      <c r="E629" s="154"/>
      <c r="F629" s="200"/>
      <c r="H629" s="200"/>
      <c r="I629" s="200"/>
      <c r="J629" s="213"/>
      <c r="K629" s="213"/>
      <c r="L629" s="200"/>
      <c r="M629" s="200"/>
      <c r="N629" s="213"/>
      <c r="O629" s="213"/>
      <c r="P629" s="200"/>
      <c r="Q629" s="200"/>
      <c r="R629" s="200"/>
      <c r="T629" s="154"/>
      <c r="U629" s="154"/>
      <c r="V629" s="200"/>
      <c r="Y629" s="200"/>
      <c r="Z629" s="213"/>
      <c r="AA629" s="200"/>
      <c r="AB629" s="200"/>
      <c r="AC629" s="213"/>
      <c r="AD629" s="213"/>
      <c r="AE629" s="200"/>
      <c r="AF629" s="200"/>
      <c r="AG629" s="209"/>
      <c r="AH629" s="201"/>
      <c r="AI629" s="200"/>
      <c r="AJ629" s="200"/>
      <c r="AK629" s="209"/>
      <c r="AL629" s="200"/>
      <c r="AM629" s="210"/>
      <c r="AN629" s="210"/>
    </row>
    <row r="630" spans="1:40" x14ac:dyDescent="0.25">
      <c r="A630" s="202"/>
      <c r="C630" s="154"/>
      <c r="D630" s="154"/>
      <c r="E630" s="154"/>
      <c r="F630" s="200"/>
      <c r="H630" s="200"/>
      <c r="I630" s="200"/>
      <c r="J630" s="213"/>
      <c r="K630" s="213"/>
      <c r="L630" s="200"/>
      <c r="M630" s="200"/>
      <c r="N630" s="213"/>
      <c r="O630" s="213"/>
      <c r="P630" s="200"/>
      <c r="Q630" s="200"/>
      <c r="R630" s="200"/>
      <c r="T630" s="154"/>
      <c r="U630" s="154"/>
      <c r="V630" s="200"/>
      <c r="Y630" s="200"/>
      <c r="Z630" s="213"/>
      <c r="AA630" s="200"/>
      <c r="AB630" s="200"/>
      <c r="AC630" s="213"/>
      <c r="AD630" s="213"/>
      <c r="AE630" s="200"/>
      <c r="AF630" s="200"/>
      <c r="AG630" s="209"/>
      <c r="AH630" s="201"/>
      <c r="AI630" s="200"/>
      <c r="AJ630" s="200"/>
      <c r="AK630" s="209"/>
      <c r="AL630" s="200"/>
      <c r="AM630" s="210"/>
      <c r="AN630" s="210"/>
    </row>
    <row r="631" spans="1:40" x14ac:dyDescent="0.25">
      <c r="A631" s="202"/>
      <c r="C631" s="154"/>
      <c r="D631" s="154"/>
      <c r="E631" s="154"/>
      <c r="F631" s="200"/>
      <c r="H631" s="200"/>
      <c r="I631" s="200"/>
      <c r="J631" s="213"/>
      <c r="K631" s="213"/>
      <c r="L631" s="200"/>
      <c r="M631" s="200"/>
      <c r="N631" s="213"/>
      <c r="O631" s="213"/>
      <c r="P631" s="200"/>
      <c r="Q631" s="200"/>
      <c r="R631" s="200"/>
      <c r="T631" s="154"/>
      <c r="U631" s="154"/>
      <c r="V631" s="200"/>
      <c r="Y631" s="200"/>
      <c r="Z631" s="213"/>
      <c r="AA631" s="200"/>
      <c r="AB631" s="200"/>
      <c r="AC631" s="213"/>
      <c r="AD631" s="213"/>
      <c r="AE631" s="200"/>
      <c r="AF631" s="200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A632" s="202"/>
      <c r="C632" s="154"/>
      <c r="D632" s="154"/>
      <c r="E632" s="154"/>
      <c r="F632" s="200"/>
      <c r="H632" s="200"/>
      <c r="I632" s="200"/>
      <c r="J632" s="213"/>
      <c r="K632" s="213"/>
      <c r="L632" s="200"/>
      <c r="M632" s="200"/>
      <c r="N632" s="213"/>
      <c r="O632" s="213"/>
      <c r="P632" s="200"/>
      <c r="Q632" s="200"/>
      <c r="R632" s="200"/>
      <c r="T632" s="154"/>
      <c r="U632" s="154"/>
      <c r="V632" s="200"/>
      <c r="Y632" s="200"/>
      <c r="Z632" s="213"/>
      <c r="AA632" s="200"/>
      <c r="AB632" s="200"/>
      <c r="AC632" s="213"/>
      <c r="AD632" s="213"/>
      <c r="AE632" s="200"/>
      <c r="AF632" s="200"/>
      <c r="AG632" s="209"/>
      <c r="AH632" s="201"/>
      <c r="AI632" s="200"/>
      <c r="AJ632" s="200"/>
      <c r="AK632" s="209"/>
      <c r="AL632" s="200"/>
      <c r="AM632" s="210"/>
      <c r="AN632" s="210"/>
    </row>
    <row r="633" spans="1:40" x14ac:dyDescent="0.25">
      <c r="F633" s="200"/>
      <c r="H633" s="211"/>
      <c r="I633" s="211"/>
      <c r="J633" s="305"/>
      <c r="K633" s="305"/>
      <c r="L633" s="211"/>
      <c r="M633" s="211"/>
      <c r="N633" s="211"/>
      <c r="O633" s="211"/>
      <c r="P633" s="211"/>
      <c r="Q633" s="211"/>
      <c r="R633" s="211"/>
      <c r="V633" s="211"/>
      <c r="Y633" s="211"/>
      <c r="Z633" s="305"/>
      <c r="AA633" s="211"/>
      <c r="AB633" s="211"/>
      <c r="AC633" s="211"/>
      <c r="AD633" s="211"/>
      <c r="AE633" s="211"/>
      <c r="AF633" s="211"/>
      <c r="AI633" s="211"/>
      <c r="AJ633" s="211"/>
      <c r="AK633" s="212"/>
      <c r="AL633" s="211"/>
      <c r="AM633" s="210"/>
      <c r="AN633" s="210"/>
    </row>
    <row r="634" spans="1:40" x14ac:dyDescent="0.25">
      <c r="A634" s="202"/>
      <c r="C634" s="154"/>
      <c r="F634" s="211"/>
      <c r="H634" s="200"/>
      <c r="I634" s="200"/>
      <c r="J634" s="213"/>
      <c r="K634" s="213"/>
      <c r="L634" s="200"/>
      <c r="M634" s="200"/>
      <c r="N634" s="213"/>
      <c r="O634" s="213"/>
      <c r="P634" s="200"/>
      <c r="Q634" s="200"/>
      <c r="R634" s="200"/>
      <c r="T634" s="154"/>
      <c r="V634" s="200"/>
      <c r="Y634" s="200"/>
      <c r="Z634" s="213"/>
      <c r="AA634" s="200"/>
      <c r="AB634" s="200"/>
      <c r="AC634" s="213"/>
      <c r="AD634" s="213"/>
      <c r="AE634" s="200"/>
      <c r="AF634" s="200"/>
      <c r="AG634" s="209"/>
      <c r="AH634" s="201"/>
      <c r="AI634" s="200"/>
      <c r="AJ634" s="200"/>
      <c r="AK634" s="209"/>
      <c r="AL634" s="200"/>
      <c r="AM634" s="210"/>
      <c r="AN634" s="210"/>
    </row>
    <row r="635" spans="1:40" x14ac:dyDescent="0.25">
      <c r="F635" s="200"/>
      <c r="V635" s="200"/>
      <c r="Y635" s="200"/>
      <c r="Z635" s="305"/>
      <c r="AA635" s="200"/>
      <c r="AB635" s="200"/>
      <c r="AC635" s="200"/>
      <c r="AD635" s="200"/>
      <c r="AE635" s="200"/>
      <c r="AF635" s="200"/>
      <c r="AI635" s="200"/>
      <c r="AJ635" s="200"/>
      <c r="AK635" s="209"/>
      <c r="AL635" s="200"/>
      <c r="AM635" s="210"/>
      <c r="AN635" s="210"/>
    </row>
    <row r="636" spans="1:40" x14ac:dyDescent="0.25">
      <c r="A636" s="202"/>
      <c r="C636" s="154"/>
      <c r="D636" s="154"/>
      <c r="E636" s="154"/>
      <c r="L636" s="200"/>
      <c r="M636" s="200"/>
      <c r="N636" s="213"/>
      <c r="O636" s="213"/>
      <c r="P636" s="202"/>
      <c r="Q636" s="202"/>
      <c r="R636" s="200"/>
      <c r="T636" s="154"/>
      <c r="U636" s="154"/>
      <c r="AA636" s="200"/>
      <c r="AB636" s="200"/>
      <c r="AC636" s="213"/>
      <c r="AD636" s="213"/>
      <c r="AE636" s="200"/>
      <c r="AF636" s="200"/>
      <c r="AG636" s="209"/>
      <c r="AH636" s="201"/>
      <c r="AI636" s="202"/>
      <c r="AJ636" s="202"/>
      <c r="AK636" s="209"/>
      <c r="AL636" s="200"/>
      <c r="AM636" s="210"/>
      <c r="AN636" s="210"/>
    </row>
    <row r="637" spans="1:40" x14ac:dyDescent="0.25">
      <c r="A637" s="202"/>
      <c r="D637" s="154"/>
      <c r="E637" s="154"/>
      <c r="H637" s="252"/>
      <c r="I637" s="252"/>
      <c r="J637" s="213"/>
      <c r="K637" s="213"/>
      <c r="L637" s="200"/>
      <c r="M637" s="200"/>
      <c r="N637" s="213"/>
      <c r="O637" s="213"/>
      <c r="P637" s="252"/>
      <c r="Q637" s="252"/>
      <c r="R637" s="200"/>
      <c r="U637" s="154"/>
      <c r="V637" s="200"/>
      <c r="Y637" s="200"/>
      <c r="Z637" s="213"/>
      <c r="AA637" s="200"/>
      <c r="AB637" s="200"/>
      <c r="AC637" s="213"/>
      <c r="AD637" s="213"/>
      <c r="AE637" s="200"/>
      <c r="AF637" s="200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F638" s="252"/>
      <c r="H638" s="211"/>
      <c r="I638" s="211"/>
      <c r="J638" s="305"/>
      <c r="K638" s="305"/>
      <c r="L638" s="211"/>
      <c r="M638" s="211"/>
      <c r="N638" s="211"/>
      <c r="O638" s="211"/>
      <c r="P638" s="211"/>
      <c r="Q638" s="211"/>
      <c r="R638" s="211"/>
      <c r="V638" s="211"/>
      <c r="Y638" s="211"/>
      <c r="Z638" s="305"/>
      <c r="AA638" s="211"/>
      <c r="AB638" s="211"/>
      <c r="AC638" s="211"/>
      <c r="AD638" s="211"/>
      <c r="AE638" s="211"/>
      <c r="AF638" s="211"/>
      <c r="AI638" s="211"/>
      <c r="AJ638" s="211"/>
      <c r="AK638" s="212"/>
      <c r="AL638" s="211"/>
      <c r="AM638" s="210"/>
      <c r="AN638" s="210"/>
    </row>
    <row r="639" spans="1:40" x14ac:dyDescent="0.25">
      <c r="A639" s="202"/>
      <c r="C639" s="154"/>
      <c r="F639" s="211"/>
      <c r="H639" s="200"/>
      <c r="I639" s="200"/>
      <c r="J639" s="213"/>
      <c r="K639" s="213"/>
      <c r="L639" s="200"/>
      <c r="M639" s="200"/>
      <c r="N639" s="213"/>
      <c r="O639" s="213"/>
      <c r="P639" s="200"/>
      <c r="Q639" s="200"/>
      <c r="R639" s="200"/>
      <c r="T639" s="154"/>
      <c r="V639" s="200"/>
      <c r="Y639" s="200"/>
      <c r="Z639" s="213"/>
      <c r="AA639" s="200"/>
      <c r="AB639" s="200"/>
      <c r="AC639" s="213"/>
      <c r="AD639" s="213"/>
      <c r="AE639" s="200"/>
      <c r="AF639" s="200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F640" s="200"/>
      <c r="H640" s="200"/>
      <c r="I640" s="200"/>
      <c r="J640" s="213"/>
      <c r="K640" s="213"/>
      <c r="L640" s="200"/>
      <c r="M640" s="200"/>
      <c r="N640" s="213"/>
      <c r="O640" s="213"/>
      <c r="P640" s="200"/>
      <c r="Q640" s="200"/>
      <c r="R640" s="200"/>
      <c r="V640" s="200"/>
      <c r="Y640" s="200"/>
      <c r="Z640" s="213"/>
      <c r="AA640" s="200"/>
      <c r="AB640" s="200"/>
      <c r="AC640" s="213"/>
      <c r="AD640" s="213"/>
      <c r="AG640" s="209"/>
      <c r="AH640" s="201"/>
      <c r="AI640" s="200"/>
      <c r="AJ640" s="200"/>
      <c r="AK640" s="209"/>
      <c r="AL640" s="200"/>
      <c r="AM640" s="210"/>
      <c r="AN640" s="210"/>
    </row>
    <row r="641" spans="1:40" x14ac:dyDescent="0.25">
      <c r="A641" s="202"/>
      <c r="D641" s="154"/>
      <c r="E641" s="154"/>
      <c r="F641" s="200"/>
      <c r="H641" s="200"/>
      <c r="I641" s="200"/>
      <c r="J641" s="213"/>
      <c r="K641" s="213"/>
      <c r="L641" s="252"/>
      <c r="M641" s="252"/>
      <c r="N641" s="213"/>
      <c r="O641" s="213"/>
      <c r="P641" s="200"/>
      <c r="Q641" s="200"/>
      <c r="R641" s="200"/>
      <c r="U641" s="154"/>
      <c r="V641" s="200"/>
      <c r="Y641" s="200"/>
      <c r="Z641" s="213"/>
      <c r="AA641" s="252"/>
      <c r="AB641" s="252"/>
      <c r="AC641" s="213"/>
      <c r="AD641" s="213"/>
      <c r="AE641" s="200"/>
      <c r="AF641" s="200"/>
      <c r="AG641" s="209"/>
      <c r="AH641" s="201"/>
      <c r="AI641" s="200"/>
      <c r="AJ641" s="200"/>
      <c r="AK641" s="209"/>
      <c r="AL641" s="200"/>
      <c r="AM641" s="210"/>
      <c r="AN641" s="210"/>
    </row>
    <row r="642" spans="1:40" x14ac:dyDescent="0.25">
      <c r="A642" s="202"/>
      <c r="D642" s="154"/>
      <c r="E642" s="154"/>
      <c r="F642" s="200"/>
      <c r="H642" s="200"/>
      <c r="I642" s="200"/>
      <c r="J642" s="213"/>
      <c r="K642" s="213"/>
      <c r="L642" s="252"/>
      <c r="M642" s="252"/>
      <c r="N642" s="213"/>
      <c r="O642" s="213"/>
      <c r="P642" s="200"/>
      <c r="Q642" s="200"/>
      <c r="R642" s="200"/>
      <c r="U642" s="154"/>
      <c r="V642" s="200"/>
      <c r="Y642" s="200"/>
      <c r="Z642" s="213"/>
      <c r="AA642" s="252"/>
      <c r="AB642" s="252"/>
      <c r="AC642" s="213"/>
      <c r="AD642" s="213"/>
      <c r="AE642" s="200"/>
      <c r="AF642" s="200"/>
      <c r="AG642" s="209"/>
      <c r="AH642" s="201"/>
      <c r="AI642" s="200"/>
      <c r="AJ642" s="200"/>
      <c r="AK642" s="209"/>
      <c r="AL642" s="200"/>
      <c r="AM642" s="210"/>
      <c r="AN642" s="210"/>
    </row>
    <row r="643" spans="1:40" x14ac:dyDescent="0.25">
      <c r="A643" s="202"/>
      <c r="D643" s="154"/>
      <c r="E643" s="154"/>
      <c r="F643" s="200"/>
      <c r="H643" s="200"/>
      <c r="I643" s="200"/>
      <c r="J643" s="213"/>
      <c r="K643" s="213"/>
      <c r="L643" s="252"/>
      <c r="M643" s="252"/>
      <c r="N643" s="213"/>
      <c r="O643" s="213"/>
      <c r="P643" s="200"/>
      <c r="Q643" s="200"/>
      <c r="R643" s="200"/>
      <c r="U643" s="154"/>
      <c r="V643" s="200"/>
      <c r="Y643" s="200"/>
      <c r="Z643" s="213"/>
      <c r="AA643" s="252"/>
      <c r="AB643" s="252"/>
      <c r="AC643" s="213"/>
      <c r="AD643" s="213"/>
      <c r="AE643" s="200"/>
      <c r="AF643" s="200"/>
      <c r="AG643" s="209"/>
      <c r="AH643" s="201"/>
      <c r="AI643" s="200"/>
      <c r="AJ643" s="200"/>
      <c r="AK643" s="209"/>
      <c r="AL643" s="200"/>
      <c r="AM643" s="210"/>
      <c r="AN643" s="210"/>
    </row>
    <row r="644" spans="1:40" x14ac:dyDescent="0.25">
      <c r="F644" s="200"/>
      <c r="H644" s="211"/>
      <c r="I644" s="211"/>
      <c r="J644" s="305"/>
      <c r="K644" s="305"/>
      <c r="L644" s="211"/>
      <c r="M644" s="211"/>
      <c r="N644" s="211"/>
      <c r="O644" s="211"/>
      <c r="P644" s="211"/>
      <c r="Q644" s="211"/>
      <c r="R644" s="211"/>
      <c r="V644" s="211"/>
      <c r="Y644" s="211"/>
      <c r="Z644" s="305"/>
      <c r="AA644" s="211"/>
      <c r="AB644" s="211"/>
      <c r="AC644" s="211"/>
      <c r="AD644" s="211"/>
      <c r="AE644" s="211"/>
      <c r="AF644" s="211"/>
      <c r="AI644" s="211"/>
      <c r="AJ644" s="211"/>
      <c r="AK644" s="212"/>
      <c r="AL644" s="211"/>
      <c r="AM644" s="210"/>
      <c r="AN644" s="210"/>
    </row>
    <row r="645" spans="1:40" x14ac:dyDescent="0.25">
      <c r="A645" s="202"/>
      <c r="C645" s="154"/>
      <c r="F645" s="211"/>
      <c r="H645" s="200"/>
      <c r="I645" s="200"/>
      <c r="J645" s="213"/>
      <c r="K645" s="213"/>
      <c r="L645" s="200"/>
      <c r="M645" s="200"/>
      <c r="N645" s="213"/>
      <c r="O645" s="213"/>
      <c r="P645" s="200"/>
      <c r="Q645" s="200"/>
      <c r="R645" s="200"/>
      <c r="T645" s="154"/>
      <c r="V645" s="200"/>
      <c r="Y645" s="200"/>
      <c r="Z645" s="213"/>
      <c r="AA645" s="200"/>
      <c r="AB645" s="200"/>
      <c r="AC645" s="213"/>
      <c r="AD645" s="213"/>
      <c r="AE645" s="200"/>
      <c r="AF645" s="200"/>
      <c r="AG645" s="209"/>
      <c r="AH645" s="201"/>
      <c r="AI645" s="200"/>
      <c r="AJ645" s="200"/>
      <c r="AK645" s="209"/>
      <c r="AL645" s="200"/>
      <c r="AM645" s="210"/>
      <c r="AN645" s="210"/>
    </row>
    <row r="646" spans="1:40" x14ac:dyDescent="0.25">
      <c r="F646" s="200"/>
      <c r="H646" s="200"/>
      <c r="I646" s="200"/>
      <c r="J646" s="213"/>
      <c r="K646" s="213"/>
      <c r="L646" s="200"/>
      <c r="M646" s="200"/>
      <c r="N646" s="213"/>
      <c r="O646" s="213"/>
      <c r="P646" s="200"/>
      <c r="Q646" s="200"/>
      <c r="R646" s="200"/>
      <c r="V646" s="200"/>
      <c r="Y646" s="200"/>
      <c r="Z646" s="213"/>
      <c r="AA646" s="200"/>
      <c r="AB646" s="200"/>
      <c r="AC646" s="213"/>
      <c r="AD646" s="213"/>
      <c r="AG646" s="209"/>
      <c r="AH646" s="201"/>
      <c r="AI646" s="200"/>
      <c r="AJ646" s="200"/>
      <c r="AK646" s="209"/>
      <c r="AL646" s="200"/>
      <c r="AM646" s="210"/>
      <c r="AN646" s="210"/>
    </row>
    <row r="647" spans="1:40" x14ac:dyDescent="0.25">
      <c r="A647" s="202"/>
      <c r="C647" s="154"/>
      <c r="F647" s="200"/>
      <c r="H647" s="200"/>
      <c r="I647" s="200"/>
      <c r="J647" s="213"/>
      <c r="K647" s="213"/>
      <c r="L647" s="200"/>
      <c r="M647" s="200"/>
      <c r="N647" s="213"/>
      <c r="O647" s="213"/>
      <c r="P647" s="200"/>
      <c r="Q647" s="200"/>
      <c r="R647" s="200"/>
      <c r="T647" s="154"/>
      <c r="V647" s="200"/>
      <c r="Y647" s="200"/>
      <c r="Z647" s="213"/>
      <c r="AA647" s="200"/>
      <c r="AB647" s="200"/>
      <c r="AC647" s="213"/>
      <c r="AD647" s="213"/>
      <c r="AE647" s="200"/>
      <c r="AF647" s="200"/>
      <c r="AG647" s="209"/>
      <c r="AH647" s="201"/>
      <c r="AI647" s="200"/>
      <c r="AJ647" s="200"/>
      <c r="AK647" s="209"/>
      <c r="AL647" s="200"/>
      <c r="AM647" s="210"/>
      <c r="AN647" s="210"/>
    </row>
    <row r="648" spans="1:40" x14ac:dyDescent="0.25">
      <c r="F648" s="200"/>
      <c r="H648" s="211"/>
      <c r="I648" s="211"/>
      <c r="J648" s="305"/>
      <c r="K648" s="305"/>
      <c r="L648" s="211"/>
      <c r="M648" s="211"/>
      <c r="N648" s="211"/>
      <c r="O648" s="211"/>
      <c r="P648" s="211"/>
      <c r="Q648" s="211"/>
      <c r="R648" s="211"/>
      <c r="V648" s="211"/>
      <c r="Y648" s="211"/>
      <c r="Z648" s="305"/>
      <c r="AA648" s="211"/>
      <c r="AB648" s="211"/>
      <c r="AC648" s="211"/>
      <c r="AD648" s="211"/>
      <c r="AE648" s="211"/>
      <c r="AF648" s="211"/>
      <c r="AI648" s="211"/>
      <c r="AJ648" s="211"/>
      <c r="AK648" s="212"/>
      <c r="AL648" s="211"/>
    </row>
    <row r="650" spans="1:40" x14ac:dyDescent="0.25">
      <c r="C650" s="154"/>
      <c r="F650" s="211"/>
      <c r="L650" s="200"/>
      <c r="M650" s="200"/>
      <c r="P650" s="200"/>
      <c r="Q650" s="200"/>
      <c r="R650" s="200"/>
      <c r="T650" s="154"/>
    </row>
    <row r="651" spans="1:40" x14ac:dyDescent="0.25">
      <c r="A651" s="154"/>
      <c r="L651" s="200"/>
      <c r="M651" s="200"/>
      <c r="P651" s="200"/>
      <c r="Q651" s="200"/>
      <c r="R651" s="200"/>
    </row>
    <row r="652" spans="1:40" x14ac:dyDescent="0.25">
      <c r="L652" s="200"/>
      <c r="M652" s="200"/>
      <c r="P652" s="200"/>
      <c r="Q652" s="200"/>
      <c r="R652" s="200"/>
    </row>
    <row r="653" spans="1:40" x14ac:dyDescent="0.25">
      <c r="L653" s="200"/>
      <c r="M653" s="200"/>
      <c r="P653" s="200"/>
      <c r="Q653" s="200"/>
      <c r="R653" s="200"/>
    </row>
    <row r="654" spans="1:40" x14ac:dyDescent="0.25">
      <c r="L654" s="200"/>
      <c r="M654" s="200"/>
      <c r="P654" s="200"/>
      <c r="Q654" s="200"/>
      <c r="R654" s="200"/>
    </row>
    <row r="655" spans="1:40" x14ac:dyDescent="0.25">
      <c r="L655" s="200"/>
      <c r="M655" s="200"/>
      <c r="P655" s="200"/>
      <c r="Q655" s="200"/>
      <c r="R655" s="200"/>
    </row>
    <row r="656" spans="1:40" x14ac:dyDescent="0.25">
      <c r="L656" s="200"/>
      <c r="M656" s="200"/>
      <c r="P656" s="200"/>
      <c r="Q656" s="200"/>
      <c r="R656" s="200"/>
    </row>
    <row r="689" spans="49:49" x14ac:dyDescent="0.25">
      <c r="AW689" s="200"/>
    </row>
    <row r="690" spans="49:49" x14ac:dyDescent="0.25">
      <c r="AW690" s="200"/>
    </row>
    <row r="691" spans="49:49" x14ac:dyDescent="0.25">
      <c r="AW691" s="200"/>
    </row>
    <row r="692" spans="49:49" x14ac:dyDescent="0.25">
      <c r="AW692" s="200"/>
    </row>
    <row r="693" spans="49:49" x14ac:dyDescent="0.25">
      <c r="AW693" s="200"/>
    </row>
    <row r="694" spans="49:49" x14ac:dyDescent="0.25">
      <c r="AW694" s="200"/>
    </row>
    <row r="697" spans="49:49" x14ac:dyDescent="0.25">
      <c r="AW697" s="200"/>
    </row>
    <row r="698" spans="49:49" x14ac:dyDescent="0.25">
      <c r="AW698" s="200"/>
    </row>
    <row r="699" spans="49:49" x14ac:dyDescent="0.25">
      <c r="AW699" s="200"/>
    </row>
    <row r="700" spans="49:49" x14ac:dyDescent="0.25">
      <c r="AW700" s="200"/>
    </row>
    <row r="701" spans="49:49" x14ac:dyDescent="0.25">
      <c r="AW701" s="200"/>
    </row>
    <row r="702" spans="49:49" x14ac:dyDescent="0.25">
      <c r="AW702" s="200"/>
    </row>
    <row r="703" spans="49:49" x14ac:dyDescent="0.25">
      <c r="AW703" s="200"/>
    </row>
    <row r="704" spans="49:49" x14ac:dyDescent="0.25">
      <c r="AW704" s="200"/>
    </row>
    <row r="707" spans="49:51" x14ac:dyDescent="0.25">
      <c r="AW707" s="200"/>
    </row>
    <row r="708" spans="49:51" x14ac:dyDescent="0.25">
      <c r="AW708" s="200"/>
    </row>
    <row r="711" spans="49:51" x14ac:dyDescent="0.25">
      <c r="AW711" s="200"/>
    </row>
    <row r="712" spans="49:51" x14ac:dyDescent="0.25">
      <c r="AW712" s="200"/>
    </row>
    <row r="713" spans="49:51" x14ac:dyDescent="0.25">
      <c r="AW713" s="200"/>
    </row>
    <row r="714" spans="49:51" x14ac:dyDescent="0.25">
      <c r="AW714" s="200"/>
    </row>
    <row r="720" spans="49:51" x14ac:dyDescent="0.25">
      <c r="AY720" s="202"/>
    </row>
    <row r="721" spans="45:69" x14ac:dyDescent="0.25">
      <c r="AY721" s="202"/>
    </row>
    <row r="722" spans="45:69" x14ac:dyDescent="0.25">
      <c r="AY722" s="154"/>
    </row>
    <row r="723" spans="45:69" x14ac:dyDescent="0.25">
      <c r="AY723" s="154"/>
    </row>
    <row r="724" spans="45:69" x14ac:dyDescent="0.25">
      <c r="AS724" s="202"/>
      <c r="BD724" s="154"/>
    </row>
    <row r="725" spans="45:69" x14ac:dyDescent="0.25">
      <c r="AS725" s="202"/>
      <c r="BD725" s="154"/>
    </row>
    <row r="726" spans="45:69" x14ac:dyDescent="0.25">
      <c r="AS726" s="154"/>
      <c r="BD726" s="154"/>
    </row>
    <row r="727" spans="45:69" x14ac:dyDescent="0.25">
      <c r="BD727" s="202"/>
    </row>
    <row r="728" spans="45:69" x14ac:dyDescent="0.25"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</row>
    <row r="729" spans="45:69" x14ac:dyDescent="0.25">
      <c r="AX729" s="154"/>
    </row>
    <row r="730" spans="45:69" x14ac:dyDescent="0.25">
      <c r="AX730" s="102"/>
      <c r="AY730" s="102"/>
      <c r="AZ730" s="102"/>
      <c r="BA730" s="102"/>
      <c r="BC730" s="103"/>
      <c r="BD730" s="103"/>
    </row>
    <row r="731" spans="45:69" x14ac:dyDescent="0.25">
      <c r="AV731" s="103"/>
      <c r="AW731" s="103"/>
      <c r="AZ731" s="103"/>
      <c r="BA731" s="103"/>
      <c r="BC731" s="103"/>
      <c r="BD731" s="103"/>
      <c r="BE731" s="103"/>
      <c r="BG731" s="102"/>
      <c r="BH731" s="154"/>
      <c r="BK731" s="102"/>
      <c r="BM731" s="102"/>
      <c r="BN731" s="154"/>
      <c r="BQ731" s="102"/>
    </row>
    <row r="732" spans="45:69" x14ac:dyDescent="0.25"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H732" s="103"/>
      <c r="BI732" s="103"/>
      <c r="BJ732" s="103"/>
      <c r="BN732" s="103"/>
      <c r="BO732" s="103"/>
      <c r="BP732" s="103"/>
    </row>
    <row r="733" spans="45:69" x14ac:dyDescent="0.25">
      <c r="AS733" s="103"/>
      <c r="AU733" s="154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G733" s="103"/>
      <c r="BH733" s="103"/>
      <c r="BI733" s="103"/>
      <c r="BJ733" s="103"/>
      <c r="BK733" s="103"/>
      <c r="BM733" s="103"/>
      <c r="BN733" s="103"/>
      <c r="BO733" s="103"/>
      <c r="BP733" s="103"/>
      <c r="BQ733" s="103"/>
    </row>
    <row r="734" spans="45:69" x14ac:dyDescent="0.25">
      <c r="AS734" s="103"/>
      <c r="AU734" s="154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G734" s="103"/>
      <c r="BH734" s="103"/>
      <c r="BI734" s="103"/>
      <c r="BJ734" s="103"/>
      <c r="BK734" s="103"/>
      <c r="BM734" s="103"/>
      <c r="BN734" s="103"/>
      <c r="BO734" s="103"/>
      <c r="BP734" s="103"/>
      <c r="BQ734" s="103"/>
    </row>
    <row r="735" spans="45:69" x14ac:dyDescent="0.25"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G735" s="102"/>
      <c r="BH735" s="102"/>
      <c r="BI735" s="102"/>
      <c r="BJ735" s="102"/>
      <c r="BK735" s="102"/>
      <c r="BM735" s="102"/>
      <c r="BN735" s="102"/>
      <c r="BO735" s="102"/>
      <c r="BP735" s="102"/>
      <c r="BQ735" s="102"/>
    </row>
    <row r="736" spans="45:69" x14ac:dyDescent="0.25"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</row>
    <row r="737" spans="45:69" x14ac:dyDescent="0.25">
      <c r="AS737" s="202"/>
      <c r="AU737" s="154"/>
      <c r="AV737" s="103"/>
      <c r="AY737" s="213"/>
    </row>
    <row r="738" spans="45:69" x14ac:dyDescent="0.25">
      <c r="AS738" s="202"/>
      <c r="AV738" s="103"/>
      <c r="AW738" s="200"/>
      <c r="AX738" s="334"/>
      <c r="AY738" s="334"/>
      <c r="AZ738" s="334"/>
      <c r="BA738" s="210"/>
      <c r="BB738" s="334"/>
      <c r="BC738" s="213"/>
      <c r="BD738" s="213"/>
      <c r="BE738" s="210"/>
      <c r="BG738" s="334"/>
      <c r="BH738" s="334"/>
      <c r="BI738" s="334"/>
      <c r="BJ738" s="334"/>
      <c r="BK738" s="334"/>
      <c r="BM738" s="334"/>
      <c r="BN738" s="334"/>
      <c r="BO738" s="334"/>
      <c r="BP738" s="334"/>
      <c r="BQ738" s="334"/>
    </row>
    <row r="739" spans="45:69" x14ac:dyDescent="0.25">
      <c r="AS739" s="202"/>
      <c r="AV739" s="103"/>
      <c r="AW739" s="200"/>
      <c r="AX739" s="334"/>
      <c r="AY739" s="334"/>
      <c r="AZ739" s="334"/>
      <c r="BA739" s="210"/>
      <c r="BB739" s="334"/>
      <c r="BC739" s="213"/>
      <c r="BD739" s="213"/>
      <c r="BE739" s="210"/>
      <c r="BG739" s="334"/>
      <c r="BH739" s="334"/>
      <c r="BI739" s="334"/>
      <c r="BJ739" s="334"/>
      <c r="BK739" s="334"/>
      <c r="BM739" s="334"/>
      <c r="BN739" s="334"/>
      <c r="BO739" s="334"/>
      <c r="BP739" s="334"/>
      <c r="BQ739" s="334"/>
    </row>
    <row r="740" spans="45:69" x14ac:dyDescent="0.25">
      <c r="AS740" s="202"/>
      <c r="AV740" s="103"/>
      <c r="AW740" s="200"/>
      <c r="AX740" s="334"/>
      <c r="AY740" s="334"/>
      <c r="AZ740" s="334"/>
      <c r="BA740" s="210"/>
      <c r="BB740" s="334"/>
      <c r="BC740" s="213"/>
      <c r="BD740" s="213"/>
      <c r="BE740" s="210"/>
      <c r="BG740" s="334"/>
      <c r="BH740" s="334"/>
      <c r="BI740" s="334"/>
      <c r="BJ740" s="334"/>
      <c r="BK740" s="334"/>
      <c r="BM740" s="334"/>
      <c r="BN740" s="334"/>
      <c r="BO740" s="334"/>
      <c r="BP740" s="334"/>
      <c r="BQ740" s="334"/>
    </row>
    <row r="741" spans="45:69" x14ac:dyDescent="0.25">
      <c r="AS741" s="202"/>
      <c r="AV741" s="103"/>
      <c r="AW741" s="200"/>
      <c r="AX741" s="334"/>
      <c r="AY741" s="334"/>
      <c r="AZ741" s="334"/>
      <c r="BA741" s="210"/>
      <c r="BB741" s="334"/>
      <c r="BC741" s="213"/>
      <c r="BD741" s="213"/>
      <c r="BE741" s="210"/>
      <c r="BG741" s="334"/>
      <c r="BH741" s="334"/>
      <c r="BI741" s="334"/>
      <c r="BJ741" s="334"/>
      <c r="BK741" s="334"/>
      <c r="BM741" s="334"/>
      <c r="BN741" s="334"/>
      <c r="BO741" s="334"/>
      <c r="BP741" s="334"/>
      <c r="BQ741" s="334"/>
    </row>
    <row r="742" spans="45:69" x14ac:dyDescent="0.25">
      <c r="AS742" s="202"/>
      <c r="AV742" s="103"/>
      <c r="AW742" s="200"/>
      <c r="AX742" s="334"/>
      <c r="AY742" s="334"/>
      <c r="AZ742" s="334"/>
      <c r="BA742" s="210"/>
      <c r="BB742" s="334"/>
      <c r="BC742" s="213"/>
      <c r="BD742" s="213"/>
      <c r="BE742" s="210"/>
      <c r="BG742" s="334"/>
      <c r="BH742" s="334"/>
      <c r="BI742" s="334"/>
      <c r="BJ742" s="334"/>
      <c r="BK742" s="334"/>
      <c r="BM742" s="334"/>
      <c r="BN742" s="334"/>
      <c r="BO742" s="334"/>
      <c r="BP742" s="334"/>
      <c r="BQ742" s="334"/>
    </row>
    <row r="743" spans="45:69" x14ac:dyDescent="0.25">
      <c r="AS743" s="202"/>
      <c r="AV743" s="103"/>
      <c r="AW743" s="200"/>
      <c r="AX743" s="334"/>
      <c r="AY743" s="334"/>
      <c r="AZ743" s="334"/>
      <c r="BA743" s="210"/>
      <c r="BB743" s="334"/>
      <c r="BC743" s="213"/>
      <c r="BD743" s="213"/>
      <c r="BE743" s="210"/>
      <c r="BG743" s="334"/>
      <c r="BH743" s="334"/>
      <c r="BI743" s="334"/>
      <c r="BJ743" s="334"/>
      <c r="BK743" s="334"/>
      <c r="BM743" s="334"/>
      <c r="BN743" s="334"/>
      <c r="BO743" s="334"/>
      <c r="BP743" s="334"/>
      <c r="BQ743" s="334"/>
    </row>
    <row r="744" spans="45:69" x14ac:dyDescent="0.25">
      <c r="AS744" s="202"/>
      <c r="AV744" s="103"/>
      <c r="AW744" s="200"/>
      <c r="AX744" s="334"/>
      <c r="AY744" s="334"/>
      <c r="AZ744" s="334"/>
      <c r="BA744" s="210"/>
      <c r="BB744" s="334"/>
      <c r="BC744" s="213"/>
      <c r="BD744" s="213"/>
      <c r="BE744" s="210"/>
      <c r="BG744" s="334"/>
      <c r="BH744" s="334"/>
      <c r="BI744" s="334"/>
      <c r="BJ744" s="334"/>
      <c r="BK744" s="334"/>
      <c r="BM744" s="334"/>
      <c r="BN744" s="334"/>
      <c r="BO744" s="334"/>
      <c r="BP744" s="334"/>
      <c r="BQ744" s="334"/>
    </row>
    <row r="745" spans="45:69" x14ac:dyDescent="0.25">
      <c r="AY745" s="213"/>
      <c r="AZ745" s="334"/>
      <c r="BA745" s="210"/>
      <c r="BB745" s="334"/>
      <c r="BC745" s="213"/>
      <c r="BD745" s="213"/>
      <c r="BE745" s="210"/>
      <c r="BK745" s="334"/>
      <c r="BQ745" s="334"/>
    </row>
    <row r="746" spans="45:69" x14ac:dyDescent="0.25">
      <c r="AS746" s="202"/>
      <c r="AV746" s="103"/>
      <c r="AY746" s="213"/>
      <c r="AZ746" s="334"/>
      <c r="BA746" s="210"/>
      <c r="BB746" s="334"/>
      <c r="BC746" s="213"/>
      <c r="BD746" s="213"/>
      <c r="BE746" s="210"/>
      <c r="BK746" s="334"/>
      <c r="BQ746" s="334"/>
    </row>
    <row r="747" spans="45:69" x14ac:dyDescent="0.25">
      <c r="AS747" s="202"/>
      <c r="AV747" s="103"/>
      <c r="AW747" s="200"/>
      <c r="AX747" s="334"/>
      <c r="AY747" s="334"/>
      <c r="AZ747" s="334"/>
      <c r="BA747" s="210"/>
      <c r="BB747" s="334"/>
      <c r="BC747" s="213"/>
      <c r="BD747" s="213"/>
      <c r="BE747" s="210"/>
      <c r="BG747" s="334"/>
      <c r="BH747" s="334"/>
      <c r="BI747" s="334"/>
      <c r="BJ747" s="334"/>
      <c r="BK747" s="334"/>
      <c r="BM747" s="334"/>
      <c r="BN747" s="334"/>
      <c r="BO747" s="334"/>
      <c r="BP747" s="334"/>
      <c r="BQ747" s="334"/>
    </row>
    <row r="748" spans="45:69" x14ac:dyDescent="0.25">
      <c r="AS748" s="202"/>
      <c r="AV748" s="103"/>
      <c r="AW748" s="200"/>
      <c r="AX748" s="334"/>
      <c r="AY748" s="334"/>
      <c r="AZ748" s="334"/>
      <c r="BA748" s="210"/>
      <c r="BB748" s="334"/>
      <c r="BC748" s="213"/>
      <c r="BD748" s="213"/>
      <c r="BE748" s="210"/>
      <c r="BG748" s="334"/>
      <c r="BH748" s="334"/>
      <c r="BI748" s="334"/>
      <c r="BJ748" s="334"/>
      <c r="BK748" s="334"/>
      <c r="BM748" s="334"/>
      <c r="BN748" s="334"/>
      <c r="BO748" s="334"/>
      <c r="BP748" s="334"/>
      <c r="BQ748" s="334"/>
    </row>
    <row r="749" spans="45:69" x14ac:dyDescent="0.25">
      <c r="AS749" s="202"/>
      <c r="AV749" s="103"/>
      <c r="AW749" s="200"/>
      <c r="AX749" s="334"/>
      <c r="AY749" s="334"/>
      <c r="AZ749" s="334"/>
      <c r="BA749" s="210"/>
      <c r="BB749" s="334"/>
      <c r="BC749" s="213"/>
      <c r="BD749" s="213"/>
      <c r="BE749" s="210"/>
      <c r="BG749" s="334"/>
      <c r="BH749" s="334"/>
      <c r="BI749" s="334"/>
      <c r="BJ749" s="334"/>
      <c r="BK749" s="334"/>
      <c r="BM749" s="334"/>
      <c r="BN749" s="334"/>
      <c r="BO749" s="334"/>
      <c r="BP749" s="334"/>
      <c r="BQ749" s="334"/>
    </row>
    <row r="750" spans="45:69" x14ac:dyDescent="0.25">
      <c r="AS750" s="202"/>
      <c r="AV750" s="103"/>
      <c r="AW750" s="200"/>
      <c r="AX750" s="334"/>
      <c r="AY750" s="334"/>
      <c r="AZ750" s="334"/>
      <c r="BA750" s="210"/>
      <c r="BB750" s="334"/>
      <c r="BC750" s="213"/>
      <c r="BD750" s="213"/>
      <c r="BE750" s="210"/>
      <c r="BG750" s="334"/>
      <c r="BH750" s="334"/>
      <c r="BI750" s="334"/>
      <c r="BJ750" s="334"/>
      <c r="BK750" s="334"/>
      <c r="BM750" s="334"/>
      <c r="BN750" s="334"/>
      <c r="BO750" s="334"/>
      <c r="BP750" s="334"/>
      <c r="BQ750" s="334"/>
    </row>
    <row r="751" spans="45:69" x14ac:dyDescent="0.25">
      <c r="AS751" s="202"/>
      <c r="AV751" s="103"/>
      <c r="AW751" s="200"/>
      <c r="AX751" s="334"/>
      <c r="AY751" s="334"/>
      <c r="AZ751" s="334"/>
      <c r="BA751" s="210"/>
      <c r="BB751" s="334"/>
      <c r="BC751" s="213"/>
      <c r="BD751" s="213"/>
      <c r="BE751" s="210"/>
      <c r="BG751" s="334"/>
      <c r="BH751" s="334"/>
      <c r="BI751" s="334"/>
      <c r="BJ751" s="334"/>
      <c r="BK751" s="334"/>
      <c r="BM751" s="334"/>
      <c r="BN751" s="334"/>
      <c r="BO751" s="334"/>
      <c r="BP751" s="334"/>
      <c r="BQ751" s="334"/>
    </row>
    <row r="752" spans="45:69" x14ac:dyDescent="0.25">
      <c r="AS752" s="202"/>
      <c r="AV752" s="103"/>
      <c r="AW752" s="200"/>
      <c r="AX752" s="334"/>
      <c r="AY752" s="334"/>
      <c r="AZ752" s="334"/>
      <c r="BA752" s="210"/>
      <c r="BB752" s="334"/>
      <c r="BC752" s="213"/>
      <c r="BD752" s="213"/>
      <c r="BE752" s="210"/>
      <c r="BG752" s="334"/>
      <c r="BH752" s="334"/>
      <c r="BI752" s="334"/>
      <c r="BJ752" s="334"/>
      <c r="BK752" s="334"/>
      <c r="BM752" s="334"/>
      <c r="BN752" s="334"/>
      <c r="BO752" s="334"/>
      <c r="BP752" s="334"/>
      <c r="BQ752" s="334"/>
    </row>
    <row r="753" spans="45:69" x14ac:dyDescent="0.25">
      <c r="AS753" s="202"/>
      <c r="AV753" s="103"/>
      <c r="AW753" s="200"/>
      <c r="AX753" s="334"/>
      <c r="AY753" s="334"/>
      <c r="AZ753" s="334"/>
      <c r="BA753" s="210"/>
      <c r="BB753" s="334"/>
      <c r="BC753" s="213"/>
      <c r="BD753" s="213"/>
      <c r="BE753" s="210"/>
      <c r="BG753" s="334"/>
      <c r="BH753" s="334"/>
      <c r="BI753" s="334"/>
      <c r="BJ753" s="334"/>
      <c r="BK753" s="334"/>
      <c r="BM753" s="334"/>
      <c r="BN753" s="334"/>
      <c r="BO753" s="334"/>
      <c r="BP753" s="334"/>
      <c r="BQ753" s="334"/>
    </row>
    <row r="754" spans="45:69" x14ac:dyDescent="0.25">
      <c r="AS754" s="202"/>
      <c r="AV754" s="103"/>
      <c r="AW754" s="200"/>
      <c r="AX754" s="334"/>
      <c r="AY754" s="334"/>
      <c r="AZ754" s="334"/>
      <c r="BA754" s="210"/>
      <c r="BB754" s="334"/>
      <c r="BC754" s="213"/>
      <c r="BD754" s="213"/>
      <c r="BE754" s="210"/>
      <c r="BG754" s="334"/>
      <c r="BH754" s="334"/>
      <c r="BI754" s="334"/>
      <c r="BJ754" s="334"/>
      <c r="BK754" s="334"/>
      <c r="BM754" s="334"/>
      <c r="BN754" s="334"/>
      <c r="BO754" s="334"/>
      <c r="BP754" s="334"/>
      <c r="BQ754" s="334"/>
    </row>
    <row r="755" spans="45:69" x14ac:dyDescent="0.25">
      <c r="AY755" s="213"/>
      <c r="AZ755" s="334"/>
      <c r="BA755" s="210"/>
      <c r="BB755" s="334"/>
      <c r="BC755" s="213"/>
      <c r="BD755" s="213"/>
      <c r="BE755" s="210"/>
      <c r="BK755" s="334"/>
      <c r="BQ755" s="334"/>
    </row>
    <row r="756" spans="45:69" x14ac:dyDescent="0.25">
      <c r="AU756" s="154"/>
      <c r="AZ756" s="334"/>
      <c r="BB756" s="334"/>
      <c r="BG756" s="334"/>
      <c r="BH756" s="334"/>
      <c r="BJ756" s="334"/>
      <c r="BK756" s="334"/>
    </row>
    <row r="757" spans="45:69" x14ac:dyDescent="0.25">
      <c r="AZ757" s="334"/>
      <c r="BB757" s="334"/>
    </row>
    <row r="758" spans="45:69" x14ac:dyDescent="0.25">
      <c r="AS758" s="154"/>
      <c r="AZ758" s="334"/>
      <c r="BB758" s="334"/>
      <c r="BI758" s="334"/>
    </row>
    <row r="759" spans="45:69" x14ac:dyDescent="0.25">
      <c r="AY759" s="202"/>
      <c r="AZ759" s="334"/>
      <c r="BB759" s="334"/>
    </row>
    <row r="760" spans="45:69" x14ac:dyDescent="0.25">
      <c r="AY760" s="334"/>
      <c r="BB760" s="334"/>
    </row>
    <row r="761" spans="45:69" x14ac:dyDescent="0.25">
      <c r="AY761" s="154"/>
      <c r="AZ761" s="334"/>
      <c r="BB761" s="334"/>
    </row>
    <row r="762" spans="45:69" x14ac:dyDescent="0.25">
      <c r="AY762" s="154"/>
      <c r="AZ762" s="334"/>
      <c r="BB762" s="334"/>
    </row>
    <row r="763" spans="45:69" x14ac:dyDescent="0.25">
      <c r="AS763" s="202"/>
      <c r="AZ763" s="334"/>
      <c r="BB763" s="334"/>
      <c r="BD763" s="154"/>
    </row>
    <row r="764" spans="45:69" x14ac:dyDescent="0.25">
      <c r="AS764" s="202"/>
      <c r="AZ764" s="334"/>
      <c r="BB764" s="334"/>
      <c r="BD764" s="154"/>
    </row>
    <row r="765" spans="45:69" x14ac:dyDescent="0.25">
      <c r="AS765" s="154"/>
      <c r="AZ765" s="334"/>
      <c r="BB765" s="334"/>
      <c r="BD765" s="154"/>
    </row>
    <row r="766" spans="45:69" x14ac:dyDescent="0.25">
      <c r="AZ766" s="334"/>
      <c r="BB766" s="334"/>
      <c r="BD766" s="202"/>
    </row>
    <row r="767" spans="45:69" x14ac:dyDescent="0.25">
      <c r="AS767" s="102"/>
      <c r="AT767" s="102"/>
      <c r="AU767" s="102"/>
      <c r="AV767" s="102"/>
      <c r="AW767" s="102"/>
      <c r="AX767" s="102"/>
      <c r="AY767" s="102"/>
      <c r="AZ767" s="335"/>
      <c r="BA767" s="102"/>
      <c r="BB767" s="335"/>
      <c r="BC767" s="102"/>
      <c r="BD767" s="102"/>
      <c r="BE767" s="102"/>
    </row>
    <row r="768" spans="45:69" x14ac:dyDescent="0.25">
      <c r="AX768" s="154"/>
      <c r="AZ768" s="334"/>
      <c r="BB768" s="334"/>
    </row>
    <row r="769" spans="45:75" x14ac:dyDescent="0.25">
      <c r="AX769" s="102"/>
      <c r="AY769" s="102"/>
      <c r="AZ769" s="335"/>
      <c r="BA769" s="102"/>
      <c r="BB769" s="334"/>
      <c r="BC769" s="103"/>
      <c r="BD769" s="103"/>
    </row>
    <row r="770" spans="45:75" x14ac:dyDescent="0.25">
      <c r="AV770" s="103"/>
      <c r="AW770" s="103"/>
      <c r="AZ770" s="336"/>
      <c r="BA770" s="103"/>
      <c r="BB770" s="334"/>
      <c r="BC770" s="103"/>
      <c r="BD770" s="103"/>
      <c r="BE770" s="103"/>
      <c r="BG770" s="102"/>
      <c r="BH770" s="102"/>
      <c r="BI770" s="154"/>
      <c r="BM770" s="102"/>
      <c r="BN770" s="102"/>
      <c r="BP770" s="102"/>
      <c r="BQ770" s="102"/>
      <c r="BR770" s="154"/>
      <c r="BV770" s="102"/>
      <c r="BW770" s="102"/>
    </row>
    <row r="771" spans="45:75" x14ac:dyDescent="0.25">
      <c r="AV771" s="103"/>
      <c r="AW771" s="103"/>
      <c r="AX771" s="103"/>
      <c r="AY771" s="103"/>
      <c r="AZ771" s="336"/>
      <c r="BA771" s="103"/>
      <c r="BB771" s="336"/>
      <c r="BC771" s="103"/>
      <c r="BD771" s="103"/>
      <c r="BE771" s="103"/>
      <c r="BH771" s="103"/>
      <c r="BI771" s="103"/>
      <c r="BJ771" s="103"/>
      <c r="BK771" s="103"/>
      <c r="BL771" s="103"/>
      <c r="BM771" s="103"/>
      <c r="BQ771" s="103"/>
      <c r="BR771" s="103"/>
      <c r="BS771" s="103"/>
      <c r="BT771" s="103"/>
      <c r="BU771" s="103"/>
      <c r="BV771" s="103"/>
    </row>
    <row r="772" spans="45:75" x14ac:dyDescent="0.25">
      <c r="AS772" s="103"/>
      <c r="AU772" s="154"/>
      <c r="AV772" s="103"/>
      <c r="AW772" s="103"/>
      <c r="AX772" s="103"/>
      <c r="AY772" s="103"/>
      <c r="AZ772" s="336"/>
      <c r="BA772" s="103"/>
      <c r="BB772" s="336"/>
      <c r="BC772" s="103"/>
      <c r="BD772" s="103"/>
      <c r="BE772" s="103"/>
      <c r="BG772" s="103"/>
      <c r="BH772" s="103"/>
      <c r="BI772" s="103"/>
      <c r="BJ772" s="103"/>
      <c r="BK772" s="103"/>
      <c r="BL772" s="103"/>
      <c r="BM772" s="103"/>
      <c r="BN772" s="103"/>
      <c r="BP772" s="103"/>
      <c r="BQ772" s="103"/>
      <c r="BR772" s="103"/>
      <c r="BS772" s="103"/>
      <c r="BT772" s="103"/>
      <c r="BU772" s="103"/>
      <c r="BV772" s="103"/>
      <c r="BW772" s="103"/>
    </row>
    <row r="773" spans="45:75" x14ac:dyDescent="0.25">
      <c r="AS773" s="103"/>
      <c r="AU773" s="154"/>
      <c r="AV773" s="103"/>
      <c r="AW773" s="103"/>
      <c r="AX773" s="103"/>
      <c r="AY773" s="103"/>
      <c r="AZ773" s="336"/>
      <c r="BA773" s="103"/>
      <c r="BB773" s="336"/>
      <c r="BC773" s="103"/>
      <c r="BD773" s="103"/>
      <c r="BE773" s="103"/>
      <c r="BG773" s="103"/>
      <c r="BH773" s="103"/>
      <c r="BI773" s="103"/>
      <c r="BJ773" s="103"/>
      <c r="BK773" s="103"/>
      <c r="BL773" s="103"/>
      <c r="BM773" s="103"/>
      <c r="BN773" s="103"/>
      <c r="BP773" s="103"/>
      <c r="BQ773" s="103"/>
      <c r="BR773" s="103"/>
      <c r="BS773" s="103"/>
      <c r="BT773" s="103"/>
      <c r="BU773" s="103"/>
      <c r="BV773" s="103"/>
      <c r="BW773" s="103"/>
    </row>
    <row r="774" spans="45:75" x14ac:dyDescent="0.25">
      <c r="AS774" s="102"/>
      <c r="AT774" s="102"/>
      <c r="AU774" s="102"/>
      <c r="AV774" s="102"/>
      <c r="AW774" s="102"/>
      <c r="AX774" s="102"/>
      <c r="AY774" s="102"/>
      <c r="AZ774" s="335"/>
      <c r="BA774" s="102"/>
      <c r="BB774" s="335"/>
      <c r="BC774" s="102"/>
      <c r="BD774" s="102"/>
      <c r="BE774" s="102"/>
      <c r="BG774" s="102"/>
      <c r="BH774" s="102"/>
      <c r="BI774" s="102"/>
      <c r="BJ774" s="102"/>
      <c r="BK774" s="102"/>
      <c r="BL774" s="102"/>
      <c r="BM774" s="102"/>
      <c r="BN774" s="102"/>
      <c r="BP774" s="102"/>
      <c r="BQ774" s="102"/>
      <c r="BR774" s="102"/>
      <c r="BS774" s="102"/>
      <c r="BT774" s="102"/>
      <c r="BU774" s="102"/>
      <c r="BV774" s="102"/>
      <c r="BW774" s="102"/>
    </row>
    <row r="775" spans="45:75" x14ac:dyDescent="0.25">
      <c r="AV775" s="103"/>
      <c r="AW775" s="103"/>
      <c r="AX775" s="103"/>
      <c r="AY775" s="103"/>
      <c r="AZ775" s="336"/>
      <c r="BA775" s="103"/>
      <c r="BB775" s="336"/>
      <c r="BC775" s="103"/>
      <c r="BD775" s="103"/>
      <c r="BE775" s="103"/>
      <c r="BG775" s="334"/>
      <c r="BH775" s="334"/>
      <c r="BI775" s="334"/>
      <c r="BJ775" s="334"/>
      <c r="BK775" s="334"/>
      <c r="BL775" s="334"/>
      <c r="BM775" s="334"/>
      <c r="BN775" s="334"/>
      <c r="BO775" s="334"/>
      <c r="BP775" s="334"/>
      <c r="BQ775" s="334"/>
      <c r="BR775" s="334"/>
      <c r="BS775" s="334"/>
      <c r="BT775" s="334"/>
      <c r="BU775" s="334"/>
      <c r="BV775" s="334"/>
      <c r="BW775" s="334"/>
    </row>
    <row r="776" spans="45:75" x14ac:dyDescent="0.25">
      <c r="AS776" s="202"/>
      <c r="AU776" s="154"/>
      <c r="AV776" s="202"/>
      <c r="AW776" s="200"/>
      <c r="AX776" s="334"/>
      <c r="AY776" s="334"/>
      <c r="AZ776" s="334"/>
      <c r="BA776" s="201"/>
      <c r="BB776" s="334"/>
      <c r="BC776" s="334"/>
      <c r="BD776" s="334"/>
      <c r="BE776" s="201"/>
      <c r="BG776" s="334"/>
      <c r="BH776" s="334"/>
      <c r="BI776" s="334"/>
      <c r="BJ776" s="334"/>
      <c r="BK776" s="334"/>
      <c r="BL776" s="334"/>
      <c r="BM776" s="334"/>
      <c r="BN776" s="334"/>
      <c r="BO776" s="334"/>
      <c r="BP776" s="334"/>
      <c r="BQ776" s="334"/>
      <c r="BR776" s="334"/>
      <c r="BS776" s="334"/>
      <c r="BT776" s="334"/>
      <c r="BU776" s="334"/>
      <c r="BV776" s="334"/>
      <c r="BW776" s="334"/>
    </row>
    <row r="777" spans="45:75" x14ac:dyDescent="0.25">
      <c r="AS777" s="202"/>
      <c r="AV777" s="202"/>
      <c r="AW777" s="200"/>
      <c r="AX777" s="334"/>
      <c r="AY777" s="334"/>
      <c r="AZ777" s="334"/>
      <c r="BA777" s="201"/>
      <c r="BB777" s="334"/>
      <c r="BC777" s="334"/>
      <c r="BD777" s="334"/>
      <c r="BE777" s="201"/>
      <c r="BG777" s="334"/>
      <c r="BH777" s="334"/>
      <c r="BI777" s="334"/>
      <c r="BJ777" s="334"/>
      <c r="BK777" s="334"/>
      <c r="BL777" s="334"/>
      <c r="BM777" s="334"/>
      <c r="BN777" s="334"/>
      <c r="BO777" s="334"/>
      <c r="BP777" s="334"/>
      <c r="BQ777" s="334"/>
      <c r="BR777" s="334"/>
      <c r="BS777" s="334"/>
      <c r="BT777" s="334"/>
      <c r="BU777" s="334"/>
      <c r="BV777" s="334"/>
      <c r="BW777" s="334"/>
    </row>
    <row r="778" spans="45:75" x14ac:dyDescent="0.25">
      <c r="AS778" s="202"/>
      <c r="AV778" s="202"/>
      <c r="AW778" s="200"/>
      <c r="AX778" s="334"/>
      <c r="AY778" s="334"/>
      <c r="AZ778" s="334"/>
      <c r="BA778" s="201"/>
      <c r="BB778" s="334"/>
      <c r="BC778" s="334"/>
      <c r="BD778" s="334"/>
      <c r="BE778" s="201"/>
      <c r="BG778" s="334"/>
      <c r="BH778" s="334"/>
      <c r="BI778" s="334"/>
      <c r="BJ778" s="334"/>
      <c r="BK778" s="334"/>
      <c r="BL778" s="334"/>
      <c r="BM778" s="334"/>
      <c r="BN778" s="334"/>
      <c r="BO778" s="334"/>
      <c r="BP778" s="334"/>
      <c r="BQ778" s="334"/>
      <c r="BR778" s="334"/>
      <c r="BS778" s="334"/>
      <c r="BT778" s="334"/>
      <c r="BU778" s="334"/>
      <c r="BV778" s="334"/>
      <c r="BW778" s="334"/>
    </row>
    <row r="779" spans="45:75" x14ac:dyDescent="0.25">
      <c r="AS779" s="202"/>
      <c r="AV779" s="202"/>
      <c r="AW779" s="200"/>
      <c r="AX779" s="334"/>
      <c r="AY779" s="334"/>
      <c r="AZ779" s="334"/>
      <c r="BA779" s="201"/>
      <c r="BB779" s="334"/>
      <c r="BC779" s="334"/>
      <c r="BD779" s="334"/>
      <c r="BE779" s="201"/>
      <c r="BG779" s="334"/>
      <c r="BH779" s="334"/>
      <c r="BI779" s="334"/>
      <c r="BJ779" s="334"/>
      <c r="BK779" s="334"/>
      <c r="BL779" s="334"/>
      <c r="BM779" s="334"/>
      <c r="BN779" s="334"/>
      <c r="BO779" s="334"/>
      <c r="BP779" s="334"/>
      <c r="BQ779" s="334"/>
      <c r="BR779" s="334"/>
      <c r="BS779" s="334"/>
      <c r="BT779" s="334"/>
      <c r="BU779" s="334"/>
      <c r="BV779" s="334"/>
      <c r="BW779" s="334"/>
    </row>
    <row r="780" spans="45:75" x14ac:dyDescent="0.25">
      <c r="AS780" s="202"/>
      <c r="AV780" s="202"/>
      <c r="AW780" s="200"/>
      <c r="AX780" s="334"/>
      <c r="AY780" s="334"/>
      <c r="AZ780" s="334"/>
      <c r="BA780" s="201"/>
      <c r="BB780" s="334"/>
      <c r="BC780" s="334"/>
      <c r="BD780" s="334"/>
      <c r="BE780" s="201"/>
      <c r="BG780" s="334"/>
      <c r="BH780" s="334"/>
      <c r="BI780" s="334"/>
      <c r="BJ780" s="334"/>
      <c r="BK780" s="334"/>
      <c r="BL780" s="334"/>
      <c r="BM780" s="334"/>
      <c r="BN780" s="334"/>
      <c r="BO780" s="334"/>
      <c r="BP780" s="334"/>
      <c r="BQ780" s="334"/>
      <c r="BR780" s="334"/>
      <c r="BS780" s="334"/>
      <c r="BT780" s="334"/>
      <c r="BU780" s="334"/>
      <c r="BV780" s="334"/>
      <c r="BW780" s="334"/>
    </row>
    <row r="781" spans="45:75" x14ac:dyDescent="0.25">
      <c r="AS781" s="202"/>
      <c r="AV781" s="202"/>
      <c r="AW781" s="200"/>
      <c r="AX781" s="334"/>
      <c r="AY781" s="334"/>
      <c r="AZ781" s="334"/>
      <c r="BA781" s="201"/>
      <c r="BB781" s="334"/>
      <c r="BC781" s="334"/>
      <c r="BD781" s="334"/>
      <c r="BE781" s="201"/>
      <c r="BG781" s="334"/>
      <c r="BH781" s="334"/>
      <c r="BI781" s="334"/>
      <c r="BJ781" s="334"/>
      <c r="BK781" s="334"/>
      <c r="BL781" s="334"/>
      <c r="BM781" s="334"/>
      <c r="BN781" s="334"/>
      <c r="BO781" s="334"/>
      <c r="BP781" s="334"/>
      <c r="BQ781" s="334"/>
      <c r="BR781" s="334"/>
      <c r="BS781" s="334"/>
      <c r="BT781" s="334"/>
      <c r="BU781" s="334"/>
      <c r="BV781" s="334"/>
      <c r="BW781" s="334"/>
    </row>
    <row r="782" spans="45:75" x14ac:dyDescent="0.25">
      <c r="AS782" s="202"/>
      <c r="AV782" s="202"/>
      <c r="AW782" s="200"/>
      <c r="AX782" s="334"/>
      <c r="AY782" s="334"/>
      <c r="AZ782" s="334"/>
      <c r="BA782" s="201"/>
      <c r="BB782" s="334"/>
      <c r="BC782" s="334"/>
      <c r="BD782" s="334"/>
      <c r="BE782" s="201"/>
      <c r="BG782" s="334"/>
      <c r="BH782" s="334"/>
      <c r="BI782" s="334"/>
      <c r="BJ782" s="334"/>
      <c r="BK782" s="334"/>
      <c r="BL782" s="334"/>
      <c r="BM782" s="334"/>
      <c r="BN782" s="334"/>
      <c r="BO782" s="334"/>
      <c r="BP782" s="334"/>
      <c r="BQ782" s="334"/>
      <c r="BR782" s="334"/>
      <c r="BS782" s="334"/>
      <c r="BT782" s="334"/>
      <c r="BU782" s="334"/>
      <c r="BV782" s="334"/>
      <c r="BW782" s="334"/>
    </row>
    <row r="783" spans="45:75" x14ac:dyDescent="0.25">
      <c r="AS783" s="202"/>
      <c r="AV783" s="202"/>
      <c r="AW783" s="200"/>
      <c r="AX783" s="334"/>
      <c r="AY783" s="334"/>
      <c r="AZ783" s="334"/>
      <c r="BA783" s="201"/>
      <c r="BB783" s="334"/>
      <c r="BC783" s="334"/>
      <c r="BD783" s="334"/>
      <c r="BE783" s="201"/>
      <c r="BG783" s="334"/>
      <c r="BH783" s="334"/>
      <c r="BI783" s="334"/>
      <c r="BJ783" s="334"/>
      <c r="BK783" s="334"/>
      <c r="BL783" s="334"/>
      <c r="BM783" s="334"/>
      <c r="BN783" s="334"/>
      <c r="BO783" s="334"/>
      <c r="BP783" s="334"/>
      <c r="BQ783" s="334"/>
      <c r="BR783" s="334"/>
      <c r="BS783" s="334"/>
      <c r="BT783" s="334"/>
      <c r="BU783" s="334"/>
      <c r="BV783" s="334"/>
      <c r="BW783" s="334"/>
    </row>
    <row r="784" spans="45:75" x14ac:dyDescent="0.25">
      <c r="AS784" s="202"/>
      <c r="AV784" s="202"/>
      <c r="AW784" s="200"/>
      <c r="AX784" s="334"/>
      <c r="AY784" s="334"/>
      <c r="AZ784" s="334"/>
      <c r="BA784" s="201"/>
      <c r="BB784" s="334"/>
      <c r="BC784" s="334"/>
      <c r="BD784" s="334"/>
      <c r="BE784" s="201"/>
      <c r="BG784" s="334"/>
      <c r="BH784" s="334"/>
      <c r="BI784" s="334"/>
      <c r="BJ784" s="334"/>
      <c r="BK784" s="334"/>
      <c r="BL784" s="334"/>
      <c r="BM784" s="334"/>
      <c r="BN784" s="334"/>
      <c r="BO784" s="334"/>
      <c r="BP784" s="334"/>
      <c r="BQ784" s="334"/>
      <c r="BR784" s="334"/>
      <c r="BS784" s="334"/>
      <c r="BT784" s="334"/>
      <c r="BU784" s="334"/>
      <c r="BV784" s="334"/>
      <c r="BW784" s="334"/>
    </row>
    <row r="785" spans="45:75" x14ac:dyDescent="0.25">
      <c r="AS785" s="202"/>
      <c r="AV785" s="202"/>
      <c r="AW785" s="200"/>
      <c r="AX785" s="334"/>
      <c r="AY785" s="334"/>
      <c r="AZ785" s="334"/>
      <c r="BA785" s="201"/>
      <c r="BB785" s="334"/>
      <c r="BC785" s="334"/>
      <c r="BD785" s="334"/>
      <c r="BE785" s="201"/>
      <c r="BG785" s="334"/>
      <c r="BH785" s="334"/>
      <c r="BI785" s="334"/>
      <c r="BJ785" s="334"/>
      <c r="BK785" s="334"/>
      <c r="BL785" s="334"/>
      <c r="BM785" s="334"/>
      <c r="BN785" s="334"/>
      <c r="BO785" s="334"/>
      <c r="BP785" s="334"/>
      <c r="BQ785" s="334"/>
      <c r="BR785" s="334"/>
      <c r="BS785" s="334"/>
      <c r="BT785" s="334"/>
      <c r="BU785" s="334"/>
      <c r="BV785" s="334"/>
      <c r="BW785" s="334"/>
    </row>
    <row r="786" spans="45:75" x14ac:dyDescent="0.25">
      <c r="AS786" s="202"/>
      <c r="AV786" s="202"/>
      <c r="AW786" s="200"/>
      <c r="AX786" s="334"/>
      <c r="AY786" s="334"/>
      <c r="AZ786" s="334"/>
      <c r="BA786" s="201"/>
      <c r="BB786" s="334"/>
      <c r="BC786" s="334"/>
      <c r="BD786" s="334"/>
      <c r="BE786" s="201"/>
      <c r="BG786" s="334"/>
      <c r="BH786" s="334"/>
      <c r="BI786" s="334"/>
      <c r="BJ786" s="334"/>
      <c r="BK786" s="334"/>
      <c r="BL786" s="334"/>
      <c r="BM786" s="334"/>
      <c r="BN786" s="334"/>
      <c r="BO786" s="334"/>
      <c r="BP786" s="334"/>
      <c r="BQ786" s="334"/>
      <c r="BR786" s="334"/>
      <c r="BS786" s="334"/>
      <c r="BT786" s="334"/>
      <c r="BU786" s="334"/>
      <c r="BV786" s="334"/>
      <c r="BW786" s="334"/>
    </row>
    <row r="787" spans="45:75" x14ac:dyDescent="0.25">
      <c r="AS787" s="202"/>
      <c r="AV787" s="202"/>
      <c r="AW787" s="200"/>
      <c r="AX787" s="334"/>
      <c r="AY787" s="334"/>
      <c r="AZ787" s="334"/>
      <c r="BA787" s="201"/>
      <c r="BB787" s="334"/>
      <c r="BC787" s="334"/>
      <c r="BD787" s="334"/>
      <c r="BE787" s="201"/>
      <c r="BG787" s="334"/>
      <c r="BH787" s="334"/>
      <c r="BI787" s="334"/>
      <c r="BJ787" s="334"/>
      <c r="BK787" s="334"/>
      <c r="BL787" s="334"/>
      <c r="BM787" s="334"/>
      <c r="BN787" s="334"/>
      <c r="BO787" s="334"/>
      <c r="BP787" s="334"/>
      <c r="BQ787" s="334"/>
      <c r="BR787" s="334"/>
      <c r="BS787" s="334"/>
      <c r="BT787" s="334"/>
      <c r="BU787" s="334"/>
      <c r="BV787" s="334"/>
      <c r="BW787" s="334"/>
    </row>
    <row r="788" spans="45:75" x14ac:dyDescent="0.25">
      <c r="AS788" s="202"/>
      <c r="AV788" s="202"/>
      <c r="AW788" s="200"/>
      <c r="AX788" s="334"/>
      <c r="AY788" s="334"/>
      <c r="AZ788" s="334"/>
      <c r="BA788" s="201"/>
      <c r="BB788" s="334"/>
      <c r="BC788" s="334"/>
      <c r="BD788" s="334"/>
      <c r="BE788" s="201"/>
      <c r="BG788" s="334"/>
      <c r="BH788" s="334"/>
      <c r="BI788" s="334"/>
      <c r="BJ788" s="334"/>
      <c r="BK788" s="334"/>
      <c r="BL788" s="334"/>
      <c r="BM788" s="334"/>
      <c r="BN788" s="334"/>
      <c r="BO788" s="334"/>
      <c r="BP788" s="334"/>
      <c r="BQ788" s="334"/>
      <c r="BR788" s="334"/>
      <c r="BS788" s="334"/>
      <c r="BT788" s="334"/>
      <c r="BU788" s="334"/>
      <c r="BV788" s="334"/>
      <c r="BW788" s="334"/>
    </row>
    <row r="789" spans="45:75" x14ac:dyDescent="0.25">
      <c r="AS789" s="202"/>
      <c r="AV789" s="202"/>
      <c r="AW789" s="200"/>
      <c r="AX789" s="334"/>
      <c r="AY789" s="334"/>
      <c r="AZ789" s="334"/>
      <c r="BA789" s="201"/>
      <c r="BB789" s="334"/>
      <c r="BC789" s="334"/>
      <c r="BD789" s="334"/>
      <c r="BE789" s="201"/>
      <c r="BG789" s="334"/>
      <c r="BH789" s="334"/>
      <c r="BI789" s="334"/>
      <c r="BJ789" s="334"/>
      <c r="BK789" s="334"/>
      <c r="BL789" s="334"/>
      <c r="BM789" s="334"/>
      <c r="BN789" s="334"/>
      <c r="BO789" s="334"/>
      <c r="BP789" s="334"/>
      <c r="BQ789" s="334"/>
      <c r="BR789" s="334"/>
      <c r="BS789" s="334"/>
      <c r="BT789" s="334"/>
      <c r="BU789" s="334"/>
      <c r="BV789" s="334"/>
      <c r="BW789" s="334"/>
    </row>
    <row r="790" spans="45:75" x14ac:dyDescent="0.25">
      <c r="AS790" s="202"/>
      <c r="AV790" s="202"/>
      <c r="AW790" s="200"/>
      <c r="AX790" s="334"/>
      <c r="AY790" s="334"/>
      <c r="AZ790" s="334"/>
      <c r="BA790" s="201"/>
      <c r="BB790" s="334"/>
      <c r="BC790" s="334"/>
      <c r="BD790" s="334"/>
      <c r="BE790" s="201"/>
      <c r="BG790" s="334"/>
      <c r="BH790" s="334"/>
      <c r="BI790" s="334"/>
      <c r="BJ790" s="334"/>
      <c r="BK790" s="334"/>
      <c r="BL790" s="334"/>
      <c r="BM790" s="334"/>
      <c r="BN790" s="334"/>
      <c r="BO790" s="334"/>
      <c r="BP790" s="334"/>
      <c r="BQ790" s="334"/>
      <c r="BR790" s="334"/>
      <c r="BS790" s="334"/>
      <c r="BT790" s="334"/>
      <c r="BU790" s="334"/>
      <c r="BV790" s="334"/>
      <c r="BW790" s="334"/>
    </row>
    <row r="791" spans="45:75" x14ac:dyDescent="0.25">
      <c r="AS791" s="202"/>
      <c r="AV791" s="202"/>
      <c r="AW791" s="200"/>
      <c r="AX791" s="334"/>
      <c r="AY791" s="334"/>
      <c r="AZ791" s="334"/>
      <c r="BA791" s="201"/>
      <c r="BB791" s="334"/>
      <c r="BC791" s="334"/>
      <c r="BD791" s="334"/>
      <c r="BE791" s="201"/>
      <c r="BG791" s="334"/>
      <c r="BH791" s="334"/>
      <c r="BI791" s="334"/>
      <c r="BJ791" s="334"/>
      <c r="BK791" s="334"/>
      <c r="BL791" s="334"/>
      <c r="BM791" s="334"/>
      <c r="BN791" s="334"/>
      <c r="BO791" s="334"/>
      <c r="BP791" s="334"/>
      <c r="BQ791" s="334"/>
      <c r="BR791" s="334"/>
      <c r="BS791" s="334"/>
      <c r="BT791" s="334"/>
      <c r="BU791" s="334"/>
      <c r="BV791" s="334"/>
      <c r="BW791" s="334"/>
    </row>
    <row r="792" spans="45:75" x14ac:dyDescent="0.25">
      <c r="AS792" s="202"/>
      <c r="AV792" s="202"/>
      <c r="AW792" s="200"/>
      <c r="AX792" s="334"/>
      <c r="AY792" s="334"/>
      <c r="AZ792" s="334"/>
      <c r="BA792" s="201"/>
      <c r="BB792" s="334"/>
      <c r="BC792" s="334"/>
      <c r="BD792" s="334"/>
      <c r="BE792" s="201"/>
      <c r="BG792" s="334"/>
      <c r="BH792" s="334"/>
      <c r="BI792" s="334"/>
      <c r="BJ792" s="334"/>
      <c r="BK792" s="334"/>
      <c r="BL792" s="334"/>
      <c r="BM792" s="334"/>
      <c r="BN792" s="334"/>
      <c r="BO792" s="334"/>
      <c r="BP792" s="334"/>
      <c r="BQ792" s="334"/>
      <c r="BR792" s="334"/>
      <c r="BS792" s="334"/>
      <c r="BT792" s="334"/>
      <c r="BU792" s="334"/>
      <c r="BV792" s="334"/>
      <c r="BW792" s="334"/>
    </row>
    <row r="793" spans="45:75" x14ac:dyDescent="0.25">
      <c r="AS793" s="202"/>
      <c r="AV793" s="202"/>
      <c r="AW793" s="200"/>
      <c r="AX793" s="334"/>
      <c r="AY793" s="334"/>
      <c r="AZ793" s="334"/>
      <c r="BA793" s="201"/>
      <c r="BB793" s="334"/>
      <c r="BC793" s="334"/>
      <c r="BD793" s="334"/>
      <c r="BE793" s="201"/>
      <c r="BG793" s="334"/>
      <c r="BH793" s="334"/>
      <c r="BI793" s="334"/>
      <c r="BJ793" s="334"/>
      <c r="BK793" s="334"/>
      <c r="BL793" s="334"/>
      <c r="BM793" s="334"/>
      <c r="BN793" s="334"/>
      <c r="BO793" s="334"/>
      <c r="BP793" s="334"/>
      <c r="BQ793" s="334"/>
      <c r="BR793" s="334"/>
      <c r="BS793" s="334"/>
      <c r="BT793" s="334"/>
      <c r="BU793" s="334"/>
      <c r="BV793" s="334"/>
      <c r="BW793" s="334"/>
    </row>
    <row r="794" spans="45:75" x14ac:dyDescent="0.25">
      <c r="AS794" s="202"/>
      <c r="AV794" s="202"/>
      <c r="AW794" s="200"/>
      <c r="AX794" s="334"/>
      <c r="AY794" s="334"/>
      <c r="AZ794" s="334"/>
      <c r="BA794" s="201"/>
      <c r="BB794" s="334"/>
      <c r="BC794" s="334"/>
      <c r="BD794" s="334"/>
      <c r="BE794" s="201"/>
      <c r="BG794" s="334"/>
      <c r="BH794" s="334"/>
      <c r="BI794" s="334"/>
      <c r="BJ794" s="334"/>
      <c r="BK794" s="334"/>
      <c r="BL794" s="334"/>
      <c r="BM794" s="334"/>
      <c r="BN794" s="334"/>
      <c r="BO794" s="334"/>
      <c r="BP794" s="334"/>
      <c r="BQ794" s="334"/>
      <c r="BR794" s="334"/>
      <c r="BS794" s="334"/>
      <c r="BT794" s="334"/>
      <c r="BU794" s="334"/>
      <c r="BV794" s="334"/>
      <c r="BW794" s="334"/>
    </row>
    <row r="795" spans="45:75" x14ac:dyDescent="0.25">
      <c r="AS795" s="202"/>
      <c r="AV795" s="202"/>
      <c r="AW795" s="200"/>
      <c r="AX795" s="334"/>
      <c r="AY795" s="334"/>
      <c r="AZ795" s="334"/>
      <c r="BA795" s="201"/>
      <c r="BB795" s="334"/>
      <c r="BC795" s="334"/>
      <c r="BD795" s="334"/>
      <c r="BE795" s="201"/>
      <c r="BG795" s="334"/>
      <c r="BH795" s="334"/>
      <c r="BI795" s="334"/>
      <c r="BJ795" s="334"/>
      <c r="BK795" s="334"/>
      <c r="BL795" s="334"/>
      <c r="BM795" s="334"/>
      <c r="BN795" s="334"/>
      <c r="BO795" s="334"/>
      <c r="BP795" s="334"/>
      <c r="BQ795" s="334"/>
      <c r="BR795" s="334"/>
      <c r="BS795" s="334"/>
      <c r="BT795" s="334"/>
      <c r="BU795" s="334"/>
      <c r="BV795" s="334"/>
      <c r="BW795" s="334"/>
    </row>
    <row r="796" spans="45:75" x14ac:dyDescent="0.25">
      <c r="AS796" s="202"/>
      <c r="AV796" s="202"/>
      <c r="AW796" s="200"/>
      <c r="AX796" s="334"/>
      <c r="AY796" s="334"/>
      <c r="AZ796" s="334"/>
      <c r="BA796" s="201"/>
      <c r="BB796" s="334"/>
      <c r="BC796" s="334"/>
      <c r="BD796" s="334"/>
      <c r="BE796" s="201"/>
      <c r="BG796" s="334"/>
      <c r="BH796" s="334"/>
      <c r="BI796" s="334"/>
      <c r="BJ796" s="334"/>
      <c r="BK796" s="334"/>
      <c r="BL796" s="334"/>
      <c r="BM796" s="334"/>
      <c r="BN796" s="334"/>
      <c r="BO796" s="334"/>
      <c r="BP796" s="334"/>
      <c r="BQ796" s="334"/>
      <c r="BR796" s="334"/>
      <c r="BS796" s="334"/>
      <c r="BT796" s="334"/>
      <c r="BU796" s="334"/>
      <c r="BV796" s="334"/>
      <c r="BW796" s="334"/>
    </row>
    <row r="797" spans="45:75" x14ac:dyDescent="0.25">
      <c r="AW797" s="200"/>
      <c r="AX797" s="334"/>
      <c r="AY797" s="334"/>
      <c r="AZ797" s="334"/>
      <c r="BA797" s="201"/>
      <c r="BB797" s="334"/>
      <c r="BC797" s="334"/>
      <c r="BD797" s="334"/>
      <c r="BE797" s="201"/>
      <c r="BG797" s="102"/>
      <c r="BH797" s="102"/>
      <c r="BI797" s="154"/>
      <c r="BM797" s="102"/>
      <c r="BN797" s="102"/>
      <c r="BO797" s="334"/>
      <c r="BP797" s="102"/>
      <c r="BQ797" s="102"/>
      <c r="BR797" s="154"/>
      <c r="BV797" s="102"/>
      <c r="BW797" s="102"/>
    </row>
    <row r="798" spans="45:75" x14ac:dyDescent="0.25">
      <c r="AS798" s="202"/>
      <c r="AU798" s="154"/>
      <c r="AV798" s="103"/>
      <c r="AW798" s="200"/>
      <c r="AX798" s="334"/>
      <c r="AY798" s="334"/>
      <c r="AZ798" s="334"/>
      <c r="BA798" s="201"/>
      <c r="BB798" s="334"/>
      <c r="BC798" s="334"/>
      <c r="BD798" s="334"/>
      <c r="BE798" s="201"/>
      <c r="BG798" s="336"/>
      <c r="BH798" s="334"/>
      <c r="BI798" s="334"/>
      <c r="BJ798" s="334"/>
      <c r="BK798" s="336"/>
      <c r="BL798" s="337"/>
      <c r="BM798" s="334"/>
      <c r="BN798" s="336"/>
      <c r="BO798" s="334"/>
      <c r="BP798" s="336"/>
      <c r="BQ798" s="334"/>
      <c r="BR798" s="334"/>
      <c r="BS798" s="334"/>
      <c r="BT798" s="336"/>
      <c r="BU798" s="337"/>
      <c r="BV798" s="334"/>
      <c r="BW798" s="336"/>
    </row>
    <row r="799" spans="45:75" x14ac:dyDescent="0.25">
      <c r="AS799" s="202"/>
      <c r="AV799" s="103"/>
      <c r="AW799" s="200"/>
      <c r="AX799" s="334"/>
      <c r="AY799" s="334"/>
      <c r="AZ799" s="334"/>
      <c r="BA799" s="201"/>
      <c r="BB799" s="334"/>
      <c r="BC799" s="334"/>
      <c r="BD799" s="334"/>
      <c r="BE799" s="201"/>
      <c r="BG799" s="334"/>
      <c r="BH799" s="334"/>
      <c r="BI799" s="334"/>
      <c r="BJ799" s="334"/>
      <c r="BK799" s="334"/>
      <c r="BL799" s="337"/>
      <c r="BM799" s="334"/>
      <c r="BN799" s="334"/>
      <c r="BO799" s="334"/>
      <c r="BP799" s="334"/>
      <c r="BQ799" s="334"/>
      <c r="BR799" s="334"/>
      <c r="BS799" s="334"/>
      <c r="BT799" s="334"/>
      <c r="BU799" s="337"/>
      <c r="BV799" s="334"/>
      <c r="BW799" s="334"/>
    </row>
    <row r="800" spans="45:75" x14ac:dyDescent="0.25">
      <c r="AS800" s="202"/>
      <c r="AV800" s="103"/>
      <c r="AW800" s="200"/>
      <c r="AX800" s="334"/>
      <c r="AY800" s="334"/>
      <c r="AZ800" s="334"/>
      <c r="BA800" s="201"/>
      <c r="BB800" s="334"/>
      <c r="BC800" s="334"/>
      <c r="BD800" s="334"/>
      <c r="BE800" s="201"/>
      <c r="BG800" s="334"/>
      <c r="BH800" s="334"/>
      <c r="BI800" s="334"/>
      <c r="BJ800" s="334"/>
      <c r="BK800" s="334"/>
      <c r="BL800" s="337"/>
      <c r="BM800" s="334"/>
      <c r="BN800" s="334"/>
      <c r="BO800" s="334"/>
      <c r="BP800" s="334"/>
      <c r="BQ800" s="334"/>
      <c r="BR800" s="334"/>
      <c r="BS800" s="334"/>
      <c r="BT800" s="334"/>
      <c r="BU800" s="337"/>
      <c r="BV800" s="334"/>
      <c r="BW800" s="334"/>
    </row>
    <row r="801" spans="45:75" x14ac:dyDescent="0.25">
      <c r="AS801" s="202"/>
      <c r="AV801" s="103"/>
      <c r="AW801" s="200"/>
      <c r="AX801" s="334"/>
      <c r="AY801" s="334"/>
      <c r="AZ801" s="334"/>
      <c r="BA801" s="201"/>
      <c r="BB801" s="334"/>
      <c r="BC801" s="334"/>
      <c r="BD801" s="334"/>
      <c r="BE801" s="201"/>
      <c r="BG801" s="334"/>
      <c r="BH801" s="334"/>
      <c r="BI801" s="334"/>
      <c r="BJ801" s="334"/>
      <c r="BK801" s="334"/>
      <c r="BL801" s="337"/>
      <c r="BM801" s="334"/>
      <c r="BN801" s="334"/>
      <c r="BO801" s="334"/>
      <c r="BP801" s="334"/>
      <c r="BQ801" s="334"/>
      <c r="BR801" s="334"/>
      <c r="BS801" s="334"/>
      <c r="BT801" s="334"/>
      <c r="BU801" s="337"/>
      <c r="BV801" s="334"/>
      <c r="BW801" s="334"/>
    </row>
    <row r="802" spans="45:75" x14ac:dyDescent="0.25">
      <c r="AX802" s="334"/>
      <c r="AY802" s="334"/>
      <c r="AZ802" s="334"/>
      <c r="BA802" s="201"/>
      <c r="BB802" s="334"/>
      <c r="BC802" s="334"/>
      <c r="BD802" s="334"/>
      <c r="BE802" s="201"/>
      <c r="BG802" s="334"/>
      <c r="BH802" s="334"/>
      <c r="BI802" s="334"/>
      <c r="BJ802" s="334"/>
      <c r="BK802" s="334"/>
      <c r="BL802" s="334"/>
      <c r="BM802" s="334"/>
      <c r="BN802" s="334"/>
      <c r="BO802" s="334"/>
      <c r="BP802" s="334"/>
      <c r="BQ802" s="334"/>
      <c r="BR802" s="334"/>
      <c r="BS802" s="334"/>
      <c r="BT802" s="334"/>
      <c r="BU802" s="334"/>
      <c r="BV802" s="334"/>
    </row>
    <row r="803" spans="45:75" x14ac:dyDescent="0.25">
      <c r="AU803" s="154"/>
    </row>
    <row r="804" spans="45:75" x14ac:dyDescent="0.25">
      <c r="AU804" s="154"/>
      <c r="AZ804" s="334"/>
      <c r="BA804" s="201"/>
      <c r="BB804" s="334"/>
      <c r="BC804" s="334"/>
      <c r="BD804" s="334"/>
      <c r="BE804" s="201"/>
      <c r="BG804" s="334"/>
      <c r="BH804" s="334"/>
      <c r="BI804" s="334"/>
      <c r="BJ804" s="334"/>
      <c r="BK804" s="334"/>
      <c r="BL804" s="334"/>
      <c r="BM804" s="334"/>
      <c r="BN804" s="334"/>
      <c r="BO804" s="334"/>
      <c r="BP804" s="334"/>
      <c r="BQ804" s="334"/>
      <c r="BR804" s="334"/>
      <c r="BS804" s="334"/>
      <c r="BT804" s="334"/>
      <c r="BU804" s="334"/>
      <c r="BV804" s="334"/>
    </row>
    <row r="805" spans="45:75" x14ac:dyDescent="0.25">
      <c r="AS805" s="154"/>
      <c r="AZ805" s="334"/>
      <c r="BB805" s="334"/>
    </row>
    <row r="806" spans="45:75" x14ac:dyDescent="0.25">
      <c r="AY806" s="202"/>
      <c r="AZ806" s="334"/>
      <c r="BB806" s="334"/>
      <c r="BO806" s="334"/>
      <c r="BP806" s="334"/>
      <c r="BQ806" s="334"/>
      <c r="BR806" s="334"/>
      <c r="BS806" s="334"/>
      <c r="BT806" s="334"/>
      <c r="BU806" s="334"/>
      <c r="BV806" s="334"/>
    </row>
    <row r="807" spans="45:75" x14ac:dyDescent="0.25">
      <c r="AY807" s="334"/>
      <c r="AZ807" s="334"/>
      <c r="BB807" s="334"/>
      <c r="BO807" s="334"/>
      <c r="BP807" s="334"/>
      <c r="BQ807" s="334"/>
      <c r="BR807" s="334"/>
      <c r="BS807" s="334"/>
      <c r="BT807" s="334"/>
      <c r="BU807" s="334"/>
      <c r="BV807" s="334"/>
    </row>
    <row r="808" spans="45:75" x14ac:dyDescent="0.25">
      <c r="AY808" s="154"/>
      <c r="AZ808" s="334"/>
      <c r="BB808" s="334"/>
      <c r="BO808" s="334"/>
      <c r="BP808" s="334"/>
      <c r="BQ808" s="334"/>
      <c r="BR808" s="334"/>
      <c r="BS808" s="334"/>
      <c r="BT808" s="334"/>
      <c r="BU808" s="334"/>
      <c r="BV808" s="334"/>
    </row>
    <row r="809" spans="45:75" x14ac:dyDescent="0.25">
      <c r="AY809" s="154"/>
      <c r="AZ809" s="334"/>
      <c r="BB809" s="334"/>
      <c r="BO809" s="334"/>
      <c r="BP809" s="334"/>
      <c r="BQ809" s="334"/>
      <c r="BR809" s="334"/>
      <c r="BS809" s="334"/>
      <c r="BT809" s="334"/>
      <c r="BU809" s="334"/>
      <c r="BV809" s="334"/>
    </row>
    <row r="810" spans="45:75" x14ac:dyDescent="0.25">
      <c r="AS810" s="202"/>
      <c r="AZ810" s="334"/>
      <c r="BB810" s="334"/>
      <c r="BD810" s="154"/>
      <c r="BO810" s="334"/>
      <c r="BP810" s="334"/>
      <c r="BQ810" s="334"/>
      <c r="BR810" s="334"/>
      <c r="BS810" s="334"/>
      <c r="BT810" s="334"/>
      <c r="BU810" s="334"/>
      <c r="BV810" s="334"/>
    </row>
    <row r="811" spans="45:75" x14ac:dyDescent="0.25">
      <c r="AS811" s="202"/>
      <c r="AZ811" s="334"/>
      <c r="BB811" s="334"/>
      <c r="BD811" s="154"/>
      <c r="BO811" s="334"/>
      <c r="BP811" s="334"/>
      <c r="BQ811" s="334"/>
      <c r="BR811" s="334"/>
      <c r="BS811" s="334"/>
      <c r="BT811" s="334"/>
      <c r="BU811" s="334"/>
      <c r="BV811" s="334"/>
    </row>
    <row r="812" spans="45:75" x14ac:dyDescent="0.25">
      <c r="AS812" s="154"/>
      <c r="AZ812" s="334"/>
      <c r="BB812" s="334"/>
      <c r="BD812" s="154"/>
      <c r="BO812" s="334"/>
      <c r="BP812" s="334"/>
      <c r="BQ812" s="334"/>
      <c r="BR812" s="334"/>
      <c r="BS812" s="334"/>
      <c r="BT812" s="334"/>
      <c r="BU812" s="334"/>
      <c r="BV812" s="334"/>
    </row>
    <row r="813" spans="45:75" x14ac:dyDescent="0.25">
      <c r="AZ813" s="334"/>
      <c r="BB813" s="334"/>
      <c r="BD813" s="202"/>
      <c r="BO813" s="334"/>
      <c r="BP813" s="334"/>
      <c r="BQ813" s="334"/>
      <c r="BR813" s="334"/>
      <c r="BS813" s="334"/>
      <c r="BT813" s="334"/>
      <c r="BU813" s="334"/>
      <c r="BV813" s="334"/>
    </row>
    <row r="814" spans="45:75" x14ac:dyDescent="0.25">
      <c r="AS814" s="102"/>
      <c r="AT814" s="102"/>
      <c r="AU814" s="102"/>
      <c r="AV814" s="102"/>
      <c r="AW814" s="102"/>
      <c r="AX814" s="102"/>
      <c r="AY814" s="102"/>
      <c r="AZ814" s="335"/>
      <c r="BA814" s="102"/>
      <c r="BB814" s="335"/>
      <c r="BC814" s="102"/>
      <c r="BD814" s="102"/>
      <c r="BE814" s="102"/>
      <c r="BO814" s="334"/>
      <c r="BP814" s="334"/>
      <c r="BQ814" s="334"/>
      <c r="BR814" s="334"/>
      <c r="BS814" s="334"/>
      <c r="BT814" s="334"/>
      <c r="BU814" s="334"/>
      <c r="BV814" s="334"/>
    </row>
    <row r="815" spans="45:75" x14ac:dyDescent="0.25">
      <c r="AX815" s="154"/>
      <c r="AZ815" s="334"/>
      <c r="BB815" s="334"/>
      <c r="BO815" s="334"/>
      <c r="BP815" s="334"/>
      <c r="BQ815" s="334"/>
      <c r="BR815" s="334"/>
      <c r="BS815" s="334"/>
      <c r="BT815" s="334"/>
      <c r="BU815" s="334"/>
      <c r="BV815" s="334"/>
    </row>
    <row r="816" spans="45:75" x14ac:dyDescent="0.25">
      <c r="AX816" s="102"/>
      <c r="AY816" s="102"/>
      <c r="AZ816" s="335"/>
      <c r="BA816" s="102"/>
      <c r="BB816" s="334"/>
      <c r="BC816" s="103"/>
      <c r="BD816" s="103"/>
      <c r="BO816" s="334"/>
      <c r="BP816" s="334"/>
      <c r="BQ816" s="334"/>
      <c r="BR816" s="334"/>
      <c r="BS816" s="334"/>
      <c r="BT816" s="334"/>
      <c r="BU816" s="334"/>
      <c r="BV816" s="334"/>
    </row>
    <row r="817" spans="45:71" x14ac:dyDescent="0.25">
      <c r="AV817" s="103"/>
      <c r="AW817" s="103"/>
      <c r="AZ817" s="336"/>
      <c r="BA817" s="103"/>
      <c r="BB817" s="334"/>
      <c r="BC817" s="103"/>
      <c r="BD817" s="103"/>
      <c r="BE817" s="103"/>
      <c r="BG817" s="102"/>
      <c r="BH817" s="154"/>
      <c r="BK817" s="102"/>
      <c r="BM817" s="102"/>
      <c r="BN817" s="154"/>
      <c r="BQ817" s="102"/>
    </row>
    <row r="818" spans="45:71" x14ac:dyDescent="0.25">
      <c r="AV818" s="103"/>
      <c r="AW818" s="103"/>
      <c r="AX818" s="103"/>
      <c r="AY818" s="103"/>
      <c r="AZ818" s="336"/>
      <c r="BA818" s="103"/>
      <c r="BB818" s="336"/>
      <c r="BC818" s="103"/>
      <c r="BD818" s="103"/>
      <c r="BE818" s="103"/>
      <c r="BH818" s="103"/>
      <c r="BI818" s="103"/>
      <c r="BN818" s="103"/>
      <c r="BO818" s="103"/>
    </row>
    <row r="819" spans="45:71" x14ac:dyDescent="0.25">
      <c r="AS819" s="103"/>
      <c r="AU819" s="154"/>
      <c r="AV819" s="103"/>
      <c r="AW819" s="103"/>
      <c r="AX819" s="103"/>
      <c r="AY819" s="103"/>
      <c r="AZ819" s="336"/>
      <c r="BA819" s="103"/>
      <c r="BB819" s="336"/>
      <c r="BC819" s="103"/>
      <c r="BD819" s="103"/>
      <c r="BE819" s="103"/>
      <c r="BG819" s="103"/>
      <c r="BH819" s="103"/>
      <c r="BI819" s="103"/>
      <c r="BJ819" s="103"/>
      <c r="BK819" s="103"/>
      <c r="BM819" s="103"/>
      <c r="BN819" s="103"/>
      <c r="BO819" s="103"/>
      <c r="BP819" s="103"/>
      <c r="BQ819" s="103"/>
    </row>
    <row r="820" spans="45:71" x14ac:dyDescent="0.25">
      <c r="AS820" s="103"/>
      <c r="AU820" s="154"/>
      <c r="AV820" s="103"/>
      <c r="AW820" s="103"/>
      <c r="AX820" s="103"/>
      <c r="AY820" s="103"/>
      <c r="AZ820" s="336"/>
      <c r="BA820" s="103"/>
      <c r="BB820" s="336"/>
      <c r="BC820" s="103"/>
      <c r="BD820" s="103"/>
      <c r="BE820" s="103"/>
      <c r="BG820" s="103"/>
      <c r="BH820" s="103"/>
      <c r="BI820" s="103"/>
      <c r="BJ820" s="103"/>
      <c r="BK820" s="103"/>
      <c r="BM820" s="103"/>
      <c r="BN820" s="103"/>
      <c r="BO820" s="103"/>
      <c r="BP820" s="103"/>
      <c r="BQ820" s="103"/>
    </row>
    <row r="821" spans="45:71" x14ac:dyDescent="0.25">
      <c r="AS821" s="102"/>
      <c r="AT821" s="102"/>
      <c r="AU821" s="102"/>
      <c r="AV821" s="102"/>
      <c r="AW821" s="102"/>
      <c r="AX821" s="102"/>
      <c r="AY821" s="102"/>
      <c r="AZ821" s="335"/>
      <c r="BA821" s="102"/>
      <c r="BB821" s="335"/>
      <c r="BC821" s="102"/>
      <c r="BD821" s="102"/>
      <c r="BE821" s="102"/>
      <c r="BG821" s="102"/>
      <c r="BH821" s="102"/>
      <c r="BI821" s="102"/>
      <c r="BJ821" s="102"/>
      <c r="BK821" s="102"/>
      <c r="BM821" s="102"/>
      <c r="BN821" s="102"/>
      <c r="BO821" s="102"/>
      <c r="BP821" s="102"/>
      <c r="BQ821" s="102"/>
    </row>
    <row r="822" spans="45:71" x14ac:dyDescent="0.25">
      <c r="AV822" s="103"/>
      <c r="AW822" s="103"/>
      <c r="AX822" s="103"/>
      <c r="AY822" s="103"/>
      <c r="AZ822" s="336"/>
      <c r="BA822" s="103"/>
      <c r="BB822" s="336"/>
      <c r="BC822" s="103"/>
      <c r="BD822" s="103"/>
      <c r="BE822" s="103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</row>
    <row r="823" spans="45:71" x14ac:dyDescent="0.25">
      <c r="AS823" s="202"/>
      <c r="AT823" s="154"/>
      <c r="AV823" s="200"/>
      <c r="AW823" s="200"/>
      <c r="AX823" s="334"/>
      <c r="AY823" s="334"/>
      <c r="AZ823" s="334"/>
      <c r="BA823" s="201"/>
      <c r="BB823" s="334"/>
      <c r="BC823" s="334"/>
      <c r="BD823" s="334"/>
      <c r="BE823" s="201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</row>
    <row r="824" spans="45:71" x14ac:dyDescent="0.25">
      <c r="AS824" s="202"/>
      <c r="AV824" s="200"/>
      <c r="AW824" s="200"/>
      <c r="AX824" s="334"/>
      <c r="AY824" s="334"/>
      <c r="AZ824" s="334"/>
      <c r="BA824" s="201"/>
      <c r="BB824" s="334"/>
      <c r="BC824" s="334"/>
      <c r="BD824" s="334"/>
      <c r="BE824" s="201"/>
      <c r="BG824" s="334"/>
      <c r="BH824" s="334"/>
      <c r="BI824" s="334"/>
      <c r="BJ824" s="334"/>
      <c r="BK824" s="334"/>
      <c r="BL824" s="334"/>
      <c r="BM824" s="334"/>
      <c r="BN824" s="334"/>
      <c r="BO824" s="334"/>
      <c r="BP824" s="334"/>
      <c r="BQ824" s="334"/>
      <c r="BR824" s="334"/>
      <c r="BS824" s="334"/>
    </row>
    <row r="825" spans="45:71" x14ac:dyDescent="0.25">
      <c r="AS825" s="202"/>
      <c r="AV825" s="200"/>
      <c r="AW825" s="200"/>
      <c r="AX825" s="334"/>
      <c r="AY825" s="334"/>
      <c r="AZ825" s="334"/>
      <c r="BA825" s="201"/>
      <c r="BB825" s="334"/>
      <c r="BC825" s="334"/>
      <c r="BD825" s="334"/>
      <c r="BE825" s="201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  <c r="BR825" s="334"/>
      <c r="BS825" s="334"/>
    </row>
    <row r="826" spans="45:71" x14ac:dyDescent="0.25">
      <c r="AS826" s="202"/>
      <c r="AV826" s="200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</row>
    <row r="827" spans="45:71" x14ac:dyDescent="0.25">
      <c r="AS827" s="202"/>
      <c r="AV827" s="200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</row>
    <row r="828" spans="45:71" x14ac:dyDescent="0.25">
      <c r="AS828" s="202"/>
      <c r="AV828" s="200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</row>
    <row r="829" spans="45:71" x14ac:dyDescent="0.25">
      <c r="AS829" s="202"/>
      <c r="AV829" s="200"/>
      <c r="AW829" s="200"/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</row>
    <row r="830" spans="45:71" x14ac:dyDescent="0.25">
      <c r="AS830" s="202"/>
      <c r="AV830" s="200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</row>
    <row r="831" spans="45:71" x14ac:dyDescent="0.25">
      <c r="AS831" s="202"/>
      <c r="AV831" s="200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</row>
    <row r="832" spans="45:71" x14ac:dyDescent="0.25">
      <c r="AS832" s="202"/>
      <c r="AV832" s="200"/>
      <c r="AW832" s="200"/>
      <c r="AX832" s="334"/>
      <c r="AY832" s="334"/>
      <c r="AZ832" s="334"/>
      <c r="BA832" s="201"/>
      <c r="BB832" s="334"/>
      <c r="BC832" s="334"/>
      <c r="BD832" s="334"/>
      <c r="BE832" s="201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</row>
    <row r="833" spans="45:71" x14ac:dyDescent="0.25">
      <c r="AS833" s="202"/>
      <c r="AV833" s="200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</row>
    <row r="834" spans="45:71" x14ac:dyDescent="0.25">
      <c r="AS834" s="202"/>
      <c r="AV834" s="200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</row>
    <row r="835" spans="45:71" x14ac:dyDescent="0.25">
      <c r="AS835" s="202"/>
      <c r="AV835" s="200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</row>
    <row r="836" spans="45:71" x14ac:dyDescent="0.25">
      <c r="AS836" s="202"/>
      <c r="AV836" s="200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</row>
    <row r="837" spans="45:71" x14ac:dyDescent="0.25">
      <c r="AS837" s="202"/>
      <c r="AV837" s="200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</row>
    <row r="838" spans="45:71" x14ac:dyDescent="0.25">
      <c r="AS838" s="202"/>
      <c r="AV838" s="200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</row>
    <row r="839" spans="45:71" x14ac:dyDescent="0.25">
      <c r="AS839" s="202"/>
      <c r="AV839" s="200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</row>
    <row r="840" spans="45:71" x14ac:dyDescent="0.25">
      <c r="AS840" s="202"/>
      <c r="AV840" s="200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</row>
    <row r="841" spans="45:71" x14ac:dyDescent="0.25">
      <c r="AZ841" s="334"/>
      <c r="BB841" s="334"/>
      <c r="BC841" s="334"/>
      <c r="BD841" s="334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</row>
    <row r="842" spans="45:71" x14ac:dyDescent="0.25">
      <c r="AS842" s="202"/>
      <c r="AT842" s="154"/>
      <c r="AV842" s="200"/>
      <c r="AW842" s="200"/>
      <c r="AX842" s="334"/>
      <c r="AY842" s="334"/>
      <c r="AZ842" s="334"/>
      <c r="BA842" s="201"/>
      <c r="BB842" s="334"/>
      <c r="BC842" s="334"/>
      <c r="BD842" s="334"/>
      <c r="BE842" s="201"/>
    </row>
    <row r="843" spans="45:71" x14ac:dyDescent="0.25">
      <c r="AS843" s="202"/>
      <c r="AV843" s="200"/>
      <c r="AW843" s="200"/>
      <c r="AX843" s="334"/>
      <c r="AY843" s="334"/>
      <c r="AZ843" s="334"/>
      <c r="BA843" s="201"/>
      <c r="BB843" s="334"/>
      <c r="BC843" s="334"/>
      <c r="BD843" s="334"/>
      <c r="BE843" s="201"/>
    </row>
    <row r="844" spans="45:71" x14ac:dyDescent="0.25">
      <c r="AS844" s="202"/>
      <c r="AV844" s="200"/>
      <c r="AW844" s="200"/>
      <c r="AX844" s="334"/>
      <c r="AY844" s="334"/>
      <c r="AZ844" s="334"/>
      <c r="BA844" s="201"/>
      <c r="BB844" s="334"/>
      <c r="BC844" s="334"/>
      <c r="BD844" s="334"/>
      <c r="BE844" s="201"/>
    </row>
    <row r="845" spans="45:71" x14ac:dyDescent="0.25">
      <c r="AS845" s="202"/>
      <c r="AV845" s="200"/>
      <c r="AW845" s="200"/>
      <c r="AX845" s="334"/>
      <c r="AY845" s="334"/>
      <c r="AZ845" s="334"/>
      <c r="BA845" s="201"/>
      <c r="BB845" s="334"/>
      <c r="BC845" s="334"/>
      <c r="BD845" s="334"/>
      <c r="BE845" s="201"/>
    </row>
    <row r="846" spans="45:71" x14ac:dyDescent="0.25">
      <c r="AS846" s="202"/>
      <c r="AV846" s="200"/>
      <c r="AW846" s="200"/>
      <c r="AX846" s="334"/>
      <c r="AY846" s="334"/>
      <c r="AZ846" s="334"/>
      <c r="BA846" s="201"/>
      <c r="BB846" s="334"/>
      <c r="BC846" s="334"/>
      <c r="BD846" s="334"/>
      <c r="BE846" s="201"/>
    </row>
    <row r="847" spans="45:71" x14ac:dyDescent="0.25">
      <c r="AS847" s="202"/>
      <c r="AV847" s="200"/>
      <c r="AW847" s="200"/>
      <c r="AX847" s="334"/>
      <c r="AY847" s="334"/>
      <c r="AZ847" s="334"/>
      <c r="BA847" s="201"/>
      <c r="BB847" s="334"/>
      <c r="BC847" s="334"/>
      <c r="BD847" s="334"/>
      <c r="BE847" s="201"/>
    </row>
    <row r="848" spans="45:71" x14ac:dyDescent="0.25">
      <c r="AS848" s="202"/>
      <c r="AV848" s="200"/>
      <c r="AW848" s="200"/>
      <c r="AX848" s="334"/>
      <c r="AY848" s="334"/>
      <c r="AZ848" s="334"/>
      <c r="BA848" s="201"/>
      <c r="BB848" s="334"/>
      <c r="BC848" s="334"/>
      <c r="BD848" s="334"/>
      <c r="BE848" s="201"/>
    </row>
    <row r="849" spans="45:57" x14ac:dyDescent="0.25">
      <c r="AS849" s="202"/>
      <c r="AV849" s="200"/>
      <c r="AW849" s="200"/>
      <c r="AX849" s="334"/>
      <c r="AY849" s="334"/>
      <c r="AZ849" s="334"/>
      <c r="BA849" s="201"/>
      <c r="BB849" s="334"/>
      <c r="BC849" s="334"/>
      <c r="BD849" s="334"/>
      <c r="BE849" s="201"/>
    </row>
    <row r="850" spans="45:57" x14ac:dyDescent="0.25">
      <c r="AS850" s="202"/>
      <c r="AV850" s="200"/>
      <c r="AW850" s="200"/>
      <c r="AX850" s="334"/>
      <c r="AY850" s="334"/>
      <c r="AZ850" s="334"/>
      <c r="BA850" s="201"/>
      <c r="BB850" s="334"/>
      <c r="BC850" s="334"/>
      <c r="BD850" s="334"/>
      <c r="BE850" s="201"/>
    </row>
    <row r="851" spans="45:57" x14ac:dyDescent="0.25">
      <c r="AS851" s="202"/>
      <c r="AV851" s="200"/>
      <c r="AW851" s="200"/>
      <c r="AX851" s="334"/>
      <c r="AY851" s="334"/>
      <c r="AZ851" s="334"/>
      <c r="BA851" s="201"/>
      <c r="BB851" s="334"/>
      <c r="BC851" s="334"/>
      <c r="BD851" s="334"/>
      <c r="BE851" s="201"/>
    </row>
    <row r="852" spans="45:57" x14ac:dyDescent="0.25">
      <c r="AS852" s="202"/>
      <c r="AV852" s="200"/>
      <c r="AW852" s="200"/>
      <c r="AX852" s="334"/>
      <c r="AY852" s="334"/>
      <c r="AZ852" s="334"/>
      <c r="BA852" s="201"/>
      <c r="BB852" s="334"/>
      <c r="BC852" s="334"/>
      <c r="BD852" s="334"/>
      <c r="BE852" s="201"/>
    </row>
    <row r="853" spans="45:57" x14ac:dyDescent="0.25">
      <c r="AS853" s="202"/>
      <c r="AV853" s="200"/>
      <c r="AW853" s="200"/>
      <c r="AX853" s="334"/>
      <c r="AY853" s="334"/>
      <c r="AZ853" s="334"/>
      <c r="BA853" s="201"/>
      <c r="BB853" s="334"/>
      <c r="BC853" s="334"/>
      <c r="BD853" s="334"/>
      <c r="BE853" s="201"/>
    </row>
    <row r="854" spans="45:57" x14ac:dyDescent="0.25">
      <c r="AS854" s="202"/>
      <c r="AV854" s="200"/>
      <c r="AW854" s="200"/>
      <c r="AX854" s="334"/>
      <c r="AY854" s="334"/>
      <c r="AZ854" s="334"/>
      <c r="BA854" s="201"/>
      <c r="BB854" s="334"/>
      <c r="BC854" s="334"/>
      <c r="BD854" s="334"/>
      <c r="BE854" s="201"/>
    </row>
    <row r="855" spans="45:57" x14ac:dyDescent="0.25">
      <c r="AS855" s="202"/>
      <c r="AV855" s="200"/>
      <c r="AW855" s="200"/>
      <c r="AX855" s="334"/>
      <c r="AY855" s="334"/>
      <c r="AZ855" s="334"/>
      <c r="BA855" s="201"/>
      <c r="BB855" s="334"/>
      <c r="BC855" s="334"/>
      <c r="BD855" s="334"/>
      <c r="BE855" s="201"/>
    </row>
    <row r="856" spans="45:57" x14ac:dyDescent="0.25">
      <c r="AS856" s="202"/>
      <c r="AV856" s="200"/>
      <c r="AW856" s="200"/>
      <c r="AX856" s="334"/>
      <c r="AY856" s="334"/>
      <c r="AZ856" s="334"/>
      <c r="BA856" s="201"/>
      <c r="BB856" s="334"/>
      <c r="BC856" s="334"/>
      <c r="BD856" s="334"/>
      <c r="BE856" s="201"/>
    </row>
    <row r="857" spans="45:57" x14ac:dyDescent="0.25">
      <c r="AS857" s="202"/>
      <c r="AV857" s="200"/>
      <c r="AW857" s="200"/>
      <c r="AX857" s="334"/>
      <c r="AY857" s="334"/>
      <c r="AZ857" s="334"/>
      <c r="BA857" s="201"/>
      <c r="BB857" s="334"/>
      <c r="BC857" s="334"/>
      <c r="BD857" s="334"/>
      <c r="BE857" s="201"/>
    </row>
    <row r="858" spans="45:57" x14ac:dyDescent="0.25">
      <c r="AS858" s="202"/>
      <c r="AV858" s="200"/>
      <c r="AW858" s="200"/>
      <c r="AX858" s="334"/>
      <c r="AY858" s="334"/>
      <c r="AZ858" s="334"/>
      <c r="BA858" s="201"/>
      <c r="BB858" s="334"/>
      <c r="BC858" s="334"/>
      <c r="BD858" s="334"/>
      <c r="BE858" s="201"/>
    </row>
    <row r="859" spans="45:57" x14ac:dyDescent="0.25">
      <c r="AS859" s="202"/>
      <c r="AV859" s="200"/>
      <c r="AW859" s="200"/>
      <c r="AX859" s="334"/>
      <c r="AY859" s="334"/>
      <c r="AZ859" s="334"/>
      <c r="BA859" s="201"/>
      <c r="BB859" s="334"/>
      <c r="BC859" s="334"/>
      <c r="BD859" s="334"/>
      <c r="BE859" s="201"/>
    </row>
    <row r="860" spans="45:57" x14ac:dyDescent="0.25">
      <c r="BB860" s="334"/>
    </row>
    <row r="861" spans="45:57" x14ac:dyDescent="0.25">
      <c r="AU861" s="154"/>
      <c r="BB861" s="334"/>
    </row>
    <row r="862" spans="45:57" x14ac:dyDescent="0.25">
      <c r="AU862" s="154"/>
    </row>
    <row r="863" spans="45:57" x14ac:dyDescent="0.25">
      <c r="AU863" s="154"/>
      <c r="BB863" s="334"/>
    </row>
    <row r="864" spans="45:57" x14ac:dyDescent="0.25">
      <c r="AS864" s="154"/>
      <c r="AZ864" s="334"/>
      <c r="BB864" s="334"/>
    </row>
    <row r="865" spans="45:57" x14ac:dyDescent="0.25">
      <c r="AY865" s="202"/>
      <c r="AZ865" s="334"/>
      <c r="BB865" s="334"/>
    </row>
    <row r="866" spans="45:57" x14ac:dyDescent="0.25">
      <c r="AY866" s="334"/>
      <c r="AZ866" s="334"/>
      <c r="BB866" s="334"/>
    </row>
    <row r="867" spans="45:57" x14ac:dyDescent="0.25">
      <c r="AY867" s="154"/>
      <c r="AZ867" s="334"/>
      <c r="BB867" s="334"/>
    </row>
    <row r="868" spans="45:57" x14ac:dyDescent="0.25">
      <c r="AY868" s="154"/>
      <c r="AZ868" s="334"/>
      <c r="BB868" s="334"/>
    </row>
    <row r="869" spans="45:57" x14ac:dyDescent="0.25">
      <c r="AS869" s="202"/>
      <c r="AZ869" s="334"/>
      <c r="BB869" s="334"/>
      <c r="BD869" s="154"/>
    </row>
    <row r="870" spans="45:57" x14ac:dyDescent="0.25">
      <c r="AS870" s="202"/>
      <c r="AZ870" s="334"/>
      <c r="BB870" s="334"/>
      <c r="BD870" s="154"/>
    </row>
    <row r="871" spans="45:57" x14ac:dyDescent="0.25">
      <c r="AS871" s="154"/>
      <c r="AZ871" s="334"/>
      <c r="BB871" s="334"/>
      <c r="BD871" s="154"/>
    </row>
    <row r="872" spans="45:57" x14ac:dyDescent="0.25">
      <c r="AZ872" s="334"/>
      <c r="BB872" s="334"/>
      <c r="BD872" s="202"/>
    </row>
    <row r="873" spans="45:57" x14ac:dyDescent="0.25">
      <c r="AS873" s="102"/>
      <c r="AT873" s="102"/>
      <c r="AU873" s="102"/>
      <c r="AV873" s="102"/>
      <c r="AW873" s="102"/>
      <c r="AX873" s="102"/>
      <c r="AY873" s="102"/>
      <c r="AZ873" s="335"/>
      <c r="BA873" s="102"/>
      <c r="BB873" s="335"/>
      <c r="BC873" s="102"/>
      <c r="BD873" s="102"/>
      <c r="BE873" s="102"/>
    </row>
    <row r="874" spans="45:57" x14ac:dyDescent="0.25">
      <c r="AX874" s="154"/>
      <c r="AZ874" s="334"/>
      <c r="BB874" s="334"/>
    </row>
    <row r="875" spans="45:57" x14ac:dyDescent="0.25">
      <c r="AX875" s="102"/>
      <c r="AY875" s="102"/>
      <c r="AZ875" s="335"/>
      <c r="BA875" s="102"/>
      <c r="BB875" s="334"/>
      <c r="BC875" s="103"/>
      <c r="BD875" s="103"/>
    </row>
    <row r="876" spans="45:57" x14ac:dyDescent="0.25">
      <c r="AV876" s="103"/>
      <c r="AW876" s="103"/>
      <c r="AZ876" s="336"/>
      <c r="BA876" s="103"/>
      <c r="BB876" s="334"/>
      <c r="BC876" s="103"/>
      <c r="BD876" s="103"/>
      <c r="BE876" s="103"/>
    </row>
    <row r="877" spans="45:57" x14ac:dyDescent="0.25">
      <c r="AV877" s="103"/>
      <c r="AW877" s="103"/>
      <c r="AX877" s="103"/>
      <c r="AY877" s="103"/>
      <c r="AZ877" s="336"/>
      <c r="BA877" s="103"/>
      <c r="BB877" s="336"/>
      <c r="BC877" s="103"/>
      <c r="BD877" s="103"/>
      <c r="BE877" s="103"/>
    </row>
    <row r="878" spans="45:57" x14ac:dyDescent="0.25">
      <c r="AS878" s="103"/>
      <c r="AU878" s="154"/>
      <c r="AV878" s="103"/>
      <c r="AW878" s="103"/>
      <c r="AX878" s="103"/>
      <c r="AY878" s="103"/>
      <c r="AZ878" s="336"/>
      <c r="BA878" s="103"/>
      <c r="BB878" s="336"/>
      <c r="BC878" s="103"/>
      <c r="BD878" s="103"/>
      <c r="BE878" s="103"/>
    </row>
    <row r="879" spans="45:57" x14ac:dyDescent="0.25">
      <c r="AS879" s="103"/>
      <c r="AU879" s="154"/>
      <c r="AV879" s="103"/>
      <c r="AW879" s="103"/>
      <c r="AX879" s="103"/>
      <c r="AY879" s="103"/>
      <c r="AZ879" s="336"/>
      <c r="BA879" s="103"/>
      <c r="BB879" s="336"/>
      <c r="BC879" s="103"/>
      <c r="BD879" s="103"/>
      <c r="BE879" s="103"/>
    </row>
    <row r="880" spans="45:57" x14ac:dyDescent="0.25">
      <c r="AS880" s="102"/>
      <c r="AT880" s="102"/>
      <c r="AU880" s="102"/>
      <c r="AV880" s="102"/>
      <c r="AW880" s="102"/>
      <c r="AX880" s="102"/>
      <c r="AY880" s="102"/>
      <c r="AZ880" s="335"/>
      <c r="BA880" s="102"/>
      <c r="BB880" s="335"/>
      <c r="BC880" s="102"/>
      <c r="BD880" s="102"/>
      <c r="BE880" s="102"/>
    </row>
    <row r="881" spans="45:57" x14ac:dyDescent="0.25">
      <c r="AV881" s="103"/>
      <c r="AW881" s="103"/>
      <c r="AX881" s="103"/>
      <c r="AY881" s="103"/>
      <c r="AZ881" s="336"/>
      <c r="BA881" s="103"/>
      <c r="BB881" s="336"/>
      <c r="BC881" s="103"/>
      <c r="BD881" s="103"/>
      <c r="BE881" s="103"/>
    </row>
    <row r="882" spans="45:57" x14ac:dyDescent="0.25">
      <c r="AS882" s="202"/>
      <c r="AT882" s="154"/>
      <c r="AV882" s="200"/>
      <c r="AW882" s="200"/>
      <c r="AX882" s="334"/>
      <c r="AY882" s="334"/>
      <c r="AZ882" s="334"/>
      <c r="BA882" s="201"/>
      <c r="BB882" s="334"/>
      <c r="BC882" s="334"/>
      <c r="BD882" s="334"/>
      <c r="BE882" s="201"/>
    </row>
    <row r="883" spans="45:57" x14ac:dyDescent="0.25">
      <c r="AS883" s="202"/>
      <c r="AV883" s="200"/>
      <c r="AW883" s="200"/>
      <c r="AX883" s="334"/>
      <c r="AY883" s="334"/>
      <c r="AZ883" s="334"/>
      <c r="BA883" s="201"/>
      <c r="BB883" s="334"/>
      <c r="BC883" s="334"/>
      <c r="BD883" s="334"/>
      <c r="BE883" s="201"/>
    </row>
    <row r="884" spans="45:57" x14ac:dyDescent="0.25">
      <c r="AS884" s="202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</row>
    <row r="885" spans="45:57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</row>
    <row r="886" spans="45:57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</row>
    <row r="887" spans="45:57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</row>
    <row r="888" spans="45:57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</row>
    <row r="889" spans="45:57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57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57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57" x14ac:dyDescent="0.25">
      <c r="AV892" s="200"/>
      <c r="AW892" s="200"/>
      <c r="BB892" s="334"/>
    </row>
    <row r="893" spans="45:57" x14ac:dyDescent="0.25">
      <c r="AS893" s="202"/>
      <c r="AT893" s="154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4" spans="45:57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</row>
    <row r="895" spans="45:57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</row>
    <row r="896" spans="45:57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</row>
    <row r="897" spans="45:57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</row>
    <row r="898" spans="45:57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</row>
    <row r="899" spans="45:57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</row>
    <row r="900" spans="45:57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57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</row>
    <row r="902" spans="45:57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</row>
    <row r="904" spans="45:57" x14ac:dyDescent="0.25">
      <c r="AU904" s="154"/>
    </row>
    <row r="905" spans="45:57" x14ac:dyDescent="0.25">
      <c r="AU905" s="154"/>
    </row>
    <row r="906" spans="45:57" x14ac:dyDescent="0.25">
      <c r="AU906" s="154"/>
    </row>
    <row r="907" spans="45:57" x14ac:dyDescent="0.25">
      <c r="AS907" s="154"/>
    </row>
    <row r="928" spans="52:71" x14ac:dyDescent="0.25">
      <c r="AZ928" s="334"/>
      <c r="BB928" s="334"/>
      <c r="BC928" s="334"/>
      <c r="BD928" s="334"/>
      <c r="BG928" s="334"/>
      <c r="BH928" s="334"/>
      <c r="BI928" s="334"/>
      <c r="BJ928" s="334"/>
      <c r="BK928" s="334"/>
      <c r="BL928" s="334"/>
      <c r="BM928" s="334"/>
      <c r="BN928" s="334"/>
      <c r="BO928" s="334"/>
      <c r="BP928" s="334"/>
      <c r="BQ928" s="334"/>
      <c r="BR928" s="334"/>
      <c r="BS928" s="334"/>
    </row>
    <row r="929" spans="52:71" x14ac:dyDescent="0.25">
      <c r="AZ929" s="334"/>
      <c r="BB929" s="334"/>
      <c r="BC929" s="334"/>
      <c r="BD929" s="334"/>
      <c r="BG929" s="334"/>
      <c r="BH929" s="334"/>
      <c r="BI929" s="334"/>
      <c r="BJ929" s="334"/>
      <c r="BK929" s="334"/>
      <c r="BL929" s="334"/>
      <c r="BM929" s="334"/>
      <c r="BN929" s="334"/>
      <c r="BO929" s="334"/>
      <c r="BP929" s="334"/>
      <c r="BQ929" s="334"/>
      <c r="BR929" s="334"/>
      <c r="BS929" s="334"/>
    </row>
    <row r="930" spans="52:71" x14ac:dyDescent="0.25">
      <c r="AZ930" s="334"/>
      <c r="BB930" s="334"/>
      <c r="BC930" s="334"/>
      <c r="BD930" s="334"/>
      <c r="BG930" s="334"/>
      <c r="BH930" s="334"/>
      <c r="BI930" s="334"/>
      <c r="BJ930" s="334"/>
      <c r="BK930" s="334"/>
      <c r="BL930" s="334"/>
      <c r="BM930" s="334"/>
      <c r="BN930" s="334"/>
      <c r="BO930" s="334"/>
      <c r="BP930" s="334"/>
      <c r="BQ930" s="334"/>
      <c r="BR930" s="334"/>
      <c r="BS930" s="334"/>
    </row>
    <row r="931" spans="52:71" x14ac:dyDescent="0.25">
      <c r="AZ931" s="334"/>
      <c r="BB931" s="334"/>
      <c r="BC931" s="334"/>
      <c r="BD931" s="334"/>
      <c r="BG931" s="334"/>
      <c r="BH931" s="334"/>
      <c r="BI931" s="334"/>
      <c r="BJ931" s="334"/>
      <c r="BK931" s="334"/>
      <c r="BL931" s="334"/>
      <c r="BM931" s="334"/>
      <c r="BN931" s="334"/>
      <c r="BO931" s="334"/>
      <c r="BP931" s="334"/>
      <c r="BQ931" s="334"/>
      <c r="BR931" s="334"/>
      <c r="BS931" s="334"/>
    </row>
    <row r="932" spans="52:71" x14ac:dyDescent="0.25">
      <c r="AZ932" s="334"/>
      <c r="BB932" s="334"/>
      <c r="BC932" s="334"/>
      <c r="BD932" s="334"/>
      <c r="BG932" s="334"/>
      <c r="BH932" s="334"/>
      <c r="BI932" s="334"/>
      <c r="BJ932" s="334"/>
      <c r="BK932" s="334"/>
      <c r="BL932" s="334"/>
      <c r="BM932" s="334"/>
      <c r="BN932" s="334"/>
      <c r="BO932" s="334"/>
      <c r="BP932" s="334"/>
      <c r="BQ932" s="334"/>
      <c r="BR932" s="334"/>
      <c r="BS932" s="334"/>
    </row>
    <row r="933" spans="52:71" x14ac:dyDescent="0.25">
      <c r="AZ933" s="334"/>
      <c r="BB933" s="334"/>
      <c r="BC933" s="334"/>
      <c r="BD933" s="334"/>
      <c r="BG933" s="334"/>
      <c r="BH933" s="334"/>
      <c r="BI933" s="334"/>
      <c r="BJ933" s="334"/>
      <c r="BK933" s="334"/>
      <c r="BL933" s="334"/>
      <c r="BM933" s="334"/>
      <c r="BN933" s="334"/>
      <c r="BO933" s="334"/>
      <c r="BP933" s="334"/>
      <c r="BQ933" s="334"/>
      <c r="BR933" s="334"/>
      <c r="BS933" s="334"/>
    </row>
    <row r="934" spans="52:71" x14ac:dyDescent="0.25">
      <c r="AZ934" s="334"/>
      <c r="BB934" s="334"/>
      <c r="BC934" s="334"/>
      <c r="BD934" s="334"/>
      <c r="BG934" s="334"/>
      <c r="BH934" s="334"/>
      <c r="BI934" s="334"/>
      <c r="BJ934" s="334"/>
      <c r="BK934" s="334"/>
      <c r="BL934" s="334"/>
      <c r="BM934" s="334"/>
      <c r="BN934" s="334"/>
      <c r="BO934" s="334"/>
      <c r="BP934" s="334"/>
      <c r="BQ934" s="334"/>
      <c r="BR934" s="334"/>
      <c r="BS934" s="334"/>
    </row>
    <row r="935" spans="52:71" x14ac:dyDescent="0.25">
      <c r="AZ935" s="334"/>
      <c r="BB935" s="334"/>
      <c r="BC935" s="334"/>
      <c r="BD935" s="334"/>
      <c r="BG935" s="334"/>
      <c r="BH935" s="334"/>
      <c r="BI935" s="334"/>
      <c r="BJ935" s="334"/>
      <c r="BK935" s="334"/>
      <c r="BL935" s="334"/>
      <c r="BM935" s="334"/>
      <c r="BN935" s="334"/>
      <c r="BO935" s="334"/>
      <c r="BP935" s="334"/>
      <c r="BQ935" s="334"/>
      <c r="BR935" s="334"/>
      <c r="BS935" s="334"/>
    </row>
    <row r="936" spans="52:71" x14ac:dyDescent="0.25">
      <c r="AZ936" s="334"/>
      <c r="BB936" s="334"/>
      <c r="BC936" s="334"/>
      <c r="BD936" s="334"/>
      <c r="BG936" s="334"/>
      <c r="BH936" s="334"/>
      <c r="BI936" s="334"/>
      <c r="BJ936" s="334"/>
      <c r="BK936" s="334"/>
      <c r="BL936" s="334"/>
      <c r="BM936" s="334"/>
      <c r="BN936" s="334"/>
      <c r="BO936" s="334"/>
      <c r="BP936" s="334"/>
      <c r="BQ936" s="334"/>
      <c r="BR936" s="334"/>
      <c r="BS936" s="334"/>
    </row>
    <row r="937" spans="52:71" x14ac:dyDescent="0.25">
      <c r="AZ937" s="334"/>
      <c r="BB937" s="334"/>
      <c r="BC937" s="334"/>
      <c r="BD937" s="334"/>
      <c r="BG937" s="334"/>
      <c r="BH937" s="334"/>
      <c r="BI937" s="334"/>
      <c r="BJ937" s="334"/>
      <c r="BK937" s="334"/>
      <c r="BL937" s="334"/>
      <c r="BM937" s="334"/>
      <c r="BN937" s="334"/>
      <c r="BO937" s="334"/>
      <c r="BP937" s="334"/>
      <c r="BQ937" s="334"/>
      <c r="BR937" s="334"/>
      <c r="BS937" s="334"/>
    </row>
    <row r="938" spans="52:71" x14ac:dyDescent="0.25">
      <c r="AZ938" s="334"/>
      <c r="BB938" s="334"/>
      <c r="BC938" s="334"/>
      <c r="BD938" s="334"/>
      <c r="BG938" s="334"/>
      <c r="BH938" s="334"/>
      <c r="BI938" s="334"/>
      <c r="BJ938" s="334"/>
      <c r="BK938" s="334"/>
      <c r="BL938" s="334"/>
      <c r="BM938" s="334"/>
      <c r="BN938" s="334"/>
      <c r="BO938" s="334"/>
      <c r="BP938" s="334"/>
      <c r="BQ938" s="334"/>
      <c r="BR938" s="334"/>
      <c r="BS938" s="334"/>
    </row>
    <row r="939" spans="52:71" x14ac:dyDescent="0.25">
      <c r="AZ939" s="334"/>
      <c r="BB939" s="334"/>
      <c r="BC939" s="334"/>
      <c r="BD939" s="334"/>
      <c r="BG939" s="334"/>
      <c r="BH939" s="334"/>
      <c r="BI939" s="334"/>
      <c r="BJ939" s="334"/>
      <c r="BK939" s="334"/>
      <c r="BL939" s="334"/>
      <c r="BM939" s="334"/>
      <c r="BN939" s="334"/>
      <c r="BO939" s="334"/>
      <c r="BP939" s="334"/>
      <c r="BQ939" s="334"/>
      <c r="BR939" s="334"/>
      <c r="BS939" s="334"/>
    </row>
    <row r="940" spans="52:71" x14ac:dyDescent="0.25">
      <c r="AZ940" s="334"/>
      <c r="BG940" s="334"/>
      <c r="BH940" s="334"/>
      <c r="BI940" s="334"/>
      <c r="BJ940" s="334"/>
      <c r="BK940" s="334"/>
      <c r="BL940" s="334"/>
      <c r="BM940" s="334"/>
      <c r="BN940" s="334"/>
      <c r="BO940" s="334"/>
      <c r="BP940" s="334"/>
      <c r="BQ940" s="334"/>
      <c r="BR940" s="334"/>
      <c r="BS940" s="334"/>
    </row>
    <row r="941" spans="52:71" x14ac:dyDescent="0.25">
      <c r="AZ941" s="334"/>
      <c r="BG941" s="334"/>
      <c r="BH941" s="334"/>
      <c r="BI941" s="334"/>
      <c r="BJ941" s="334"/>
      <c r="BK941" s="334"/>
      <c r="BL941" s="334"/>
      <c r="BM941" s="334"/>
      <c r="BN941" s="334"/>
      <c r="BO941" s="334"/>
      <c r="BP941" s="334"/>
      <c r="BQ941" s="334"/>
      <c r="BR941" s="334"/>
      <c r="BS941" s="334"/>
    </row>
    <row r="942" spans="52:71" x14ac:dyDescent="0.25">
      <c r="AZ942" s="334"/>
      <c r="BG942" s="334"/>
      <c r="BH942" s="334"/>
      <c r="BI942" s="334"/>
      <c r="BJ942" s="334"/>
      <c r="BK942" s="334"/>
      <c r="BL942" s="334"/>
      <c r="BM942" s="334"/>
      <c r="BN942" s="334"/>
      <c r="BO942" s="334"/>
      <c r="BP942" s="334"/>
      <c r="BQ942" s="334"/>
      <c r="BR942" s="334"/>
      <c r="BS942" s="334"/>
    </row>
    <row r="943" spans="52:71" x14ac:dyDescent="0.25">
      <c r="AZ943" s="334"/>
      <c r="BG943" s="334"/>
      <c r="BH943" s="334"/>
      <c r="BI943" s="334"/>
      <c r="BJ943" s="334"/>
      <c r="BK943" s="334"/>
      <c r="BL943" s="334"/>
      <c r="BM943" s="334"/>
      <c r="BN943" s="334"/>
      <c r="BO943" s="334"/>
      <c r="BP943" s="334"/>
      <c r="BQ943" s="334"/>
      <c r="BR943" s="334"/>
      <c r="BS943" s="334"/>
    </row>
    <row r="944" spans="52:71" x14ac:dyDescent="0.25">
      <c r="AZ944" s="334"/>
      <c r="BG944" s="334"/>
      <c r="BH944" s="334"/>
      <c r="BI944" s="334"/>
      <c r="BJ944" s="334"/>
      <c r="BK944" s="334"/>
      <c r="BL944" s="334"/>
      <c r="BM944" s="334"/>
      <c r="BN944" s="334"/>
      <c r="BO944" s="334"/>
      <c r="BP944" s="334"/>
      <c r="BQ944" s="334"/>
      <c r="BR944" s="334"/>
      <c r="BS944" s="334"/>
    </row>
    <row r="945" spans="52:71" x14ac:dyDescent="0.25">
      <c r="AZ945" s="334"/>
      <c r="BG945" s="334"/>
      <c r="BH945" s="334"/>
      <c r="BI945" s="334"/>
      <c r="BJ945" s="334"/>
      <c r="BK945" s="334"/>
      <c r="BL945" s="334"/>
      <c r="BM945" s="334"/>
      <c r="BN945" s="334"/>
      <c r="BO945" s="334"/>
      <c r="BP945" s="334"/>
      <c r="BQ945" s="334"/>
      <c r="BR945" s="334"/>
      <c r="BS945" s="334"/>
    </row>
    <row r="946" spans="52:71" x14ac:dyDescent="0.25">
      <c r="AZ946" s="334"/>
      <c r="BG946" s="334"/>
      <c r="BH946" s="334"/>
      <c r="BI946" s="334"/>
      <c r="BJ946" s="334"/>
      <c r="BK946" s="334"/>
      <c r="BL946" s="334"/>
      <c r="BM946" s="334"/>
      <c r="BN946" s="334"/>
      <c r="BO946" s="334"/>
      <c r="BP946" s="334"/>
      <c r="BQ946" s="334"/>
      <c r="BR946" s="334"/>
      <c r="BS946" s="334"/>
    </row>
    <row r="947" spans="52:71" x14ac:dyDescent="0.25">
      <c r="AZ947" s="334"/>
    </row>
    <row r="948" spans="52:71" x14ac:dyDescent="0.25">
      <c r="AZ948" s="334"/>
    </row>
    <row r="962" spans="1:28" x14ac:dyDescent="0.25">
      <c r="A962" s="154"/>
    </row>
    <row r="965" spans="1:28" x14ac:dyDescent="0.25">
      <c r="Y965" s="154"/>
    </row>
    <row r="966" spans="1:28" x14ac:dyDescent="0.25">
      <c r="A966" s="154"/>
      <c r="H966" s="154"/>
      <c r="I966" s="154"/>
    </row>
    <row r="967" spans="1:28" x14ac:dyDescent="0.25">
      <c r="A967" s="154"/>
      <c r="V967" s="103"/>
      <c r="AA967" s="103"/>
      <c r="AB967" s="103"/>
    </row>
    <row r="968" spans="1:28" x14ac:dyDescent="0.25">
      <c r="A968" s="154"/>
      <c r="V968" s="102"/>
      <c r="AA968" s="102"/>
      <c r="AB968" s="102"/>
    </row>
    <row r="969" spans="1:28" x14ac:dyDescent="0.25">
      <c r="A969" s="154"/>
      <c r="U969" s="154"/>
      <c r="AA969" s="103"/>
      <c r="AB969" s="103"/>
    </row>
    <row r="970" spans="1:28" x14ac:dyDescent="0.25">
      <c r="A970" s="154"/>
    </row>
    <row r="971" spans="1:28" x14ac:dyDescent="0.25">
      <c r="A971" s="154"/>
      <c r="U971" s="154"/>
      <c r="AA971" s="103"/>
      <c r="AB971" s="103"/>
    </row>
    <row r="972" spans="1:28" x14ac:dyDescent="0.25">
      <c r="A972" s="154"/>
    </row>
    <row r="973" spans="1:28" x14ac:dyDescent="0.25">
      <c r="A973" s="154"/>
      <c r="U973" s="154"/>
      <c r="V973" s="338"/>
      <c r="AA973" s="103"/>
      <c r="AB973" s="103"/>
    </row>
    <row r="974" spans="1:28" x14ac:dyDescent="0.25">
      <c r="A974" s="154"/>
    </row>
    <row r="975" spans="1:28" x14ac:dyDescent="0.25">
      <c r="A975" s="154"/>
      <c r="U975" s="154"/>
      <c r="AA975" s="103"/>
      <c r="AB975" s="103"/>
    </row>
    <row r="976" spans="1:28" x14ac:dyDescent="0.25">
      <c r="A976" s="154"/>
    </row>
    <row r="977" spans="1:28" x14ac:dyDescent="0.25">
      <c r="A977" s="154"/>
      <c r="U977" s="154"/>
      <c r="AA977" s="103"/>
      <c r="AB977" s="103"/>
    </row>
    <row r="978" spans="1:28" x14ac:dyDescent="0.25">
      <c r="A978" s="154"/>
    </row>
    <row r="979" spans="1:28" x14ac:dyDescent="0.25">
      <c r="A979" s="154"/>
    </row>
    <row r="980" spans="1:28" x14ac:dyDescent="0.25">
      <c r="A980" s="154"/>
    </row>
    <row r="981" spans="1:28" x14ac:dyDescent="0.25">
      <c r="A981" s="154"/>
    </row>
    <row r="982" spans="1:28" x14ac:dyDescent="0.25">
      <c r="A982" s="154"/>
    </row>
    <row r="983" spans="1:28" x14ac:dyDescent="0.25">
      <c r="A983" s="154"/>
    </row>
    <row r="984" spans="1:28" x14ac:dyDescent="0.25">
      <c r="A984" s="154"/>
    </row>
    <row r="985" spans="1:28" x14ac:dyDescent="0.25">
      <c r="A985" s="154"/>
    </row>
    <row r="986" spans="1:28" x14ac:dyDescent="0.25">
      <c r="A986" s="154"/>
    </row>
    <row r="987" spans="1:28" x14ac:dyDescent="0.25">
      <c r="A987" s="154"/>
    </row>
    <row r="988" spans="1:28" x14ac:dyDescent="0.25">
      <c r="A988" s="154"/>
      <c r="H988" s="154"/>
      <c r="I988" s="154"/>
    </row>
    <row r="991" spans="1:28" x14ac:dyDescent="0.25">
      <c r="A991" s="154"/>
    </row>
    <row r="994" spans="1:1" x14ac:dyDescent="0.25">
      <c r="A994" s="154"/>
    </row>
    <row r="997" spans="1:1" x14ac:dyDescent="0.25">
      <c r="A997" s="154"/>
    </row>
    <row r="998" spans="1:1" x14ac:dyDescent="0.25">
      <c r="A998" s="154"/>
    </row>
    <row r="999" spans="1:1" x14ac:dyDescent="0.25">
      <c r="A999" s="154"/>
    </row>
    <row r="1000" spans="1:1" x14ac:dyDescent="0.25">
      <c r="A1000" s="154"/>
    </row>
    <row r="1001" spans="1:1" x14ac:dyDescent="0.25">
      <c r="A1001" s="154"/>
    </row>
    <row r="1002" spans="1:1" x14ac:dyDescent="0.25">
      <c r="A1002" s="154"/>
    </row>
    <row r="1003" spans="1:1" x14ac:dyDescent="0.25">
      <c r="A1003" s="154"/>
    </row>
    <row r="1004" spans="1:1" x14ac:dyDescent="0.25">
      <c r="A1004" s="154"/>
    </row>
    <row r="1005" spans="1:1" x14ac:dyDescent="0.25">
      <c r="A1005" s="154"/>
    </row>
    <row r="1006" spans="1:1" x14ac:dyDescent="0.25">
      <c r="A1006" s="154"/>
    </row>
    <row r="1007" spans="1:1" x14ac:dyDescent="0.25">
      <c r="A1007" s="154"/>
    </row>
    <row r="1008" spans="1:1" x14ac:dyDescent="0.25">
      <c r="A1008" s="154"/>
    </row>
    <row r="1009" spans="1:1" x14ac:dyDescent="0.25">
      <c r="A1009" s="154"/>
    </row>
    <row r="1010" spans="1:1" x14ac:dyDescent="0.25">
      <c r="A1010" s="154"/>
    </row>
    <row r="1011" spans="1:1" x14ac:dyDescent="0.25">
      <c r="A1011" s="154"/>
    </row>
    <row r="1012" spans="1:1" x14ac:dyDescent="0.25">
      <c r="A1012" s="154"/>
    </row>
    <row r="1013" spans="1:1" x14ac:dyDescent="0.25">
      <c r="A1013" s="154"/>
    </row>
    <row r="1014" spans="1:1" x14ac:dyDescent="0.25">
      <c r="A1014" s="154"/>
    </row>
    <row r="1015" spans="1:1" x14ac:dyDescent="0.25">
      <c r="A1015" s="154"/>
    </row>
    <row r="1016" spans="1:1" x14ac:dyDescent="0.25">
      <c r="A1016" s="154"/>
    </row>
    <row r="1017" spans="1:1" x14ac:dyDescent="0.25">
      <c r="A1017" s="154"/>
    </row>
    <row r="1018" spans="1:1" x14ac:dyDescent="0.25">
      <c r="A1018" s="154"/>
    </row>
    <row r="1019" spans="1:1" x14ac:dyDescent="0.25">
      <c r="A1019" s="154"/>
    </row>
    <row r="1020" spans="1:1" x14ac:dyDescent="0.25">
      <c r="A1020" s="154"/>
    </row>
    <row r="1021" spans="1:1" x14ac:dyDescent="0.25">
      <c r="A1021" s="154"/>
    </row>
    <row r="1022" spans="1:1" x14ac:dyDescent="0.25">
      <c r="A1022" s="154"/>
    </row>
    <row r="1023" spans="1:1" x14ac:dyDescent="0.25">
      <c r="A1023" s="154"/>
    </row>
    <row r="1024" spans="1:1" x14ac:dyDescent="0.25">
      <c r="A1024" s="154"/>
    </row>
    <row r="1025" spans="1:1" x14ac:dyDescent="0.25">
      <c r="A1025" s="154"/>
    </row>
    <row r="1026" spans="1:1" x14ac:dyDescent="0.25">
      <c r="A1026" s="154"/>
    </row>
    <row r="1027" spans="1:1" x14ac:dyDescent="0.25">
      <c r="A1027" s="154"/>
    </row>
    <row r="1028" spans="1:1" x14ac:dyDescent="0.25">
      <c r="A1028" s="154"/>
    </row>
    <row r="1029" spans="1:1" x14ac:dyDescent="0.25">
      <c r="A1029" s="154"/>
    </row>
    <row r="1030" spans="1:1" x14ac:dyDescent="0.25">
      <c r="A1030" s="154"/>
    </row>
    <row r="1031" spans="1:1" x14ac:dyDescent="0.25">
      <c r="A1031" s="154"/>
    </row>
    <row r="1036" spans="1:1" x14ac:dyDescent="0.25">
      <c r="A1036" s="154"/>
    </row>
    <row r="1037" spans="1:1" x14ac:dyDescent="0.25">
      <c r="A1037" s="154"/>
    </row>
    <row r="1040" spans="1:1" x14ac:dyDescent="0.25">
      <c r="A1040" s="154"/>
    </row>
    <row r="1042" spans="1:1" x14ac:dyDescent="0.25">
      <c r="A1042" s="154"/>
    </row>
    <row r="1044" spans="1:1" x14ac:dyDescent="0.25">
      <c r="A1044" s="154"/>
    </row>
    <row r="1046" spans="1:1" x14ac:dyDescent="0.25">
      <c r="A1046" s="154"/>
    </row>
    <row r="1049" spans="1:1" x14ac:dyDescent="0.25">
      <c r="A1049" s="154"/>
    </row>
    <row r="1050" spans="1:1" x14ac:dyDescent="0.25">
      <c r="A1050" s="154"/>
    </row>
    <row r="1051" spans="1:1" x14ac:dyDescent="0.25">
      <c r="A1051" s="154"/>
    </row>
    <row r="1052" spans="1:1" x14ac:dyDescent="0.25">
      <c r="A1052" s="154"/>
    </row>
    <row r="1053" spans="1:1" x14ac:dyDescent="0.25">
      <c r="A1053" s="154"/>
    </row>
    <row r="1054" spans="1:1" x14ac:dyDescent="0.25">
      <c r="A1054" s="154"/>
    </row>
    <row r="1055" spans="1:1" x14ac:dyDescent="0.25">
      <c r="A1055" s="154"/>
    </row>
    <row r="1056" spans="1:1" x14ac:dyDescent="0.25">
      <c r="A1056" s="154"/>
    </row>
  </sheetData>
  <printOptions horizontalCentered="1"/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70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1" transitionEvaluation="1" transitionEntry="1" codeName="Sheet16"/>
  <dimension ref="A1:BX1154"/>
  <sheetViews>
    <sheetView tabSelected="1" view="pageLayout" topLeftCell="A31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6.77734375" style="101" customWidth="1"/>
    <col min="4" max="4" width="38.6640625" style="101" customWidth="1"/>
    <col min="5" max="5" width="0.332031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1.777343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19.777343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5.5546875" style="101" customWidth="1"/>
    <col min="23" max="23" width="40.88671875" style="101" customWidth="1"/>
    <col min="24" max="24" width="0.664062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1.4414062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50"/>
      <c r="K1" s="187"/>
      <c r="L1" s="187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50"/>
      <c r="K2" s="187"/>
      <c r="L2" s="187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50"/>
      <c r="K4" s="187"/>
      <c r="L4" s="187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87"/>
      <c r="N5" s="187"/>
      <c r="O5" s="150"/>
      <c r="P5" s="150"/>
      <c r="Q5" s="150"/>
      <c r="R5" s="150"/>
      <c r="V5" s="211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V6" s="211"/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768</v>
      </c>
      <c r="V7" s="329"/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V8" s="329"/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N9" s="82"/>
      <c r="O9" s="80"/>
      <c r="P9" s="80"/>
      <c r="Q9" s="80"/>
      <c r="R9" s="159" t="str">
        <f>WIT</f>
        <v>B. L. SAILERS</v>
      </c>
      <c r="V9" s="329"/>
      <c r="AK9" s="297"/>
      <c r="AL9" s="154"/>
    </row>
    <row r="10" spans="1:40" x14ac:dyDescent="0.25">
      <c r="A10" s="187" t="s">
        <v>151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87"/>
      <c r="N10" s="187"/>
      <c r="O10" s="150"/>
      <c r="P10" s="150"/>
      <c r="Q10" s="150"/>
      <c r="R10" s="150"/>
      <c r="V10" s="329"/>
      <c r="W10" s="100"/>
      <c r="AA10" s="154"/>
      <c r="AB10" s="154"/>
      <c r="AK10" s="209"/>
      <c r="AL10" s="202"/>
    </row>
    <row r="11" spans="1:40" x14ac:dyDescent="0.25">
      <c r="A11" s="151"/>
      <c r="B11" s="151"/>
      <c r="C11" s="151"/>
      <c r="D11" s="151"/>
      <c r="E11" s="151"/>
      <c r="F11" s="151"/>
      <c r="G11" s="80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T11" s="102"/>
      <c r="U11" s="102"/>
      <c r="V11" s="329"/>
      <c r="W11" s="273"/>
      <c r="X11" s="102"/>
      <c r="Y11" s="102"/>
      <c r="Z11" s="102"/>
      <c r="AA11" s="102"/>
      <c r="AB11" s="102"/>
      <c r="AC11" s="102"/>
      <c r="AD11" s="102"/>
      <c r="AE11" s="102"/>
      <c r="AF11" s="102"/>
      <c r="AG11" s="208"/>
      <c r="AH11" s="102"/>
      <c r="AI11" s="102"/>
      <c r="AJ11" s="102"/>
      <c r="AK11" s="208"/>
      <c r="AL11" s="102"/>
      <c r="AM11" s="102"/>
      <c r="AN11" s="102"/>
    </row>
    <row r="12" spans="1:40" ht="18" customHeight="1" x14ac:dyDescent="0.25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93" t="s">
        <v>6</v>
      </c>
      <c r="M12" s="193"/>
      <c r="N12" s="193" t="s">
        <v>7</v>
      </c>
      <c r="O12" s="193"/>
      <c r="P12" s="152"/>
      <c r="Q12" s="152"/>
      <c r="R12" s="193" t="s">
        <v>6</v>
      </c>
      <c r="V12" s="329"/>
      <c r="W12" s="100"/>
      <c r="Y12" s="104"/>
      <c r="AA12" s="103"/>
      <c r="AB12" s="103"/>
      <c r="AC12" s="103"/>
      <c r="AD12" s="103"/>
      <c r="AE12" s="103"/>
      <c r="AF12" s="103"/>
      <c r="AG12" s="185"/>
      <c r="AH12" s="103"/>
      <c r="AK12" s="185"/>
      <c r="AL12" s="103"/>
      <c r="AM12" s="103"/>
      <c r="AN12" s="103"/>
    </row>
    <row r="13" spans="1:40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12</v>
      </c>
      <c r="M13" s="83"/>
      <c r="N13" s="83" t="s">
        <v>13</v>
      </c>
      <c r="O13" s="83"/>
      <c r="P13" s="80"/>
      <c r="Q13" s="80"/>
      <c r="R13" s="83" t="s">
        <v>11</v>
      </c>
      <c r="V13" s="329"/>
      <c r="W13" s="273"/>
      <c r="Y13" s="104"/>
      <c r="Z13" s="103"/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3" t="s">
        <v>17</v>
      </c>
      <c r="B14" s="80"/>
      <c r="C14" s="83" t="s">
        <v>18</v>
      </c>
      <c r="D14" s="83" t="s">
        <v>19</v>
      </c>
      <c r="E14" s="83"/>
      <c r="F14" s="83" t="s">
        <v>20</v>
      </c>
      <c r="G14" s="80"/>
      <c r="H14" s="80"/>
      <c r="I14" s="80"/>
      <c r="J14" s="83" t="s">
        <v>6</v>
      </c>
      <c r="K14" s="83"/>
      <c r="L14" s="83" t="s">
        <v>21</v>
      </c>
      <c r="M14" s="83"/>
      <c r="N14" s="83" t="s">
        <v>21</v>
      </c>
      <c r="O14" s="83"/>
      <c r="P14" s="83" t="s">
        <v>21</v>
      </c>
      <c r="Q14" s="83"/>
      <c r="R14" s="83" t="s">
        <v>9</v>
      </c>
      <c r="T14" s="103"/>
      <c r="U14" s="103"/>
      <c r="V14" s="103"/>
      <c r="Y14" s="104"/>
      <c r="Z14" s="103"/>
      <c r="AA14" s="103"/>
      <c r="AB14" s="103"/>
      <c r="AC14" s="103"/>
      <c r="AD14" s="103"/>
      <c r="AE14" s="103"/>
      <c r="AF14" s="103"/>
      <c r="AG14" s="185"/>
      <c r="AH14" s="103"/>
      <c r="AI14" s="103"/>
      <c r="AJ14" s="103"/>
      <c r="AK14" s="185"/>
      <c r="AL14" s="103"/>
      <c r="AM14" s="103"/>
      <c r="AN14" s="103"/>
    </row>
    <row r="15" spans="1:40" x14ac:dyDescent="0.25">
      <c r="A15" s="83" t="s">
        <v>24</v>
      </c>
      <c r="B15" s="80"/>
      <c r="C15" s="83" t="s">
        <v>25</v>
      </c>
      <c r="D15" s="83" t="s">
        <v>26</v>
      </c>
      <c r="E15" s="83"/>
      <c r="F15" s="83" t="s">
        <v>27</v>
      </c>
      <c r="G15" s="80"/>
      <c r="H15" s="83" t="s">
        <v>28</v>
      </c>
      <c r="I15" s="83"/>
      <c r="J15" s="196" t="s">
        <v>431</v>
      </c>
      <c r="K15" s="83"/>
      <c r="L15" s="83" t="s">
        <v>9</v>
      </c>
      <c r="M15" s="83"/>
      <c r="N15" s="83" t="s">
        <v>9</v>
      </c>
      <c r="O15" s="83"/>
      <c r="P15" s="83" t="s">
        <v>430</v>
      </c>
      <c r="Q15" s="83"/>
      <c r="R15" s="256" t="s">
        <v>30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0"/>
      <c r="B16" s="80"/>
      <c r="C16" s="256" t="s">
        <v>35</v>
      </c>
      <c r="D16" s="256" t="s">
        <v>36</v>
      </c>
      <c r="E16" s="256"/>
      <c r="F16" s="256" t="s">
        <v>37</v>
      </c>
      <c r="G16" s="258"/>
      <c r="H16" s="256" t="s">
        <v>38</v>
      </c>
      <c r="I16" s="256"/>
      <c r="J16" s="459" t="s">
        <v>39</v>
      </c>
      <c r="K16" s="256"/>
      <c r="L16" s="256" t="s">
        <v>40</v>
      </c>
      <c r="M16" s="256"/>
      <c r="N16" s="256" t="s">
        <v>41</v>
      </c>
      <c r="O16" s="256"/>
      <c r="P16" s="256" t="s">
        <v>42</v>
      </c>
      <c r="Q16" s="256"/>
      <c r="R16" s="256" t="s">
        <v>43</v>
      </c>
      <c r="T16" s="102"/>
      <c r="U16" s="102"/>
      <c r="V16" s="102"/>
      <c r="W16" s="102"/>
      <c r="X16" s="102"/>
      <c r="Z16" s="102"/>
      <c r="AA16" s="102"/>
      <c r="AB16" s="102"/>
      <c r="AC16" s="102"/>
      <c r="AD16" s="102"/>
      <c r="AE16" s="102"/>
      <c r="AF16" s="102"/>
      <c r="AG16" s="208"/>
      <c r="AH16" s="102"/>
      <c r="AI16" s="102"/>
      <c r="AJ16" s="102"/>
      <c r="AK16" s="208"/>
      <c r="AL16" s="102"/>
      <c r="AM16" s="102"/>
      <c r="AN16" s="102"/>
    </row>
    <row r="17" spans="1:40" ht="17.100000000000001" customHeight="1" x14ac:dyDescent="0.25">
      <c r="A17" s="152"/>
      <c r="B17" s="152"/>
      <c r="C17" s="152"/>
      <c r="D17" s="152"/>
      <c r="E17" s="152"/>
      <c r="F17" s="152"/>
      <c r="G17" s="152"/>
      <c r="H17" s="376" t="s">
        <v>51</v>
      </c>
      <c r="I17" s="376"/>
      <c r="J17" s="460" t="s">
        <v>71</v>
      </c>
      <c r="K17" s="376"/>
      <c r="L17" s="376" t="s">
        <v>52</v>
      </c>
      <c r="M17" s="376"/>
      <c r="N17" s="376" t="s">
        <v>53</v>
      </c>
      <c r="O17" s="376"/>
      <c r="P17" s="376" t="s">
        <v>52</v>
      </c>
      <c r="Q17" s="376"/>
      <c r="R17" s="376" t="s">
        <v>52</v>
      </c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159">
        <v>1</v>
      </c>
      <c r="B18" s="80"/>
      <c r="C18" s="253" t="s">
        <v>94</v>
      </c>
      <c r="D18" s="81"/>
      <c r="E18" s="82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154"/>
      <c r="U18" s="154"/>
    </row>
    <row r="19" spans="1:40" x14ac:dyDescent="0.25">
      <c r="A19" s="80">
        <v>2</v>
      </c>
      <c r="B19" s="80"/>
      <c r="C19" s="461" t="s">
        <v>256</v>
      </c>
      <c r="D19" s="80"/>
      <c r="E19" s="8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154"/>
    </row>
    <row r="20" spans="1:40" x14ac:dyDescent="0.25">
      <c r="A20" s="80">
        <v>3</v>
      </c>
      <c r="B20" s="80"/>
      <c r="C20" s="461" t="s">
        <v>257</v>
      </c>
      <c r="D20" s="80"/>
      <c r="E20" s="8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154"/>
      <c r="AC20" s="101" t="s">
        <v>687</v>
      </c>
    </row>
    <row r="21" spans="1:40" x14ac:dyDescent="0.25">
      <c r="A21" s="80">
        <v>4</v>
      </c>
      <c r="B21" s="80"/>
      <c r="C21" s="81" t="s">
        <v>232</v>
      </c>
      <c r="D21" s="80"/>
      <c r="E21" s="80"/>
      <c r="F21" s="225">
        <v>248</v>
      </c>
      <c r="G21" s="70"/>
      <c r="H21" s="225">
        <f>ROUND(F21*AC21/12,0)</f>
        <v>17629</v>
      </c>
      <c r="I21" s="78"/>
      <c r="J21" s="349">
        <f>ROUND(AC107+AC107*LT_COS_RATE,2)</f>
        <v>9.77</v>
      </c>
      <c r="K21" s="352"/>
      <c r="L21" s="79">
        <f>ROUND((F21*J21),0)</f>
        <v>2423</v>
      </c>
      <c r="M21" s="79"/>
      <c r="N21" s="156">
        <f>ROUND((L21/L$79)*100,1)</f>
        <v>13</v>
      </c>
      <c r="O21" s="156"/>
      <c r="P21" s="79">
        <f>ROUND($P$57/$H$57*H21,0)-1</f>
        <v>17</v>
      </c>
      <c r="Q21" s="79"/>
      <c r="R21" s="79">
        <f>L21+P21</f>
        <v>2440</v>
      </c>
      <c r="S21" s="85"/>
      <c r="T21" s="154"/>
      <c r="Y21" s="394"/>
      <c r="AA21" s="225"/>
      <c r="AC21" s="101">
        <v>853</v>
      </c>
    </row>
    <row r="22" spans="1:40" x14ac:dyDescent="0.25">
      <c r="A22" s="80">
        <v>5</v>
      </c>
      <c r="B22" s="80"/>
      <c r="C22" s="81" t="s">
        <v>233</v>
      </c>
      <c r="D22" s="80"/>
      <c r="E22" s="80"/>
      <c r="F22" s="225">
        <f>1+24</f>
        <v>25</v>
      </c>
      <c r="G22" s="70"/>
      <c r="H22" s="225">
        <f t="shared" ref="H22:H24" si="0">ROUND(F22*AC22/12,0)</f>
        <v>1821</v>
      </c>
      <c r="I22" s="78"/>
      <c r="J22" s="349">
        <f>ROUND(AC108+AC108*LT_COS_RATE,2)</f>
        <v>12.5</v>
      </c>
      <c r="K22" s="352"/>
      <c r="L22" s="79">
        <f>ROUND((F22*J22),0)</f>
        <v>313</v>
      </c>
      <c r="M22" s="79"/>
      <c r="N22" s="156">
        <f>ROUND((L22/L$79)*100,1)</f>
        <v>1.7</v>
      </c>
      <c r="O22" s="156"/>
      <c r="P22" s="79">
        <f>ROUND($P$57/$H$57*H22,0)</f>
        <v>2</v>
      </c>
      <c r="Q22" s="79"/>
      <c r="R22" s="79">
        <f>L22+P22</f>
        <v>315</v>
      </c>
      <c r="S22" s="85"/>
      <c r="T22" s="154"/>
      <c r="Y22" s="394"/>
      <c r="AA22" s="225"/>
      <c r="AC22" s="101">
        <v>874</v>
      </c>
    </row>
    <row r="23" spans="1:40" x14ac:dyDescent="0.25">
      <c r="A23" s="80">
        <v>6</v>
      </c>
      <c r="B23" s="80"/>
      <c r="C23" s="82" t="s">
        <v>234</v>
      </c>
      <c r="D23" s="80"/>
      <c r="E23" s="80"/>
      <c r="F23" s="225">
        <v>70</v>
      </c>
      <c r="G23" s="70"/>
      <c r="H23" s="225">
        <f t="shared" si="0"/>
        <v>7088</v>
      </c>
      <c r="I23" s="78"/>
      <c r="J23" s="349">
        <f>ROUND(AC109+AC109*LT_COS_RATE,2)</f>
        <v>14.59</v>
      </c>
      <c r="K23" s="352"/>
      <c r="L23" s="79">
        <f>ROUND((F23*J23),0)</f>
        <v>1021</v>
      </c>
      <c r="M23" s="79"/>
      <c r="N23" s="156">
        <f>ROUND((L23/L$79)*100,1)</f>
        <v>5.5</v>
      </c>
      <c r="O23" s="156"/>
      <c r="P23" s="79">
        <f>ROUND($P$57/$H$57*H23,0)</f>
        <v>7</v>
      </c>
      <c r="Q23" s="79"/>
      <c r="R23" s="79">
        <f>L23+P23</f>
        <v>1028</v>
      </c>
      <c r="S23" s="85"/>
      <c r="T23" s="154"/>
      <c r="Y23" s="394"/>
      <c r="AA23" s="225"/>
      <c r="AC23" s="101">
        <v>1215</v>
      </c>
    </row>
    <row r="24" spans="1:40" x14ac:dyDescent="0.25">
      <c r="A24" s="80">
        <v>7</v>
      </c>
      <c r="B24" s="80"/>
      <c r="C24" s="80" t="s">
        <v>235</v>
      </c>
      <c r="D24" s="80"/>
      <c r="E24" s="80"/>
      <c r="F24" s="225">
        <f>1+69</f>
        <v>70</v>
      </c>
      <c r="G24" s="70"/>
      <c r="H24" s="225">
        <f t="shared" si="0"/>
        <v>11165</v>
      </c>
      <c r="I24" s="78"/>
      <c r="J24" s="349">
        <f>ROUND(AC110+AC110*LT_COS_RATE,2)</f>
        <v>18.739999999999998</v>
      </c>
      <c r="K24" s="352"/>
      <c r="L24" s="79">
        <f>ROUND((F24*J24),0)</f>
        <v>1312</v>
      </c>
      <c r="M24" s="79"/>
      <c r="N24" s="156">
        <f>ROUND((L24/L$79)*100,1)</f>
        <v>7</v>
      </c>
      <c r="O24" s="156"/>
      <c r="P24" s="79">
        <f>ROUND($P$57/$H$57*H24,0)</f>
        <v>12</v>
      </c>
      <c r="Q24" s="79"/>
      <c r="R24" s="79">
        <f>L24+P24</f>
        <v>1324</v>
      </c>
      <c r="S24" s="85"/>
      <c r="T24" s="154"/>
      <c r="Y24" s="394"/>
      <c r="AA24" s="225"/>
      <c r="AC24" s="101">
        <v>1914</v>
      </c>
    </row>
    <row r="25" spans="1:40" x14ac:dyDescent="0.25">
      <c r="A25" s="80"/>
      <c r="B25" s="80"/>
      <c r="C25" s="80"/>
      <c r="D25" s="80"/>
      <c r="E25" s="80"/>
      <c r="F25" s="80"/>
      <c r="G25" s="70"/>
      <c r="H25" s="80"/>
      <c r="I25" s="70"/>
      <c r="J25" s="70"/>
      <c r="K25" s="70"/>
      <c r="L25" s="70"/>
      <c r="M25" s="70"/>
      <c r="N25" s="70"/>
      <c r="O25" s="70"/>
      <c r="P25" s="70"/>
      <c r="Q25" s="70"/>
      <c r="R25" s="70"/>
      <c r="T25" s="154"/>
      <c r="AA25" s="80"/>
    </row>
    <row r="26" spans="1:40" x14ac:dyDescent="0.25">
      <c r="A26" s="159">
        <v>8</v>
      </c>
      <c r="B26" s="80"/>
      <c r="C26" s="253" t="s">
        <v>357</v>
      </c>
      <c r="D26" s="80"/>
      <c r="E26" s="80"/>
      <c r="F26" s="225"/>
      <c r="G26" s="70"/>
      <c r="H26" s="225"/>
      <c r="I26" s="78"/>
      <c r="J26" s="352"/>
      <c r="K26" s="352"/>
      <c r="L26" s="79"/>
      <c r="M26" s="79"/>
      <c r="N26" s="156"/>
      <c r="O26" s="156"/>
      <c r="P26" s="79"/>
      <c r="Q26" s="79"/>
      <c r="R26" s="79"/>
      <c r="S26" s="200"/>
      <c r="T26" s="154"/>
      <c r="V26" s="211"/>
      <c r="Y26" s="211"/>
      <c r="Z26" s="305"/>
      <c r="AA26" s="225"/>
      <c r="AB26" s="211"/>
      <c r="AC26" s="211"/>
      <c r="AD26" s="211"/>
      <c r="AE26" s="211"/>
      <c r="AF26" s="211"/>
      <c r="AI26" s="211"/>
      <c r="AJ26" s="211"/>
      <c r="AK26" s="212"/>
      <c r="AL26" s="211"/>
      <c r="AM26" s="210"/>
      <c r="AN26" s="210"/>
    </row>
    <row r="27" spans="1:40" x14ac:dyDescent="0.25">
      <c r="A27" s="159">
        <v>9</v>
      </c>
      <c r="B27" s="80"/>
      <c r="C27" s="82" t="s">
        <v>358</v>
      </c>
      <c r="D27" s="80"/>
      <c r="E27" s="80"/>
      <c r="F27" s="225">
        <v>3</v>
      </c>
      <c r="G27" s="70"/>
      <c r="H27" s="225">
        <f t="shared" ref="H27:H29" si="1">ROUND(F27*AC27/12,0)</f>
        <v>219</v>
      </c>
      <c r="I27" s="78"/>
      <c r="J27" s="349">
        <f>ROUND(AC113+AC113*LT_COS_RATE,2)</f>
        <v>12.5</v>
      </c>
      <c r="K27" s="352"/>
      <c r="L27" s="79">
        <f>ROUND((F27*J27),0)</f>
        <v>38</v>
      </c>
      <c r="M27" s="79"/>
      <c r="N27" s="156">
        <f>ROUND((L27/L$79)*100,1)</f>
        <v>0.2</v>
      </c>
      <c r="O27" s="156"/>
      <c r="P27" s="79">
        <f>ROUND($P$57/$H$57*H27,0)</f>
        <v>0</v>
      </c>
      <c r="Q27" s="79"/>
      <c r="R27" s="79">
        <f>L27+P27</f>
        <v>38</v>
      </c>
      <c r="S27" s="462"/>
      <c r="T27" s="154"/>
      <c r="V27" s="211"/>
      <c r="Y27" s="394"/>
      <c r="Z27" s="305"/>
      <c r="AA27" s="225"/>
      <c r="AB27" s="211"/>
      <c r="AC27" s="211">
        <v>874</v>
      </c>
      <c r="AD27" s="211"/>
      <c r="AE27" s="211"/>
      <c r="AF27" s="211"/>
      <c r="AI27" s="211"/>
      <c r="AJ27" s="211"/>
      <c r="AK27" s="212"/>
      <c r="AL27" s="211"/>
      <c r="AM27" s="210"/>
      <c r="AN27" s="210"/>
    </row>
    <row r="28" spans="1:40" x14ac:dyDescent="0.25">
      <c r="A28" s="159">
        <v>10</v>
      </c>
      <c r="B28" s="80"/>
      <c r="C28" s="82" t="s">
        <v>359</v>
      </c>
      <c r="D28" s="80"/>
      <c r="E28" s="80"/>
      <c r="F28" s="225">
        <v>5</v>
      </c>
      <c r="G28" s="70"/>
      <c r="H28" s="225">
        <f t="shared" si="1"/>
        <v>506</v>
      </c>
      <c r="I28" s="78"/>
      <c r="J28" s="349">
        <f>ROUND(AC114+AC114*LT_COS_RATE,2)</f>
        <v>14.61</v>
      </c>
      <c r="K28" s="352"/>
      <c r="L28" s="79">
        <f>ROUND((F28*J28),0)</f>
        <v>73</v>
      </c>
      <c r="M28" s="79"/>
      <c r="N28" s="156">
        <f>ROUND((L28/L$79)*100,1)</f>
        <v>0.4</v>
      </c>
      <c r="O28" s="156"/>
      <c r="P28" s="79">
        <f>ROUND($P$57/$H$57*H28,0)</f>
        <v>1</v>
      </c>
      <c r="Q28" s="79"/>
      <c r="R28" s="79">
        <f>L28+P28</f>
        <v>74</v>
      </c>
      <c r="S28" s="462"/>
      <c r="T28" s="154"/>
      <c r="V28" s="211"/>
      <c r="Y28" s="394"/>
      <c r="Z28" s="305"/>
      <c r="AA28" s="225"/>
      <c r="AB28" s="211"/>
      <c r="AC28" s="211">
        <v>1215</v>
      </c>
      <c r="AD28" s="211"/>
      <c r="AE28" s="211"/>
      <c r="AF28" s="211"/>
      <c r="AI28" s="211"/>
      <c r="AJ28" s="211"/>
      <c r="AK28" s="212"/>
      <c r="AL28" s="211"/>
      <c r="AM28" s="210"/>
      <c r="AN28" s="210"/>
    </row>
    <row r="29" spans="1:40" x14ac:dyDescent="0.25">
      <c r="A29" s="159">
        <v>11</v>
      </c>
      <c r="B29" s="80"/>
      <c r="C29" s="82" t="s">
        <v>352</v>
      </c>
      <c r="D29" s="80"/>
      <c r="E29" s="80"/>
      <c r="F29" s="225">
        <v>4</v>
      </c>
      <c r="G29" s="70"/>
      <c r="H29" s="225">
        <f t="shared" si="1"/>
        <v>638</v>
      </c>
      <c r="I29" s="78"/>
      <c r="J29" s="349">
        <f>ROUND(AC115+AC115*LT_COS_RATE,2)</f>
        <v>18.739999999999998</v>
      </c>
      <c r="K29" s="352"/>
      <c r="L29" s="79">
        <f>ROUND((F29*J29),0)</f>
        <v>75</v>
      </c>
      <c r="M29" s="79"/>
      <c r="N29" s="156">
        <f>ROUND((L29/L$79)*100,1)</f>
        <v>0.4</v>
      </c>
      <c r="O29" s="156"/>
      <c r="P29" s="79">
        <f>ROUND($P$57/$H$57*H29,0)</f>
        <v>1</v>
      </c>
      <c r="Q29" s="79"/>
      <c r="R29" s="79">
        <f>L29+P29</f>
        <v>76</v>
      </c>
      <c r="S29" s="462"/>
      <c r="T29" s="154"/>
      <c r="V29" s="211"/>
      <c r="Y29" s="394"/>
      <c r="Z29" s="305"/>
      <c r="AA29" s="225"/>
      <c r="AB29" s="211"/>
      <c r="AC29" s="211">
        <v>1914</v>
      </c>
      <c r="AD29" s="211"/>
      <c r="AE29" s="211"/>
      <c r="AF29" s="211"/>
      <c r="AI29" s="211"/>
      <c r="AJ29" s="211"/>
      <c r="AK29" s="212"/>
      <c r="AL29" s="211"/>
      <c r="AM29" s="210"/>
      <c r="AN29" s="210"/>
    </row>
    <row r="30" spans="1:40" x14ac:dyDescent="0.25">
      <c r="A30" s="80"/>
      <c r="B30" s="80"/>
      <c r="C30" s="80"/>
      <c r="D30" s="80"/>
      <c r="E30" s="80"/>
      <c r="F30" s="80"/>
      <c r="G30" s="70"/>
      <c r="H30" s="80"/>
      <c r="I30" s="70"/>
      <c r="J30" s="70"/>
      <c r="K30" s="70"/>
      <c r="L30" s="70"/>
      <c r="M30" s="70"/>
      <c r="N30" s="70"/>
      <c r="O30" s="70"/>
      <c r="P30" s="70"/>
      <c r="Q30" s="70"/>
      <c r="R30" s="70"/>
      <c r="T30" s="154"/>
      <c r="AA30" s="80"/>
    </row>
    <row r="31" spans="1:40" x14ac:dyDescent="0.25">
      <c r="A31" s="159">
        <v>12</v>
      </c>
      <c r="B31" s="80"/>
      <c r="C31" s="265" t="s">
        <v>258</v>
      </c>
      <c r="D31" s="80"/>
      <c r="E31" s="80"/>
      <c r="F31" s="80"/>
      <c r="G31" s="70"/>
      <c r="H31" s="80"/>
      <c r="I31" s="70"/>
      <c r="J31" s="70"/>
      <c r="K31" s="70"/>
      <c r="L31" s="70"/>
      <c r="M31" s="70"/>
      <c r="N31" s="70"/>
      <c r="O31" s="70"/>
      <c r="P31" s="70"/>
      <c r="Q31" s="70"/>
      <c r="R31" s="70"/>
      <c r="T31" s="154"/>
      <c r="AA31" s="80"/>
    </row>
    <row r="32" spans="1:40" x14ac:dyDescent="0.25">
      <c r="A32" s="159">
        <v>13</v>
      </c>
      <c r="B32" s="80"/>
      <c r="C32" s="81" t="s">
        <v>245</v>
      </c>
      <c r="D32" s="80"/>
      <c r="E32" s="80"/>
      <c r="F32" s="225">
        <v>266</v>
      </c>
      <c r="G32" s="70"/>
      <c r="H32" s="225">
        <f t="shared" ref="H32:H37" si="2">ROUND(F32*AC32/12,0)</f>
        <v>10795</v>
      </c>
      <c r="I32" s="78"/>
      <c r="J32" s="349">
        <f t="shared" ref="J32:J37" si="3">ROUND(AC118+AC118*LT_COS_RATE,2)</f>
        <v>8.59</v>
      </c>
      <c r="K32" s="352"/>
      <c r="L32" s="79">
        <f t="shared" ref="L32:L37" si="4">ROUND((F32*J32),0)</f>
        <v>2285</v>
      </c>
      <c r="M32" s="79"/>
      <c r="N32" s="156">
        <f t="shared" ref="N32:N37" si="5">ROUND((L32/L$79)*100,1)</f>
        <v>12.2</v>
      </c>
      <c r="O32" s="156"/>
      <c r="P32" s="79">
        <f>ROUND($P$57/$H$57*H32,0)</f>
        <v>11</v>
      </c>
      <c r="Q32" s="79"/>
      <c r="R32" s="79">
        <f t="shared" ref="R32:R37" si="6">L32+P32</f>
        <v>2296</v>
      </c>
      <c r="S32" s="462"/>
      <c r="T32" s="154"/>
      <c r="V32" s="211"/>
      <c r="Y32" s="394"/>
      <c r="Z32" s="305"/>
      <c r="AA32" s="225"/>
      <c r="AB32" s="211"/>
      <c r="AC32" s="211">
        <v>487</v>
      </c>
      <c r="AD32" s="211"/>
      <c r="AE32" s="211"/>
      <c r="AF32" s="211"/>
      <c r="AI32" s="211"/>
      <c r="AJ32" s="211"/>
      <c r="AK32" s="212"/>
      <c r="AL32" s="211"/>
      <c r="AM32" s="210"/>
      <c r="AN32" s="210"/>
    </row>
    <row r="33" spans="1:40" x14ac:dyDescent="0.25">
      <c r="A33" s="159">
        <v>14</v>
      </c>
      <c r="B33" s="80"/>
      <c r="C33" s="81" t="s">
        <v>237</v>
      </c>
      <c r="D33" s="80"/>
      <c r="E33" s="80"/>
      <c r="F33" s="225">
        <f>34+30</f>
        <v>64</v>
      </c>
      <c r="G33" s="70"/>
      <c r="H33" s="225">
        <f t="shared" si="2"/>
        <v>2597</v>
      </c>
      <c r="I33" s="78"/>
      <c r="J33" s="349">
        <f t="shared" si="3"/>
        <v>11.18</v>
      </c>
      <c r="K33" s="352"/>
      <c r="L33" s="79">
        <f t="shared" si="4"/>
        <v>716</v>
      </c>
      <c r="M33" s="79"/>
      <c r="N33" s="156">
        <f t="shared" si="5"/>
        <v>3.8</v>
      </c>
      <c r="O33" s="156"/>
      <c r="P33" s="79">
        <f t="shared" ref="P33:P36" si="7">ROUND($P$57/$H$57*H33,0)</f>
        <v>3</v>
      </c>
      <c r="Q33" s="79"/>
      <c r="R33" s="79">
        <f t="shared" si="6"/>
        <v>719</v>
      </c>
      <c r="S33" s="462"/>
      <c r="T33" s="154"/>
      <c r="V33" s="211"/>
      <c r="Y33" s="394"/>
      <c r="Z33" s="305"/>
      <c r="AA33" s="225"/>
      <c r="AB33" s="211"/>
      <c r="AC33" s="211">
        <v>487</v>
      </c>
      <c r="AD33" s="211"/>
      <c r="AE33" s="211"/>
      <c r="AF33" s="211"/>
      <c r="AI33" s="211"/>
      <c r="AJ33" s="211"/>
      <c r="AK33" s="212"/>
      <c r="AL33" s="211"/>
      <c r="AM33" s="210"/>
      <c r="AN33" s="210"/>
    </row>
    <row r="34" spans="1:40" x14ac:dyDescent="0.25">
      <c r="A34" s="159">
        <v>15</v>
      </c>
      <c r="B34" s="80"/>
      <c r="C34" s="82" t="s">
        <v>238</v>
      </c>
      <c r="D34" s="80"/>
      <c r="E34" s="80"/>
      <c r="F34" s="225">
        <v>7</v>
      </c>
      <c r="G34" s="70"/>
      <c r="H34" s="225">
        <f t="shared" si="2"/>
        <v>415</v>
      </c>
      <c r="I34" s="78"/>
      <c r="J34" s="349">
        <f t="shared" si="3"/>
        <v>12.61</v>
      </c>
      <c r="K34" s="352"/>
      <c r="L34" s="79">
        <f t="shared" si="4"/>
        <v>88</v>
      </c>
      <c r="M34" s="79"/>
      <c r="N34" s="156">
        <f t="shared" si="5"/>
        <v>0.5</v>
      </c>
      <c r="O34" s="156"/>
      <c r="P34" s="79">
        <f t="shared" si="7"/>
        <v>0</v>
      </c>
      <c r="Q34" s="79"/>
      <c r="R34" s="79">
        <f t="shared" si="6"/>
        <v>88</v>
      </c>
      <c r="S34" s="462"/>
      <c r="T34" s="154"/>
      <c r="V34" s="211"/>
      <c r="Y34" s="394"/>
      <c r="Z34" s="305"/>
      <c r="AA34" s="225"/>
      <c r="AB34" s="211"/>
      <c r="AC34" s="211">
        <v>711</v>
      </c>
      <c r="AD34" s="211"/>
      <c r="AE34" s="211"/>
      <c r="AF34" s="211"/>
      <c r="AI34" s="211"/>
      <c r="AJ34" s="211"/>
      <c r="AK34" s="212"/>
      <c r="AL34" s="211"/>
      <c r="AM34" s="210"/>
      <c r="AN34" s="210"/>
    </row>
    <row r="35" spans="1:40" x14ac:dyDescent="0.25">
      <c r="A35" s="159">
        <v>16</v>
      </c>
      <c r="B35" s="80"/>
      <c r="C35" s="81" t="s">
        <v>246</v>
      </c>
      <c r="D35" s="80"/>
      <c r="E35" s="80"/>
      <c r="F35" s="225">
        <v>57</v>
      </c>
      <c r="G35" s="70"/>
      <c r="H35" s="225">
        <f t="shared" si="2"/>
        <v>4503</v>
      </c>
      <c r="I35" s="78"/>
      <c r="J35" s="349">
        <f t="shared" si="3"/>
        <v>13.95</v>
      </c>
      <c r="K35" s="352"/>
      <c r="L35" s="79">
        <f t="shared" si="4"/>
        <v>795</v>
      </c>
      <c r="M35" s="79"/>
      <c r="N35" s="156">
        <f t="shared" si="5"/>
        <v>4.3</v>
      </c>
      <c r="O35" s="156"/>
      <c r="P35" s="79">
        <f t="shared" si="7"/>
        <v>5</v>
      </c>
      <c r="Q35" s="79"/>
      <c r="R35" s="79">
        <f t="shared" si="6"/>
        <v>800</v>
      </c>
      <c r="S35" s="462"/>
      <c r="T35" s="154"/>
      <c r="V35" s="252"/>
      <c r="Y35" s="394"/>
      <c r="Z35" s="305"/>
      <c r="AA35" s="225"/>
      <c r="AB35" s="200"/>
      <c r="AC35" s="210">
        <v>948</v>
      </c>
      <c r="AD35" s="210"/>
      <c r="AE35" s="200"/>
      <c r="AF35" s="200"/>
      <c r="AI35" s="200"/>
      <c r="AJ35" s="200"/>
      <c r="AK35" s="209"/>
      <c r="AL35" s="200"/>
      <c r="AM35" s="210"/>
      <c r="AN35" s="210"/>
    </row>
    <row r="36" spans="1:40" x14ac:dyDescent="0.25">
      <c r="A36" s="159">
        <v>17</v>
      </c>
      <c r="B36" s="80"/>
      <c r="C36" s="81" t="s">
        <v>356</v>
      </c>
      <c r="D36" s="80"/>
      <c r="E36" s="80"/>
      <c r="F36" s="225">
        <v>2</v>
      </c>
      <c r="G36" s="70"/>
      <c r="H36" s="225">
        <f t="shared" si="2"/>
        <v>158</v>
      </c>
      <c r="I36" s="78"/>
      <c r="J36" s="349">
        <f t="shared" si="3"/>
        <v>13.95</v>
      </c>
      <c r="K36" s="352"/>
      <c r="L36" s="79">
        <f t="shared" si="4"/>
        <v>28</v>
      </c>
      <c r="M36" s="79"/>
      <c r="N36" s="156">
        <f t="shared" si="5"/>
        <v>0.1</v>
      </c>
      <c r="O36" s="156"/>
      <c r="P36" s="79">
        <f t="shared" si="7"/>
        <v>0</v>
      </c>
      <c r="Q36" s="79"/>
      <c r="R36" s="79">
        <f t="shared" si="6"/>
        <v>28</v>
      </c>
      <c r="S36" s="462"/>
      <c r="T36" s="154"/>
      <c r="V36" s="252"/>
      <c r="Y36" s="394"/>
      <c r="Z36" s="305"/>
      <c r="AA36" s="225"/>
      <c r="AB36" s="200"/>
      <c r="AC36" s="210">
        <v>948</v>
      </c>
      <c r="AD36" s="210"/>
      <c r="AE36" s="200"/>
      <c r="AF36" s="200"/>
      <c r="AI36" s="200"/>
      <c r="AJ36" s="200"/>
      <c r="AK36" s="209"/>
      <c r="AL36" s="200"/>
      <c r="AM36" s="210"/>
      <c r="AN36" s="210"/>
    </row>
    <row r="37" spans="1:40" x14ac:dyDescent="0.25">
      <c r="A37" s="159">
        <v>18</v>
      </c>
      <c r="B37" s="80"/>
      <c r="C37" s="81" t="s">
        <v>247</v>
      </c>
      <c r="D37" s="80"/>
      <c r="E37" s="80"/>
      <c r="F37" s="225">
        <f>8+58</f>
        <v>66</v>
      </c>
      <c r="G37" s="70"/>
      <c r="H37" s="225">
        <f t="shared" si="2"/>
        <v>10775</v>
      </c>
      <c r="I37" s="78"/>
      <c r="J37" s="349">
        <f t="shared" si="3"/>
        <v>16.260000000000002</v>
      </c>
      <c r="K37" s="352"/>
      <c r="L37" s="79">
        <f t="shared" si="4"/>
        <v>1073</v>
      </c>
      <c r="M37" s="79"/>
      <c r="N37" s="156">
        <f t="shared" si="5"/>
        <v>5.7</v>
      </c>
      <c r="O37" s="156"/>
      <c r="P37" s="79">
        <f>ROUND($P$57/$H$57*H37,0)</f>
        <v>11</v>
      </c>
      <c r="Q37" s="79"/>
      <c r="R37" s="79">
        <f t="shared" si="6"/>
        <v>1084</v>
      </c>
      <c r="S37" s="462"/>
      <c r="T37" s="154"/>
      <c r="V37" s="211"/>
      <c r="Y37" s="394"/>
      <c r="Z37" s="305"/>
      <c r="AA37" s="225"/>
      <c r="AB37" s="211"/>
      <c r="AC37" s="211">
        <v>1959</v>
      </c>
      <c r="AD37" s="211"/>
      <c r="AE37" s="211"/>
      <c r="AF37" s="211"/>
      <c r="AI37" s="211"/>
      <c r="AJ37" s="211"/>
      <c r="AK37" s="212"/>
      <c r="AL37" s="211"/>
      <c r="AM37" s="210"/>
      <c r="AN37" s="210"/>
    </row>
    <row r="38" spans="1:40" x14ac:dyDescent="0.25">
      <c r="A38" s="80"/>
      <c r="B38" s="80"/>
      <c r="C38" s="80"/>
      <c r="D38" s="80"/>
      <c r="E38" s="80"/>
      <c r="F38" s="80"/>
      <c r="G38" s="70"/>
      <c r="H38" s="80"/>
      <c r="I38" s="70"/>
      <c r="J38" s="162"/>
      <c r="K38" s="162"/>
      <c r="L38" s="70"/>
      <c r="M38" s="70"/>
      <c r="N38" s="70"/>
      <c r="O38" s="70"/>
      <c r="P38" s="70"/>
      <c r="Q38" s="70"/>
      <c r="R38" s="70"/>
      <c r="S38" s="200"/>
      <c r="T38" s="154"/>
      <c r="AA38" s="80"/>
      <c r="AB38" s="200"/>
      <c r="AC38" s="200"/>
      <c r="AD38" s="200"/>
      <c r="AI38" s="200"/>
      <c r="AJ38" s="200"/>
      <c r="AK38" s="209"/>
      <c r="AL38" s="200"/>
    </row>
    <row r="39" spans="1:40" x14ac:dyDescent="0.25">
      <c r="A39" s="80">
        <v>19</v>
      </c>
      <c r="B39" s="80"/>
      <c r="C39" s="461" t="s">
        <v>243</v>
      </c>
      <c r="D39" s="80"/>
      <c r="E39" s="80"/>
      <c r="F39" s="80"/>
      <c r="G39" s="70"/>
      <c r="H39" s="80"/>
      <c r="I39" s="70"/>
      <c r="J39" s="162"/>
      <c r="K39" s="162"/>
      <c r="L39" s="70"/>
      <c r="M39" s="70"/>
      <c r="N39" s="70"/>
      <c r="O39" s="70"/>
      <c r="P39" s="70"/>
      <c r="Q39" s="70"/>
      <c r="R39" s="70"/>
      <c r="S39" s="200"/>
      <c r="T39" s="154"/>
      <c r="AA39" s="80"/>
      <c r="AB39" s="200"/>
      <c r="AC39" s="200"/>
      <c r="AD39" s="200"/>
      <c r="AI39" s="200"/>
      <c r="AJ39" s="200"/>
      <c r="AK39" s="209"/>
      <c r="AL39" s="200"/>
    </row>
    <row r="40" spans="1:40" x14ac:dyDescent="0.25">
      <c r="A40" s="159">
        <v>20</v>
      </c>
      <c r="B40" s="80"/>
      <c r="C40" s="81" t="s">
        <v>248</v>
      </c>
      <c r="D40" s="80"/>
      <c r="E40" s="80"/>
      <c r="F40" s="225">
        <f>23+13</f>
        <v>36</v>
      </c>
      <c r="G40" s="70"/>
      <c r="H40" s="225">
        <f t="shared" ref="H40:H43" si="8">ROUND(F40*AC40/12,0)</f>
        <v>2559</v>
      </c>
      <c r="I40" s="78"/>
      <c r="J40" s="349">
        <f>ROUND(AC126+AC126*LT_COS_RATE,2)</f>
        <v>14.97</v>
      </c>
      <c r="K40" s="352"/>
      <c r="L40" s="79">
        <f>ROUND((F40*J40),0)</f>
        <v>539</v>
      </c>
      <c r="M40" s="79"/>
      <c r="N40" s="156">
        <f>ROUND((L40/L$79)*100,1)</f>
        <v>2.9</v>
      </c>
      <c r="O40" s="156"/>
      <c r="P40" s="79">
        <f>ROUND($P$57/$H$57*H40,0)</f>
        <v>3</v>
      </c>
      <c r="Q40" s="79"/>
      <c r="R40" s="79">
        <f>L40+P40</f>
        <v>542</v>
      </c>
      <c r="S40" s="85"/>
      <c r="T40" s="154"/>
      <c r="Y40" s="394"/>
      <c r="Z40" s="202"/>
      <c r="AA40" s="225"/>
      <c r="AC40" s="101">
        <v>853</v>
      </c>
    </row>
    <row r="41" spans="1:40" x14ac:dyDescent="0.25">
      <c r="A41" s="159">
        <v>21</v>
      </c>
      <c r="B41" s="80"/>
      <c r="C41" s="82" t="s">
        <v>249</v>
      </c>
      <c r="D41" s="80"/>
      <c r="E41" s="80"/>
      <c r="F41" s="225">
        <v>3</v>
      </c>
      <c r="G41" s="70"/>
      <c r="H41" s="225">
        <f t="shared" si="8"/>
        <v>219</v>
      </c>
      <c r="I41" s="78"/>
      <c r="J41" s="349">
        <f>ROUND(AC127+AC127*LT_COS_RATE,2)</f>
        <v>19.29</v>
      </c>
      <c r="K41" s="352"/>
      <c r="L41" s="79">
        <f>ROUND((F41*J41),0)</f>
        <v>58</v>
      </c>
      <c r="M41" s="79"/>
      <c r="N41" s="156">
        <f>ROUND((L41/L$79)*100,1)</f>
        <v>0.3</v>
      </c>
      <c r="O41" s="156"/>
      <c r="P41" s="79">
        <f>ROUND($P$57/$H$57*H41,0)</f>
        <v>0</v>
      </c>
      <c r="Q41" s="79"/>
      <c r="R41" s="79">
        <f>L41+P41</f>
        <v>58</v>
      </c>
      <c r="S41" s="85"/>
      <c r="T41" s="154"/>
      <c r="Y41" s="394"/>
      <c r="AA41" s="225"/>
      <c r="AC41" s="101">
        <v>874</v>
      </c>
    </row>
    <row r="42" spans="1:40" x14ac:dyDescent="0.25">
      <c r="A42" s="159">
        <v>22</v>
      </c>
      <c r="B42" s="80"/>
      <c r="C42" s="82" t="s">
        <v>250</v>
      </c>
      <c r="D42" s="80"/>
      <c r="E42" s="80"/>
      <c r="F42" s="225">
        <v>0</v>
      </c>
      <c r="G42" s="70"/>
      <c r="H42" s="225">
        <f t="shared" si="8"/>
        <v>0</v>
      </c>
      <c r="I42" s="78"/>
      <c r="J42" s="349">
        <f>ROUND(AC128+AC128*LT_COS_RATE,2)</f>
        <v>46.61</v>
      </c>
      <c r="K42" s="352"/>
      <c r="L42" s="79">
        <f>ROUND((F42*J42),0)</f>
        <v>0</v>
      </c>
      <c r="M42" s="79"/>
      <c r="N42" s="156">
        <f>ROUND((L42/L$79)*100,1)</f>
        <v>0</v>
      </c>
      <c r="O42" s="156"/>
      <c r="P42" s="79">
        <f>ROUND($P$57/$H$57*H42,0)</f>
        <v>0</v>
      </c>
      <c r="Q42" s="79"/>
      <c r="R42" s="79">
        <f>L42+P42</f>
        <v>0</v>
      </c>
      <c r="S42" s="85"/>
      <c r="T42" s="154"/>
      <c r="Y42" s="394"/>
      <c r="AA42" s="225"/>
      <c r="AC42" s="101">
        <v>874</v>
      </c>
    </row>
    <row r="43" spans="1:40" x14ac:dyDescent="0.25">
      <c r="A43" s="159">
        <v>23</v>
      </c>
      <c r="B43" s="80"/>
      <c r="C43" s="82" t="s">
        <v>251</v>
      </c>
      <c r="D43" s="80"/>
      <c r="E43" s="80"/>
      <c r="F43" s="225">
        <v>0</v>
      </c>
      <c r="G43" s="70"/>
      <c r="H43" s="225">
        <f t="shared" si="8"/>
        <v>0</v>
      </c>
      <c r="I43" s="78"/>
      <c r="J43" s="349">
        <f>ROUND(AC129+AC129*LT_COS_RATE,2)</f>
        <v>28.83</v>
      </c>
      <c r="K43" s="352"/>
      <c r="L43" s="79">
        <f>ROUND((F43*J43),0)</f>
        <v>0</v>
      </c>
      <c r="M43" s="79"/>
      <c r="N43" s="156">
        <f>ROUND((L43/L$79)*100,1)</f>
        <v>0</v>
      </c>
      <c r="O43" s="156"/>
      <c r="P43" s="79">
        <f>ROUND($P$57/$H$57*H43,0)</f>
        <v>0</v>
      </c>
      <c r="Q43" s="79"/>
      <c r="R43" s="79">
        <f>L43+P43</f>
        <v>0</v>
      </c>
      <c r="S43" s="85"/>
      <c r="T43" s="154"/>
      <c r="Y43" s="394"/>
      <c r="AA43" s="225"/>
      <c r="AC43" s="101">
        <v>874</v>
      </c>
    </row>
    <row r="44" spans="1:40" x14ac:dyDescent="0.25">
      <c r="A44" s="80"/>
      <c r="B44" s="80"/>
      <c r="C44" s="80"/>
      <c r="D44" s="80"/>
      <c r="E44" s="80"/>
      <c r="F44" s="80"/>
      <c r="G44" s="70"/>
      <c r="H44" s="80"/>
      <c r="I44" s="70"/>
      <c r="J44" s="162"/>
      <c r="K44" s="162"/>
      <c r="L44" s="70"/>
      <c r="M44" s="70"/>
      <c r="N44" s="70"/>
      <c r="O44" s="70"/>
      <c r="P44" s="70"/>
      <c r="Q44" s="70"/>
      <c r="R44" s="70"/>
      <c r="T44" s="154"/>
      <c r="AA44" s="80"/>
    </row>
    <row r="45" spans="1:40" x14ac:dyDescent="0.25">
      <c r="A45" s="159">
        <v>24</v>
      </c>
      <c r="B45" s="80"/>
      <c r="C45" s="265" t="s">
        <v>244</v>
      </c>
      <c r="D45" s="80"/>
      <c r="E45" s="80"/>
      <c r="F45" s="80"/>
      <c r="G45" s="70"/>
      <c r="H45" s="80"/>
      <c r="I45" s="70"/>
      <c r="J45" s="162"/>
      <c r="K45" s="162"/>
      <c r="L45" s="70"/>
      <c r="M45" s="70"/>
      <c r="N45" s="70"/>
      <c r="O45" s="70"/>
      <c r="P45" s="70"/>
      <c r="Q45" s="70"/>
      <c r="R45" s="70"/>
      <c r="T45" s="154"/>
      <c r="AA45" s="80"/>
    </row>
    <row r="46" spans="1:40" x14ac:dyDescent="0.25">
      <c r="A46" s="159">
        <v>25</v>
      </c>
      <c r="B46" s="80"/>
      <c r="C46" s="82" t="s">
        <v>248</v>
      </c>
      <c r="D46" s="80"/>
      <c r="E46" s="80"/>
      <c r="F46" s="225">
        <v>18</v>
      </c>
      <c r="G46" s="70"/>
      <c r="H46" s="225">
        <f t="shared" ref="H46:H52" si="9">ROUND(F46*AC46/12,0)</f>
        <v>731</v>
      </c>
      <c r="I46" s="78"/>
      <c r="J46" s="349">
        <f t="shared" ref="J46:J52" si="10">ROUND(AC132+AC132*LT_COS_RATE,2)</f>
        <v>23.61</v>
      </c>
      <c r="K46" s="352"/>
      <c r="L46" s="79">
        <f t="shared" ref="L46:L54" si="11">ROUND((F46*J46),0)</f>
        <v>425</v>
      </c>
      <c r="M46" s="79"/>
      <c r="N46" s="156">
        <f t="shared" ref="N46:N52" si="12">ROUND((L46/L$79)*100,1)</f>
        <v>2.2999999999999998</v>
      </c>
      <c r="O46" s="156"/>
      <c r="P46" s="79">
        <f>ROUND($P$57/$H$57*H46,0)</f>
        <v>1</v>
      </c>
      <c r="Q46" s="79"/>
      <c r="R46" s="79">
        <f t="shared" ref="R46:R54" si="13">L46+P46</f>
        <v>426</v>
      </c>
      <c r="S46" s="85"/>
      <c r="T46" s="154"/>
      <c r="Y46" s="394"/>
      <c r="AA46" s="225"/>
      <c r="AC46" s="101">
        <v>487</v>
      </c>
    </row>
    <row r="47" spans="1:40" x14ac:dyDescent="0.25">
      <c r="A47" s="159">
        <v>26</v>
      </c>
      <c r="B47" s="80"/>
      <c r="C47" s="81" t="s">
        <v>249</v>
      </c>
      <c r="D47" s="80"/>
      <c r="E47" s="80"/>
      <c r="F47" s="225">
        <v>0</v>
      </c>
      <c r="G47" s="70"/>
      <c r="H47" s="225">
        <f t="shared" si="9"/>
        <v>0</v>
      </c>
      <c r="I47" s="78"/>
      <c r="J47" s="349">
        <f t="shared" si="10"/>
        <v>25.58</v>
      </c>
      <c r="K47" s="352"/>
      <c r="L47" s="79">
        <f t="shared" si="11"/>
        <v>0</v>
      </c>
      <c r="M47" s="79"/>
      <c r="N47" s="156">
        <f t="shared" si="12"/>
        <v>0</v>
      </c>
      <c r="O47" s="156"/>
      <c r="P47" s="79">
        <f>ROUND($P$57/$H$57*H47,0)</f>
        <v>0</v>
      </c>
      <c r="Q47" s="79"/>
      <c r="R47" s="79">
        <f t="shared" si="13"/>
        <v>0</v>
      </c>
      <c r="S47" s="85"/>
      <c r="T47" s="154"/>
      <c r="Y47" s="394"/>
      <c r="AA47" s="225"/>
      <c r="AC47" s="101">
        <v>532</v>
      </c>
    </row>
    <row r="48" spans="1:40" x14ac:dyDescent="0.25">
      <c r="A48" s="159">
        <v>27</v>
      </c>
      <c r="B48" s="80"/>
      <c r="C48" s="81" t="s">
        <v>252</v>
      </c>
      <c r="D48" s="80"/>
      <c r="E48" s="80"/>
      <c r="F48" s="225">
        <v>0</v>
      </c>
      <c r="G48" s="70"/>
      <c r="H48" s="225">
        <f t="shared" si="9"/>
        <v>0</v>
      </c>
      <c r="I48" s="78"/>
      <c r="J48" s="349">
        <f t="shared" si="10"/>
        <v>21.02</v>
      </c>
      <c r="K48" s="352"/>
      <c r="L48" s="79">
        <f t="shared" si="11"/>
        <v>0</v>
      </c>
      <c r="M48" s="79"/>
      <c r="N48" s="156">
        <f t="shared" si="12"/>
        <v>0</v>
      </c>
      <c r="O48" s="156"/>
      <c r="P48" s="79">
        <f>ROUND($P$57/$H$57*H48,0)</f>
        <v>0</v>
      </c>
      <c r="Q48" s="79"/>
      <c r="R48" s="79">
        <f t="shared" si="13"/>
        <v>0</v>
      </c>
      <c r="S48" s="85"/>
      <c r="T48" s="154"/>
      <c r="Y48" s="394"/>
      <c r="AA48" s="225"/>
      <c r="AC48" s="101">
        <v>487</v>
      </c>
    </row>
    <row r="49" spans="1:43" x14ac:dyDescent="0.25">
      <c r="A49" s="159">
        <v>28</v>
      </c>
      <c r="B49" s="80"/>
      <c r="C49" s="81" t="s">
        <v>250</v>
      </c>
      <c r="D49" s="80"/>
      <c r="E49" s="80"/>
      <c r="F49" s="225">
        <v>0</v>
      </c>
      <c r="G49" s="70"/>
      <c r="H49" s="225">
        <f t="shared" si="9"/>
        <v>0</v>
      </c>
      <c r="I49" s="78"/>
      <c r="J49" s="349">
        <f t="shared" si="10"/>
        <v>49.16</v>
      </c>
      <c r="K49" s="352"/>
      <c r="L49" s="79">
        <f t="shared" si="11"/>
        <v>0</v>
      </c>
      <c r="M49" s="79"/>
      <c r="N49" s="156">
        <f t="shared" si="12"/>
        <v>0</v>
      </c>
      <c r="O49" s="156"/>
      <c r="P49" s="79">
        <f>ROUND($P$57/$H$57*H49,0)</f>
        <v>0</v>
      </c>
      <c r="Q49" s="79"/>
      <c r="R49" s="79">
        <f t="shared" si="13"/>
        <v>0</v>
      </c>
      <c r="S49" s="85"/>
      <c r="T49" s="154"/>
      <c r="Y49" s="394"/>
      <c r="AA49" s="225"/>
      <c r="AC49" s="101">
        <v>532</v>
      </c>
    </row>
    <row r="50" spans="1:43" x14ac:dyDescent="0.25">
      <c r="A50" s="159">
        <v>29</v>
      </c>
      <c r="B50" s="80"/>
      <c r="C50" s="82" t="s">
        <v>251</v>
      </c>
      <c r="D50" s="80"/>
      <c r="E50" s="80"/>
      <c r="F50" s="225">
        <v>0</v>
      </c>
      <c r="G50" s="70"/>
      <c r="H50" s="225">
        <f t="shared" si="9"/>
        <v>0</v>
      </c>
      <c r="I50" s="78"/>
      <c r="J50" s="349">
        <f t="shared" si="10"/>
        <v>29.79</v>
      </c>
      <c r="K50" s="352"/>
      <c r="L50" s="79">
        <f t="shared" si="11"/>
        <v>0</v>
      </c>
      <c r="M50" s="79"/>
      <c r="N50" s="156">
        <f t="shared" si="12"/>
        <v>0</v>
      </c>
      <c r="O50" s="156"/>
      <c r="P50" s="79">
        <f>ROUND($P$57/$H$57*H50,0)</f>
        <v>0</v>
      </c>
      <c r="Q50" s="79"/>
      <c r="R50" s="79">
        <f t="shared" si="13"/>
        <v>0</v>
      </c>
      <c r="S50" s="85"/>
      <c r="T50" s="154"/>
      <c r="Y50" s="394"/>
      <c r="AA50" s="225"/>
      <c r="AC50" s="101">
        <v>532</v>
      </c>
    </row>
    <row r="51" spans="1:43" x14ac:dyDescent="0.25">
      <c r="A51" s="159">
        <v>30</v>
      </c>
      <c r="B51" s="80"/>
      <c r="C51" s="82" t="s">
        <v>526</v>
      </c>
      <c r="D51" s="80"/>
      <c r="E51" s="80"/>
      <c r="F51" s="225">
        <v>0</v>
      </c>
      <c r="G51" s="70"/>
      <c r="H51" s="225">
        <f t="shared" si="9"/>
        <v>0</v>
      </c>
      <c r="I51" s="78"/>
      <c r="J51" s="349">
        <f t="shared" si="10"/>
        <v>23.61</v>
      </c>
      <c r="K51" s="352"/>
      <c r="L51" s="79">
        <f t="shared" ref="L51:L52" si="14">ROUND((F51*J51),0)</f>
        <v>0</v>
      </c>
      <c r="M51" s="79"/>
      <c r="N51" s="156">
        <f t="shared" si="12"/>
        <v>0</v>
      </c>
      <c r="O51" s="156"/>
      <c r="P51" s="79">
        <f t="shared" ref="P51:P52" si="15">ROUND($P$57/$H$57*H51,0)</f>
        <v>0</v>
      </c>
      <c r="Q51" s="79"/>
      <c r="R51" s="79">
        <f t="shared" ref="R51:R52" si="16">L51+P51</f>
        <v>0</v>
      </c>
      <c r="S51" s="85"/>
      <c r="T51" s="154"/>
      <c r="Y51" s="394"/>
      <c r="AA51" s="225"/>
      <c r="AC51" s="101">
        <v>487</v>
      </c>
    </row>
    <row r="52" spans="1:43" x14ac:dyDescent="0.25">
      <c r="A52" s="159">
        <v>31</v>
      </c>
      <c r="B52" s="80"/>
      <c r="C52" s="82" t="s">
        <v>527</v>
      </c>
      <c r="D52" s="80"/>
      <c r="E52" s="80"/>
      <c r="F52" s="225">
        <v>0</v>
      </c>
      <c r="G52" s="70"/>
      <c r="H52" s="225">
        <f t="shared" si="9"/>
        <v>0</v>
      </c>
      <c r="I52" s="78"/>
      <c r="J52" s="349">
        <f t="shared" si="10"/>
        <v>29.79</v>
      </c>
      <c r="K52" s="352"/>
      <c r="L52" s="79">
        <f t="shared" si="14"/>
        <v>0</v>
      </c>
      <c r="M52" s="79"/>
      <c r="N52" s="156">
        <f t="shared" si="12"/>
        <v>0</v>
      </c>
      <c r="O52" s="156"/>
      <c r="P52" s="79">
        <f t="shared" si="15"/>
        <v>0</v>
      </c>
      <c r="Q52" s="79"/>
      <c r="R52" s="79">
        <f t="shared" si="16"/>
        <v>0</v>
      </c>
      <c r="S52" s="85"/>
      <c r="T52" s="154"/>
      <c r="Y52" s="394"/>
      <c r="AA52" s="225"/>
      <c r="AC52" s="101">
        <v>532</v>
      </c>
    </row>
    <row r="53" spans="1:43" x14ac:dyDescent="0.25">
      <c r="A53" s="159">
        <v>32</v>
      </c>
      <c r="B53" s="80"/>
      <c r="C53" s="265" t="s">
        <v>525</v>
      </c>
      <c r="D53" s="80"/>
      <c r="E53" s="80"/>
      <c r="F53" s="225"/>
      <c r="G53" s="70"/>
      <c r="H53" s="225"/>
      <c r="I53" s="78"/>
      <c r="J53" s="352"/>
      <c r="K53" s="352"/>
      <c r="L53" s="79"/>
      <c r="M53" s="79"/>
      <c r="N53" s="156"/>
      <c r="O53" s="156"/>
      <c r="P53" s="79"/>
      <c r="Q53" s="79"/>
      <c r="R53" s="79"/>
      <c r="S53" s="85"/>
      <c r="T53" s="154"/>
      <c r="Y53" s="394"/>
      <c r="AA53" s="225"/>
    </row>
    <row r="54" spans="1:43" x14ac:dyDescent="0.25">
      <c r="A54" s="159">
        <v>33</v>
      </c>
      <c r="B54" s="80"/>
      <c r="C54" s="81" t="s">
        <v>253</v>
      </c>
      <c r="D54" s="80"/>
      <c r="E54" s="80"/>
      <c r="F54" s="225">
        <v>0</v>
      </c>
      <c r="G54" s="70"/>
      <c r="H54" s="225">
        <f t="shared" ref="H54:H56" si="17">ROUND(F54*AC54/12,0)</f>
        <v>0</v>
      </c>
      <c r="I54" s="78"/>
      <c r="J54" s="349">
        <f>ROUND(AC140+AC140*LT_COS_RATE,2)</f>
        <v>25.03</v>
      </c>
      <c r="K54" s="352"/>
      <c r="L54" s="79">
        <f t="shared" si="11"/>
        <v>0</v>
      </c>
      <c r="M54" s="79"/>
      <c r="N54" s="156">
        <f>ROUND((L54/L$79)*100,1)</f>
        <v>0</v>
      </c>
      <c r="O54" s="156"/>
      <c r="P54" s="79">
        <f>ROUND($P$57/$H$57*H54,0)</f>
        <v>0</v>
      </c>
      <c r="Q54" s="79"/>
      <c r="R54" s="79">
        <f t="shared" si="13"/>
        <v>0</v>
      </c>
      <c r="S54" s="85"/>
      <c r="T54" s="154"/>
      <c r="Y54" s="394"/>
      <c r="AA54" s="225"/>
      <c r="AC54" s="101">
        <v>1023</v>
      </c>
    </row>
    <row r="55" spans="1:43" x14ac:dyDescent="0.25">
      <c r="A55" s="159">
        <v>34</v>
      </c>
      <c r="B55" s="80"/>
      <c r="C55" s="81" t="s">
        <v>254</v>
      </c>
      <c r="D55" s="80"/>
      <c r="E55" s="80"/>
      <c r="F55" s="225">
        <v>0</v>
      </c>
      <c r="G55" s="70"/>
      <c r="H55" s="225">
        <f t="shared" si="17"/>
        <v>0</v>
      </c>
      <c r="I55" s="78"/>
      <c r="J55" s="349">
        <f>ROUND(AC141+AC141*LT_COS_RATE,2)</f>
        <v>31.75</v>
      </c>
      <c r="K55" s="352"/>
      <c r="L55" s="79">
        <f>ROUND((F55*J55),0)</f>
        <v>0</v>
      </c>
      <c r="M55" s="79"/>
      <c r="N55" s="156">
        <f>ROUND((L55/L$79)*100,1)</f>
        <v>0</v>
      </c>
      <c r="O55" s="156"/>
      <c r="P55" s="79">
        <f>ROUND($P$57/$H$57*H55,0)</f>
        <v>0</v>
      </c>
      <c r="Q55" s="79"/>
      <c r="R55" s="79">
        <f>L55+P55</f>
        <v>0</v>
      </c>
      <c r="S55" s="85"/>
      <c r="T55" s="154"/>
      <c r="Y55" s="394"/>
      <c r="AA55" s="225"/>
      <c r="AC55" s="101">
        <v>1959</v>
      </c>
    </row>
    <row r="56" spans="1:43" x14ac:dyDescent="0.25">
      <c r="A56" s="159">
        <v>35</v>
      </c>
      <c r="B56" s="80"/>
      <c r="C56" s="81" t="s">
        <v>255</v>
      </c>
      <c r="D56" s="80"/>
      <c r="E56" s="80"/>
      <c r="F56" s="287">
        <v>4</v>
      </c>
      <c r="G56" s="84"/>
      <c r="H56" s="225">
        <f t="shared" si="17"/>
        <v>653</v>
      </c>
      <c r="I56" s="78"/>
      <c r="J56" s="349">
        <f>ROUND(AC142+AC142*LT_COS_RATE,2)</f>
        <v>49.4</v>
      </c>
      <c r="K56" s="352"/>
      <c r="L56" s="167">
        <f>ROUND((F56*J56),0)</f>
        <v>198</v>
      </c>
      <c r="M56" s="167"/>
      <c r="N56" s="341">
        <f>ROUND((L56/L$79)*100,1)</f>
        <v>1.1000000000000001</v>
      </c>
      <c r="O56" s="341"/>
      <c r="P56" s="79">
        <f t="shared" ref="P56" si="18">ROUND($P$57/$H$57*H56,0)</f>
        <v>1</v>
      </c>
      <c r="Q56" s="167"/>
      <c r="R56" s="167">
        <f>L56+P56</f>
        <v>199</v>
      </c>
      <c r="S56" s="85"/>
      <c r="T56" s="154"/>
      <c r="U56" s="100"/>
      <c r="V56" s="100"/>
      <c r="W56" s="100"/>
      <c r="X56" s="100"/>
      <c r="Y56" s="394"/>
      <c r="Z56" s="100"/>
      <c r="AA56" s="225"/>
      <c r="AB56" s="100"/>
      <c r="AC56" s="415">
        <v>1959</v>
      </c>
      <c r="AD56" s="100"/>
      <c r="AE56" s="100"/>
      <c r="AF56" s="100"/>
      <c r="AG56" s="380"/>
      <c r="AH56" s="100"/>
      <c r="AI56" s="100"/>
      <c r="AJ56" s="100"/>
      <c r="AK56" s="380"/>
      <c r="AL56" s="100"/>
      <c r="AM56" s="100"/>
      <c r="AN56" s="100"/>
      <c r="AO56" s="100"/>
      <c r="AP56" s="100"/>
      <c r="AQ56" s="380"/>
    </row>
    <row r="57" spans="1:43" ht="20.100000000000001" customHeight="1" x14ac:dyDescent="0.25">
      <c r="A57" s="159">
        <v>36</v>
      </c>
      <c r="B57" s="80"/>
      <c r="C57" s="265" t="s">
        <v>259</v>
      </c>
      <c r="D57" s="80"/>
      <c r="E57" s="80"/>
      <c r="F57" s="126">
        <f>SUM(F21:F56)</f>
        <v>948</v>
      </c>
      <c r="G57" s="386"/>
      <c r="H57" s="126">
        <f>SUM(H21:H56)</f>
        <v>72471</v>
      </c>
      <c r="I57" s="78"/>
      <c r="J57" s="352"/>
      <c r="K57" s="352"/>
      <c r="L57" s="126">
        <f>SUM(L21:L56)</f>
        <v>11460</v>
      </c>
      <c r="M57" s="169"/>
      <c r="N57" s="303">
        <f>ROUND((L57/L$79)*100,1)</f>
        <v>61.4</v>
      </c>
      <c r="O57" s="303"/>
      <c r="P57" s="169">
        <f>ROUND($P$79/$H$79*H57,0)</f>
        <v>75</v>
      </c>
      <c r="Q57" s="169"/>
      <c r="R57" s="126">
        <f>SUM(R21:R56)</f>
        <v>11535</v>
      </c>
      <c r="T57" s="154"/>
      <c r="U57" s="100"/>
      <c r="V57" s="100"/>
      <c r="W57" s="100"/>
      <c r="X57" s="100"/>
      <c r="Y57" s="100"/>
      <c r="Z57" s="100"/>
      <c r="AA57" s="126"/>
      <c r="AB57" s="100"/>
      <c r="AC57" s="100"/>
      <c r="AD57" s="100"/>
      <c r="AE57" s="100"/>
      <c r="AF57" s="100"/>
      <c r="AG57" s="380"/>
      <c r="AH57" s="100"/>
      <c r="AI57" s="100"/>
      <c r="AJ57" s="100"/>
      <c r="AK57" s="380"/>
      <c r="AL57" s="100"/>
      <c r="AM57" s="100"/>
      <c r="AN57" s="100"/>
      <c r="AO57" s="100"/>
      <c r="AP57" s="100"/>
      <c r="AQ57" s="380"/>
    </row>
    <row r="58" spans="1:43" x14ac:dyDescent="0.25">
      <c r="A58" s="159"/>
      <c r="B58" s="80"/>
      <c r="C58" s="81"/>
      <c r="D58" s="80"/>
      <c r="E58" s="80"/>
      <c r="F58" s="78"/>
      <c r="G58" s="70"/>
      <c r="H58" s="78"/>
      <c r="I58" s="78"/>
      <c r="J58" s="352"/>
      <c r="K58" s="352"/>
      <c r="L58" s="79"/>
      <c r="M58" s="79"/>
      <c r="N58" s="198"/>
      <c r="O58" s="156"/>
      <c r="P58" s="79"/>
      <c r="Q58" s="79"/>
      <c r="R58" s="79"/>
      <c r="T58" s="154"/>
      <c r="U58" s="100"/>
      <c r="V58" s="100"/>
      <c r="W58" s="100"/>
      <c r="X58" s="100"/>
      <c r="Y58" s="100"/>
      <c r="Z58" s="100"/>
      <c r="AA58" s="78"/>
      <c r="AB58" s="100"/>
      <c r="AC58" s="100"/>
      <c r="AD58" s="100"/>
      <c r="AE58" s="100"/>
      <c r="AF58" s="100"/>
      <c r="AG58" s="380"/>
      <c r="AH58" s="100"/>
      <c r="AI58" s="100"/>
      <c r="AJ58" s="100"/>
      <c r="AK58" s="380"/>
      <c r="AL58" s="100"/>
      <c r="AM58" s="100"/>
      <c r="AN58" s="100"/>
      <c r="AO58" s="100"/>
      <c r="AP58" s="100"/>
      <c r="AQ58" s="380"/>
    </row>
    <row r="59" spans="1:43" x14ac:dyDescent="0.25">
      <c r="A59" s="159">
        <v>37</v>
      </c>
      <c r="B59" s="80"/>
      <c r="C59" s="265" t="s">
        <v>262</v>
      </c>
      <c r="D59" s="80"/>
      <c r="E59" s="80"/>
      <c r="F59" s="78"/>
      <c r="G59" s="70"/>
      <c r="H59" s="78"/>
      <c r="I59" s="78"/>
      <c r="J59" s="352"/>
      <c r="K59" s="352"/>
      <c r="L59" s="79"/>
      <c r="M59" s="79"/>
      <c r="N59" s="198"/>
      <c r="O59" s="156"/>
      <c r="P59" s="79"/>
      <c r="Q59" s="79"/>
      <c r="R59" s="79"/>
      <c r="T59" s="154"/>
      <c r="U59" s="100"/>
      <c r="V59" s="100"/>
      <c r="W59" s="100"/>
      <c r="X59" s="100"/>
      <c r="Y59" s="100"/>
      <c r="Z59" s="100"/>
      <c r="AA59" s="78"/>
      <c r="AB59" s="100"/>
      <c r="AC59" s="100"/>
      <c r="AD59" s="100"/>
      <c r="AE59" s="100"/>
      <c r="AF59" s="100"/>
      <c r="AG59" s="380"/>
      <c r="AH59" s="100"/>
      <c r="AI59" s="100"/>
      <c r="AJ59" s="100"/>
      <c r="AK59" s="380"/>
      <c r="AL59" s="100"/>
      <c r="AM59" s="100"/>
      <c r="AN59" s="100"/>
      <c r="AO59" s="100"/>
      <c r="AP59" s="100"/>
      <c r="AQ59" s="380"/>
    </row>
    <row r="60" spans="1:43" x14ac:dyDescent="0.25">
      <c r="A60" s="159">
        <v>38</v>
      </c>
      <c r="B60" s="80"/>
      <c r="C60" s="253" t="s">
        <v>257</v>
      </c>
      <c r="D60" s="80"/>
      <c r="E60" s="80"/>
      <c r="F60" s="225"/>
      <c r="G60" s="70"/>
      <c r="H60" s="78"/>
      <c r="I60" s="78"/>
      <c r="J60" s="352"/>
      <c r="K60" s="352"/>
      <c r="L60" s="79"/>
      <c r="M60" s="79"/>
      <c r="N60" s="198"/>
      <c r="O60" s="156"/>
      <c r="P60" s="79"/>
      <c r="Q60" s="79"/>
      <c r="R60" s="79"/>
      <c r="T60" s="154"/>
      <c r="U60" s="100"/>
      <c r="V60" s="100"/>
      <c r="W60" s="100"/>
      <c r="X60" s="100"/>
      <c r="Y60" s="100"/>
      <c r="Z60" s="100"/>
      <c r="AA60" s="78"/>
      <c r="AB60" s="100"/>
      <c r="AC60" s="100"/>
      <c r="AD60" s="100"/>
      <c r="AE60" s="100"/>
      <c r="AF60" s="100"/>
      <c r="AG60" s="380"/>
      <c r="AH60" s="100"/>
      <c r="AI60" s="100"/>
      <c r="AJ60" s="100"/>
      <c r="AK60" s="380"/>
      <c r="AL60" s="100"/>
      <c r="AM60" s="100"/>
      <c r="AN60" s="100"/>
      <c r="AO60" s="100"/>
      <c r="AP60" s="100"/>
      <c r="AQ60" s="380"/>
    </row>
    <row r="61" spans="1:43" x14ac:dyDescent="0.25">
      <c r="A61" s="159">
        <v>39</v>
      </c>
      <c r="B61" s="80"/>
      <c r="C61" s="82" t="s">
        <v>235</v>
      </c>
      <c r="D61" s="80"/>
      <c r="E61" s="80"/>
      <c r="F61" s="225">
        <v>21</v>
      </c>
      <c r="G61" s="70"/>
      <c r="H61" s="225">
        <f>ROUND(F61*AC61/12,0)</f>
        <v>3350</v>
      </c>
      <c r="I61" s="78"/>
      <c r="J61" s="349">
        <f>ROUND(AC147+AC147*LT_COS_RATE,2)</f>
        <v>18.75</v>
      </c>
      <c r="K61" s="352"/>
      <c r="L61" s="79">
        <f>ROUND((F61*J61),0)</f>
        <v>394</v>
      </c>
      <c r="M61" s="79"/>
      <c r="N61" s="156">
        <f>ROUND((L61/L$79)*100,1)</f>
        <v>2.1</v>
      </c>
      <c r="O61" s="156"/>
      <c r="P61" s="79">
        <f>ROUND($P$69/$H$69*H61,0)</f>
        <v>3</v>
      </c>
      <c r="Q61" s="79"/>
      <c r="R61" s="79">
        <f>L61+P61</f>
        <v>397</v>
      </c>
      <c r="S61" s="85"/>
      <c r="T61" s="154"/>
      <c r="U61" s="100"/>
      <c r="V61" s="100"/>
      <c r="W61" s="100"/>
      <c r="X61" s="100"/>
      <c r="Y61" s="394"/>
      <c r="Z61" s="100"/>
      <c r="AA61" s="225"/>
      <c r="AB61" s="100"/>
      <c r="AC61" s="415">
        <v>1914</v>
      </c>
      <c r="AD61" s="100"/>
      <c r="AE61" s="100"/>
      <c r="AF61" s="100"/>
      <c r="AG61" s="380"/>
      <c r="AH61" s="100"/>
      <c r="AI61" s="100"/>
      <c r="AJ61" s="100"/>
      <c r="AK61" s="380"/>
      <c r="AL61" s="100"/>
      <c r="AM61" s="100"/>
      <c r="AN61" s="100"/>
      <c r="AO61" s="100"/>
      <c r="AP61" s="100"/>
      <c r="AQ61" s="380"/>
    </row>
    <row r="62" spans="1:43" x14ac:dyDescent="0.25">
      <c r="A62" s="159">
        <v>40</v>
      </c>
      <c r="B62" s="80"/>
      <c r="C62" s="253" t="s">
        <v>350</v>
      </c>
      <c r="D62" s="80"/>
      <c r="E62" s="80"/>
      <c r="F62" s="78"/>
      <c r="G62" s="70"/>
      <c r="H62" s="78"/>
      <c r="I62" s="78"/>
      <c r="J62" s="349"/>
      <c r="K62" s="352"/>
      <c r="L62" s="79"/>
      <c r="M62" s="79"/>
      <c r="N62" s="198"/>
      <c r="O62" s="156"/>
      <c r="P62" s="79"/>
      <c r="Q62" s="79"/>
      <c r="R62" s="79"/>
      <c r="T62" s="154"/>
      <c r="U62" s="100"/>
      <c r="V62" s="100"/>
      <c r="W62" s="100"/>
      <c r="X62" s="100"/>
      <c r="Y62" s="100"/>
      <c r="Z62" s="100"/>
      <c r="AA62" s="78"/>
      <c r="AB62" s="100"/>
      <c r="AC62" s="415"/>
      <c r="AD62" s="100"/>
      <c r="AE62" s="100"/>
      <c r="AF62" s="100"/>
      <c r="AG62" s="380"/>
      <c r="AH62" s="100"/>
      <c r="AI62" s="100"/>
      <c r="AJ62" s="100"/>
      <c r="AK62" s="380"/>
      <c r="AL62" s="100"/>
      <c r="AM62" s="100"/>
      <c r="AN62" s="100"/>
      <c r="AO62" s="100"/>
      <c r="AP62" s="100"/>
      <c r="AQ62" s="380"/>
    </row>
    <row r="63" spans="1:43" x14ac:dyDescent="0.25">
      <c r="A63" s="159">
        <v>41</v>
      </c>
      <c r="B63" s="80"/>
      <c r="C63" s="82" t="s">
        <v>351</v>
      </c>
      <c r="D63" s="80"/>
      <c r="E63" s="80"/>
      <c r="F63" s="225">
        <v>4</v>
      </c>
      <c r="G63" s="70"/>
      <c r="H63" s="225">
        <f t="shared" ref="H63:H64" si="19">ROUND(F63*AC63/12,0)</f>
        <v>405</v>
      </c>
      <c r="I63" s="78"/>
      <c r="J63" s="349">
        <f>ROUND(AC149+AC149*LT_COS_RATE,2)</f>
        <v>14.59</v>
      </c>
      <c r="K63" s="352"/>
      <c r="L63" s="79">
        <f>ROUND((F63*J63),0)</f>
        <v>58</v>
      </c>
      <c r="M63" s="79"/>
      <c r="N63" s="156">
        <f>ROUND((L63/L$79)*100,1)</f>
        <v>0.3</v>
      </c>
      <c r="O63" s="156"/>
      <c r="P63" s="79">
        <f>ROUND($P$69/$H$69*H63,0)</f>
        <v>0</v>
      </c>
      <c r="Q63" s="79"/>
      <c r="R63" s="79">
        <f>L63+P63</f>
        <v>58</v>
      </c>
      <c r="S63" s="85"/>
      <c r="T63" s="154"/>
      <c r="U63" s="100"/>
      <c r="V63" s="100"/>
      <c r="W63" s="100"/>
      <c r="X63" s="100"/>
      <c r="Y63" s="394"/>
      <c r="Z63" s="100"/>
      <c r="AA63" s="225"/>
      <c r="AB63" s="100"/>
      <c r="AC63" s="415">
        <v>1215</v>
      </c>
      <c r="AD63" s="100"/>
      <c r="AE63" s="100"/>
      <c r="AF63" s="100"/>
      <c r="AG63" s="380"/>
      <c r="AH63" s="100"/>
      <c r="AI63" s="100"/>
      <c r="AJ63" s="100"/>
      <c r="AK63" s="380"/>
      <c r="AL63" s="100"/>
      <c r="AM63" s="100"/>
      <c r="AN63" s="100"/>
      <c r="AO63" s="100"/>
      <c r="AP63" s="100"/>
      <c r="AQ63" s="380"/>
    </row>
    <row r="64" spans="1:43" x14ac:dyDescent="0.25">
      <c r="A64" s="159">
        <v>42</v>
      </c>
      <c r="B64" s="80"/>
      <c r="C64" s="82" t="s">
        <v>352</v>
      </c>
      <c r="D64" s="80"/>
      <c r="E64" s="80"/>
      <c r="F64" s="225">
        <v>26</v>
      </c>
      <c r="G64" s="70"/>
      <c r="H64" s="225">
        <f t="shared" si="19"/>
        <v>4147</v>
      </c>
      <c r="I64" s="78"/>
      <c r="J64" s="349">
        <f>ROUND(AC150+AC150*LT_COS_RATE,2)</f>
        <v>18.75</v>
      </c>
      <c r="K64" s="352"/>
      <c r="L64" s="79">
        <f>ROUND((F64*J64),0)</f>
        <v>488</v>
      </c>
      <c r="M64" s="79"/>
      <c r="N64" s="156">
        <f>ROUND((L64/L$79)*100,1)</f>
        <v>2.6</v>
      </c>
      <c r="O64" s="156"/>
      <c r="P64" s="79">
        <f>ROUND($P$69/$H$69*H64,0)</f>
        <v>4</v>
      </c>
      <c r="Q64" s="79"/>
      <c r="R64" s="79">
        <f>L64+P64</f>
        <v>492</v>
      </c>
      <c r="S64" s="85"/>
      <c r="T64" s="154"/>
      <c r="U64" s="100"/>
      <c r="V64" s="100"/>
      <c r="W64" s="100"/>
      <c r="X64" s="100"/>
      <c r="Y64" s="394"/>
      <c r="Z64" s="100"/>
      <c r="AA64" s="225"/>
      <c r="AB64" s="100"/>
      <c r="AC64" s="415">
        <v>1914</v>
      </c>
      <c r="AD64" s="100"/>
      <c r="AE64" s="100"/>
      <c r="AF64" s="100"/>
      <c r="AG64" s="380"/>
      <c r="AH64" s="100"/>
      <c r="AI64" s="100"/>
      <c r="AJ64" s="100"/>
      <c r="AK64" s="380"/>
      <c r="AL64" s="100"/>
      <c r="AM64" s="100"/>
      <c r="AN64" s="100"/>
      <c r="AO64" s="100"/>
      <c r="AP64" s="100"/>
      <c r="AQ64" s="380"/>
    </row>
    <row r="65" spans="1:43" x14ac:dyDescent="0.25">
      <c r="A65" s="159">
        <v>43</v>
      </c>
      <c r="B65" s="80"/>
      <c r="C65" s="253" t="s">
        <v>353</v>
      </c>
      <c r="D65" s="80"/>
      <c r="E65" s="80"/>
      <c r="F65" s="225"/>
      <c r="G65" s="70"/>
      <c r="H65" s="78"/>
      <c r="I65" s="78"/>
      <c r="J65" s="349"/>
      <c r="K65" s="352"/>
      <c r="L65" s="79"/>
      <c r="M65" s="79"/>
      <c r="N65" s="156"/>
      <c r="O65" s="156"/>
      <c r="P65" s="79"/>
      <c r="Q65" s="79"/>
      <c r="R65" s="79"/>
      <c r="T65" s="154"/>
      <c r="U65" s="100"/>
      <c r="V65" s="100"/>
      <c r="W65" s="100"/>
      <c r="X65" s="100"/>
      <c r="Y65" s="100"/>
      <c r="Z65" s="100"/>
      <c r="AA65" s="78"/>
      <c r="AB65" s="100"/>
      <c r="AC65" s="415"/>
      <c r="AD65" s="100"/>
      <c r="AE65" s="100"/>
      <c r="AF65" s="100"/>
      <c r="AG65" s="380"/>
      <c r="AH65" s="100"/>
      <c r="AI65" s="100"/>
      <c r="AJ65" s="100"/>
      <c r="AK65" s="380"/>
      <c r="AL65" s="100"/>
      <c r="AM65" s="100"/>
      <c r="AN65" s="100"/>
      <c r="AO65" s="100"/>
      <c r="AP65" s="100"/>
      <c r="AQ65" s="380"/>
    </row>
    <row r="66" spans="1:43" x14ac:dyDescent="0.25">
      <c r="A66" s="159">
        <v>44</v>
      </c>
      <c r="B66" s="80"/>
      <c r="C66" s="82" t="s">
        <v>354</v>
      </c>
      <c r="D66" s="80"/>
      <c r="E66" s="80"/>
      <c r="F66" s="225">
        <v>63</v>
      </c>
      <c r="G66" s="70"/>
      <c r="H66" s="225">
        <f t="shared" ref="H66:H68" si="20">ROUND(F66*AC66/12,0)</f>
        <v>5371</v>
      </c>
      <c r="I66" s="78"/>
      <c r="J66" s="349">
        <f>ROUND(AC152+AC152*LT_COS_RATE,2)</f>
        <v>13.85</v>
      </c>
      <c r="K66" s="352"/>
      <c r="L66" s="79">
        <f>ROUND((F66*J66),0)</f>
        <v>873</v>
      </c>
      <c r="M66" s="79"/>
      <c r="N66" s="156">
        <f>ROUND((L66/L$79)*100,1)</f>
        <v>4.7</v>
      </c>
      <c r="O66" s="156"/>
      <c r="P66" s="79">
        <f>ROUND($P$69/$H$69*H66,0)</f>
        <v>5</v>
      </c>
      <c r="Q66" s="79"/>
      <c r="R66" s="79">
        <f>L66+P66</f>
        <v>878</v>
      </c>
      <c r="S66" s="85"/>
      <c r="T66" s="154"/>
      <c r="U66" s="100"/>
      <c r="V66" s="100"/>
      <c r="W66" s="100"/>
      <c r="X66" s="100"/>
      <c r="Y66" s="394"/>
      <c r="Z66" s="100"/>
      <c r="AA66" s="225"/>
      <c r="AB66" s="100"/>
      <c r="AC66" s="415">
        <v>1023</v>
      </c>
      <c r="AD66" s="100"/>
      <c r="AE66" s="100"/>
      <c r="AF66" s="100"/>
      <c r="AG66" s="380"/>
      <c r="AH66" s="100"/>
      <c r="AI66" s="100"/>
      <c r="AJ66" s="100"/>
      <c r="AK66" s="380"/>
      <c r="AL66" s="100"/>
      <c r="AM66" s="100"/>
      <c r="AN66" s="100"/>
      <c r="AO66" s="100"/>
      <c r="AP66" s="100"/>
      <c r="AQ66" s="380"/>
    </row>
    <row r="67" spans="1:43" x14ac:dyDescent="0.25">
      <c r="A67" s="159">
        <v>45</v>
      </c>
      <c r="B67" s="80"/>
      <c r="C67" s="82" t="s">
        <v>355</v>
      </c>
      <c r="D67" s="80"/>
      <c r="E67" s="80"/>
      <c r="F67" s="225">
        <v>11</v>
      </c>
      <c r="G67" s="70"/>
      <c r="H67" s="225">
        <f t="shared" si="20"/>
        <v>938</v>
      </c>
      <c r="I67" s="78"/>
      <c r="J67" s="349">
        <f>ROUND(AC153+AC153*LT_COS_RATE,2)</f>
        <v>13.85</v>
      </c>
      <c r="K67" s="352"/>
      <c r="L67" s="79">
        <f>ROUND((F67*J67),0)</f>
        <v>152</v>
      </c>
      <c r="M67" s="79"/>
      <c r="N67" s="156">
        <f>ROUND((L67/L$79)*100,1)</f>
        <v>0.8</v>
      </c>
      <c r="O67" s="156"/>
      <c r="P67" s="79">
        <f>ROUND($P$69/$H$69*H67,0)</f>
        <v>1</v>
      </c>
      <c r="Q67" s="79"/>
      <c r="R67" s="79">
        <f>L67+P67</f>
        <v>153</v>
      </c>
      <c r="S67" s="85"/>
      <c r="T67" s="154"/>
      <c r="U67" s="100"/>
      <c r="V67" s="100"/>
      <c r="W67" s="100"/>
      <c r="X67" s="100"/>
      <c r="Y67" s="394"/>
      <c r="Z67" s="100"/>
      <c r="AA67" s="225"/>
      <c r="AB67" s="100"/>
      <c r="AC67" s="415">
        <v>1023</v>
      </c>
      <c r="AD67" s="100"/>
      <c r="AE67" s="100"/>
      <c r="AF67" s="100"/>
      <c r="AG67" s="380"/>
      <c r="AH67" s="100"/>
      <c r="AI67" s="100"/>
      <c r="AJ67" s="100"/>
      <c r="AK67" s="380"/>
      <c r="AL67" s="100"/>
      <c r="AM67" s="100"/>
      <c r="AN67" s="100"/>
      <c r="AO67" s="100"/>
      <c r="AP67" s="100"/>
      <c r="AQ67" s="380"/>
    </row>
    <row r="68" spans="1:43" x14ac:dyDescent="0.25">
      <c r="A68" s="159">
        <v>46</v>
      </c>
      <c r="B68" s="80"/>
      <c r="C68" s="82" t="s">
        <v>247</v>
      </c>
      <c r="D68" s="80"/>
      <c r="E68" s="80"/>
      <c r="F68" s="225">
        <v>309</v>
      </c>
      <c r="G68" s="70"/>
      <c r="H68" s="225">
        <f t="shared" si="20"/>
        <v>51423</v>
      </c>
      <c r="I68" s="78"/>
      <c r="J68" s="349">
        <f>ROUND(AC154+AC154*LT_COS_RATE,2)</f>
        <v>17.170000000000002</v>
      </c>
      <c r="K68" s="352"/>
      <c r="L68" s="167">
        <f>ROUND((F68*J68),0)</f>
        <v>5306</v>
      </c>
      <c r="M68" s="167"/>
      <c r="N68" s="341">
        <f>ROUND((L68/L$79)*100,1)</f>
        <v>28.4</v>
      </c>
      <c r="O68" s="341"/>
      <c r="P68" s="167">
        <f>ROUND($P$69/$H$69*H68,0)+2</f>
        <v>54</v>
      </c>
      <c r="Q68" s="167"/>
      <c r="R68" s="79">
        <f>L68+P68</f>
        <v>5360</v>
      </c>
      <c r="S68" s="85"/>
      <c r="T68" s="154"/>
      <c r="U68" s="100"/>
      <c r="V68" s="100"/>
      <c r="W68" s="100"/>
      <c r="X68" s="100"/>
      <c r="Y68" s="394"/>
      <c r="Z68" s="100"/>
      <c r="AA68" s="225"/>
      <c r="AB68" s="100"/>
      <c r="AC68" s="415">
        <v>1997</v>
      </c>
      <c r="AD68" s="100"/>
      <c r="AE68" s="100"/>
      <c r="AF68" s="100"/>
      <c r="AG68" s="380"/>
      <c r="AH68" s="100"/>
      <c r="AI68" s="100"/>
      <c r="AJ68" s="100"/>
      <c r="AK68" s="380"/>
      <c r="AL68" s="100"/>
      <c r="AM68" s="100"/>
      <c r="AN68" s="100"/>
      <c r="AO68" s="100"/>
      <c r="AP68" s="100"/>
      <c r="AQ68" s="380"/>
    </row>
    <row r="69" spans="1:43" ht="20.100000000000001" customHeight="1" x14ac:dyDescent="0.25">
      <c r="A69" s="159">
        <v>47</v>
      </c>
      <c r="B69" s="80"/>
      <c r="C69" s="253" t="s">
        <v>261</v>
      </c>
      <c r="D69" s="80"/>
      <c r="E69" s="80"/>
      <c r="F69" s="126">
        <f>SUM(F61:F68)</f>
        <v>434</v>
      </c>
      <c r="G69" s="386"/>
      <c r="H69" s="126">
        <f>SUM(H61:H68)</f>
        <v>65634</v>
      </c>
      <c r="I69" s="78"/>
      <c r="J69" s="352"/>
      <c r="K69" s="352"/>
      <c r="L69" s="126">
        <f>SUM(L61:L68)</f>
        <v>7271</v>
      </c>
      <c r="M69" s="167"/>
      <c r="N69" s="303">
        <f>ROUND((L69/L$79)*100,1)</f>
        <v>38.9</v>
      </c>
      <c r="O69" s="341"/>
      <c r="P69" s="169">
        <f>ROUND($P$79/$H$79*H69,0)</f>
        <v>67</v>
      </c>
      <c r="Q69" s="167"/>
      <c r="R69" s="126">
        <f>SUM(R61:R68)</f>
        <v>7338</v>
      </c>
      <c r="T69" s="312"/>
      <c r="U69" s="100"/>
      <c r="V69" s="100"/>
      <c r="W69" s="100"/>
      <c r="X69" s="100"/>
      <c r="Y69" s="100"/>
      <c r="Z69" s="100"/>
      <c r="AA69" s="126"/>
      <c r="AB69" s="100"/>
      <c r="AC69" s="100"/>
      <c r="AD69" s="100"/>
      <c r="AE69" s="100"/>
      <c r="AF69" s="100"/>
      <c r="AG69" s="380"/>
      <c r="AH69" s="100"/>
      <c r="AI69" s="100"/>
      <c r="AJ69" s="100"/>
      <c r="AK69" s="380"/>
      <c r="AL69" s="100"/>
      <c r="AM69" s="100"/>
      <c r="AN69" s="100"/>
      <c r="AO69" s="100"/>
      <c r="AP69" s="100"/>
      <c r="AQ69" s="380"/>
    </row>
    <row r="70" spans="1:43" ht="20.100000000000001" customHeight="1" x14ac:dyDescent="0.25">
      <c r="A70" s="159">
        <v>48</v>
      </c>
      <c r="B70" s="80"/>
      <c r="C70" s="265" t="s">
        <v>589</v>
      </c>
      <c r="D70" s="80"/>
      <c r="E70" s="80"/>
      <c r="F70" s="126">
        <f>F69+F57</f>
        <v>1382</v>
      </c>
      <c r="G70" s="85"/>
      <c r="H70" s="126">
        <f>H69+H57</f>
        <v>138105</v>
      </c>
      <c r="I70" s="78"/>
      <c r="J70" s="352"/>
      <c r="K70" s="352"/>
      <c r="L70" s="126">
        <f>L69+L57</f>
        <v>18731</v>
      </c>
      <c r="M70" s="163"/>
      <c r="N70" s="303">
        <f>ROUND((L70/L$79)*100,1)</f>
        <v>100.3</v>
      </c>
      <c r="O70" s="198"/>
      <c r="P70" s="169">
        <f>P69+P57</f>
        <v>142</v>
      </c>
      <c r="Q70" s="163"/>
      <c r="R70" s="126">
        <f>R69+R57</f>
        <v>18873</v>
      </c>
      <c r="T70" s="312"/>
      <c r="U70" s="100"/>
      <c r="V70" s="100"/>
      <c r="W70" s="100"/>
      <c r="X70" s="100"/>
      <c r="Y70" s="100"/>
      <c r="Z70" s="100"/>
      <c r="AA70" s="126"/>
      <c r="AB70" s="100"/>
      <c r="AC70" s="100"/>
      <c r="AD70" s="100"/>
      <c r="AE70" s="100"/>
      <c r="AF70" s="100"/>
      <c r="AG70" s="380"/>
      <c r="AH70" s="100"/>
      <c r="AI70" s="100"/>
      <c r="AJ70" s="100"/>
      <c r="AK70" s="380"/>
      <c r="AL70" s="100"/>
      <c r="AM70" s="100"/>
      <c r="AN70" s="100"/>
      <c r="AO70" s="100"/>
      <c r="AP70" s="100"/>
      <c r="AQ70" s="380"/>
    </row>
    <row r="71" spans="1:43" ht="15.75" customHeight="1" x14ac:dyDescent="0.25">
      <c r="A71" s="159"/>
      <c r="B71" s="80"/>
      <c r="C71" s="265"/>
      <c r="D71" s="80"/>
      <c r="E71" s="80"/>
      <c r="F71" s="230"/>
      <c r="G71" s="85"/>
      <c r="H71" s="230"/>
      <c r="I71" s="78"/>
      <c r="J71" s="352"/>
      <c r="K71" s="352"/>
      <c r="L71" s="230"/>
      <c r="M71" s="163"/>
      <c r="N71" s="198"/>
      <c r="O71" s="198"/>
      <c r="P71" s="163"/>
      <c r="Q71" s="163"/>
      <c r="R71" s="230"/>
      <c r="T71" s="312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380"/>
      <c r="AH71" s="100"/>
      <c r="AI71" s="100"/>
      <c r="AJ71" s="100"/>
      <c r="AK71" s="380"/>
      <c r="AL71" s="100"/>
      <c r="AM71" s="100"/>
      <c r="AN71" s="100"/>
      <c r="AO71" s="100"/>
      <c r="AP71" s="100"/>
      <c r="AQ71" s="380"/>
    </row>
    <row r="72" spans="1:43" ht="15.75" customHeight="1" x14ac:dyDescent="0.25">
      <c r="A72" s="159">
        <v>49</v>
      </c>
      <c r="B72" s="80"/>
      <c r="C72" s="253" t="s">
        <v>591</v>
      </c>
      <c r="D72" s="80"/>
      <c r="E72" s="80"/>
      <c r="F72" s="230"/>
      <c r="G72" s="85"/>
      <c r="H72" s="230"/>
      <c r="I72" s="78"/>
      <c r="J72" s="352"/>
      <c r="K72" s="352"/>
      <c r="L72" s="230"/>
      <c r="M72" s="163"/>
      <c r="N72" s="198"/>
      <c r="O72" s="198"/>
      <c r="P72" s="163"/>
      <c r="Q72" s="163"/>
      <c r="R72" s="230"/>
      <c r="T72" s="312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380"/>
      <c r="AH72" s="100"/>
      <c r="AI72" s="100"/>
      <c r="AJ72" s="100"/>
      <c r="AK72" s="380"/>
      <c r="AL72" s="100"/>
      <c r="AM72" s="100"/>
      <c r="AN72" s="100"/>
      <c r="AO72" s="100"/>
      <c r="AP72" s="100"/>
      <c r="AQ72" s="380"/>
    </row>
    <row r="73" spans="1:43" ht="15.75" customHeight="1" x14ac:dyDescent="0.25">
      <c r="A73" s="159">
        <v>50</v>
      </c>
      <c r="B73" s="80"/>
      <c r="C73" s="153" t="str">
        <f>ESM_Name</f>
        <v>ENVIRONMENTAL SURCHARGE MECHANISM RIDER (ESM)</v>
      </c>
      <c r="D73" s="80"/>
      <c r="E73" s="80"/>
      <c r="F73" s="230"/>
      <c r="G73" s="85"/>
      <c r="H73" s="230"/>
      <c r="I73" s="78"/>
      <c r="J73" s="430">
        <f>PRO_ESM</f>
        <v>0</v>
      </c>
      <c r="K73" s="352"/>
      <c r="L73" s="230">
        <f t="shared" ref="L73:L75" si="21">ROUND($H$70*J73,0)</f>
        <v>0</v>
      </c>
      <c r="M73" s="163"/>
      <c r="N73" s="198">
        <f t="shared" ref="N73:N75" si="22">ROUND((L73/L$79)*100,1)</f>
        <v>0</v>
      </c>
      <c r="O73" s="198"/>
      <c r="P73" s="163"/>
      <c r="Q73" s="163"/>
      <c r="R73" s="230">
        <f t="shared" ref="R73:R75" si="23">L73+P73</f>
        <v>0</v>
      </c>
      <c r="T73" s="312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380"/>
      <c r="AH73" s="100"/>
      <c r="AI73" s="100"/>
      <c r="AJ73" s="100"/>
      <c r="AK73" s="380"/>
      <c r="AL73" s="100"/>
      <c r="AM73" s="100"/>
      <c r="AN73" s="100"/>
      <c r="AO73" s="100"/>
      <c r="AP73" s="100"/>
      <c r="AQ73" s="380"/>
    </row>
    <row r="74" spans="1:43" ht="15.75" customHeight="1" x14ac:dyDescent="0.25">
      <c r="A74" s="159">
        <v>51</v>
      </c>
      <c r="B74" s="80"/>
      <c r="C74" s="153" t="str">
        <f>DCI_Name</f>
        <v>DISTRIBUTION CAPITAL INVESTMENT RIDER (DCI)</v>
      </c>
      <c r="D74" s="80"/>
      <c r="E74" s="80"/>
      <c r="F74" s="230"/>
      <c r="G74" s="85"/>
      <c r="H74" s="230"/>
      <c r="I74" s="78"/>
      <c r="J74" s="430">
        <f>PRO_DCI_SL</f>
        <v>0</v>
      </c>
      <c r="K74" s="352"/>
      <c r="L74" s="230">
        <f t="shared" si="21"/>
        <v>0</v>
      </c>
      <c r="M74" s="163"/>
      <c r="N74" s="198">
        <f t="shared" si="22"/>
        <v>0</v>
      </c>
      <c r="O74" s="198"/>
      <c r="P74" s="163"/>
      <c r="Q74" s="163"/>
      <c r="R74" s="230">
        <f t="shared" si="23"/>
        <v>0</v>
      </c>
      <c r="T74" s="312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380"/>
      <c r="AH74" s="100"/>
      <c r="AI74" s="100"/>
      <c r="AJ74" s="100"/>
      <c r="AK74" s="380"/>
      <c r="AL74" s="100"/>
      <c r="AM74" s="100"/>
      <c r="AN74" s="100"/>
      <c r="AO74" s="100"/>
      <c r="AP74" s="100"/>
      <c r="AQ74" s="380"/>
    </row>
    <row r="75" spans="1:43" ht="15.75" customHeight="1" x14ac:dyDescent="0.25">
      <c r="A75" s="159">
        <v>52</v>
      </c>
      <c r="B75" s="80"/>
      <c r="C75" s="153" t="str">
        <f>FTR_Name</f>
        <v>FERC TRANSMISSION COST RECOVERY RECONCILIATION (FTR)</v>
      </c>
      <c r="D75" s="80"/>
      <c r="E75" s="80"/>
      <c r="F75" s="230"/>
      <c r="G75" s="85"/>
      <c r="H75" s="230"/>
      <c r="I75" s="78"/>
      <c r="J75" s="430">
        <f>PRO_FTR_SL</f>
        <v>0</v>
      </c>
      <c r="K75" s="352"/>
      <c r="L75" s="230">
        <f t="shared" si="21"/>
        <v>0</v>
      </c>
      <c r="M75" s="163"/>
      <c r="N75" s="198">
        <f t="shared" si="22"/>
        <v>0</v>
      </c>
      <c r="O75" s="198"/>
      <c r="P75" s="163"/>
      <c r="Q75" s="163"/>
      <c r="R75" s="230">
        <f t="shared" si="23"/>
        <v>0</v>
      </c>
      <c r="T75" s="312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380"/>
      <c r="AH75" s="100"/>
      <c r="AI75" s="100"/>
      <c r="AJ75" s="100"/>
      <c r="AK75" s="380"/>
      <c r="AL75" s="100"/>
      <c r="AM75" s="100"/>
      <c r="AN75" s="100"/>
      <c r="AO75" s="100"/>
      <c r="AP75" s="100"/>
      <c r="AQ75" s="380"/>
    </row>
    <row r="76" spans="1:43" ht="15.75" customHeight="1" x14ac:dyDescent="0.25">
      <c r="A76" s="159">
        <v>53</v>
      </c>
      <c r="B76" s="80"/>
      <c r="C76" s="153" t="str">
        <f>PSM_Name</f>
        <v>PROFIT SHARING MECHANISM (PSM)</v>
      </c>
      <c r="D76" s="80"/>
      <c r="E76" s="80"/>
      <c r="F76" s="230"/>
      <c r="G76" s="85"/>
      <c r="H76" s="230"/>
      <c r="I76" s="78"/>
      <c r="J76" s="438">
        <f>PRO_PSM</f>
        <v>-4.5600000000000003E-4</v>
      </c>
      <c r="K76" s="352"/>
      <c r="L76" s="286">
        <f>ROUND($H$70*J76,0)</f>
        <v>-63</v>
      </c>
      <c r="M76" s="163"/>
      <c r="N76" s="166">
        <f>ROUND((L76/L$79)*100,1)</f>
        <v>-0.3</v>
      </c>
      <c r="O76" s="198"/>
      <c r="P76" s="167"/>
      <c r="Q76" s="163"/>
      <c r="R76" s="79">
        <f t="shared" ref="R76" si="24">L76+P76</f>
        <v>-63</v>
      </c>
      <c r="T76" s="312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380"/>
      <c r="AH76" s="100"/>
      <c r="AI76" s="100"/>
      <c r="AJ76" s="100"/>
      <c r="AK76" s="380"/>
      <c r="AL76" s="100"/>
      <c r="AM76" s="100"/>
      <c r="AN76" s="100"/>
      <c r="AO76" s="100"/>
      <c r="AP76" s="100"/>
      <c r="AQ76" s="380"/>
    </row>
    <row r="77" spans="1:43" ht="20.100000000000001" customHeight="1" x14ac:dyDescent="0.25">
      <c r="A77" s="159">
        <v>54</v>
      </c>
      <c r="B77" s="80"/>
      <c r="C77" s="253" t="s">
        <v>585</v>
      </c>
      <c r="D77" s="80"/>
      <c r="E77" s="80"/>
      <c r="F77" s="286"/>
      <c r="G77" s="85"/>
      <c r="H77" s="286"/>
      <c r="I77" s="78"/>
      <c r="J77" s="352"/>
      <c r="K77" s="352"/>
      <c r="L77" s="126">
        <f>SUM(L73:L76)</f>
        <v>-63</v>
      </c>
      <c r="M77" s="163"/>
      <c r="N77" s="170">
        <f>ROUND((L77/L$79)*100,1)</f>
        <v>-0.3</v>
      </c>
      <c r="O77" s="198"/>
      <c r="P77" s="169"/>
      <c r="Q77" s="163"/>
      <c r="R77" s="126">
        <f>SUM(R73:R76)</f>
        <v>-63</v>
      </c>
      <c r="T77" s="312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380"/>
      <c r="AH77" s="100"/>
      <c r="AI77" s="100"/>
      <c r="AJ77" s="100"/>
      <c r="AK77" s="380"/>
      <c r="AL77" s="100"/>
      <c r="AM77" s="100"/>
      <c r="AN77" s="100"/>
      <c r="AO77" s="100"/>
      <c r="AP77" s="100"/>
      <c r="AQ77" s="380"/>
    </row>
    <row r="78" spans="1:43" ht="15.75" customHeight="1" x14ac:dyDescent="0.25">
      <c r="A78" s="159"/>
      <c r="B78" s="80"/>
      <c r="C78" s="253"/>
      <c r="D78" s="80"/>
      <c r="E78" s="80"/>
      <c r="F78" s="230"/>
      <c r="G78" s="85"/>
      <c r="H78" s="230"/>
      <c r="I78" s="78"/>
      <c r="J78" s="352"/>
      <c r="K78" s="352"/>
      <c r="L78" s="230"/>
      <c r="M78" s="163"/>
      <c r="N78" s="198"/>
      <c r="O78" s="198"/>
      <c r="P78" s="163"/>
      <c r="Q78" s="163"/>
      <c r="R78" s="230"/>
      <c r="T78" s="312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380"/>
      <c r="AH78" s="100"/>
      <c r="AI78" s="100"/>
      <c r="AJ78" s="100"/>
      <c r="AK78" s="380"/>
      <c r="AL78" s="100"/>
      <c r="AM78" s="100"/>
      <c r="AN78" s="100"/>
      <c r="AO78" s="100"/>
      <c r="AP78" s="100"/>
      <c r="AQ78" s="380"/>
    </row>
    <row r="79" spans="1:43" ht="20.100000000000001" customHeight="1" thickBot="1" x14ac:dyDescent="0.3">
      <c r="A79" s="159">
        <v>55</v>
      </c>
      <c r="B79" s="80"/>
      <c r="C79" s="253" t="s">
        <v>590</v>
      </c>
      <c r="D79" s="80"/>
      <c r="E79" s="80"/>
      <c r="F79" s="275">
        <f>F70</f>
        <v>1382</v>
      </c>
      <c r="G79" s="70"/>
      <c r="H79" s="275">
        <f>H70</f>
        <v>138105</v>
      </c>
      <c r="I79" s="79"/>
      <c r="J79" s="70"/>
      <c r="K79" s="70"/>
      <c r="L79" s="275">
        <f>L77+L70</f>
        <v>18668</v>
      </c>
      <c r="M79" s="79"/>
      <c r="N79" s="309">
        <v>100</v>
      </c>
      <c r="O79" s="156"/>
      <c r="P79" s="435">
        <f>ROUND(H79*CUR_FAC,0)</f>
        <v>142</v>
      </c>
      <c r="Q79" s="78"/>
      <c r="R79" s="275">
        <f>R77+R70</f>
        <v>18810</v>
      </c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312"/>
      <c r="AF79" s="312"/>
      <c r="AG79" s="380"/>
      <c r="AH79" s="100"/>
      <c r="AI79" s="100"/>
      <c r="AJ79" s="100"/>
      <c r="AK79" s="380"/>
      <c r="AL79" s="100"/>
      <c r="AM79" s="100"/>
      <c r="AN79" s="100"/>
      <c r="AO79" s="100"/>
      <c r="AP79" s="100"/>
      <c r="AQ79" s="380"/>
    </row>
    <row r="80" spans="1:43" ht="15.75" customHeight="1" thickTop="1" x14ac:dyDescent="0.25">
      <c r="A80" s="159"/>
      <c r="B80" s="80"/>
      <c r="C80" s="253"/>
      <c r="D80" s="80"/>
      <c r="E80" s="80"/>
      <c r="F80" s="163"/>
      <c r="G80" s="70"/>
      <c r="H80" s="163"/>
      <c r="I80" s="79"/>
      <c r="J80" s="70"/>
      <c r="K80" s="70"/>
      <c r="L80" s="163"/>
      <c r="M80" s="79"/>
      <c r="N80" s="198"/>
      <c r="O80" s="156"/>
      <c r="P80" s="200"/>
      <c r="Q80" s="78"/>
      <c r="R80" s="163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312"/>
      <c r="AF80" s="312"/>
      <c r="AG80" s="380"/>
      <c r="AH80" s="100"/>
      <c r="AI80" s="100"/>
      <c r="AJ80" s="100"/>
      <c r="AK80" s="380"/>
      <c r="AL80" s="100"/>
      <c r="AM80" s="100"/>
      <c r="AN80" s="100"/>
      <c r="AO80" s="100"/>
      <c r="AP80" s="100"/>
      <c r="AQ80" s="380"/>
    </row>
    <row r="81" spans="1:76" ht="15.75" customHeight="1" x14ac:dyDescent="0.25">
      <c r="A81" s="80"/>
      <c r="B81" s="80"/>
      <c r="C81" s="173" t="s">
        <v>80</v>
      </c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T81" s="154"/>
      <c r="AO81" s="202"/>
      <c r="AP81" s="202"/>
    </row>
    <row r="82" spans="1:76" x14ac:dyDescent="0.25">
      <c r="A82" s="80"/>
      <c r="B82" s="80"/>
      <c r="C82" s="173" t="str">
        <f>"(2) REFLECTS FUEL COMPONENT OF "&amp;TEXT(PRO_FAC,"$0.000000;($0.000000)")&amp;" PER KWH."</f>
        <v>(2) REFLECTS FUEL COMPONENT OF $0.001028 PER KWH.</v>
      </c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T82" s="154"/>
      <c r="AO82" s="202"/>
      <c r="AP82" s="202"/>
    </row>
    <row r="83" spans="1:76" x14ac:dyDescent="0.25">
      <c r="A83" s="80"/>
      <c r="B83" s="80"/>
      <c r="C83" s="173" t="str">
        <f>"(3) REFLECTS FUEL COST RECOVERY INCLUDED IN BASE RATES OF "&amp;TEXT(PRO_BASE_FUEL,"$0.000000;($0.000000)")&amp;"  PER KWH."</f>
        <v>(3) REFLECTS FUEL COST RECOVERY INCLUDED IN BASE RATES OF $0.023837  PER KWH.</v>
      </c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T83" s="312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380"/>
      <c r="AH83" s="100"/>
      <c r="AI83" s="100"/>
      <c r="AJ83" s="100"/>
      <c r="AK83" s="380"/>
      <c r="AL83" s="100"/>
      <c r="AM83" s="100"/>
      <c r="AN83" s="100"/>
      <c r="AO83" s="100"/>
      <c r="AP83" s="100"/>
      <c r="AQ83" s="380"/>
    </row>
    <row r="84" spans="1:76" x14ac:dyDescent="0.25">
      <c r="A84" s="82"/>
      <c r="B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AE84" s="103"/>
      <c r="AF84" s="103"/>
      <c r="AG84" s="185"/>
      <c r="AH84" s="103"/>
      <c r="AI84" s="103"/>
      <c r="AJ84" s="103"/>
      <c r="AK84" s="185"/>
      <c r="AL84" s="103"/>
      <c r="AO84" s="103"/>
      <c r="AP84" s="103"/>
      <c r="AQ84" s="185"/>
    </row>
    <row r="85" spans="1:76" x14ac:dyDescent="0.25">
      <c r="A85" s="202"/>
      <c r="C85" s="154"/>
      <c r="F85" s="200"/>
      <c r="H85" s="200"/>
      <c r="I85" s="200"/>
      <c r="J85" s="305"/>
      <c r="K85" s="305"/>
      <c r="L85" s="200"/>
      <c r="M85" s="200"/>
      <c r="N85" s="210"/>
      <c r="O85" s="210"/>
      <c r="P85" s="200"/>
      <c r="Q85" s="200"/>
      <c r="R85" s="200"/>
      <c r="AC85" s="103"/>
      <c r="AD85" s="103"/>
      <c r="AE85" s="103"/>
      <c r="AF85" s="103"/>
      <c r="AG85" s="185"/>
      <c r="AH85" s="103"/>
      <c r="AI85" s="103"/>
      <c r="AJ85" s="103"/>
      <c r="AK85" s="185"/>
      <c r="AL85" s="103"/>
      <c r="AO85" s="103"/>
      <c r="AP85" s="103"/>
      <c r="AQ85" s="185"/>
    </row>
    <row r="86" spans="1:76" x14ac:dyDescent="0.25">
      <c r="A86" s="202"/>
      <c r="C86" s="154"/>
      <c r="F86" s="109"/>
      <c r="H86" s="109"/>
      <c r="I86" s="109"/>
      <c r="L86" s="109"/>
      <c r="M86" s="109"/>
      <c r="N86" s="449"/>
      <c r="O86" s="449"/>
      <c r="P86" s="109"/>
      <c r="Q86" s="109"/>
      <c r="R86" s="109"/>
      <c r="T86" s="103"/>
      <c r="V86" s="103"/>
      <c r="W86" s="103"/>
      <c r="X86" s="103"/>
      <c r="Y86" s="103"/>
      <c r="AA86" s="103"/>
      <c r="AB86" s="103"/>
      <c r="AC86" s="103"/>
      <c r="AD86" s="103"/>
      <c r="AE86" s="103"/>
      <c r="AF86" s="103"/>
      <c r="AG86" s="185"/>
      <c r="AH86" s="103"/>
      <c r="AI86" s="103"/>
      <c r="AJ86" s="103"/>
      <c r="AK86" s="185"/>
      <c r="AL86" s="103"/>
      <c r="AM86" s="103"/>
      <c r="AN86" s="103"/>
      <c r="AO86" s="103"/>
      <c r="AP86" s="103"/>
      <c r="AQ86" s="185"/>
      <c r="AS86" s="200"/>
      <c r="AT86" s="200"/>
      <c r="AU86" s="210"/>
      <c r="BX86" s="317"/>
    </row>
    <row r="87" spans="1:76" x14ac:dyDescent="0.25">
      <c r="A87" s="202"/>
      <c r="C87" s="154"/>
      <c r="F87" s="200"/>
      <c r="H87" s="200"/>
      <c r="I87" s="200"/>
      <c r="L87" s="200"/>
      <c r="M87" s="200"/>
      <c r="N87" s="210"/>
      <c r="O87" s="210"/>
      <c r="P87" s="252"/>
      <c r="Q87" s="252"/>
      <c r="R87" s="200"/>
      <c r="T87" s="150" t="str">
        <f>NAME</f>
        <v>DUKE ENERGY KENTUCKY, INC.</v>
      </c>
      <c r="U87" s="150"/>
      <c r="V87" s="150"/>
      <c r="W87" s="150"/>
      <c r="X87" s="150"/>
      <c r="Y87" s="150"/>
      <c r="Z87" s="150"/>
      <c r="AA87" s="150"/>
      <c r="AB87" s="150"/>
      <c r="AC87" s="150"/>
      <c r="AD87" s="187"/>
      <c r="AE87" s="187"/>
      <c r="AF87" s="150"/>
      <c r="AG87" s="380"/>
      <c r="AH87" s="150"/>
      <c r="AI87" s="100"/>
      <c r="AJ87" s="150"/>
      <c r="AK87" s="190"/>
      <c r="AL87" s="150"/>
      <c r="AM87" s="150"/>
      <c r="AN87" s="150"/>
      <c r="AO87" s="100"/>
      <c r="AP87" s="150"/>
      <c r="AQ87" s="190"/>
      <c r="AS87" s="200"/>
      <c r="AT87" s="200"/>
      <c r="AU87" s="210"/>
    </row>
    <row r="88" spans="1:76" x14ac:dyDescent="0.25">
      <c r="A88" s="202"/>
      <c r="C88" s="154"/>
      <c r="F88" s="200"/>
      <c r="H88" s="200"/>
      <c r="I88" s="200"/>
      <c r="L88" s="200"/>
      <c r="M88" s="200"/>
      <c r="N88" s="210"/>
      <c r="O88" s="210"/>
      <c r="P88" s="200"/>
      <c r="Q88" s="252"/>
      <c r="R88" s="200"/>
      <c r="T88" s="150" t="str">
        <f>CASE_NO</f>
        <v>CASE NO.   2017-00321</v>
      </c>
      <c r="U88" s="150"/>
      <c r="V88" s="150"/>
      <c r="W88" s="150"/>
      <c r="X88" s="150"/>
      <c r="Y88" s="150"/>
      <c r="Z88" s="150"/>
      <c r="AA88" s="150"/>
      <c r="AB88" s="150"/>
      <c r="AC88" s="150"/>
      <c r="AD88" s="187"/>
      <c r="AE88" s="187"/>
      <c r="AF88" s="150"/>
      <c r="AG88" s="380"/>
      <c r="AH88" s="150"/>
      <c r="AI88" s="100"/>
      <c r="AJ88" s="150"/>
      <c r="AK88" s="190"/>
      <c r="AL88" s="150"/>
      <c r="AM88" s="150"/>
      <c r="AN88" s="150"/>
      <c r="AO88" s="100"/>
      <c r="AP88" s="150"/>
      <c r="AQ88" s="190"/>
      <c r="AS88" s="200"/>
      <c r="AT88" s="200"/>
      <c r="AU88" s="210"/>
    </row>
    <row r="89" spans="1:76" x14ac:dyDescent="0.25">
      <c r="T89" s="187" t="str">
        <f>TITLE</f>
        <v>ANNUALIZED BASE YEAR REVENUES AT PROPOSED VS. MOST CURRENT RATES</v>
      </c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380"/>
      <c r="AH89" s="150"/>
      <c r="AI89" s="100"/>
      <c r="AJ89" s="150"/>
      <c r="AK89" s="190"/>
      <c r="AL89" s="150"/>
      <c r="AM89" s="150"/>
      <c r="AN89" s="150"/>
      <c r="AO89" s="100"/>
      <c r="AP89" s="150"/>
      <c r="AQ89" s="190"/>
      <c r="AS89" s="200"/>
      <c r="AT89" s="200"/>
      <c r="AU89" s="327"/>
    </row>
    <row r="90" spans="1:76" x14ac:dyDescent="0.25">
      <c r="C90" s="154"/>
      <c r="L90" s="200"/>
      <c r="M90" s="200"/>
      <c r="N90" s="200"/>
      <c r="O90" s="200"/>
      <c r="P90" s="200"/>
      <c r="Q90" s="200"/>
      <c r="R90" s="200"/>
      <c r="T90" s="150" t="str">
        <f>DATE</f>
        <v>FOR THE TWELVE MONTHS ENDED November 30, 2017</v>
      </c>
      <c r="U90" s="150"/>
      <c r="V90" s="150"/>
      <c r="W90" s="150"/>
      <c r="X90" s="150"/>
      <c r="Y90" s="150"/>
      <c r="Z90" s="150"/>
      <c r="AA90" s="150"/>
      <c r="AB90" s="150"/>
      <c r="AC90" s="150"/>
      <c r="AD90" s="187"/>
      <c r="AE90" s="187"/>
      <c r="AF90" s="150"/>
      <c r="AG90" s="380"/>
      <c r="AH90" s="150"/>
      <c r="AI90" s="100"/>
      <c r="AJ90" s="150"/>
      <c r="AK90" s="190"/>
      <c r="AL90" s="150"/>
      <c r="AM90" s="150"/>
      <c r="AN90" s="150"/>
      <c r="AO90" s="100"/>
      <c r="AP90" s="150"/>
      <c r="AQ90" s="190"/>
      <c r="AS90" s="200"/>
      <c r="AT90" s="200"/>
      <c r="AU90" s="210"/>
    </row>
    <row r="91" spans="1:76" x14ac:dyDescent="0.25">
      <c r="A91" s="154"/>
      <c r="T91" s="150" t="str">
        <f>SERVICE</f>
        <v>(ELECTRIC SERVICE)</v>
      </c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87"/>
      <c r="AG91" s="424"/>
      <c r="AH91" s="150"/>
      <c r="AI91" s="100"/>
      <c r="AJ91" s="150"/>
      <c r="AK91" s="190"/>
      <c r="AL91" s="150"/>
      <c r="AM91" s="150"/>
      <c r="AN91" s="150"/>
      <c r="AO91" s="100"/>
      <c r="AP91" s="150"/>
      <c r="AQ91" s="190"/>
      <c r="AS91" s="200"/>
      <c r="AT91" s="200"/>
      <c r="AU91" s="210"/>
    </row>
    <row r="92" spans="1:76" x14ac:dyDescent="0.25">
      <c r="A92" s="202"/>
      <c r="C92" s="154"/>
      <c r="F92" s="200"/>
      <c r="H92" s="200"/>
      <c r="I92" s="200"/>
      <c r="J92" s="213"/>
      <c r="K92" s="213"/>
      <c r="L92" s="200"/>
      <c r="M92" s="200"/>
      <c r="N92" s="210"/>
      <c r="O92" s="210"/>
      <c r="P92" s="200"/>
      <c r="Q92" s="200"/>
      <c r="R92" s="200"/>
      <c r="T92" s="159" t="str">
        <f>DATA_PERIOD</f>
        <v>DATA: __X__ BASE PERIOD   ____FORECASTED PERIOD</v>
      </c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H92" s="80"/>
      <c r="AJ92" s="80"/>
      <c r="AK92" s="188"/>
      <c r="AL92" s="80"/>
      <c r="AM92" s="80"/>
      <c r="AN92" s="80"/>
      <c r="AO92" s="82" t="s">
        <v>179</v>
      </c>
      <c r="AQ92" s="440"/>
      <c r="AS92" s="200"/>
      <c r="AT92" s="200"/>
      <c r="AU92" s="210"/>
    </row>
    <row r="93" spans="1:76" x14ac:dyDescent="0.25">
      <c r="F93" s="211"/>
      <c r="H93" s="211"/>
      <c r="I93" s="211"/>
      <c r="J93" s="305"/>
      <c r="K93" s="305"/>
      <c r="L93" s="211"/>
      <c r="M93" s="211"/>
      <c r="N93" s="211"/>
      <c r="O93" s="211"/>
      <c r="P93" s="211"/>
      <c r="Q93" s="211"/>
      <c r="R93" s="211"/>
      <c r="T93" s="159" t="str">
        <f>TYPE</f>
        <v>TYPE OF FILING: _X_ ORIGINAL   ___UPDATED  ___ REVISED</v>
      </c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H93" s="80"/>
      <c r="AJ93" s="80"/>
      <c r="AK93" s="188"/>
      <c r="AL93" s="80"/>
      <c r="AM93" s="80"/>
      <c r="AN93" s="80"/>
      <c r="AO93" s="81" t="str">
        <f>R7</f>
        <v>PAGE  18  OF  22</v>
      </c>
      <c r="AQ93" s="440"/>
      <c r="AS93" s="200"/>
      <c r="AT93" s="200"/>
      <c r="AU93" s="210"/>
    </row>
    <row r="94" spans="1:76" x14ac:dyDescent="0.25">
      <c r="A94" s="202"/>
      <c r="C94" s="154"/>
      <c r="F94" s="200"/>
      <c r="H94" s="200"/>
      <c r="I94" s="200"/>
      <c r="J94" s="213"/>
      <c r="K94" s="213"/>
      <c r="L94" s="200"/>
      <c r="M94" s="200"/>
      <c r="N94" s="210"/>
      <c r="O94" s="210"/>
      <c r="P94" s="200"/>
      <c r="Q94" s="200"/>
      <c r="R94" s="200"/>
      <c r="T94" s="82" t="s">
        <v>192</v>
      </c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188"/>
      <c r="AH94" s="80"/>
      <c r="AI94" s="80"/>
      <c r="AJ94" s="80"/>
      <c r="AK94" s="188"/>
      <c r="AL94" s="80"/>
      <c r="AM94" s="80"/>
      <c r="AN94" s="80"/>
      <c r="AO94" s="82" t="s">
        <v>3</v>
      </c>
      <c r="AQ94" s="440"/>
      <c r="AR94" s="202"/>
      <c r="AS94" s="200"/>
      <c r="AT94" s="200"/>
      <c r="AU94" s="210"/>
    </row>
    <row r="95" spans="1:76" x14ac:dyDescent="0.25">
      <c r="A95" s="154"/>
      <c r="F95" s="200"/>
      <c r="H95" s="200"/>
      <c r="I95" s="200"/>
      <c r="J95" s="213"/>
      <c r="K95" s="213"/>
      <c r="L95" s="200"/>
      <c r="M95" s="200"/>
      <c r="N95" s="200"/>
      <c r="O95" s="200"/>
      <c r="P95" s="200"/>
      <c r="Q95" s="200"/>
      <c r="R95" s="200"/>
      <c r="T95" s="258" t="str">
        <f>TIME</f>
        <v>6 Months Actual and 6 Months Projected</v>
      </c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G95" s="440"/>
      <c r="AH95" s="80"/>
      <c r="AI95" s="80"/>
      <c r="AJ95" s="80"/>
      <c r="AK95" s="188"/>
      <c r="AL95" s="80"/>
      <c r="AM95" s="80"/>
      <c r="AN95" s="80"/>
      <c r="AO95" s="159" t="str">
        <f>WIT</f>
        <v>B. L. SAILERS</v>
      </c>
      <c r="AR95" s="200"/>
      <c r="AS95" s="200"/>
      <c r="AT95" s="200"/>
      <c r="AU95" s="210"/>
    </row>
    <row r="96" spans="1:76" x14ac:dyDescent="0.25">
      <c r="L96" s="200"/>
      <c r="M96" s="200"/>
      <c r="N96" s="200"/>
      <c r="O96" s="200"/>
      <c r="P96" s="200"/>
      <c r="Q96" s="200"/>
      <c r="R96" s="200"/>
      <c r="T96" s="187" t="s">
        <v>152</v>
      </c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87"/>
      <c r="AG96" s="450"/>
      <c r="AH96" s="150"/>
      <c r="AI96" s="150"/>
      <c r="AJ96" s="150"/>
      <c r="AK96" s="190"/>
      <c r="AL96" s="150"/>
      <c r="AM96" s="150"/>
      <c r="AN96" s="150"/>
      <c r="AO96" s="150"/>
      <c r="AP96" s="187"/>
      <c r="AQ96" s="450"/>
      <c r="AR96" s="200"/>
      <c r="AS96" s="200"/>
      <c r="AT96" s="200"/>
      <c r="AU96" s="210"/>
    </row>
    <row r="97" spans="1:51" x14ac:dyDescent="0.25">
      <c r="H97" s="154"/>
      <c r="I97" s="154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91"/>
      <c r="AH97" s="151"/>
      <c r="AI97" s="151"/>
      <c r="AJ97" s="151"/>
      <c r="AK97" s="191"/>
      <c r="AL97" s="151"/>
      <c r="AM97" s="151"/>
      <c r="AN97" s="151"/>
      <c r="AO97" s="151"/>
      <c r="AP97" s="151"/>
      <c r="AQ97" s="191"/>
      <c r="AR97" s="200"/>
    </row>
    <row r="98" spans="1:51" ht="18" customHeight="1" x14ac:dyDescent="0.25">
      <c r="L98" s="154"/>
      <c r="M98" s="154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93" t="s">
        <v>8</v>
      </c>
      <c r="AF98" s="193"/>
      <c r="AG98" s="194" t="s">
        <v>7</v>
      </c>
      <c r="AH98" s="193"/>
      <c r="AI98" s="193" t="s">
        <v>9</v>
      </c>
      <c r="AJ98" s="193"/>
      <c r="AK98" s="194" t="s">
        <v>10</v>
      </c>
      <c r="AL98" s="193"/>
      <c r="AM98" s="152"/>
      <c r="AN98" s="152"/>
      <c r="AO98" s="193" t="s">
        <v>8</v>
      </c>
      <c r="AP98" s="193"/>
      <c r="AQ98" s="194" t="s">
        <v>11</v>
      </c>
      <c r="AR98" s="252"/>
    </row>
    <row r="99" spans="1:51" x14ac:dyDescent="0.25">
      <c r="A99" s="202"/>
      <c r="R99" s="154">
        <v>4</v>
      </c>
      <c r="T99" s="80"/>
      <c r="U99" s="80"/>
      <c r="V99" s="80"/>
      <c r="W99" s="80"/>
      <c r="X99" s="80"/>
      <c r="Y99" s="80"/>
      <c r="Z99" s="80"/>
      <c r="AA99" s="80"/>
      <c r="AB99" s="80"/>
      <c r="AC99" s="83" t="s">
        <v>14</v>
      </c>
      <c r="AD99" s="83"/>
      <c r="AE99" s="83" t="s">
        <v>12</v>
      </c>
      <c r="AF99" s="83"/>
      <c r="AG99" s="195" t="s">
        <v>13</v>
      </c>
      <c r="AH99" s="83"/>
      <c r="AI99" s="83" t="s">
        <v>15</v>
      </c>
      <c r="AJ99" s="83"/>
      <c r="AK99" s="195" t="s">
        <v>16</v>
      </c>
      <c r="AL99" s="83"/>
      <c r="AM99" s="80"/>
      <c r="AN99" s="80"/>
      <c r="AO99" s="83" t="s">
        <v>11</v>
      </c>
      <c r="AP99" s="83"/>
      <c r="AQ99" s="195" t="s">
        <v>9</v>
      </c>
      <c r="AR99" s="252"/>
      <c r="AU99" s="101" t="s">
        <v>486</v>
      </c>
    </row>
    <row r="100" spans="1:51" x14ac:dyDescent="0.25">
      <c r="A100" s="202"/>
      <c r="R100" s="154"/>
      <c r="T100" s="83" t="s">
        <v>17</v>
      </c>
      <c r="U100" s="80"/>
      <c r="V100" s="83" t="s">
        <v>18</v>
      </c>
      <c r="W100" s="83" t="s">
        <v>19</v>
      </c>
      <c r="X100" s="83"/>
      <c r="Y100" s="83" t="s">
        <v>20</v>
      </c>
      <c r="Z100" s="80"/>
      <c r="AA100" s="80"/>
      <c r="AB100" s="80"/>
      <c r="AC100" s="83" t="s">
        <v>8</v>
      </c>
      <c r="AD100" s="83"/>
      <c r="AE100" s="83" t="s">
        <v>21</v>
      </c>
      <c r="AF100" s="83"/>
      <c r="AG100" s="195" t="s">
        <v>21</v>
      </c>
      <c r="AH100" s="83"/>
      <c r="AI100" s="83" t="s">
        <v>22</v>
      </c>
      <c r="AJ100" s="83"/>
      <c r="AK100" s="195" t="s">
        <v>22</v>
      </c>
      <c r="AL100" s="83"/>
      <c r="AM100" s="83" t="s">
        <v>21</v>
      </c>
      <c r="AN100" s="83"/>
      <c r="AO100" s="83" t="s">
        <v>9</v>
      </c>
      <c r="AP100" s="83"/>
      <c r="AQ100" s="195" t="s">
        <v>23</v>
      </c>
      <c r="AR100" s="200"/>
      <c r="AU100" s="101" t="s">
        <v>487</v>
      </c>
    </row>
    <row r="101" spans="1:51" x14ac:dyDescent="0.25">
      <c r="A101" s="154"/>
      <c r="R101" s="154"/>
      <c r="T101" s="83" t="s">
        <v>24</v>
      </c>
      <c r="U101" s="80"/>
      <c r="V101" s="83" t="s">
        <v>25</v>
      </c>
      <c r="W101" s="83" t="s">
        <v>26</v>
      </c>
      <c r="X101" s="83"/>
      <c r="Y101" s="83" t="s">
        <v>27</v>
      </c>
      <c r="Z101" s="80"/>
      <c r="AA101" s="83" t="s">
        <v>28</v>
      </c>
      <c r="AB101" s="83"/>
      <c r="AC101" s="196" t="s">
        <v>431</v>
      </c>
      <c r="AD101" s="83"/>
      <c r="AE101" s="83" t="s">
        <v>9</v>
      </c>
      <c r="AF101" s="83"/>
      <c r="AG101" s="195" t="s">
        <v>9</v>
      </c>
      <c r="AH101" s="83"/>
      <c r="AI101" s="256" t="s">
        <v>31</v>
      </c>
      <c r="AJ101" s="256"/>
      <c r="AK101" s="257" t="s">
        <v>32</v>
      </c>
      <c r="AL101" s="83"/>
      <c r="AM101" s="83" t="s">
        <v>430</v>
      </c>
      <c r="AN101" s="83"/>
      <c r="AO101" s="256" t="s">
        <v>33</v>
      </c>
      <c r="AP101" s="256"/>
      <c r="AQ101" s="257" t="s">
        <v>34</v>
      </c>
      <c r="AR101" s="200"/>
      <c r="AU101" s="101" t="s">
        <v>402</v>
      </c>
      <c r="AX101" s="101" t="s">
        <v>404</v>
      </c>
      <c r="AY101" s="101" t="s">
        <v>405</v>
      </c>
    </row>
    <row r="102" spans="1:51" x14ac:dyDescent="0.2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T102" s="80"/>
      <c r="U102" s="80"/>
      <c r="V102" s="256" t="s">
        <v>35</v>
      </c>
      <c r="W102" s="256" t="s">
        <v>36</v>
      </c>
      <c r="X102" s="256"/>
      <c r="Y102" s="256" t="s">
        <v>37</v>
      </c>
      <c r="Z102" s="258"/>
      <c r="AA102" s="256" t="s">
        <v>38</v>
      </c>
      <c r="AB102" s="256"/>
      <c r="AC102" s="459" t="s">
        <v>44</v>
      </c>
      <c r="AD102" s="256"/>
      <c r="AE102" s="256" t="s">
        <v>45</v>
      </c>
      <c r="AF102" s="256"/>
      <c r="AG102" s="257" t="s">
        <v>46</v>
      </c>
      <c r="AH102" s="256"/>
      <c r="AI102" s="256" t="s">
        <v>47</v>
      </c>
      <c r="AJ102" s="256"/>
      <c r="AK102" s="257" t="s">
        <v>48</v>
      </c>
      <c r="AL102" s="256"/>
      <c r="AM102" s="256" t="s">
        <v>42</v>
      </c>
      <c r="AN102" s="256"/>
      <c r="AO102" s="256" t="s">
        <v>49</v>
      </c>
      <c r="AP102" s="256"/>
      <c r="AQ102" s="257" t="s">
        <v>50</v>
      </c>
      <c r="AW102" s="101" t="s">
        <v>403</v>
      </c>
      <c r="AX102" s="101" t="s">
        <v>402</v>
      </c>
      <c r="AY102" s="101" t="s">
        <v>402</v>
      </c>
    </row>
    <row r="103" spans="1:51" ht="17.100000000000001" customHeight="1" x14ac:dyDescent="0.25">
      <c r="L103" s="103"/>
      <c r="M103" s="103"/>
      <c r="N103" s="103"/>
      <c r="O103" s="103"/>
      <c r="R103" s="103"/>
      <c r="T103" s="152"/>
      <c r="U103" s="152"/>
      <c r="V103" s="152"/>
      <c r="W103" s="152"/>
      <c r="X103" s="152"/>
      <c r="Y103" s="152"/>
      <c r="Z103" s="152"/>
      <c r="AA103" s="376" t="s">
        <v>51</v>
      </c>
      <c r="AB103" s="376"/>
      <c r="AC103" s="460" t="s">
        <v>71</v>
      </c>
      <c r="AD103" s="376"/>
      <c r="AE103" s="376" t="s">
        <v>52</v>
      </c>
      <c r="AF103" s="376"/>
      <c r="AG103" s="381" t="s">
        <v>53</v>
      </c>
      <c r="AH103" s="376"/>
      <c r="AI103" s="376" t="s">
        <v>52</v>
      </c>
      <c r="AJ103" s="376"/>
      <c r="AK103" s="381" t="s">
        <v>53</v>
      </c>
      <c r="AL103" s="376"/>
      <c r="AM103" s="376" t="s">
        <v>52</v>
      </c>
      <c r="AN103" s="376"/>
      <c r="AO103" s="376" t="s">
        <v>52</v>
      </c>
      <c r="AP103" s="376"/>
      <c r="AQ103" s="381" t="s">
        <v>53</v>
      </c>
    </row>
    <row r="104" spans="1:51" x14ac:dyDescent="0.25">
      <c r="C104" s="103"/>
      <c r="D104" s="103"/>
      <c r="E104" s="103"/>
      <c r="F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T104" s="159">
        <v>1</v>
      </c>
      <c r="U104" s="80"/>
      <c r="V104" s="253" t="s">
        <v>94</v>
      </c>
      <c r="W104" s="265" t="s">
        <v>231</v>
      </c>
      <c r="X104" s="82"/>
      <c r="Y104" s="79"/>
      <c r="Z104" s="79"/>
      <c r="AA104" s="79"/>
      <c r="AB104" s="79"/>
      <c r="AC104" s="339"/>
      <c r="AD104" s="339"/>
      <c r="AE104" s="70"/>
      <c r="AF104" s="70"/>
      <c r="AG104" s="164"/>
      <c r="AH104" s="70"/>
      <c r="AI104" s="70"/>
      <c r="AJ104" s="70"/>
      <c r="AK104" s="164"/>
      <c r="AL104" s="70"/>
      <c r="AM104" s="70"/>
      <c r="AN104" s="70"/>
      <c r="AO104" s="70"/>
      <c r="AP104" s="70"/>
      <c r="AQ104" s="164"/>
      <c r="AW104" s="70"/>
    </row>
    <row r="105" spans="1:51" x14ac:dyDescent="0.2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T105" s="80">
        <v>2</v>
      </c>
      <c r="U105" s="80"/>
      <c r="V105" s="461" t="s">
        <v>256</v>
      </c>
      <c r="W105" s="80"/>
      <c r="X105" s="80"/>
      <c r="Y105" s="70"/>
      <c r="Z105" s="70"/>
      <c r="AA105" s="70"/>
      <c r="AB105" s="70"/>
      <c r="AC105" s="70"/>
      <c r="AD105" s="70"/>
      <c r="AE105" s="70"/>
      <c r="AF105" s="70"/>
      <c r="AG105" s="164"/>
      <c r="AH105" s="70"/>
      <c r="AI105" s="70"/>
      <c r="AJ105" s="70"/>
      <c r="AK105" s="164"/>
      <c r="AL105" s="70"/>
      <c r="AM105" s="70"/>
      <c r="AN105" s="70"/>
      <c r="AO105" s="70"/>
      <c r="AP105" s="70"/>
      <c r="AQ105" s="164"/>
      <c r="AW105" s="70"/>
    </row>
    <row r="106" spans="1:51" x14ac:dyDescent="0.25"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T106" s="80">
        <v>3</v>
      </c>
      <c r="U106" s="80"/>
      <c r="V106" s="461" t="s">
        <v>257</v>
      </c>
      <c r="W106" s="80"/>
      <c r="X106" s="80"/>
      <c r="Y106" s="79"/>
      <c r="Z106" s="79"/>
      <c r="AA106" s="79"/>
      <c r="AB106" s="79"/>
      <c r="AC106" s="339"/>
      <c r="AD106" s="339"/>
      <c r="AE106" s="70"/>
      <c r="AF106" s="70"/>
      <c r="AG106" s="164"/>
      <c r="AH106" s="70"/>
      <c r="AI106" s="70"/>
      <c r="AJ106" s="70"/>
      <c r="AK106" s="164"/>
      <c r="AL106" s="70"/>
      <c r="AM106" s="70"/>
      <c r="AN106" s="70"/>
      <c r="AO106" s="70"/>
      <c r="AP106" s="70"/>
      <c r="AQ106" s="164"/>
      <c r="AW106" s="70"/>
    </row>
    <row r="107" spans="1:51" x14ac:dyDescent="0.25">
      <c r="A107" s="202"/>
      <c r="C107" s="154"/>
      <c r="D107" s="154"/>
      <c r="E107" s="154"/>
      <c r="T107" s="80">
        <v>4</v>
      </c>
      <c r="U107" s="80"/>
      <c r="V107" s="81" t="s">
        <v>232</v>
      </c>
      <c r="W107" s="80"/>
      <c r="X107" s="80"/>
      <c r="Y107" s="79">
        <f>F21</f>
        <v>248</v>
      </c>
      <c r="Z107" s="79"/>
      <c r="AA107" s="79">
        <f>H21</f>
        <v>17629</v>
      </c>
      <c r="AB107" s="79"/>
      <c r="AC107" s="349">
        <v>8.73</v>
      </c>
      <c r="AD107" s="352"/>
      <c r="AE107" s="79">
        <f>ROUND((Y107*AC107),0)</f>
        <v>2165</v>
      </c>
      <c r="AF107" s="79"/>
      <c r="AG107" s="155">
        <f>ROUND((AE107/AE$165)*100,1)</f>
        <v>13</v>
      </c>
      <c r="AH107" s="156"/>
      <c r="AI107" s="79">
        <f>L21-AE107</f>
        <v>258</v>
      </c>
      <c r="AJ107" s="79"/>
      <c r="AK107" s="155">
        <f>ROUND((AI107/AE107)*100,1)</f>
        <v>11.9</v>
      </c>
      <c r="AL107" s="158"/>
      <c r="AM107" s="163">
        <f>ROUND($AM$165/$AA$165*AA107,0)</f>
        <v>18</v>
      </c>
      <c r="AN107" s="79"/>
      <c r="AO107" s="79">
        <f>AE107+AM107</f>
        <v>2183</v>
      </c>
      <c r="AP107" s="79"/>
      <c r="AQ107" s="155">
        <f>ROUND((AI107/AO107)*100,1)</f>
        <v>11.8</v>
      </c>
      <c r="AU107" s="394">
        <f>AC107-AX107</f>
        <v>7.0400000000000009</v>
      </c>
      <c r="AW107" s="225">
        <v>853</v>
      </c>
      <c r="AX107" s="101">
        <f>ROUND((AW107/12)*CUR_BASE_FUEL,2)</f>
        <v>1.69</v>
      </c>
      <c r="AY107" s="101">
        <f>ROUND((AW107/12)*PRO_BASE_FUEL,2)</f>
        <v>1.69</v>
      </c>
    </row>
    <row r="108" spans="1:51" x14ac:dyDescent="0.25">
      <c r="A108" s="202"/>
      <c r="C108" s="154"/>
      <c r="T108" s="80">
        <v>5</v>
      </c>
      <c r="U108" s="80"/>
      <c r="V108" s="81" t="s">
        <v>233</v>
      </c>
      <c r="W108" s="80"/>
      <c r="X108" s="80"/>
      <c r="Y108" s="79">
        <f>F22</f>
        <v>25</v>
      </c>
      <c r="Z108" s="79"/>
      <c r="AA108" s="79">
        <f>H22</f>
        <v>1821</v>
      </c>
      <c r="AB108" s="79"/>
      <c r="AC108" s="349">
        <v>11.17</v>
      </c>
      <c r="AD108" s="352"/>
      <c r="AE108" s="79">
        <f>ROUND((Y108*AC108),0)</f>
        <v>279</v>
      </c>
      <c r="AF108" s="79"/>
      <c r="AG108" s="155">
        <f>ROUND((AE108/AE$165)*100,1)</f>
        <v>1.7</v>
      </c>
      <c r="AH108" s="156"/>
      <c r="AI108" s="79">
        <f>L22-AE108</f>
        <v>34</v>
      </c>
      <c r="AJ108" s="79"/>
      <c r="AK108" s="155">
        <f>ROUND((AI108/AE108)*100,1)</f>
        <v>12.2</v>
      </c>
      <c r="AL108" s="158"/>
      <c r="AM108" s="163">
        <f>ROUND($AM$165/$AA$165*AA108,0)</f>
        <v>2</v>
      </c>
      <c r="AN108" s="79"/>
      <c r="AO108" s="79">
        <f>AE108+AM108</f>
        <v>281</v>
      </c>
      <c r="AP108" s="79"/>
      <c r="AQ108" s="155">
        <f>ROUND((AI108/AO108)*100,1)</f>
        <v>12.1</v>
      </c>
      <c r="AU108" s="394">
        <f>AC108-AX108</f>
        <v>9.43</v>
      </c>
      <c r="AW108" s="225">
        <v>874</v>
      </c>
      <c r="AX108" s="101">
        <f>ROUND((AW108/12)*CUR_BASE_FUEL,2)</f>
        <v>1.74</v>
      </c>
      <c r="AY108" s="101">
        <f>ROUND((AW108/12)*PRO_BASE_FUEL,2)</f>
        <v>1.74</v>
      </c>
    </row>
    <row r="109" spans="1:51" x14ac:dyDescent="0.25">
      <c r="T109" s="80">
        <v>6</v>
      </c>
      <c r="U109" s="80"/>
      <c r="V109" s="82" t="s">
        <v>234</v>
      </c>
      <c r="W109" s="80"/>
      <c r="X109" s="80"/>
      <c r="Y109" s="79">
        <f>F23</f>
        <v>70</v>
      </c>
      <c r="Z109" s="79"/>
      <c r="AA109" s="79">
        <f>H23</f>
        <v>7088</v>
      </c>
      <c r="AB109" s="79"/>
      <c r="AC109" s="349">
        <v>13.04</v>
      </c>
      <c r="AD109" s="352"/>
      <c r="AE109" s="79">
        <f>ROUND((Y109*AC109),0)</f>
        <v>913</v>
      </c>
      <c r="AF109" s="79"/>
      <c r="AG109" s="155">
        <f>ROUND((AE109/AE$165)*100,1)</f>
        <v>5.5</v>
      </c>
      <c r="AH109" s="156"/>
      <c r="AI109" s="79">
        <f>L23-AE109</f>
        <v>108</v>
      </c>
      <c r="AJ109" s="79"/>
      <c r="AK109" s="155">
        <f>ROUND((AI109/AE109)*100,1)</f>
        <v>11.8</v>
      </c>
      <c r="AL109" s="158"/>
      <c r="AM109" s="163">
        <f>ROUND($AM$165/$AA$165*AA109,0)</f>
        <v>7</v>
      </c>
      <c r="AN109" s="79"/>
      <c r="AO109" s="79">
        <f>AE109+AM109</f>
        <v>920</v>
      </c>
      <c r="AP109" s="79"/>
      <c r="AQ109" s="155">
        <f>ROUND((AI109/AO109)*100,1)</f>
        <v>11.7</v>
      </c>
      <c r="AU109" s="394">
        <f>AC109-AX109</f>
        <v>10.629999999999999</v>
      </c>
      <c r="AW109" s="225">
        <v>1215</v>
      </c>
      <c r="AX109" s="101">
        <f>ROUND((AW109/12)*CUR_BASE_FUEL,2)</f>
        <v>2.41</v>
      </c>
      <c r="AY109" s="101">
        <f>ROUND((AW109/12)*PRO_BASE_FUEL,2)</f>
        <v>2.41</v>
      </c>
    </row>
    <row r="110" spans="1:51" x14ac:dyDescent="0.25">
      <c r="A110" s="202"/>
      <c r="C110" s="154"/>
      <c r="F110" s="252"/>
      <c r="H110" s="252"/>
      <c r="I110" s="252"/>
      <c r="J110" s="300"/>
      <c r="K110" s="300"/>
      <c r="L110" s="200"/>
      <c r="M110" s="200"/>
      <c r="N110" s="210"/>
      <c r="O110" s="210"/>
      <c r="P110" s="202"/>
      <c r="Q110" s="202"/>
      <c r="R110" s="200"/>
      <c r="T110" s="80">
        <v>7</v>
      </c>
      <c r="U110" s="80"/>
      <c r="V110" s="80" t="s">
        <v>235</v>
      </c>
      <c r="W110" s="80"/>
      <c r="X110" s="80"/>
      <c r="Y110" s="79">
        <f>F24</f>
        <v>70</v>
      </c>
      <c r="Z110" s="79"/>
      <c r="AA110" s="79">
        <f>H24</f>
        <v>11165</v>
      </c>
      <c r="AB110" s="79"/>
      <c r="AC110" s="349">
        <v>16.75</v>
      </c>
      <c r="AD110" s="352"/>
      <c r="AE110" s="79">
        <f>ROUND((Y110*AC110),0)</f>
        <v>1173</v>
      </c>
      <c r="AF110" s="79"/>
      <c r="AG110" s="155">
        <f>ROUND((AE110/AE$165)*100,1)</f>
        <v>7</v>
      </c>
      <c r="AH110" s="156"/>
      <c r="AI110" s="79">
        <f>L24-AE110</f>
        <v>139</v>
      </c>
      <c r="AJ110" s="79"/>
      <c r="AK110" s="155">
        <f>ROUND((AI110/AE110)*100,1)</f>
        <v>11.8</v>
      </c>
      <c r="AL110" s="158"/>
      <c r="AM110" s="163">
        <f>ROUND($AM$165/$AA$165*AA110,0)</f>
        <v>11</v>
      </c>
      <c r="AN110" s="79"/>
      <c r="AO110" s="79">
        <f>AE110+AM110</f>
        <v>1184</v>
      </c>
      <c r="AP110" s="79"/>
      <c r="AQ110" s="155">
        <f>ROUND((AI110/AO110)*100,1)</f>
        <v>11.7</v>
      </c>
      <c r="AU110" s="394">
        <f>AC110-AX110</f>
        <v>12.95</v>
      </c>
      <c r="AW110" s="225">
        <v>1914</v>
      </c>
      <c r="AX110" s="101">
        <f>ROUND((AW110/12)*CUR_BASE_FUEL,2)</f>
        <v>3.8</v>
      </c>
      <c r="AY110" s="101">
        <f>ROUND((AW110/12)*PRO_BASE_FUEL,2)</f>
        <v>3.8</v>
      </c>
    </row>
    <row r="111" spans="1:51" x14ac:dyDescent="0.25">
      <c r="A111" s="202"/>
      <c r="C111" s="154"/>
      <c r="F111" s="252"/>
      <c r="H111" s="252"/>
      <c r="I111" s="252"/>
      <c r="J111" s="300"/>
      <c r="K111" s="300"/>
      <c r="L111" s="200"/>
      <c r="M111" s="200"/>
      <c r="N111" s="210"/>
      <c r="O111" s="210"/>
      <c r="P111" s="202"/>
      <c r="Q111" s="202"/>
      <c r="R111" s="200"/>
      <c r="T111" s="80"/>
      <c r="U111" s="80"/>
      <c r="V111" s="80"/>
      <c r="W111" s="80"/>
      <c r="X111" s="80"/>
      <c r="Y111" s="79"/>
      <c r="Z111" s="79"/>
      <c r="AA111" s="79"/>
      <c r="AB111" s="79"/>
      <c r="AC111" s="80"/>
      <c r="AD111" s="352"/>
      <c r="AE111" s="70"/>
      <c r="AF111" s="70"/>
      <c r="AG111" s="164"/>
      <c r="AH111" s="70"/>
      <c r="AI111" s="70"/>
      <c r="AJ111" s="70"/>
      <c r="AK111" s="164"/>
      <c r="AL111" s="70"/>
      <c r="AM111" s="70"/>
      <c r="AN111" s="70"/>
      <c r="AO111" s="70"/>
      <c r="AP111" s="70"/>
      <c r="AQ111" s="164"/>
      <c r="AW111" s="80"/>
    </row>
    <row r="112" spans="1:51" x14ac:dyDescent="0.25">
      <c r="A112" s="202"/>
      <c r="C112" s="154"/>
      <c r="F112" s="252"/>
      <c r="H112" s="252"/>
      <c r="I112" s="252"/>
      <c r="J112" s="328"/>
      <c r="K112" s="328"/>
      <c r="L112" s="200"/>
      <c r="M112" s="200"/>
      <c r="N112" s="210"/>
      <c r="O112" s="210"/>
      <c r="P112" s="200"/>
      <c r="Q112" s="200"/>
      <c r="R112" s="200"/>
      <c r="S112" s="200"/>
      <c r="T112" s="159">
        <v>8</v>
      </c>
      <c r="U112" s="80"/>
      <c r="V112" s="253" t="s">
        <v>357</v>
      </c>
      <c r="W112" s="80"/>
      <c r="X112" s="80"/>
      <c r="Y112" s="78"/>
      <c r="Z112" s="70"/>
      <c r="AA112" s="78"/>
      <c r="AB112" s="78"/>
      <c r="AC112" s="349"/>
      <c r="AD112" s="162"/>
      <c r="AE112" s="70"/>
      <c r="AF112" s="70"/>
      <c r="AG112" s="164"/>
      <c r="AH112" s="70"/>
      <c r="AI112" s="70"/>
      <c r="AJ112" s="70"/>
      <c r="AK112" s="164"/>
      <c r="AL112" s="70"/>
      <c r="AM112" s="70"/>
      <c r="AN112" s="70"/>
      <c r="AO112" s="70"/>
      <c r="AP112" s="70"/>
      <c r="AQ112" s="164"/>
      <c r="AW112" s="225"/>
    </row>
    <row r="113" spans="1:51" x14ac:dyDescent="0.25">
      <c r="A113" s="202"/>
      <c r="C113" s="154"/>
      <c r="F113" s="252"/>
      <c r="H113" s="252"/>
      <c r="I113" s="252"/>
      <c r="J113" s="328"/>
      <c r="K113" s="328"/>
      <c r="L113" s="200"/>
      <c r="M113" s="200"/>
      <c r="N113" s="210"/>
      <c r="O113" s="210"/>
      <c r="P113" s="200"/>
      <c r="Q113" s="200"/>
      <c r="R113" s="200"/>
      <c r="S113" s="200"/>
      <c r="T113" s="159">
        <v>9</v>
      </c>
      <c r="U113" s="80"/>
      <c r="V113" s="82" t="s">
        <v>358</v>
      </c>
      <c r="W113" s="80"/>
      <c r="X113" s="80"/>
      <c r="Y113" s="79">
        <f>F27</f>
        <v>3</v>
      </c>
      <c r="Z113" s="70"/>
      <c r="AA113" s="79">
        <f>H27</f>
        <v>219</v>
      </c>
      <c r="AB113" s="78"/>
      <c r="AC113" s="349">
        <v>11.17</v>
      </c>
      <c r="AD113" s="162"/>
      <c r="AE113" s="79">
        <f>ROUND((Y113*AC113),0)</f>
        <v>34</v>
      </c>
      <c r="AF113" s="70"/>
      <c r="AG113" s="155">
        <f>ROUND((AE113/AE$165)*100,1)</f>
        <v>0.2</v>
      </c>
      <c r="AH113" s="70"/>
      <c r="AI113" s="79">
        <f>L27-AE113</f>
        <v>4</v>
      </c>
      <c r="AJ113" s="70"/>
      <c r="AK113" s="155">
        <f>ROUND((AI113/AE113)*100,1)</f>
        <v>11.8</v>
      </c>
      <c r="AL113" s="70"/>
      <c r="AM113" s="163">
        <f>ROUND($AM$165/$AA$165*AA113,0)</f>
        <v>0</v>
      </c>
      <c r="AN113" s="70"/>
      <c r="AO113" s="79">
        <f>AE113+AM113</f>
        <v>34</v>
      </c>
      <c r="AP113" s="70"/>
      <c r="AQ113" s="155">
        <f>ROUND((AI113/AO113)*100,1)</f>
        <v>11.8</v>
      </c>
      <c r="AU113" s="394">
        <f>AC113-AX113</f>
        <v>9.43</v>
      </c>
      <c r="AW113" s="225">
        <v>874</v>
      </c>
      <c r="AX113" s="101">
        <f>ROUND((AW113/12)*CUR_BASE_FUEL,2)</f>
        <v>1.74</v>
      </c>
      <c r="AY113" s="101">
        <f>ROUND((AW113/12)*PRO_BASE_FUEL,2)</f>
        <v>1.74</v>
      </c>
    </row>
    <row r="114" spans="1:51" x14ac:dyDescent="0.25">
      <c r="A114" s="202"/>
      <c r="C114" s="154"/>
      <c r="F114" s="252"/>
      <c r="H114" s="252"/>
      <c r="I114" s="252"/>
      <c r="J114" s="328"/>
      <c r="K114" s="328"/>
      <c r="L114" s="200"/>
      <c r="M114" s="200"/>
      <c r="N114" s="210"/>
      <c r="O114" s="210"/>
      <c r="P114" s="200"/>
      <c r="Q114" s="200"/>
      <c r="R114" s="200"/>
      <c r="S114" s="200"/>
      <c r="T114" s="159">
        <v>10</v>
      </c>
      <c r="U114" s="80"/>
      <c r="V114" s="82" t="s">
        <v>359</v>
      </c>
      <c r="W114" s="80"/>
      <c r="X114" s="80"/>
      <c r="Y114" s="79">
        <f>F28</f>
        <v>5</v>
      </c>
      <c r="Z114" s="70"/>
      <c r="AA114" s="79">
        <f>H28</f>
        <v>506</v>
      </c>
      <c r="AB114" s="78"/>
      <c r="AC114" s="349">
        <v>13.06</v>
      </c>
      <c r="AD114" s="162"/>
      <c r="AE114" s="79">
        <f>ROUND((Y114*AC114),0)</f>
        <v>65</v>
      </c>
      <c r="AF114" s="70"/>
      <c r="AG114" s="155">
        <f>ROUND((AE114/AE$165)*100,1)</f>
        <v>0.4</v>
      </c>
      <c r="AH114" s="70"/>
      <c r="AI114" s="79">
        <f>L28-AE114</f>
        <v>8</v>
      </c>
      <c r="AJ114" s="70"/>
      <c r="AK114" s="155">
        <f>ROUND((AI114/AE114)*100,1)</f>
        <v>12.3</v>
      </c>
      <c r="AL114" s="70"/>
      <c r="AM114" s="163">
        <f>ROUND($AM$165/$AA$165*AA114,0)</f>
        <v>1</v>
      </c>
      <c r="AN114" s="70"/>
      <c r="AO114" s="79">
        <f>AE114+AM114</f>
        <v>66</v>
      </c>
      <c r="AP114" s="70"/>
      <c r="AQ114" s="155">
        <f>ROUND((AI114/AO114)*100,1)</f>
        <v>12.1</v>
      </c>
      <c r="AU114" s="394">
        <f>AC114-AX114</f>
        <v>10.65</v>
      </c>
      <c r="AW114" s="225">
        <v>1215</v>
      </c>
      <c r="AX114" s="101">
        <f>ROUND((AW114/12)*CUR_BASE_FUEL,2)</f>
        <v>2.41</v>
      </c>
      <c r="AY114" s="101">
        <f>ROUND((AW114/12)*PRO_BASE_FUEL,2)</f>
        <v>2.41</v>
      </c>
    </row>
    <row r="115" spans="1:51" x14ac:dyDescent="0.25">
      <c r="A115" s="202"/>
      <c r="C115" s="154"/>
      <c r="F115" s="252"/>
      <c r="H115" s="252"/>
      <c r="I115" s="252"/>
      <c r="J115" s="328"/>
      <c r="K115" s="328"/>
      <c r="L115" s="200"/>
      <c r="M115" s="200"/>
      <c r="N115" s="210"/>
      <c r="O115" s="210"/>
      <c r="P115" s="200"/>
      <c r="Q115" s="200"/>
      <c r="R115" s="200"/>
      <c r="S115" s="200"/>
      <c r="T115" s="159">
        <v>11</v>
      </c>
      <c r="U115" s="80"/>
      <c r="V115" s="82" t="s">
        <v>352</v>
      </c>
      <c r="W115" s="80"/>
      <c r="X115" s="80"/>
      <c r="Y115" s="79">
        <f>F29</f>
        <v>4</v>
      </c>
      <c r="Z115" s="70"/>
      <c r="AA115" s="79">
        <f>H29</f>
        <v>638</v>
      </c>
      <c r="AB115" s="78"/>
      <c r="AC115" s="349">
        <v>16.75</v>
      </c>
      <c r="AD115" s="162"/>
      <c r="AE115" s="79">
        <f>ROUND((Y115*AC115),0)</f>
        <v>67</v>
      </c>
      <c r="AF115" s="70"/>
      <c r="AG115" s="155">
        <f>ROUND((AE115/AE$165)*100,1)</f>
        <v>0.4</v>
      </c>
      <c r="AH115" s="70"/>
      <c r="AI115" s="79">
        <f>L29-AE115</f>
        <v>8</v>
      </c>
      <c r="AJ115" s="70"/>
      <c r="AK115" s="155">
        <f>ROUND((AI115/AE115)*100,1)</f>
        <v>11.9</v>
      </c>
      <c r="AL115" s="70"/>
      <c r="AM115" s="163">
        <f>ROUND($AM$165/$AA$165*AA115,0)</f>
        <v>1</v>
      </c>
      <c r="AN115" s="70"/>
      <c r="AO115" s="79">
        <f>AE115+AM115</f>
        <v>68</v>
      </c>
      <c r="AP115" s="70"/>
      <c r="AQ115" s="155">
        <f>ROUND((AI115/AO115)*100,1)</f>
        <v>11.8</v>
      </c>
      <c r="AU115" s="394">
        <f>AC115-AX115</f>
        <v>12.95</v>
      </c>
      <c r="AW115" s="225">
        <v>1914</v>
      </c>
      <c r="AX115" s="101">
        <f>ROUND((AW115/12)*CUR_BASE_FUEL,2)</f>
        <v>3.8</v>
      </c>
      <c r="AY115" s="101">
        <f>ROUND((AW115/12)*PRO_BASE_FUEL,2)</f>
        <v>3.8</v>
      </c>
    </row>
    <row r="116" spans="1:51" x14ac:dyDescent="0.25">
      <c r="A116" s="202"/>
      <c r="C116" s="154"/>
      <c r="F116" s="252"/>
      <c r="H116" s="252"/>
      <c r="I116" s="252"/>
      <c r="J116" s="300"/>
      <c r="K116" s="300"/>
      <c r="L116" s="200"/>
      <c r="M116" s="200"/>
      <c r="N116" s="210"/>
      <c r="O116" s="210"/>
      <c r="P116" s="202"/>
      <c r="Q116" s="202"/>
      <c r="R116" s="200"/>
      <c r="T116" s="80"/>
      <c r="U116" s="80"/>
      <c r="V116" s="80"/>
      <c r="W116" s="80"/>
      <c r="X116" s="80"/>
      <c r="Y116" s="79"/>
      <c r="Z116" s="79"/>
      <c r="AA116" s="79"/>
      <c r="AB116" s="79"/>
      <c r="AC116" s="80"/>
      <c r="AD116" s="352"/>
      <c r="AE116" s="70"/>
      <c r="AF116" s="70"/>
      <c r="AG116" s="164"/>
      <c r="AH116" s="70"/>
      <c r="AI116" s="70"/>
      <c r="AJ116" s="70"/>
      <c r="AK116" s="164"/>
      <c r="AL116" s="70"/>
      <c r="AM116" s="70"/>
      <c r="AN116" s="70"/>
      <c r="AO116" s="70"/>
      <c r="AP116" s="70"/>
      <c r="AQ116" s="164"/>
      <c r="AW116" s="80"/>
    </row>
    <row r="117" spans="1:51" x14ac:dyDescent="0.25">
      <c r="A117" s="202"/>
      <c r="C117" s="154"/>
      <c r="F117" s="252"/>
      <c r="H117" s="252"/>
      <c r="I117" s="252"/>
      <c r="J117" s="300"/>
      <c r="K117" s="300"/>
      <c r="L117" s="200"/>
      <c r="M117" s="200"/>
      <c r="N117" s="210"/>
      <c r="O117" s="210"/>
      <c r="P117" s="202"/>
      <c r="Q117" s="202"/>
      <c r="R117" s="200"/>
      <c r="T117" s="159">
        <v>12</v>
      </c>
      <c r="U117" s="80"/>
      <c r="V117" s="265" t="s">
        <v>258</v>
      </c>
      <c r="W117" s="80"/>
      <c r="X117" s="80"/>
      <c r="Y117" s="79"/>
      <c r="Z117" s="79"/>
      <c r="AA117" s="79"/>
      <c r="AB117" s="79"/>
      <c r="AC117" s="80"/>
      <c r="AD117" s="352"/>
      <c r="AE117" s="79"/>
      <c r="AF117" s="79"/>
      <c r="AG117" s="155"/>
      <c r="AH117" s="156"/>
      <c r="AI117" s="79"/>
      <c r="AJ117" s="79"/>
      <c r="AK117" s="155"/>
      <c r="AL117" s="158"/>
      <c r="AM117" s="79"/>
      <c r="AN117" s="79"/>
      <c r="AO117" s="79"/>
      <c r="AP117" s="79"/>
      <c r="AQ117" s="155"/>
      <c r="AW117" s="80"/>
    </row>
    <row r="118" spans="1:51" x14ac:dyDescent="0.25">
      <c r="A118" s="202"/>
      <c r="C118" s="154"/>
      <c r="F118" s="252"/>
      <c r="H118" s="252"/>
      <c r="I118" s="252"/>
      <c r="J118" s="300"/>
      <c r="K118" s="300"/>
      <c r="L118" s="200"/>
      <c r="M118" s="200"/>
      <c r="N118" s="210"/>
      <c r="O118" s="210"/>
      <c r="P118" s="202"/>
      <c r="Q118" s="202"/>
      <c r="R118" s="200"/>
      <c r="T118" s="159">
        <v>13</v>
      </c>
      <c r="U118" s="80"/>
      <c r="V118" s="81" t="s">
        <v>245</v>
      </c>
      <c r="W118" s="80"/>
      <c r="X118" s="80"/>
      <c r="Y118" s="79">
        <f t="shared" ref="Y118:Y123" si="25">F32</f>
        <v>266</v>
      </c>
      <c r="Z118" s="79"/>
      <c r="AA118" s="79">
        <f t="shared" ref="AA118:AA123" si="26">H32</f>
        <v>10795</v>
      </c>
      <c r="AB118" s="79"/>
      <c r="AC118" s="349">
        <v>7.68</v>
      </c>
      <c r="AD118" s="352"/>
      <c r="AE118" s="79">
        <f t="shared" ref="AE118:AE123" si="27">ROUND((Y118*AC118),0)</f>
        <v>2043</v>
      </c>
      <c r="AF118" s="79"/>
      <c r="AG118" s="155">
        <f>ROUND((AE118/AE$165)*100,1)</f>
        <v>12.2</v>
      </c>
      <c r="AH118" s="156"/>
      <c r="AI118" s="79">
        <f t="shared" ref="AI118:AI123" si="28">L32-AE118</f>
        <v>242</v>
      </c>
      <c r="AJ118" s="79"/>
      <c r="AK118" s="155">
        <f t="shared" ref="AK118:AK123" si="29">ROUND((AI118/AE118)*100,1)</f>
        <v>11.8</v>
      </c>
      <c r="AL118" s="158"/>
      <c r="AM118" s="163">
        <f>ROUND($AM$165/$AA$165*AA118,0)</f>
        <v>11</v>
      </c>
      <c r="AN118" s="79"/>
      <c r="AO118" s="79">
        <f t="shared" ref="AO118:AO123" si="30">AE118+AM118</f>
        <v>2054</v>
      </c>
      <c r="AP118" s="79"/>
      <c r="AQ118" s="155">
        <f t="shared" ref="AQ118:AQ123" si="31">ROUND((AI118/AO118)*100,1)</f>
        <v>11.8</v>
      </c>
      <c r="AU118" s="394">
        <f t="shared" ref="AU118:AU123" si="32">AC118-AX118</f>
        <v>6.71</v>
      </c>
      <c r="AW118" s="225">
        <v>487</v>
      </c>
      <c r="AX118" s="101">
        <f t="shared" ref="AX118:AX123" si="33">ROUND((AW118/12)*CUR_BASE_FUEL,2)</f>
        <v>0.97</v>
      </c>
      <c r="AY118" s="101">
        <f t="shared" ref="AY118:AY123" si="34">ROUND((AW118/12)*PRO_BASE_FUEL,2)</f>
        <v>0.97</v>
      </c>
    </row>
    <row r="119" spans="1:51" x14ac:dyDescent="0.25">
      <c r="A119" s="202"/>
      <c r="C119" s="154"/>
      <c r="F119" s="252"/>
      <c r="H119" s="252"/>
      <c r="I119" s="252"/>
      <c r="J119" s="300"/>
      <c r="K119" s="300"/>
      <c r="L119" s="200"/>
      <c r="M119" s="200"/>
      <c r="N119" s="210"/>
      <c r="O119" s="210"/>
      <c r="P119" s="202"/>
      <c r="Q119" s="202"/>
      <c r="R119" s="200"/>
      <c r="T119" s="159">
        <v>14</v>
      </c>
      <c r="U119" s="80"/>
      <c r="V119" s="81" t="s">
        <v>237</v>
      </c>
      <c r="W119" s="80"/>
      <c r="X119" s="80"/>
      <c r="Y119" s="79">
        <f t="shared" si="25"/>
        <v>64</v>
      </c>
      <c r="Z119" s="79"/>
      <c r="AA119" s="79">
        <f t="shared" si="26"/>
        <v>2597</v>
      </c>
      <c r="AB119" s="79"/>
      <c r="AC119" s="349">
        <v>9.99</v>
      </c>
      <c r="AD119" s="352"/>
      <c r="AE119" s="79">
        <f t="shared" si="27"/>
        <v>639</v>
      </c>
      <c r="AF119" s="79"/>
      <c r="AG119" s="155">
        <f t="shared" ref="AG119:AG123" si="35">ROUND((AE119/AE$165)*100,1)</f>
        <v>3.8</v>
      </c>
      <c r="AH119" s="156"/>
      <c r="AI119" s="79">
        <f t="shared" si="28"/>
        <v>77</v>
      </c>
      <c r="AJ119" s="79"/>
      <c r="AK119" s="155">
        <f t="shared" si="29"/>
        <v>12.1</v>
      </c>
      <c r="AL119" s="158"/>
      <c r="AM119" s="163">
        <f t="shared" ref="AM119:AM122" si="36">ROUND($AM$165/$AA$165*AA119,0)</f>
        <v>3</v>
      </c>
      <c r="AN119" s="79"/>
      <c r="AO119" s="79">
        <f t="shared" si="30"/>
        <v>642</v>
      </c>
      <c r="AP119" s="79"/>
      <c r="AQ119" s="155">
        <f t="shared" si="31"/>
        <v>12</v>
      </c>
      <c r="AU119" s="394">
        <f t="shared" si="32"/>
        <v>9.02</v>
      </c>
      <c r="AW119" s="225">
        <v>487</v>
      </c>
      <c r="AX119" s="101">
        <f t="shared" si="33"/>
        <v>0.97</v>
      </c>
      <c r="AY119" s="101">
        <f t="shared" si="34"/>
        <v>0.97</v>
      </c>
    </row>
    <row r="120" spans="1:51" x14ac:dyDescent="0.25">
      <c r="A120" s="202"/>
      <c r="C120" s="154"/>
      <c r="F120" s="252"/>
      <c r="H120" s="252"/>
      <c r="I120" s="252"/>
      <c r="J120" s="300"/>
      <c r="K120" s="300"/>
      <c r="L120" s="200"/>
      <c r="M120" s="200"/>
      <c r="N120" s="210"/>
      <c r="O120" s="210"/>
      <c r="P120" s="202"/>
      <c r="Q120" s="202"/>
      <c r="R120" s="200"/>
      <c r="T120" s="159">
        <v>15</v>
      </c>
      <c r="U120" s="80"/>
      <c r="V120" s="82" t="s">
        <v>238</v>
      </c>
      <c r="W120" s="80"/>
      <c r="X120" s="80"/>
      <c r="Y120" s="79">
        <f t="shared" si="25"/>
        <v>7</v>
      </c>
      <c r="Z120" s="79"/>
      <c r="AA120" s="79">
        <f t="shared" si="26"/>
        <v>415</v>
      </c>
      <c r="AB120" s="79"/>
      <c r="AC120" s="349">
        <v>11.27</v>
      </c>
      <c r="AD120" s="352"/>
      <c r="AE120" s="79">
        <f t="shared" si="27"/>
        <v>79</v>
      </c>
      <c r="AF120" s="79"/>
      <c r="AG120" s="155">
        <f t="shared" si="35"/>
        <v>0.5</v>
      </c>
      <c r="AH120" s="156"/>
      <c r="AI120" s="79">
        <f t="shared" si="28"/>
        <v>9</v>
      </c>
      <c r="AJ120" s="79"/>
      <c r="AK120" s="155">
        <f t="shared" si="29"/>
        <v>11.4</v>
      </c>
      <c r="AL120" s="158"/>
      <c r="AM120" s="163">
        <f t="shared" si="36"/>
        <v>0</v>
      </c>
      <c r="AN120" s="79"/>
      <c r="AO120" s="79">
        <f t="shared" si="30"/>
        <v>79</v>
      </c>
      <c r="AP120" s="79"/>
      <c r="AQ120" s="155">
        <f t="shared" si="31"/>
        <v>11.4</v>
      </c>
      <c r="AU120" s="394">
        <f t="shared" si="32"/>
        <v>9.86</v>
      </c>
      <c r="AW120" s="225">
        <v>711</v>
      </c>
      <c r="AX120" s="101">
        <f t="shared" si="33"/>
        <v>1.41</v>
      </c>
      <c r="AY120" s="101">
        <f t="shared" si="34"/>
        <v>1.41</v>
      </c>
    </row>
    <row r="121" spans="1:51" x14ac:dyDescent="0.25">
      <c r="A121" s="202"/>
      <c r="C121" s="154"/>
      <c r="F121" s="252"/>
      <c r="H121" s="252"/>
      <c r="I121" s="252"/>
      <c r="J121" s="300"/>
      <c r="K121" s="300"/>
      <c r="L121" s="200"/>
      <c r="M121" s="200"/>
      <c r="N121" s="210"/>
      <c r="O121" s="210"/>
      <c r="P121" s="202"/>
      <c r="Q121" s="202"/>
      <c r="R121" s="200"/>
      <c r="T121" s="159">
        <v>16</v>
      </c>
      <c r="U121" s="80"/>
      <c r="V121" s="81" t="s">
        <v>246</v>
      </c>
      <c r="W121" s="80"/>
      <c r="X121" s="80"/>
      <c r="Y121" s="79">
        <f t="shared" si="25"/>
        <v>57</v>
      </c>
      <c r="Z121" s="79"/>
      <c r="AA121" s="79">
        <f t="shared" si="26"/>
        <v>4503</v>
      </c>
      <c r="AB121" s="79"/>
      <c r="AC121" s="349">
        <v>12.47</v>
      </c>
      <c r="AD121" s="352"/>
      <c r="AE121" s="79">
        <f t="shared" si="27"/>
        <v>711</v>
      </c>
      <c r="AF121" s="79"/>
      <c r="AG121" s="155">
        <f t="shared" si="35"/>
        <v>4.3</v>
      </c>
      <c r="AH121" s="156"/>
      <c r="AI121" s="79">
        <f t="shared" si="28"/>
        <v>84</v>
      </c>
      <c r="AJ121" s="79"/>
      <c r="AK121" s="155">
        <f t="shared" si="29"/>
        <v>11.8</v>
      </c>
      <c r="AL121" s="158"/>
      <c r="AM121" s="163">
        <f t="shared" si="36"/>
        <v>5</v>
      </c>
      <c r="AN121" s="79"/>
      <c r="AO121" s="79">
        <f t="shared" si="30"/>
        <v>716</v>
      </c>
      <c r="AP121" s="79"/>
      <c r="AQ121" s="155">
        <f t="shared" si="31"/>
        <v>11.7</v>
      </c>
      <c r="AU121" s="394">
        <f t="shared" si="32"/>
        <v>10.59</v>
      </c>
      <c r="AW121" s="225">
        <v>948</v>
      </c>
      <c r="AX121" s="101">
        <f t="shared" si="33"/>
        <v>1.88</v>
      </c>
      <c r="AY121" s="101">
        <f t="shared" si="34"/>
        <v>1.88</v>
      </c>
    </row>
    <row r="122" spans="1:51" x14ac:dyDescent="0.25">
      <c r="A122" s="202"/>
      <c r="C122" s="154"/>
      <c r="F122" s="252"/>
      <c r="H122" s="252"/>
      <c r="I122" s="252"/>
      <c r="J122" s="300"/>
      <c r="K122" s="300"/>
      <c r="L122" s="200"/>
      <c r="M122" s="200"/>
      <c r="N122" s="210"/>
      <c r="O122" s="210"/>
      <c r="P122" s="202"/>
      <c r="Q122" s="202"/>
      <c r="R122" s="200"/>
      <c r="T122" s="159">
        <v>17</v>
      </c>
      <c r="U122" s="80"/>
      <c r="V122" s="81" t="s">
        <v>356</v>
      </c>
      <c r="W122" s="80"/>
      <c r="X122" s="80"/>
      <c r="Y122" s="79">
        <f t="shared" si="25"/>
        <v>2</v>
      </c>
      <c r="Z122" s="79"/>
      <c r="AA122" s="79">
        <f t="shared" si="26"/>
        <v>158</v>
      </c>
      <c r="AB122" s="79"/>
      <c r="AC122" s="349">
        <v>12.47</v>
      </c>
      <c r="AD122" s="352"/>
      <c r="AE122" s="79">
        <f t="shared" si="27"/>
        <v>25</v>
      </c>
      <c r="AF122" s="79"/>
      <c r="AG122" s="155">
        <f t="shared" si="35"/>
        <v>0.1</v>
      </c>
      <c r="AH122" s="156"/>
      <c r="AI122" s="79">
        <f t="shared" si="28"/>
        <v>3</v>
      </c>
      <c r="AJ122" s="79"/>
      <c r="AK122" s="155">
        <f t="shared" si="29"/>
        <v>12</v>
      </c>
      <c r="AL122" s="158"/>
      <c r="AM122" s="163">
        <f t="shared" si="36"/>
        <v>0</v>
      </c>
      <c r="AN122" s="79"/>
      <c r="AO122" s="79">
        <f t="shared" si="30"/>
        <v>25</v>
      </c>
      <c r="AP122" s="79"/>
      <c r="AQ122" s="155">
        <f t="shared" si="31"/>
        <v>12</v>
      </c>
      <c r="AU122" s="394">
        <f t="shared" si="32"/>
        <v>10.59</v>
      </c>
      <c r="AW122" s="225">
        <v>948</v>
      </c>
      <c r="AX122" s="101">
        <f t="shared" si="33"/>
        <v>1.88</v>
      </c>
      <c r="AY122" s="101">
        <f t="shared" si="34"/>
        <v>1.88</v>
      </c>
    </row>
    <row r="123" spans="1:51" x14ac:dyDescent="0.25">
      <c r="A123" s="202"/>
      <c r="C123" s="154"/>
      <c r="F123" s="252"/>
      <c r="H123" s="252"/>
      <c r="I123" s="252"/>
      <c r="J123" s="328"/>
      <c r="K123" s="328"/>
      <c r="L123" s="200"/>
      <c r="M123" s="200"/>
      <c r="N123" s="210"/>
      <c r="O123" s="210"/>
      <c r="P123" s="200"/>
      <c r="Q123" s="200"/>
      <c r="R123" s="200"/>
      <c r="S123" s="200"/>
      <c r="T123" s="159">
        <v>18</v>
      </c>
      <c r="U123" s="80"/>
      <c r="V123" s="81" t="s">
        <v>247</v>
      </c>
      <c r="W123" s="80"/>
      <c r="X123" s="80"/>
      <c r="Y123" s="79">
        <f t="shared" si="25"/>
        <v>66</v>
      </c>
      <c r="Z123" s="70"/>
      <c r="AA123" s="79">
        <f t="shared" si="26"/>
        <v>10775</v>
      </c>
      <c r="AB123" s="70"/>
      <c r="AC123" s="349">
        <v>14.53</v>
      </c>
      <c r="AD123" s="162"/>
      <c r="AE123" s="79">
        <f t="shared" si="27"/>
        <v>959</v>
      </c>
      <c r="AF123" s="70"/>
      <c r="AG123" s="155">
        <f t="shared" si="35"/>
        <v>5.7</v>
      </c>
      <c r="AH123" s="70"/>
      <c r="AI123" s="79">
        <f t="shared" si="28"/>
        <v>114</v>
      </c>
      <c r="AJ123" s="70"/>
      <c r="AK123" s="155">
        <f t="shared" si="29"/>
        <v>11.9</v>
      </c>
      <c r="AL123" s="70"/>
      <c r="AM123" s="163">
        <f>ROUND($AM$165/$AA$165*AA123,0)</f>
        <v>11</v>
      </c>
      <c r="AN123" s="70"/>
      <c r="AO123" s="79">
        <f t="shared" si="30"/>
        <v>970</v>
      </c>
      <c r="AP123" s="70"/>
      <c r="AQ123" s="155">
        <f t="shared" si="31"/>
        <v>11.8</v>
      </c>
      <c r="AU123" s="394">
        <f t="shared" si="32"/>
        <v>10.639999999999999</v>
      </c>
      <c r="AW123" s="225">
        <v>1959</v>
      </c>
      <c r="AX123" s="101">
        <f t="shared" si="33"/>
        <v>3.89</v>
      </c>
      <c r="AY123" s="101">
        <f t="shared" si="34"/>
        <v>3.89</v>
      </c>
    </row>
    <row r="124" spans="1:51" x14ac:dyDescent="0.25">
      <c r="A124" s="202"/>
      <c r="C124" s="154"/>
      <c r="F124" s="252"/>
      <c r="H124" s="252"/>
      <c r="I124" s="252"/>
      <c r="J124" s="328"/>
      <c r="K124" s="328"/>
      <c r="L124" s="200"/>
      <c r="M124" s="200"/>
      <c r="N124" s="210"/>
      <c r="O124" s="210"/>
      <c r="P124" s="200"/>
      <c r="Q124" s="200"/>
      <c r="R124" s="200"/>
      <c r="S124" s="200"/>
      <c r="T124" s="159"/>
      <c r="U124" s="80"/>
      <c r="V124" s="81"/>
      <c r="W124" s="80"/>
      <c r="X124" s="80"/>
      <c r="Y124" s="70"/>
      <c r="Z124" s="70"/>
      <c r="AA124" s="70"/>
      <c r="AB124" s="70"/>
      <c r="AC124" s="399"/>
      <c r="AD124" s="162"/>
      <c r="AE124" s="70"/>
      <c r="AF124" s="70"/>
      <c r="AG124" s="164"/>
      <c r="AH124" s="70"/>
      <c r="AI124" s="70"/>
      <c r="AJ124" s="70"/>
      <c r="AK124" s="164"/>
      <c r="AL124" s="70"/>
      <c r="AM124" s="70"/>
      <c r="AN124" s="70"/>
      <c r="AO124" s="70"/>
      <c r="AP124" s="70"/>
      <c r="AQ124" s="164"/>
      <c r="AW124" s="80"/>
    </row>
    <row r="125" spans="1:51" x14ac:dyDescent="0.25">
      <c r="A125" s="202"/>
      <c r="C125" s="154"/>
      <c r="F125" s="252"/>
      <c r="H125" s="252"/>
      <c r="I125" s="252"/>
      <c r="J125" s="328"/>
      <c r="K125" s="328"/>
      <c r="L125" s="200"/>
      <c r="M125" s="200"/>
      <c r="N125" s="210"/>
      <c r="O125" s="210"/>
      <c r="P125" s="200"/>
      <c r="Q125" s="200"/>
      <c r="R125" s="200"/>
      <c r="S125" s="200"/>
      <c r="T125" s="80">
        <v>19</v>
      </c>
      <c r="U125" s="80"/>
      <c r="V125" s="461" t="s">
        <v>243</v>
      </c>
      <c r="W125" s="80"/>
      <c r="X125" s="80"/>
      <c r="Y125" s="70"/>
      <c r="Z125" s="70"/>
      <c r="AA125" s="70"/>
      <c r="AB125" s="70"/>
      <c r="AC125" s="399"/>
      <c r="AD125" s="162"/>
      <c r="AE125" s="70"/>
      <c r="AF125" s="70"/>
      <c r="AG125" s="164"/>
      <c r="AH125" s="70"/>
      <c r="AI125" s="70"/>
      <c r="AJ125" s="70"/>
      <c r="AK125" s="164"/>
      <c r="AL125" s="70"/>
      <c r="AM125" s="70"/>
      <c r="AN125" s="70"/>
      <c r="AO125" s="70"/>
      <c r="AP125" s="70"/>
      <c r="AQ125" s="164"/>
      <c r="AW125" s="80"/>
    </row>
    <row r="126" spans="1:51" x14ac:dyDescent="0.25">
      <c r="A126" s="202"/>
      <c r="C126" s="154"/>
      <c r="F126" s="252"/>
      <c r="H126" s="252"/>
      <c r="I126" s="252"/>
      <c r="J126" s="328"/>
      <c r="K126" s="328"/>
      <c r="L126" s="200"/>
      <c r="M126" s="200"/>
      <c r="N126" s="210"/>
      <c r="O126" s="210"/>
      <c r="P126" s="200"/>
      <c r="Q126" s="200"/>
      <c r="R126" s="200"/>
      <c r="S126" s="200"/>
      <c r="T126" s="159">
        <v>20</v>
      </c>
      <c r="U126" s="80"/>
      <c r="V126" s="81" t="s">
        <v>248</v>
      </c>
      <c r="W126" s="80"/>
      <c r="X126" s="80"/>
      <c r="Y126" s="79">
        <f>F40</f>
        <v>36</v>
      </c>
      <c r="Z126" s="70"/>
      <c r="AA126" s="79">
        <f>H40</f>
        <v>2559</v>
      </c>
      <c r="AB126" s="70"/>
      <c r="AC126" s="349">
        <v>13.38</v>
      </c>
      <c r="AD126" s="162"/>
      <c r="AE126" s="79">
        <f>ROUND((Y126*AC126),0)</f>
        <v>482</v>
      </c>
      <c r="AF126" s="70"/>
      <c r="AG126" s="155">
        <f>ROUND((AE126/AE$165)*100,1)</f>
        <v>2.9</v>
      </c>
      <c r="AH126" s="70"/>
      <c r="AI126" s="79">
        <f>L40-AE126</f>
        <v>57</v>
      </c>
      <c r="AJ126" s="70"/>
      <c r="AK126" s="155">
        <f>ROUND((AI126/AE126)*100,1)</f>
        <v>11.8</v>
      </c>
      <c r="AL126" s="70"/>
      <c r="AM126" s="163">
        <f>ROUND($AM$165/$AA$165*AA126,0)</f>
        <v>3</v>
      </c>
      <c r="AN126" s="70"/>
      <c r="AO126" s="79">
        <f>AE126+AM126</f>
        <v>485</v>
      </c>
      <c r="AP126" s="70"/>
      <c r="AQ126" s="155">
        <f>ROUND((AI126/AO126)*100,1)</f>
        <v>11.8</v>
      </c>
      <c r="AU126" s="394">
        <f>AC126-AX126</f>
        <v>11.690000000000001</v>
      </c>
      <c r="AW126" s="225">
        <v>853</v>
      </c>
      <c r="AX126" s="101">
        <f>ROUND((AW126/12)*CUR_BASE_FUEL,2)</f>
        <v>1.69</v>
      </c>
      <c r="AY126" s="101">
        <f>ROUND((AW126/12)*PRO_BASE_FUEL,2)</f>
        <v>1.69</v>
      </c>
    </row>
    <row r="127" spans="1:51" x14ac:dyDescent="0.25">
      <c r="A127" s="202"/>
      <c r="C127" s="154"/>
      <c r="F127" s="252"/>
      <c r="H127" s="252"/>
      <c r="I127" s="252"/>
      <c r="J127" s="328"/>
      <c r="K127" s="328"/>
      <c r="L127" s="200"/>
      <c r="M127" s="200"/>
      <c r="N127" s="210"/>
      <c r="O127" s="210"/>
      <c r="P127" s="200"/>
      <c r="Q127" s="200"/>
      <c r="R127" s="200"/>
      <c r="S127" s="200"/>
      <c r="T127" s="159">
        <v>21</v>
      </c>
      <c r="U127" s="80"/>
      <c r="V127" s="82" t="s">
        <v>249</v>
      </c>
      <c r="W127" s="80"/>
      <c r="X127" s="80"/>
      <c r="Y127" s="79">
        <f>F41</f>
        <v>3</v>
      </c>
      <c r="Z127" s="70"/>
      <c r="AA127" s="79">
        <f>H41</f>
        <v>219</v>
      </c>
      <c r="AB127" s="70"/>
      <c r="AC127" s="349">
        <v>17.239999999999998</v>
      </c>
      <c r="AD127" s="162"/>
      <c r="AE127" s="79">
        <f>ROUND((Y127*AC127),0)</f>
        <v>52</v>
      </c>
      <c r="AF127" s="70"/>
      <c r="AG127" s="155">
        <f>ROUND((AE127/AE$165)*100,1)</f>
        <v>0.3</v>
      </c>
      <c r="AH127" s="70"/>
      <c r="AI127" s="79">
        <f>L41-AE127</f>
        <v>6</v>
      </c>
      <c r="AJ127" s="70"/>
      <c r="AK127" s="155">
        <f>ROUND((AI127/AE127)*100,1)</f>
        <v>11.5</v>
      </c>
      <c r="AL127" s="70"/>
      <c r="AM127" s="163">
        <f>ROUND($AM$165/$AA$165*AA127,0)</f>
        <v>0</v>
      </c>
      <c r="AN127" s="70"/>
      <c r="AO127" s="79">
        <f>AE127+AM127</f>
        <v>52</v>
      </c>
      <c r="AP127" s="70"/>
      <c r="AQ127" s="155">
        <f>ROUND((AI127/AO127)*100,1)</f>
        <v>11.5</v>
      </c>
      <c r="AU127" s="394">
        <f>AC127-AX127</f>
        <v>15.499999999999998</v>
      </c>
      <c r="AW127" s="225">
        <v>874</v>
      </c>
      <c r="AX127" s="101">
        <f>ROUND((AW127/12)*CUR_BASE_FUEL,2)</f>
        <v>1.74</v>
      </c>
      <c r="AY127" s="101">
        <f>ROUND((AW127/12)*PRO_BASE_FUEL,2)</f>
        <v>1.74</v>
      </c>
    </row>
    <row r="128" spans="1:51" x14ac:dyDescent="0.25">
      <c r="A128" s="202"/>
      <c r="C128" s="154"/>
      <c r="F128" s="252"/>
      <c r="H128" s="252"/>
      <c r="I128" s="252"/>
      <c r="J128" s="328"/>
      <c r="K128" s="328"/>
      <c r="L128" s="200"/>
      <c r="M128" s="200"/>
      <c r="N128" s="210"/>
      <c r="O128" s="210"/>
      <c r="P128" s="200"/>
      <c r="Q128" s="200"/>
      <c r="R128" s="200"/>
      <c r="S128" s="200"/>
      <c r="T128" s="159">
        <v>22</v>
      </c>
      <c r="U128" s="80"/>
      <c r="V128" s="82" t="s">
        <v>250</v>
      </c>
      <c r="W128" s="80"/>
      <c r="X128" s="80"/>
      <c r="Y128" s="79">
        <f>F42</f>
        <v>0</v>
      </c>
      <c r="Z128" s="70"/>
      <c r="AA128" s="79">
        <f>H42</f>
        <v>0</v>
      </c>
      <c r="AB128" s="70"/>
      <c r="AC128" s="349">
        <v>41.66</v>
      </c>
      <c r="AD128" s="162"/>
      <c r="AE128" s="79">
        <f>ROUND((Y128*AC128),0)</f>
        <v>0</v>
      </c>
      <c r="AF128" s="70"/>
      <c r="AG128" s="155">
        <f>ROUND((AE128/AE$165)*100,1)</f>
        <v>0</v>
      </c>
      <c r="AH128" s="70"/>
      <c r="AI128" s="79">
        <f>L42-AE128</f>
        <v>0</v>
      </c>
      <c r="AJ128" s="70"/>
      <c r="AK128" s="157" t="str">
        <f>IF(AE128=0,"0.0 ",ROUND((AI128/AE128)*100,1))</f>
        <v xml:space="preserve">0.0 </v>
      </c>
      <c r="AL128" s="70"/>
      <c r="AM128" s="163">
        <f>ROUND($AM$165/$AA$165*AA128,0)</f>
        <v>0</v>
      </c>
      <c r="AN128" s="70"/>
      <c r="AO128" s="79">
        <f>AE128+AM128</f>
        <v>0</v>
      </c>
      <c r="AP128" s="70"/>
      <c r="AQ128" s="157" t="str">
        <f>IF(AO128=0,"0.0 ",ROUND((AI128/AO128)*100,1))</f>
        <v xml:space="preserve">0.0 </v>
      </c>
      <c r="AU128" s="394">
        <f>AC128-AX128</f>
        <v>39.919999999999995</v>
      </c>
      <c r="AW128" s="225">
        <v>874</v>
      </c>
      <c r="AX128" s="101">
        <f>ROUND((AW128/12)*CUR_BASE_FUEL,2)</f>
        <v>1.74</v>
      </c>
      <c r="AY128" s="101">
        <f>ROUND((AW128/12)*PRO_BASE_FUEL,2)</f>
        <v>1.74</v>
      </c>
    </row>
    <row r="129" spans="1:51" x14ac:dyDescent="0.25">
      <c r="A129" s="202"/>
      <c r="C129" s="154"/>
      <c r="F129" s="252"/>
      <c r="H129" s="252"/>
      <c r="I129" s="252"/>
      <c r="J129" s="328"/>
      <c r="K129" s="328"/>
      <c r="L129" s="200"/>
      <c r="M129" s="200"/>
      <c r="N129" s="210"/>
      <c r="O129" s="210"/>
      <c r="P129" s="200"/>
      <c r="Q129" s="200"/>
      <c r="R129" s="200"/>
      <c r="S129" s="200"/>
      <c r="T129" s="159">
        <v>23</v>
      </c>
      <c r="U129" s="80"/>
      <c r="V129" s="82" t="s">
        <v>251</v>
      </c>
      <c r="W129" s="80"/>
      <c r="X129" s="80"/>
      <c r="Y129" s="79">
        <f>F43</f>
        <v>0</v>
      </c>
      <c r="Z129" s="70"/>
      <c r="AA129" s="79">
        <f>H43</f>
        <v>0</v>
      </c>
      <c r="AB129" s="70"/>
      <c r="AC129" s="349">
        <v>25.77</v>
      </c>
      <c r="AD129" s="162"/>
      <c r="AE129" s="79">
        <f>ROUND((Y129*AC129),0)</f>
        <v>0</v>
      </c>
      <c r="AF129" s="70"/>
      <c r="AG129" s="155">
        <f>ROUND((AE129/AE$165)*100,1)</f>
        <v>0</v>
      </c>
      <c r="AH129" s="70"/>
      <c r="AI129" s="79">
        <f>L43-AE129</f>
        <v>0</v>
      </c>
      <c r="AJ129" s="70"/>
      <c r="AK129" s="157" t="str">
        <f>IF(AE129=0,"0.0 ",ROUND((AI129/AE129)*100,1))</f>
        <v xml:space="preserve">0.0 </v>
      </c>
      <c r="AL129" s="70"/>
      <c r="AM129" s="163">
        <f>ROUND($AM$165/$AA$165*AA129,0)</f>
        <v>0</v>
      </c>
      <c r="AN129" s="70"/>
      <c r="AO129" s="79">
        <f>AE129+AM129</f>
        <v>0</v>
      </c>
      <c r="AP129" s="70"/>
      <c r="AQ129" s="157" t="str">
        <f>IF(AO129=0,"0.0 ",ROUND((AI129/AO129)*100,1))</f>
        <v xml:space="preserve">0.0 </v>
      </c>
      <c r="AU129" s="394">
        <f>AC129-AX129</f>
        <v>24.03</v>
      </c>
      <c r="AW129" s="225">
        <v>874</v>
      </c>
      <c r="AX129" s="101">
        <f>ROUND((AW129/12)*CUR_BASE_FUEL,2)</f>
        <v>1.74</v>
      </c>
      <c r="AY129" s="101">
        <f>ROUND((AW129/12)*PRO_BASE_FUEL,2)</f>
        <v>1.74</v>
      </c>
    </row>
    <row r="130" spans="1:51" x14ac:dyDescent="0.25">
      <c r="A130" s="202"/>
      <c r="C130" s="154"/>
      <c r="F130" s="252"/>
      <c r="H130" s="252"/>
      <c r="I130" s="252"/>
      <c r="J130" s="328"/>
      <c r="K130" s="328"/>
      <c r="L130" s="200"/>
      <c r="M130" s="200"/>
      <c r="N130" s="210"/>
      <c r="O130" s="210"/>
      <c r="P130" s="200"/>
      <c r="Q130" s="200"/>
      <c r="R130" s="200"/>
      <c r="S130" s="200"/>
      <c r="T130" s="159"/>
      <c r="U130" s="80"/>
      <c r="V130" s="81"/>
      <c r="W130" s="80"/>
      <c r="X130" s="80"/>
      <c r="Y130" s="70"/>
      <c r="Z130" s="70"/>
      <c r="AA130" s="70"/>
      <c r="AB130" s="70"/>
      <c r="AC130" s="399"/>
      <c r="AD130" s="162"/>
      <c r="AE130" s="70"/>
      <c r="AF130" s="70"/>
      <c r="AG130" s="164"/>
      <c r="AH130" s="70"/>
      <c r="AI130" s="70"/>
      <c r="AJ130" s="70"/>
      <c r="AK130" s="164"/>
      <c r="AL130" s="70"/>
      <c r="AM130" s="70"/>
      <c r="AN130" s="70"/>
      <c r="AO130" s="70"/>
      <c r="AP130" s="70"/>
      <c r="AQ130" s="164"/>
      <c r="AW130" s="80"/>
    </row>
    <row r="131" spans="1:51" x14ac:dyDescent="0.25">
      <c r="A131" s="202"/>
      <c r="C131" s="154"/>
      <c r="F131" s="252"/>
      <c r="H131" s="252"/>
      <c r="I131" s="252"/>
      <c r="J131" s="328"/>
      <c r="K131" s="328"/>
      <c r="L131" s="200"/>
      <c r="M131" s="200"/>
      <c r="N131" s="210"/>
      <c r="O131" s="210"/>
      <c r="P131" s="200"/>
      <c r="Q131" s="200"/>
      <c r="R131" s="200"/>
      <c r="S131" s="200"/>
      <c r="T131" s="159">
        <v>24</v>
      </c>
      <c r="U131" s="80"/>
      <c r="V131" s="265" t="s">
        <v>244</v>
      </c>
      <c r="W131" s="80"/>
      <c r="X131" s="80"/>
      <c r="Y131" s="70"/>
      <c r="Z131" s="70"/>
      <c r="AA131" s="70"/>
      <c r="AB131" s="70"/>
      <c r="AC131" s="399"/>
      <c r="AD131" s="162"/>
      <c r="AE131" s="70"/>
      <c r="AF131" s="70"/>
      <c r="AG131" s="164"/>
      <c r="AH131" s="70"/>
      <c r="AI131" s="70"/>
      <c r="AJ131" s="70"/>
      <c r="AK131" s="164"/>
      <c r="AL131" s="70"/>
      <c r="AM131" s="70"/>
      <c r="AN131" s="70"/>
      <c r="AO131" s="70"/>
      <c r="AP131" s="70"/>
      <c r="AQ131" s="164"/>
      <c r="AW131" s="80"/>
    </row>
    <row r="132" spans="1:51" x14ac:dyDescent="0.25">
      <c r="A132" s="202"/>
      <c r="C132" s="154"/>
      <c r="F132" s="252"/>
      <c r="H132" s="252"/>
      <c r="I132" s="252"/>
      <c r="J132" s="328"/>
      <c r="K132" s="328"/>
      <c r="L132" s="200"/>
      <c r="M132" s="200"/>
      <c r="N132" s="210"/>
      <c r="O132" s="210"/>
      <c r="P132" s="200"/>
      <c r="Q132" s="200"/>
      <c r="R132" s="200"/>
      <c r="S132" s="200"/>
      <c r="T132" s="159">
        <v>25</v>
      </c>
      <c r="U132" s="80"/>
      <c r="V132" s="82" t="s">
        <v>248</v>
      </c>
      <c r="W132" s="80"/>
      <c r="X132" s="80"/>
      <c r="Y132" s="79">
        <f t="shared" ref="Y132:Y138" si="37">F46</f>
        <v>18</v>
      </c>
      <c r="Z132" s="70"/>
      <c r="AA132" s="79">
        <f t="shared" ref="AA132:AA138" si="38">H46</f>
        <v>731</v>
      </c>
      <c r="AB132" s="70"/>
      <c r="AC132" s="349">
        <v>21.1</v>
      </c>
      <c r="AD132" s="162"/>
      <c r="AE132" s="79">
        <f t="shared" ref="AE132:AE142" si="39">ROUND((Y132*AC132),0)</f>
        <v>380</v>
      </c>
      <c r="AF132" s="70"/>
      <c r="AG132" s="155">
        <f t="shared" ref="AG132:AG138" si="40">ROUND((AE132/AE$165)*100,1)</f>
        <v>2.2999999999999998</v>
      </c>
      <c r="AH132" s="70"/>
      <c r="AI132" s="79">
        <f t="shared" ref="AI132:AI138" si="41">L46-AE132</f>
        <v>45</v>
      </c>
      <c r="AJ132" s="70"/>
      <c r="AK132" s="155">
        <f t="shared" ref="AK132:AK143" si="42">ROUND((AI132/AE132)*100,1)</f>
        <v>11.8</v>
      </c>
      <c r="AL132" s="70"/>
      <c r="AM132" s="163">
        <f t="shared" ref="AM132:AM142" si="43">ROUND($AM$165/$AA$165*AA132,0)</f>
        <v>1</v>
      </c>
      <c r="AN132" s="70"/>
      <c r="AO132" s="79">
        <f t="shared" ref="AO132:AO142" si="44">AE132+AM132</f>
        <v>381</v>
      </c>
      <c r="AP132" s="70"/>
      <c r="AQ132" s="155">
        <f t="shared" ref="AQ132:AQ143" si="45">ROUND((AI132/AO132)*100,1)</f>
        <v>11.8</v>
      </c>
      <c r="AU132" s="394">
        <f t="shared" ref="AU132:AU142" si="46">AC132-AX132</f>
        <v>20.130000000000003</v>
      </c>
      <c r="AW132" s="225">
        <v>487</v>
      </c>
      <c r="AX132" s="101">
        <f t="shared" ref="AX132:AX142" si="47">ROUND((AW132/12)*CUR_BASE_FUEL,2)</f>
        <v>0.97</v>
      </c>
      <c r="AY132" s="101">
        <f t="shared" ref="AY132:AY142" si="48">ROUND((AW132/12)*PRO_BASE_FUEL,2)</f>
        <v>0.97</v>
      </c>
    </row>
    <row r="133" spans="1:51" x14ac:dyDescent="0.25">
      <c r="A133" s="202"/>
      <c r="C133" s="154"/>
      <c r="F133" s="252"/>
      <c r="H133" s="252"/>
      <c r="I133" s="252"/>
      <c r="J133" s="328"/>
      <c r="K133" s="328"/>
      <c r="L133" s="200"/>
      <c r="M133" s="200"/>
      <c r="N133" s="210"/>
      <c r="O133" s="210"/>
      <c r="P133" s="200"/>
      <c r="Q133" s="200"/>
      <c r="R133" s="200"/>
      <c r="S133" s="200"/>
      <c r="T133" s="159">
        <v>26</v>
      </c>
      <c r="U133" s="80"/>
      <c r="V133" s="81" t="s">
        <v>249</v>
      </c>
      <c r="W133" s="80"/>
      <c r="X133" s="80"/>
      <c r="Y133" s="79">
        <f t="shared" si="37"/>
        <v>0</v>
      </c>
      <c r="Z133" s="70"/>
      <c r="AA133" s="79">
        <f t="shared" si="38"/>
        <v>0</v>
      </c>
      <c r="AB133" s="70"/>
      <c r="AC133" s="349">
        <v>22.86</v>
      </c>
      <c r="AD133" s="162"/>
      <c r="AE133" s="79">
        <f t="shared" si="39"/>
        <v>0</v>
      </c>
      <c r="AF133" s="70"/>
      <c r="AG133" s="155">
        <f t="shared" si="40"/>
        <v>0</v>
      </c>
      <c r="AH133" s="70"/>
      <c r="AI133" s="79">
        <f t="shared" si="41"/>
        <v>0</v>
      </c>
      <c r="AJ133" s="70"/>
      <c r="AK133" s="157" t="str">
        <f>IF(AE133=0,"0.0 ",ROUND((AI133/AE133)*100,1))</f>
        <v xml:space="preserve">0.0 </v>
      </c>
      <c r="AL133" s="70"/>
      <c r="AM133" s="163">
        <f t="shared" si="43"/>
        <v>0</v>
      </c>
      <c r="AN133" s="70"/>
      <c r="AO133" s="79">
        <f t="shared" si="44"/>
        <v>0</v>
      </c>
      <c r="AP133" s="70"/>
      <c r="AQ133" s="157" t="str">
        <f>IF(AO133=0,"0.0 ",ROUND((AI133/AO133)*100,1))</f>
        <v xml:space="preserve">0.0 </v>
      </c>
      <c r="AU133" s="394">
        <f t="shared" si="46"/>
        <v>21.8</v>
      </c>
      <c r="AW133" s="225">
        <v>532</v>
      </c>
      <c r="AX133" s="101">
        <f t="shared" si="47"/>
        <v>1.06</v>
      </c>
      <c r="AY133" s="101">
        <f t="shared" si="48"/>
        <v>1.06</v>
      </c>
    </row>
    <row r="134" spans="1:51" x14ac:dyDescent="0.25">
      <c r="A134" s="202"/>
      <c r="C134" s="154"/>
      <c r="F134" s="252"/>
      <c r="H134" s="252"/>
      <c r="I134" s="252"/>
      <c r="J134" s="328"/>
      <c r="K134" s="328"/>
      <c r="L134" s="200"/>
      <c r="M134" s="200"/>
      <c r="N134" s="210"/>
      <c r="O134" s="210"/>
      <c r="P134" s="200"/>
      <c r="Q134" s="200"/>
      <c r="R134" s="200"/>
      <c r="S134" s="200"/>
      <c r="T134" s="159">
        <v>27</v>
      </c>
      <c r="U134" s="80"/>
      <c r="V134" s="81" t="s">
        <v>252</v>
      </c>
      <c r="W134" s="80"/>
      <c r="X134" s="80"/>
      <c r="Y134" s="79">
        <f t="shared" si="37"/>
        <v>0</v>
      </c>
      <c r="Z134" s="70"/>
      <c r="AA134" s="79">
        <f t="shared" si="38"/>
        <v>0</v>
      </c>
      <c r="AB134" s="70"/>
      <c r="AC134" s="349">
        <v>18.79</v>
      </c>
      <c r="AD134" s="162"/>
      <c r="AE134" s="79">
        <f t="shared" si="39"/>
        <v>0</v>
      </c>
      <c r="AF134" s="70"/>
      <c r="AG134" s="155">
        <f t="shared" si="40"/>
        <v>0</v>
      </c>
      <c r="AH134" s="70"/>
      <c r="AI134" s="79">
        <f t="shared" si="41"/>
        <v>0</v>
      </c>
      <c r="AJ134" s="70"/>
      <c r="AK134" s="157" t="str">
        <f>IF(AE134=0,"0.0 ",ROUND((AI134/AE134)*100,1))</f>
        <v xml:space="preserve">0.0 </v>
      </c>
      <c r="AL134" s="70"/>
      <c r="AM134" s="163">
        <f t="shared" si="43"/>
        <v>0</v>
      </c>
      <c r="AN134" s="70"/>
      <c r="AO134" s="79">
        <f t="shared" si="44"/>
        <v>0</v>
      </c>
      <c r="AP134" s="70"/>
      <c r="AQ134" s="157" t="str">
        <f>IF(AO134=0,"0.0 ",ROUND((AI134/AO134)*100,1))</f>
        <v xml:space="preserve">0.0 </v>
      </c>
      <c r="AU134" s="394">
        <f t="shared" si="46"/>
        <v>17.82</v>
      </c>
      <c r="AW134" s="225">
        <v>487</v>
      </c>
      <c r="AX134" s="101">
        <f t="shared" si="47"/>
        <v>0.97</v>
      </c>
      <c r="AY134" s="101">
        <f t="shared" si="48"/>
        <v>0.97</v>
      </c>
    </row>
    <row r="135" spans="1:51" x14ac:dyDescent="0.25">
      <c r="A135" s="202"/>
      <c r="C135" s="154"/>
      <c r="F135" s="252"/>
      <c r="H135" s="252"/>
      <c r="I135" s="252"/>
      <c r="J135" s="328"/>
      <c r="K135" s="328"/>
      <c r="L135" s="200"/>
      <c r="M135" s="200"/>
      <c r="N135" s="210"/>
      <c r="O135" s="210"/>
      <c r="P135" s="200"/>
      <c r="Q135" s="200"/>
      <c r="R135" s="200"/>
      <c r="S135" s="200"/>
      <c r="T135" s="159">
        <v>28</v>
      </c>
      <c r="U135" s="80"/>
      <c r="V135" s="81" t="s">
        <v>250</v>
      </c>
      <c r="W135" s="80"/>
      <c r="X135" s="80"/>
      <c r="Y135" s="79">
        <f t="shared" si="37"/>
        <v>0</v>
      </c>
      <c r="Z135" s="70"/>
      <c r="AA135" s="79">
        <f t="shared" si="38"/>
        <v>0</v>
      </c>
      <c r="AB135" s="70"/>
      <c r="AC135" s="349">
        <v>43.94</v>
      </c>
      <c r="AD135" s="162"/>
      <c r="AE135" s="79">
        <f t="shared" si="39"/>
        <v>0</v>
      </c>
      <c r="AF135" s="70"/>
      <c r="AG135" s="155">
        <f t="shared" si="40"/>
        <v>0</v>
      </c>
      <c r="AH135" s="70"/>
      <c r="AI135" s="79">
        <f t="shared" si="41"/>
        <v>0</v>
      </c>
      <c r="AJ135" s="70"/>
      <c r="AK135" s="157" t="str">
        <f>IF(AE135=0,"0.0 ",ROUND((AI135/AE135)*100,1))</f>
        <v xml:space="preserve">0.0 </v>
      </c>
      <c r="AL135" s="70"/>
      <c r="AM135" s="163">
        <f t="shared" si="43"/>
        <v>0</v>
      </c>
      <c r="AN135" s="70"/>
      <c r="AO135" s="79">
        <f t="shared" si="44"/>
        <v>0</v>
      </c>
      <c r="AP135" s="70"/>
      <c r="AQ135" s="157" t="str">
        <f>IF(AO135=0,"0.0 ",ROUND((AI135/AO135)*100,1))</f>
        <v xml:space="preserve">0.0 </v>
      </c>
      <c r="AU135" s="394">
        <f t="shared" si="46"/>
        <v>42.879999999999995</v>
      </c>
      <c r="AW135" s="225">
        <v>532</v>
      </c>
      <c r="AX135" s="101">
        <f t="shared" si="47"/>
        <v>1.06</v>
      </c>
      <c r="AY135" s="101">
        <f t="shared" si="48"/>
        <v>1.06</v>
      </c>
    </row>
    <row r="136" spans="1:51" x14ac:dyDescent="0.25">
      <c r="A136" s="202"/>
      <c r="C136" s="154"/>
      <c r="F136" s="252"/>
      <c r="H136" s="252"/>
      <c r="I136" s="252"/>
      <c r="J136" s="328"/>
      <c r="K136" s="328"/>
      <c r="L136" s="200"/>
      <c r="M136" s="200"/>
      <c r="N136" s="210"/>
      <c r="O136" s="210"/>
      <c r="P136" s="200"/>
      <c r="Q136" s="200"/>
      <c r="R136" s="200"/>
      <c r="S136" s="200"/>
      <c r="T136" s="159">
        <v>29</v>
      </c>
      <c r="U136" s="80"/>
      <c r="V136" s="82" t="s">
        <v>251</v>
      </c>
      <c r="W136" s="80"/>
      <c r="X136" s="80"/>
      <c r="Y136" s="79">
        <f t="shared" si="37"/>
        <v>0</v>
      </c>
      <c r="Z136" s="70"/>
      <c r="AA136" s="79">
        <f t="shared" si="38"/>
        <v>0</v>
      </c>
      <c r="AB136" s="70"/>
      <c r="AC136" s="349">
        <v>26.63</v>
      </c>
      <c r="AD136" s="162"/>
      <c r="AE136" s="79">
        <f t="shared" si="39"/>
        <v>0</v>
      </c>
      <c r="AF136" s="70"/>
      <c r="AG136" s="155">
        <f t="shared" si="40"/>
        <v>0</v>
      </c>
      <c r="AH136" s="70"/>
      <c r="AI136" s="79">
        <f t="shared" si="41"/>
        <v>0</v>
      </c>
      <c r="AJ136" s="70"/>
      <c r="AK136" s="157" t="str">
        <f t="shared" ref="AK136:AK138" si="49">IF(AE136=0,"0.0 ",ROUND((AI136/AE136)*100,1))</f>
        <v xml:space="preserve">0.0 </v>
      </c>
      <c r="AL136" s="70"/>
      <c r="AM136" s="163">
        <f t="shared" si="43"/>
        <v>0</v>
      </c>
      <c r="AN136" s="70"/>
      <c r="AO136" s="79">
        <f t="shared" si="44"/>
        <v>0</v>
      </c>
      <c r="AP136" s="70"/>
      <c r="AQ136" s="157" t="str">
        <f t="shared" ref="AQ136:AQ138" si="50">IF(AO136=0,"0.0 ",ROUND((AI136/AO136)*100,1))</f>
        <v xml:space="preserve">0.0 </v>
      </c>
      <c r="AU136" s="394">
        <f t="shared" si="46"/>
        <v>25.57</v>
      </c>
      <c r="AW136" s="225">
        <v>532</v>
      </c>
      <c r="AX136" s="101">
        <f t="shared" si="47"/>
        <v>1.06</v>
      </c>
      <c r="AY136" s="101">
        <f t="shared" si="48"/>
        <v>1.06</v>
      </c>
    </row>
    <row r="137" spans="1:51" x14ac:dyDescent="0.25">
      <c r="A137" s="202"/>
      <c r="C137" s="154"/>
      <c r="F137" s="252"/>
      <c r="H137" s="252"/>
      <c r="I137" s="252"/>
      <c r="J137" s="328"/>
      <c r="K137" s="328"/>
      <c r="L137" s="200"/>
      <c r="M137" s="200"/>
      <c r="N137" s="210"/>
      <c r="O137" s="210"/>
      <c r="P137" s="200"/>
      <c r="Q137" s="200"/>
      <c r="R137" s="200"/>
      <c r="S137" s="200"/>
      <c r="T137" s="159">
        <v>30</v>
      </c>
      <c r="U137" s="80"/>
      <c r="V137" s="82" t="s">
        <v>526</v>
      </c>
      <c r="W137" s="80"/>
      <c r="X137" s="80"/>
      <c r="Y137" s="79">
        <f t="shared" si="37"/>
        <v>0</v>
      </c>
      <c r="Z137" s="70"/>
      <c r="AA137" s="79">
        <f t="shared" si="38"/>
        <v>0</v>
      </c>
      <c r="AB137" s="70"/>
      <c r="AC137" s="349">
        <v>21.1</v>
      </c>
      <c r="AD137" s="162"/>
      <c r="AE137" s="79">
        <f t="shared" ref="AE137" si="51">ROUND((Y137*AC137),0)</f>
        <v>0</v>
      </c>
      <c r="AF137" s="70"/>
      <c r="AG137" s="155">
        <f t="shared" si="40"/>
        <v>0</v>
      </c>
      <c r="AH137" s="70"/>
      <c r="AI137" s="79">
        <f t="shared" si="41"/>
        <v>0</v>
      </c>
      <c r="AJ137" s="70"/>
      <c r="AK137" s="157" t="str">
        <f t="shared" si="49"/>
        <v xml:space="preserve">0.0 </v>
      </c>
      <c r="AL137" s="70"/>
      <c r="AM137" s="163">
        <f t="shared" ref="AM137" si="52">ROUND($AM$165/$AA$165*AA137,0)</f>
        <v>0</v>
      </c>
      <c r="AN137" s="70"/>
      <c r="AO137" s="79">
        <f t="shared" ref="AO137" si="53">AE137+AM137</f>
        <v>0</v>
      </c>
      <c r="AP137" s="70"/>
      <c r="AQ137" s="157" t="str">
        <f t="shared" si="50"/>
        <v xml:space="preserve">0.0 </v>
      </c>
      <c r="AU137" s="394">
        <f t="shared" ref="AU137" si="54">AC137-AX137</f>
        <v>20.130000000000003</v>
      </c>
      <c r="AW137" s="225">
        <v>487</v>
      </c>
      <c r="AX137" s="101">
        <f t="shared" ref="AX137" si="55">ROUND((AW137/12)*CUR_BASE_FUEL,2)</f>
        <v>0.97</v>
      </c>
      <c r="AY137" s="101">
        <f t="shared" ref="AY137" si="56">ROUND((AW137/12)*PRO_BASE_FUEL,2)</f>
        <v>0.97</v>
      </c>
    </row>
    <row r="138" spans="1:51" x14ac:dyDescent="0.25">
      <c r="A138" s="202"/>
      <c r="C138" s="154"/>
      <c r="F138" s="252"/>
      <c r="H138" s="252"/>
      <c r="I138" s="252"/>
      <c r="J138" s="328"/>
      <c r="K138" s="328"/>
      <c r="L138" s="200"/>
      <c r="M138" s="200"/>
      <c r="N138" s="210"/>
      <c r="O138" s="210"/>
      <c r="P138" s="200"/>
      <c r="Q138" s="200"/>
      <c r="R138" s="200"/>
      <c r="S138" s="200"/>
      <c r="T138" s="159">
        <v>31</v>
      </c>
      <c r="U138" s="80"/>
      <c r="V138" s="82" t="s">
        <v>527</v>
      </c>
      <c r="W138" s="80"/>
      <c r="X138" s="80"/>
      <c r="Y138" s="79">
        <f t="shared" si="37"/>
        <v>0</v>
      </c>
      <c r="Z138" s="70"/>
      <c r="AA138" s="79">
        <f t="shared" si="38"/>
        <v>0</v>
      </c>
      <c r="AB138" s="70"/>
      <c r="AC138" s="349">
        <v>26.63</v>
      </c>
      <c r="AD138" s="162"/>
      <c r="AE138" s="79">
        <f t="shared" ref="AE138" si="57">ROUND((Y138*AC138),0)</f>
        <v>0</v>
      </c>
      <c r="AF138" s="70"/>
      <c r="AG138" s="155">
        <f t="shared" si="40"/>
        <v>0</v>
      </c>
      <c r="AH138" s="70"/>
      <c r="AI138" s="79">
        <f t="shared" si="41"/>
        <v>0</v>
      </c>
      <c r="AJ138" s="70"/>
      <c r="AK138" s="157" t="str">
        <f t="shared" si="49"/>
        <v xml:space="preserve">0.0 </v>
      </c>
      <c r="AL138" s="70"/>
      <c r="AM138" s="163">
        <f t="shared" ref="AM138" si="58">ROUND($AM$165/$AA$165*AA138,0)</f>
        <v>0</v>
      </c>
      <c r="AN138" s="70"/>
      <c r="AO138" s="79">
        <f t="shared" ref="AO138" si="59">AE138+AM138</f>
        <v>0</v>
      </c>
      <c r="AP138" s="70"/>
      <c r="AQ138" s="157" t="str">
        <f t="shared" si="50"/>
        <v xml:space="preserve">0.0 </v>
      </c>
      <c r="AU138" s="394">
        <f t="shared" ref="AU138" si="60">AC138-AX138</f>
        <v>25.57</v>
      </c>
      <c r="AW138" s="225">
        <v>532</v>
      </c>
      <c r="AX138" s="101">
        <f t="shared" ref="AX138" si="61">ROUND((AW138/12)*CUR_BASE_FUEL,2)</f>
        <v>1.06</v>
      </c>
      <c r="AY138" s="101">
        <f t="shared" ref="AY138" si="62">ROUND((AW138/12)*PRO_BASE_FUEL,2)</f>
        <v>1.06</v>
      </c>
    </row>
    <row r="139" spans="1:51" x14ac:dyDescent="0.25">
      <c r="A139" s="202"/>
      <c r="C139" s="154"/>
      <c r="F139" s="252"/>
      <c r="H139" s="252"/>
      <c r="I139" s="252"/>
      <c r="J139" s="328"/>
      <c r="K139" s="328"/>
      <c r="L139" s="200"/>
      <c r="M139" s="200"/>
      <c r="N139" s="210"/>
      <c r="O139" s="210"/>
      <c r="P139" s="200"/>
      <c r="Q139" s="200"/>
      <c r="R139" s="200"/>
      <c r="S139" s="200"/>
      <c r="T139" s="159">
        <v>32</v>
      </c>
      <c r="U139" s="80"/>
      <c r="V139" s="265" t="s">
        <v>525</v>
      </c>
      <c r="W139" s="80"/>
      <c r="X139" s="80"/>
      <c r="Y139" s="79"/>
      <c r="Z139" s="70"/>
      <c r="AA139" s="79"/>
      <c r="AB139" s="70"/>
      <c r="AC139" s="349"/>
      <c r="AD139" s="162"/>
      <c r="AE139" s="79"/>
      <c r="AF139" s="70"/>
      <c r="AG139" s="155"/>
      <c r="AH139" s="70"/>
      <c r="AI139" s="79"/>
      <c r="AJ139" s="70"/>
      <c r="AK139" s="155"/>
      <c r="AL139" s="70"/>
      <c r="AM139" s="163"/>
      <c r="AN139" s="70"/>
      <c r="AO139" s="79"/>
      <c r="AP139" s="70"/>
      <c r="AQ139" s="155"/>
      <c r="AU139" s="394"/>
      <c r="AW139" s="225"/>
    </row>
    <row r="140" spans="1:51" x14ac:dyDescent="0.25">
      <c r="A140" s="202"/>
      <c r="C140" s="154"/>
      <c r="F140" s="252"/>
      <c r="H140" s="252"/>
      <c r="I140" s="252"/>
      <c r="J140" s="328"/>
      <c r="K140" s="328"/>
      <c r="L140" s="200"/>
      <c r="M140" s="200"/>
      <c r="N140" s="210"/>
      <c r="O140" s="210"/>
      <c r="P140" s="200"/>
      <c r="Q140" s="200"/>
      <c r="R140" s="200"/>
      <c r="S140" s="200"/>
      <c r="T140" s="159">
        <v>33</v>
      </c>
      <c r="U140" s="80"/>
      <c r="V140" s="81" t="s">
        <v>253</v>
      </c>
      <c r="W140" s="80"/>
      <c r="X140" s="80"/>
      <c r="Y140" s="79">
        <f>F54</f>
        <v>0</v>
      </c>
      <c r="Z140" s="70"/>
      <c r="AA140" s="79">
        <f>H54</f>
        <v>0</v>
      </c>
      <c r="AB140" s="70"/>
      <c r="AC140" s="349">
        <v>22.37</v>
      </c>
      <c r="AD140" s="162"/>
      <c r="AE140" s="79">
        <f t="shared" si="39"/>
        <v>0</v>
      </c>
      <c r="AF140" s="70"/>
      <c r="AG140" s="155">
        <f>ROUND((AE140/AE$165)*100,1)</f>
        <v>0</v>
      </c>
      <c r="AH140" s="70"/>
      <c r="AI140" s="79">
        <f>L54-AE140</f>
        <v>0</v>
      </c>
      <c r="AJ140" s="70"/>
      <c r="AK140" s="157" t="str">
        <f t="shared" ref="AK140:AK141" si="63">IF(AE140=0,"0.0 ",ROUND((AI140/AE140)*100,1))</f>
        <v xml:space="preserve">0.0 </v>
      </c>
      <c r="AL140" s="70"/>
      <c r="AM140" s="163">
        <f t="shared" si="43"/>
        <v>0</v>
      </c>
      <c r="AN140" s="70"/>
      <c r="AO140" s="79">
        <f t="shared" si="44"/>
        <v>0</v>
      </c>
      <c r="AP140" s="70"/>
      <c r="AQ140" s="157" t="str">
        <f t="shared" ref="AQ140:AQ141" si="64">IF(AO140=0,"0.0 ",ROUND((AI140/AO140)*100,1))</f>
        <v xml:space="preserve">0.0 </v>
      </c>
      <c r="AU140" s="394">
        <f t="shared" si="46"/>
        <v>20.34</v>
      </c>
      <c r="AW140" s="225">
        <v>1023</v>
      </c>
      <c r="AX140" s="101">
        <f t="shared" si="47"/>
        <v>2.0299999999999998</v>
      </c>
      <c r="AY140" s="101">
        <f t="shared" si="48"/>
        <v>2.0299999999999998</v>
      </c>
    </row>
    <row r="141" spans="1:51" x14ac:dyDescent="0.25">
      <c r="A141" s="202"/>
      <c r="C141" s="154"/>
      <c r="F141" s="252"/>
      <c r="H141" s="252"/>
      <c r="I141" s="252"/>
      <c r="J141" s="328"/>
      <c r="K141" s="328"/>
      <c r="L141" s="200"/>
      <c r="M141" s="200"/>
      <c r="N141" s="210"/>
      <c r="O141" s="210"/>
      <c r="P141" s="200"/>
      <c r="Q141" s="200"/>
      <c r="R141" s="200"/>
      <c r="S141" s="200"/>
      <c r="T141" s="159">
        <v>34</v>
      </c>
      <c r="U141" s="80"/>
      <c r="V141" s="81" t="s">
        <v>254</v>
      </c>
      <c r="W141" s="80"/>
      <c r="X141" s="80"/>
      <c r="Y141" s="79">
        <f>F55</f>
        <v>0</v>
      </c>
      <c r="Z141" s="70"/>
      <c r="AA141" s="79">
        <f>H55</f>
        <v>0</v>
      </c>
      <c r="AB141" s="70"/>
      <c r="AC141" s="349">
        <v>28.38</v>
      </c>
      <c r="AD141" s="162"/>
      <c r="AE141" s="79">
        <f t="shared" si="39"/>
        <v>0</v>
      </c>
      <c r="AF141" s="70"/>
      <c r="AG141" s="155">
        <f>ROUND((AE141/AE$165)*100,1)</f>
        <v>0</v>
      </c>
      <c r="AH141" s="70"/>
      <c r="AI141" s="79">
        <f>L55-AE141</f>
        <v>0</v>
      </c>
      <c r="AJ141" s="70"/>
      <c r="AK141" s="157" t="str">
        <f t="shared" si="63"/>
        <v xml:space="preserve">0.0 </v>
      </c>
      <c r="AL141" s="70"/>
      <c r="AM141" s="163">
        <f t="shared" si="43"/>
        <v>0</v>
      </c>
      <c r="AN141" s="70"/>
      <c r="AO141" s="79">
        <f t="shared" si="44"/>
        <v>0</v>
      </c>
      <c r="AP141" s="70"/>
      <c r="AQ141" s="157" t="str">
        <f t="shared" si="64"/>
        <v xml:space="preserve">0.0 </v>
      </c>
      <c r="AU141" s="394">
        <f t="shared" si="46"/>
        <v>24.49</v>
      </c>
      <c r="AW141" s="225">
        <v>1959</v>
      </c>
      <c r="AX141" s="101">
        <f t="shared" si="47"/>
        <v>3.89</v>
      </c>
      <c r="AY141" s="101">
        <f t="shared" si="48"/>
        <v>3.89</v>
      </c>
    </row>
    <row r="142" spans="1:51" x14ac:dyDescent="0.25">
      <c r="A142" s="202"/>
      <c r="C142" s="154"/>
      <c r="F142" s="252"/>
      <c r="H142" s="252"/>
      <c r="I142" s="252"/>
      <c r="J142" s="328"/>
      <c r="K142" s="328"/>
      <c r="L142" s="200"/>
      <c r="M142" s="200"/>
      <c r="N142" s="210"/>
      <c r="O142" s="210"/>
      <c r="P142" s="200"/>
      <c r="Q142" s="200"/>
      <c r="R142" s="200"/>
      <c r="S142" s="200"/>
      <c r="T142" s="159">
        <v>35</v>
      </c>
      <c r="U142" s="80"/>
      <c r="V142" s="81" t="s">
        <v>255</v>
      </c>
      <c r="W142" s="80"/>
      <c r="X142" s="80"/>
      <c r="Y142" s="79">
        <f>F56</f>
        <v>4</v>
      </c>
      <c r="Z142" s="70"/>
      <c r="AA142" s="79">
        <f>H56</f>
        <v>653</v>
      </c>
      <c r="AB142" s="70"/>
      <c r="AC142" s="349">
        <v>44.15</v>
      </c>
      <c r="AD142" s="162"/>
      <c r="AE142" s="79">
        <f t="shared" si="39"/>
        <v>177</v>
      </c>
      <c r="AF142" s="70"/>
      <c r="AG142" s="155">
        <f>ROUND((AE142/AE$165)*100,1)</f>
        <v>1.1000000000000001</v>
      </c>
      <c r="AH142" s="70"/>
      <c r="AI142" s="79">
        <f>L56-AE142</f>
        <v>21</v>
      </c>
      <c r="AJ142" s="70"/>
      <c r="AK142" s="166">
        <f t="shared" si="42"/>
        <v>11.9</v>
      </c>
      <c r="AL142" s="70"/>
      <c r="AM142" s="167">
        <f t="shared" si="43"/>
        <v>1</v>
      </c>
      <c r="AN142" s="70"/>
      <c r="AO142" s="79">
        <f t="shared" si="44"/>
        <v>178</v>
      </c>
      <c r="AP142" s="70"/>
      <c r="AQ142" s="155">
        <f t="shared" si="45"/>
        <v>11.8</v>
      </c>
      <c r="AU142" s="394">
        <f t="shared" si="46"/>
        <v>40.26</v>
      </c>
      <c r="AW142" s="225">
        <v>1959</v>
      </c>
      <c r="AX142" s="101">
        <f t="shared" si="47"/>
        <v>3.89</v>
      </c>
      <c r="AY142" s="101">
        <f t="shared" si="48"/>
        <v>3.89</v>
      </c>
    </row>
    <row r="143" spans="1:51" ht="20.100000000000001" customHeight="1" x14ac:dyDescent="0.25">
      <c r="A143" s="202"/>
      <c r="C143" s="154"/>
      <c r="F143" s="252"/>
      <c r="H143" s="252"/>
      <c r="I143" s="252"/>
      <c r="J143" s="328"/>
      <c r="K143" s="328"/>
      <c r="L143" s="200"/>
      <c r="M143" s="200"/>
      <c r="N143" s="210"/>
      <c r="O143" s="210"/>
      <c r="P143" s="200"/>
      <c r="Q143" s="200"/>
      <c r="R143" s="200"/>
      <c r="S143" s="200"/>
      <c r="T143" s="159">
        <v>36</v>
      </c>
      <c r="U143" s="80"/>
      <c r="V143" s="265" t="s">
        <v>259</v>
      </c>
      <c r="W143" s="80"/>
      <c r="X143" s="80"/>
      <c r="Y143" s="384">
        <f>SUM(Y107:Y142)</f>
        <v>948</v>
      </c>
      <c r="Z143" s="70"/>
      <c r="AA143" s="384">
        <f>SUM(AA107:AA142)</f>
        <v>72471</v>
      </c>
      <c r="AB143" s="70"/>
      <c r="AC143" s="349"/>
      <c r="AD143" s="162"/>
      <c r="AE143" s="384">
        <f>SUM(AE107:AE142)</f>
        <v>10243</v>
      </c>
      <c r="AF143" s="70"/>
      <c r="AG143" s="170">
        <f>ROUND((AE143/AE$165)*100,1)</f>
        <v>61.4</v>
      </c>
      <c r="AH143" s="70"/>
      <c r="AI143" s="384">
        <f>SUM(AI107:AI142)</f>
        <v>1217</v>
      </c>
      <c r="AJ143" s="70"/>
      <c r="AK143" s="170">
        <f t="shared" si="42"/>
        <v>11.9</v>
      </c>
      <c r="AL143" s="70"/>
      <c r="AM143" s="169">
        <f>ROUND($AM$165/$AA$165*AA143,0)</f>
        <v>75</v>
      </c>
      <c r="AN143" s="70"/>
      <c r="AO143" s="384">
        <f>SUM(AO107:AO142)</f>
        <v>10318</v>
      </c>
      <c r="AP143" s="70"/>
      <c r="AQ143" s="155">
        <f t="shared" si="45"/>
        <v>11.8</v>
      </c>
      <c r="AW143" s="252"/>
    </row>
    <row r="144" spans="1:51" x14ac:dyDescent="0.25">
      <c r="A144" s="202"/>
      <c r="C144" s="154"/>
      <c r="F144" s="252"/>
      <c r="H144" s="252"/>
      <c r="I144" s="252"/>
      <c r="J144" s="328"/>
      <c r="K144" s="328"/>
      <c r="L144" s="200"/>
      <c r="M144" s="200"/>
      <c r="N144" s="210"/>
      <c r="O144" s="210"/>
      <c r="P144" s="200"/>
      <c r="Q144" s="200"/>
      <c r="R144" s="200"/>
      <c r="S144" s="200"/>
      <c r="T144" s="159"/>
      <c r="U144" s="80"/>
      <c r="V144" s="81"/>
      <c r="W144" s="80"/>
      <c r="X144" s="80"/>
      <c r="Y144" s="70"/>
      <c r="Z144" s="70"/>
      <c r="AA144" s="70"/>
      <c r="AB144" s="70"/>
      <c r="AC144" s="349"/>
      <c r="AD144" s="162"/>
      <c r="AE144" s="70"/>
      <c r="AF144" s="70"/>
      <c r="AG144" s="164"/>
      <c r="AH144" s="70"/>
      <c r="AI144" s="70"/>
      <c r="AJ144" s="70"/>
      <c r="AK144" s="164"/>
      <c r="AL144" s="70"/>
      <c r="AM144" s="70"/>
      <c r="AN144" s="70"/>
      <c r="AO144" s="70"/>
      <c r="AP144" s="70"/>
      <c r="AQ144" s="164"/>
      <c r="AW144" s="225"/>
    </row>
    <row r="145" spans="1:51" x14ac:dyDescent="0.25">
      <c r="A145" s="202"/>
      <c r="C145" s="154"/>
      <c r="F145" s="252"/>
      <c r="H145" s="252"/>
      <c r="I145" s="252"/>
      <c r="J145" s="300"/>
      <c r="K145" s="300"/>
      <c r="L145" s="200"/>
      <c r="M145" s="200"/>
      <c r="N145" s="210"/>
      <c r="O145" s="210"/>
      <c r="P145" s="200"/>
      <c r="Q145" s="200"/>
      <c r="R145" s="200"/>
      <c r="T145" s="159">
        <v>37</v>
      </c>
      <c r="U145" s="80"/>
      <c r="V145" s="265" t="s">
        <v>262</v>
      </c>
      <c r="W145" s="80"/>
      <c r="X145" s="80"/>
      <c r="Y145" s="78"/>
      <c r="Z145" s="70"/>
      <c r="AA145" s="78"/>
      <c r="AB145" s="79"/>
      <c r="AC145" s="349"/>
      <c r="AD145" s="352"/>
      <c r="AE145" s="70"/>
      <c r="AF145" s="70"/>
      <c r="AG145" s="164"/>
      <c r="AH145" s="70"/>
      <c r="AI145" s="70"/>
      <c r="AJ145" s="70"/>
      <c r="AK145" s="164"/>
      <c r="AL145" s="70"/>
      <c r="AM145" s="70"/>
      <c r="AN145" s="70"/>
      <c r="AO145" s="70"/>
      <c r="AP145" s="70"/>
      <c r="AQ145" s="164"/>
      <c r="AW145" s="225"/>
    </row>
    <row r="146" spans="1:51" x14ac:dyDescent="0.25">
      <c r="A146" s="202"/>
      <c r="C146" s="154"/>
      <c r="F146" s="252"/>
      <c r="H146" s="252"/>
      <c r="I146" s="252"/>
      <c r="J146" s="300"/>
      <c r="K146" s="300"/>
      <c r="L146" s="200"/>
      <c r="M146" s="200"/>
      <c r="N146" s="210"/>
      <c r="O146" s="210"/>
      <c r="P146" s="200"/>
      <c r="Q146" s="200"/>
      <c r="R146" s="200"/>
      <c r="T146" s="159">
        <v>38</v>
      </c>
      <c r="U146" s="80"/>
      <c r="V146" s="253" t="s">
        <v>257</v>
      </c>
      <c r="W146" s="80"/>
      <c r="X146" s="80"/>
      <c r="Y146" s="78"/>
      <c r="Z146" s="70"/>
      <c r="AA146" s="78"/>
      <c r="AB146" s="78"/>
      <c r="AC146" s="349"/>
      <c r="AD146" s="352"/>
      <c r="AE146" s="70"/>
      <c r="AF146" s="70"/>
      <c r="AG146" s="164"/>
      <c r="AH146" s="70"/>
      <c r="AI146" s="70"/>
      <c r="AJ146" s="70"/>
      <c r="AK146" s="164"/>
      <c r="AL146" s="70"/>
      <c r="AM146" s="70"/>
      <c r="AN146" s="70"/>
      <c r="AO146" s="70"/>
      <c r="AP146" s="70"/>
      <c r="AQ146" s="164"/>
      <c r="AW146" s="225"/>
    </row>
    <row r="147" spans="1:51" x14ac:dyDescent="0.25">
      <c r="A147" s="202"/>
      <c r="C147" s="154"/>
      <c r="F147" s="252"/>
      <c r="H147" s="252"/>
      <c r="I147" s="252"/>
      <c r="J147" s="300"/>
      <c r="K147" s="300"/>
      <c r="L147" s="200"/>
      <c r="M147" s="200"/>
      <c r="N147" s="210"/>
      <c r="O147" s="210"/>
      <c r="P147" s="200"/>
      <c r="Q147" s="200"/>
      <c r="R147" s="200"/>
      <c r="T147" s="159">
        <v>39</v>
      </c>
      <c r="U147" s="80"/>
      <c r="V147" s="81" t="s">
        <v>235</v>
      </c>
      <c r="W147" s="80"/>
      <c r="X147" s="80"/>
      <c r="Y147" s="79">
        <f>F61</f>
        <v>21</v>
      </c>
      <c r="Z147" s="70"/>
      <c r="AA147" s="79">
        <f>H61</f>
        <v>3350</v>
      </c>
      <c r="AB147" s="79"/>
      <c r="AC147" s="349">
        <v>16.760000000000002</v>
      </c>
      <c r="AD147" s="352"/>
      <c r="AE147" s="79">
        <f>ROUND((Y147*AC147),0)</f>
        <v>352</v>
      </c>
      <c r="AF147" s="79"/>
      <c r="AG147" s="155">
        <f>ROUND((AE147/AE$165)*100,1)</f>
        <v>2.1</v>
      </c>
      <c r="AH147" s="156"/>
      <c r="AI147" s="79">
        <f>L61-AE147</f>
        <v>42</v>
      </c>
      <c r="AJ147" s="79"/>
      <c r="AK147" s="155">
        <f>ROUND((AI147/AE147)*100,1)</f>
        <v>11.9</v>
      </c>
      <c r="AL147" s="158"/>
      <c r="AM147" s="163">
        <f>ROUND($AM$165/$AA$165*AA147,0)</f>
        <v>3</v>
      </c>
      <c r="AN147" s="79"/>
      <c r="AO147" s="79">
        <f>AE147+AM147</f>
        <v>355</v>
      </c>
      <c r="AP147" s="79"/>
      <c r="AQ147" s="155">
        <f>ROUND((AI147/AO147)*100,1)</f>
        <v>11.8</v>
      </c>
      <c r="AU147" s="394">
        <f>AC147-AX147</f>
        <v>12.96</v>
      </c>
      <c r="AW147" s="225">
        <v>1914</v>
      </c>
      <c r="AX147" s="101">
        <f>ROUND((AW147/12)*CUR_BASE_FUEL,2)</f>
        <v>3.8</v>
      </c>
      <c r="AY147" s="101">
        <f>ROUND((AW147/12)*PRO_BASE_FUEL,2)</f>
        <v>3.8</v>
      </c>
    </row>
    <row r="148" spans="1:51" x14ac:dyDescent="0.25">
      <c r="A148" s="202"/>
      <c r="C148" s="154"/>
      <c r="F148" s="252"/>
      <c r="H148" s="252"/>
      <c r="I148" s="252"/>
      <c r="J148" s="300"/>
      <c r="K148" s="300"/>
      <c r="L148" s="200"/>
      <c r="M148" s="200"/>
      <c r="N148" s="210"/>
      <c r="O148" s="210"/>
      <c r="P148" s="200"/>
      <c r="Q148" s="200"/>
      <c r="R148" s="200"/>
      <c r="T148" s="159">
        <v>40</v>
      </c>
      <c r="U148" s="80"/>
      <c r="V148" s="253" t="s">
        <v>350</v>
      </c>
      <c r="W148" s="80"/>
      <c r="X148" s="80"/>
      <c r="Y148" s="79"/>
      <c r="Z148" s="70"/>
      <c r="AA148" s="79"/>
      <c r="AB148" s="78"/>
      <c r="AC148" s="349"/>
      <c r="AD148" s="352"/>
      <c r="AE148" s="70"/>
      <c r="AF148" s="70"/>
      <c r="AG148" s="164"/>
      <c r="AH148" s="70"/>
      <c r="AI148" s="70"/>
      <c r="AJ148" s="70"/>
      <c r="AK148" s="164"/>
      <c r="AL148" s="70"/>
      <c r="AM148" s="70"/>
      <c r="AN148" s="70"/>
      <c r="AO148" s="70"/>
      <c r="AP148" s="70"/>
      <c r="AQ148" s="164"/>
      <c r="AW148" s="225"/>
    </row>
    <row r="149" spans="1:51" x14ac:dyDescent="0.25">
      <c r="A149" s="202"/>
      <c r="C149" s="154"/>
      <c r="F149" s="252"/>
      <c r="H149" s="252"/>
      <c r="I149" s="252"/>
      <c r="J149" s="300"/>
      <c r="K149" s="300"/>
      <c r="L149" s="200"/>
      <c r="M149" s="200"/>
      <c r="N149" s="210"/>
      <c r="O149" s="210"/>
      <c r="P149" s="200"/>
      <c r="Q149" s="200"/>
      <c r="R149" s="200"/>
      <c r="T149" s="159">
        <v>41</v>
      </c>
      <c r="U149" s="80"/>
      <c r="V149" s="82" t="s">
        <v>351</v>
      </c>
      <c r="W149" s="80"/>
      <c r="X149" s="80"/>
      <c r="Y149" s="79">
        <f>F63</f>
        <v>4</v>
      </c>
      <c r="Z149" s="70"/>
      <c r="AA149" s="79">
        <f>H63</f>
        <v>405</v>
      </c>
      <c r="AB149" s="78"/>
      <c r="AC149" s="349">
        <v>13.04</v>
      </c>
      <c r="AD149" s="352"/>
      <c r="AE149" s="79">
        <f>ROUND((Y149*AC149),0)</f>
        <v>52</v>
      </c>
      <c r="AF149" s="79"/>
      <c r="AG149" s="155">
        <f>ROUND((AE149/AE$165)*100,1)</f>
        <v>0.3</v>
      </c>
      <c r="AH149" s="156"/>
      <c r="AI149" s="79">
        <f>L63-AE149</f>
        <v>6</v>
      </c>
      <c r="AJ149" s="79"/>
      <c r="AK149" s="155">
        <f>ROUND((AI149/AE149)*100,1)</f>
        <v>11.5</v>
      </c>
      <c r="AL149" s="158"/>
      <c r="AM149" s="163">
        <f>ROUND($AM$165/$AA$165*AA149,0)</f>
        <v>0</v>
      </c>
      <c r="AN149" s="79"/>
      <c r="AO149" s="79">
        <f>AE149+AM149</f>
        <v>52</v>
      </c>
      <c r="AP149" s="79"/>
      <c r="AQ149" s="155">
        <f>ROUND((AI149/AO149)*100,1)</f>
        <v>11.5</v>
      </c>
      <c r="AU149" s="394">
        <f t="shared" ref="AU149:AU154" si="65">AC149-AX149</f>
        <v>10.629999999999999</v>
      </c>
      <c r="AW149" s="225">
        <v>1215</v>
      </c>
      <c r="AX149" s="101">
        <f>ROUND((AW149/12)*CUR_BASE_FUEL,2)</f>
        <v>2.41</v>
      </c>
      <c r="AY149" s="101">
        <f>ROUND((AW149/12)*PRO_BASE_FUEL,2)</f>
        <v>2.41</v>
      </c>
    </row>
    <row r="150" spans="1:51" x14ac:dyDescent="0.25">
      <c r="A150" s="202"/>
      <c r="C150" s="154"/>
      <c r="F150" s="252"/>
      <c r="H150" s="252"/>
      <c r="I150" s="252"/>
      <c r="J150" s="300"/>
      <c r="K150" s="300"/>
      <c r="L150" s="200"/>
      <c r="M150" s="200"/>
      <c r="N150" s="210"/>
      <c r="O150" s="210"/>
      <c r="P150" s="200"/>
      <c r="Q150" s="200"/>
      <c r="R150" s="200"/>
      <c r="T150" s="159">
        <v>42</v>
      </c>
      <c r="U150" s="80"/>
      <c r="V150" s="82" t="s">
        <v>352</v>
      </c>
      <c r="W150" s="80"/>
      <c r="X150" s="80"/>
      <c r="Y150" s="79">
        <f>F64</f>
        <v>26</v>
      </c>
      <c r="Z150" s="70"/>
      <c r="AA150" s="79">
        <f>H64</f>
        <v>4147</v>
      </c>
      <c r="AB150" s="78"/>
      <c r="AC150" s="349">
        <v>16.760000000000002</v>
      </c>
      <c r="AD150" s="352"/>
      <c r="AE150" s="79">
        <f>ROUND((Y150*AC150),0)</f>
        <v>436</v>
      </c>
      <c r="AF150" s="79"/>
      <c r="AG150" s="155">
        <f>ROUND((AE150/AE$165)*100,1)</f>
        <v>2.6</v>
      </c>
      <c r="AH150" s="156"/>
      <c r="AI150" s="79">
        <f>L64-AE150</f>
        <v>52</v>
      </c>
      <c r="AJ150" s="79"/>
      <c r="AK150" s="155">
        <f>ROUND((AI150/AE150)*100,1)</f>
        <v>11.9</v>
      </c>
      <c r="AL150" s="158"/>
      <c r="AM150" s="163">
        <f>ROUND($AM$165/$AA$165*AA150,0)</f>
        <v>4</v>
      </c>
      <c r="AN150" s="79"/>
      <c r="AO150" s="79">
        <f>AE150+AM150</f>
        <v>440</v>
      </c>
      <c r="AP150" s="79"/>
      <c r="AQ150" s="155">
        <f>ROUND((AI150/AO150)*100,1)</f>
        <v>11.8</v>
      </c>
      <c r="AU150" s="394">
        <f t="shared" si="65"/>
        <v>12.96</v>
      </c>
      <c r="AW150" s="225">
        <v>1914</v>
      </c>
      <c r="AX150" s="101">
        <f>ROUND((AW150/12)*CUR_BASE_FUEL,2)</f>
        <v>3.8</v>
      </c>
      <c r="AY150" s="101">
        <f>ROUND((AW150/12)*PRO_BASE_FUEL,2)</f>
        <v>3.8</v>
      </c>
    </row>
    <row r="151" spans="1:51" x14ac:dyDescent="0.25">
      <c r="A151" s="202"/>
      <c r="C151" s="154"/>
      <c r="F151" s="252"/>
      <c r="H151" s="252"/>
      <c r="I151" s="252"/>
      <c r="J151" s="300"/>
      <c r="K151" s="300"/>
      <c r="L151" s="200"/>
      <c r="M151" s="200"/>
      <c r="N151" s="210"/>
      <c r="O151" s="210"/>
      <c r="P151" s="200"/>
      <c r="Q151" s="200"/>
      <c r="R151" s="200"/>
      <c r="T151" s="159">
        <v>43</v>
      </c>
      <c r="U151" s="80"/>
      <c r="V151" s="253" t="s">
        <v>353</v>
      </c>
      <c r="W151" s="80"/>
      <c r="X151" s="80"/>
      <c r="Y151" s="79"/>
      <c r="Z151" s="70"/>
      <c r="AA151" s="79"/>
      <c r="AB151" s="78"/>
      <c r="AC151" s="349"/>
      <c r="AD151" s="352"/>
      <c r="AE151" s="79"/>
      <c r="AF151" s="79"/>
      <c r="AG151" s="155"/>
      <c r="AH151" s="156"/>
      <c r="AI151" s="79"/>
      <c r="AJ151" s="79"/>
      <c r="AK151" s="155"/>
      <c r="AL151" s="158"/>
      <c r="AM151" s="161"/>
      <c r="AN151" s="79"/>
      <c r="AO151" s="79"/>
      <c r="AP151" s="79"/>
      <c r="AQ151" s="155"/>
      <c r="AW151" s="225"/>
    </row>
    <row r="152" spans="1:51" x14ac:dyDescent="0.25">
      <c r="A152" s="202"/>
      <c r="C152" s="154"/>
      <c r="F152" s="200"/>
      <c r="H152" s="200"/>
      <c r="I152" s="200"/>
      <c r="J152" s="305"/>
      <c r="K152" s="305"/>
      <c r="L152" s="200"/>
      <c r="M152" s="200"/>
      <c r="N152" s="210"/>
      <c r="O152" s="210"/>
      <c r="P152" s="200"/>
      <c r="Q152" s="200"/>
      <c r="R152" s="200"/>
      <c r="T152" s="159">
        <v>44</v>
      </c>
      <c r="U152" s="80"/>
      <c r="V152" s="82" t="s">
        <v>354</v>
      </c>
      <c r="W152" s="80"/>
      <c r="X152" s="80"/>
      <c r="Y152" s="79">
        <f>F66</f>
        <v>63</v>
      </c>
      <c r="Z152" s="70"/>
      <c r="AA152" s="79">
        <f>H66</f>
        <v>5371</v>
      </c>
      <c r="AB152" s="78"/>
      <c r="AC152" s="349">
        <v>12.38</v>
      </c>
      <c r="AD152" s="352"/>
      <c r="AE152" s="79">
        <f>ROUND((Y152*AC152),0)</f>
        <v>780</v>
      </c>
      <c r="AF152" s="79"/>
      <c r="AG152" s="155">
        <f>ROUND((AE152/AE$165)*100,1)</f>
        <v>4.7</v>
      </c>
      <c r="AH152" s="156"/>
      <c r="AI152" s="79">
        <f>L66-AE152</f>
        <v>93</v>
      </c>
      <c r="AJ152" s="79"/>
      <c r="AK152" s="155">
        <f>ROUND((AI152/AE152)*100,1)</f>
        <v>11.9</v>
      </c>
      <c r="AL152" s="158"/>
      <c r="AM152" s="163">
        <f>ROUND($AM$165/$AA$165*AA152,0)</f>
        <v>6</v>
      </c>
      <c r="AN152" s="79"/>
      <c r="AO152" s="79">
        <f>AE152+AM152</f>
        <v>786</v>
      </c>
      <c r="AP152" s="79"/>
      <c r="AQ152" s="155">
        <f>ROUND((AI152/AO152)*100,1)</f>
        <v>11.8</v>
      </c>
      <c r="AU152" s="394">
        <f t="shared" si="65"/>
        <v>10.350000000000001</v>
      </c>
      <c r="AW152" s="225">
        <v>1023</v>
      </c>
      <c r="AX152" s="101">
        <f>ROUND((AW152/12)*CUR_BASE_FUEL,2)</f>
        <v>2.0299999999999998</v>
      </c>
      <c r="AY152" s="101">
        <f>ROUND((AW152/12)*PRO_BASE_FUEL,2)</f>
        <v>2.0299999999999998</v>
      </c>
    </row>
    <row r="153" spans="1:51" x14ac:dyDescent="0.25">
      <c r="A153" s="202"/>
      <c r="C153" s="154"/>
      <c r="F153" s="200"/>
      <c r="H153" s="200"/>
      <c r="I153" s="200"/>
      <c r="J153" s="305"/>
      <c r="K153" s="305"/>
      <c r="L153" s="200"/>
      <c r="M153" s="200"/>
      <c r="N153" s="210"/>
      <c r="O153" s="210"/>
      <c r="P153" s="200"/>
      <c r="Q153" s="200"/>
      <c r="R153" s="200"/>
      <c r="T153" s="159">
        <v>45</v>
      </c>
      <c r="U153" s="80"/>
      <c r="V153" s="82" t="s">
        <v>355</v>
      </c>
      <c r="W153" s="80"/>
      <c r="X153" s="80"/>
      <c r="Y153" s="79">
        <f>F67</f>
        <v>11</v>
      </c>
      <c r="Z153" s="70"/>
      <c r="AA153" s="79">
        <f>H67</f>
        <v>938</v>
      </c>
      <c r="AB153" s="78"/>
      <c r="AC153" s="349">
        <v>12.38</v>
      </c>
      <c r="AD153" s="352"/>
      <c r="AE153" s="79">
        <f>ROUND((Y153*AC153),0)</f>
        <v>136</v>
      </c>
      <c r="AF153" s="79"/>
      <c r="AG153" s="155">
        <f>ROUND((AE153/AE$165)*100,1)</f>
        <v>0.8</v>
      </c>
      <c r="AH153" s="156"/>
      <c r="AI153" s="79">
        <f>L67-AE153</f>
        <v>16</v>
      </c>
      <c r="AJ153" s="79"/>
      <c r="AK153" s="155">
        <f>ROUND((AI153/AE153)*100,1)</f>
        <v>11.8</v>
      </c>
      <c r="AL153" s="158"/>
      <c r="AM153" s="163">
        <f>ROUND($AM$165/$AA$165*AA153,0)</f>
        <v>1</v>
      </c>
      <c r="AN153" s="79"/>
      <c r="AO153" s="79">
        <f>AE153+AM153</f>
        <v>137</v>
      </c>
      <c r="AP153" s="79"/>
      <c r="AQ153" s="155">
        <f>ROUND((AI153/AO153)*100,1)</f>
        <v>11.7</v>
      </c>
      <c r="AU153" s="394">
        <f t="shared" si="65"/>
        <v>10.350000000000001</v>
      </c>
      <c r="AW153" s="225">
        <v>1023</v>
      </c>
      <c r="AX153" s="101">
        <f>ROUND((AW153/12)*CUR_BASE_FUEL,2)</f>
        <v>2.0299999999999998</v>
      </c>
      <c r="AY153" s="101">
        <f>ROUND((AW153/12)*PRO_BASE_FUEL,2)</f>
        <v>2.0299999999999998</v>
      </c>
    </row>
    <row r="154" spans="1:51" x14ac:dyDescent="0.25">
      <c r="A154" s="202"/>
      <c r="C154" s="154"/>
      <c r="F154" s="200"/>
      <c r="H154" s="200"/>
      <c r="I154" s="200"/>
      <c r="J154" s="305"/>
      <c r="K154" s="305"/>
      <c r="L154" s="200"/>
      <c r="M154" s="200"/>
      <c r="N154" s="210"/>
      <c r="O154" s="210"/>
      <c r="P154" s="200"/>
      <c r="Q154" s="200"/>
      <c r="R154" s="200"/>
      <c r="T154" s="159">
        <v>46</v>
      </c>
      <c r="U154" s="80"/>
      <c r="V154" s="82" t="s">
        <v>247</v>
      </c>
      <c r="W154" s="80"/>
      <c r="X154" s="80"/>
      <c r="Y154" s="79">
        <f>F68</f>
        <v>309</v>
      </c>
      <c r="Z154" s="70"/>
      <c r="AA154" s="79">
        <f>H68</f>
        <v>51423</v>
      </c>
      <c r="AB154" s="78"/>
      <c r="AC154" s="349">
        <v>15.35</v>
      </c>
      <c r="AD154" s="352"/>
      <c r="AE154" s="79">
        <f>ROUND((Y154*AC154),0)</f>
        <v>4743</v>
      </c>
      <c r="AF154" s="79"/>
      <c r="AG154" s="166">
        <f>ROUND((AE154/AE$165)*100,1)+0.1</f>
        <v>28.5</v>
      </c>
      <c r="AH154" s="156"/>
      <c r="AI154" s="167">
        <f>L68-AE154</f>
        <v>563</v>
      </c>
      <c r="AJ154" s="79"/>
      <c r="AK154" s="166">
        <f>ROUND((AI154/AE154)*100,1)</f>
        <v>11.9</v>
      </c>
      <c r="AL154" s="158"/>
      <c r="AM154" s="167">
        <f>ROUND($AM$165/$AA$165*AA154,0)</f>
        <v>53</v>
      </c>
      <c r="AN154" s="79"/>
      <c r="AO154" s="167">
        <f>AE154+AM154</f>
        <v>4796</v>
      </c>
      <c r="AP154" s="79"/>
      <c r="AQ154" s="155">
        <f>ROUND((AI154/AO154)*100,1)</f>
        <v>11.7</v>
      </c>
      <c r="AU154" s="394">
        <f t="shared" si="65"/>
        <v>11.379999999999999</v>
      </c>
      <c r="AW154" s="225">
        <v>1997</v>
      </c>
      <c r="AX154" s="101">
        <f>ROUND((AW154/12)*CUR_BASE_FUEL,2)</f>
        <v>3.97</v>
      </c>
      <c r="AY154" s="101">
        <f>ROUND((AW154/12)*PRO_BASE_FUEL,2)</f>
        <v>3.97</v>
      </c>
    </row>
    <row r="155" spans="1:51" ht="20.100000000000001" customHeight="1" x14ac:dyDescent="0.25">
      <c r="A155" s="202"/>
      <c r="C155" s="154"/>
      <c r="F155" s="200"/>
      <c r="H155" s="200"/>
      <c r="I155" s="200"/>
      <c r="J155" s="305"/>
      <c r="K155" s="305"/>
      <c r="L155" s="200"/>
      <c r="M155" s="200"/>
      <c r="N155" s="210"/>
      <c r="O155" s="210"/>
      <c r="P155" s="200"/>
      <c r="Q155" s="200"/>
      <c r="R155" s="200"/>
      <c r="T155" s="159">
        <v>47</v>
      </c>
      <c r="U155" s="80"/>
      <c r="V155" s="253" t="s">
        <v>261</v>
      </c>
      <c r="W155" s="258"/>
      <c r="X155" s="80"/>
      <c r="Y155" s="126">
        <f>SUM(Y147:Y154)</f>
        <v>434</v>
      </c>
      <c r="Z155" s="386"/>
      <c r="AA155" s="126">
        <f>SUM(AA147:AA154)</f>
        <v>65634</v>
      </c>
      <c r="AB155" s="79"/>
      <c r="AC155" s="349"/>
      <c r="AD155" s="352"/>
      <c r="AE155" s="126">
        <f>SUM(AE147:AE154)</f>
        <v>6499</v>
      </c>
      <c r="AF155" s="79"/>
      <c r="AG155" s="170">
        <f>ROUND((AE155/AE$165)*100,1)</f>
        <v>39</v>
      </c>
      <c r="AH155" s="156"/>
      <c r="AI155" s="126">
        <f>SUM(AI147:AI154)</f>
        <v>772</v>
      </c>
      <c r="AJ155" s="79"/>
      <c r="AK155" s="170">
        <f>ROUND((AI155/AE155)*100,1)</f>
        <v>11.9</v>
      </c>
      <c r="AL155" s="158"/>
      <c r="AM155" s="169">
        <f>ROUND($AM$165/$AA$165*AA155,0)</f>
        <v>67</v>
      </c>
      <c r="AN155" s="79"/>
      <c r="AO155" s="126">
        <f>SUM(AO147:AO154)</f>
        <v>6566</v>
      </c>
      <c r="AP155" s="79"/>
      <c r="AQ155" s="155">
        <f>ROUND((AI155/AO155)*100,1)</f>
        <v>11.8</v>
      </c>
    </row>
    <row r="156" spans="1:51" ht="20.100000000000001" customHeight="1" x14ac:dyDescent="0.25">
      <c r="A156" s="202"/>
      <c r="C156" s="154"/>
      <c r="F156" s="200"/>
      <c r="H156" s="200"/>
      <c r="I156" s="200"/>
      <c r="J156" s="305"/>
      <c r="K156" s="305"/>
      <c r="L156" s="200"/>
      <c r="M156" s="200"/>
      <c r="N156" s="210"/>
      <c r="O156" s="210"/>
      <c r="P156" s="200"/>
      <c r="Q156" s="200"/>
      <c r="R156" s="200"/>
      <c r="T156" s="159">
        <v>48</v>
      </c>
      <c r="U156" s="80"/>
      <c r="V156" s="265" t="s">
        <v>589</v>
      </c>
      <c r="W156" s="80"/>
      <c r="X156" s="80"/>
      <c r="Y156" s="126">
        <f>Y155+Y143</f>
        <v>1382</v>
      </c>
      <c r="Z156" s="85"/>
      <c r="AA156" s="126">
        <f>AA155+AA143</f>
        <v>138105</v>
      </c>
      <c r="AB156" s="79"/>
      <c r="AC156" s="349"/>
      <c r="AD156" s="352"/>
      <c r="AE156" s="126">
        <f>AE155+AE143</f>
        <v>16742</v>
      </c>
      <c r="AF156" s="79"/>
      <c r="AG156" s="170">
        <f>ROUND((AE156/AE$165)*100,1)</f>
        <v>100.4</v>
      </c>
      <c r="AH156" s="156"/>
      <c r="AI156" s="126">
        <f>AI155+AI143</f>
        <v>1989</v>
      </c>
      <c r="AJ156" s="79"/>
      <c r="AK156" s="170">
        <f>ROUND((AI156/AE156)*100,1)</f>
        <v>11.9</v>
      </c>
      <c r="AL156" s="158"/>
      <c r="AM156" s="126">
        <f>AM155+AM143</f>
        <v>142</v>
      </c>
      <c r="AN156" s="79"/>
      <c r="AO156" s="126">
        <f>AO155+AO143</f>
        <v>16884</v>
      </c>
      <c r="AP156" s="79"/>
      <c r="AQ156" s="155">
        <f>ROUND((AI156/AO156)*100,1)</f>
        <v>11.8</v>
      </c>
    </row>
    <row r="157" spans="1:51" ht="15.75" customHeight="1" x14ac:dyDescent="0.25">
      <c r="A157" s="202"/>
      <c r="C157" s="154"/>
      <c r="F157" s="200"/>
      <c r="H157" s="200"/>
      <c r="I157" s="200"/>
      <c r="J157" s="305"/>
      <c r="K157" s="305"/>
      <c r="L157" s="200"/>
      <c r="M157" s="200"/>
      <c r="N157" s="210"/>
      <c r="O157" s="210"/>
      <c r="P157" s="200"/>
      <c r="Q157" s="200"/>
      <c r="R157" s="200"/>
      <c r="T157" s="159"/>
      <c r="U157" s="80"/>
      <c r="V157" s="265"/>
      <c r="W157" s="80"/>
      <c r="X157" s="80"/>
      <c r="Y157" s="230"/>
      <c r="Z157" s="85"/>
      <c r="AA157" s="230"/>
      <c r="AB157" s="79"/>
      <c r="AC157" s="349"/>
      <c r="AD157" s="352"/>
      <c r="AE157" s="230"/>
      <c r="AF157" s="79"/>
      <c r="AG157" s="197"/>
      <c r="AH157" s="156"/>
      <c r="AI157" s="230"/>
      <c r="AJ157" s="79"/>
      <c r="AK157" s="197"/>
      <c r="AL157" s="158"/>
      <c r="AM157" s="163"/>
      <c r="AN157" s="79"/>
      <c r="AO157" s="230"/>
      <c r="AP157" s="79"/>
      <c r="AQ157" s="155"/>
    </row>
    <row r="158" spans="1:51" ht="15.75" customHeight="1" x14ac:dyDescent="0.25">
      <c r="A158" s="202"/>
      <c r="C158" s="154"/>
      <c r="F158" s="200"/>
      <c r="H158" s="200"/>
      <c r="I158" s="200"/>
      <c r="J158" s="305"/>
      <c r="K158" s="305"/>
      <c r="L158" s="200"/>
      <c r="M158" s="200"/>
      <c r="N158" s="210"/>
      <c r="O158" s="210"/>
      <c r="P158" s="200"/>
      <c r="Q158" s="200"/>
      <c r="R158" s="200"/>
      <c r="T158" s="159">
        <f>A72</f>
        <v>49</v>
      </c>
      <c r="U158" s="80"/>
      <c r="V158" s="253" t="s">
        <v>591</v>
      </c>
      <c r="W158" s="80"/>
      <c r="X158" s="80"/>
      <c r="Y158" s="230"/>
      <c r="Z158" s="85"/>
      <c r="AA158" s="230"/>
      <c r="AB158" s="79"/>
      <c r="AC158" s="349"/>
      <c r="AD158" s="352"/>
      <c r="AE158" s="230"/>
      <c r="AF158" s="79"/>
      <c r="AG158" s="197"/>
      <c r="AH158" s="156"/>
      <c r="AI158" s="230"/>
      <c r="AJ158" s="79"/>
      <c r="AK158" s="197"/>
      <c r="AL158" s="158"/>
      <c r="AM158" s="163"/>
      <c r="AN158" s="79"/>
      <c r="AO158" s="230"/>
      <c r="AP158" s="79"/>
      <c r="AQ158" s="155"/>
    </row>
    <row r="159" spans="1:51" ht="15.75" customHeight="1" x14ac:dyDescent="0.25">
      <c r="A159" s="202"/>
      <c r="C159" s="154"/>
      <c r="F159" s="200"/>
      <c r="H159" s="200"/>
      <c r="I159" s="200"/>
      <c r="J159" s="305"/>
      <c r="K159" s="305"/>
      <c r="L159" s="200"/>
      <c r="M159" s="200"/>
      <c r="N159" s="210"/>
      <c r="O159" s="210"/>
      <c r="P159" s="200"/>
      <c r="Q159" s="200"/>
      <c r="R159" s="200"/>
      <c r="T159" s="159">
        <f t="shared" ref="T159:T163" si="66">A73</f>
        <v>50</v>
      </c>
      <c r="U159" s="80"/>
      <c r="V159" s="153" t="str">
        <f t="shared" ref="V159:V161" si="67">C73</f>
        <v>ENVIRONMENTAL SURCHARGE MECHANISM RIDER (ESM)</v>
      </c>
      <c r="W159" s="80"/>
      <c r="X159" s="80"/>
      <c r="Y159" s="230"/>
      <c r="Z159" s="85"/>
      <c r="AA159" s="230"/>
      <c r="AB159" s="79"/>
      <c r="AC159" s="401">
        <f>CUR_ESM</f>
        <v>0</v>
      </c>
      <c r="AD159" s="352"/>
      <c r="AE159" s="230">
        <f t="shared" ref="AE159:AE161" si="68">ROUND($AA$156*AC159,0)</f>
        <v>0</v>
      </c>
      <c r="AF159" s="79"/>
      <c r="AG159" s="197">
        <f t="shared" ref="AG159:AG161" si="69">ROUND((AE159/AE$165)*100,1)</f>
        <v>0</v>
      </c>
      <c r="AH159" s="156"/>
      <c r="AI159" s="230">
        <f t="shared" ref="AI159:AI161" si="70">L73-AE159</f>
        <v>0</v>
      </c>
      <c r="AJ159" s="79"/>
      <c r="AK159" s="197">
        <f>IF(AE159=0,0,ROUND((AI159/AE159)*100,1))</f>
        <v>0</v>
      </c>
      <c r="AL159" s="158"/>
      <c r="AM159" s="163"/>
      <c r="AN159" s="79"/>
      <c r="AO159" s="230">
        <f t="shared" ref="AO159:AO161" si="71">AE159+AM159</f>
        <v>0</v>
      </c>
      <c r="AP159" s="79"/>
      <c r="AQ159" s="155">
        <f>IF(AO159=0,0,ROUND((AI159/AO159)*100,1))</f>
        <v>0</v>
      </c>
    </row>
    <row r="160" spans="1:51" ht="15.75" customHeight="1" x14ac:dyDescent="0.25">
      <c r="A160" s="202"/>
      <c r="C160" s="154"/>
      <c r="F160" s="200"/>
      <c r="H160" s="200"/>
      <c r="I160" s="200"/>
      <c r="J160" s="305"/>
      <c r="K160" s="305"/>
      <c r="L160" s="200"/>
      <c r="M160" s="200"/>
      <c r="N160" s="210"/>
      <c r="O160" s="210"/>
      <c r="P160" s="200"/>
      <c r="Q160" s="200"/>
      <c r="R160" s="200"/>
      <c r="T160" s="159">
        <f t="shared" si="66"/>
        <v>51</v>
      </c>
      <c r="U160" s="80"/>
      <c r="V160" s="153" t="str">
        <f t="shared" si="67"/>
        <v>DISTRIBUTION CAPITAL INVESTMENT RIDER (DCI)</v>
      </c>
      <c r="W160" s="80"/>
      <c r="X160" s="80"/>
      <c r="Y160" s="230"/>
      <c r="Z160" s="85"/>
      <c r="AA160" s="230"/>
      <c r="AB160" s="79"/>
      <c r="AC160" s="401">
        <f>CUR_DCI_SL</f>
        <v>0</v>
      </c>
      <c r="AD160" s="352"/>
      <c r="AE160" s="230">
        <f t="shared" si="68"/>
        <v>0</v>
      </c>
      <c r="AF160" s="79"/>
      <c r="AG160" s="197">
        <f t="shared" si="69"/>
        <v>0</v>
      </c>
      <c r="AH160" s="156"/>
      <c r="AI160" s="230">
        <f t="shared" si="70"/>
        <v>0</v>
      </c>
      <c r="AJ160" s="79"/>
      <c r="AK160" s="197">
        <f t="shared" ref="AK160:AK161" si="72">IF(AE160=0,0,ROUND((AI160/AE160)*100,1))</f>
        <v>0</v>
      </c>
      <c r="AL160" s="158"/>
      <c r="AM160" s="163"/>
      <c r="AN160" s="79"/>
      <c r="AO160" s="230">
        <f t="shared" si="71"/>
        <v>0</v>
      </c>
      <c r="AP160" s="79"/>
      <c r="AQ160" s="155">
        <f t="shared" ref="AQ160:AQ161" si="73">IF(AO160=0,0,ROUND((AI160/AO160)*100,1))</f>
        <v>0</v>
      </c>
    </row>
    <row r="161" spans="1:43" ht="15.75" customHeight="1" x14ac:dyDescent="0.25">
      <c r="A161" s="202"/>
      <c r="C161" s="154"/>
      <c r="F161" s="200"/>
      <c r="H161" s="200"/>
      <c r="I161" s="200"/>
      <c r="J161" s="305"/>
      <c r="K161" s="305"/>
      <c r="L161" s="200"/>
      <c r="M161" s="200"/>
      <c r="N161" s="210"/>
      <c r="O161" s="210"/>
      <c r="P161" s="200"/>
      <c r="Q161" s="200"/>
      <c r="R161" s="200"/>
      <c r="T161" s="159">
        <f t="shared" si="66"/>
        <v>52</v>
      </c>
      <c r="U161" s="80"/>
      <c r="V161" s="153" t="str">
        <f t="shared" si="67"/>
        <v>FERC TRANSMISSION COST RECOVERY RECONCILIATION (FTR)</v>
      </c>
      <c r="W161" s="80"/>
      <c r="X161" s="80"/>
      <c r="Y161" s="230"/>
      <c r="Z161" s="85"/>
      <c r="AA161" s="230"/>
      <c r="AB161" s="79"/>
      <c r="AC161" s="401">
        <f>CUR_FTR_SL</f>
        <v>0</v>
      </c>
      <c r="AD161" s="352"/>
      <c r="AE161" s="230">
        <f t="shared" si="68"/>
        <v>0</v>
      </c>
      <c r="AF161" s="79"/>
      <c r="AG161" s="197">
        <f t="shared" si="69"/>
        <v>0</v>
      </c>
      <c r="AH161" s="156"/>
      <c r="AI161" s="230">
        <f t="shared" si="70"/>
        <v>0</v>
      </c>
      <c r="AJ161" s="79"/>
      <c r="AK161" s="197">
        <f t="shared" si="72"/>
        <v>0</v>
      </c>
      <c r="AL161" s="158"/>
      <c r="AM161" s="163"/>
      <c r="AN161" s="79"/>
      <c r="AO161" s="230">
        <f t="shared" si="71"/>
        <v>0</v>
      </c>
      <c r="AP161" s="79"/>
      <c r="AQ161" s="155">
        <f t="shared" si="73"/>
        <v>0</v>
      </c>
    </row>
    <row r="162" spans="1:43" ht="15.75" customHeight="1" x14ac:dyDescent="0.25">
      <c r="A162" s="202"/>
      <c r="C162" s="154"/>
      <c r="F162" s="200"/>
      <c r="H162" s="200"/>
      <c r="I162" s="200"/>
      <c r="J162" s="305"/>
      <c r="K162" s="305"/>
      <c r="L162" s="200"/>
      <c r="M162" s="200"/>
      <c r="N162" s="210"/>
      <c r="O162" s="210"/>
      <c r="P162" s="200"/>
      <c r="Q162" s="200"/>
      <c r="R162" s="200"/>
      <c r="T162" s="159">
        <f t="shared" si="66"/>
        <v>53</v>
      </c>
      <c r="U162" s="80"/>
      <c r="V162" s="153" t="str">
        <f>C76</f>
        <v>PROFIT SHARING MECHANISM (PSM)</v>
      </c>
      <c r="W162" s="80"/>
      <c r="X162" s="80"/>
      <c r="Y162" s="230"/>
      <c r="Z162" s="85"/>
      <c r="AA162" s="230"/>
      <c r="AB162" s="79"/>
      <c r="AC162" s="288">
        <f>RS_PSM</f>
        <v>-4.5600000000000003E-4</v>
      </c>
      <c r="AD162" s="352"/>
      <c r="AE162" s="230">
        <f>ROUND($AA$156*AC162,0)</f>
        <v>-63</v>
      </c>
      <c r="AF162" s="79"/>
      <c r="AG162" s="166">
        <f t="shared" ref="AG162:AG163" si="74">ROUND((AE162/AE$165)*100,1)</f>
        <v>-0.4</v>
      </c>
      <c r="AH162" s="156"/>
      <c r="AI162" s="79">
        <f>L76-AE162</f>
        <v>0</v>
      </c>
      <c r="AJ162" s="79"/>
      <c r="AK162" s="166">
        <f t="shared" ref="AK162:AK163" si="75">ROUND((AI162/AE162)*100,1)</f>
        <v>0</v>
      </c>
      <c r="AL162" s="158"/>
      <c r="AM162" s="167"/>
      <c r="AN162" s="79"/>
      <c r="AO162" s="167">
        <f t="shared" ref="AO162" si="76">AE162+AM162</f>
        <v>-63</v>
      </c>
      <c r="AP162" s="79"/>
      <c r="AQ162" s="155">
        <f t="shared" ref="AQ162:AQ163" si="77">ROUND((AI162/AO162)*100,1)</f>
        <v>0</v>
      </c>
    </row>
    <row r="163" spans="1:43" ht="20.100000000000001" customHeight="1" x14ac:dyDescent="0.25">
      <c r="A163" s="202"/>
      <c r="C163" s="154"/>
      <c r="F163" s="200"/>
      <c r="H163" s="200"/>
      <c r="I163" s="200"/>
      <c r="J163" s="305"/>
      <c r="K163" s="305"/>
      <c r="L163" s="200"/>
      <c r="M163" s="200"/>
      <c r="N163" s="210"/>
      <c r="O163" s="210"/>
      <c r="P163" s="200"/>
      <c r="Q163" s="200"/>
      <c r="R163" s="200"/>
      <c r="T163" s="159">
        <f t="shared" si="66"/>
        <v>54</v>
      </c>
      <c r="U163" s="80"/>
      <c r="V163" s="253" t="s">
        <v>585</v>
      </c>
      <c r="W163" s="80"/>
      <c r="X163" s="80"/>
      <c r="Y163" s="286"/>
      <c r="Z163" s="85"/>
      <c r="AA163" s="286"/>
      <c r="AB163" s="79"/>
      <c r="AC163" s="349"/>
      <c r="AD163" s="352"/>
      <c r="AE163" s="126">
        <f>SUM(AE159:AE162)</f>
        <v>-63</v>
      </c>
      <c r="AF163" s="79"/>
      <c r="AG163" s="170">
        <f t="shared" si="74"/>
        <v>-0.4</v>
      </c>
      <c r="AH163" s="156"/>
      <c r="AI163" s="126">
        <f>SUM(AI159:AI162)</f>
        <v>0</v>
      </c>
      <c r="AJ163" s="79"/>
      <c r="AK163" s="170">
        <f t="shared" si="75"/>
        <v>0</v>
      </c>
      <c r="AL163" s="158"/>
      <c r="AM163" s="169"/>
      <c r="AN163" s="79"/>
      <c r="AO163" s="126">
        <f>SUM(AO159:AO162)</f>
        <v>-63</v>
      </c>
      <c r="AP163" s="79"/>
      <c r="AQ163" s="155">
        <f t="shared" si="77"/>
        <v>0</v>
      </c>
    </row>
    <row r="164" spans="1:43" ht="15.75" customHeight="1" x14ac:dyDescent="0.25">
      <c r="A164" s="202"/>
      <c r="C164" s="154"/>
      <c r="F164" s="200"/>
      <c r="H164" s="200"/>
      <c r="I164" s="200"/>
      <c r="J164" s="305"/>
      <c r="K164" s="305"/>
      <c r="L164" s="200"/>
      <c r="M164" s="200"/>
      <c r="N164" s="210"/>
      <c r="O164" s="210"/>
      <c r="P164" s="200"/>
      <c r="Q164" s="200"/>
      <c r="R164" s="200"/>
      <c r="T164" s="159"/>
      <c r="U164" s="80"/>
      <c r="V164" s="253"/>
      <c r="W164" s="258"/>
      <c r="X164" s="80"/>
      <c r="Y164" s="230"/>
      <c r="Z164" s="85"/>
      <c r="AA164" s="230"/>
      <c r="AB164" s="79"/>
      <c r="AC164" s="349"/>
      <c r="AD164" s="352"/>
      <c r="AE164" s="230"/>
      <c r="AF164" s="79"/>
      <c r="AG164" s="197"/>
      <c r="AH164" s="156"/>
      <c r="AI164" s="230"/>
      <c r="AJ164" s="79"/>
      <c r="AK164" s="197"/>
      <c r="AL164" s="158"/>
      <c r="AM164" s="163"/>
      <c r="AN164" s="79"/>
      <c r="AO164" s="230"/>
      <c r="AP164" s="79"/>
      <c r="AQ164" s="155"/>
    </row>
    <row r="165" spans="1:43" ht="20.100000000000001" customHeight="1" thickBot="1" x14ac:dyDescent="0.3">
      <c r="A165" s="202"/>
      <c r="C165" s="154"/>
      <c r="F165" s="200"/>
      <c r="H165" s="252"/>
      <c r="I165" s="252"/>
      <c r="J165" s="329"/>
      <c r="K165" s="329"/>
      <c r="L165" s="200"/>
      <c r="M165" s="200"/>
      <c r="N165" s="210"/>
      <c r="O165" s="210"/>
      <c r="P165" s="200"/>
      <c r="Q165" s="200"/>
      <c r="R165" s="200"/>
      <c r="T165" s="159">
        <f>A79</f>
        <v>55</v>
      </c>
      <c r="U165" s="80"/>
      <c r="V165" s="253" t="s">
        <v>590</v>
      </c>
      <c r="W165" s="80"/>
      <c r="X165" s="80"/>
      <c r="Y165" s="275">
        <f>Y156</f>
        <v>1382</v>
      </c>
      <c r="Z165" s="79"/>
      <c r="AA165" s="275">
        <f>AA156</f>
        <v>138105</v>
      </c>
      <c r="AB165" s="79"/>
      <c r="AC165" s="377"/>
      <c r="AD165" s="339"/>
      <c r="AE165" s="275">
        <f>AE163+AE156</f>
        <v>16679</v>
      </c>
      <c r="AF165" s="79"/>
      <c r="AG165" s="291">
        <v>100</v>
      </c>
      <c r="AH165" s="156"/>
      <c r="AI165" s="275">
        <f>AI163+AI156</f>
        <v>1989</v>
      </c>
      <c r="AJ165" s="79"/>
      <c r="AK165" s="291">
        <f>ROUND((AI165/AE165)*100,1)</f>
        <v>11.9</v>
      </c>
      <c r="AL165" s="158"/>
      <c r="AM165" s="444">
        <f>ROUND(AA165*CUR_FAC,0)</f>
        <v>142</v>
      </c>
      <c r="AN165" s="78"/>
      <c r="AO165" s="275">
        <f>AO163+AO156</f>
        <v>16821</v>
      </c>
      <c r="AP165" s="79"/>
      <c r="AQ165" s="155">
        <f>ROUND((AI165/AO165)*100,1)</f>
        <v>11.8</v>
      </c>
    </row>
    <row r="166" spans="1:43" ht="17.25" customHeight="1" thickTop="1" x14ac:dyDescent="0.25">
      <c r="A166" s="202"/>
      <c r="C166" s="154"/>
      <c r="F166" s="200"/>
      <c r="H166" s="252"/>
      <c r="I166" s="252"/>
      <c r="J166" s="329"/>
      <c r="K166" s="329"/>
      <c r="L166" s="200"/>
      <c r="M166" s="200"/>
      <c r="N166" s="210"/>
      <c r="O166" s="210"/>
      <c r="P166" s="200"/>
      <c r="Q166" s="200"/>
      <c r="R166" s="200"/>
      <c r="T166" s="159"/>
      <c r="U166" s="80"/>
      <c r="V166" s="82"/>
      <c r="W166" s="80"/>
      <c r="X166" s="80"/>
      <c r="Y166" s="163"/>
      <c r="Z166" s="79"/>
      <c r="AA166" s="163"/>
      <c r="AB166" s="79"/>
      <c r="AC166" s="377"/>
      <c r="AD166" s="339"/>
      <c r="AE166" s="163"/>
      <c r="AF166" s="79"/>
      <c r="AG166" s="197"/>
      <c r="AH166" s="156"/>
      <c r="AI166" s="163"/>
      <c r="AJ166" s="79"/>
      <c r="AK166" s="197"/>
      <c r="AL166" s="158"/>
      <c r="AM166" s="230"/>
      <c r="AN166" s="78"/>
      <c r="AO166" s="163"/>
      <c r="AP166" s="79"/>
      <c r="AQ166" s="155"/>
    </row>
    <row r="167" spans="1:43" x14ac:dyDescent="0.25">
      <c r="A167" s="202"/>
      <c r="C167" s="154"/>
      <c r="F167" s="200"/>
      <c r="H167" s="200"/>
      <c r="I167" s="200"/>
      <c r="J167" s="213"/>
      <c r="K167" s="213"/>
      <c r="L167" s="200"/>
      <c r="M167" s="200"/>
      <c r="N167" s="210"/>
      <c r="O167" s="210"/>
      <c r="P167" s="200"/>
      <c r="Q167" s="200"/>
      <c r="R167" s="200"/>
      <c r="T167" s="80"/>
      <c r="U167" s="80"/>
      <c r="V167" s="173" t="s">
        <v>80</v>
      </c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188"/>
      <c r="AH167" s="80"/>
      <c r="AI167" s="80"/>
      <c r="AJ167" s="80"/>
      <c r="AK167" s="188"/>
      <c r="AL167" s="80"/>
      <c r="AM167" s="80"/>
      <c r="AN167" s="80"/>
      <c r="AO167" s="80"/>
      <c r="AP167" s="80"/>
      <c r="AQ167" s="188"/>
    </row>
    <row r="168" spans="1:43" x14ac:dyDescent="0.25">
      <c r="A168" s="202"/>
      <c r="C168" s="154"/>
      <c r="F168" s="200"/>
      <c r="H168" s="200"/>
      <c r="I168" s="200"/>
      <c r="J168" s="213"/>
      <c r="K168" s="213"/>
      <c r="L168" s="200"/>
      <c r="M168" s="200"/>
      <c r="N168" s="210"/>
      <c r="O168" s="210"/>
      <c r="P168" s="200"/>
      <c r="Q168" s="200"/>
      <c r="R168" s="200"/>
      <c r="T168" s="80"/>
      <c r="U168" s="80"/>
      <c r="V168" s="173" t="str">
        <f>"(2) REFLECTS FUEL COMPONENT OF "&amp;TEXT(CUR_FAC,"$0.000000;($0.000000)")&amp;" PER KWH."</f>
        <v>(2) REFLECTS FUEL COMPONENT OF $0.001028 PER KWH.</v>
      </c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188"/>
      <c r="AH168" s="80"/>
      <c r="AI168" s="80"/>
      <c r="AJ168" s="80"/>
      <c r="AK168" s="188"/>
      <c r="AL168" s="80"/>
      <c r="AM168" s="80"/>
      <c r="AN168" s="80"/>
      <c r="AO168" s="80"/>
      <c r="AP168" s="80"/>
      <c r="AQ168" s="188"/>
    </row>
    <row r="169" spans="1:43" x14ac:dyDescent="0.25">
      <c r="A169" s="202"/>
      <c r="C169" s="154"/>
      <c r="F169" s="200"/>
      <c r="H169" s="252"/>
      <c r="I169" s="252"/>
      <c r="J169" s="320"/>
      <c r="K169" s="320"/>
      <c r="L169" s="200"/>
      <c r="M169" s="200"/>
      <c r="N169" s="210"/>
      <c r="O169" s="210"/>
      <c r="P169" s="200"/>
      <c r="Q169" s="200"/>
      <c r="R169" s="200"/>
      <c r="T169" s="82"/>
      <c r="U169" s="80"/>
      <c r="V169" s="173" t="str">
        <f>"(3) REFLECTS FUEL COST RECOVERY INCLUDED IN BASE RATES OF "&amp;TEXT(CUR_BASE_FUEL,"$0.000000;($0.000000)")&amp;"  PER KWH."</f>
        <v>(3) REFLECTS FUEL COST RECOVERY INCLUDED IN BASE RATES OF $0.023837  PER KWH.</v>
      </c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188"/>
      <c r="AH169" s="80"/>
      <c r="AI169" s="80"/>
      <c r="AJ169" s="80"/>
      <c r="AK169" s="188"/>
      <c r="AL169" s="80"/>
      <c r="AM169" s="80"/>
      <c r="AN169" s="80"/>
      <c r="AO169" s="80"/>
      <c r="AP169" s="80"/>
      <c r="AQ169" s="188"/>
    </row>
    <row r="170" spans="1:43" x14ac:dyDescent="0.25">
      <c r="F170" s="211"/>
      <c r="H170" s="211"/>
      <c r="I170" s="211"/>
      <c r="J170" s="305"/>
      <c r="K170" s="305"/>
      <c r="L170" s="211"/>
      <c r="M170" s="211"/>
      <c r="N170" s="211"/>
      <c r="O170" s="211"/>
      <c r="P170" s="211"/>
      <c r="Q170" s="211"/>
      <c r="R170" s="211"/>
      <c r="T170" s="202"/>
      <c r="V170" s="154"/>
      <c r="Y170" s="200"/>
      <c r="AA170" s="252"/>
      <c r="AB170" s="252"/>
      <c r="AC170" s="300"/>
      <c r="AD170" s="300"/>
      <c r="AE170" s="200"/>
      <c r="AF170" s="200"/>
      <c r="AG170" s="209"/>
      <c r="AH170" s="210"/>
      <c r="AI170" s="200"/>
      <c r="AJ170" s="200"/>
      <c r="AK170" s="209"/>
      <c r="AL170" s="201"/>
      <c r="AM170" s="202"/>
      <c r="AN170" s="202"/>
      <c r="AO170" s="200"/>
      <c r="AP170" s="200"/>
      <c r="AQ170" s="209"/>
    </row>
    <row r="171" spans="1:43" x14ac:dyDescent="0.25">
      <c r="F171" s="211"/>
      <c r="H171" s="211"/>
      <c r="I171" s="211"/>
      <c r="J171" s="305"/>
      <c r="K171" s="305"/>
      <c r="L171" s="211"/>
      <c r="M171" s="211"/>
      <c r="N171" s="211"/>
      <c r="O171" s="211"/>
      <c r="P171" s="211"/>
      <c r="Q171" s="211"/>
      <c r="R171" s="211"/>
      <c r="S171" s="200"/>
      <c r="T171" s="202"/>
      <c r="V171" s="154"/>
      <c r="Y171" s="252"/>
      <c r="AA171" s="252"/>
      <c r="AB171" s="252"/>
      <c r="AC171" s="328"/>
      <c r="AD171" s="328"/>
      <c r="AE171" s="200"/>
      <c r="AF171" s="200"/>
      <c r="AG171" s="209"/>
      <c r="AH171" s="210"/>
      <c r="AI171" s="200"/>
      <c r="AJ171" s="200"/>
      <c r="AK171" s="209"/>
      <c r="AL171" s="210"/>
      <c r="AM171" s="200"/>
      <c r="AN171" s="200"/>
      <c r="AO171" s="200"/>
      <c r="AP171" s="200"/>
      <c r="AQ171" s="209"/>
    </row>
    <row r="172" spans="1:43" x14ac:dyDescent="0.25">
      <c r="A172" s="202"/>
      <c r="C172" s="154"/>
      <c r="F172" s="252"/>
      <c r="H172" s="330"/>
      <c r="I172" s="330"/>
      <c r="J172" s="305"/>
      <c r="K172" s="305"/>
      <c r="L172" s="200"/>
      <c r="M172" s="200"/>
      <c r="N172" s="210"/>
      <c r="O172" s="210"/>
      <c r="P172" s="200"/>
      <c r="Q172" s="200"/>
      <c r="R172" s="200"/>
      <c r="S172" s="200"/>
      <c r="T172" s="202"/>
      <c r="V172" s="154"/>
      <c r="Y172" s="252"/>
      <c r="AA172" s="200"/>
      <c r="AB172" s="200"/>
      <c r="AC172" s="300"/>
      <c r="AD172" s="300"/>
      <c r="AE172" s="200"/>
      <c r="AF172" s="200"/>
      <c r="AG172" s="209"/>
      <c r="AH172" s="210"/>
      <c r="AI172" s="200"/>
      <c r="AJ172" s="200"/>
      <c r="AK172" s="209"/>
      <c r="AL172" s="201"/>
      <c r="AM172" s="200"/>
      <c r="AN172" s="200"/>
      <c r="AO172" s="200"/>
      <c r="AP172" s="200"/>
      <c r="AQ172" s="209"/>
    </row>
    <row r="173" spans="1:43" x14ac:dyDescent="0.25">
      <c r="T173" s="202"/>
      <c r="V173" s="154"/>
      <c r="Y173" s="252"/>
      <c r="AA173" s="200"/>
      <c r="AB173" s="200"/>
      <c r="AC173" s="300"/>
      <c r="AD173" s="300"/>
      <c r="AE173" s="200"/>
      <c r="AF173" s="200"/>
      <c r="AG173" s="209"/>
      <c r="AH173" s="210"/>
      <c r="AI173" s="200"/>
      <c r="AJ173" s="200"/>
      <c r="AK173" s="209"/>
      <c r="AL173" s="201"/>
      <c r="AM173" s="200"/>
      <c r="AN173" s="200"/>
      <c r="AO173" s="200"/>
      <c r="AP173" s="200"/>
      <c r="AQ173" s="209"/>
    </row>
    <row r="174" spans="1:43" x14ac:dyDescent="0.25">
      <c r="A174" s="202"/>
      <c r="C174" s="154"/>
      <c r="F174" s="252"/>
      <c r="H174" s="252"/>
      <c r="I174" s="252"/>
      <c r="J174" s="300"/>
      <c r="K174" s="300"/>
      <c r="L174" s="200"/>
      <c r="M174" s="200"/>
      <c r="N174" s="210"/>
      <c r="O174" s="210"/>
      <c r="P174" s="202"/>
      <c r="Q174" s="202"/>
      <c r="R174" s="200"/>
      <c r="T174" s="202"/>
      <c r="V174" s="154"/>
      <c r="Y174" s="200"/>
      <c r="AA174" s="200"/>
      <c r="AB174" s="200"/>
      <c r="AC174" s="213"/>
      <c r="AD174" s="213"/>
      <c r="AE174" s="200"/>
      <c r="AF174" s="200"/>
      <c r="AG174" s="209"/>
      <c r="AH174" s="210"/>
      <c r="AI174" s="200"/>
      <c r="AJ174" s="200"/>
      <c r="AK174" s="209"/>
      <c r="AL174" s="201"/>
      <c r="AM174" s="200"/>
      <c r="AN174" s="200"/>
      <c r="AO174" s="200"/>
      <c r="AP174" s="200"/>
      <c r="AQ174" s="209"/>
    </row>
    <row r="175" spans="1:43" x14ac:dyDescent="0.25">
      <c r="A175" s="202"/>
      <c r="C175" s="154"/>
      <c r="F175" s="252"/>
      <c r="H175" s="252"/>
      <c r="I175" s="252"/>
      <c r="J175" s="300"/>
      <c r="K175" s="300"/>
      <c r="L175" s="200"/>
      <c r="M175" s="200"/>
      <c r="N175" s="210"/>
      <c r="O175" s="210"/>
      <c r="P175" s="202"/>
      <c r="Q175" s="202"/>
      <c r="R175" s="200"/>
      <c r="T175" s="202"/>
      <c r="V175" s="154"/>
      <c r="Y175" s="200"/>
      <c r="AA175" s="200"/>
      <c r="AB175" s="200"/>
      <c r="AC175" s="213"/>
      <c r="AD175" s="213"/>
      <c r="AE175" s="200"/>
      <c r="AF175" s="200"/>
      <c r="AG175" s="209"/>
      <c r="AH175" s="210"/>
      <c r="AI175" s="200"/>
      <c r="AJ175" s="200"/>
      <c r="AK175" s="209"/>
      <c r="AL175" s="201"/>
      <c r="AM175" s="200"/>
      <c r="AN175" s="200"/>
      <c r="AO175" s="200"/>
      <c r="AP175" s="200"/>
      <c r="AQ175" s="209"/>
    </row>
    <row r="176" spans="1:43" x14ac:dyDescent="0.25">
      <c r="F176" s="211"/>
      <c r="H176" s="200"/>
      <c r="I176" s="200"/>
      <c r="J176" s="305"/>
      <c r="K176" s="305"/>
      <c r="L176" s="211"/>
      <c r="M176" s="211"/>
      <c r="N176" s="211"/>
      <c r="O176" s="211"/>
      <c r="P176" s="211"/>
      <c r="Q176" s="211"/>
      <c r="R176" s="211"/>
      <c r="T176" s="202"/>
      <c r="V176" s="154"/>
      <c r="Y176" s="200"/>
      <c r="AA176" s="200"/>
      <c r="AB176" s="200"/>
      <c r="AC176" s="304"/>
      <c r="AD176" s="304"/>
      <c r="AE176" s="200"/>
      <c r="AF176" s="200"/>
      <c r="AG176" s="209"/>
      <c r="AH176" s="210"/>
      <c r="AI176" s="200"/>
      <c r="AJ176" s="200"/>
      <c r="AK176" s="209"/>
      <c r="AL176" s="201"/>
      <c r="AM176" s="200"/>
      <c r="AN176" s="200"/>
      <c r="AO176" s="200"/>
      <c r="AP176" s="200"/>
      <c r="AQ176" s="209"/>
    </row>
    <row r="177" spans="1:43" x14ac:dyDescent="0.25">
      <c r="F177" s="211"/>
      <c r="H177" s="200"/>
      <c r="I177" s="200"/>
      <c r="J177" s="305"/>
      <c r="K177" s="305"/>
      <c r="L177" s="211"/>
      <c r="M177" s="211"/>
      <c r="N177" s="211"/>
      <c r="O177" s="211"/>
      <c r="P177" s="211"/>
      <c r="Q177" s="211"/>
      <c r="R177" s="211"/>
    </row>
    <row r="178" spans="1:43" x14ac:dyDescent="0.25">
      <c r="A178" s="202"/>
      <c r="C178" s="154"/>
      <c r="F178" s="252"/>
      <c r="H178" s="252"/>
      <c r="I178" s="252"/>
      <c r="J178" s="328"/>
      <c r="K178" s="328"/>
      <c r="L178" s="200"/>
      <c r="M178" s="200"/>
      <c r="N178" s="210"/>
      <c r="O178" s="210"/>
      <c r="P178" s="200"/>
      <c r="Q178" s="200"/>
      <c r="R178" s="200"/>
      <c r="S178" s="200"/>
      <c r="T178" s="202"/>
      <c r="V178" s="154"/>
      <c r="Y178" s="200"/>
      <c r="AA178" s="200"/>
      <c r="AB178" s="200"/>
      <c r="AC178" s="305"/>
      <c r="AD178" s="305"/>
      <c r="AE178" s="200"/>
      <c r="AF178" s="200"/>
      <c r="AG178" s="209"/>
      <c r="AH178" s="210"/>
      <c r="AI178" s="200"/>
      <c r="AJ178" s="200"/>
      <c r="AK178" s="209"/>
      <c r="AL178" s="210"/>
      <c r="AM178" s="200"/>
      <c r="AN178" s="200"/>
      <c r="AO178" s="200"/>
      <c r="AP178" s="200"/>
      <c r="AQ178" s="209"/>
    </row>
    <row r="179" spans="1:43" x14ac:dyDescent="0.25">
      <c r="A179" s="202"/>
      <c r="C179" s="154"/>
      <c r="F179" s="252"/>
      <c r="H179" s="252"/>
      <c r="I179" s="252"/>
      <c r="J179" s="300"/>
      <c r="K179" s="300"/>
      <c r="L179" s="200"/>
      <c r="M179" s="200"/>
      <c r="N179" s="210"/>
      <c r="O179" s="210"/>
      <c r="P179" s="200"/>
      <c r="Q179" s="200"/>
      <c r="R179" s="200"/>
      <c r="T179" s="202"/>
      <c r="V179" s="154"/>
    </row>
    <row r="180" spans="1:43" x14ac:dyDescent="0.25">
      <c r="F180" s="200"/>
      <c r="H180" s="211"/>
      <c r="I180" s="211"/>
      <c r="J180" s="305"/>
      <c r="K180" s="305"/>
      <c r="L180" s="211"/>
      <c r="M180" s="211"/>
      <c r="N180" s="211"/>
      <c r="O180" s="211"/>
      <c r="P180" s="211"/>
      <c r="Q180" s="211"/>
      <c r="R180" s="211"/>
      <c r="T180" s="202"/>
      <c r="V180" s="154"/>
      <c r="Y180" s="200"/>
      <c r="AA180" s="200"/>
      <c r="AB180" s="200"/>
      <c r="AE180" s="200"/>
      <c r="AF180" s="200"/>
      <c r="AG180" s="209"/>
      <c r="AH180" s="210"/>
      <c r="AI180" s="200"/>
      <c r="AJ180" s="200"/>
      <c r="AK180" s="209"/>
      <c r="AL180" s="210"/>
      <c r="AM180" s="252"/>
      <c r="AN180" s="252"/>
      <c r="AO180" s="200"/>
      <c r="AP180" s="200"/>
      <c r="AQ180" s="209"/>
    </row>
    <row r="181" spans="1:43" x14ac:dyDescent="0.25">
      <c r="F181" s="200"/>
      <c r="H181" s="211"/>
      <c r="I181" s="211"/>
      <c r="J181" s="305"/>
      <c r="K181" s="305"/>
      <c r="L181" s="211"/>
      <c r="M181" s="211"/>
      <c r="N181" s="211"/>
      <c r="O181" s="211"/>
      <c r="P181" s="211"/>
      <c r="Q181" s="211"/>
      <c r="R181" s="211"/>
    </row>
    <row r="182" spans="1:43" x14ac:dyDescent="0.25">
      <c r="A182" s="202"/>
      <c r="C182" s="154"/>
      <c r="F182" s="200"/>
      <c r="H182" s="200"/>
      <c r="I182" s="200"/>
      <c r="J182" s="305"/>
      <c r="K182" s="305"/>
      <c r="L182" s="200"/>
      <c r="M182" s="200"/>
      <c r="N182" s="200"/>
      <c r="O182" s="200"/>
      <c r="P182" s="200"/>
      <c r="Q182" s="200"/>
      <c r="R182" s="200"/>
      <c r="V182" s="154"/>
      <c r="AE182" s="200"/>
      <c r="AF182" s="200"/>
      <c r="AG182" s="209"/>
      <c r="AH182" s="200"/>
      <c r="AM182" s="200"/>
      <c r="AN182" s="200"/>
      <c r="AO182" s="200"/>
      <c r="AP182" s="200"/>
    </row>
    <row r="183" spans="1:43" x14ac:dyDescent="0.25">
      <c r="A183" s="202"/>
      <c r="C183" s="154"/>
      <c r="F183" s="200"/>
      <c r="H183" s="252"/>
      <c r="I183" s="252"/>
      <c r="J183" s="329"/>
      <c r="K183" s="329"/>
      <c r="L183" s="200"/>
      <c r="M183" s="200"/>
      <c r="N183" s="210"/>
      <c r="O183" s="210"/>
      <c r="P183" s="200"/>
      <c r="Q183" s="200"/>
      <c r="R183" s="200"/>
      <c r="T183" s="154"/>
    </row>
    <row r="184" spans="1:43" x14ac:dyDescent="0.25">
      <c r="A184" s="202"/>
      <c r="C184" s="154"/>
      <c r="H184" s="252"/>
      <c r="I184" s="252"/>
      <c r="J184" s="329"/>
      <c r="K184" s="329"/>
      <c r="L184" s="200"/>
      <c r="M184" s="200"/>
      <c r="N184" s="210"/>
      <c r="O184" s="210"/>
      <c r="P184" s="200"/>
      <c r="Q184" s="200"/>
      <c r="R184" s="200"/>
      <c r="T184" s="154"/>
      <c r="V184" s="252"/>
      <c r="Y184" s="252"/>
      <c r="Z184" s="328"/>
      <c r="AA184" s="200"/>
      <c r="AB184" s="200"/>
      <c r="AC184" s="210"/>
      <c r="AD184" s="210"/>
      <c r="AE184" s="200"/>
      <c r="AF184" s="200"/>
      <c r="AG184" s="209"/>
      <c r="AH184" s="210"/>
      <c r="AI184" s="200"/>
      <c r="AJ184" s="200"/>
      <c r="AK184" s="209"/>
      <c r="AL184" s="200"/>
      <c r="AM184" s="210"/>
      <c r="AN184" s="210"/>
    </row>
    <row r="185" spans="1:43" x14ac:dyDescent="0.25">
      <c r="F185" s="200"/>
      <c r="H185" s="200"/>
      <c r="I185" s="200"/>
      <c r="J185" s="305"/>
      <c r="K185" s="305"/>
      <c r="L185" s="211"/>
      <c r="M185" s="211"/>
      <c r="N185" s="211"/>
      <c r="O185" s="211"/>
      <c r="P185" s="211"/>
      <c r="Q185" s="211"/>
      <c r="R185" s="211"/>
      <c r="T185" s="154"/>
      <c r="V185" s="252"/>
      <c r="Y185" s="200"/>
      <c r="Z185" s="300"/>
      <c r="AA185" s="200"/>
      <c r="AB185" s="200"/>
      <c r="AC185" s="210"/>
      <c r="AD185" s="210"/>
      <c r="AE185" s="200"/>
      <c r="AF185" s="200"/>
      <c r="AG185" s="209"/>
      <c r="AH185" s="201"/>
      <c r="AI185" s="200"/>
      <c r="AJ185" s="200"/>
      <c r="AK185" s="209"/>
      <c r="AL185" s="200"/>
      <c r="AM185" s="210"/>
      <c r="AN185" s="210"/>
    </row>
    <row r="186" spans="1:43" x14ac:dyDescent="0.25">
      <c r="A186" s="202"/>
      <c r="C186" s="154"/>
      <c r="F186" s="200"/>
      <c r="H186" s="200"/>
      <c r="I186" s="200"/>
      <c r="J186" s="213"/>
      <c r="K186" s="213"/>
      <c r="L186" s="200"/>
      <c r="M186" s="200"/>
      <c r="N186" s="210"/>
      <c r="O186" s="210"/>
      <c r="P186" s="200"/>
      <c r="Q186" s="200"/>
      <c r="R186" s="200"/>
      <c r="T186" s="154"/>
      <c r="V186" s="252"/>
      <c r="Y186" s="200"/>
      <c r="Z186" s="300"/>
      <c r="AA186" s="200"/>
      <c r="AB186" s="200"/>
      <c r="AC186" s="210"/>
      <c r="AD186" s="210"/>
      <c r="AE186" s="200"/>
      <c r="AF186" s="200"/>
      <c r="AG186" s="209"/>
      <c r="AH186" s="201"/>
      <c r="AI186" s="200"/>
      <c r="AJ186" s="200"/>
      <c r="AK186" s="209"/>
      <c r="AL186" s="200"/>
      <c r="AM186" s="210"/>
      <c r="AN186" s="210"/>
    </row>
    <row r="187" spans="1:43" x14ac:dyDescent="0.25">
      <c r="F187" s="200"/>
      <c r="H187" s="200"/>
      <c r="I187" s="200"/>
      <c r="J187" s="305"/>
      <c r="K187" s="305"/>
      <c r="L187" s="211"/>
      <c r="M187" s="211"/>
      <c r="N187" s="211"/>
      <c r="O187" s="211"/>
      <c r="P187" s="211"/>
      <c r="Q187" s="211"/>
      <c r="R187" s="211"/>
      <c r="V187" s="200"/>
      <c r="Y187" s="211"/>
      <c r="Z187" s="305"/>
      <c r="AA187" s="211"/>
      <c r="AB187" s="211"/>
      <c r="AC187" s="211"/>
      <c r="AD187" s="211"/>
      <c r="AE187" s="211"/>
      <c r="AF187" s="211"/>
      <c r="AI187" s="211"/>
      <c r="AJ187" s="211"/>
      <c r="AK187" s="212"/>
      <c r="AL187" s="211"/>
      <c r="AM187" s="210"/>
      <c r="AN187" s="210"/>
    </row>
    <row r="188" spans="1:43" x14ac:dyDescent="0.25">
      <c r="A188" s="202"/>
      <c r="C188" s="154"/>
      <c r="F188" s="200"/>
      <c r="H188" s="200"/>
      <c r="I188" s="200"/>
      <c r="J188" s="213"/>
      <c r="K188" s="213"/>
      <c r="L188" s="200"/>
      <c r="M188" s="200"/>
      <c r="N188" s="210"/>
      <c r="O188" s="210"/>
      <c r="P188" s="200"/>
      <c r="Q188" s="200"/>
      <c r="R188" s="200"/>
      <c r="T188" s="154"/>
      <c r="V188" s="200"/>
      <c r="Y188" s="200"/>
      <c r="Z188" s="305"/>
      <c r="AA188" s="200"/>
      <c r="AB188" s="200"/>
      <c r="AC188" s="210"/>
      <c r="AD188" s="210"/>
      <c r="AE188" s="200"/>
      <c r="AF188" s="200"/>
      <c r="AG188" s="209"/>
      <c r="AH188" s="201"/>
      <c r="AI188" s="200"/>
      <c r="AJ188" s="200"/>
      <c r="AK188" s="209"/>
      <c r="AL188" s="200"/>
      <c r="AM188" s="210"/>
      <c r="AN188" s="210"/>
    </row>
    <row r="189" spans="1:43" x14ac:dyDescent="0.25">
      <c r="A189" s="202"/>
      <c r="C189" s="154"/>
      <c r="F189" s="252"/>
      <c r="H189" s="252"/>
      <c r="I189" s="252"/>
      <c r="J189" s="320"/>
      <c r="K189" s="320"/>
      <c r="L189" s="200"/>
      <c r="M189" s="200"/>
      <c r="N189" s="210"/>
      <c r="O189" s="210"/>
      <c r="P189" s="200"/>
      <c r="Q189" s="200"/>
      <c r="R189" s="200"/>
      <c r="V189" s="200"/>
      <c r="Y189" s="211"/>
      <c r="Z189" s="305"/>
      <c r="AA189" s="211"/>
      <c r="AB189" s="211"/>
      <c r="AC189" s="211"/>
      <c r="AD189" s="211"/>
      <c r="AE189" s="211"/>
      <c r="AF189" s="211"/>
      <c r="AI189" s="211"/>
      <c r="AJ189" s="211"/>
      <c r="AK189" s="212"/>
      <c r="AL189" s="211"/>
      <c r="AM189" s="210"/>
      <c r="AN189" s="210"/>
    </row>
    <row r="190" spans="1:43" x14ac:dyDescent="0.25">
      <c r="F190" s="211"/>
      <c r="H190" s="211"/>
      <c r="I190" s="211"/>
      <c r="J190" s="305"/>
      <c r="K190" s="305"/>
      <c r="L190" s="211"/>
      <c r="M190" s="211"/>
      <c r="N190" s="211"/>
      <c r="O190" s="211"/>
      <c r="P190" s="211"/>
      <c r="Q190" s="211"/>
      <c r="R190" s="211"/>
      <c r="T190" s="154"/>
      <c r="V190" s="200"/>
      <c r="Y190" s="200"/>
      <c r="Z190" s="305"/>
      <c r="AA190" s="200"/>
      <c r="AB190" s="200"/>
      <c r="AC190" s="200"/>
      <c r="AD190" s="200"/>
      <c r="AE190" s="200"/>
      <c r="AF190" s="200"/>
      <c r="AG190" s="209"/>
      <c r="AH190" s="201"/>
      <c r="AI190" s="200"/>
      <c r="AJ190" s="200"/>
      <c r="AK190" s="209"/>
      <c r="AL190" s="200"/>
      <c r="AM190" s="210"/>
      <c r="AN190" s="210"/>
    </row>
    <row r="191" spans="1:43" x14ac:dyDescent="0.25">
      <c r="A191" s="202"/>
      <c r="C191" s="154"/>
      <c r="F191" s="200"/>
      <c r="H191" s="200"/>
      <c r="I191" s="200"/>
      <c r="J191" s="305"/>
      <c r="K191" s="305"/>
      <c r="L191" s="200"/>
      <c r="M191" s="200"/>
      <c r="N191" s="210"/>
      <c r="O191" s="210"/>
      <c r="P191" s="200"/>
      <c r="Q191" s="200"/>
      <c r="R191" s="200"/>
      <c r="S191" s="200"/>
      <c r="T191" s="154"/>
      <c r="V191" s="200"/>
      <c r="Y191" s="200"/>
      <c r="Z191" s="329"/>
      <c r="AA191" s="200"/>
      <c r="AB191" s="200"/>
      <c r="AC191" s="210"/>
      <c r="AD191" s="210"/>
      <c r="AE191" s="200"/>
      <c r="AF191" s="200"/>
      <c r="AG191" s="209"/>
      <c r="AH191" s="201"/>
      <c r="AI191" s="200"/>
      <c r="AJ191" s="200"/>
      <c r="AK191" s="209"/>
      <c r="AL191" s="200"/>
      <c r="AM191" s="210"/>
      <c r="AN191" s="210"/>
    </row>
    <row r="192" spans="1:43" x14ac:dyDescent="0.25">
      <c r="F192" s="211"/>
      <c r="H192" s="211"/>
      <c r="I192" s="211"/>
      <c r="J192" s="305"/>
      <c r="K192" s="305"/>
      <c r="L192" s="211"/>
      <c r="M192" s="211"/>
      <c r="N192" s="211"/>
      <c r="O192" s="211"/>
      <c r="P192" s="211"/>
      <c r="Q192" s="211"/>
      <c r="R192" s="211"/>
      <c r="S192" s="200"/>
      <c r="T192" s="154"/>
      <c r="Y192" s="200"/>
      <c r="Z192" s="329"/>
      <c r="AA192" s="200"/>
      <c r="AB192" s="200"/>
      <c r="AC192" s="210"/>
      <c r="AD192" s="210"/>
      <c r="AE192" s="200"/>
      <c r="AF192" s="200"/>
      <c r="AG192" s="209"/>
      <c r="AH192" s="201"/>
      <c r="AI192" s="200"/>
      <c r="AJ192" s="200"/>
      <c r="AK192" s="209"/>
      <c r="AL192" s="200"/>
      <c r="AM192" s="210"/>
      <c r="AN192" s="210"/>
    </row>
    <row r="193" spans="1:40" x14ac:dyDescent="0.25">
      <c r="A193" s="202"/>
      <c r="C193" s="154"/>
      <c r="V193" s="200"/>
      <c r="Y193" s="200"/>
      <c r="Z193" s="305"/>
      <c r="AA193" s="211"/>
      <c r="AB193" s="211"/>
      <c r="AC193" s="211"/>
      <c r="AD193" s="211"/>
      <c r="AE193" s="211"/>
      <c r="AF193" s="211"/>
      <c r="AI193" s="211"/>
      <c r="AJ193" s="211"/>
      <c r="AK193" s="212"/>
      <c r="AL193" s="211"/>
      <c r="AM193" s="210"/>
      <c r="AN193" s="210"/>
    </row>
    <row r="194" spans="1:40" x14ac:dyDescent="0.25">
      <c r="A194" s="202"/>
      <c r="C194" s="154"/>
      <c r="F194" s="200"/>
      <c r="H194" s="200"/>
      <c r="I194" s="200"/>
      <c r="L194" s="200"/>
      <c r="M194" s="200"/>
      <c r="N194" s="210"/>
      <c r="O194" s="210"/>
      <c r="P194" s="252"/>
      <c r="Q194" s="252"/>
      <c r="R194" s="200"/>
      <c r="T194" s="154"/>
      <c r="V194" s="200"/>
      <c r="Y194" s="200"/>
      <c r="Z194" s="213"/>
      <c r="AA194" s="200"/>
      <c r="AB194" s="200"/>
      <c r="AC194" s="210"/>
      <c r="AD194" s="210"/>
      <c r="AE194" s="200"/>
      <c r="AF194" s="200"/>
      <c r="AG194" s="209"/>
      <c r="AH194" s="201"/>
      <c r="AI194" s="200"/>
      <c r="AJ194" s="200"/>
      <c r="AK194" s="209"/>
      <c r="AL194" s="200"/>
      <c r="AM194" s="210"/>
      <c r="AN194" s="210"/>
    </row>
    <row r="195" spans="1:40" x14ac:dyDescent="0.25">
      <c r="F195" s="211"/>
      <c r="H195" s="211"/>
      <c r="I195" s="211"/>
      <c r="J195" s="305"/>
      <c r="K195" s="305"/>
      <c r="L195" s="211"/>
      <c r="M195" s="211"/>
      <c r="N195" s="211"/>
      <c r="O195" s="211"/>
      <c r="P195" s="211"/>
      <c r="Q195" s="211"/>
      <c r="R195" s="211"/>
      <c r="V195" s="200"/>
      <c r="Y195" s="200"/>
      <c r="Z195" s="305"/>
      <c r="AA195" s="211"/>
      <c r="AB195" s="211"/>
      <c r="AC195" s="211"/>
      <c r="AD195" s="211"/>
      <c r="AE195" s="211"/>
      <c r="AF195" s="211"/>
      <c r="AI195" s="211"/>
      <c r="AJ195" s="211"/>
      <c r="AK195" s="212"/>
      <c r="AL195" s="211"/>
      <c r="AM195" s="210"/>
      <c r="AN195" s="210"/>
    </row>
    <row r="196" spans="1:40" x14ac:dyDescent="0.25">
      <c r="T196" s="154"/>
      <c r="V196" s="200"/>
      <c r="Y196" s="200"/>
      <c r="Z196" s="213"/>
      <c r="AA196" s="200"/>
      <c r="AB196" s="200"/>
      <c r="AC196" s="210"/>
      <c r="AD196" s="210"/>
      <c r="AE196" s="200"/>
      <c r="AF196" s="200"/>
      <c r="AG196" s="209"/>
      <c r="AH196" s="201"/>
      <c r="AI196" s="200"/>
      <c r="AJ196" s="200"/>
      <c r="AK196" s="209"/>
      <c r="AL196" s="200"/>
      <c r="AM196" s="210"/>
      <c r="AN196" s="210"/>
    </row>
    <row r="197" spans="1:40" x14ac:dyDescent="0.25">
      <c r="C197" s="154"/>
      <c r="L197" s="200"/>
      <c r="M197" s="200"/>
      <c r="N197" s="200"/>
      <c r="O197" s="200"/>
      <c r="P197" s="200"/>
      <c r="Q197" s="200"/>
      <c r="R197" s="200"/>
      <c r="S197" s="200"/>
      <c r="T197" s="154"/>
      <c r="V197" s="252"/>
      <c r="Y197" s="200"/>
      <c r="Z197" s="320"/>
      <c r="AA197" s="200"/>
      <c r="AB197" s="200"/>
      <c r="AC197" s="210"/>
      <c r="AD197" s="210"/>
      <c r="AE197" s="200"/>
      <c r="AF197" s="200"/>
      <c r="AG197" s="209"/>
      <c r="AH197" s="201"/>
      <c r="AI197" s="200"/>
      <c r="AJ197" s="200"/>
      <c r="AK197" s="209"/>
      <c r="AL197" s="200"/>
      <c r="AM197" s="210"/>
      <c r="AN197" s="210"/>
    </row>
    <row r="198" spans="1:40" x14ac:dyDescent="0.25">
      <c r="A198" s="154"/>
      <c r="V198" s="211"/>
      <c r="Y198" s="211"/>
      <c r="Z198" s="305"/>
      <c r="AA198" s="211"/>
      <c r="AB198" s="211"/>
      <c r="AC198" s="211"/>
      <c r="AD198" s="211"/>
      <c r="AE198" s="211"/>
      <c r="AF198" s="211"/>
      <c r="AI198" s="211"/>
      <c r="AJ198" s="211"/>
      <c r="AK198" s="212"/>
      <c r="AL198" s="211"/>
      <c r="AM198" s="210"/>
      <c r="AN198" s="210"/>
    </row>
    <row r="199" spans="1:40" x14ac:dyDescent="0.25">
      <c r="J199" s="202"/>
      <c r="K199" s="202"/>
      <c r="T199" s="154"/>
      <c r="V199" s="200"/>
      <c r="Y199" s="200"/>
      <c r="Z199" s="305"/>
      <c r="AA199" s="200"/>
      <c r="AB199" s="200"/>
      <c r="AC199" s="210"/>
      <c r="AD199" s="210"/>
      <c r="AE199" s="200"/>
      <c r="AF199" s="200"/>
      <c r="AG199" s="209"/>
      <c r="AH199" s="210"/>
      <c r="AI199" s="200"/>
      <c r="AJ199" s="200"/>
      <c r="AK199" s="209"/>
      <c r="AL199" s="200"/>
      <c r="AM199" s="210"/>
      <c r="AN199" s="210"/>
    </row>
    <row r="200" spans="1:40" x14ac:dyDescent="0.25">
      <c r="H200" s="154"/>
      <c r="I200" s="154"/>
      <c r="V200" s="211"/>
      <c r="Y200" s="211"/>
      <c r="Z200" s="305"/>
      <c r="AA200" s="211"/>
      <c r="AB200" s="211"/>
      <c r="AC200" s="211"/>
      <c r="AD200" s="211"/>
      <c r="AE200" s="211"/>
      <c r="AF200" s="211"/>
      <c r="AI200" s="211"/>
      <c r="AJ200" s="211"/>
      <c r="AK200" s="212"/>
      <c r="AL200" s="211"/>
      <c r="AM200" s="210"/>
      <c r="AN200" s="210"/>
    </row>
    <row r="201" spans="1:40" x14ac:dyDescent="0.25">
      <c r="J201" s="202"/>
      <c r="K201" s="202"/>
      <c r="T201" s="154"/>
    </row>
    <row r="202" spans="1:40" x14ac:dyDescent="0.25">
      <c r="L202" s="154"/>
      <c r="M202" s="154"/>
      <c r="AA202" s="154"/>
      <c r="AB202" s="154"/>
    </row>
    <row r="203" spans="1:40" x14ac:dyDescent="0.25">
      <c r="A203" s="202"/>
      <c r="R203" s="154"/>
      <c r="AK203" s="297"/>
      <c r="AL203" s="154"/>
    </row>
    <row r="204" spans="1:40" x14ac:dyDescent="0.25">
      <c r="A204" s="202"/>
      <c r="R204" s="154"/>
      <c r="AK204" s="297"/>
      <c r="AL204" s="154"/>
    </row>
    <row r="205" spans="1:40" x14ac:dyDescent="0.25">
      <c r="A205" s="154"/>
      <c r="R205" s="154"/>
      <c r="AK205" s="297"/>
      <c r="AL205" s="154"/>
    </row>
    <row r="206" spans="1:40" x14ac:dyDescent="0.25">
      <c r="L206" s="154"/>
      <c r="M206" s="154"/>
      <c r="R206" s="202"/>
      <c r="AA206" s="154"/>
      <c r="AB206" s="154"/>
      <c r="AK206" s="209"/>
      <c r="AL206" s="202"/>
    </row>
    <row r="207" spans="1:40" x14ac:dyDescent="0.2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208"/>
      <c r="AH207" s="102"/>
      <c r="AI207" s="102"/>
      <c r="AJ207" s="102"/>
      <c r="AK207" s="208"/>
      <c r="AL207" s="102"/>
      <c r="AM207" s="102"/>
      <c r="AN207" s="102"/>
    </row>
    <row r="208" spans="1:40" x14ac:dyDescent="0.25">
      <c r="L208" s="103"/>
      <c r="M208" s="103"/>
      <c r="N208" s="103"/>
      <c r="O208" s="103"/>
      <c r="R208" s="103"/>
      <c r="AA208" s="103"/>
      <c r="AB208" s="103"/>
      <c r="AC208" s="103"/>
      <c r="AD208" s="103"/>
      <c r="AE208" s="103"/>
      <c r="AF208" s="103"/>
      <c r="AG208" s="185"/>
      <c r="AH208" s="103"/>
      <c r="AK208" s="185"/>
      <c r="AL208" s="103"/>
      <c r="AM208" s="103"/>
      <c r="AN208" s="103"/>
    </row>
    <row r="209" spans="1:40" x14ac:dyDescent="0.25">
      <c r="L209" s="103"/>
      <c r="M209" s="103"/>
      <c r="N209" s="103"/>
      <c r="O209" s="103"/>
      <c r="R209" s="103"/>
      <c r="Z209" s="103"/>
      <c r="AA209" s="103"/>
      <c r="AB209" s="103"/>
      <c r="AC209" s="103"/>
      <c r="AD209" s="103"/>
      <c r="AE209" s="103"/>
      <c r="AF209" s="103"/>
      <c r="AG209" s="185"/>
      <c r="AH209" s="103"/>
      <c r="AK209" s="185"/>
      <c r="AL209" s="103"/>
      <c r="AM209" s="103"/>
      <c r="AN209" s="103"/>
    </row>
    <row r="210" spans="1:40" x14ac:dyDescent="0.25">
      <c r="A210" s="103"/>
      <c r="C210" s="103"/>
      <c r="D210" s="103"/>
      <c r="E210" s="103"/>
      <c r="F210" s="103"/>
      <c r="J210" s="103"/>
      <c r="K210" s="103"/>
      <c r="L210" s="103"/>
      <c r="M210" s="103"/>
      <c r="N210" s="103"/>
      <c r="O210" s="103"/>
      <c r="P210" s="103"/>
      <c r="Q210" s="103"/>
      <c r="R210" s="103"/>
      <c r="T210" s="103"/>
      <c r="U210" s="103"/>
      <c r="V210" s="103"/>
      <c r="Z210" s="103"/>
      <c r="AA210" s="103"/>
      <c r="AB210" s="103"/>
      <c r="AC210" s="103"/>
      <c r="AD210" s="103"/>
      <c r="AE210" s="103"/>
      <c r="AF210" s="103"/>
      <c r="AG210" s="185"/>
      <c r="AH210" s="103"/>
      <c r="AI210" s="103"/>
      <c r="AJ210" s="103"/>
      <c r="AK210" s="185"/>
      <c r="AL210" s="103"/>
      <c r="AM210" s="103"/>
      <c r="AN210" s="103"/>
    </row>
    <row r="211" spans="1:40" x14ac:dyDescent="0.25">
      <c r="A211" s="103"/>
      <c r="C211" s="103"/>
      <c r="D211" s="103"/>
      <c r="E211" s="103"/>
      <c r="F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T211" s="103"/>
      <c r="U211" s="103"/>
      <c r="V211" s="103"/>
      <c r="Y211" s="103"/>
      <c r="Z211" s="103"/>
      <c r="AA211" s="103"/>
      <c r="AB211" s="103"/>
      <c r="AC211" s="103"/>
      <c r="AD211" s="103"/>
      <c r="AE211" s="103"/>
      <c r="AF211" s="103"/>
      <c r="AG211" s="185"/>
      <c r="AH211" s="103"/>
      <c r="AI211" s="103"/>
      <c r="AJ211" s="103"/>
      <c r="AK211" s="185"/>
      <c r="AL211" s="103"/>
      <c r="AM211" s="103"/>
      <c r="AN211" s="103"/>
    </row>
    <row r="212" spans="1:40" x14ac:dyDescent="0.25">
      <c r="C212" s="103"/>
      <c r="D212" s="103"/>
      <c r="E212" s="103"/>
      <c r="F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T212" s="103"/>
      <c r="U212" s="103"/>
      <c r="V212" s="103"/>
      <c r="Y212" s="103"/>
      <c r="Z212" s="103"/>
      <c r="AA212" s="103"/>
      <c r="AB212" s="103"/>
      <c r="AC212" s="103"/>
      <c r="AD212" s="103"/>
      <c r="AE212" s="103"/>
      <c r="AF212" s="103"/>
      <c r="AG212" s="185"/>
      <c r="AH212" s="103"/>
      <c r="AI212" s="103"/>
      <c r="AJ212" s="103"/>
      <c r="AK212" s="185"/>
      <c r="AL212" s="103"/>
      <c r="AM212" s="103"/>
      <c r="AN212" s="103"/>
    </row>
    <row r="213" spans="1:40" x14ac:dyDescent="0.2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208"/>
      <c r="AH213" s="102"/>
      <c r="AI213" s="102"/>
      <c r="AJ213" s="102"/>
      <c r="AK213" s="208"/>
      <c r="AL213" s="102"/>
      <c r="AM213" s="102"/>
      <c r="AN213" s="102"/>
    </row>
    <row r="214" spans="1:40" x14ac:dyDescent="0.25"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Y214" s="103"/>
      <c r="Z214" s="103"/>
      <c r="AA214" s="103"/>
      <c r="AB214" s="103"/>
      <c r="AC214" s="103"/>
      <c r="AD214" s="103"/>
      <c r="AE214" s="103"/>
      <c r="AF214" s="103"/>
      <c r="AG214" s="185"/>
      <c r="AH214" s="103"/>
      <c r="AI214" s="103"/>
      <c r="AJ214" s="103"/>
      <c r="AK214" s="185"/>
      <c r="AL214" s="103"/>
      <c r="AM214" s="103"/>
      <c r="AN214" s="103"/>
    </row>
    <row r="215" spans="1:40" x14ac:dyDescent="0.25">
      <c r="A215" s="202"/>
      <c r="C215" s="154"/>
      <c r="D215" s="154"/>
      <c r="E215" s="154"/>
      <c r="T215" s="154"/>
      <c r="U215" s="154"/>
    </row>
    <row r="216" spans="1:40" x14ac:dyDescent="0.25">
      <c r="A216" s="202"/>
      <c r="D216" s="154"/>
      <c r="E216" s="154"/>
      <c r="U216" s="154"/>
    </row>
    <row r="218" spans="1:40" x14ac:dyDescent="0.25">
      <c r="A218" s="202"/>
      <c r="C218" s="154"/>
      <c r="F218" s="252"/>
      <c r="H218" s="252"/>
      <c r="I218" s="252"/>
      <c r="J218" s="300"/>
      <c r="K218" s="300"/>
      <c r="L218" s="200"/>
      <c r="M218" s="200"/>
      <c r="N218" s="210"/>
      <c r="O218" s="210"/>
      <c r="R218" s="200"/>
      <c r="T218" s="154"/>
      <c r="V218" s="200"/>
      <c r="Y218" s="252"/>
      <c r="Z218" s="300"/>
      <c r="AA218" s="200"/>
      <c r="AB218" s="200"/>
      <c r="AC218" s="210"/>
      <c r="AD218" s="210"/>
      <c r="AE218" s="200"/>
      <c r="AF218" s="200"/>
      <c r="AG218" s="325"/>
      <c r="AH218" s="326"/>
      <c r="AK218" s="209"/>
      <c r="AL218" s="200"/>
      <c r="AM218" s="327"/>
      <c r="AN218" s="327"/>
    </row>
    <row r="219" spans="1:40" x14ac:dyDescent="0.25">
      <c r="A219" s="202"/>
      <c r="C219" s="154"/>
      <c r="F219" s="252"/>
      <c r="H219" s="252"/>
      <c r="I219" s="252"/>
      <c r="J219" s="300"/>
      <c r="K219" s="300"/>
      <c r="L219" s="200"/>
      <c r="M219" s="200"/>
      <c r="N219" s="210"/>
      <c r="O219" s="210"/>
      <c r="P219" s="202"/>
      <c r="Q219" s="202"/>
      <c r="R219" s="200"/>
      <c r="T219" s="154"/>
      <c r="V219" s="200"/>
      <c r="Y219" s="252"/>
      <c r="Z219" s="300"/>
      <c r="AA219" s="200"/>
      <c r="AB219" s="200"/>
      <c r="AC219" s="210"/>
      <c r="AD219" s="210"/>
      <c r="AE219" s="200"/>
      <c r="AF219" s="200"/>
      <c r="AG219" s="209"/>
      <c r="AH219" s="201"/>
      <c r="AI219" s="202"/>
      <c r="AJ219" s="202"/>
      <c r="AK219" s="209"/>
      <c r="AL219" s="200"/>
      <c r="AM219" s="210"/>
      <c r="AN219" s="210"/>
    </row>
    <row r="220" spans="1:40" x14ac:dyDescent="0.25">
      <c r="F220" s="211"/>
      <c r="H220" s="200"/>
      <c r="I220" s="200"/>
      <c r="J220" s="305"/>
      <c r="K220" s="305"/>
      <c r="L220" s="211"/>
      <c r="M220" s="211"/>
      <c r="N220" s="211"/>
      <c r="O220" s="211"/>
      <c r="P220" s="211"/>
      <c r="Q220" s="211"/>
      <c r="R220" s="211"/>
      <c r="V220" s="211"/>
      <c r="Y220" s="200"/>
      <c r="Z220" s="305"/>
      <c r="AA220" s="211"/>
      <c r="AB220" s="211"/>
      <c r="AC220" s="211"/>
      <c r="AD220" s="211"/>
      <c r="AE220" s="211"/>
      <c r="AF220" s="211"/>
      <c r="AI220" s="211"/>
      <c r="AJ220" s="211"/>
      <c r="AK220" s="212"/>
      <c r="AL220" s="211"/>
      <c r="AM220" s="210"/>
      <c r="AN220" s="210"/>
    </row>
    <row r="221" spans="1:40" x14ac:dyDescent="0.25">
      <c r="A221" s="202"/>
      <c r="C221" s="154"/>
      <c r="F221" s="200"/>
      <c r="H221" s="200"/>
      <c r="I221" s="200"/>
      <c r="J221" s="305"/>
      <c r="K221" s="305"/>
      <c r="L221" s="200"/>
      <c r="M221" s="200"/>
      <c r="N221" s="210"/>
      <c r="O221" s="210"/>
      <c r="P221" s="200"/>
      <c r="Q221" s="200"/>
      <c r="R221" s="200"/>
      <c r="T221" s="154"/>
      <c r="V221" s="200"/>
      <c r="Y221" s="200"/>
      <c r="Z221" s="213"/>
      <c r="AA221" s="200"/>
      <c r="AB221" s="200"/>
      <c r="AC221" s="210"/>
      <c r="AD221" s="210"/>
      <c r="AE221" s="200"/>
      <c r="AF221" s="200"/>
      <c r="AG221" s="209"/>
      <c r="AH221" s="201"/>
      <c r="AI221" s="200"/>
      <c r="AJ221" s="200"/>
      <c r="AK221" s="209"/>
      <c r="AL221" s="200"/>
      <c r="AM221" s="210"/>
      <c r="AN221" s="210"/>
    </row>
    <row r="222" spans="1:40" x14ac:dyDescent="0.25">
      <c r="F222" s="211"/>
      <c r="H222" s="200"/>
      <c r="I222" s="200"/>
      <c r="J222" s="305"/>
      <c r="K222" s="305"/>
      <c r="L222" s="211"/>
      <c r="M222" s="211"/>
      <c r="N222" s="211"/>
      <c r="O222" s="211"/>
      <c r="P222" s="211"/>
      <c r="Q222" s="211"/>
      <c r="R222" s="211"/>
      <c r="V222" s="211"/>
      <c r="Y222" s="200"/>
      <c r="Z222" s="305"/>
      <c r="AA222" s="211"/>
      <c r="AB222" s="211"/>
      <c r="AC222" s="211"/>
      <c r="AD222" s="211"/>
      <c r="AE222" s="211"/>
      <c r="AF222" s="211"/>
      <c r="AI222" s="211"/>
      <c r="AJ222" s="211"/>
      <c r="AK222" s="212"/>
      <c r="AL222" s="211"/>
      <c r="AM222" s="210"/>
      <c r="AN222" s="210"/>
    </row>
    <row r="223" spans="1:40" x14ac:dyDescent="0.25">
      <c r="F223" s="200"/>
      <c r="H223" s="200"/>
      <c r="I223" s="200"/>
      <c r="J223" s="305"/>
      <c r="K223" s="305"/>
      <c r="L223" s="200"/>
      <c r="M223" s="200"/>
      <c r="N223" s="210"/>
      <c r="O223" s="210"/>
      <c r="P223" s="200"/>
      <c r="Q223" s="200"/>
      <c r="R223" s="200"/>
      <c r="V223" s="200"/>
      <c r="Y223" s="200"/>
      <c r="Z223" s="213"/>
      <c r="AA223" s="200"/>
      <c r="AB223" s="200"/>
      <c r="AC223" s="210"/>
      <c r="AD223" s="210"/>
      <c r="AE223" s="200"/>
      <c r="AF223" s="200"/>
      <c r="AG223" s="209"/>
      <c r="AH223" s="201"/>
      <c r="AI223" s="200"/>
      <c r="AJ223" s="200"/>
      <c r="AK223" s="209"/>
      <c r="AL223" s="200"/>
      <c r="AM223" s="210"/>
      <c r="AN223" s="210"/>
    </row>
    <row r="224" spans="1:40" x14ac:dyDescent="0.25">
      <c r="A224" s="202"/>
      <c r="C224" s="154"/>
      <c r="F224" s="252"/>
      <c r="H224" s="252"/>
      <c r="I224" s="252"/>
      <c r="J224" s="300"/>
      <c r="K224" s="300"/>
      <c r="L224" s="200"/>
      <c r="M224" s="200"/>
      <c r="N224" s="210"/>
      <c r="O224" s="210"/>
      <c r="P224" s="200"/>
      <c r="Q224" s="200"/>
      <c r="R224" s="200"/>
      <c r="T224" s="154"/>
      <c r="V224" s="252"/>
      <c r="Y224" s="200"/>
      <c r="Z224" s="300"/>
      <c r="AA224" s="200"/>
      <c r="AB224" s="200"/>
      <c r="AC224" s="210"/>
      <c r="AD224" s="210"/>
      <c r="AE224" s="200"/>
      <c r="AF224" s="200"/>
      <c r="AG224" s="325"/>
      <c r="AH224" s="326"/>
      <c r="AI224" s="200"/>
      <c r="AJ224" s="200"/>
      <c r="AK224" s="209"/>
      <c r="AL224" s="200"/>
      <c r="AM224" s="327"/>
      <c r="AN224" s="327"/>
    </row>
    <row r="225" spans="1:40" x14ac:dyDescent="0.25">
      <c r="A225" s="202"/>
      <c r="C225" s="154"/>
      <c r="F225" s="252"/>
      <c r="H225" s="252"/>
      <c r="I225" s="252"/>
      <c r="J225" s="300"/>
      <c r="K225" s="300"/>
      <c r="L225" s="200"/>
      <c r="M225" s="200"/>
      <c r="N225" s="210"/>
      <c r="O225" s="210"/>
      <c r="P225" s="200"/>
      <c r="Q225" s="200"/>
      <c r="R225" s="200"/>
      <c r="T225" s="154"/>
      <c r="V225" s="252"/>
      <c r="Y225" s="200"/>
      <c r="Z225" s="300"/>
      <c r="AA225" s="200"/>
      <c r="AB225" s="200"/>
      <c r="AC225" s="210"/>
      <c r="AD225" s="210"/>
      <c r="AE225" s="200"/>
      <c r="AF225" s="200"/>
      <c r="AG225" s="209"/>
      <c r="AH225" s="201"/>
      <c r="AI225" s="200"/>
      <c r="AJ225" s="200"/>
      <c r="AK225" s="209"/>
      <c r="AL225" s="200"/>
      <c r="AM225" s="210"/>
      <c r="AN225" s="210"/>
    </row>
    <row r="226" spans="1:40" x14ac:dyDescent="0.25">
      <c r="F226" s="200"/>
      <c r="H226" s="211"/>
      <c r="I226" s="211"/>
      <c r="J226" s="305"/>
      <c r="K226" s="305"/>
      <c r="L226" s="211"/>
      <c r="M226" s="211"/>
      <c r="N226" s="211"/>
      <c r="O226" s="211"/>
      <c r="P226" s="211"/>
      <c r="Q226" s="211"/>
      <c r="R226" s="211"/>
      <c r="V226" s="200"/>
      <c r="Y226" s="211"/>
      <c r="Z226" s="305"/>
      <c r="AA226" s="211"/>
      <c r="AB226" s="211"/>
      <c r="AC226" s="211"/>
      <c r="AD226" s="211"/>
      <c r="AE226" s="211"/>
      <c r="AF226" s="211"/>
      <c r="AI226" s="211"/>
      <c r="AJ226" s="211"/>
      <c r="AK226" s="212"/>
      <c r="AL226" s="211"/>
      <c r="AM226" s="210"/>
      <c r="AN226" s="210"/>
    </row>
    <row r="227" spans="1:40" x14ac:dyDescent="0.25">
      <c r="A227" s="202"/>
      <c r="C227" s="154"/>
      <c r="F227" s="200"/>
      <c r="H227" s="200"/>
      <c r="I227" s="200"/>
      <c r="J227" s="305"/>
      <c r="K227" s="305"/>
      <c r="L227" s="200"/>
      <c r="M227" s="200"/>
      <c r="N227" s="210"/>
      <c r="O227" s="210"/>
      <c r="P227" s="200"/>
      <c r="Q227" s="200"/>
      <c r="R227" s="200"/>
      <c r="T227" s="154"/>
      <c r="V227" s="200"/>
      <c r="Y227" s="200"/>
      <c r="Z227" s="305"/>
      <c r="AA227" s="200"/>
      <c r="AB227" s="200"/>
      <c r="AC227" s="210"/>
      <c r="AD227" s="210"/>
      <c r="AE227" s="200"/>
      <c r="AF227" s="200"/>
      <c r="AG227" s="209"/>
      <c r="AH227" s="201"/>
      <c r="AI227" s="200"/>
      <c r="AJ227" s="200"/>
      <c r="AK227" s="209"/>
      <c r="AL227" s="200"/>
      <c r="AM227" s="210"/>
      <c r="AN227" s="210"/>
    </row>
    <row r="228" spans="1:40" x14ac:dyDescent="0.25">
      <c r="F228" s="200"/>
      <c r="H228" s="211"/>
      <c r="I228" s="211"/>
      <c r="J228" s="305"/>
      <c r="K228" s="305"/>
      <c r="L228" s="211"/>
      <c r="M228" s="211"/>
      <c r="N228" s="211"/>
      <c r="O228" s="211"/>
      <c r="P228" s="211"/>
      <c r="Q228" s="211"/>
      <c r="R228" s="211"/>
      <c r="V228" s="200"/>
      <c r="Y228" s="211"/>
      <c r="Z228" s="305"/>
      <c r="AA228" s="211"/>
      <c r="AB228" s="211"/>
      <c r="AC228" s="211"/>
      <c r="AD228" s="211"/>
      <c r="AE228" s="211"/>
      <c r="AF228" s="211"/>
      <c r="AI228" s="211"/>
      <c r="AJ228" s="211"/>
      <c r="AK228" s="212"/>
      <c r="AL228" s="211"/>
      <c r="AM228" s="210"/>
      <c r="AN228" s="210"/>
    </row>
    <row r="229" spans="1:40" x14ac:dyDescent="0.25">
      <c r="F229" s="200"/>
      <c r="H229" s="200"/>
      <c r="I229" s="200"/>
      <c r="J229" s="305"/>
      <c r="K229" s="305"/>
      <c r="L229" s="200"/>
      <c r="M229" s="200"/>
      <c r="N229" s="200"/>
      <c r="O229" s="200"/>
      <c r="P229" s="200"/>
      <c r="Q229" s="200"/>
      <c r="R229" s="200"/>
      <c r="V229" s="200"/>
      <c r="Y229" s="200"/>
      <c r="Z229" s="305"/>
      <c r="AA229" s="200"/>
      <c r="AB229" s="200"/>
      <c r="AC229" s="200"/>
      <c r="AD229" s="200"/>
      <c r="AE229" s="200"/>
      <c r="AF229" s="200"/>
      <c r="AG229" s="209"/>
      <c r="AH229" s="201"/>
      <c r="AI229" s="200"/>
      <c r="AJ229" s="200"/>
      <c r="AK229" s="209"/>
      <c r="AL229" s="200"/>
      <c r="AM229" s="210"/>
      <c r="AN229" s="210"/>
    </row>
    <row r="230" spans="1:40" x14ac:dyDescent="0.25">
      <c r="A230" s="202"/>
      <c r="C230" s="154"/>
      <c r="F230" s="252"/>
      <c r="H230" s="252"/>
      <c r="I230" s="252"/>
      <c r="J230" s="320"/>
      <c r="K230" s="320"/>
      <c r="L230" s="200"/>
      <c r="M230" s="200"/>
      <c r="N230" s="210"/>
      <c r="O230" s="210"/>
      <c r="P230" s="252"/>
      <c r="Q230" s="252"/>
      <c r="R230" s="200"/>
      <c r="T230" s="154"/>
      <c r="V230" s="252"/>
      <c r="Y230" s="252"/>
      <c r="Z230" s="328"/>
      <c r="AA230" s="200"/>
      <c r="AB230" s="200"/>
      <c r="AC230" s="210"/>
      <c r="AD230" s="210"/>
      <c r="AE230" s="200"/>
      <c r="AF230" s="200"/>
      <c r="AG230" s="209"/>
      <c r="AH230" s="201"/>
      <c r="AI230" s="252"/>
      <c r="AJ230" s="252"/>
      <c r="AK230" s="209"/>
      <c r="AL230" s="200"/>
      <c r="AM230" s="210"/>
      <c r="AN230" s="210"/>
    </row>
    <row r="231" spans="1:40" x14ac:dyDescent="0.25">
      <c r="A231" s="202"/>
      <c r="C231" s="154"/>
      <c r="F231" s="252"/>
      <c r="H231" s="252"/>
      <c r="I231" s="252"/>
      <c r="J231" s="320"/>
      <c r="K231" s="320"/>
      <c r="L231" s="200"/>
      <c r="M231" s="200"/>
      <c r="N231" s="210"/>
      <c r="O231" s="210"/>
      <c r="P231" s="252"/>
      <c r="Q231" s="252"/>
      <c r="R231" s="200"/>
      <c r="T231" s="154"/>
      <c r="V231" s="252"/>
      <c r="Y231" s="200"/>
      <c r="Z231" s="304"/>
      <c r="AA231" s="200"/>
      <c r="AB231" s="200"/>
      <c r="AC231" s="210"/>
      <c r="AD231" s="210"/>
      <c r="AE231" s="200"/>
      <c r="AF231" s="200"/>
      <c r="AG231" s="209"/>
      <c r="AH231" s="201"/>
      <c r="AI231" s="252"/>
      <c r="AJ231" s="252"/>
      <c r="AK231" s="209"/>
      <c r="AL231" s="200"/>
      <c r="AM231" s="210"/>
      <c r="AN231" s="210"/>
    </row>
    <row r="232" spans="1:40" x14ac:dyDescent="0.25">
      <c r="A232" s="202"/>
      <c r="C232" s="154"/>
      <c r="F232" s="252"/>
      <c r="H232" s="252"/>
      <c r="I232" s="252"/>
      <c r="J232" s="320"/>
      <c r="K232" s="320"/>
      <c r="L232" s="200"/>
      <c r="M232" s="200"/>
      <c r="N232" s="210"/>
      <c r="O232" s="210"/>
      <c r="P232" s="252"/>
      <c r="Q232" s="252"/>
      <c r="R232" s="200"/>
      <c r="T232" s="154"/>
      <c r="V232" s="252"/>
      <c r="Y232" s="200"/>
      <c r="Z232" s="304"/>
      <c r="AA232" s="200"/>
      <c r="AB232" s="200"/>
      <c r="AC232" s="210"/>
      <c r="AD232" s="210"/>
      <c r="AE232" s="200"/>
      <c r="AF232" s="200"/>
      <c r="AG232" s="209"/>
      <c r="AH232" s="201"/>
      <c r="AI232" s="252"/>
      <c r="AJ232" s="252"/>
      <c r="AK232" s="209"/>
      <c r="AL232" s="200"/>
      <c r="AM232" s="210"/>
      <c r="AN232" s="210"/>
    </row>
    <row r="233" spans="1:40" x14ac:dyDescent="0.25">
      <c r="F233" s="211"/>
      <c r="H233" s="211"/>
      <c r="I233" s="211"/>
      <c r="J233" s="305"/>
      <c r="K233" s="305"/>
      <c r="L233" s="211"/>
      <c r="M233" s="211"/>
      <c r="N233" s="211"/>
      <c r="O233" s="211"/>
      <c r="P233" s="211"/>
      <c r="Q233" s="211"/>
      <c r="R233" s="211"/>
      <c r="V233" s="211"/>
      <c r="Y233" s="211"/>
      <c r="Z233" s="305"/>
      <c r="AA233" s="211"/>
      <c r="AB233" s="211"/>
      <c r="AC233" s="211"/>
      <c r="AD233" s="211"/>
      <c r="AE233" s="211"/>
      <c r="AF233" s="211"/>
      <c r="AI233" s="211"/>
      <c r="AJ233" s="211"/>
      <c r="AK233" s="212"/>
      <c r="AL233" s="211"/>
      <c r="AM233" s="210"/>
      <c r="AN233" s="210"/>
    </row>
    <row r="234" spans="1:40" x14ac:dyDescent="0.25">
      <c r="A234" s="202"/>
      <c r="C234" s="154"/>
      <c r="F234" s="200"/>
      <c r="H234" s="200"/>
      <c r="I234" s="200"/>
      <c r="J234" s="213"/>
      <c r="K234" s="213"/>
      <c r="L234" s="200"/>
      <c r="M234" s="200"/>
      <c r="N234" s="210"/>
      <c r="O234" s="210"/>
      <c r="P234" s="200"/>
      <c r="Q234" s="200"/>
      <c r="R234" s="200"/>
      <c r="T234" s="154"/>
      <c r="V234" s="200"/>
      <c r="Y234" s="200"/>
      <c r="Z234" s="213"/>
      <c r="AA234" s="200"/>
      <c r="AB234" s="200"/>
      <c r="AC234" s="210"/>
      <c r="AD234" s="210"/>
      <c r="AE234" s="200"/>
      <c r="AF234" s="200"/>
      <c r="AG234" s="209"/>
      <c r="AH234" s="201"/>
      <c r="AI234" s="200"/>
      <c r="AJ234" s="200"/>
      <c r="AK234" s="209"/>
      <c r="AL234" s="200"/>
      <c r="AM234" s="210"/>
      <c r="AN234" s="210"/>
    </row>
    <row r="235" spans="1:40" x14ac:dyDescent="0.25">
      <c r="F235" s="211"/>
      <c r="H235" s="211"/>
      <c r="I235" s="211"/>
      <c r="J235" s="305"/>
      <c r="K235" s="305"/>
      <c r="L235" s="211"/>
      <c r="M235" s="211"/>
      <c r="N235" s="211"/>
      <c r="O235" s="211"/>
      <c r="P235" s="211"/>
      <c r="Q235" s="211"/>
      <c r="R235" s="211"/>
      <c r="V235" s="211"/>
      <c r="Y235" s="211"/>
      <c r="Z235" s="305"/>
      <c r="AA235" s="211"/>
      <c r="AB235" s="211"/>
      <c r="AC235" s="211"/>
      <c r="AD235" s="211"/>
      <c r="AE235" s="211"/>
      <c r="AF235" s="211"/>
      <c r="AI235" s="211"/>
      <c r="AJ235" s="211"/>
      <c r="AK235" s="212"/>
      <c r="AL235" s="211"/>
      <c r="AM235" s="210"/>
      <c r="AN235" s="210"/>
    </row>
    <row r="236" spans="1:40" x14ac:dyDescent="0.25">
      <c r="A236" s="202"/>
      <c r="C236" s="154"/>
      <c r="F236" s="200"/>
      <c r="H236" s="200"/>
      <c r="I236" s="200"/>
      <c r="J236" s="213"/>
      <c r="K236" s="213"/>
      <c r="L236" s="200"/>
      <c r="M236" s="200"/>
      <c r="N236" s="210"/>
      <c r="O236" s="210"/>
      <c r="P236" s="200"/>
      <c r="Q236" s="200"/>
      <c r="R236" s="200"/>
      <c r="T236" s="154"/>
      <c r="V236" s="200"/>
      <c r="Y236" s="200"/>
      <c r="Z236" s="213"/>
      <c r="AA236" s="200"/>
      <c r="AB236" s="200"/>
      <c r="AC236" s="210"/>
      <c r="AD236" s="210"/>
      <c r="AE236" s="200"/>
      <c r="AF236" s="200"/>
      <c r="AG236" s="209"/>
      <c r="AH236" s="201"/>
      <c r="AI236" s="200"/>
      <c r="AJ236" s="200"/>
      <c r="AK236" s="209"/>
      <c r="AL236" s="200"/>
      <c r="AM236" s="210"/>
      <c r="AN236" s="210"/>
    </row>
    <row r="237" spans="1:40" x14ac:dyDescent="0.25">
      <c r="A237" s="202"/>
      <c r="C237" s="154"/>
      <c r="F237" s="200"/>
      <c r="H237" s="200"/>
      <c r="I237" s="200"/>
      <c r="J237" s="213"/>
      <c r="K237" s="213"/>
      <c r="L237" s="200"/>
      <c r="M237" s="200"/>
      <c r="N237" s="210"/>
      <c r="O237" s="210"/>
      <c r="P237" s="200"/>
      <c r="Q237" s="200"/>
      <c r="R237" s="200"/>
      <c r="T237" s="154"/>
      <c r="V237" s="200"/>
      <c r="Y237" s="200"/>
      <c r="Z237" s="213"/>
      <c r="AA237" s="200"/>
      <c r="AB237" s="200"/>
      <c r="AC237" s="210"/>
      <c r="AD237" s="210"/>
      <c r="AE237" s="200"/>
      <c r="AF237" s="200"/>
      <c r="AG237" s="209"/>
      <c r="AH237" s="201"/>
      <c r="AI237" s="200"/>
      <c r="AJ237" s="200"/>
      <c r="AK237" s="209"/>
      <c r="AL237" s="200"/>
      <c r="AM237" s="210"/>
      <c r="AN237" s="210"/>
    </row>
    <row r="238" spans="1:40" x14ac:dyDescent="0.25">
      <c r="F238" s="211"/>
      <c r="H238" s="211"/>
      <c r="I238" s="211"/>
      <c r="J238" s="305"/>
      <c r="K238" s="305"/>
      <c r="L238" s="211"/>
      <c r="M238" s="211"/>
      <c r="N238" s="211"/>
      <c r="O238" s="211"/>
      <c r="P238" s="211"/>
      <c r="Q238" s="211"/>
      <c r="R238" s="211"/>
      <c r="V238" s="211"/>
      <c r="Y238" s="211"/>
      <c r="Z238" s="305"/>
      <c r="AA238" s="211"/>
      <c r="AB238" s="211"/>
      <c r="AC238" s="211"/>
      <c r="AD238" s="211"/>
      <c r="AE238" s="211"/>
      <c r="AF238" s="211"/>
      <c r="AI238" s="211"/>
      <c r="AJ238" s="211"/>
      <c r="AK238" s="212"/>
      <c r="AL238" s="211"/>
      <c r="AM238" s="200"/>
      <c r="AN238" s="200"/>
    </row>
    <row r="239" spans="1:40" x14ac:dyDescent="0.25">
      <c r="F239" s="200"/>
      <c r="H239" s="200"/>
      <c r="I239" s="200"/>
      <c r="J239" s="213"/>
      <c r="K239" s="213"/>
      <c r="L239" s="200"/>
      <c r="M239" s="200"/>
      <c r="N239" s="200"/>
      <c r="O239" s="200"/>
      <c r="P239" s="200"/>
      <c r="Q239" s="200"/>
      <c r="R239" s="200"/>
      <c r="V239" s="200"/>
      <c r="Y239" s="200"/>
      <c r="Z239" s="213"/>
      <c r="AA239" s="200"/>
      <c r="AB239" s="200"/>
      <c r="AC239" s="200"/>
      <c r="AD239" s="200"/>
    </row>
    <row r="240" spans="1:40" x14ac:dyDescent="0.25">
      <c r="C240" s="154"/>
      <c r="F240" s="200"/>
      <c r="H240" s="200"/>
      <c r="I240" s="200"/>
      <c r="J240" s="213"/>
      <c r="K240" s="213"/>
      <c r="L240" s="200"/>
      <c r="M240" s="200"/>
      <c r="N240" s="200"/>
      <c r="O240" s="200"/>
      <c r="P240" s="200"/>
      <c r="Q240" s="200"/>
      <c r="R240" s="200"/>
      <c r="T240" s="154"/>
      <c r="V240" s="200"/>
      <c r="Y240" s="200"/>
      <c r="Z240" s="213"/>
      <c r="AA240" s="200"/>
      <c r="AB240" s="200"/>
      <c r="AC240" s="200"/>
      <c r="AD240" s="200"/>
    </row>
    <row r="241" spans="1:40" x14ac:dyDescent="0.25">
      <c r="A241" s="154"/>
    </row>
    <row r="242" spans="1:40" x14ac:dyDescent="0.25">
      <c r="J242" s="202"/>
      <c r="K242" s="202"/>
      <c r="Z242" s="202"/>
    </row>
    <row r="243" spans="1:40" x14ac:dyDescent="0.25">
      <c r="H243" s="154"/>
      <c r="I243" s="154"/>
      <c r="Y243" s="154"/>
    </row>
    <row r="244" spans="1:40" x14ac:dyDescent="0.25">
      <c r="J244" s="202"/>
      <c r="K244" s="202"/>
      <c r="Z244" s="202"/>
    </row>
    <row r="245" spans="1:40" x14ac:dyDescent="0.25">
      <c r="L245" s="154"/>
      <c r="M245" s="154"/>
      <c r="AA245" s="154"/>
      <c r="AB245" s="154"/>
    </row>
    <row r="246" spans="1:40" x14ac:dyDescent="0.25">
      <c r="A246" s="202"/>
      <c r="R246" s="154"/>
      <c r="AK246" s="297"/>
      <c r="AL246" s="154"/>
    </row>
    <row r="247" spans="1:40" x14ac:dyDescent="0.25">
      <c r="A247" s="202"/>
      <c r="R247" s="154"/>
      <c r="AK247" s="297"/>
      <c r="AL247" s="154"/>
    </row>
    <row r="248" spans="1:40" x14ac:dyDescent="0.25">
      <c r="A248" s="154"/>
      <c r="R248" s="154"/>
      <c r="AK248" s="297"/>
      <c r="AL248" s="154"/>
    </row>
    <row r="249" spans="1:40" x14ac:dyDescent="0.25">
      <c r="L249" s="154"/>
      <c r="M249" s="154"/>
      <c r="R249" s="202"/>
      <c r="AA249" s="154"/>
      <c r="AB249" s="154"/>
      <c r="AK249" s="209"/>
      <c r="AL249" s="202"/>
    </row>
    <row r="250" spans="1:40" x14ac:dyDescent="0.2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208"/>
      <c r="AH250" s="102"/>
      <c r="AI250" s="102"/>
      <c r="AJ250" s="102"/>
      <c r="AK250" s="208"/>
      <c r="AL250" s="102"/>
      <c r="AM250" s="102"/>
      <c r="AN250" s="102"/>
    </row>
    <row r="251" spans="1:40" x14ac:dyDescent="0.25">
      <c r="L251" s="103"/>
      <c r="M251" s="103"/>
      <c r="N251" s="103"/>
      <c r="O251" s="103"/>
      <c r="R251" s="103"/>
      <c r="AA251" s="103"/>
      <c r="AB251" s="103"/>
      <c r="AC251" s="103"/>
      <c r="AD251" s="103"/>
      <c r="AE251" s="103"/>
      <c r="AF251" s="103"/>
      <c r="AG251" s="185"/>
      <c r="AH251" s="103"/>
      <c r="AK251" s="185"/>
      <c r="AL251" s="103"/>
      <c r="AM251" s="103"/>
      <c r="AN251" s="103"/>
    </row>
    <row r="252" spans="1:40" x14ac:dyDescent="0.25">
      <c r="L252" s="103"/>
      <c r="M252" s="103"/>
      <c r="N252" s="103"/>
      <c r="O252" s="103"/>
      <c r="R252" s="103"/>
      <c r="Z252" s="103"/>
      <c r="AA252" s="103"/>
      <c r="AB252" s="103"/>
      <c r="AC252" s="103"/>
      <c r="AD252" s="103"/>
      <c r="AE252" s="103"/>
      <c r="AF252" s="103"/>
      <c r="AG252" s="185"/>
      <c r="AH252" s="103"/>
      <c r="AK252" s="185"/>
      <c r="AL252" s="103"/>
      <c r="AM252" s="103"/>
      <c r="AN252" s="103"/>
    </row>
    <row r="253" spans="1:40" x14ac:dyDescent="0.25">
      <c r="A253" s="103"/>
      <c r="C253" s="103"/>
      <c r="D253" s="103"/>
      <c r="E253" s="103"/>
      <c r="F253" s="103"/>
      <c r="J253" s="103"/>
      <c r="K253" s="103"/>
      <c r="L253" s="103"/>
      <c r="M253" s="103"/>
      <c r="N253" s="103"/>
      <c r="O253" s="103"/>
      <c r="P253" s="103"/>
      <c r="Q253" s="103"/>
      <c r="R253" s="103"/>
      <c r="T253" s="103"/>
      <c r="U253" s="103"/>
      <c r="V253" s="103"/>
      <c r="Z253" s="103"/>
      <c r="AA253" s="103"/>
      <c r="AB253" s="103"/>
      <c r="AC253" s="103"/>
      <c r="AD253" s="103"/>
      <c r="AE253" s="103"/>
      <c r="AF253" s="103"/>
      <c r="AG253" s="185"/>
      <c r="AH253" s="103"/>
      <c r="AI253" s="103"/>
      <c r="AJ253" s="103"/>
      <c r="AK253" s="185"/>
      <c r="AL253" s="103"/>
      <c r="AM253" s="103"/>
      <c r="AN253" s="103"/>
    </row>
    <row r="254" spans="1:40" x14ac:dyDescent="0.25">
      <c r="A254" s="103"/>
      <c r="C254" s="103"/>
      <c r="D254" s="103"/>
      <c r="E254" s="103"/>
      <c r="F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T254" s="103"/>
      <c r="U254" s="103"/>
      <c r="V254" s="103"/>
      <c r="Y254" s="103"/>
      <c r="Z254" s="103"/>
      <c r="AA254" s="103"/>
      <c r="AB254" s="103"/>
      <c r="AC254" s="103"/>
      <c r="AD254" s="103"/>
      <c r="AE254" s="103"/>
      <c r="AF254" s="103"/>
      <c r="AG254" s="185"/>
      <c r="AH254" s="103"/>
      <c r="AI254" s="103"/>
      <c r="AJ254" s="103"/>
      <c r="AK254" s="185"/>
      <c r="AL254" s="103"/>
      <c r="AM254" s="103"/>
      <c r="AN254" s="103"/>
    </row>
    <row r="255" spans="1:40" x14ac:dyDescent="0.25">
      <c r="C255" s="103"/>
      <c r="D255" s="103"/>
      <c r="E255" s="103"/>
      <c r="F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T255" s="103"/>
      <c r="U255" s="103"/>
      <c r="V255" s="103"/>
      <c r="Y255" s="103"/>
      <c r="Z255" s="103"/>
      <c r="AA255" s="103"/>
      <c r="AB255" s="103"/>
      <c r="AC255" s="103"/>
      <c r="AD255" s="103"/>
      <c r="AE255" s="103"/>
      <c r="AF255" s="103"/>
      <c r="AG255" s="185"/>
      <c r="AH255" s="103"/>
      <c r="AI255" s="103"/>
      <c r="AJ255" s="103"/>
      <c r="AK255" s="185"/>
      <c r="AL255" s="103"/>
      <c r="AM255" s="103"/>
      <c r="AN255" s="103"/>
    </row>
    <row r="256" spans="1:40" x14ac:dyDescent="0.2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208"/>
      <c r="AH256" s="102"/>
      <c r="AI256" s="102"/>
      <c r="AJ256" s="102"/>
      <c r="AK256" s="208"/>
      <c r="AL256" s="102"/>
      <c r="AM256" s="102"/>
      <c r="AN256" s="102"/>
    </row>
    <row r="257" spans="1:40" x14ac:dyDescent="0.25"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Y257" s="103"/>
      <c r="Z257" s="103"/>
      <c r="AA257" s="103"/>
      <c r="AB257" s="103"/>
      <c r="AC257" s="103"/>
      <c r="AD257" s="103"/>
      <c r="AE257" s="103"/>
      <c r="AF257" s="103"/>
      <c r="AG257" s="185"/>
      <c r="AH257" s="103"/>
      <c r="AI257" s="103"/>
      <c r="AJ257" s="103"/>
      <c r="AK257" s="185"/>
      <c r="AL257" s="103"/>
      <c r="AM257" s="103"/>
      <c r="AN257" s="103"/>
    </row>
    <row r="258" spans="1:40" x14ac:dyDescent="0.25">
      <c r="A258" s="202"/>
      <c r="C258" s="154"/>
      <c r="D258" s="154"/>
      <c r="E258" s="154"/>
      <c r="T258" s="154"/>
      <c r="U258" s="154"/>
    </row>
    <row r="260" spans="1:40" x14ac:dyDescent="0.25">
      <c r="A260" s="202"/>
      <c r="C260" s="154"/>
      <c r="F260" s="252"/>
      <c r="H260" s="317"/>
      <c r="I260" s="317"/>
      <c r="J260" s="300"/>
      <c r="K260" s="300"/>
      <c r="L260" s="200"/>
      <c r="M260" s="200"/>
      <c r="N260" s="202"/>
      <c r="O260" s="202"/>
      <c r="P260" s="202"/>
      <c r="Q260" s="202"/>
      <c r="R260" s="200"/>
      <c r="T260" s="154"/>
      <c r="V260" s="200"/>
      <c r="Y260" s="202"/>
      <c r="Z260" s="300"/>
      <c r="AA260" s="200"/>
      <c r="AB260" s="200"/>
      <c r="AC260" s="202"/>
      <c r="AD260" s="202"/>
      <c r="AE260" s="200"/>
      <c r="AF260" s="200"/>
      <c r="AG260" s="325"/>
      <c r="AH260" s="326"/>
      <c r="AI260" s="200"/>
      <c r="AJ260" s="200"/>
      <c r="AK260" s="209"/>
      <c r="AL260" s="200"/>
      <c r="AM260" s="327"/>
      <c r="AN260" s="327"/>
    </row>
    <row r="261" spans="1:40" x14ac:dyDescent="0.25">
      <c r="F261" s="252"/>
      <c r="H261" s="317"/>
      <c r="I261" s="317"/>
      <c r="J261" s="317"/>
      <c r="K261" s="317"/>
      <c r="R261" s="200"/>
      <c r="V261" s="200"/>
      <c r="Z261" s="317"/>
    </row>
    <row r="262" spans="1:40" x14ac:dyDescent="0.25">
      <c r="A262" s="202"/>
      <c r="C262" s="154"/>
      <c r="F262" s="252"/>
      <c r="H262" s="252"/>
      <c r="I262" s="252"/>
      <c r="J262" s="320"/>
      <c r="K262" s="320"/>
      <c r="L262" s="200"/>
      <c r="M262" s="200"/>
      <c r="N262" s="210"/>
      <c r="O262" s="210"/>
      <c r="P262" s="252"/>
      <c r="Q262" s="252"/>
      <c r="R262" s="200"/>
      <c r="T262" s="154"/>
      <c r="V262" s="200"/>
      <c r="Y262" s="200"/>
      <c r="Z262" s="304"/>
      <c r="AA262" s="200"/>
      <c r="AB262" s="200"/>
      <c r="AC262" s="210"/>
      <c r="AD262" s="210"/>
      <c r="AE262" s="200"/>
      <c r="AF262" s="200"/>
      <c r="AG262" s="209"/>
      <c r="AH262" s="201"/>
      <c r="AI262" s="252"/>
      <c r="AJ262" s="252"/>
      <c r="AK262" s="209"/>
      <c r="AL262" s="200"/>
      <c r="AM262" s="210"/>
      <c r="AN262" s="210"/>
    </row>
    <row r="263" spans="1:40" x14ac:dyDescent="0.25">
      <c r="F263" s="211"/>
      <c r="H263" s="211"/>
      <c r="I263" s="211"/>
      <c r="J263" s="305"/>
      <c r="K263" s="305"/>
      <c r="L263" s="211"/>
      <c r="M263" s="211"/>
      <c r="N263" s="211"/>
      <c r="O263" s="211"/>
      <c r="P263" s="211"/>
      <c r="Q263" s="211"/>
      <c r="R263" s="211"/>
      <c r="V263" s="211"/>
      <c r="Y263" s="211"/>
      <c r="Z263" s="305"/>
      <c r="AA263" s="211"/>
      <c r="AB263" s="211"/>
      <c r="AC263" s="211"/>
      <c r="AD263" s="211"/>
      <c r="AE263" s="211"/>
      <c r="AF263" s="211"/>
      <c r="AI263" s="211"/>
      <c r="AJ263" s="211"/>
      <c r="AK263" s="212"/>
      <c r="AL263" s="211"/>
    </row>
    <row r="264" spans="1:40" x14ac:dyDescent="0.25">
      <c r="A264" s="202"/>
      <c r="D264" s="154"/>
      <c r="E264" s="154"/>
      <c r="F264" s="200"/>
      <c r="H264" s="200"/>
      <c r="I264" s="200"/>
      <c r="J264" s="213"/>
      <c r="K264" s="213"/>
      <c r="L264" s="200"/>
      <c r="M264" s="200"/>
      <c r="N264" s="210"/>
      <c r="O264" s="210"/>
      <c r="P264" s="200"/>
      <c r="Q264" s="200"/>
      <c r="R264" s="200"/>
      <c r="U264" s="154"/>
      <c r="V264" s="200"/>
      <c r="Y264" s="200"/>
      <c r="Z264" s="213"/>
      <c r="AA264" s="200"/>
      <c r="AB264" s="200"/>
      <c r="AC264" s="210"/>
      <c r="AD264" s="210"/>
      <c r="AE264" s="200"/>
      <c r="AF264" s="200"/>
      <c r="AG264" s="209"/>
      <c r="AH264" s="201"/>
      <c r="AI264" s="200"/>
      <c r="AJ264" s="200"/>
      <c r="AK264" s="209"/>
      <c r="AL264" s="200"/>
      <c r="AM264" s="210"/>
      <c r="AN264" s="210"/>
    </row>
    <row r="265" spans="1:40" x14ac:dyDescent="0.25">
      <c r="F265" s="211"/>
      <c r="H265" s="211"/>
      <c r="I265" s="211"/>
      <c r="J265" s="305"/>
      <c r="K265" s="305"/>
      <c r="L265" s="211"/>
      <c r="M265" s="211"/>
      <c r="N265" s="211"/>
      <c r="O265" s="211"/>
      <c r="P265" s="211"/>
      <c r="Q265" s="211"/>
      <c r="R265" s="211"/>
      <c r="V265" s="211"/>
      <c r="Y265" s="211"/>
      <c r="Z265" s="305"/>
      <c r="AA265" s="211"/>
      <c r="AB265" s="211"/>
      <c r="AC265" s="211"/>
      <c r="AD265" s="211"/>
      <c r="AE265" s="211"/>
      <c r="AF265" s="211"/>
      <c r="AI265" s="211"/>
      <c r="AJ265" s="211"/>
      <c r="AK265" s="212"/>
      <c r="AL265" s="211"/>
    </row>
    <row r="266" spans="1:40" x14ac:dyDescent="0.25">
      <c r="R266" s="200"/>
    </row>
    <row r="267" spans="1:40" x14ac:dyDescent="0.25">
      <c r="R267" s="200"/>
    </row>
    <row r="268" spans="1:40" x14ac:dyDescent="0.25">
      <c r="R268" s="200"/>
    </row>
    <row r="269" spans="1:40" x14ac:dyDescent="0.25">
      <c r="A269" s="202"/>
      <c r="C269" s="154"/>
      <c r="D269" s="154"/>
      <c r="E269" s="154"/>
      <c r="H269" s="200"/>
      <c r="I269" s="200"/>
      <c r="J269" s="213"/>
      <c r="K269" s="213"/>
      <c r="L269" s="200"/>
      <c r="M269" s="200"/>
      <c r="N269" s="210"/>
      <c r="O269" s="210"/>
      <c r="P269" s="200"/>
      <c r="Q269" s="200"/>
      <c r="R269" s="200"/>
      <c r="T269" s="154"/>
      <c r="U269" s="154"/>
      <c r="Y269" s="200"/>
      <c r="Z269" s="213"/>
      <c r="AA269" s="200"/>
      <c r="AB269" s="200"/>
      <c r="AC269" s="210"/>
      <c r="AD269" s="210"/>
    </row>
    <row r="270" spans="1:40" x14ac:dyDescent="0.25">
      <c r="H270" s="200"/>
      <c r="I270" s="200"/>
      <c r="J270" s="213"/>
      <c r="K270" s="213"/>
      <c r="L270" s="200"/>
      <c r="M270" s="200"/>
      <c r="N270" s="210"/>
      <c r="O270" s="210"/>
      <c r="P270" s="200"/>
      <c r="Q270" s="200"/>
      <c r="R270" s="200"/>
      <c r="Y270" s="200"/>
      <c r="Z270" s="213"/>
      <c r="AA270" s="200"/>
      <c r="AB270" s="200"/>
      <c r="AC270" s="210"/>
      <c r="AD270" s="210"/>
    </row>
    <row r="271" spans="1:40" x14ac:dyDescent="0.25">
      <c r="A271" s="202"/>
      <c r="C271" s="154"/>
      <c r="F271" s="252"/>
      <c r="H271" s="252"/>
      <c r="I271" s="252"/>
      <c r="J271" s="214"/>
      <c r="K271" s="214"/>
      <c r="L271" s="252"/>
      <c r="M271" s="252"/>
      <c r="N271" s="210"/>
      <c r="O271" s="210"/>
      <c r="P271" s="200"/>
      <c r="Q271" s="200"/>
      <c r="R271" s="200"/>
      <c r="T271" s="154"/>
      <c r="V271" s="200"/>
      <c r="Y271" s="200"/>
      <c r="Z271" s="214"/>
      <c r="AA271" s="200"/>
      <c r="AB271" s="200"/>
      <c r="AC271" s="210"/>
      <c r="AD271" s="210"/>
      <c r="AE271" s="200"/>
      <c r="AF271" s="200"/>
      <c r="AG271" s="209"/>
      <c r="AH271" s="201"/>
      <c r="AI271" s="200"/>
      <c r="AJ271" s="200"/>
      <c r="AK271" s="209"/>
      <c r="AL271" s="200"/>
      <c r="AM271" s="210"/>
      <c r="AN271" s="210"/>
    </row>
    <row r="272" spans="1:40" x14ac:dyDescent="0.25">
      <c r="F272" s="252"/>
      <c r="H272" s="317"/>
      <c r="I272" s="317"/>
      <c r="J272" s="317"/>
      <c r="K272" s="317"/>
      <c r="R272" s="200"/>
      <c r="V272" s="200"/>
      <c r="Z272" s="317"/>
    </row>
    <row r="273" spans="1:40" x14ac:dyDescent="0.25">
      <c r="A273" s="202"/>
      <c r="C273" s="154"/>
      <c r="F273" s="252"/>
      <c r="H273" s="252"/>
      <c r="I273" s="252"/>
      <c r="J273" s="300"/>
      <c r="K273" s="300"/>
      <c r="L273" s="200"/>
      <c r="M273" s="200"/>
      <c r="N273" s="210"/>
      <c r="O273" s="210"/>
      <c r="P273" s="200"/>
      <c r="Q273" s="200"/>
      <c r="R273" s="200"/>
      <c r="T273" s="154"/>
      <c r="V273" s="200"/>
      <c r="Y273" s="200"/>
      <c r="Z273" s="300"/>
      <c r="AA273" s="200"/>
      <c r="AB273" s="200"/>
      <c r="AC273" s="210"/>
      <c r="AD273" s="210"/>
      <c r="AE273" s="200"/>
      <c r="AF273" s="200"/>
      <c r="AG273" s="209"/>
      <c r="AH273" s="201"/>
      <c r="AI273" s="200"/>
      <c r="AJ273" s="200"/>
      <c r="AK273" s="209"/>
      <c r="AL273" s="200"/>
      <c r="AM273" s="210"/>
      <c r="AN273" s="210"/>
    </row>
    <row r="274" spans="1:40" x14ac:dyDescent="0.25">
      <c r="F274" s="252"/>
      <c r="H274" s="317"/>
      <c r="I274" s="317"/>
      <c r="J274" s="317"/>
      <c r="K274" s="317"/>
      <c r="R274" s="200"/>
      <c r="V274" s="200"/>
      <c r="Z274" s="317"/>
    </row>
    <row r="275" spans="1:40" x14ac:dyDescent="0.25">
      <c r="A275" s="202"/>
      <c r="C275" s="154"/>
      <c r="F275" s="252"/>
      <c r="H275" s="252"/>
      <c r="I275" s="252"/>
      <c r="J275" s="320"/>
      <c r="K275" s="320"/>
      <c r="L275" s="200"/>
      <c r="M275" s="200"/>
      <c r="N275" s="210"/>
      <c r="O275" s="210"/>
      <c r="P275" s="200"/>
      <c r="Q275" s="200"/>
      <c r="R275" s="200"/>
      <c r="T275" s="154"/>
      <c r="V275" s="200"/>
      <c r="Y275" s="200"/>
      <c r="Z275" s="304"/>
      <c r="AA275" s="200"/>
      <c r="AB275" s="200"/>
      <c r="AC275" s="210"/>
      <c r="AD275" s="210"/>
      <c r="AE275" s="200"/>
      <c r="AF275" s="200"/>
      <c r="AG275" s="209"/>
      <c r="AH275" s="201"/>
      <c r="AI275" s="200"/>
      <c r="AJ275" s="200"/>
      <c r="AK275" s="209"/>
      <c r="AL275" s="200"/>
      <c r="AM275" s="210"/>
      <c r="AN275" s="210"/>
    </row>
    <row r="276" spans="1:40" x14ac:dyDescent="0.25">
      <c r="F276" s="211"/>
      <c r="H276" s="211"/>
      <c r="I276" s="211"/>
      <c r="J276" s="305"/>
      <c r="K276" s="305"/>
      <c r="L276" s="211"/>
      <c r="M276" s="211"/>
      <c r="N276" s="211"/>
      <c r="O276" s="211"/>
      <c r="P276" s="211"/>
      <c r="Q276" s="211"/>
      <c r="R276" s="211"/>
      <c r="S276" s="200"/>
      <c r="V276" s="211"/>
      <c r="Y276" s="211"/>
      <c r="Z276" s="305"/>
      <c r="AA276" s="211"/>
      <c r="AB276" s="211"/>
      <c r="AC276" s="211"/>
      <c r="AD276" s="211"/>
      <c r="AE276" s="211"/>
      <c r="AF276" s="211"/>
      <c r="AI276" s="211"/>
      <c r="AJ276" s="211"/>
      <c r="AK276" s="212"/>
      <c r="AL276" s="211"/>
    </row>
    <row r="277" spans="1:40" x14ac:dyDescent="0.25">
      <c r="A277" s="202"/>
      <c r="D277" s="154"/>
      <c r="E277" s="154"/>
      <c r="F277" s="200"/>
      <c r="H277" s="200"/>
      <c r="I277" s="200"/>
      <c r="J277" s="213"/>
      <c r="K277" s="213"/>
      <c r="L277" s="200"/>
      <c r="M277" s="200"/>
      <c r="N277" s="210"/>
      <c r="O277" s="210"/>
      <c r="P277" s="252"/>
      <c r="Q277" s="252"/>
      <c r="R277" s="200"/>
      <c r="S277" s="200"/>
      <c r="U277" s="154"/>
      <c r="V277" s="200"/>
      <c r="Y277" s="200"/>
      <c r="Z277" s="213"/>
      <c r="AA277" s="200"/>
      <c r="AB277" s="200"/>
      <c r="AC277" s="210"/>
      <c r="AD277" s="210"/>
      <c r="AE277" s="200"/>
      <c r="AF277" s="200"/>
      <c r="AG277" s="209"/>
      <c r="AH277" s="201"/>
      <c r="AI277" s="252"/>
      <c r="AJ277" s="252"/>
      <c r="AK277" s="209"/>
      <c r="AL277" s="200"/>
      <c r="AM277" s="210"/>
      <c r="AN277" s="210"/>
    </row>
    <row r="278" spans="1:40" x14ac:dyDescent="0.25">
      <c r="F278" s="211"/>
      <c r="H278" s="211"/>
      <c r="I278" s="211"/>
      <c r="J278" s="305"/>
      <c r="K278" s="305"/>
      <c r="L278" s="211"/>
      <c r="M278" s="211"/>
      <c r="N278" s="211"/>
      <c r="O278" s="211"/>
      <c r="P278" s="211"/>
      <c r="Q278" s="211"/>
      <c r="R278" s="211"/>
      <c r="S278" s="200"/>
      <c r="V278" s="211"/>
      <c r="Y278" s="211"/>
      <c r="Z278" s="305"/>
      <c r="AA278" s="211"/>
      <c r="AB278" s="211"/>
      <c r="AC278" s="211"/>
      <c r="AD278" s="211"/>
      <c r="AE278" s="211"/>
      <c r="AF278" s="211"/>
      <c r="AI278" s="211"/>
      <c r="AJ278" s="211"/>
      <c r="AK278" s="212"/>
      <c r="AL278" s="211"/>
    </row>
    <row r="279" spans="1:40" x14ac:dyDescent="0.25">
      <c r="R279" s="200"/>
    </row>
    <row r="280" spans="1:40" x14ac:dyDescent="0.25">
      <c r="F280" s="200"/>
      <c r="H280" s="200"/>
      <c r="I280" s="200"/>
      <c r="J280" s="213"/>
      <c r="K280" s="213"/>
      <c r="L280" s="200"/>
      <c r="M280" s="200"/>
      <c r="N280" s="200"/>
      <c r="O280" s="200"/>
      <c r="P280" s="200"/>
      <c r="Q280" s="200"/>
      <c r="R280" s="200"/>
      <c r="V280" s="200"/>
      <c r="Y280" s="200"/>
      <c r="Z280" s="213"/>
      <c r="AA280" s="200"/>
      <c r="AB280" s="200"/>
      <c r="AC280" s="200"/>
      <c r="AD280" s="200"/>
    </row>
    <row r="281" spans="1:40" x14ac:dyDescent="0.25">
      <c r="C281" s="154"/>
      <c r="F281" s="200"/>
      <c r="H281" s="200"/>
      <c r="I281" s="200"/>
      <c r="J281" s="213"/>
      <c r="K281" s="213"/>
      <c r="L281" s="200"/>
      <c r="M281" s="200"/>
      <c r="N281" s="200"/>
      <c r="O281" s="200"/>
      <c r="P281" s="200"/>
      <c r="Q281" s="200"/>
      <c r="R281" s="200"/>
      <c r="T281" s="154"/>
      <c r="V281" s="200"/>
      <c r="Y281" s="200"/>
      <c r="Z281" s="213"/>
      <c r="AA281" s="200"/>
      <c r="AB281" s="200"/>
      <c r="AC281" s="200"/>
      <c r="AD281" s="200"/>
    </row>
    <row r="282" spans="1:40" x14ac:dyDescent="0.25">
      <c r="C282" s="154"/>
      <c r="T282" s="154"/>
    </row>
    <row r="283" spans="1:40" x14ac:dyDescent="0.25">
      <c r="A283" s="154"/>
    </row>
    <row r="285" spans="1:40" x14ac:dyDescent="0.25">
      <c r="J285" s="202"/>
      <c r="K285" s="202"/>
      <c r="Z285" s="202"/>
    </row>
    <row r="286" spans="1:40" x14ac:dyDescent="0.25">
      <c r="H286" s="154"/>
      <c r="I286" s="154"/>
      <c r="Y286" s="154"/>
    </row>
    <row r="287" spans="1:40" x14ac:dyDescent="0.25">
      <c r="J287" s="202"/>
      <c r="K287" s="202"/>
      <c r="Z287" s="202"/>
    </row>
    <row r="288" spans="1:40" x14ac:dyDescent="0.25">
      <c r="L288" s="154"/>
      <c r="M288" s="154"/>
      <c r="AA288" s="154"/>
      <c r="AB288" s="154"/>
    </row>
    <row r="289" spans="1:40" x14ac:dyDescent="0.25">
      <c r="A289" s="202"/>
      <c r="R289" s="154"/>
      <c r="AK289" s="297"/>
      <c r="AL289" s="154"/>
    </row>
    <row r="290" spans="1:40" x14ac:dyDescent="0.25">
      <c r="A290" s="202"/>
      <c r="R290" s="154"/>
      <c r="AK290" s="297"/>
      <c r="AL290" s="154"/>
    </row>
    <row r="291" spans="1:40" x14ac:dyDescent="0.25">
      <c r="A291" s="154"/>
      <c r="R291" s="154"/>
      <c r="AK291" s="297"/>
      <c r="AL291" s="154"/>
    </row>
    <row r="292" spans="1:40" x14ac:dyDescent="0.25">
      <c r="L292" s="154"/>
      <c r="M292" s="154"/>
      <c r="R292" s="202"/>
      <c r="AA292" s="154"/>
      <c r="AB292" s="154"/>
      <c r="AK292" s="209"/>
      <c r="AL292" s="202"/>
    </row>
    <row r="293" spans="1:40" x14ac:dyDescent="0.25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208"/>
      <c r="AH293" s="102"/>
      <c r="AI293" s="102"/>
      <c r="AJ293" s="102"/>
      <c r="AK293" s="208"/>
      <c r="AL293" s="102"/>
      <c r="AM293" s="102"/>
      <c r="AN293" s="102"/>
    </row>
    <row r="294" spans="1:40" x14ac:dyDescent="0.25">
      <c r="L294" s="103"/>
      <c r="M294" s="103"/>
      <c r="N294" s="103"/>
      <c r="O294" s="103"/>
      <c r="R294" s="103"/>
      <c r="AA294" s="103"/>
      <c r="AB294" s="103"/>
      <c r="AC294" s="103"/>
      <c r="AD294" s="103"/>
      <c r="AE294" s="103"/>
      <c r="AF294" s="103"/>
      <c r="AG294" s="185"/>
      <c r="AH294" s="103"/>
      <c r="AK294" s="185"/>
      <c r="AL294" s="103"/>
      <c r="AM294" s="103"/>
      <c r="AN294" s="103"/>
    </row>
    <row r="295" spans="1:40" x14ac:dyDescent="0.25">
      <c r="L295" s="103"/>
      <c r="M295" s="103"/>
      <c r="N295" s="103"/>
      <c r="O295" s="103"/>
      <c r="R295" s="103"/>
      <c r="Z295" s="103"/>
      <c r="AA295" s="103"/>
      <c r="AB295" s="103"/>
      <c r="AC295" s="103"/>
      <c r="AD295" s="103"/>
      <c r="AE295" s="103"/>
      <c r="AF295" s="103"/>
      <c r="AG295" s="185"/>
      <c r="AH295" s="103"/>
      <c r="AK295" s="185"/>
      <c r="AL295" s="103"/>
      <c r="AM295" s="103"/>
      <c r="AN295" s="103"/>
    </row>
    <row r="296" spans="1:40" x14ac:dyDescent="0.25">
      <c r="A296" s="103"/>
      <c r="C296" s="103"/>
      <c r="D296" s="103"/>
      <c r="E296" s="103"/>
      <c r="F296" s="103"/>
      <c r="J296" s="103"/>
      <c r="K296" s="103"/>
      <c r="L296" s="103"/>
      <c r="M296" s="103"/>
      <c r="N296" s="103"/>
      <c r="O296" s="103"/>
      <c r="P296" s="103"/>
      <c r="Q296" s="103"/>
      <c r="R296" s="103"/>
      <c r="T296" s="103"/>
      <c r="U296" s="103"/>
      <c r="V296" s="103"/>
      <c r="Z296" s="103"/>
      <c r="AA296" s="103"/>
      <c r="AB296" s="103"/>
      <c r="AC296" s="103"/>
      <c r="AD296" s="103"/>
      <c r="AE296" s="103"/>
      <c r="AF296" s="103"/>
      <c r="AG296" s="185"/>
      <c r="AH296" s="103"/>
      <c r="AI296" s="103"/>
      <c r="AJ296" s="103"/>
      <c r="AK296" s="185"/>
      <c r="AL296" s="103"/>
      <c r="AM296" s="103"/>
      <c r="AN296" s="103"/>
    </row>
    <row r="297" spans="1:40" x14ac:dyDescent="0.25">
      <c r="A297" s="103"/>
      <c r="C297" s="103"/>
      <c r="D297" s="103"/>
      <c r="E297" s="103"/>
      <c r="F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T297" s="103"/>
      <c r="U297" s="103"/>
      <c r="V297" s="103"/>
      <c r="Y297" s="103"/>
      <c r="Z297" s="103"/>
      <c r="AA297" s="103"/>
      <c r="AB297" s="103"/>
      <c r="AC297" s="103"/>
      <c r="AD297" s="103"/>
      <c r="AE297" s="103"/>
      <c r="AF297" s="103"/>
      <c r="AG297" s="185"/>
      <c r="AH297" s="103"/>
      <c r="AI297" s="103"/>
      <c r="AJ297" s="103"/>
      <c r="AK297" s="185"/>
      <c r="AL297" s="103"/>
      <c r="AM297" s="103"/>
      <c r="AN297" s="103"/>
    </row>
    <row r="298" spans="1:40" x14ac:dyDescent="0.25">
      <c r="C298" s="103"/>
      <c r="D298" s="103"/>
      <c r="E298" s="103"/>
      <c r="F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T298" s="103"/>
      <c r="U298" s="103"/>
      <c r="V298" s="103"/>
      <c r="Y298" s="103"/>
      <c r="Z298" s="103"/>
      <c r="AA298" s="103"/>
      <c r="AB298" s="103"/>
      <c r="AC298" s="103"/>
      <c r="AD298" s="103"/>
      <c r="AE298" s="103"/>
      <c r="AF298" s="103"/>
      <c r="AG298" s="185"/>
      <c r="AH298" s="103"/>
      <c r="AI298" s="103"/>
      <c r="AJ298" s="103"/>
      <c r="AK298" s="185"/>
      <c r="AL298" s="103"/>
      <c r="AM298" s="103"/>
      <c r="AN298" s="103"/>
    </row>
    <row r="299" spans="1:40" x14ac:dyDescent="0.25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208"/>
      <c r="AH299" s="102"/>
      <c r="AI299" s="102"/>
      <c r="AJ299" s="102"/>
      <c r="AK299" s="208"/>
      <c r="AL299" s="102"/>
      <c r="AM299" s="102"/>
      <c r="AN299" s="102"/>
    </row>
    <row r="300" spans="1:40" x14ac:dyDescent="0.25"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Y300" s="103"/>
      <c r="Z300" s="103"/>
      <c r="AA300" s="103"/>
      <c r="AB300" s="103"/>
      <c r="AC300" s="103"/>
      <c r="AD300" s="103"/>
      <c r="AE300" s="103"/>
      <c r="AF300" s="103"/>
      <c r="AG300" s="185"/>
      <c r="AH300" s="103"/>
      <c r="AI300" s="103"/>
      <c r="AJ300" s="103"/>
      <c r="AK300" s="185"/>
      <c r="AL300" s="103"/>
      <c r="AM300" s="103"/>
      <c r="AN300" s="103"/>
    </row>
    <row r="301" spans="1:40" x14ac:dyDescent="0.25">
      <c r="A301" s="202"/>
      <c r="C301" s="154"/>
      <c r="D301" s="154"/>
      <c r="E301" s="154"/>
      <c r="T301" s="154"/>
      <c r="U301" s="154"/>
    </row>
    <row r="302" spans="1:40" x14ac:dyDescent="0.25">
      <c r="A302" s="202"/>
      <c r="D302" s="154"/>
      <c r="E302" s="154"/>
      <c r="U302" s="154"/>
    </row>
    <row r="304" spans="1:40" x14ac:dyDescent="0.25">
      <c r="A304" s="202"/>
      <c r="C304" s="154"/>
      <c r="F304" s="200"/>
      <c r="J304" s="215"/>
      <c r="K304" s="215"/>
      <c r="L304" s="200"/>
      <c r="M304" s="200"/>
      <c r="R304" s="200"/>
      <c r="T304" s="154"/>
      <c r="V304" s="200"/>
      <c r="Z304" s="215"/>
      <c r="AA304" s="200"/>
      <c r="AB304" s="200"/>
      <c r="AK304" s="209"/>
      <c r="AL304" s="200"/>
    </row>
    <row r="305" spans="1:40" x14ac:dyDescent="0.25">
      <c r="F305" s="200"/>
      <c r="R305" s="200"/>
      <c r="V305" s="200"/>
      <c r="AK305" s="209"/>
      <c r="AL305" s="200"/>
    </row>
    <row r="306" spans="1:40" x14ac:dyDescent="0.25">
      <c r="A306" s="202"/>
      <c r="C306" s="154"/>
      <c r="F306" s="252"/>
      <c r="H306" s="252"/>
      <c r="I306" s="252"/>
      <c r="J306" s="300"/>
      <c r="K306" s="300"/>
      <c r="L306" s="200"/>
      <c r="M306" s="200"/>
      <c r="N306" s="210"/>
      <c r="O306" s="210"/>
      <c r="P306" s="200"/>
      <c r="Q306" s="200"/>
      <c r="R306" s="200"/>
      <c r="T306" s="154"/>
      <c r="V306" s="200"/>
      <c r="Y306" s="200"/>
      <c r="Z306" s="300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A307" s="202"/>
      <c r="C307" s="154"/>
      <c r="F307" s="252"/>
      <c r="H307" s="317"/>
      <c r="I307" s="317"/>
      <c r="J307" s="300"/>
      <c r="K307" s="300"/>
      <c r="L307" s="200"/>
      <c r="M307" s="200"/>
      <c r="N307" s="210"/>
      <c r="O307" s="210"/>
      <c r="P307" s="200"/>
      <c r="Q307" s="200"/>
      <c r="R307" s="200"/>
      <c r="T307" s="154"/>
      <c r="V307" s="200"/>
      <c r="Y307" s="200"/>
      <c r="Z307" s="300"/>
      <c r="AA307" s="200"/>
      <c r="AB307" s="200"/>
      <c r="AC307" s="210"/>
      <c r="AD307" s="210"/>
      <c r="AE307" s="200"/>
      <c r="AF307" s="200"/>
      <c r="AG307" s="209"/>
      <c r="AH307" s="201"/>
      <c r="AI307" s="200"/>
      <c r="AJ307" s="200"/>
      <c r="AK307" s="209"/>
      <c r="AL307" s="200"/>
      <c r="AM307" s="210"/>
      <c r="AN307" s="210"/>
    </row>
    <row r="308" spans="1:40" x14ac:dyDescent="0.25">
      <c r="F308" s="211"/>
      <c r="H308" s="200"/>
      <c r="I308" s="200"/>
      <c r="J308" s="305"/>
      <c r="K308" s="305"/>
      <c r="L308" s="211"/>
      <c r="M308" s="211"/>
      <c r="N308" s="211"/>
      <c r="O308" s="211"/>
      <c r="P308" s="211"/>
      <c r="Q308" s="211"/>
      <c r="R308" s="211"/>
      <c r="V308" s="211"/>
      <c r="Y308" s="200"/>
      <c r="Z308" s="305"/>
      <c r="AA308" s="211"/>
      <c r="AB308" s="211"/>
      <c r="AC308" s="211"/>
      <c r="AD308" s="211"/>
      <c r="AE308" s="211"/>
      <c r="AF308" s="211"/>
      <c r="AI308" s="211"/>
      <c r="AJ308" s="211"/>
      <c r="AK308" s="212"/>
      <c r="AL308" s="211"/>
    </row>
    <row r="309" spans="1:40" x14ac:dyDescent="0.25">
      <c r="A309" s="202"/>
      <c r="C309" s="154"/>
      <c r="F309" s="200"/>
      <c r="H309" s="200"/>
      <c r="I309" s="200"/>
      <c r="J309" s="213"/>
      <c r="K309" s="213"/>
      <c r="L309" s="200"/>
      <c r="M309" s="200"/>
      <c r="N309" s="210"/>
      <c r="O309" s="210"/>
      <c r="P309" s="200"/>
      <c r="Q309" s="200"/>
      <c r="R309" s="200"/>
      <c r="T309" s="154"/>
      <c r="V309" s="200"/>
      <c r="Y309" s="200"/>
      <c r="Z309" s="213"/>
      <c r="AA309" s="200"/>
      <c r="AB309" s="200"/>
      <c r="AC309" s="210"/>
      <c r="AD309" s="210"/>
      <c r="AE309" s="200"/>
      <c r="AF309" s="200"/>
      <c r="AG309" s="209"/>
      <c r="AH309" s="201"/>
      <c r="AI309" s="200"/>
      <c r="AJ309" s="200"/>
      <c r="AK309" s="209"/>
      <c r="AL309" s="200"/>
      <c r="AM309" s="210"/>
      <c r="AN309" s="210"/>
    </row>
    <row r="310" spans="1:40" x14ac:dyDescent="0.25">
      <c r="F310" s="211"/>
      <c r="H310" s="200"/>
      <c r="I310" s="200"/>
      <c r="J310" s="305"/>
      <c r="K310" s="305"/>
      <c r="L310" s="211"/>
      <c r="M310" s="211"/>
      <c r="N310" s="211"/>
      <c r="O310" s="211"/>
      <c r="P310" s="211"/>
      <c r="Q310" s="211"/>
      <c r="R310" s="211"/>
      <c r="V310" s="211"/>
      <c r="Y310" s="200"/>
      <c r="Z310" s="305"/>
      <c r="AA310" s="211"/>
      <c r="AB310" s="211"/>
      <c r="AC310" s="211"/>
      <c r="AD310" s="211"/>
      <c r="AE310" s="211"/>
      <c r="AF310" s="211"/>
      <c r="AI310" s="211"/>
      <c r="AJ310" s="211"/>
      <c r="AK310" s="212"/>
      <c r="AL310" s="211"/>
    </row>
    <row r="311" spans="1:40" x14ac:dyDescent="0.25">
      <c r="F311" s="200"/>
      <c r="R311" s="200"/>
      <c r="V311" s="200"/>
      <c r="AK311" s="209"/>
      <c r="AL311" s="200"/>
    </row>
    <row r="312" spans="1:40" x14ac:dyDescent="0.25">
      <c r="A312" s="202"/>
      <c r="C312" s="154"/>
      <c r="F312" s="200"/>
      <c r="R312" s="200"/>
      <c r="T312" s="154"/>
      <c r="V312" s="200"/>
      <c r="AK312" s="209"/>
      <c r="AL312" s="200"/>
    </row>
    <row r="313" spans="1:40" x14ac:dyDescent="0.25">
      <c r="F313" s="200"/>
      <c r="R313" s="200"/>
      <c r="V313" s="200"/>
      <c r="AK313" s="209"/>
      <c r="AL313" s="200"/>
    </row>
    <row r="314" spans="1:40" x14ac:dyDescent="0.25">
      <c r="A314" s="202"/>
      <c r="C314" s="154"/>
      <c r="F314" s="200"/>
      <c r="H314" s="252"/>
      <c r="I314" s="252"/>
      <c r="J314" s="320"/>
      <c r="K314" s="320"/>
      <c r="L314" s="200"/>
      <c r="M314" s="200"/>
      <c r="N314" s="210"/>
      <c r="O314" s="210"/>
      <c r="P314" s="252"/>
      <c r="Q314" s="252"/>
      <c r="R314" s="200"/>
      <c r="T314" s="154"/>
      <c r="V314" s="200"/>
      <c r="Y314" s="200"/>
      <c r="Z314" s="304"/>
      <c r="AA314" s="200"/>
      <c r="AB314" s="200"/>
      <c r="AC314" s="210"/>
      <c r="AD314" s="210"/>
      <c r="AE314" s="200"/>
      <c r="AF314" s="200"/>
      <c r="AG314" s="209"/>
      <c r="AH314" s="201"/>
      <c r="AI314" s="252"/>
      <c r="AJ314" s="252"/>
      <c r="AK314" s="209"/>
      <c r="AL314" s="200"/>
      <c r="AM314" s="210"/>
      <c r="AN314" s="210"/>
    </row>
    <row r="315" spans="1:40" x14ac:dyDescent="0.25">
      <c r="H315" s="211"/>
      <c r="I315" s="211"/>
      <c r="J315" s="305"/>
      <c r="K315" s="305"/>
      <c r="L315" s="211"/>
      <c r="M315" s="211"/>
      <c r="N315" s="211"/>
      <c r="O315" s="211"/>
      <c r="P315" s="211"/>
      <c r="Q315" s="211"/>
      <c r="R315" s="211"/>
      <c r="V315" s="211"/>
      <c r="Y315" s="211"/>
      <c r="Z315" s="305"/>
      <c r="AA315" s="211"/>
      <c r="AB315" s="211"/>
      <c r="AC315" s="211"/>
      <c r="AD315" s="211"/>
      <c r="AE315" s="211"/>
      <c r="AF315" s="211"/>
      <c r="AI315" s="211"/>
      <c r="AJ315" s="211"/>
      <c r="AK315" s="212"/>
      <c r="AL315" s="211"/>
    </row>
    <row r="316" spans="1:40" x14ac:dyDescent="0.25">
      <c r="F316" s="211"/>
    </row>
    <row r="317" spans="1:40" x14ac:dyDescent="0.25">
      <c r="A317" s="202"/>
      <c r="C317" s="154"/>
      <c r="F317" s="200"/>
      <c r="H317" s="200"/>
      <c r="I317" s="200"/>
      <c r="J317" s="215"/>
      <c r="K317" s="215"/>
      <c r="L317" s="200"/>
      <c r="M317" s="200"/>
      <c r="N317" s="210"/>
      <c r="O317" s="210"/>
      <c r="P317" s="200"/>
      <c r="Q317" s="200"/>
      <c r="R317" s="200"/>
      <c r="T317" s="154"/>
      <c r="V317" s="200"/>
      <c r="Y317" s="200"/>
      <c r="Z317" s="215"/>
      <c r="AA317" s="200"/>
      <c r="AB317" s="200"/>
      <c r="AC317" s="210"/>
      <c r="AD317" s="210"/>
      <c r="AE317" s="200"/>
      <c r="AF317" s="200"/>
      <c r="AG317" s="209"/>
      <c r="AH317" s="201"/>
      <c r="AI317" s="200"/>
      <c r="AJ317" s="200"/>
      <c r="AK317" s="209"/>
      <c r="AL317" s="200"/>
      <c r="AM317" s="210"/>
      <c r="AN317" s="210"/>
    </row>
    <row r="318" spans="1:40" x14ac:dyDescent="0.25">
      <c r="F318" s="211"/>
      <c r="H318" s="211"/>
      <c r="I318" s="211"/>
      <c r="J318" s="305"/>
      <c r="K318" s="305"/>
      <c r="L318" s="211"/>
      <c r="M318" s="211"/>
      <c r="N318" s="211"/>
      <c r="O318" s="211"/>
      <c r="P318" s="211"/>
      <c r="Q318" s="211"/>
      <c r="R318" s="211"/>
      <c r="V318" s="211"/>
      <c r="Y318" s="211"/>
      <c r="Z318" s="305"/>
      <c r="AA318" s="211"/>
      <c r="AB318" s="211"/>
      <c r="AC318" s="211"/>
      <c r="AD318" s="211"/>
      <c r="AE318" s="211"/>
      <c r="AF318" s="211"/>
      <c r="AI318" s="211"/>
      <c r="AJ318" s="211"/>
      <c r="AK318" s="212"/>
      <c r="AL318" s="211"/>
    </row>
    <row r="319" spans="1:40" x14ac:dyDescent="0.25">
      <c r="R319" s="200"/>
      <c r="AG319" s="209"/>
      <c r="AH319" s="200"/>
    </row>
    <row r="320" spans="1:40" x14ac:dyDescent="0.25">
      <c r="F320" s="200"/>
      <c r="H320" s="200"/>
      <c r="I320" s="200"/>
      <c r="J320" s="213"/>
      <c r="K320" s="213"/>
      <c r="L320" s="200"/>
      <c r="M320" s="200"/>
      <c r="N320" s="200"/>
      <c r="O320" s="200"/>
      <c r="P320" s="200"/>
      <c r="Q320" s="200"/>
      <c r="R320" s="200"/>
      <c r="V320" s="200"/>
      <c r="Y320" s="200"/>
      <c r="Z320" s="213"/>
      <c r="AA320" s="200"/>
      <c r="AB320" s="200"/>
      <c r="AC320" s="200"/>
      <c r="AD320" s="200"/>
      <c r="AE320" s="200"/>
      <c r="AF320" s="200"/>
      <c r="AG320" s="209"/>
      <c r="AH320" s="200"/>
    </row>
    <row r="321" spans="1:40" x14ac:dyDescent="0.25">
      <c r="C321" s="154"/>
      <c r="F321" s="200"/>
      <c r="H321" s="200"/>
      <c r="I321" s="200"/>
      <c r="J321" s="213"/>
      <c r="K321" s="213"/>
      <c r="L321" s="200"/>
      <c r="M321" s="200"/>
      <c r="N321" s="200"/>
      <c r="O321" s="200"/>
      <c r="P321" s="200"/>
      <c r="Q321" s="200"/>
      <c r="R321" s="200"/>
      <c r="T321" s="154"/>
      <c r="V321" s="200"/>
      <c r="Y321" s="200"/>
      <c r="Z321" s="213"/>
      <c r="AA321" s="200"/>
      <c r="AB321" s="200"/>
      <c r="AC321" s="200"/>
      <c r="AD321" s="200"/>
      <c r="AE321" s="200"/>
      <c r="AF321" s="200"/>
      <c r="AG321" s="209"/>
      <c r="AH321" s="200"/>
    </row>
    <row r="322" spans="1:40" x14ac:dyDescent="0.25">
      <c r="A322" s="154"/>
    </row>
    <row r="324" spans="1:40" x14ac:dyDescent="0.25">
      <c r="J324" s="202"/>
      <c r="K324" s="202"/>
      <c r="Z324" s="202"/>
    </row>
    <row r="325" spans="1:40" x14ac:dyDescent="0.25">
      <c r="H325" s="154"/>
      <c r="I325" s="154"/>
      <c r="Y325" s="154"/>
    </row>
    <row r="326" spans="1:40" x14ac:dyDescent="0.25">
      <c r="J326" s="202"/>
      <c r="K326" s="202"/>
      <c r="Z326" s="202"/>
    </row>
    <row r="327" spans="1:40" x14ac:dyDescent="0.25">
      <c r="L327" s="154"/>
      <c r="M327" s="154"/>
      <c r="AA327" s="154"/>
      <c r="AB327" s="154"/>
    </row>
    <row r="328" spans="1:40" x14ac:dyDescent="0.25">
      <c r="A328" s="202"/>
      <c r="R328" s="154"/>
      <c r="AK328" s="297"/>
      <c r="AL328" s="154"/>
    </row>
    <row r="329" spans="1:40" x14ac:dyDescent="0.25">
      <c r="A329" s="202"/>
      <c r="R329" s="154"/>
      <c r="AK329" s="297"/>
      <c r="AL329" s="154"/>
    </row>
    <row r="330" spans="1:40" x14ac:dyDescent="0.25">
      <c r="A330" s="154"/>
      <c r="R330" s="154"/>
      <c r="AK330" s="297"/>
      <c r="AL330" s="154"/>
    </row>
    <row r="331" spans="1:40" x14ac:dyDescent="0.25">
      <c r="L331" s="154"/>
      <c r="M331" s="154"/>
      <c r="R331" s="202"/>
      <c r="AA331" s="154"/>
      <c r="AB331" s="154"/>
      <c r="AK331" s="209"/>
      <c r="AL331" s="202"/>
    </row>
    <row r="332" spans="1:40" x14ac:dyDescent="0.2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208"/>
      <c r="AH332" s="102"/>
      <c r="AI332" s="102"/>
      <c r="AJ332" s="102"/>
      <c r="AK332" s="208"/>
      <c r="AL332" s="102"/>
      <c r="AM332" s="102"/>
      <c r="AN332" s="102"/>
    </row>
    <row r="333" spans="1:40" x14ac:dyDescent="0.25">
      <c r="L333" s="103"/>
      <c r="M333" s="103"/>
      <c r="N333" s="103"/>
      <c r="O333" s="103"/>
      <c r="R333" s="103"/>
      <c r="AA333" s="103"/>
      <c r="AB333" s="103"/>
      <c r="AC333" s="103"/>
      <c r="AD333" s="103"/>
      <c r="AE333" s="103"/>
      <c r="AF333" s="103"/>
      <c r="AG333" s="185"/>
      <c r="AH333" s="103"/>
      <c r="AK333" s="185"/>
      <c r="AL333" s="103"/>
      <c r="AM333" s="103"/>
      <c r="AN333" s="103"/>
    </row>
    <row r="334" spans="1:40" x14ac:dyDescent="0.25">
      <c r="L334" s="103"/>
      <c r="M334" s="103"/>
      <c r="N334" s="103"/>
      <c r="O334" s="103"/>
      <c r="R334" s="103"/>
      <c r="Z334" s="103"/>
      <c r="AA334" s="103"/>
      <c r="AB334" s="103"/>
      <c r="AC334" s="103"/>
      <c r="AD334" s="103"/>
      <c r="AE334" s="103"/>
      <c r="AF334" s="103"/>
      <c r="AG334" s="185"/>
      <c r="AH334" s="103"/>
      <c r="AK334" s="185"/>
      <c r="AL334" s="103"/>
      <c r="AM334" s="103"/>
      <c r="AN334" s="103"/>
    </row>
    <row r="335" spans="1:40" x14ac:dyDescent="0.25">
      <c r="A335" s="103"/>
      <c r="C335" s="103"/>
      <c r="D335" s="103"/>
      <c r="E335" s="103"/>
      <c r="F335" s="103"/>
      <c r="J335" s="103"/>
      <c r="K335" s="103"/>
      <c r="L335" s="103"/>
      <c r="M335" s="103"/>
      <c r="N335" s="103"/>
      <c r="O335" s="103"/>
      <c r="P335" s="103"/>
      <c r="Q335" s="103"/>
      <c r="R335" s="103"/>
      <c r="T335" s="103"/>
      <c r="U335" s="103"/>
      <c r="V335" s="103"/>
      <c r="Z335" s="103"/>
      <c r="AA335" s="103"/>
      <c r="AB335" s="103"/>
      <c r="AC335" s="103"/>
      <c r="AD335" s="103"/>
      <c r="AE335" s="103"/>
      <c r="AF335" s="103"/>
      <c r="AG335" s="185"/>
      <c r="AH335" s="103"/>
      <c r="AI335" s="103"/>
      <c r="AJ335" s="103"/>
      <c r="AK335" s="185"/>
      <c r="AL335" s="103"/>
      <c r="AM335" s="103"/>
      <c r="AN335" s="103"/>
    </row>
    <row r="336" spans="1:40" x14ac:dyDescent="0.25">
      <c r="A336" s="103"/>
      <c r="C336" s="103"/>
      <c r="D336" s="103"/>
      <c r="E336" s="103"/>
      <c r="F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T336" s="103"/>
      <c r="U336" s="103"/>
      <c r="V336" s="103"/>
      <c r="Y336" s="103"/>
      <c r="Z336" s="103"/>
      <c r="AA336" s="103"/>
      <c r="AB336" s="103"/>
      <c r="AC336" s="103"/>
      <c r="AD336" s="103"/>
      <c r="AE336" s="103"/>
      <c r="AF336" s="103"/>
      <c r="AG336" s="185"/>
      <c r="AH336" s="103"/>
      <c r="AI336" s="103"/>
      <c r="AJ336" s="103"/>
      <c r="AK336" s="185"/>
      <c r="AL336" s="103"/>
      <c r="AM336" s="103"/>
      <c r="AN336" s="103"/>
    </row>
    <row r="337" spans="1:40" x14ac:dyDescent="0.25">
      <c r="C337" s="103"/>
      <c r="D337" s="103"/>
      <c r="E337" s="103"/>
      <c r="F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T337" s="103"/>
      <c r="U337" s="103"/>
      <c r="V337" s="103"/>
      <c r="Y337" s="103"/>
      <c r="Z337" s="103"/>
      <c r="AA337" s="103"/>
      <c r="AB337" s="103"/>
      <c r="AC337" s="103"/>
      <c r="AD337" s="103"/>
      <c r="AE337" s="103"/>
      <c r="AF337" s="103"/>
      <c r="AG337" s="185"/>
      <c r="AH337" s="103"/>
      <c r="AI337" s="103"/>
      <c r="AJ337" s="103"/>
      <c r="AK337" s="185"/>
      <c r="AL337" s="103"/>
      <c r="AM337" s="103"/>
      <c r="AN337" s="103"/>
    </row>
    <row r="338" spans="1:40" x14ac:dyDescent="0.25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208"/>
      <c r="AH338" s="102"/>
      <c r="AI338" s="102"/>
      <c r="AJ338" s="102"/>
      <c r="AK338" s="208"/>
      <c r="AL338" s="102"/>
      <c r="AM338" s="102"/>
      <c r="AN338" s="102"/>
    </row>
    <row r="339" spans="1:40" x14ac:dyDescent="0.25"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Y339" s="103"/>
      <c r="Z339" s="103"/>
      <c r="AA339" s="103"/>
      <c r="AB339" s="103"/>
      <c r="AC339" s="103"/>
      <c r="AD339" s="103"/>
      <c r="AE339" s="103"/>
      <c r="AF339" s="103"/>
      <c r="AG339" s="185"/>
      <c r="AH339" s="103"/>
      <c r="AI339" s="103"/>
      <c r="AJ339" s="103"/>
      <c r="AK339" s="185"/>
      <c r="AL339" s="103"/>
      <c r="AM339" s="103"/>
      <c r="AN339" s="103"/>
    </row>
    <row r="340" spans="1:40" x14ac:dyDescent="0.25">
      <c r="A340" s="202"/>
      <c r="C340" s="154"/>
      <c r="D340" s="154"/>
      <c r="E340" s="154"/>
      <c r="T340" s="154"/>
      <c r="U340" s="154"/>
    </row>
    <row r="341" spans="1:40" x14ac:dyDescent="0.25">
      <c r="A341" s="202"/>
      <c r="C341" s="154"/>
      <c r="T341" s="154"/>
    </row>
    <row r="343" spans="1:40" x14ac:dyDescent="0.25">
      <c r="A343" s="202"/>
      <c r="C343" s="154"/>
      <c r="F343" s="252"/>
      <c r="H343" s="252"/>
      <c r="I343" s="252"/>
      <c r="J343" s="300"/>
      <c r="K343" s="300"/>
      <c r="L343" s="200"/>
      <c r="M343" s="200"/>
      <c r="N343" s="210"/>
      <c r="O343" s="210"/>
      <c r="P343" s="202"/>
      <c r="Q343" s="202"/>
      <c r="R343" s="200"/>
      <c r="T343" s="154"/>
      <c r="V343" s="200"/>
      <c r="Y343" s="252"/>
      <c r="Z343" s="300"/>
      <c r="AA343" s="200"/>
      <c r="AB343" s="200"/>
      <c r="AC343" s="210"/>
      <c r="AD343" s="210"/>
      <c r="AE343" s="200"/>
      <c r="AF343" s="200"/>
      <c r="AG343" s="209"/>
      <c r="AH343" s="201"/>
      <c r="AI343" s="202"/>
      <c r="AJ343" s="202"/>
      <c r="AK343" s="209"/>
      <c r="AL343" s="200"/>
      <c r="AM343" s="210"/>
      <c r="AN343" s="210"/>
    </row>
    <row r="344" spans="1:40" x14ac:dyDescent="0.25">
      <c r="F344" s="211"/>
      <c r="H344" s="200"/>
      <c r="I344" s="200"/>
      <c r="J344" s="305"/>
      <c r="K344" s="305"/>
      <c r="L344" s="211"/>
      <c r="M344" s="211"/>
      <c r="N344" s="211"/>
      <c r="O344" s="211"/>
      <c r="P344" s="211"/>
      <c r="Q344" s="211"/>
      <c r="R344" s="211"/>
      <c r="V344" s="211"/>
      <c r="Y344" s="200"/>
      <c r="Z344" s="305"/>
      <c r="AA344" s="211"/>
      <c r="AB344" s="211"/>
      <c r="AC344" s="211"/>
      <c r="AD344" s="211"/>
      <c r="AE344" s="211"/>
      <c r="AF344" s="211"/>
      <c r="AI344" s="211"/>
      <c r="AJ344" s="211"/>
      <c r="AK344" s="212"/>
      <c r="AL344" s="211"/>
      <c r="AM344" s="210"/>
      <c r="AN344" s="210"/>
    </row>
    <row r="345" spans="1:40" x14ac:dyDescent="0.25">
      <c r="A345" s="202"/>
      <c r="C345" s="154"/>
      <c r="F345" s="252"/>
      <c r="H345" s="252"/>
      <c r="I345" s="252"/>
      <c r="J345" s="328"/>
      <c r="K345" s="328"/>
      <c r="L345" s="200"/>
      <c r="M345" s="200"/>
      <c r="N345" s="210"/>
      <c r="O345" s="210"/>
      <c r="P345" s="200"/>
      <c r="Q345" s="200"/>
      <c r="R345" s="200"/>
      <c r="S345" s="200"/>
      <c r="T345" s="154"/>
      <c r="V345" s="252"/>
      <c r="Y345" s="252"/>
      <c r="Z345" s="328"/>
      <c r="AA345" s="200"/>
      <c r="AB345" s="200"/>
      <c r="AC345" s="210"/>
      <c r="AD345" s="210"/>
      <c r="AE345" s="200"/>
      <c r="AF345" s="200"/>
      <c r="AG345" s="209"/>
      <c r="AH345" s="210"/>
      <c r="AI345" s="200"/>
      <c r="AJ345" s="200"/>
      <c r="AK345" s="209"/>
      <c r="AL345" s="200"/>
      <c r="AM345" s="210"/>
      <c r="AN345" s="210"/>
    </row>
    <row r="346" spans="1:40" x14ac:dyDescent="0.25">
      <c r="A346" s="202"/>
      <c r="C346" s="154"/>
      <c r="F346" s="252"/>
      <c r="H346" s="252"/>
      <c r="I346" s="252"/>
      <c r="J346" s="300"/>
      <c r="K346" s="300"/>
      <c r="L346" s="200"/>
      <c r="M346" s="200"/>
      <c r="N346" s="210"/>
      <c r="O346" s="210"/>
      <c r="P346" s="200"/>
      <c r="Q346" s="200"/>
      <c r="R346" s="200"/>
      <c r="T346" s="154"/>
      <c r="V346" s="252"/>
      <c r="Y346" s="200"/>
      <c r="Z346" s="300"/>
      <c r="AA346" s="200"/>
      <c r="AB346" s="200"/>
      <c r="AC346" s="210"/>
      <c r="AD346" s="210"/>
      <c r="AE346" s="200"/>
      <c r="AF346" s="200"/>
      <c r="AG346" s="209"/>
      <c r="AH346" s="201"/>
      <c r="AI346" s="200"/>
      <c r="AJ346" s="200"/>
      <c r="AK346" s="209"/>
      <c r="AL346" s="200"/>
      <c r="AM346" s="210"/>
      <c r="AN346" s="210"/>
    </row>
    <row r="347" spans="1:40" x14ac:dyDescent="0.25">
      <c r="A347" s="202"/>
      <c r="C347" s="154"/>
      <c r="F347" s="252"/>
      <c r="H347" s="252"/>
      <c r="I347" s="252"/>
      <c r="J347" s="300"/>
      <c r="K347" s="300"/>
      <c r="L347" s="200"/>
      <c r="M347" s="200"/>
      <c r="N347" s="210"/>
      <c r="O347" s="210"/>
      <c r="P347" s="200"/>
      <c r="Q347" s="200"/>
      <c r="R347" s="200"/>
      <c r="T347" s="154"/>
      <c r="V347" s="252"/>
      <c r="Y347" s="200"/>
      <c r="Z347" s="300"/>
      <c r="AA347" s="200"/>
      <c r="AB347" s="200"/>
      <c r="AC347" s="210"/>
      <c r="AD347" s="210"/>
      <c r="AE347" s="200"/>
      <c r="AF347" s="200"/>
      <c r="AG347" s="209"/>
      <c r="AH347" s="201"/>
      <c r="AI347" s="200"/>
      <c r="AJ347" s="200"/>
      <c r="AK347" s="209"/>
      <c r="AL347" s="200"/>
      <c r="AM347" s="210"/>
      <c r="AN347" s="210"/>
    </row>
    <row r="348" spans="1:40" x14ac:dyDescent="0.25">
      <c r="F348" s="211"/>
      <c r="H348" s="211"/>
      <c r="I348" s="211"/>
      <c r="J348" s="305"/>
      <c r="K348" s="305"/>
      <c r="L348" s="211"/>
      <c r="M348" s="211"/>
      <c r="N348" s="211"/>
      <c r="O348" s="211"/>
      <c r="P348" s="211"/>
      <c r="Q348" s="211"/>
      <c r="R348" s="211"/>
      <c r="V348" s="211"/>
      <c r="Y348" s="211"/>
      <c r="Z348" s="305"/>
      <c r="AA348" s="211"/>
      <c r="AB348" s="211"/>
      <c r="AC348" s="211"/>
      <c r="AD348" s="211"/>
      <c r="AE348" s="211"/>
      <c r="AF348" s="211"/>
      <c r="AI348" s="211"/>
      <c r="AJ348" s="211"/>
      <c r="AK348" s="212"/>
      <c r="AL348" s="211"/>
      <c r="AM348" s="210"/>
      <c r="AN348" s="210"/>
    </row>
    <row r="349" spans="1:40" x14ac:dyDescent="0.25">
      <c r="A349" s="202"/>
      <c r="C349" s="154"/>
      <c r="F349" s="200"/>
      <c r="H349" s="200"/>
      <c r="I349" s="200"/>
      <c r="J349" s="213"/>
      <c r="K349" s="213"/>
      <c r="L349" s="200"/>
      <c r="M349" s="200"/>
      <c r="N349" s="210"/>
      <c r="O349" s="210"/>
      <c r="P349" s="200"/>
      <c r="Q349" s="200"/>
      <c r="R349" s="200"/>
      <c r="T349" s="154"/>
      <c r="V349" s="200"/>
      <c r="Y349" s="200"/>
      <c r="Z349" s="213"/>
      <c r="AA349" s="200"/>
      <c r="AB349" s="200"/>
      <c r="AC349" s="210"/>
      <c r="AD349" s="210"/>
      <c r="AE349" s="200"/>
      <c r="AF349" s="200"/>
      <c r="AG349" s="209"/>
      <c r="AH349" s="201"/>
      <c r="AI349" s="200"/>
      <c r="AJ349" s="200"/>
      <c r="AK349" s="209"/>
      <c r="AL349" s="200"/>
      <c r="AM349" s="210"/>
      <c r="AN349" s="210"/>
    </row>
    <row r="350" spans="1:40" x14ac:dyDescent="0.25">
      <c r="F350" s="211"/>
      <c r="H350" s="211"/>
      <c r="I350" s="211"/>
      <c r="J350" s="305"/>
      <c r="K350" s="305"/>
      <c r="L350" s="211"/>
      <c r="M350" s="211"/>
      <c r="N350" s="211"/>
      <c r="O350" s="211"/>
      <c r="P350" s="211"/>
      <c r="Q350" s="211"/>
      <c r="R350" s="211"/>
      <c r="V350" s="211"/>
      <c r="Y350" s="211"/>
      <c r="Z350" s="305"/>
      <c r="AA350" s="211"/>
      <c r="AB350" s="211"/>
      <c r="AC350" s="211"/>
      <c r="AD350" s="211"/>
      <c r="AE350" s="211"/>
      <c r="AF350" s="211"/>
      <c r="AI350" s="211"/>
      <c r="AJ350" s="211"/>
      <c r="AK350" s="212"/>
      <c r="AL350" s="211"/>
      <c r="AM350" s="210"/>
      <c r="AN350" s="210"/>
    </row>
    <row r="351" spans="1:40" x14ac:dyDescent="0.25">
      <c r="A351" s="202"/>
      <c r="C351" s="154"/>
      <c r="F351" s="200"/>
      <c r="H351" s="200"/>
      <c r="I351" s="200"/>
      <c r="J351" s="213"/>
      <c r="K351" s="213"/>
      <c r="L351" s="200"/>
      <c r="M351" s="200"/>
      <c r="N351" s="210"/>
      <c r="O351" s="210"/>
      <c r="P351" s="200"/>
      <c r="Q351" s="200"/>
      <c r="R351" s="200"/>
      <c r="T351" s="154"/>
      <c r="V351" s="200"/>
      <c r="Y351" s="200"/>
      <c r="Z351" s="213"/>
      <c r="AA351" s="200"/>
      <c r="AB351" s="200"/>
      <c r="AC351" s="210"/>
      <c r="AD351" s="210"/>
      <c r="AE351" s="200"/>
      <c r="AF351" s="200"/>
      <c r="AG351" s="209"/>
      <c r="AH351" s="201"/>
      <c r="AI351" s="200"/>
      <c r="AJ351" s="200"/>
      <c r="AK351" s="209"/>
      <c r="AL351" s="200"/>
      <c r="AM351" s="210"/>
      <c r="AN351" s="210"/>
    </row>
    <row r="352" spans="1:40" x14ac:dyDescent="0.25">
      <c r="A352" s="202"/>
      <c r="C352" s="154"/>
      <c r="F352" s="200"/>
      <c r="H352" s="252"/>
      <c r="I352" s="252"/>
      <c r="J352" s="320"/>
      <c r="K352" s="320"/>
      <c r="L352" s="200"/>
      <c r="M352" s="200"/>
      <c r="N352" s="210"/>
      <c r="O352" s="210"/>
      <c r="P352" s="200"/>
      <c r="Q352" s="200"/>
      <c r="R352" s="200"/>
      <c r="T352" s="154"/>
      <c r="V352" s="200"/>
      <c r="Y352" s="200"/>
      <c r="Z352" s="304"/>
      <c r="AA352" s="200"/>
      <c r="AB352" s="200"/>
      <c r="AC352" s="210"/>
      <c r="AD352" s="210"/>
      <c r="AE352" s="200"/>
      <c r="AF352" s="200"/>
      <c r="AG352" s="209"/>
      <c r="AH352" s="201"/>
      <c r="AI352" s="200"/>
      <c r="AJ352" s="200"/>
      <c r="AK352" s="209"/>
      <c r="AL352" s="200"/>
      <c r="AM352" s="210"/>
      <c r="AN352" s="210"/>
    </row>
    <row r="353" spans="1:40" x14ac:dyDescent="0.25">
      <c r="H353" s="211"/>
      <c r="I353" s="211"/>
      <c r="J353" s="305"/>
      <c r="K353" s="305"/>
      <c r="L353" s="211"/>
      <c r="M353" s="211"/>
      <c r="N353" s="211"/>
      <c r="O353" s="211"/>
      <c r="P353" s="211"/>
      <c r="Q353" s="211"/>
      <c r="R353" s="211"/>
      <c r="V353" s="211"/>
      <c r="Y353" s="211"/>
      <c r="Z353" s="305"/>
      <c r="AA353" s="211"/>
      <c r="AB353" s="211"/>
      <c r="AC353" s="211"/>
      <c r="AD353" s="211"/>
      <c r="AE353" s="211"/>
      <c r="AF353" s="211"/>
      <c r="AI353" s="211"/>
      <c r="AJ353" s="211"/>
      <c r="AK353" s="212"/>
      <c r="AL353" s="211"/>
      <c r="AM353" s="210"/>
      <c r="AN353" s="210"/>
    </row>
    <row r="354" spans="1:40" x14ac:dyDescent="0.25">
      <c r="F354" s="211"/>
    </row>
    <row r="355" spans="1:40" x14ac:dyDescent="0.25">
      <c r="A355" s="202"/>
      <c r="C355" s="154"/>
      <c r="F355" s="200"/>
      <c r="H355" s="200"/>
      <c r="I355" s="200"/>
      <c r="J355" s="305"/>
      <c r="K355" s="305"/>
      <c r="L355" s="200"/>
      <c r="M355" s="200"/>
      <c r="N355" s="210"/>
      <c r="O355" s="210"/>
      <c r="P355" s="200"/>
      <c r="Q355" s="200"/>
      <c r="R355" s="200"/>
      <c r="S355" s="200"/>
      <c r="T355" s="154"/>
      <c r="V355" s="200"/>
      <c r="Y355" s="200"/>
      <c r="Z355" s="305"/>
      <c r="AA355" s="200"/>
      <c r="AB355" s="200"/>
      <c r="AC355" s="210"/>
      <c r="AD355" s="210"/>
      <c r="AE355" s="200"/>
      <c r="AF355" s="200"/>
      <c r="AG355" s="209"/>
      <c r="AH355" s="210"/>
      <c r="AI355" s="200"/>
      <c r="AJ355" s="200"/>
      <c r="AK355" s="209"/>
      <c r="AL355" s="200"/>
      <c r="AM355" s="210"/>
      <c r="AN355" s="210"/>
    </row>
    <row r="356" spans="1:40" x14ac:dyDescent="0.25">
      <c r="F356" s="211"/>
      <c r="H356" s="211"/>
      <c r="I356" s="211"/>
      <c r="J356" s="305"/>
      <c r="K356" s="305"/>
      <c r="L356" s="211"/>
      <c r="M356" s="211"/>
      <c r="N356" s="211"/>
      <c r="O356" s="211"/>
      <c r="P356" s="211"/>
      <c r="Q356" s="211"/>
      <c r="R356" s="211"/>
      <c r="S356" s="200"/>
      <c r="V356" s="211"/>
      <c r="Y356" s="211"/>
      <c r="Z356" s="305"/>
      <c r="AA356" s="211"/>
      <c r="AB356" s="211"/>
      <c r="AC356" s="211"/>
      <c r="AD356" s="211"/>
      <c r="AE356" s="211"/>
      <c r="AF356" s="211"/>
      <c r="AI356" s="211"/>
      <c r="AJ356" s="211"/>
      <c r="AK356" s="212"/>
      <c r="AL356" s="211"/>
      <c r="AM356" s="210"/>
      <c r="AN356" s="210"/>
    </row>
    <row r="357" spans="1:40" x14ac:dyDescent="0.25">
      <c r="A357" s="202"/>
      <c r="C357" s="154"/>
      <c r="H357" s="252"/>
      <c r="I357" s="252"/>
      <c r="J357" s="305"/>
      <c r="K357" s="305"/>
      <c r="L357" s="200"/>
      <c r="M357" s="200"/>
      <c r="N357" s="210"/>
      <c r="O357" s="210"/>
      <c r="P357" s="200"/>
      <c r="Q357" s="200"/>
      <c r="R357" s="200"/>
      <c r="S357" s="200"/>
      <c r="T357" s="154"/>
      <c r="V357" s="252"/>
      <c r="Y357" s="252"/>
      <c r="Z357" s="305"/>
      <c r="AA357" s="200"/>
      <c r="AB357" s="200"/>
      <c r="AC357" s="210"/>
      <c r="AD357" s="210"/>
      <c r="AE357" s="200"/>
      <c r="AF357" s="200"/>
      <c r="AI357" s="200"/>
      <c r="AJ357" s="200"/>
      <c r="AK357" s="209"/>
      <c r="AL357" s="200"/>
      <c r="AM357" s="210"/>
      <c r="AN357" s="210"/>
    </row>
    <row r="358" spans="1:40" x14ac:dyDescent="0.25">
      <c r="F358" s="252"/>
    </row>
    <row r="359" spans="1:40" x14ac:dyDescent="0.25">
      <c r="A359" s="202"/>
      <c r="C359" s="154"/>
      <c r="F359" s="252"/>
      <c r="H359" s="252"/>
      <c r="I359" s="252"/>
      <c r="J359" s="300"/>
      <c r="K359" s="300"/>
      <c r="L359" s="200"/>
      <c r="M359" s="200"/>
      <c r="N359" s="210"/>
      <c r="O359" s="210"/>
      <c r="P359" s="202"/>
      <c r="Q359" s="202"/>
      <c r="R359" s="200"/>
      <c r="T359" s="154"/>
      <c r="V359" s="200"/>
      <c r="Y359" s="252"/>
      <c r="Z359" s="300"/>
      <c r="AA359" s="200"/>
      <c r="AB359" s="200"/>
      <c r="AC359" s="210"/>
      <c r="AD359" s="210"/>
      <c r="AE359" s="200"/>
      <c r="AF359" s="200"/>
      <c r="AG359" s="209"/>
      <c r="AH359" s="201"/>
      <c r="AI359" s="202"/>
      <c r="AJ359" s="202"/>
      <c r="AK359" s="209"/>
      <c r="AL359" s="200"/>
      <c r="AM359" s="210"/>
      <c r="AN359" s="210"/>
    </row>
    <row r="360" spans="1:40" x14ac:dyDescent="0.25">
      <c r="F360" s="211"/>
      <c r="H360" s="200"/>
      <c r="I360" s="200"/>
      <c r="J360" s="305"/>
      <c r="K360" s="305"/>
      <c r="L360" s="211"/>
      <c r="M360" s="211"/>
      <c r="N360" s="211"/>
      <c r="O360" s="211"/>
      <c r="P360" s="211"/>
      <c r="Q360" s="211"/>
      <c r="R360" s="211"/>
      <c r="V360" s="211"/>
      <c r="Y360" s="200"/>
      <c r="Z360" s="305"/>
      <c r="AA360" s="211"/>
      <c r="AB360" s="211"/>
      <c r="AC360" s="211"/>
      <c r="AD360" s="211"/>
      <c r="AE360" s="211"/>
      <c r="AF360" s="211"/>
      <c r="AI360" s="211"/>
      <c r="AJ360" s="211"/>
      <c r="AK360" s="212"/>
      <c r="AL360" s="211"/>
      <c r="AM360" s="210"/>
      <c r="AN360" s="210"/>
    </row>
    <row r="361" spans="1:40" x14ac:dyDescent="0.25">
      <c r="A361" s="202"/>
      <c r="C361" s="154"/>
      <c r="F361" s="252"/>
      <c r="H361" s="252"/>
      <c r="I361" s="252"/>
      <c r="J361" s="328"/>
      <c r="K361" s="328"/>
      <c r="L361" s="200"/>
      <c r="M361" s="200"/>
      <c r="N361" s="210"/>
      <c r="O361" s="210"/>
      <c r="P361" s="200"/>
      <c r="Q361" s="200"/>
      <c r="R361" s="200"/>
      <c r="S361" s="200"/>
      <c r="T361" s="154"/>
      <c r="V361" s="252"/>
      <c r="Y361" s="252"/>
      <c r="Z361" s="328"/>
      <c r="AA361" s="200"/>
      <c r="AB361" s="200"/>
      <c r="AC361" s="210"/>
      <c r="AD361" s="210"/>
      <c r="AE361" s="200"/>
      <c r="AF361" s="200"/>
      <c r="AG361" s="209"/>
      <c r="AH361" s="210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00"/>
      <c r="K362" s="300"/>
      <c r="L362" s="200"/>
      <c r="M362" s="200"/>
      <c r="N362" s="210"/>
      <c r="O362" s="210"/>
      <c r="P362" s="200"/>
      <c r="Q362" s="200"/>
      <c r="R362" s="200"/>
      <c r="T362" s="154"/>
      <c r="V362" s="252"/>
      <c r="Y362" s="200"/>
      <c r="Z362" s="300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52"/>
      <c r="H363" s="252"/>
      <c r="I363" s="252"/>
      <c r="J363" s="300"/>
      <c r="K363" s="300"/>
      <c r="L363" s="200"/>
      <c r="M363" s="200"/>
      <c r="N363" s="210"/>
      <c r="O363" s="210"/>
      <c r="P363" s="200"/>
      <c r="Q363" s="200"/>
      <c r="R363" s="200"/>
      <c r="T363" s="154"/>
      <c r="V363" s="252"/>
      <c r="Y363" s="200"/>
      <c r="Z363" s="300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F364" s="211"/>
      <c r="H364" s="211"/>
      <c r="I364" s="211"/>
      <c r="J364" s="305"/>
      <c r="K364" s="305"/>
      <c r="L364" s="211"/>
      <c r="M364" s="211"/>
      <c r="N364" s="211"/>
      <c r="O364" s="211"/>
      <c r="P364" s="211"/>
      <c r="Q364" s="211"/>
      <c r="R364" s="211"/>
      <c r="V364" s="211"/>
      <c r="Y364" s="211"/>
      <c r="Z364" s="305"/>
      <c r="AA364" s="211"/>
      <c r="AB364" s="211"/>
      <c r="AC364" s="211"/>
      <c r="AD364" s="211"/>
      <c r="AE364" s="211"/>
      <c r="AF364" s="211"/>
      <c r="AI364" s="211"/>
      <c r="AJ364" s="211"/>
      <c r="AK364" s="212"/>
      <c r="AL364" s="211"/>
      <c r="AM364" s="210"/>
      <c r="AN364" s="210"/>
    </row>
    <row r="365" spans="1:40" x14ac:dyDescent="0.25">
      <c r="A365" s="202"/>
      <c r="C365" s="154"/>
      <c r="F365" s="200"/>
      <c r="H365" s="200"/>
      <c r="I365" s="200"/>
      <c r="J365" s="213"/>
      <c r="K365" s="213"/>
      <c r="L365" s="200"/>
      <c r="M365" s="200"/>
      <c r="N365" s="210"/>
      <c r="O365" s="210"/>
      <c r="P365" s="200"/>
      <c r="Q365" s="200"/>
      <c r="R365" s="200"/>
      <c r="T365" s="154"/>
      <c r="V365" s="200"/>
      <c r="Y365" s="200"/>
      <c r="Z365" s="213"/>
      <c r="AA365" s="200"/>
      <c r="AB365" s="200"/>
      <c r="AC365" s="210"/>
      <c r="AD365" s="21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F366" s="211"/>
      <c r="H366" s="211"/>
      <c r="I366" s="211"/>
      <c r="J366" s="305"/>
      <c r="K366" s="305"/>
      <c r="L366" s="211"/>
      <c r="M366" s="211"/>
      <c r="N366" s="211"/>
      <c r="O366" s="211"/>
      <c r="P366" s="211"/>
      <c r="Q366" s="211"/>
      <c r="R366" s="211"/>
      <c r="V366" s="211"/>
      <c r="Y366" s="211"/>
      <c r="Z366" s="305"/>
      <c r="AA366" s="211"/>
      <c r="AB366" s="211"/>
      <c r="AC366" s="211"/>
      <c r="AD366" s="211"/>
      <c r="AE366" s="211"/>
      <c r="AF366" s="211"/>
      <c r="AI366" s="211"/>
      <c r="AJ366" s="211"/>
      <c r="AK366" s="212"/>
      <c r="AL366" s="211"/>
      <c r="AM366" s="210"/>
      <c r="AN366" s="210"/>
    </row>
    <row r="367" spans="1:40" x14ac:dyDescent="0.25">
      <c r="A367" s="202"/>
      <c r="C367" s="154"/>
      <c r="F367" s="200"/>
      <c r="H367" s="200"/>
      <c r="I367" s="200"/>
      <c r="J367" s="213"/>
      <c r="K367" s="213"/>
      <c r="L367" s="200"/>
      <c r="M367" s="200"/>
      <c r="N367" s="210"/>
      <c r="O367" s="210"/>
      <c r="P367" s="200"/>
      <c r="Q367" s="200"/>
      <c r="R367" s="200"/>
      <c r="T367" s="154"/>
      <c r="V367" s="200"/>
      <c r="Y367" s="200"/>
      <c r="Z367" s="213"/>
      <c r="AA367" s="200"/>
      <c r="AB367" s="200"/>
      <c r="AC367" s="210"/>
      <c r="AD367" s="210"/>
      <c r="AE367" s="200"/>
      <c r="AF367" s="200"/>
      <c r="AG367" s="209"/>
      <c r="AH367" s="201"/>
      <c r="AI367" s="200"/>
      <c r="AJ367" s="200"/>
      <c r="AK367" s="209"/>
      <c r="AL367" s="200"/>
      <c r="AM367" s="210"/>
      <c r="AN367" s="210"/>
    </row>
    <row r="368" spans="1:40" x14ac:dyDescent="0.25">
      <c r="A368" s="202"/>
      <c r="C368" s="154"/>
      <c r="F368" s="200"/>
      <c r="H368" s="252"/>
      <c r="I368" s="252"/>
      <c r="J368" s="320"/>
      <c r="K368" s="320"/>
      <c r="L368" s="200"/>
      <c r="M368" s="200"/>
      <c r="N368" s="210"/>
      <c r="O368" s="210"/>
      <c r="P368" s="200"/>
      <c r="Q368" s="200"/>
      <c r="R368" s="200"/>
      <c r="T368" s="154"/>
      <c r="V368" s="200"/>
      <c r="Y368" s="200"/>
      <c r="Z368" s="304"/>
      <c r="AA368" s="200"/>
      <c r="AB368" s="200"/>
      <c r="AC368" s="210"/>
      <c r="AD368" s="21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H369" s="211"/>
      <c r="I369" s="211"/>
      <c r="J369" s="305"/>
      <c r="K369" s="305"/>
      <c r="L369" s="211"/>
      <c r="M369" s="211"/>
      <c r="N369" s="211"/>
      <c r="O369" s="211"/>
      <c r="P369" s="211"/>
      <c r="Q369" s="211"/>
      <c r="R369" s="211"/>
      <c r="V369" s="211"/>
      <c r="Y369" s="211"/>
      <c r="Z369" s="305"/>
      <c r="AA369" s="211"/>
      <c r="AB369" s="211"/>
      <c r="AC369" s="211"/>
      <c r="AD369" s="211"/>
      <c r="AE369" s="211"/>
      <c r="AF369" s="211"/>
      <c r="AI369" s="211"/>
      <c r="AJ369" s="211"/>
      <c r="AK369" s="212"/>
      <c r="AL369" s="211"/>
      <c r="AM369" s="210"/>
      <c r="AN369" s="210"/>
    </row>
    <row r="370" spans="1:40" x14ac:dyDescent="0.25">
      <c r="F370" s="211"/>
    </row>
    <row r="371" spans="1:40" x14ac:dyDescent="0.25">
      <c r="A371" s="202"/>
      <c r="C371" s="154"/>
      <c r="F371" s="200"/>
      <c r="H371" s="200"/>
      <c r="I371" s="200"/>
      <c r="J371" s="305"/>
      <c r="K371" s="305"/>
      <c r="L371" s="200"/>
      <c r="M371" s="200"/>
      <c r="N371" s="210"/>
      <c r="O371" s="210"/>
      <c r="P371" s="200"/>
      <c r="Q371" s="200"/>
      <c r="R371" s="200"/>
      <c r="S371" s="200"/>
      <c r="T371" s="154"/>
      <c r="V371" s="200"/>
      <c r="Y371" s="200"/>
      <c r="Z371" s="305"/>
      <c r="AA371" s="200"/>
      <c r="AB371" s="200"/>
      <c r="AC371" s="210"/>
      <c r="AD371" s="210"/>
      <c r="AE371" s="200"/>
      <c r="AF371" s="200"/>
      <c r="AG371" s="209"/>
      <c r="AH371" s="210"/>
      <c r="AI371" s="200"/>
      <c r="AJ371" s="200"/>
      <c r="AK371" s="209"/>
      <c r="AL371" s="200"/>
      <c r="AM371" s="210"/>
      <c r="AN371" s="210"/>
    </row>
    <row r="372" spans="1:40" x14ac:dyDescent="0.25">
      <c r="F372" s="211"/>
      <c r="H372" s="211"/>
      <c r="I372" s="211"/>
      <c r="J372" s="305"/>
      <c r="K372" s="305"/>
      <c r="L372" s="211"/>
      <c r="M372" s="211"/>
      <c r="N372" s="211"/>
      <c r="O372" s="211"/>
      <c r="P372" s="211"/>
      <c r="Q372" s="211"/>
      <c r="R372" s="211"/>
      <c r="S372" s="200"/>
      <c r="V372" s="211"/>
      <c r="Y372" s="211"/>
      <c r="Z372" s="305"/>
      <c r="AA372" s="211"/>
      <c r="AB372" s="211"/>
      <c r="AC372" s="211"/>
      <c r="AD372" s="211"/>
      <c r="AE372" s="211"/>
      <c r="AF372" s="211"/>
      <c r="AI372" s="211"/>
      <c r="AJ372" s="211"/>
      <c r="AK372" s="212"/>
      <c r="AL372" s="211"/>
      <c r="AM372" s="210"/>
      <c r="AN372" s="210"/>
    </row>
    <row r="373" spans="1:40" x14ac:dyDescent="0.25">
      <c r="A373" s="202"/>
      <c r="C373" s="154"/>
      <c r="T373" s="154"/>
    </row>
    <row r="374" spans="1:40" x14ac:dyDescent="0.25">
      <c r="A374" s="202"/>
      <c r="C374" s="154"/>
      <c r="F374" s="200"/>
      <c r="H374" s="200"/>
      <c r="I374" s="200"/>
      <c r="L374" s="200"/>
      <c r="M374" s="200"/>
      <c r="N374" s="210"/>
      <c r="O374" s="210"/>
      <c r="P374" s="252"/>
      <c r="Q374" s="252"/>
      <c r="R374" s="200"/>
      <c r="T374" s="154"/>
      <c r="V374" s="200"/>
      <c r="Y374" s="200"/>
      <c r="AA374" s="200"/>
      <c r="AB374" s="200"/>
      <c r="AC374" s="210"/>
      <c r="AD374" s="210"/>
      <c r="AE374" s="200"/>
      <c r="AF374" s="200"/>
      <c r="AG374" s="209"/>
      <c r="AH374" s="210"/>
      <c r="AI374" s="252"/>
      <c r="AJ374" s="252"/>
      <c r="AK374" s="209"/>
      <c r="AL374" s="200"/>
      <c r="AM374" s="210"/>
      <c r="AN374" s="210"/>
    </row>
    <row r="375" spans="1:40" x14ac:dyDescent="0.25">
      <c r="H375" s="211"/>
      <c r="I375" s="211"/>
      <c r="J375" s="305"/>
      <c r="K375" s="305"/>
      <c r="L375" s="211"/>
      <c r="M375" s="211"/>
      <c r="N375" s="211"/>
      <c r="O375" s="211"/>
      <c r="P375" s="211"/>
      <c r="Q375" s="211"/>
      <c r="R375" s="211"/>
      <c r="V375" s="211"/>
      <c r="Y375" s="211"/>
      <c r="Z375" s="305"/>
      <c r="AA375" s="211"/>
      <c r="AB375" s="211"/>
      <c r="AC375" s="211"/>
      <c r="AD375" s="211"/>
      <c r="AE375" s="211"/>
      <c r="AF375" s="211"/>
      <c r="AI375" s="211"/>
      <c r="AJ375" s="211"/>
      <c r="AK375" s="212"/>
      <c r="AL375" s="211"/>
    </row>
    <row r="376" spans="1:40" x14ac:dyDescent="0.25">
      <c r="F376" s="211"/>
    </row>
    <row r="377" spans="1:40" x14ac:dyDescent="0.25">
      <c r="C377" s="154"/>
      <c r="L377" s="200"/>
      <c r="M377" s="200"/>
      <c r="N377" s="200"/>
      <c r="O377" s="200"/>
      <c r="P377" s="200"/>
      <c r="Q377" s="200"/>
      <c r="R377" s="200"/>
      <c r="S377" s="200"/>
      <c r="T377" s="154"/>
      <c r="AA377" s="200"/>
      <c r="AB377" s="200"/>
      <c r="AC377" s="200"/>
      <c r="AD377" s="200"/>
      <c r="AI377" s="200"/>
      <c r="AJ377" s="200"/>
      <c r="AK377" s="209"/>
      <c r="AL377" s="200"/>
    </row>
    <row r="378" spans="1:40" x14ac:dyDescent="0.25">
      <c r="A378" s="154"/>
    </row>
    <row r="379" spans="1:40" x14ac:dyDescent="0.25">
      <c r="J379" s="202"/>
      <c r="K379" s="202"/>
      <c r="Z379" s="202"/>
    </row>
    <row r="380" spans="1:40" x14ac:dyDescent="0.25">
      <c r="H380" s="154"/>
      <c r="I380" s="154"/>
      <c r="Y380" s="154"/>
    </row>
    <row r="381" spans="1:40" x14ac:dyDescent="0.25">
      <c r="J381" s="202"/>
      <c r="K381" s="202"/>
      <c r="Z381" s="202"/>
    </row>
    <row r="382" spans="1:40" x14ac:dyDescent="0.25">
      <c r="L382" s="154"/>
      <c r="M382" s="154"/>
      <c r="AA382" s="154"/>
      <c r="AB382" s="154"/>
    </row>
    <row r="383" spans="1:40" x14ac:dyDescent="0.25">
      <c r="A383" s="202"/>
      <c r="R383" s="154"/>
      <c r="AK383" s="297"/>
      <c r="AL383" s="154"/>
    </row>
    <row r="384" spans="1:40" x14ac:dyDescent="0.25">
      <c r="A384" s="202"/>
      <c r="R384" s="154"/>
      <c r="AK384" s="297"/>
      <c r="AL384" s="154"/>
    </row>
    <row r="385" spans="1:40" x14ac:dyDescent="0.25">
      <c r="A385" s="154"/>
      <c r="R385" s="154"/>
      <c r="AK385" s="297"/>
      <c r="AL385" s="154"/>
    </row>
    <row r="386" spans="1:40" x14ac:dyDescent="0.25">
      <c r="L386" s="154"/>
      <c r="M386" s="154"/>
      <c r="R386" s="202"/>
      <c r="AA386" s="154"/>
      <c r="AB386" s="154"/>
      <c r="AK386" s="209"/>
      <c r="AL386" s="202"/>
    </row>
    <row r="387" spans="1:40" x14ac:dyDescent="0.2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208"/>
      <c r="AH387" s="102"/>
      <c r="AI387" s="102"/>
      <c r="AJ387" s="102"/>
      <c r="AK387" s="208"/>
      <c r="AL387" s="102"/>
      <c r="AM387" s="102"/>
      <c r="AN387" s="102"/>
    </row>
    <row r="388" spans="1:40" x14ac:dyDescent="0.25">
      <c r="L388" s="103"/>
      <c r="M388" s="103"/>
      <c r="N388" s="103"/>
      <c r="O388" s="103"/>
      <c r="R388" s="103"/>
      <c r="AA388" s="103"/>
      <c r="AB388" s="103"/>
      <c r="AC388" s="103"/>
      <c r="AD388" s="103"/>
      <c r="AE388" s="103"/>
      <c r="AF388" s="103"/>
      <c r="AG388" s="185"/>
      <c r="AH388" s="103"/>
      <c r="AK388" s="185"/>
      <c r="AL388" s="103"/>
      <c r="AM388" s="103"/>
      <c r="AN388" s="103"/>
    </row>
    <row r="389" spans="1:40" x14ac:dyDescent="0.25">
      <c r="L389" s="103"/>
      <c r="M389" s="103"/>
      <c r="N389" s="103"/>
      <c r="O389" s="103"/>
      <c r="R389" s="103"/>
      <c r="Z389" s="103"/>
      <c r="AA389" s="103"/>
      <c r="AB389" s="103"/>
      <c r="AC389" s="103"/>
      <c r="AD389" s="103"/>
      <c r="AE389" s="103"/>
      <c r="AF389" s="103"/>
      <c r="AG389" s="185"/>
      <c r="AH389" s="103"/>
      <c r="AK389" s="185"/>
      <c r="AL389" s="103"/>
      <c r="AM389" s="103"/>
      <c r="AN389" s="103"/>
    </row>
    <row r="390" spans="1:40" x14ac:dyDescent="0.25">
      <c r="A390" s="103"/>
      <c r="C390" s="103"/>
      <c r="D390" s="103"/>
      <c r="E390" s="103"/>
      <c r="F390" s="103"/>
      <c r="J390" s="103"/>
      <c r="K390" s="103"/>
      <c r="L390" s="103"/>
      <c r="M390" s="103"/>
      <c r="N390" s="103"/>
      <c r="O390" s="103"/>
      <c r="P390" s="103"/>
      <c r="Q390" s="103"/>
      <c r="R390" s="103"/>
      <c r="T390" s="103"/>
      <c r="U390" s="103"/>
      <c r="V390" s="103"/>
      <c r="Z390" s="103"/>
      <c r="AA390" s="103"/>
      <c r="AB390" s="103"/>
      <c r="AC390" s="103"/>
      <c r="AD390" s="103"/>
      <c r="AE390" s="103"/>
      <c r="AF390" s="103"/>
      <c r="AG390" s="185"/>
      <c r="AH390" s="103"/>
      <c r="AI390" s="103"/>
      <c r="AJ390" s="103"/>
      <c r="AK390" s="185"/>
      <c r="AL390" s="103"/>
      <c r="AM390" s="103"/>
      <c r="AN390" s="103"/>
    </row>
    <row r="391" spans="1:40" x14ac:dyDescent="0.25">
      <c r="A391" s="103"/>
      <c r="C391" s="103"/>
      <c r="D391" s="103"/>
      <c r="E391" s="103"/>
      <c r="F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T391" s="103"/>
      <c r="U391" s="103"/>
      <c r="V391" s="103"/>
      <c r="Y391" s="103"/>
      <c r="Z391" s="103"/>
      <c r="AA391" s="103"/>
      <c r="AB391" s="103"/>
      <c r="AC391" s="103"/>
      <c r="AD391" s="103"/>
      <c r="AE391" s="103"/>
      <c r="AF391" s="103"/>
      <c r="AG391" s="185"/>
      <c r="AH391" s="103"/>
      <c r="AI391" s="103"/>
      <c r="AJ391" s="103"/>
      <c r="AK391" s="185"/>
      <c r="AL391" s="103"/>
      <c r="AM391" s="103"/>
      <c r="AN391" s="103"/>
    </row>
    <row r="392" spans="1:40" x14ac:dyDescent="0.25">
      <c r="C392" s="103"/>
      <c r="D392" s="103"/>
      <c r="E392" s="103"/>
      <c r="F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T392" s="103"/>
      <c r="U392" s="103"/>
      <c r="V392" s="103"/>
      <c r="Y392" s="103"/>
      <c r="Z392" s="103"/>
      <c r="AA392" s="103"/>
      <c r="AB392" s="103"/>
      <c r="AC392" s="103"/>
      <c r="AD392" s="103"/>
      <c r="AE392" s="103"/>
      <c r="AF392" s="103"/>
      <c r="AG392" s="185"/>
      <c r="AH392" s="103"/>
      <c r="AI392" s="103"/>
      <c r="AJ392" s="103"/>
      <c r="AK392" s="185"/>
      <c r="AL392" s="103"/>
      <c r="AM392" s="103"/>
      <c r="AN392" s="103"/>
    </row>
    <row r="393" spans="1:40" x14ac:dyDescent="0.25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208"/>
      <c r="AH393" s="102"/>
      <c r="AI393" s="102"/>
      <c r="AJ393" s="102"/>
      <c r="AK393" s="208"/>
      <c r="AL393" s="102"/>
      <c r="AM393" s="102"/>
      <c r="AN393" s="102"/>
    </row>
    <row r="394" spans="1:40" x14ac:dyDescent="0.25"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Y394" s="103"/>
      <c r="Z394" s="103"/>
      <c r="AA394" s="103"/>
      <c r="AB394" s="103"/>
      <c r="AC394" s="103"/>
      <c r="AD394" s="103"/>
      <c r="AE394" s="103"/>
      <c r="AF394" s="103"/>
      <c r="AG394" s="185"/>
      <c r="AH394" s="103"/>
      <c r="AI394" s="103"/>
      <c r="AJ394" s="103"/>
      <c r="AK394" s="185"/>
      <c r="AL394" s="103"/>
      <c r="AM394" s="103"/>
      <c r="AN394" s="103"/>
    </row>
    <row r="395" spans="1:40" x14ac:dyDescent="0.25">
      <c r="A395" s="202"/>
      <c r="C395" s="154"/>
      <c r="D395" s="154"/>
      <c r="E395" s="154"/>
      <c r="T395" s="154"/>
      <c r="U395" s="154"/>
    </row>
    <row r="396" spans="1:40" x14ac:dyDescent="0.25">
      <c r="D396" s="154"/>
      <c r="E396" s="154"/>
      <c r="U396" s="154"/>
    </row>
    <row r="398" spans="1:40" x14ac:dyDescent="0.25">
      <c r="A398" s="202"/>
      <c r="C398" s="154"/>
      <c r="T398" s="154"/>
    </row>
    <row r="399" spans="1:40" x14ac:dyDescent="0.25">
      <c r="A399" s="202"/>
      <c r="C399" s="154"/>
      <c r="F399" s="252"/>
      <c r="H399" s="252"/>
      <c r="I399" s="252"/>
      <c r="J399" s="329"/>
      <c r="K399" s="329"/>
      <c r="L399" s="200"/>
      <c r="M399" s="200"/>
      <c r="N399" s="210"/>
      <c r="O399" s="210"/>
      <c r="P399" s="200"/>
      <c r="Q399" s="200"/>
      <c r="R399" s="200"/>
      <c r="T399" s="154"/>
      <c r="V399" s="252"/>
      <c r="W399" s="200"/>
      <c r="X399" s="200"/>
      <c r="Y399" s="252"/>
      <c r="Z399" s="329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A400" s="202"/>
      <c r="C400" s="154"/>
      <c r="F400" s="200"/>
      <c r="H400" s="200"/>
      <c r="I400" s="200"/>
      <c r="J400" s="305"/>
      <c r="K400" s="305"/>
      <c r="L400" s="200"/>
      <c r="M400" s="200"/>
      <c r="N400" s="210"/>
      <c r="O400" s="210"/>
      <c r="P400" s="200"/>
      <c r="Q400" s="200"/>
      <c r="R400" s="200"/>
      <c r="T400" s="154"/>
      <c r="V400" s="252"/>
      <c r="W400" s="200"/>
      <c r="X400" s="200"/>
      <c r="Y400" s="252"/>
      <c r="Z400" s="305"/>
      <c r="AA400" s="200"/>
      <c r="AB400" s="200"/>
      <c r="AC400" s="210"/>
      <c r="AD400" s="210"/>
      <c r="AE400" s="200"/>
      <c r="AF400" s="200"/>
      <c r="AG400" s="209"/>
      <c r="AH400" s="201"/>
      <c r="AI400" s="200"/>
      <c r="AJ400" s="200"/>
      <c r="AK400" s="209"/>
      <c r="AL400" s="200"/>
      <c r="AM400" s="210"/>
      <c r="AN400" s="210"/>
    </row>
    <row r="401" spans="1:40" x14ac:dyDescent="0.25">
      <c r="A401" s="202"/>
      <c r="C401" s="154"/>
      <c r="F401" s="252"/>
      <c r="H401" s="252"/>
      <c r="I401" s="252"/>
      <c r="J401" s="329"/>
      <c r="K401" s="329"/>
      <c r="L401" s="200"/>
      <c r="M401" s="200"/>
      <c r="N401" s="210"/>
      <c r="O401" s="210"/>
      <c r="P401" s="200"/>
      <c r="Q401" s="200"/>
      <c r="R401" s="200"/>
      <c r="T401" s="154"/>
      <c r="V401" s="252"/>
      <c r="W401" s="200"/>
      <c r="X401" s="200"/>
      <c r="Y401" s="252"/>
      <c r="Z401" s="329"/>
      <c r="AA401" s="200"/>
      <c r="AB401" s="200"/>
      <c r="AC401" s="210"/>
      <c r="AD401" s="210"/>
      <c r="AE401" s="200"/>
      <c r="AF401" s="200"/>
      <c r="AG401" s="209"/>
      <c r="AH401" s="201"/>
      <c r="AI401" s="200"/>
      <c r="AJ401" s="200"/>
      <c r="AK401" s="209"/>
      <c r="AL401" s="200"/>
      <c r="AM401" s="210"/>
      <c r="AN401" s="210"/>
    </row>
    <row r="402" spans="1:40" x14ac:dyDescent="0.25">
      <c r="A402" s="202"/>
      <c r="C402" s="154"/>
      <c r="F402" s="252"/>
      <c r="H402" s="252"/>
      <c r="I402" s="252"/>
      <c r="J402" s="329"/>
      <c r="K402" s="329"/>
      <c r="L402" s="200"/>
      <c r="M402" s="200"/>
      <c r="N402" s="210"/>
      <c r="O402" s="210"/>
      <c r="P402" s="200"/>
      <c r="Q402" s="200"/>
      <c r="R402" s="200"/>
      <c r="T402" s="154"/>
      <c r="V402" s="252"/>
      <c r="W402" s="200"/>
      <c r="X402" s="200"/>
      <c r="Y402" s="252"/>
      <c r="Z402" s="329"/>
      <c r="AA402" s="200"/>
      <c r="AB402" s="200"/>
      <c r="AC402" s="210"/>
      <c r="AD402" s="210"/>
      <c r="AE402" s="200"/>
      <c r="AF402" s="200"/>
      <c r="AG402" s="209"/>
      <c r="AH402" s="201"/>
      <c r="AI402" s="200"/>
      <c r="AJ402" s="200"/>
      <c r="AK402" s="209"/>
      <c r="AL402" s="200"/>
      <c r="AM402" s="210"/>
      <c r="AN402" s="210"/>
    </row>
    <row r="403" spans="1:40" x14ac:dyDescent="0.25">
      <c r="A403" s="202"/>
      <c r="C403" s="154"/>
      <c r="F403" s="252"/>
      <c r="H403" s="252"/>
      <c r="I403" s="252"/>
      <c r="J403" s="329"/>
      <c r="K403" s="329"/>
      <c r="L403" s="200"/>
      <c r="M403" s="200"/>
      <c r="N403" s="210"/>
      <c r="O403" s="210"/>
      <c r="P403" s="200"/>
      <c r="Q403" s="200"/>
      <c r="R403" s="200"/>
      <c r="T403" s="154"/>
      <c r="V403" s="252"/>
      <c r="W403" s="200"/>
      <c r="X403" s="200"/>
      <c r="Y403" s="252"/>
      <c r="Z403" s="329"/>
      <c r="AA403" s="200"/>
      <c r="AB403" s="200"/>
      <c r="AC403" s="210"/>
      <c r="AD403" s="210"/>
      <c r="AE403" s="200"/>
      <c r="AF403" s="200"/>
      <c r="AG403" s="209"/>
      <c r="AH403" s="201"/>
      <c r="AI403" s="200"/>
      <c r="AJ403" s="200"/>
      <c r="AK403" s="209"/>
      <c r="AL403" s="200"/>
      <c r="AM403" s="210"/>
      <c r="AN403" s="210"/>
    </row>
    <row r="404" spans="1:40" x14ac:dyDescent="0.25">
      <c r="A404" s="202"/>
      <c r="C404" s="154"/>
      <c r="F404" s="200"/>
      <c r="H404" s="200"/>
      <c r="I404" s="200"/>
      <c r="J404" s="329"/>
      <c r="K404" s="329"/>
      <c r="L404" s="200"/>
      <c r="M404" s="200"/>
      <c r="N404" s="210"/>
      <c r="O404" s="210"/>
      <c r="P404" s="200"/>
      <c r="Q404" s="200"/>
      <c r="R404" s="200"/>
      <c r="T404" s="154"/>
      <c r="V404" s="252"/>
      <c r="W404" s="200"/>
      <c r="X404" s="200"/>
      <c r="Y404" s="252"/>
      <c r="Z404" s="329"/>
      <c r="AA404" s="200"/>
      <c r="AB404" s="200"/>
      <c r="AC404" s="210"/>
      <c r="AD404" s="210"/>
      <c r="AE404" s="200"/>
      <c r="AF404" s="200"/>
      <c r="AG404" s="209"/>
      <c r="AH404" s="201"/>
      <c r="AI404" s="200"/>
      <c r="AJ404" s="200"/>
      <c r="AK404" s="209"/>
      <c r="AL404" s="200"/>
      <c r="AM404" s="210"/>
      <c r="AN404" s="210"/>
    </row>
    <row r="405" spans="1:40" x14ac:dyDescent="0.25">
      <c r="A405" s="202"/>
      <c r="C405" s="154"/>
      <c r="F405" s="200"/>
      <c r="H405" s="200"/>
      <c r="I405" s="200"/>
      <c r="J405" s="329"/>
      <c r="K405" s="329"/>
      <c r="L405" s="200"/>
      <c r="M405" s="200"/>
      <c r="N405" s="210"/>
      <c r="O405" s="210"/>
      <c r="P405" s="200"/>
      <c r="Q405" s="200"/>
      <c r="R405" s="200"/>
      <c r="T405" s="154"/>
      <c r="V405" s="252"/>
      <c r="W405" s="200"/>
      <c r="X405" s="200"/>
      <c r="Y405" s="252"/>
      <c r="Z405" s="329"/>
      <c r="AA405" s="200"/>
      <c r="AB405" s="200"/>
      <c r="AC405" s="210"/>
      <c r="AD405" s="210"/>
      <c r="AE405" s="200"/>
      <c r="AF405" s="200"/>
      <c r="AG405" s="209"/>
      <c r="AH405" s="201"/>
      <c r="AI405" s="200"/>
      <c r="AJ405" s="200"/>
      <c r="AK405" s="209"/>
      <c r="AL405" s="200"/>
      <c r="AM405" s="210"/>
      <c r="AN405" s="210"/>
    </row>
    <row r="406" spans="1:40" x14ac:dyDescent="0.25">
      <c r="F406" s="331"/>
      <c r="H406" s="332"/>
      <c r="I406" s="332"/>
      <c r="J406" s="329"/>
      <c r="K406" s="329"/>
      <c r="L406" s="331"/>
      <c r="M406" s="331"/>
      <c r="N406" s="211"/>
      <c r="O406" s="211"/>
      <c r="P406" s="331"/>
      <c r="Q406" s="331"/>
      <c r="R406" s="331"/>
      <c r="V406" s="331"/>
      <c r="W406" s="200"/>
      <c r="X406" s="200"/>
      <c r="Y406" s="331"/>
      <c r="Z406" s="329"/>
      <c r="AA406" s="331"/>
      <c r="AB406" s="331"/>
      <c r="AC406" s="333"/>
      <c r="AD406" s="333"/>
      <c r="AE406" s="331"/>
      <c r="AF406" s="331"/>
      <c r="AG406" s="209"/>
      <c r="AH406" s="201"/>
      <c r="AI406" s="331"/>
      <c r="AJ406" s="331"/>
      <c r="AK406" s="208"/>
      <c r="AL406" s="331"/>
      <c r="AM406" s="210"/>
      <c r="AN406" s="210"/>
    </row>
    <row r="407" spans="1:40" x14ac:dyDescent="0.25">
      <c r="A407" s="202"/>
      <c r="C407" s="154"/>
      <c r="F407" s="200"/>
      <c r="H407" s="200"/>
      <c r="I407" s="200"/>
      <c r="J407" s="329"/>
      <c r="K407" s="329"/>
      <c r="L407" s="200"/>
      <c r="M407" s="200"/>
      <c r="N407" s="201"/>
      <c r="O407" s="201"/>
      <c r="P407" s="200"/>
      <c r="Q407" s="200"/>
      <c r="R407" s="200"/>
      <c r="T407" s="103"/>
      <c r="V407" s="200"/>
      <c r="W407" s="200"/>
      <c r="X407" s="200"/>
      <c r="Y407" s="200"/>
      <c r="Z407" s="329"/>
      <c r="AA407" s="200"/>
      <c r="AB407" s="200"/>
      <c r="AC407" s="201"/>
      <c r="AD407" s="201"/>
      <c r="AE407" s="200"/>
      <c r="AF407" s="200"/>
      <c r="AG407" s="209"/>
      <c r="AH407" s="201"/>
      <c r="AI407" s="200"/>
      <c r="AJ407" s="200"/>
      <c r="AK407" s="209"/>
      <c r="AL407" s="200"/>
      <c r="AM407" s="210"/>
      <c r="AN407" s="210"/>
    </row>
    <row r="408" spans="1:40" x14ac:dyDescent="0.25">
      <c r="F408" s="102"/>
      <c r="H408" s="102"/>
      <c r="I408" s="102"/>
      <c r="L408" s="102"/>
      <c r="M408" s="102"/>
      <c r="N408" s="333"/>
      <c r="O408" s="333"/>
      <c r="P408" s="331"/>
      <c r="Q408" s="331"/>
      <c r="R408" s="331"/>
      <c r="V408" s="331"/>
      <c r="Y408" s="331"/>
      <c r="Z408" s="305"/>
      <c r="AA408" s="331"/>
      <c r="AB408" s="331"/>
      <c r="AC408" s="331"/>
      <c r="AD408" s="331"/>
      <c r="AE408" s="331"/>
      <c r="AF408" s="331"/>
      <c r="AI408" s="331"/>
      <c r="AJ408" s="331"/>
      <c r="AK408" s="208"/>
      <c r="AL408" s="331"/>
      <c r="AM408" s="333"/>
      <c r="AN408" s="333"/>
    </row>
    <row r="409" spans="1:40" x14ac:dyDescent="0.25">
      <c r="AI409" s="202"/>
      <c r="AJ409" s="202"/>
    </row>
    <row r="413" spans="1:40" x14ac:dyDescent="0.25">
      <c r="N413" s="200"/>
      <c r="O413" s="200"/>
      <c r="P413" s="200"/>
      <c r="Q413" s="200"/>
      <c r="R413" s="200"/>
      <c r="V413" s="200"/>
      <c r="Y413" s="200"/>
      <c r="Z413" s="213"/>
      <c r="AA413" s="200"/>
      <c r="AB413" s="200"/>
      <c r="AC413" s="210"/>
      <c r="AD413" s="210"/>
      <c r="AE413" s="200"/>
      <c r="AF413" s="200"/>
      <c r="AG413" s="209"/>
      <c r="AH413" s="201"/>
      <c r="AI413" s="200"/>
      <c r="AJ413" s="200"/>
      <c r="AK413" s="209"/>
      <c r="AL413" s="200"/>
      <c r="AM413" s="210"/>
      <c r="AN413" s="210"/>
    </row>
    <row r="414" spans="1:40" x14ac:dyDescent="0.25">
      <c r="A414" s="202"/>
      <c r="C414" s="154"/>
      <c r="D414" s="154"/>
      <c r="E414" s="154"/>
      <c r="J414" s="334"/>
      <c r="K414" s="334"/>
      <c r="T414" s="154"/>
      <c r="U414" s="154"/>
      <c r="Z414" s="334"/>
      <c r="AE414" s="200"/>
      <c r="AF414" s="200"/>
      <c r="AI414" s="200"/>
      <c r="AJ414" s="200"/>
      <c r="AK414" s="209"/>
      <c r="AL414" s="200"/>
      <c r="AM414" s="210"/>
      <c r="AN414" s="210"/>
    </row>
    <row r="415" spans="1:40" x14ac:dyDescent="0.25">
      <c r="D415" s="154"/>
      <c r="E415" s="154"/>
      <c r="F415" s="200"/>
      <c r="H415" s="200"/>
      <c r="I415" s="200"/>
      <c r="J415" s="329"/>
      <c r="K415" s="329"/>
      <c r="L415" s="200"/>
      <c r="M415" s="200"/>
      <c r="N415" s="210"/>
      <c r="O415" s="210"/>
      <c r="P415" s="200"/>
      <c r="Q415" s="200"/>
      <c r="R415" s="200"/>
      <c r="U415" s="154"/>
      <c r="V415" s="200"/>
      <c r="Y415" s="200"/>
      <c r="Z415" s="329"/>
      <c r="AA415" s="200"/>
      <c r="AB415" s="200"/>
      <c r="AC415" s="210"/>
      <c r="AD415" s="210"/>
      <c r="AE415" s="200"/>
      <c r="AF415" s="200"/>
      <c r="AG415" s="209"/>
      <c r="AH415" s="201"/>
      <c r="AI415" s="200"/>
      <c r="AJ415" s="200"/>
      <c r="AK415" s="209"/>
      <c r="AL415" s="200"/>
      <c r="AM415" s="210"/>
      <c r="AN415" s="210"/>
    </row>
    <row r="416" spans="1:40" x14ac:dyDescent="0.25">
      <c r="F416" s="200"/>
      <c r="H416" s="200"/>
      <c r="I416" s="200"/>
      <c r="J416" s="305"/>
      <c r="K416" s="305"/>
      <c r="L416" s="200"/>
      <c r="M416" s="200"/>
      <c r="N416" s="200"/>
      <c r="O416" s="200"/>
      <c r="P416" s="200"/>
      <c r="Q416" s="200"/>
      <c r="R416" s="200"/>
      <c r="V416" s="200"/>
      <c r="Y416" s="200"/>
      <c r="Z416" s="305"/>
      <c r="AA416" s="200"/>
      <c r="AB416" s="200"/>
      <c r="AC416" s="200"/>
      <c r="AD416" s="200"/>
      <c r="AE416" s="200"/>
      <c r="AF416" s="200"/>
      <c r="AG416" s="209"/>
      <c r="AH416" s="201"/>
      <c r="AI416" s="252"/>
      <c r="AJ416" s="252"/>
      <c r="AK416" s="209"/>
      <c r="AL416" s="200"/>
      <c r="AM416" s="210"/>
      <c r="AN416" s="210"/>
    </row>
    <row r="417" spans="1:40" x14ac:dyDescent="0.25">
      <c r="A417" s="202"/>
      <c r="C417" s="154"/>
      <c r="F417" s="252"/>
      <c r="H417" s="252"/>
      <c r="I417" s="252"/>
      <c r="J417" s="304"/>
      <c r="K417" s="304"/>
      <c r="L417" s="200"/>
      <c r="M417" s="200"/>
      <c r="N417" s="210"/>
      <c r="O417" s="210"/>
      <c r="P417" s="200"/>
      <c r="Q417" s="200"/>
      <c r="R417" s="200"/>
      <c r="T417" s="154"/>
      <c r="V417" s="252"/>
      <c r="Y417" s="252"/>
      <c r="Z417" s="304"/>
      <c r="AA417" s="200"/>
      <c r="AB417" s="200"/>
      <c r="AC417" s="210"/>
      <c r="AD417" s="210"/>
      <c r="AE417" s="200"/>
      <c r="AF417" s="200"/>
      <c r="AG417" s="209"/>
      <c r="AH417" s="201"/>
      <c r="AI417" s="200"/>
      <c r="AJ417" s="200"/>
      <c r="AK417" s="209"/>
      <c r="AL417" s="200"/>
      <c r="AM417" s="210"/>
      <c r="AN417" s="210"/>
    </row>
    <row r="418" spans="1:40" x14ac:dyDescent="0.25">
      <c r="F418" s="102"/>
      <c r="H418" s="102"/>
      <c r="I418" s="102"/>
      <c r="L418" s="102"/>
      <c r="M418" s="102"/>
      <c r="N418" s="102"/>
      <c r="O418" s="102"/>
      <c r="P418" s="102"/>
      <c r="Q418" s="102"/>
      <c r="R418" s="102"/>
      <c r="V418" s="102"/>
      <c r="Y418" s="102"/>
      <c r="AA418" s="102"/>
      <c r="AB418" s="102"/>
      <c r="AC418" s="102"/>
      <c r="AD418" s="102"/>
      <c r="AE418" s="102"/>
      <c r="AF418" s="102"/>
      <c r="AG418" s="208"/>
      <c r="AH418" s="102"/>
      <c r="AI418" s="102"/>
      <c r="AJ418" s="102"/>
      <c r="AK418" s="208"/>
      <c r="AL418" s="102"/>
      <c r="AM418" s="102"/>
      <c r="AN418" s="102"/>
    </row>
    <row r="419" spans="1:40" x14ac:dyDescent="0.25">
      <c r="A419" s="202"/>
      <c r="C419" s="103"/>
      <c r="F419" s="252"/>
      <c r="H419" s="252"/>
      <c r="I419" s="252"/>
      <c r="J419" s="300"/>
      <c r="K419" s="300"/>
      <c r="L419" s="252"/>
      <c r="M419" s="252"/>
      <c r="N419" s="210"/>
      <c r="O419" s="210"/>
      <c r="P419" s="252"/>
      <c r="Q419" s="252"/>
      <c r="R419" s="252"/>
      <c r="T419" s="103"/>
      <c r="V419" s="200"/>
      <c r="Y419" s="200"/>
      <c r="Z419" s="213"/>
      <c r="AA419" s="200"/>
      <c r="AB419" s="200"/>
      <c r="AC419" s="210"/>
      <c r="AD419" s="210"/>
      <c r="AE419" s="202"/>
      <c r="AF419" s="202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F420" s="331"/>
      <c r="H420" s="331"/>
      <c r="I420" s="331"/>
      <c r="J420" s="305"/>
      <c r="K420" s="305"/>
      <c r="L420" s="331"/>
      <c r="M420" s="331"/>
      <c r="N420" s="331"/>
      <c r="O420" s="331"/>
      <c r="P420" s="331"/>
      <c r="Q420" s="331"/>
      <c r="R420" s="331"/>
      <c r="V420" s="102"/>
      <c r="Y420" s="102"/>
      <c r="AA420" s="102"/>
      <c r="AB420" s="102"/>
      <c r="AC420" s="102"/>
      <c r="AD420" s="102"/>
      <c r="AE420" s="102"/>
      <c r="AF420" s="102"/>
      <c r="AG420" s="208"/>
      <c r="AH420" s="102"/>
      <c r="AI420" s="102"/>
      <c r="AJ420" s="102"/>
      <c r="AK420" s="208"/>
      <c r="AL420" s="102"/>
      <c r="AM420" s="102"/>
      <c r="AN420" s="102"/>
    </row>
    <row r="421" spans="1:40" x14ac:dyDescent="0.25">
      <c r="F421" s="252"/>
      <c r="H421" s="252"/>
      <c r="I421" s="252"/>
      <c r="J421" s="328"/>
      <c r="K421" s="328"/>
      <c r="L421" s="200"/>
      <c r="M421" s="200"/>
      <c r="N421" s="210"/>
      <c r="O421" s="210"/>
      <c r="P421" s="200"/>
      <c r="Q421" s="200"/>
      <c r="R421" s="200"/>
    </row>
    <row r="422" spans="1:40" x14ac:dyDescent="0.25">
      <c r="A422" s="154"/>
      <c r="F422" s="252"/>
      <c r="H422" s="252"/>
      <c r="I422" s="252"/>
      <c r="J422" s="300"/>
      <c r="K422" s="300"/>
      <c r="L422" s="200"/>
      <c r="M422" s="200"/>
      <c r="N422" s="210"/>
      <c r="O422" s="210"/>
      <c r="P422" s="200"/>
      <c r="Q422" s="200"/>
      <c r="R422" s="200"/>
    </row>
    <row r="423" spans="1:40" x14ac:dyDescent="0.25">
      <c r="F423" s="252"/>
      <c r="H423" s="252"/>
      <c r="I423" s="252"/>
      <c r="J423" s="300"/>
      <c r="K423" s="300"/>
      <c r="L423" s="200"/>
      <c r="M423" s="200"/>
      <c r="N423" s="210"/>
      <c r="O423" s="210"/>
      <c r="P423" s="200"/>
      <c r="Q423" s="200"/>
      <c r="R423" s="200"/>
    </row>
    <row r="424" spans="1:40" x14ac:dyDescent="0.25">
      <c r="A424" s="154"/>
    </row>
    <row r="426" spans="1:40" x14ac:dyDescent="0.25">
      <c r="J426" s="202"/>
      <c r="K426" s="202"/>
      <c r="Z426" s="202"/>
    </row>
    <row r="427" spans="1:40" x14ac:dyDescent="0.25">
      <c r="H427" s="154"/>
      <c r="I427" s="154"/>
      <c r="Y427" s="154"/>
    </row>
    <row r="428" spans="1:40" x14ac:dyDescent="0.25">
      <c r="J428" s="202"/>
      <c r="K428" s="202"/>
      <c r="Z428" s="202"/>
    </row>
    <row r="429" spans="1:40" x14ac:dyDescent="0.25">
      <c r="L429" s="154"/>
      <c r="M429" s="154"/>
      <c r="AA429" s="154"/>
      <c r="AB429" s="154"/>
    </row>
    <row r="430" spans="1:40" x14ac:dyDescent="0.25">
      <c r="A430" s="202"/>
      <c r="R430" s="154"/>
      <c r="AK430" s="297"/>
      <c r="AL430" s="154"/>
    </row>
    <row r="431" spans="1:40" x14ac:dyDescent="0.25">
      <c r="A431" s="202"/>
      <c r="R431" s="154"/>
      <c r="AK431" s="297"/>
      <c r="AL431" s="154"/>
    </row>
    <row r="432" spans="1:40" x14ac:dyDescent="0.25">
      <c r="A432" s="154"/>
      <c r="R432" s="154"/>
      <c r="AK432" s="297"/>
      <c r="AL432" s="154"/>
    </row>
    <row r="433" spans="1:40" x14ac:dyDescent="0.25">
      <c r="L433" s="154"/>
      <c r="M433" s="154"/>
      <c r="R433" s="202"/>
      <c r="AA433" s="154"/>
      <c r="AB433" s="154"/>
      <c r="AK433" s="209"/>
      <c r="AL433" s="202"/>
    </row>
    <row r="434" spans="1:40" x14ac:dyDescent="0.2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208"/>
      <c r="AH434" s="102"/>
      <c r="AI434" s="102"/>
      <c r="AJ434" s="102"/>
      <c r="AK434" s="208"/>
      <c r="AL434" s="102"/>
      <c r="AM434" s="102"/>
      <c r="AN434" s="102"/>
    </row>
    <row r="435" spans="1:40" x14ac:dyDescent="0.25">
      <c r="L435" s="103"/>
      <c r="M435" s="103"/>
      <c r="N435" s="103"/>
      <c r="O435" s="103"/>
      <c r="R435" s="103"/>
      <c r="AA435" s="103"/>
      <c r="AB435" s="103"/>
      <c r="AC435" s="103"/>
      <c r="AD435" s="103"/>
      <c r="AE435" s="103"/>
      <c r="AF435" s="103"/>
      <c r="AG435" s="185"/>
      <c r="AH435" s="103"/>
      <c r="AK435" s="185"/>
      <c r="AL435" s="103"/>
      <c r="AM435" s="103"/>
      <c r="AN435" s="103"/>
    </row>
    <row r="436" spans="1:40" x14ac:dyDescent="0.25">
      <c r="L436" s="103"/>
      <c r="M436" s="103"/>
      <c r="N436" s="103"/>
      <c r="O436" s="103"/>
      <c r="R436" s="103"/>
      <c r="Z436" s="103"/>
      <c r="AA436" s="103"/>
      <c r="AB436" s="103"/>
      <c r="AC436" s="103"/>
      <c r="AD436" s="103"/>
      <c r="AE436" s="103"/>
      <c r="AF436" s="103"/>
      <c r="AG436" s="185"/>
      <c r="AH436" s="103"/>
      <c r="AK436" s="185"/>
      <c r="AL436" s="103"/>
      <c r="AM436" s="103"/>
      <c r="AN436" s="103"/>
    </row>
    <row r="437" spans="1:40" x14ac:dyDescent="0.25">
      <c r="A437" s="103"/>
      <c r="C437" s="103"/>
      <c r="D437" s="103"/>
      <c r="E437" s="103"/>
      <c r="F437" s="103"/>
      <c r="J437" s="103"/>
      <c r="K437" s="103"/>
      <c r="L437" s="103"/>
      <c r="M437" s="103"/>
      <c r="N437" s="103"/>
      <c r="O437" s="103"/>
      <c r="P437" s="103"/>
      <c r="Q437" s="103"/>
      <c r="R437" s="103"/>
      <c r="T437" s="103"/>
      <c r="U437" s="103"/>
      <c r="V437" s="103"/>
      <c r="Z437" s="103"/>
      <c r="AA437" s="103"/>
      <c r="AB437" s="103"/>
      <c r="AC437" s="103"/>
      <c r="AD437" s="103"/>
      <c r="AE437" s="103"/>
      <c r="AF437" s="103"/>
      <c r="AG437" s="185"/>
      <c r="AH437" s="103"/>
      <c r="AI437" s="103"/>
      <c r="AJ437" s="103"/>
      <c r="AK437" s="185"/>
      <c r="AL437" s="103"/>
      <c r="AM437" s="103"/>
      <c r="AN437" s="103"/>
    </row>
    <row r="438" spans="1:40" x14ac:dyDescent="0.25">
      <c r="A438" s="103"/>
      <c r="C438" s="103"/>
      <c r="D438" s="103"/>
      <c r="E438" s="103"/>
      <c r="F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T438" s="103"/>
      <c r="U438" s="103"/>
      <c r="V438" s="103"/>
      <c r="Y438" s="103"/>
      <c r="Z438" s="103"/>
      <c r="AA438" s="103"/>
      <c r="AB438" s="103"/>
      <c r="AC438" s="103"/>
      <c r="AD438" s="103"/>
      <c r="AE438" s="103"/>
      <c r="AF438" s="103"/>
      <c r="AG438" s="185"/>
      <c r="AH438" s="103"/>
      <c r="AI438" s="103"/>
      <c r="AJ438" s="103"/>
      <c r="AK438" s="185"/>
      <c r="AL438" s="103"/>
      <c r="AM438" s="103"/>
      <c r="AN438" s="103"/>
    </row>
    <row r="439" spans="1:40" x14ac:dyDescent="0.25">
      <c r="C439" s="103"/>
      <c r="D439" s="103"/>
      <c r="E439" s="103"/>
      <c r="F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T439" s="103"/>
      <c r="U439" s="103"/>
      <c r="V439" s="103"/>
      <c r="Y439" s="103"/>
      <c r="Z439" s="103"/>
      <c r="AA439" s="103"/>
      <c r="AB439" s="103"/>
      <c r="AC439" s="103"/>
      <c r="AD439" s="103"/>
      <c r="AE439" s="103"/>
      <c r="AF439" s="103"/>
      <c r="AG439" s="185"/>
      <c r="AH439" s="103"/>
      <c r="AI439" s="103"/>
      <c r="AJ439" s="103"/>
      <c r="AK439" s="185"/>
      <c r="AL439" s="103"/>
      <c r="AM439" s="103"/>
      <c r="AN439" s="103"/>
    </row>
    <row r="440" spans="1:40" x14ac:dyDescent="0.25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208"/>
      <c r="AH440" s="102"/>
      <c r="AI440" s="102"/>
      <c r="AJ440" s="102"/>
      <c r="AK440" s="208"/>
      <c r="AL440" s="102"/>
      <c r="AM440" s="102"/>
      <c r="AN440" s="102"/>
    </row>
    <row r="441" spans="1:40" x14ac:dyDescent="0.25"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Y441" s="103"/>
      <c r="Z441" s="103"/>
      <c r="AA441" s="103"/>
      <c r="AB441" s="103"/>
      <c r="AC441" s="103"/>
      <c r="AD441" s="103"/>
      <c r="AE441" s="103"/>
      <c r="AF441" s="103"/>
      <c r="AG441" s="185"/>
      <c r="AH441" s="103"/>
      <c r="AI441" s="103"/>
      <c r="AJ441" s="103"/>
      <c r="AK441" s="185"/>
      <c r="AL441" s="103"/>
      <c r="AM441" s="103"/>
      <c r="AN441" s="103"/>
    </row>
    <row r="442" spans="1:40" x14ac:dyDescent="0.25">
      <c r="A442" s="202"/>
      <c r="C442" s="154"/>
      <c r="D442" s="154"/>
      <c r="E442" s="154"/>
      <c r="T442" s="154"/>
      <c r="U442" s="154"/>
    </row>
    <row r="444" spans="1:40" x14ac:dyDescent="0.25">
      <c r="A444" s="202"/>
      <c r="C444" s="154"/>
      <c r="T444" s="154"/>
    </row>
    <row r="445" spans="1:40" x14ac:dyDescent="0.25">
      <c r="A445" s="202"/>
      <c r="C445" s="154"/>
      <c r="F445" s="252"/>
      <c r="H445" s="252"/>
      <c r="I445" s="252"/>
      <c r="J445" s="305"/>
      <c r="K445" s="305"/>
      <c r="L445" s="200"/>
      <c r="M445" s="200"/>
      <c r="N445" s="210"/>
      <c r="O445" s="210"/>
      <c r="P445" s="200"/>
      <c r="Q445" s="200"/>
      <c r="R445" s="200"/>
      <c r="T445" s="154"/>
      <c r="V445" s="252"/>
      <c r="Y445" s="252"/>
      <c r="Z445" s="305"/>
      <c r="AA445" s="200"/>
      <c r="AB445" s="200"/>
      <c r="AC445" s="210"/>
      <c r="AD445" s="210"/>
      <c r="AE445" s="200"/>
      <c r="AF445" s="200"/>
      <c r="AG445" s="209"/>
      <c r="AH445" s="201"/>
      <c r="AI445" s="200"/>
      <c r="AJ445" s="200"/>
      <c r="AK445" s="209"/>
      <c r="AL445" s="200"/>
      <c r="AM445" s="210"/>
      <c r="AN445" s="210"/>
    </row>
    <row r="446" spans="1:40" x14ac:dyDescent="0.25">
      <c r="A446" s="202"/>
      <c r="C446" s="154"/>
      <c r="T446" s="154"/>
    </row>
    <row r="447" spans="1:40" x14ac:dyDescent="0.25">
      <c r="A447" s="202"/>
      <c r="C447" s="154"/>
      <c r="F447" s="252"/>
      <c r="H447" s="252"/>
      <c r="I447" s="252"/>
      <c r="J447" s="329"/>
      <c r="K447" s="329"/>
      <c r="L447" s="200"/>
      <c r="M447" s="200"/>
      <c r="N447" s="210"/>
      <c r="O447" s="210"/>
      <c r="P447" s="200"/>
      <c r="Q447" s="200"/>
      <c r="R447" s="200"/>
      <c r="T447" s="154"/>
      <c r="V447" s="200"/>
      <c r="Y447" s="200"/>
      <c r="Z447" s="329"/>
      <c r="AA447" s="200"/>
      <c r="AB447" s="200"/>
      <c r="AC447" s="210"/>
      <c r="AD447" s="210"/>
      <c r="AE447" s="200"/>
      <c r="AF447" s="200"/>
      <c r="AG447" s="209"/>
      <c r="AH447" s="201"/>
      <c r="AI447" s="200"/>
      <c r="AJ447" s="200"/>
      <c r="AK447" s="209"/>
      <c r="AL447" s="200"/>
      <c r="AM447" s="210"/>
      <c r="AN447" s="210"/>
    </row>
    <row r="448" spans="1:40" x14ac:dyDescent="0.25">
      <c r="A448" s="202"/>
      <c r="C448" s="154"/>
      <c r="F448" s="252"/>
      <c r="H448" s="252"/>
      <c r="I448" s="252"/>
      <c r="J448" s="329"/>
      <c r="K448" s="329"/>
      <c r="L448" s="200"/>
      <c r="M448" s="200"/>
      <c r="N448" s="210"/>
      <c r="O448" s="210"/>
      <c r="P448" s="200"/>
      <c r="Q448" s="200"/>
      <c r="R448" s="200"/>
      <c r="T448" s="154"/>
      <c r="V448" s="200"/>
      <c r="Y448" s="200"/>
      <c r="Z448" s="329"/>
      <c r="AA448" s="200"/>
      <c r="AB448" s="200"/>
      <c r="AC448" s="210"/>
      <c r="AD448" s="210"/>
      <c r="AE448" s="200"/>
      <c r="AF448" s="200"/>
      <c r="AG448" s="209"/>
      <c r="AH448" s="201"/>
      <c r="AI448" s="200"/>
      <c r="AJ448" s="200"/>
      <c r="AK448" s="209"/>
      <c r="AL448" s="200"/>
      <c r="AM448" s="210"/>
      <c r="AN448" s="210"/>
    </row>
    <row r="449" spans="1:40" x14ac:dyDescent="0.25">
      <c r="A449" s="202"/>
      <c r="C449" s="154"/>
      <c r="F449" s="252"/>
      <c r="H449" s="252"/>
      <c r="I449" s="252"/>
      <c r="J449" s="329"/>
      <c r="K449" s="329"/>
      <c r="L449" s="200"/>
      <c r="M449" s="200"/>
      <c r="N449" s="210"/>
      <c r="O449" s="210"/>
      <c r="P449" s="200"/>
      <c r="Q449" s="200"/>
      <c r="R449" s="200"/>
      <c r="T449" s="154"/>
      <c r="V449" s="200"/>
      <c r="Y449" s="200"/>
      <c r="Z449" s="329"/>
      <c r="AA449" s="200"/>
      <c r="AB449" s="200"/>
      <c r="AC449" s="210"/>
      <c r="AD449" s="210"/>
      <c r="AE449" s="200"/>
      <c r="AF449" s="200"/>
      <c r="AG449" s="209"/>
      <c r="AH449" s="201"/>
      <c r="AI449" s="200"/>
      <c r="AJ449" s="200"/>
      <c r="AK449" s="209"/>
      <c r="AL449" s="200"/>
      <c r="AM449" s="210"/>
      <c r="AN449" s="210"/>
    </row>
    <row r="450" spans="1:40" x14ac:dyDescent="0.25">
      <c r="A450" s="202"/>
      <c r="C450" s="154"/>
      <c r="F450" s="252"/>
      <c r="H450" s="252"/>
      <c r="I450" s="252"/>
      <c r="J450" s="329"/>
      <c r="K450" s="329"/>
      <c r="L450" s="200"/>
      <c r="M450" s="200"/>
      <c r="N450" s="210"/>
      <c r="O450" s="210"/>
      <c r="P450" s="200"/>
      <c r="Q450" s="200"/>
      <c r="R450" s="200"/>
      <c r="T450" s="154"/>
      <c r="V450" s="200"/>
      <c r="Y450" s="200"/>
      <c r="Z450" s="329"/>
      <c r="AA450" s="200"/>
      <c r="AB450" s="200"/>
      <c r="AC450" s="210"/>
      <c r="AD450" s="210"/>
      <c r="AE450" s="200"/>
      <c r="AF450" s="200"/>
      <c r="AG450" s="209"/>
      <c r="AH450" s="201"/>
      <c r="AI450" s="200"/>
      <c r="AJ450" s="200"/>
      <c r="AK450" s="209"/>
      <c r="AL450" s="200"/>
      <c r="AM450" s="210"/>
      <c r="AN450" s="210"/>
    </row>
    <row r="451" spans="1:40" x14ac:dyDescent="0.25">
      <c r="A451" s="202"/>
      <c r="C451" s="154"/>
      <c r="J451" s="334"/>
      <c r="K451" s="334"/>
      <c r="T451" s="154"/>
      <c r="Z451" s="334"/>
    </row>
    <row r="452" spans="1:40" x14ac:dyDescent="0.25">
      <c r="A452" s="202"/>
      <c r="C452" s="154"/>
      <c r="F452" s="252"/>
      <c r="H452" s="252"/>
      <c r="I452" s="252"/>
      <c r="J452" s="329"/>
      <c r="K452" s="329"/>
      <c r="L452" s="200"/>
      <c r="M452" s="200"/>
      <c r="N452" s="210"/>
      <c r="O452" s="210"/>
      <c r="P452" s="200"/>
      <c r="Q452" s="200"/>
      <c r="R452" s="200"/>
      <c r="T452" s="154"/>
      <c r="V452" s="200"/>
      <c r="Y452" s="200"/>
      <c r="Z452" s="329"/>
      <c r="AA452" s="200"/>
      <c r="AB452" s="200"/>
      <c r="AC452" s="210"/>
      <c r="AD452" s="210"/>
      <c r="AE452" s="200"/>
      <c r="AF452" s="200"/>
      <c r="AG452" s="209"/>
      <c r="AH452" s="201"/>
      <c r="AI452" s="200"/>
      <c r="AJ452" s="200"/>
      <c r="AK452" s="209"/>
      <c r="AL452" s="200"/>
      <c r="AM452" s="210"/>
      <c r="AN452" s="210"/>
    </row>
    <row r="453" spans="1:40" x14ac:dyDescent="0.25">
      <c r="A453" s="202"/>
      <c r="C453" s="154"/>
      <c r="F453" s="252"/>
      <c r="H453" s="252"/>
      <c r="I453" s="252"/>
      <c r="J453" s="329"/>
      <c r="K453" s="329"/>
      <c r="L453" s="200"/>
      <c r="M453" s="200"/>
      <c r="N453" s="210"/>
      <c r="O453" s="210"/>
      <c r="P453" s="200"/>
      <c r="Q453" s="200"/>
      <c r="R453" s="200"/>
      <c r="T453" s="154"/>
      <c r="V453" s="200"/>
      <c r="Y453" s="200"/>
      <c r="Z453" s="329"/>
      <c r="AA453" s="200"/>
      <c r="AB453" s="200"/>
      <c r="AC453" s="210"/>
      <c r="AD453" s="210"/>
      <c r="AE453" s="200"/>
      <c r="AF453" s="200"/>
      <c r="AG453" s="209"/>
      <c r="AH453" s="201"/>
      <c r="AI453" s="200"/>
      <c r="AJ453" s="200"/>
      <c r="AK453" s="209"/>
      <c r="AL453" s="200"/>
      <c r="AM453" s="210"/>
      <c r="AN453" s="210"/>
    </row>
    <row r="454" spans="1:40" x14ac:dyDescent="0.25">
      <c r="A454" s="202"/>
      <c r="C454" s="154"/>
      <c r="F454" s="252"/>
      <c r="H454" s="252"/>
      <c r="I454" s="252"/>
      <c r="J454" s="329"/>
      <c r="K454" s="329"/>
      <c r="L454" s="200"/>
      <c r="M454" s="200"/>
      <c r="N454" s="210"/>
      <c r="O454" s="210"/>
      <c r="P454" s="200"/>
      <c r="Q454" s="200"/>
      <c r="R454" s="200"/>
      <c r="T454" s="154"/>
      <c r="V454" s="200"/>
      <c r="Y454" s="200"/>
      <c r="Z454" s="329"/>
      <c r="AA454" s="200"/>
      <c r="AB454" s="200"/>
      <c r="AC454" s="210"/>
      <c r="AD454" s="210"/>
      <c r="AE454" s="200"/>
      <c r="AF454" s="200"/>
      <c r="AG454" s="209"/>
      <c r="AH454" s="201"/>
      <c r="AI454" s="200"/>
      <c r="AJ454" s="200"/>
      <c r="AK454" s="209"/>
      <c r="AL454" s="200"/>
      <c r="AM454" s="210"/>
      <c r="AN454" s="210"/>
    </row>
    <row r="455" spans="1:40" x14ac:dyDescent="0.25">
      <c r="A455" s="202"/>
      <c r="C455" s="154"/>
      <c r="J455" s="334"/>
      <c r="K455" s="334"/>
      <c r="T455" s="154"/>
      <c r="Z455" s="334"/>
    </row>
    <row r="456" spans="1:40" x14ac:dyDescent="0.25">
      <c r="A456" s="202"/>
      <c r="C456" s="154"/>
      <c r="F456" s="252"/>
      <c r="H456" s="252"/>
      <c r="I456" s="252"/>
      <c r="J456" s="329"/>
      <c r="K456" s="329"/>
      <c r="L456" s="200"/>
      <c r="M456" s="200"/>
      <c r="N456" s="210"/>
      <c r="O456" s="210"/>
      <c r="P456" s="200"/>
      <c r="Q456" s="200"/>
      <c r="R456" s="200"/>
      <c r="T456" s="154"/>
      <c r="V456" s="200"/>
      <c r="Y456" s="200"/>
      <c r="Z456" s="329"/>
      <c r="AA456" s="200"/>
      <c r="AB456" s="200"/>
      <c r="AC456" s="210"/>
      <c r="AD456" s="210"/>
      <c r="AE456" s="200"/>
      <c r="AF456" s="200"/>
      <c r="AG456" s="209"/>
      <c r="AH456" s="201"/>
      <c r="AI456" s="200"/>
      <c r="AJ456" s="200"/>
      <c r="AK456" s="209"/>
      <c r="AL456" s="200"/>
      <c r="AM456" s="210"/>
      <c r="AN456" s="210"/>
    </row>
    <row r="457" spans="1:40" x14ac:dyDescent="0.25">
      <c r="A457" s="202"/>
      <c r="C457" s="154"/>
      <c r="F457" s="252"/>
      <c r="H457" s="252"/>
      <c r="I457" s="252"/>
      <c r="J457" s="329"/>
      <c r="K457" s="329"/>
      <c r="L457" s="200"/>
      <c r="M457" s="200"/>
      <c r="N457" s="210"/>
      <c r="O457" s="210"/>
      <c r="P457" s="200"/>
      <c r="Q457" s="200"/>
      <c r="R457" s="200"/>
      <c r="T457" s="154"/>
      <c r="V457" s="200"/>
      <c r="Y457" s="200"/>
      <c r="Z457" s="329"/>
      <c r="AA457" s="200"/>
      <c r="AB457" s="200"/>
      <c r="AC457" s="210"/>
      <c r="AD457" s="210"/>
      <c r="AE457" s="200"/>
      <c r="AF457" s="200"/>
      <c r="AG457" s="209"/>
      <c r="AH457" s="201"/>
      <c r="AI457" s="200"/>
      <c r="AJ457" s="200"/>
      <c r="AK457" s="209"/>
      <c r="AL457" s="200"/>
      <c r="AM457" s="210"/>
      <c r="AN457" s="210"/>
    </row>
    <row r="458" spans="1:40" x14ac:dyDescent="0.25">
      <c r="A458" s="202"/>
      <c r="C458" s="154"/>
      <c r="J458" s="334"/>
      <c r="K458" s="334"/>
      <c r="T458" s="154"/>
      <c r="Z458" s="334"/>
    </row>
    <row r="459" spans="1:40" x14ac:dyDescent="0.25">
      <c r="A459" s="202"/>
      <c r="C459" s="154"/>
      <c r="F459" s="252"/>
      <c r="H459" s="252"/>
      <c r="I459" s="252"/>
      <c r="J459" s="329"/>
      <c r="K459" s="329"/>
      <c r="L459" s="200"/>
      <c r="M459" s="200"/>
      <c r="N459" s="210"/>
      <c r="O459" s="210"/>
      <c r="P459" s="200"/>
      <c r="Q459" s="200"/>
      <c r="R459" s="200"/>
      <c r="T459" s="154"/>
      <c r="V459" s="200"/>
      <c r="Y459" s="200"/>
      <c r="Z459" s="329"/>
      <c r="AA459" s="200"/>
      <c r="AB459" s="200"/>
      <c r="AC459" s="210"/>
      <c r="AD459" s="210"/>
      <c r="AE459" s="200"/>
      <c r="AF459" s="200"/>
      <c r="AG459" s="209"/>
      <c r="AH459" s="201"/>
      <c r="AI459" s="200"/>
      <c r="AJ459" s="200"/>
      <c r="AK459" s="209"/>
      <c r="AL459" s="200"/>
      <c r="AM459" s="210"/>
      <c r="AN459" s="210"/>
    </row>
    <row r="460" spans="1:40" x14ac:dyDescent="0.25">
      <c r="A460" s="202"/>
      <c r="C460" s="154"/>
      <c r="F460" s="252"/>
      <c r="H460" s="252"/>
      <c r="I460" s="252"/>
      <c r="J460" s="329"/>
      <c r="K460" s="329"/>
      <c r="L460" s="200"/>
      <c r="M460" s="200"/>
      <c r="N460" s="210"/>
      <c r="O460" s="210"/>
      <c r="P460" s="200"/>
      <c r="Q460" s="200"/>
      <c r="R460" s="200"/>
      <c r="T460" s="154"/>
      <c r="V460" s="200"/>
      <c r="Y460" s="200"/>
      <c r="Z460" s="329"/>
      <c r="AA460" s="200"/>
      <c r="AB460" s="200"/>
      <c r="AC460" s="210"/>
      <c r="AD460" s="210"/>
      <c r="AE460" s="200"/>
      <c r="AF460" s="200"/>
      <c r="AG460" s="209"/>
      <c r="AH460" s="201"/>
      <c r="AI460" s="200"/>
      <c r="AJ460" s="200"/>
      <c r="AK460" s="209"/>
      <c r="AL460" s="200"/>
      <c r="AM460" s="210"/>
      <c r="AN460" s="210"/>
    </row>
    <row r="461" spans="1:40" x14ac:dyDescent="0.25">
      <c r="A461" s="202"/>
      <c r="C461" s="154"/>
      <c r="F461" s="252"/>
      <c r="H461" s="252"/>
      <c r="I461" s="252"/>
      <c r="J461" s="329"/>
      <c r="K461" s="329"/>
      <c r="L461" s="200"/>
      <c r="M461" s="200"/>
      <c r="N461" s="210"/>
      <c r="O461" s="210"/>
      <c r="P461" s="200"/>
      <c r="Q461" s="200"/>
      <c r="R461" s="200"/>
      <c r="T461" s="154"/>
      <c r="V461" s="200"/>
      <c r="Y461" s="200"/>
      <c r="Z461" s="329"/>
      <c r="AA461" s="200"/>
      <c r="AB461" s="200"/>
      <c r="AC461" s="210"/>
      <c r="AD461" s="210"/>
      <c r="AE461" s="200"/>
      <c r="AF461" s="200"/>
      <c r="AG461" s="209"/>
      <c r="AH461" s="201"/>
      <c r="AI461" s="200"/>
      <c r="AJ461" s="200"/>
      <c r="AK461" s="209"/>
      <c r="AL461" s="200"/>
      <c r="AM461" s="210"/>
      <c r="AN461" s="210"/>
    </row>
    <row r="462" spans="1:40" x14ac:dyDescent="0.25">
      <c r="F462" s="211"/>
      <c r="H462" s="211"/>
      <c r="I462" s="211"/>
      <c r="J462" s="329"/>
      <c r="K462" s="329"/>
      <c r="L462" s="211"/>
      <c r="M462" s="211"/>
      <c r="N462" s="211"/>
      <c r="O462" s="211"/>
      <c r="P462" s="211"/>
      <c r="Q462" s="211"/>
      <c r="R462" s="211"/>
      <c r="V462" s="211"/>
      <c r="Y462" s="211"/>
      <c r="Z462" s="329"/>
      <c r="AA462" s="211"/>
      <c r="AB462" s="211"/>
      <c r="AC462" s="211"/>
      <c r="AD462" s="211"/>
      <c r="AE462" s="211"/>
      <c r="AF462" s="211"/>
      <c r="AI462" s="211"/>
      <c r="AJ462" s="211"/>
      <c r="AK462" s="212"/>
      <c r="AL462" s="211"/>
    </row>
    <row r="463" spans="1:40" x14ac:dyDescent="0.25">
      <c r="A463" s="202"/>
      <c r="C463" s="103"/>
      <c r="F463" s="200"/>
      <c r="H463" s="200"/>
      <c r="I463" s="200"/>
      <c r="J463" s="334"/>
      <c r="K463" s="334"/>
      <c r="L463" s="200"/>
      <c r="M463" s="200"/>
      <c r="N463" s="201"/>
      <c r="O463" s="201"/>
      <c r="P463" s="200"/>
      <c r="Q463" s="200"/>
      <c r="R463" s="200"/>
      <c r="T463" s="103"/>
      <c r="V463" s="200"/>
      <c r="Y463" s="200"/>
      <c r="Z463" s="334"/>
      <c r="AA463" s="200"/>
      <c r="AB463" s="200"/>
      <c r="AC463" s="200"/>
      <c r="AD463" s="200"/>
      <c r="AE463" s="200"/>
      <c r="AF463" s="200"/>
      <c r="AG463" s="209"/>
      <c r="AH463" s="201"/>
      <c r="AI463" s="200"/>
      <c r="AJ463" s="200"/>
      <c r="AK463" s="209"/>
      <c r="AL463" s="200"/>
      <c r="AM463" s="210"/>
      <c r="AN463" s="210"/>
    </row>
    <row r="464" spans="1:40" x14ac:dyDescent="0.25">
      <c r="F464" s="211"/>
      <c r="H464" s="211"/>
      <c r="I464" s="211"/>
      <c r="J464" s="329"/>
      <c r="K464" s="329"/>
      <c r="L464" s="211"/>
      <c r="M464" s="211"/>
      <c r="N464" s="211"/>
      <c r="O464" s="211"/>
      <c r="P464" s="211"/>
      <c r="Q464" s="211"/>
      <c r="R464" s="211"/>
      <c r="V464" s="211"/>
      <c r="Y464" s="211"/>
      <c r="Z464" s="329"/>
      <c r="AA464" s="211"/>
      <c r="AB464" s="211"/>
      <c r="AC464" s="211"/>
      <c r="AD464" s="211"/>
      <c r="AE464" s="211"/>
      <c r="AF464" s="211"/>
      <c r="AI464" s="211"/>
      <c r="AJ464" s="211"/>
      <c r="AK464" s="212"/>
      <c r="AL464" s="211"/>
    </row>
    <row r="465" spans="1:40" x14ac:dyDescent="0.25">
      <c r="A465" s="202"/>
      <c r="C465" s="154"/>
      <c r="J465" s="334"/>
      <c r="K465" s="334"/>
      <c r="T465" s="154"/>
      <c r="Z465" s="334"/>
    </row>
    <row r="466" spans="1:40" x14ac:dyDescent="0.25">
      <c r="A466" s="202"/>
      <c r="C466" s="154"/>
      <c r="J466" s="334"/>
      <c r="K466" s="334"/>
      <c r="T466" s="154"/>
      <c r="Z466" s="334"/>
    </row>
    <row r="467" spans="1:40" x14ac:dyDescent="0.25">
      <c r="A467" s="202"/>
      <c r="C467" s="154"/>
      <c r="F467" s="252"/>
      <c r="H467" s="252"/>
      <c r="I467" s="252"/>
      <c r="J467" s="329"/>
      <c r="K467" s="329"/>
      <c r="L467" s="200"/>
      <c r="M467" s="200"/>
      <c r="N467" s="210"/>
      <c r="O467" s="210"/>
      <c r="P467" s="200"/>
      <c r="Q467" s="200"/>
      <c r="R467" s="200"/>
      <c r="T467" s="154"/>
      <c r="V467" s="200"/>
      <c r="Y467" s="200"/>
      <c r="Z467" s="329"/>
      <c r="AA467" s="200"/>
      <c r="AB467" s="200"/>
      <c r="AC467" s="210"/>
      <c r="AD467" s="210"/>
      <c r="AE467" s="200"/>
      <c r="AF467" s="200"/>
      <c r="AG467" s="209"/>
      <c r="AH467" s="201"/>
      <c r="AI467" s="200"/>
      <c r="AJ467" s="200"/>
      <c r="AK467" s="209"/>
      <c r="AL467" s="200"/>
      <c r="AM467" s="210"/>
      <c r="AN467" s="210"/>
    </row>
    <row r="468" spans="1:40" x14ac:dyDescent="0.25">
      <c r="A468" s="202"/>
      <c r="C468" s="154"/>
      <c r="F468" s="252"/>
      <c r="H468" s="252"/>
      <c r="I468" s="252"/>
      <c r="J468" s="329"/>
      <c r="K468" s="329"/>
      <c r="L468" s="200"/>
      <c r="M468" s="200"/>
      <c r="N468" s="210"/>
      <c r="O468" s="210"/>
      <c r="P468" s="200"/>
      <c r="Q468" s="200"/>
      <c r="R468" s="200"/>
      <c r="T468" s="154"/>
      <c r="V468" s="200"/>
      <c r="Y468" s="200"/>
      <c r="Z468" s="329"/>
      <c r="AA468" s="200"/>
      <c r="AB468" s="200"/>
      <c r="AC468" s="210"/>
      <c r="AD468" s="210"/>
      <c r="AE468" s="200"/>
      <c r="AF468" s="200"/>
      <c r="AG468" s="209"/>
      <c r="AH468" s="201"/>
      <c r="AI468" s="200"/>
      <c r="AJ468" s="200"/>
      <c r="AK468" s="209"/>
      <c r="AL468" s="200"/>
      <c r="AM468" s="210"/>
      <c r="AN468" s="210"/>
    </row>
    <row r="469" spans="1:40" x14ac:dyDescent="0.25">
      <c r="A469" s="202"/>
      <c r="C469" s="154"/>
      <c r="F469" s="252"/>
      <c r="H469" s="252"/>
      <c r="I469" s="252"/>
      <c r="J469" s="329"/>
      <c r="K469" s="329"/>
      <c r="L469" s="200"/>
      <c r="M469" s="200"/>
      <c r="N469" s="210"/>
      <c r="O469" s="210"/>
      <c r="P469" s="200"/>
      <c r="Q469" s="200"/>
      <c r="R469" s="200"/>
      <c r="T469" s="154"/>
      <c r="V469" s="200"/>
      <c r="Y469" s="200"/>
      <c r="Z469" s="329"/>
      <c r="AA469" s="200"/>
      <c r="AB469" s="200"/>
      <c r="AC469" s="210"/>
      <c r="AD469" s="210"/>
      <c r="AE469" s="200"/>
      <c r="AF469" s="200"/>
      <c r="AG469" s="209"/>
      <c r="AH469" s="201"/>
      <c r="AI469" s="200"/>
      <c r="AJ469" s="200"/>
      <c r="AK469" s="209"/>
      <c r="AL469" s="200"/>
      <c r="AM469" s="210"/>
      <c r="AN469" s="210"/>
    </row>
    <row r="470" spans="1:40" x14ac:dyDescent="0.25">
      <c r="A470" s="202"/>
      <c r="C470" s="154"/>
      <c r="F470" s="252"/>
      <c r="H470" s="252"/>
      <c r="I470" s="252"/>
      <c r="J470" s="329"/>
      <c r="K470" s="329"/>
      <c r="L470" s="200"/>
      <c r="M470" s="200"/>
      <c r="N470" s="210"/>
      <c r="O470" s="210"/>
      <c r="P470" s="200"/>
      <c r="Q470" s="200"/>
      <c r="R470" s="200"/>
      <c r="T470" s="154"/>
      <c r="V470" s="200"/>
      <c r="Y470" s="200"/>
      <c r="Z470" s="329"/>
      <c r="AA470" s="200"/>
      <c r="AB470" s="200"/>
      <c r="AC470" s="210"/>
      <c r="AD470" s="210"/>
      <c r="AE470" s="200"/>
      <c r="AF470" s="200"/>
      <c r="AG470" s="209"/>
      <c r="AH470" s="201"/>
      <c r="AI470" s="200"/>
      <c r="AJ470" s="200"/>
      <c r="AK470" s="209"/>
      <c r="AL470" s="200"/>
      <c r="AM470" s="210"/>
      <c r="AN470" s="210"/>
    </row>
    <row r="471" spans="1:40" x14ac:dyDescent="0.25">
      <c r="A471" s="202"/>
      <c r="C471" s="154"/>
      <c r="F471" s="252"/>
      <c r="H471" s="252"/>
      <c r="I471" s="252"/>
      <c r="J471" s="329"/>
      <c r="K471" s="329"/>
      <c r="L471" s="200"/>
      <c r="M471" s="200"/>
      <c r="N471" s="210"/>
      <c r="O471" s="210"/>
      <c r="P471" s="200"/>
      <c r="Q471" s="200"/>
      <c r="R471" s="200"/>
      <c r="T471" s="154"/>
      <c r="V471" s="200"/>
      <c r="Y471" s="200"/>
      <c r="Z471" s="329"/>
      <c r="AA471" s="200"/>
      <c r="AB471" s="200"/>
      <c r="AC471" s="210"/>
      <c r="AD471" s="210"/>
      <c r="AE471" s="200"/>
      <c r="AF471" s="200"/>
      <c r="AG471" s="209"/>
      <c r="AH471" s="201"/>
      <c r="AI471" s="200"/>
      <c r="AJ471" s="200"/>
      <c r="AK471" s="209"/>
      <c r="AL471" s="200"/>
      <c r="AM471" s="210"/>
      <c r="AN471" s="210"/>
    </row>
    <row r="472" spans="1:40" x14ac:dyDescent="0.25">
      <c r="A472" s="202"/>
      <c r="C472" s="154"/>
      <c r="F472" s="252"/>
      <c r="H472" s="252"/>
      <c r="I472" s="252"/>
      <c r="J472" s="329"/>
      <c r="K472" s="329"/>
      <c r="L472" s="200"/>
      <c r="M472" s="200"/>
      <c r="N472" s="210"/>
      <c r="O472" s="210"/>
      <c r="P472" s="200"/>
      <c r="Q472" s="200"/>
      <c r="R472" s="200"/>
      <c r="T472" s="154"/>
      <c r="V472" s="200"/>
      <c r="Y472" s="200"/>
      <c r="Z472" s="329"/>
      <c r="AA472" s="200"/>
      <c r="AB472" s="200"/>
      <c r="AC472" s="210"/>
      <c r="AD472" s="210"/>
      <c r="AE472" s="200"/>
      <c r="AF472" s="200"/>
      <c r="AG472" s="209"/>
      <c r="AH472" s="201"/>
      <c r="AI472" s="200"/>
      <c r="AJ472" s="200"/>
      <c r="AK472" s="209"/>
      <c r="AL472" s="200"/>
      <c r="AM472" s="210"/>
      <c r="AN472" s="210"/>
    </row>
    <row r="473" spans="1:40" x14ac:dyDescent="0.25">
      <c r="A473" s="202"/>
      <c r="C473" s="154"/>
      <c r="F473" s="252"/>
      <c r="H473" s="252"/>
      <c r="I473" s="252"/>
      <c r="J473" s="329"/>
      <c r="K473" s="329"/>
      <c r="L473" s="200"/>
      <c r="M473" s="200"/>
      <c r="N473" s="210"/>
      <c r="O473" s="210"/>
      <c r="P473" s="200"/>
      <c r="Q473" s="200"/>
      <c r="R473" s="200"/>
      <c r="T473" s="154"/>
      <c r="V473" s="200"/>
      <c r="Y473" s="200"/>
      <c r="Z473" s="329"/>
      <c r="AA473" s="200"/>
      <c r="AB473" s="200"/>
      <c r="AC473" s="210"/>
      <c r="AD473" s="210"/>
      <c r="AE473" s="200"/>
      <c r="AF473" s="200"/>
      <c r="AG473" s="209"/>
      <c r="AH473" s="201"/>
      <c r="AI473" s="200"/>
      <c r="AJ473" s="200"/>
      <c r="AK473" s="209"/>
      <c r="AL473" s="200"/>
      <c r="AM473" s="210"/>
      <c r="AN473" s="210"/>
    </row>
    <row r="474" spans="1:40" x14ac:dyDescent="0.25">
      <c r="A474" s="202"/>
      <c r="C474" s="154"/>
      <c r="J474" s="334"/>
      <c r="K474" s="334"/>
      <c r="T474" s="154"/>
      <c r="Z474" s="334"/>
    </row>
    <row r="475" spans="1:40" x14ac:dyDescent="0.25">
      <c r="A475" s="202"/>
      <c r="C475" s="154"/>
      <c r="F475" s="252"/>
      <c r="H475" s="252"/>
      <c r="I475" s="252"/>
      <c r="J475" s="329"/>
      <c r="K475" s="329"/>
      <c r="L475" s="200"/>
      <c r="M475" s="200"/>
      <c r="N475" s="210"/>
      <c r="O475" s="210"/>
      <c r="P475" s="200"/>
      <c r="Q475" s="200"/>
      <c r="R475" s="200"/>
      <c r="T475" s="154"/>
      <c r="V475" s="200"/>
      <c r="Y475" s="200"/>
      <c r="Z475" s="329"/>
      <c r="AA475" s="200"/>
      <c r="AB475" s="200"/>
      <c r="AC475" s="210"/>
      <c r="AD475" s="210"/>
      <c r="AE475" s="200"/>
      <c r="AF475" s="200"/>
      <c r="AG475" s="209"/>
      <c r="AH475" s="201"/>
      <c r="AI475" s="200"/>
      <c r="AJ475" s="200"/>
      <c r="AK475" s="209"/>
      <c r="AL475" s="200"/>
      <c r="AM475" s="210"/>
      <c r="AN475" s="210"/>
    </row>
    <row r="476" spans="1:40" x14ac:dyDescent="0.25">
      <c r="A476" s="202"/>
      <c r="C476" s="154"/>
      <c r="F476" s="252"/>
      <c r="H476" s="252"/>
      <c r="I476" s="252"/>
      <c r="J476" s="329"/>
      <c r="K476" s="329"/>
      <c r="L476" s="200"/>
      <c r="M476" s="200"/>
      <c r="N476" s="210"/>
      <c r="O476" s="210"/>
      <c r="P476" s="200"/>
      <c r="Q476" s="200"/>
      <c r="R476" s="200"/>
      <c r="T476" s="154"/>
      <c r="V476" s="200"/>
      <c r="Y476" s="200"/>
      <c r="Z476" s="329"/>
      <c r="AA476" s="200"/>
      <c r="AB476" s="200"/>
      <c r="AC476" s="210"/>
      <c r="AD476" s="210"/>
      <c r="AE476" s="200"/>
      <c r="AF476" s="200"/>
      <c r="AG476" s="209"/>
      <c r="AH476" s="201"/>
      <c r="AI476" s="200"/>
      <c r="AJ476" s="200"/>
      <c r="AK476" s="209"/>
      <c r="AL476" s="200"/>
      <c r="AM476" s="210"/>
      <c r="AN476" s="210"/>
    </row>
    <row r="477" spans="1:40" x14ac:dyDescent="0.25">
      <c r="A477" s="202"/>
      <c r="C477" s="154"/>
      <c r="F477" s="252"/>
      <c r="H477" s="252"/>
      <c r="I477" s="252"/>
      <c r="J477" s="329"/>
      <c r="K477" s="329"/>
      <c r="L477" s="200"/>
      <c r="M477" s="200"/>
      <c r="N477" s="210"/>
      <c r="O477" s="210"/>
      <c r="P477" s="200"/>
      <c r="Q477" s="200"/>
      <c r="R477" s="200"/>
      <c r="T477" s="154"/>
      <c r="V477" s="200"/>
      <c r="Y477" s="200"/>
      <c r="Z477" s="329"/>
      <c r="AA477" s="200"/>
      <c r="AB477" s="200"/>
      <c r="AC477" s="210"/>
      <c r="AD477" s="210"/>
      <c r="AE477" s="200"/>
      <c r="AF477" s="200"/>
      <c r="AG477" s="209"/>
      <c r="AH477" s="201"/>
      <c r="AI477" s="200"/>
      <c r="AJ477" s="200"/>
      <c r="AK477" s="209"/>
      <c r="AL477" s="200"/>
      <c r="AM477" s="210"/>
      <c r="AN477" s="210"/>
    </row>
    <row r="478" spans="1:40" x14ac:dyDescent="0.25">
      <c r="A478" s="202"/>
      <c r="C478" s="154"/>
      <c r="F478" s="252"/>
      <c r="H478" s="252"/>
      <c r="I478" s="252"/>
      <c r="J478" s="329"/>
      <c r="K478" s="329"/>
      <c r="L478" s="200"/>
      <c r="M478" s="200"/>
      <c r="N478" s="210"/>
      <c r="O478" s="210"/>
      <c r="P478" s="200"/>
      <c r="Q478" s="200"/>
      <c r="R478" s="200"/>
      <c r="T478" s="154"/>
      <c r="V478" s="200"/>
      <c r="Y478" s="200"/>
      <c r="Z478" s="329"/>
      <c r="AA478" s="200"/>
      <c r="AB478" s="200"/>
      <c r="AC478" s="210"/>
      <c r="AD478" s="210"/>
      <c r="AE478" s="200"/>
      <c r="AF478" s="200"/>
      <c r="AG478" s="209"/>
      <c r="AH478" s="201"/>
      <c r="AI478" s="200"/>
      <c r="AJ478" s="200"/>
      <c r="AK478" s="209"/>
      <c r="AL478" s="200"/>
      <c r="AM478" s="210"/>
      <c r="AN478" s="210"/>
    </row>
    <row r="479" spans="1:40" x14ac:dyDescent="0.25">
      <c r="A479" s="202"/>
      <c r="C479" s="154"/>
      <c r="J479" s="334"/>
      <c r="K479" s="334"/>
      <c r="T479" s="154"/>
      <c r="Z479" s="334"/>
    </row>
    <row r="480" spans="1:40" x14ac:dyDescent="0.25">
      <c r="A480" s="202"/>
      <c r="C480" s="154"/>
      <c r="F480" s="252"/>
      <c r="H480" s="252"/>
      <c r="I480" s="252"/>
      <c r="J480" s="329"/>
      <c r="K480" s="329"/>
      <c r="L480" s="200"/>
      <c r="M480" s="200"/>
      <c r="N480" s="210"/>
      <c r="O480" s="210"/>
      <c r="P480" s="200"/>
      <c r="Q480" s="200"/>
      <c r="R480" s="200"/>
      <c r="T480" s="154"/>
      <c r="V480" s="200"/>
      <c r="Y480" s="200"/>
      <c r="Z480" s="329"/>
      <c r="AA480" s="200"/>
      <c r="AB480" s="200"/>
      <c r="AC480" s="210"/>
      <c r="AD480" s="210"/>
      <c r="AE480" s="200"/>
      <c r="AF480" s="200"/>
      <c r="AG480" s="209"/>
      <c r="AH480" s="201"/>
      <c r="AI480" s="200"/>
      <c r="AJ480" s="200"/>
      <c r="AK480" s="209"/>
      <c r="AL480" s="200"/>
      <c r="AM480" s="210"/>
      <c r="AN480" s="210"/>
    </row>
    <row r="481" spans="1:40" x14ac:dyDescent="0.25">
      <c r="A481" s="202"/>
      <c r="C481" s="154"/>
      <c r="F481" s="252"/>
      <c r="H481" s="252"/>
      <c r="I481" s="252"/>
      <c r="J481" s="329"/>
      <c r="K481" s="329"/>
      <c r="L481" s="200"/>
      <c r="M481" s="200"/>
      <c r="N481" s="210"/>
      <c r="O481" s="210"/>
      <c r="P481" s="200"/>
      <c r="Q481" s="200"/>
      <c r="R481" s="200"/>
      <c r="T481" s="154"/>
      <c r="V481" s="200"/>
      <c r="Y481" s="200"/>
      <c r="Z481" s="329"/>
      <c r="AA481" s="200"/>
      <c r="AB481" s="200"/>
      <c r="AC481" s="210"/>
      <c r="AD481" s="210"/>
      <c r="AE481" s="200"/>
      <c r="AF481" s="200"/>
      <c r="AG481" s="209"/>
      <c r="AH481" s="201"/>
      <c r="AI481" s="200"/>
      <c r="AJ481" s="200"/>
      <c r="AK481" s="209"/>
      <c r="AL481" s="200"/>
      <c r="AM481" s="210"/>
      <c r="AN481" s="210"/>
    </row>
    <row r="482" spans="1:40" x14ac:dyDescent="0.25">
      <c r="A482" s="202"/>
      <c r="C482" s="154"/>
      <c r="F482" s="252"/>
      <c r="H482" s="252"/>
      <c r="I482" s="252"/>
      <c r="J482" s="329"/>
      <c r="K482" s="329"/>
      <c r="L482" s="200"/>
      <c r="M482" s="200"/>
      <c r="N482" s="210"/>
      <c r="O482" s="210"/>
      <c r="P482" s="200"/>
      <c r="Q482" s="200"/>
      <c r="R482" s="200"/>
      <c r="T482" s="154"/>
      <c r="V482" s="200"/>
      <c r="Y482" s="200"/>
      <c r="Z482" s="329"/>
      <c r="AA482" s="200"/>
      <c r="AB482" s="200"/>
      <c r="AC482" s="210"/>
      <c r="AD482" s="210"/>
      <c r="AE482" s="200"/>
      <c r="AF482" s="200"/>
      <c r="AG482" s="209"/>
      <c r="AH482" s="201"/>
      <c r="AI482" s="200"/>
      <c r="AJ482" s="200"/>
      <c r="AK482" s="209"/>
      <c r="AL482" s="200"/>
      <c r="AM482" s="210"/>
      <c r="AN482" s="210"/>
    </row>
    <row r="483" spans="1:40" x14ac:dyDescent="0.25">
      <c r="A483" s="202"/>
      <c r="C483" s="154"/>
      <c r="F483" s="252"/>
      <c r="H483" s="252"/>
      <c r="I483" s="252"/>
      <c r="J483" s="329"/>
      <c r="K483" s="329"/>
      <c r="L483" s="200"/>
      <c r="M483" s="200"/>
      <c r="N483" s="210"/>
      <c r="O483" s="210"/>
      <c r="P483" s="200"/>
      <c r="Q483" s="200"/>
      <c r="R483" s="200"/>
      <c r="T483" s="154"/>
      <c r="V483" s="200"/>
      <c r="Y483" s="200"/>
      <c r="Z483" s="329"/>
      <c r="AA483" s="200"/>
      <c r="AB483" s="200"/>
      <c r="AC483" s="210"/>
      <c r="AD483" s="210"/>
      <c r="AE483" s="200"/>
      <c r="AF483" s="200"/>
      <c r="AG483" s="209"/>
      <c r="AH483" s="201"/>
      <c r="AI483" s="200"/>
      <c r="AJ483" s="200"/>
      <c r="AK483" s="209"/>
      <c r="AL483" s="200"/>
      <c r="AM483" s="210"/>
      <c r="AN483" s="210"/>
    </row>
    <row r="484" spans="1:40" x14ac:dyDescent="0.25">
      <c r="A484" s="202"/>
      <c r="C484" s="154"/>
      <c r="F484" s="252"/>
      <c r="H484" s="252"/>
      <c r="I484" s="252"/>
      <c r="J484" s="329"/>
      <c r="K484" s="329"/>
      <c r="L484" s="200"/>
      <c r="M484" s="200"/>
      <c r="N484" s="210"/>
      <c r="O484" s="210"/>
      <c r="P484" s="200"/>
      <c r="Q484" s="200"/>
      <c r="R484" s="200"/>
      <c r="T484" s="154"/>
      <c r="V484" s="200"/>
      <c r="Y484" s="200"/>
      <c r="Z484" s="329"/>
      <c r="AA484" s="200"/>
      <c r="AB484" s="200"/>
      <c r="AC484" s="210"/>
      <c r="AD484" s="210"/>
      <c r="AE484" s="200"/>
      <c r="AF484" s="200"/>
      <c r="AG484" s="209"/>
      <c r="AH484" s="201"/>
      <c r="AI484" s="200"/>
      <c r="AJ484" s="200"/>
      <c r="AK484" s="209"/>
      <c r="AL484" s="200"/>
      <c r="AM484" s="210"/>
      <c r="AN484" s="210"/>
    </row>
    <row r="485" spans="1:40" x14ac:dyDescent="0.25">
      <c r="F485" s="211"/>
      <c r="H485" s="211"/>
      <c r="I485" s="211"/>
      <c r="J485" s="305"/>
      <c r="K485" s="305"/>
      <c r="L485" s="211"/>
      <c r="M485" s="211"/>
      <c r="N485" s="211"/>
      <c r="O485" s="211"/>
      <c r="P485" s="211"/>
      <c r="Q485" s="211"/>
      <c r="R485" s="211"/>
      <c r="V485" s="211"/>
      <c r="Y485" s="211"/>
      <c r="Z485" s="329"/>
      <c r="AA485" s="211"/>
      <c r="AB485" s="211"/>
      <c r="AC485" s="211"/>
      <c r="AD485" s="211"/>
      <c r="AE485" s="211"/>
      <c r="AF485" s="211"/>
      <c r="AI485" s="211"/>
      <c r="AJ485" s="211"/>
      <c r="AK485" s="212"/>
      <c r="AL485" s="211"/>
    </row>
    <row r="486" spans="1:40" x14ac:dyDescent="0.25">
      <c r="A486" s="202"/>
      <c r="C486" s="154"/>
      <c r="F486" s="200"/>
      <c r="H486" s="200"/>
      <c r="I486" s="200"/>
      <c r="L486" s="200"/>
      <c r="M486" s="200"/>
      <c r="N486" s="201"/>
      <c r="O486" s="201"/>
      <c r="P486" s="200"/>
      <c r="Q486" s="200"/>
      <c r="R486" s="200"/>
      <c r="T486" s="154"/>
      <c r="V486" s="200"/>
      <c r="Y486" s="200"/>
      <c r="AA486" s="200"/>
      <c r="AB486" s="200"/>
      <c r="AC486" s="210"/>
      <c r="AD486" s="210"/>
      <c r="AE486" s="200"/>
      <c r="AF486" s="200"/>
      <c r="AG486" s="209"/>
      <c r="AH486" s="201"/>
      <c r="AI486" s="200"/>
      <c r="AJ486" s="200"/>
      <c r="AK486" s="209"/>
      <c r="AL486" s="200"/>
      <c r="AM486" s="210"/>
      <c r="AN486" s="210"/>
    </row>
    <row r="487" spans="1:40" x14ac:dyDescent="0.25">
      <c r="F487" s="211"/>
      <c r="H487" s="211"/>
      <c r="I487" s="211"/>
      <c r="J487" s="305"/>
      <c r="K487" s="305"/>
      <c r="L487" s="211"/>
      <c r="M487" s="211"/>
      <c r="N487" s="211"/>
      <c r="O487" s="211"/>
      <c r="P487" s="211"/>
      <c r="Q487" s="211"/>
      <c r="R487" s="211"/>
      <c r="V487" s="211"/>
      <c r="Y487" s="211"/>
      <c r="Z487" s="305"/>
      <c r="AA487" s="211"/>
      <c r="AB487" s="211"/>
      <c r="AC487" s="211"/>
      <c r="AD487" s="211"/>
      <c r="AE487" s="211"/>
      <c r="AF487" s="211"/>
      <c r="AI487" s="211"/>
      <c r="AJ487" s="211"/>
      <c r="AK487" s="212"/>
      <c r="AL487" s="211"/>
    </row>
    <row r="488" spans="1:40" x14ac:dyDescent="0.25">
      <c r="A488" s="202"/>
      <c r="C488" s="154"/>
      <c r="T488" s="154"/>
    </row>
    <row r="489" spans="1:40" x14ac:dyDescent="0.25">
      <c r="A489" s="202"/>
      <c r="C489" s="154"/>
      <c r="F489" s="252"/>
      <c r="H489" s="252"/>
      <c r="I489" s="252"/>
      <c r="J489" s="300"/>
      <c r="K489" s="300"/>
      <c r="L489" s="200"/>
      <c r="M489" s="200"/>
      <c r="N489" s="210"/>
      <c r="O489" s="210"/>
      <c r="P489" s="200"/>
      <c r="Q489" s="200"/>
      <c r="R489" s="200"/>
      <c r="T489" s="154"/>
      <c r="V489" s="200"/>
      <c r="Y489" s="200"/>
      <c r="Z489" s="300"/>
      <c r="AA489" s="200"/>
      <c r="AB489" s="200"/>
      <c r="AC489" s="210"/>
      <c r="AD489" s="210"/>
      <c r="AE489" s="200"/>
      <c r="AF489" s="200"/>
      <c r="AG489" s="209"/>
      <c r="AH489" s="201"/>
      <c r="AI489" s="200"/>
      <c r="AJ489" s="200"/>
      <c r="AK489" s="209"/>
      <c r="AL489" s="200"/>
      <c r="AM489" s="210"/>
      <c r="AN489" s="210"/>
    </row>
    <row r="490" spans="1:40" x14ac:dyDescent="0.25">
      <c r="A490" s="202"/>
      <c r="C490" s="154"/>
      <c r="F490" s="252"/>
      <c r="H490" s="252"/>
      <c r="I490" s="252"/>
      <c r="J490" s="300"/>
      <c r="K490" s="300"/>
      <c r="L490" s="200"/>
      <c r="M490" s="200"/>
      <c r="N490" s="210"/>
      <c r="O490" s="210"/>
      <c r="P490" s="200"/>
      <c r="Q490" s="200"/>
      <c r="R490" s="200"/>
      <c r="T490" s="154"/>
      <c r="V490" s="200"/>
      <c r="Y490" s="200"/>
      <c r="Z490" s="300"/>
      <c r="AA490" s="200"/>
      <c r="AB490" s="200"/>
      <c r="AC490" s="210"/>
      <c r="AD490" s="210"/>
      <c r="AE490" s="200"/>
      <c r="AF490" s="200"/>
      <c r="AG490" s="209"/>
      <c r="AH490" s="201"/>
      <c r="AI490" s="200"/>
      <c r="AJ490" s="200"/>
      <c r="AK490" s="209"/>
      <c r="AL490" s="200"/>
      <c r="AM490" s="210"/>
      <c r="AN490" s="210"/>
    </row>
    <row r="491" spans="1:40" x14ac:dyDescent="0.25">
      <c r="F491" s="211"/>
      <c r="H491" s="200"/>
      <c r="I491" s="200"/>
      <c r="J491" s="305"/>
      <c r="K491" s="305"/>
      <c r="L491" s="211"/>
      <c r="M491" s="211"/>
      <c r="N491" s="211"/>
      <c r="O491" s="211"/>
      <c r="P491" s="211"/>
      <c r="Q491" s="211"/>
      <c r="R491" s="211"/>
      <c r="V491" s="211"/>
      <c r="Y491" s="200"/>
      <c r="Z491" s="305"/>
      <c r="AA491" s="211"/>
      <c r="AB491" s="211"/>
      <c r="AC491" s="211"/>
      <c r="AD491" s="211"/>
      <c r="AE491" s="211"/>
      <c r="AF491" s="211"/>
      <c r="AI491" s="211"/>
      <c r="AJ491" s="211"/>
      <c r="AK491" s="212"/>
      <c r="AL491" s="211"/>
    </row>
    <row r="492" spans="1:40" x14ac:dyDescent="0.25">
      <c r="F492" s="200"/>
      <c r="H492" s="200"/>
      <c r="I492" s="200"/>
      <c r="J492" s="305"/>
      <c r="K492" s="305"/>
      <c r="L492" s="200"/>
      <c r="M492" s="200"/>
      <c r="N492" s="200"/>
      <c r="O492" s="200"/>
      <c r="P492" s="200"/>
      <c r="Q492" s="200"/>
      <c r="R492" s="200"/>
      <c r="V492" s="200"/>
      <c r="Y492" s="200"/>
      <c r="Z492" s="305"/>
      <c r="AA492" s="200"/>
      <c r="AB492" s="200"/>
      <c r="AC492" s="200"/>
      <c r="AD492" s="200"/>
      <c r="AE492" s="200"/>
      <c r="AF492" s="200"/>
      <c r="AI492" s="200"/>
      <c r="AJ492" s="200"/>
      <c r="AK492" s="209"/>
      <c r="AL492" s="200"/>
    </row>
    <row r="493" spans="1:40" x14ac:dyDescent="0.25">
      <c r="A493" s="202"/>
      <c r="C493" s="154"/>
      <c r="F493" s="200"/>
      <c r="H493" s="200"/>
      <c r="I493" s="200"/>
      <c r="L493" s="200"/>
      <c r="M493" s="200"/>
      <c r="N493" s="210"/>
      <c r="O493" s="210"/>
      <c r="P493" s="200"/>
      <c r="Q493" s="200"/>
      <c r="R493" s="200"/>
      <c r="T493" s="154"/>
      <c r="V493" s="200"/>
      <c r="Y493" s="200"/>
      <c r="AA493" s="200"/>
      <c r="AB493" s="200"/>
      <c r="AC493" s="210"/>
      <c r="AD493" s="210"/>
      <c r="AE493" s="200"/>
      <c r="AF493" s="200"/>
      <c r="AG493" s="209"/>
      <c r="AH493" s="201"/>
      <c r="AI493" s="252"/>
      <c r="AJ493" s="252"/>
      <c r="AK493" s="209"/>
      <c r="AL493" s="200"/>
      <c r="AM493" s="210"/>
      <c r="AN493" s="210"/>
    </row>
    <row r="494" spans="1:40" x14ac:dyDescent="0.25">
      <c r="H494" s="211"/>
      <c r="I494" s="211"/>
      <c r="J494" s="305"/>
      <c r="K494" s="305"/>
      <c r="L494" s="211"/>
      <c r="M494" s="211"/>
      <c r="N494" s="211"/>
      <c r="O494" s="211"/>
      <c r="P494" s="211"/>
      <c r="Q494" s="211"/>
      <c r="R494" s="211"/>
      <c r="V494" s="211"/>
      <c r="Y494" s="211"/>
      <c r="Z494" s="305"/>
      <c r="AA494" s="211"/>
      <c r="AB494" s="211"/>
      <c r="AC494" s="211"/>
      <c r="AD494" s="211"/>
      <c r="AE494" s="211"/>
      <c r="AF494" s="211"/>
      <c r="AI494" s="211"/>
      <c r="AJ494" s="211"/>
      <c r="AK494" s="212"/>
      <c r="AL494" s="211"/>
    </row>
    <row r="495" spans="1:40" x14ac:dyDescent="0.25">
      <c r="F495" s="211"/>
    </row>
    <row r="496" spans="1:40" x14ac:dyDescent="0.25">
      <c r="A496" s="154"/>
      <c r="T496" s="154"/>
    </row>
    <row r="497" spans="1:38" x14ac:dyDescent="0.25">
      <c r="A497" s="154"/>
      <c r="T497" s="154"/>
    </row>
    <row r="498" spans="1:38" x14ac:dyDescent="0.25">
      <c r="A498" s="154"/>
      <c r="T498" s="154"/>
    </row>
    <row r="499" spans="1:38" x14ac:dyDescent="0.25">
      <c r="A499" s="154"/>
      <c r="T499" s="154"/>
    </row>
    <row r="500" spans="1:38" x14ac:dyDescent="0.25">
      <c r="A500" s="154"/>
      <c r="T500" s="154"/>
    </row>
    <row r="501" spans="1:38" x14ac:dyDescent="0.25">
      <c r="A501" s="154"/>
      <c r="T501" s="154"/>
    </row>
    <row r="502" spans="1:38" x14ac:dyDescent="0.25">
      <c r="A502" s="154"/>
      <c r="T502" s="154"/>
    </row>
    <row r="503" spans="1:38" x14ac:dyDescent="0.25">
      <c r="A503" s="154"/>
      <c r="T503" s="154"/>
    </row>
    <row r="504" spans="1:38" x14ac:dyDescent="0.25">
      <c r="A504" s="154"/>
      <c r="T504" s="154"/>
    </row>
    <row r="506" spans="1:38" x14ac:dyDescent="0.25">
      <c r="A506" s="154"/>
    </row>
    <row r="507" spans="1:38" x14ac:dyDescent="0.25">
      <c r="J507" s="202"/>
      <c r="K507" s="202"/>
      <c r="Z507" s="202"/>
    </row>
    <row r="508" spans="1:38" x14ac:dyDescent="0.25">
      <c r="H508" s="154"/>
      <c r="I508" s="154"/>
      <c r="Y508" s="154"/>
    </row>
    <row r="509" spans="1:38" x14ac:dyDescent="0.25">
      <c r="J509" s="202"/>
      <c r="K509" s="202"/>
      <c r="Z509" s="202"/>
    </row>
    <row r="510" spans="1:38" x14ac:dyDescent="0.25">
      <c r="L510" s="154"/>
      <c r="M510" s="154"/>
      <c r="AA510" s="154"/>
      <c r="AB510" s="154"/>
    </row>
    <row r="511" spans="1:38" x14ac:dyDescent="0.25">
      <c r="A511" s="202"/>
      <c r="R511" s="154"/>
      <c r="AK511" s="297"/>
      <c r="AL511" s="154"/>
    </row>
    <row r="512" spans="1:38" x14ac:dyDescent="0.25">
      <c r="A512" s="202"/>
      <c r="R512" s="154"/>
      <c r="AK512" s="297"/>
      <c r="AL512" s="154"/>
    </row>
    <row r="513" spans="1:40" x14ac:dyDescent="0.25">
      <c r="A513" s="154"/>
      <c r="R513" s="154"/>
      <c r="AK513" s="297"/>
      <c r="AL513" s="154"/>
    </row>
    <row r="514" spans="1:40" x14ac:dyDescent="0.25">
      <c r="L514" s="154"/>
      <c r="M514" s="154"/>
      <c r="R514" s="202"/>
      <c r="AA514" s="154"/>
      <c r="AB514" s="154"/>
      <c r="AK514" s="209"/>
      <c r="AL514" s="202"/>
    </row>
    <row r="515" spans="1:40" x14ac:dyDescent="0.25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208"/>
      <c r="AH515" s="102"/>
      <c r="AI515" s="102"/>
      <c r="AJ515" s="102"/>
      <c r="AK515" s="208"/>
      <c r="AL515" s="102"/>
      <c r="AM515" s="102"/>
      <c r="AN515" s="102"/>
    </row>
    <row r="516" spans="1:40" x14ac:dyDescent="0.25">
      <c r="L516" s="103"/>
      <c r="M516" s="103"/>
      <c r="N516" s="103"/>
      <c r="O516" s="103"/>
      <c r="R516" s="103"/>
      <c r="AA516" s="103"/>
      <c r="AB516" s="103"/>
      <c r="AC516" s="103"/>
      <c r="AD516" s="103"/>
      <c r="AE516" s="103"/>
      <c r="AF516" s="103"/>
      <c r="AG516" s="185"/>
      <c r="AH516" s="103"/>
      <c r="AK516" s="185"/>
      <c r="AL516" s="103"/>
      <c r="AM516" s="103"/>
      <c r="AN516" s="103"/>
    </row>
    <row r="517" spans="1:40" x14ac:dyDescent="0.25">
      <c r="L517" s="103"/>
      <c r="M517" s="103"/>
      <c r="N517" s="103"/>
      <c r="O517" s="103"/>
      <c r="R517" s="103"/>
      <c r="Z517" s="103"/>
      <c r="AA517" s="103"/>
      <c r="AB517" s="103"/>
      <c r="AC517" s="103"/>
      <c r="AD517" s="103"/>
      <c r="AE517" s="103"/>
      <c r="AF517" s="103"/>
      <c r="AG517" s="185"/>
      <c r="AH517" s="103"/>
      <c r="AK517" s="185"/>
      <c r="AL517" s="103"/>
      <c r="AM517" s="103"/>
      <c r="AN517" s="103"/>
    </row>
    <row r="518" spans="1:40" x14ac:dyDescent="0.25">
      <c r="A518" s="103"/>
      <c r="C518" s="103"/>
      <c r="D518" s="103"/>
      <c r="E518" s="103"/>
      <c r="F518" s="103"/>
      <c r="J518" s="103"/>
      <c r="K518" s="103"/>
      <c r="L518" s="103"/>
      <c r="M518" s="103"/>
      <c r="N518" s="103"/>
      <c r="O518" s="103"/>
      <c r="P518" s="103"/>
      <c r="Q518" s="103"/>
      <c r="R518" s="103"/>
      <c r="T518" s="103"/>
      <c r="U518" s="103"/>
      <c r="V518" s="103"/>
      <c r="Z518" s="103"/>
      <c r="AA518" s="103"/>
      <c r="AB518" s="103"/>
      <c r="AC518" s="103"/>
      <c r="AD518" s="103"/>
      <c r="AE518" s="103"/>
      <c r="AF518" s="103"/>
      <c r="AG518" s="185"/>
      <c r="AH518" s="103"/>
      <c r="AI518" s="103"/>
      <c r="AJ518" s="103"/>
      <c r="AK518" s="185"/>
      <c r="AL518" s="103"/>
      <c r="AM518" s="103"/>
      <c r="AN518" s="103"/>
    </row>
    <row r="519" spans="1:40" x14ac:dyDescent="0.25">
      <c r="A519" s="103"/>
      <c r="C519" s="103"/>
      <c r="D519" s="103"/>
      <c r="E519" s="103"/>
      <c r="F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T519" s="103"/>
      <c r="U519" s="103"/>
      <c r="V519" s="103"/>
      <c r="Y519" s="103"/>
      <c r="Z519" s="103"/>
      <c r="AA519" s="103"/>
      <c r="AB519" s="103"/>
      <c r="AC519" s="103"/>
      <c r="AD519" s="103"/>
      <c r="AE519" s="103"/>
      <c r="AF519" s="103"/>
      <c r="AG519" s="185"/>
      <c r="AH519" s="103"/>
      <c r="AI519" s="103"/>
      <c r="AJ519" s="103"/>
      <c r="AK519" s="185"/>
      <c r="AL519" s="103"/>
      <c r="AM519" s="103"/>
      <c r="AN519" s="103"/>
    </row>
    <row r="520" spans="1:40" x14ac:dyDescent="0.25">
      <c r="C520" s="103"/>
      <c r="D520" s="103"/>
      <c r="E520" s="103"/>
      <c r="F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T520" s="103"/>
      <c r="U520" s="103"/>
      <c r="V520" s="103"/>
      <c r="Y520" s="103"/>
      <c r="Z520" s="103"/>
      <c r="AA520" s="103"/>
      <c r="AB520" s="103"/>
      <c r="AC520" s="103"/>
      <c r="AD520" s="103"/>
      <c r="AE520" s="103"/>
      <c r="AF520" s="103"/>
      <c r="AG520" s="185"/>
      <c r="AH520" s="103"/>
      <c r="AI520" s="103"/>
      <c r="AJ520" s="103"/>
      <c r="AK520" s="185"/>
      <c r="AL520" s="103"/>
      <c r="AM520" s="103"/>
      <c r="AN520" s="103"/>
    </row>
    <row r="521" spans="1:40" x14ac:dyDescent="0.25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208"/>
      <c r="AH521" s="102"/>
      <c r="AI521" s="102"/>
      <c r="AJ521" s="102"/>
      <c r="AK521" s="208"/>
      <c r="AL521" s="102"/>
      <c r="AM521" s="102"/>
      <c r="AN521" s="102"/>
    </row>
    <row r="522" spans="1:40" x14ac:dyDescent="0.25"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Y522" s="103"/>
      <c r="Z522" s="103"/>
      <c r="AA522" s="103"/>
      <c r="AB522" s="103"/>
      <c r="AC522" s="103"/>
      <c r="AD522" s="103"/>
      <c r="AE522" s="103"/>
      <c r="AF522" s="103"/>
      <c r="AG522" s="185"/>
      <c r="AH522" s="103"/>
      <c r="AI522" s="103"/>
      <c r="AJ522" s="103"/>
      <c r="AK522" s="185"/>
      <c r="AL522" s="103"/>
      <c r="AM522" s="103"/>
      <c r="AN522" s="103"/>
    </row>
    <row r="523" spans="1:40" x14ac:dyDescent="0.25">
      <c r="A523" s="202"/>
      <c r="C523" s="154"/>
      <c r="D523" s="154"/>
      <c r="E523" s="154"/>
      <c r="T523" s="154"/>
      <c r="U523" s="154"/>
    </row>
    <row r="524" spans="1:40" x14ac:dyDescent="0.25">
      <c r="A524" s="202"/>
      <c r="D524" s="154"/>
      <c r="E524" s="154"/>
      <c r="U524" s="154"/>
    </row>
    <row r="526" spans="1:40" x14ac:dyDescent="0.25">
      <c r="A526" s="202"/>
      <c r="C526" s="154"/>
      <c r="F526" s="200"/>
      <c r="J526" s="215"/>
      <c r="K526" s="215"/>
      <c r="L526" s="200"/>
      <c r="M526" s="200"/>
      <c r="R526" s="200"/>
      <c r="T526" s="154"/>
      <c r="V526" s="200"/>
      <c r="Z526" s="215"/>
      <c r="AA526" s="200"/>
      <c r="AB526" s="200"/>
      <c r="AG526" s="209"/>
      <c r="AH526" s="200"/>
      <c r="AK526" s="209"/>
      <c r="AL526" s="200"/>
    </row>
    <row r="527" spans="1:40" x14ac:dyDescent="0.25">
      <c r="A527" s="202"/>
      <c r="C527" s="154"/>
      <c r="F527" s="200"/>
      <c r="R527" s="200"/>
      <c r="T527" s="154"/>
      <c r="V527" s="200"/>
      <c r="AG527" s="209"/>
      <c r="AH527" s="200"/>
      <c r="AK527" s="209"/>
      <c r="AL527" s="200"/>
    </row>
    <row r="528" spans="1:40" x14ac:dyDescent="0.25">
      <c r="AI528" s="200"/>
      <c r="AJ528" s="200"/>
      <c r="AK528" s="209"/>
      <c r="AL528" s="200"/>
      <c r="AM528" s="210"/>
      <c r="AN528" s="210"/>
    </row>
    <row r="529" spans="1:40" x14ac:dyDescent="0.25">
      <c r="A529" s="202"/>
      <c r="C529" s="154"/>
      <c r="F529" s="252"/>
      <c r="H529" s="252"/>
      <c r="I529" s="252"/>
      <c r="J529" s="328"/>
      <c r="K529" s="328"/>
      <c r="L529" s="200"/>
      <c r="M529" s="200"/>
      <c r="N529" s="210"/>
      <c r="O529" s="210"/>
      <c r="P529" s="200"/>
      <c r="Q529" s="200"/>
      <c r="R529" s="200"/>
      <c r="T529" s="154"/>
      <c r="V529" s="200"/>
      <c r="Y529" s="200"/>
      <c r="Z529" s="328"/>
      <c r="AA529" s="200"/>
      <c r="AB529" s="200"/>
      <c r="AC529" s="210"/>
      <c r="AD529" s="210"/>
      <c r="AE529" s="200"/>
      <c r="AF529" s="200"/>
      <c r="AG529" s="209"/>
      <c r="AH529" s="201"/>
      <c r="AI529" s="200"/>
      <c r="AJ529" s="200"/>
      <c r="AK529" s="209"/>
      <c r="AL529" s="200"/>
      <c r="AM529" s="210"/>
      <c r="AN529" s="210"/>
    </row>
    <row r="530" spans="1:40" x14ac:dyDescent="0.25">
      <c r="F530" s="200"/>
      <c r="H530" s="200"/>
      <c r="I530" s="200"/>
      <c r="J530" s="213"/>
      <c r="K530" s="213"/>
      <c r="L530" s="200"/>
      <c r="M530" s="200"/>
      <c r="P530" s="200"/>
      <c r="Q530" s="200"/>
      <c r="R530" s="200"/>
      <c r="V530" s="200"/>
      <c r="Y530" s="200"/>
      <c r="Z530" s="213"/>
      <c r="AA530" s="200"/>
      <c r="AB530" s="200"/>
      <c r="AI530" s="200"/>
      <c r="AJ530" s="200"/>
      <c r="AK530" s="209"/>
      <c r="AL530" s="200"/>
      <c r="AM530" s="210"/>
      <c r="AN530" s="210"/>
    </row>
    <row r="531" spans="1:40" x14ac:dyDescent="0.25">
      <c r="F531" s="200"/>
      <c r="R531" s="200"/>
      <c r="V531" s="200"/>
      <c r="AK531" s="209"/>
      <c r="AL531" s="200"/>
      <c r="AM531" s="210"/>
      <c r="AN531" s="210"/>
    </row>
    <row r="532" spans="1:40" x14ac:dyDescent="0.25">
      <c r="A532" s="202"/>
      <c r="C532" s="154"/>
      <c r="F532" s="200"/>
      <c r="J532" s="215"/>
      <c r="K532" s="215"/>
      <c r="L532" s="200"/>
      <c r="M532" s="200"/>
      <c r="N532" s="210"/>
      <c r="O532" s="210"/>
      <c r="R532" s="200"/>
      <c r="T532" s="154"/>
      <c r="V532" s="200"/>
      <c r="Z532" s="215"/>
      <c r="AA532" s="200"/>
      <c r="AB532" s="200"/>
      <c r="AC532" s="210"/>
      <c r="AD532" s="210"/>
      <c r="AK532" s="209"/>
      <c r="AL532" s="200"/>
      <c r="AM532" s="210"/>
      <c r="AN532" s="210"/>
    </row>
    <row r="533" spans="1:40" x14ac:dyDescent="0.25">
      <c r="A533" s="202"/>
      <c r="C533" s="154"/>
      <c r="F533" s="200"/>
      <c r="H533" s="200"/>
      <c r="I533" s="200"/>
      <c r="J533" s="215"/>
      <c r="K533" s="215"/>
      <c r="L533" s="200"/>
      <c r="M533" s="200"/>
      <c r="N533" s="210"/>
      <c r="O533" s="210"/>
      <c r="P533" s="200"/>
      <c r="Q533" s="200"/>
      <c r="R533" s="200"/>
      <c r="T533" s="154"/>
      <c r="V533" s="200"/>
      <c r="Y533" s="200"/>
      <c r="Z533" s="215"/>
      <c r="AA533" s="200"/>
      <c r="AB533" s="200"/>
      <c r="AC533" s="210"/>
      <c r="AD533" s="210"/>
      <c r="AI533" s="200"/>
      <c r="AJ533" s="200"/>
      <c r="AK533" s="209"/>
      <c r="AL533" s="200"/>
      <c r="AM533" s="210"/>
      <c r="AN533" s="210"/>
    </row>
    <row r="534" spans="1:40" x14ac:dyDescent="0.25">
      <c r="A534" s="202"/>
      <c r="C534" s="154"/>
      <c r="T534" s="154"/>
      <c r="AM534" s="210"/>
      <c r="AN534" s="210"/>
    </row>
    <row r="535" spans="1:40" x14ac:dyDescent="0.25">
      <c r="A535" s="202"/>
      <c r="C535" s="154"/>
      <c r="T535" s="154"/>
      <c r="AM535" s="210"/>
      <c r="AN535" s="210"/>
    </row>
    <row r="536" spans="1:40" x14ac:dyDescent="0.25">
      <c r="AM536" s="210"/>
      <c r="AN536" s="210"/>
    </row>
    <row r="537" spans="1:40" x14ac:dyDescent="0.25">
      <c r="A537" s="202"/>
      <c r="C537" s="154"/>
      <c r="F537" s="252"/>
      <c r="H537" s="252"/>
      <c r="I537" s="252"/>
      <c r="J537" s="328"/>
      <c r="K537" s="328"/>
      <c r="L537" s="200"/>
      <c r="M537" s="200"/>
      <c r="N537" s="210"/>
      <c r="O537" s="210"/>
      <c r="P537" s="200"/>
      <c r="Q537" s="200"/>
      <c r="R537" s="200"/>
      <c r="T537" s="154"/>
      <c r="V537" s="200"/>
      <c r="Y537" s="200"/>
      <c r="Z537" s="328"/>
      <c r="AA537" s="200"/>
      <c r="AB537" s="200"/>
      <c r="AC537" s="210"/>
      <c r="AD537" s="210"/>
      <c r="AE537" s="200"/>
      <c r="AF537" s="200"/>
      <c r="AG537" s="209"/>
      <c r="AH537" s="201"/>
      <c r="AI537" s="200"/>
      <c r="AJ537" s="200"/>
      <c r="AK537" s="209"/>
      <c r="AL537" s="200"/>
      <c r="AM537" s="210"/>
      <c r="AN537" s="210"/>
    </row>
    <row r="538" spans="1:40" x14ac:dyDescent="0.25">
      <c r="F538" s="211"/>
      <c r="H538" s="211"/>
      <c r="I538" s="211"/>
      <c r="J538" s="305"/>
      <c r="K538" s="305"/>
      <c r="L538" s="211"/>
      <c r="M538" s="211"/>
      <c r="N538" s="211"/>
      <c r="O538" s="211"/>
      <c r="P538" s="211"/>
      <c r="Q538" s="211"/>
      <c r="R538" s="211"/>
      <c r="V538" s="211"/>
      <c r="Y538" s="211"/>
      <c r="Z538" s="305"/>
      <c r="AA538" s="211"/>
      <c r="AB538" s="211"/>
      <c r="AC538" s="211"/>
      <c r="AD538" s="211"/>
      <c r="AE538" s="211"/>
      <c r="AF538" s="211"/>
      <c r="AI538" s="211"/>
      <c r="AJ538" s="211"/>
      <c r="AK538" s="212"/>
      <c r="AL538" s="211"/>
      <c r="AM538" s="210"/>
      <c r="AN538" s="210"/>
    </row>
    <row r="539" spans="1:40" x14ac:dyDescent="0.25">
      <c r="H539" s="200"/>
      <c r="I539" s="200"/>
      <c r="Y539" s="200"/>
      <c r="AM539" s="210"/>
      <c r="AN539" s="210"/>
    </row>
    <row r="540" spans="1:40" x14ac:dyDescent="0.25">
      <c r="A540" s="202"/>
      <c r="C540" s="154"/>
      <c r="F540" s="200"/>
      <c r="H540" s="200"/>
      <c r="I540" s="200"/>
      <c r="L540" s="200"/>
      <c r="M540" s="200"/>
      <c r="N540" s="210"/>
      <c r="O540" s="210"/>
      <c r="P540" s="252"/>
      <c r="Q540" s="252"/>
      <c r="R540" s="200"/>
      <c r="T540" s="154"/>
      <c r="V540" s="200"/>
      <c r="Y540" s="200"/>
      <c r="AA540" s="200"/>
      <c r="AB540" s="200"/>
      <c r="AC540" s="210"/>
      <c r="AD540" s="210"/>
      <c r="AE540" s="200"/>
      <c r="AF540" s="200"/>
      <c r="AG540" s="209"/>
      <c r="AH540" s="201"/>
      <c r="AI540" s="252"/>
      <c r="AJ540" s="252"/>
      <c r="AK540" s="209"/>
      <c r="AL540" s="200"/>
      <c r="AM540" s="210"/>
      <c r="AN540" s="210"/>
    </row>
    <row r="541" spans="1:40" x14ac:dyDescent="0.25">
      <c r="H541" s="211"/>
      <c r="I541" s="211"/>
      <c r="J541" s="305"/>
      <c r="K541" s="305"/>
      <c r="L541" s="211"/>
      <c r="M541" s="211"/>
      <c r="N541" s="211"/>
      <c r="O541" s="211"/>
      <c r="P541" s="211"/>
      <c r="Q541" s="211"/>
      <c r="R541" s="211"/>
      <c r="V541" s="211"/>
      <c r="Y541" s="211"/>
      <c r="Z541" s="305"/>
      <c r="AA541" s="211"/>
      <c r="AB541" s="211"/>
      <c r="AC541" s="211"/>
      <c r="AD541" s="211"/>
      <c r="AE541" s="211"/>
      <c r="AF541" s="211"/>
      <c r="AI541" s="211"/>
      <c r="AJ541" s="211"/>
      <c r="AK541" s="212"/>
      <c r="AL541" s="211"/>
      <c r="AM541" s="210"/>
      <c r="AN541" s="210"/>
    </row>
    <row r="542" spans="1:40" x14ac:dyDescent="0.25">
      <c r="F542" s="211"/>
    </row>
    <row r="543" spans="1:40" x14ac:dyDescent="0.25">
      <c r="F543" s="200"/>
      <c r="H543" s="200"/>
      <c r="I543" s="200"/>
      <c r="J543" s="213"/>
      <c r="K543" s="213"/>
      <c r="L543" s="200"/>
      <c r="M543" s="200"/>
      <c r="N543" s="200"/>
      <c r="O543" s="200"/>
      <c r="P543" s="200"/>
      <c r="Q543" s="200"/>
      <c r="R543" s="200"/>
      <c r="V543" s="200"/>
      <c r="Y543" s="200"/>
      <c r="Z543" s="213"/>
      <c r="AA543" s="200"/>
      <c r="AB543" s="200"/>
      <c r="AC543" s="200"/>
      <c r="AD543" s="200"/>
      <c r="AE543" s="200"/>
      <c r="AF543" s="200"/>
      <c r="AG543" s="209"/>
      <c r="AH543" s="200"/>
      <c r="AI543" s="200"/>
      <c r="AJ543" s="200"/>
      <c r="AK543" s="209"/>
      <c r="AL543" s="200"/>
    </row>
    <row r="544" spans="1:40" x14ac:dyDescent="0.25">
      <c r="A544" s="154"/>
    </row>
    <row r="545" spans="1:40" x14ac:dyDescent="0.25">
      <c r="J545" s="202"/>
      <c r="K545" s="202"/>
      <c r="Z545" s="202"/>
    </row>
    <row r="546" spans="1:40" x14ac:dyDescent="0.25">
      <c r="H546" s="154"/>
      <c r="I546" s="154"/>
      <c r="Y546" s="154"/>
    </row>
    <row r="547" spans="1:40" x14ac:dyDescent="0.25">
      <c r="J547" s="202"/>
      <c r="K547" s="202"/>
      <c r="Z547" s="202"/>
    </row>
    <row r="548" spans="1:40" x14ac:dyDescent="0.25">
      <c r="L548" s="154"/>
      <c r="M548" s="154"/>
      <c r="AA548" s="154"/>
      <c r="AB548" s="154"/>
    </row>
    <row r="549" spans="1:40" x14ac:dyDescent="0.25">
      <c r="A549" s="202"/>
      <c r="R549" s="154"/>
      <c r="AK549" s="297"/>
      <c r="AL549" s="154"/>
    </row>
    <row r="550" spans="1:40" x14ac:dyDescent="0.25">
      <c r="A550" s="202"/>
      <c r="R550" s="154"/>
      <c r="AK550" s="297"/>
      <c r="AL550" s="154"/>
    </row>
    <row r="551" spans="1:40" x14ac:dyDescent="0.25">
      <c r="A551" s="154"/>
      <c r="R551" s="154"/>
      <c r="AK551" s="297"/>
      <c r="AL551" s="154"/>
    </row>
    <row r="552" spans="1:40" x14ac:dyDescent="0.25">
      <c r="L552" s="154"/>
      <c r="M552" s="154"/>
      <c r="R552" s="202"/>
      <c r="AA552" s="154"/>
      <c r="AB552" s="154"/>
      <c r="AK552" s="209"/>
      <c r="AL552" s="202"/>
    </row>
    <row r="553" spans="1:40" x14ac:dyDescent="0.2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208"/>
      <c r="AH553" s="102"/>
      <c r="AI553" s="102"/>
      <c r="AJ553" s="102"/>
      <c r="AK553" s="208"/>
      <c r="AL553" s="102"/>
      <c r="AM553" s="102"/>
      <c r="AN553" s="102"/>
    </row>
    <row r="554" spans="1:40" x14ac:dyDescent="0.25">
      <c r="L554" s="103"/>
      <c r="M554" s="103"/>
      <c r="N554" s="103"/>
      <c r="O554" s="103"/>
      <c r="R554" s="103"/>
      <c r="AA554" s="103"/>
      <c r="AB554" s="103"/>
      <c r="AC554" s="103"/>
      <c r="AD554" s="103"/>
      <c r="AE554" s="103"/>
      <c r="AF554" s="103"/>
      <c r="AG554" s="185"/>
      <c r="AH554" s="103"/>
      <c r="AK554" s="185"/>
      <c r="AL554" s="103"/>
      <c r="AM554" s="103"/>
      <c r="AN554" s="103"/>
    </row>
    <row r="555" spans="1:40" x14ac:dyDescent="0.25">
      <c r="L555" s="103"/>
      <c r="M555" s="103"/>
      <c r="N555" s="103"/>
      <c r="O555" s="103"/>
      <c r="R555" s="103"/>
      <c r="Z555" s="103"/>
      <c r="AA555" s="103"/>
      <c r="AB555" s="103"/>
      <c r="AC555" s="103"/>
      <c r="AD555" s="103"/>
      <c r="AE555" s="103"/>
      <c r="AF555" s="103"/>
      <c r="AG555" s="185"/>
      <c r="AH555" s="103"/>
      <c r="AK555" s="185"/>
      <c r="AL555" s="103"/>
      <c r="AM555" s="103"/>
      <c r="AN555" s="103"/>
    </row>
    <row r="556" spans="1:40" x14ac:dyDescent="0.25">
      <c r="A556" s="103"/>
      <c r="C556" s="103"/>
      <c r="D556" s="103"/>
      <c r="E556" s="103"/>
      <c r="F556" s="103"/>
      <c r="J556" s="103"/>
      <c r="K556" s="103"/>
      <c r="L556" s="103"/>
      <c r="M556" s="103"/>
      <c r="N556" s="103"/>
      <c r="O556" s="103"/>
      <c r="P556" s="103"/>
      <c r="Q556" s="103"/>
      <c r="R556" s="103"/>
      <c r="T556" s="103"/>
      <c r="U556" s="103"/>
      <c r="V556" s="103"/>
      <c r="Z556" s="103"/>
      <c r="AA556" s="103"/>
      <c r="AB556" s="103"/>
      <c r="AC556" s="103"/>
      <c r="AD556" s="103"/>
      <c r="AE556" s="103"/>
      <c r="AF556" s="103"/>
      <c r="AG556" s="185"/>
      <c r="AH556" s="103"/>
      <c r="AI556" s="103"/>
      <c r="AJ556" s="103"/>
      <c r="AK556" s="185"/>
      <c r="AL556" s="103"/>
      <c r="AM556" s="103"/>
      <c r="AN556" s="103"/>
    </row>
    <row r="557" spans="1:40" x14ac:dyDescent="0.25">
      <c r="A557" s="103"/>
      <c r="C557" s="103"/>
      <c r="D557" s="103"/>
      <c r="E557" s="103"/>
      <c r="F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T557" s="103"/>
      <c r="U557" s="103"/>
      <c r="V557" s="103"/>
      <c r="Y557" s="103"/>
      <c r="Z557" s="103"/>
      <c r="AA557" s="103"/>
      <c r="AB557" s="103"/>
      <c r="AC557" s="103"/>
      <c r="AD557" s="103"/>
      <c r="AE557" s="103"/>
      <c r="AF557" s="103"/>
      <c r="AG557" s="185"/>
      <c r="AH557" s="103"/>
      <c r="AI557" s="103"/>
      <c r="AJ557" s="103"/>
      <c r="AK557" s="185"/>
      <c r="AL557" s="103"/>
      <c r="AM557" s="103"/>
      <c r="AN557" s="103"/>
    </row>
    <row r="558" spans="1:40" x14ac:dyDescent="0.25">
      <c r="C558" s="103"/>
      <c r="D558" s="103"/>
      <c r="E558" s="103"/>
      <c r="F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T558" s="103"/>
      <c r="U558" s="103"/>
      <c r="V558" s="103"/>
      <c r="Y558" s="103"/>
      <c r="Z558" s="103"/>
      <c r="AA558" s="103"/>
      <c r="AB558" s="103"/>
      <c r="AC558" s="103"/>
      <c r="AD558" s="103"/>
      <c r="AE558" s="103"/>
      <c r="AF558" s="103"/>
      <c r="AG558" s="185"/>
      <c r="AH558" s="103"/>
      <c r="AI558" s="103"/>
      <c r="AJ558" s="103"/>
      <c r="AK558" s="185"/>
      <c r="AL558" s="103"/>
      <c r="AM558" s="103"/>
      <c r="AN558" s="103"/>
    </row>
    <row r="559" spans="1:40" x14ac:dyDescent="0.2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208"/>
      <c r="AH559" s="102"/>
      <c r="AI559" s="102"/>
      <c r="AJ559" s="102"/>
      <c r="AK559" s="208"/>
      <c r="AL559" s="102"/>
      <c r="AM559" s="102"/>
      <c r="AN559" s="102"/>
    </row>
    <row r="560" spans="1:40" x14ac:dyDescent="0.25"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Y560" s="103"/>
      <c r="Z560" s="103"/>
      <c r="AA560" s="103"/>
      <c r="AB560" s="103"/>
      <c r="AC560" s="103"/>
      <c r="AD560" s="103"/>
      <c r="AE560" s="103"/>
      <c r="AF560" s="103"/>
      <c r="AG560" s="185"/>
      <c r="AH560" s="103"/>
      <c r="AI560" s="103"/>
      <c r="AJ560" s="103"/>
      <c r="AK560" s="185"/>
      <c r="AL560" s="103"/>
      <c r="AM560" s="103"/>
      <c r="AN560" s="103"/>
    </row>
    <row r="561" spans="1:40" x14ac:dyDescent="0.25">
      <c r="A561" s="202"/>
      <c r="C561" s="154"/>
      <c r="D561" s="154"/>
      <c r="E561" s="154"/>
      <c r="T561" s="154"/>
      <c r="U561" s="154"/>
      <c r="V561" s="200"/>
      <c r="W561" s="200"/>
      <c r="X561" s="200"/>
      <c r="Y561" s="200"/>
      <c r="Z561" s="328"/>
    </row>
    <row r="563" spans="1:40" x14ac:dyDescent="0.25">
      <c r="A563" s="202"/>
      <c r="C563" s="154"/>
      <c r="T563" s="154"/>
      <c r="V563" s="200"/>
      <c r="W563" s="200"/>
      <c r="X563" s="200"/>
      <c r="Y563" s="200"/>
      <c r="Z563" s="328"/>
    </row>
    <row r="564" spans="1:40" x14ac:dyDescent="0.25">
      <c r="A564" s="202"/>
      <c r="C564" s="154"/>
      <c r="F564" s="252"/>
      <c r="H564" s="252"/>
      <c r="I564" s="252"/>
      <c r="J564" s="329"/>
      <c r="K564" s="329"/>
      <c r="L564" s="200"/>
      <c r="M564" s="200"/>
      <c r="N564" s="210"/>
      <c r="O564" s="210"/>
      <c r="P564" s="200"/>
      <c r="Q564" s="200"/>
      <c r="R564" s="200"/>
      <c r="T564" s="154"/>
      <c r="V564" s="200"/>
      <c r="W564" s="200"/>
      <c r="X564" s="200"/>
      <c r="Y564" s="200"/>
      <c r="Z564" s="329"/>
      <c r="AA564" s="200"/>
      <c r="AB564" s="200"/>
      <c r="AC564" s="210"/>
      <c r="AD564" s="210"/>
      <c r="AE564" s="200"/>
      <c r="AF564" s="200"/>
      <c r="AG564" s="209"/>
      <c r="AH564" s="201"/>
      <c r="AI564" s="200"/>
      <c r="AJ564" s="200"/>
      <c r="AK564" s="209"/>
      <c r="AL564" s="200"/>
      <c r="AM564" s="210"/>
      <c r="AN564" s="210"/>
    </row>
    <row r="565" spans="1:40" x14ac:dyDescent="0.25">
      <c r="A565" s="202"/>
      <c r="C565" s="154"/>
      <c r="F565" s="252"/>
      <c r="H565" s="252"/>
      <c r="I565" s="252"/>
      <c r="J565" s="329"/>
      <c r="K565" s="329"/>
      <c r="L565" s="200"/>
      <c r="M565" s="200"/>
      <c r="N565" s="210"/>
      <c r="O565" s="210"/>
      <c r="P565" s="200"/>
      <c r="Q565" s="200"/>
      <c r="R565" s="200"/>
      <c r="T565" s="154"/>
      <c r="V565" s="200"/>
      <c r="W565" s="200"/>
      <c r="X565" s="200"/>
      <c r="Y565" s="200"/>
      <c r="Z565" s="329"/>
      <c r="AA565" s="200"/>
      <c r="AB565" s="200"/>
      <c r="AC565" s="210"/>
      <c r="AD565" s="210"/>
      <c r="AE565" s="200"/>
      <c r="AF565" s="200"/>
      <c r="AG565" s="209"/>
      <c r="AH565" s="201"/>
      <c r="AI565" s="200"/>
      <c r="AJ565" s="200"/>
      <c r="AK565" s="209"/>
      <c r="AL565" s="200"/>
      <c r="AM565" s="210"/>
      <c r="AN565" s="210"/>
    </row>
    <row r="566" spans="1:40" x14ac:dyDescent="0.25">
      <c r="A566" s="202"/>
      <c r="C566" s="154"/>
      <c r="F566" s="252"/>
      <c r="H566" s="252"/>
      <c r="I566" s="252"/>
      <c r="J566" s="329"/>
      <c r="K566" s="329"/>
      <c r="L566" s="200"/>
      <c r="M566" s="200"/>
      <c r="N566" s="210"/>
      <c r="O566" s="210"/>
      <c r="P566" s="200"/>
      <c r="Q566" s="200"/>
      <c r="R566" s="200"/>
      <c r="T566" s="154"/>
      <c r="V566" s="200"/>
      <c r="W566" s="200"/>
      <c r="X566" s="200"/>
      <c r="Y566" s="200"/>
      <c r="Z566" s="329"/>
      <c r="AA566" s="200"/>
      <c r="AB566" s="200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10"/>
      <c r="AN566" s="210"/>
    </row>
    <row r="567" spans="1:40" x14ac:dyDescent="0.25">
      <c r="A567" s="202"/>
      <c r="C567" s="154"/>
      <c r="F567" s="252"/>
      <c r="H567" s="252"/>
      <c r="I567" s="252"/>
      <c r="J567" s="329"/>
      <c r="K567" s="329"/>
      <c r="L567" s="200"/>
      <c r="M567" s="200"/>
      <c r="N567" s="210"/>
      <c r="O567" s="210"/>
      <c r="P567" s="200"/>
      <c r="Q567" s="200"/>
      <c r="R567" s="200"/>
      <c r="T567" s="154"/>
      <c r="V567" s="200"/>
      <c r="W567" s="200"/>
      <c r="X567" s="200"/>
      <c r="Y567" s="200"/>
      <c r="Z567" s="329"/>
      <c r="AA567" s="200"/>
      <c r="AB567" s="200"/>
      <c r="AC567" s="210"/>
      <c r="AD567" s="210"/>
      <c r="AE567" s="200"/>
      <c r="AF567" s="200"/>
      <c r="AG567" s="209"/>
      <c r="AH567" s="201"/>
      <c r="AI567" s="200"/>
      <c r="AJ567" s="200"/>
      <c r="AK567" s="209"/>
      <c r="AL567" s="200"/>
      <c r="AM567" s="210"/>
      <c r="AN567" s="210"/>
    </row>
    <row r="568" spans="1:40" x14ac:dyDescent="0.25">
      <c r="J568" s="334"/>
      <c r="K568" s="334"/>
      <c r="V568" s="200"/>
      <c r="W568" s="200"/>
      <c r="X568" s="200"/>
      <c r="Y568" s="200"/>
      <c r="Z568" s="329"/>
    </row>
    <row r="569" spans="1:40" x14ac:dyDescent="0.25">
      <c r="A569" s="202"/>
      <c r="C569" s="154"/>
      <c r="F569" s="252"/>
      <c r="H569" s="252"/>
      <c r="I569" s="252"/>
      <c r="J569" s="329"/>
      <c r="K569" s="329"/>
      <c r="L569" s="200"/>
      <c r="M569" s="200"/>
      <c r="N569" s="210"/>
      <c r="O569" s="210"/>
      <c r="P569" s="200"/>
      <c r="Q569" s="200"/>
      <c r="R569" s="200"/>
      <c r="T569" s="154"/>
      <c r="V569" s="200"/>
      <c r="W569" s="200"/>
      <c r="X569" s="200"/>
      <c r="Y569" s="200"/>
      <c r="Z569" s="329"/>
      <c r="AA569" s="200"/>
      <c r="AB569" s="200"/>
      <c r="AC569" s="210"/>
      <c r="AD569" s="210"/>
      <c r="AE569" s="200"/>
      <c r="AF569" s="200"/>
      <c r="AG569" s="209"/>
      <c r="AH569" s="201"/>
      <c r="AI569" s="200"/>
      <c r="AJ569" s="200"/>
      <c r="AK569" s="209"/>
      <c r="AL569" s="200"/>
      <c r="AM569" s="201"/>
      <c r="AN569" s="201"/>
    </row>
    <row r="570" spans="1:40" x14ac:dyDescent="0.25">
      <c r="A570" s="202"/>
      <c r="C570" s="154"/>
      <c r="J570" s="334"/>
      <c r="K570" s="334"/>
      <c r="T570" s="154"/>
      <c r="V570" s="200"/>
      <c r="W570" s="200"/>
      <c r="X570" s="200"/>
      <c r="Y570" s="200"/>
      <c r="Z570" s="329"/>
    </row>
    <row r="571" spans="1:40" x14ac:dyDescent="0.25">
      <c r="A571" s="202"/>
      <c r="C571" s="154"/>
      <c r="F571" s="252"/>
      <c r="H571" s="252"/>
      <c r="I571" s="252"/>
      <c r="J571" s="329"/>
      <c r="K571" s="329"/>
      <c r="L571" s="200"/>
      <c r="M571" s="200"/>
      <c r="N571" s="210"/>
      <c r="O571" s="210"/>
      <c r="P571" s="200"/>
      <c r="Q571" s="200"/>
      <c r="R571" s="200"/>
      <c r="T571" s="154"/>
      <c r="V571" s="200"/>
      <c r="W571" s="200"/>
      <c r="X571" s="200"/>
      <c r="Y571" s="200"/>
      <c r="Z571" s="329"/>
      <c r="AA571" s="200"/>
      <c r="AB571" s="200"/>
      <c r="AC571" s="210"/>
      <c r="AD571" s="210"/>
      <c r="AE571" s="200"/>
      <c r="AF571" s="200"/>
      <c r="AG571" s="209"/>
      <c r="AH571" s="201"/>
      <c r="AI571" s="200"/>
      <c r="AJ571" s="200"/>
      <c r="AK571" s="209"/>
      <c r="AL571" s="200"/>
      <c r="AM571" s="201"/>
      <c r="AN571" s="201"/>
    </row>
    <row r="572" spans="1:40" x14ac:dyDescent="0.25">
      <c r="J572" s="334"/>
      <c r="K572" s="334"/>
      <c r="Z572" s="334"/>
    </row>
    <row r="573" spans="1:40" x14ac:dyDescent="0.25">
      <c r="A573" s="202"/>
      <c r="C573" s="154"/>
      <c r="J573" s="334"/>
      <c r="K573" s="334"/>
      <c r="T573" s="154"/>
      <c r="V573" s="200"/>
      <c r="W573" s="200"/>
      <c r="X573" s="200"/>
      <c r="Y573" s="200"/>
      <c r="Z573" s="329"/>
    </row>
    <row r="574" spans="1:40" x14ac:dyDescent="0.25">
      <c r="A574" s="202"/>
      <c r="C574" s="154"/>
      <c r="F574" s="252"/>
      <c r="H574" s="252"/>
      <c r="I574" s="252"/>
      <c r="J574" s="329"/>
      <c r="K574" s="329"/>
      <c r="L574" s="200"/>
      <c r="M574" s="200"/>
      <c r="N574" s="210"/>
      <c r="O574" s="210"/>
      <c r="P574" s="200"/>
      <c r="Q574" s="200"/>
      <c r="R574" s="200"/>
      <c r="T574" s="154"/>
      <c r="V574" s="200"/>
      <c r="W574" s="200"/>
      <c r="X574" s="200"/>
      <c r="Y574" s="200"/>
      <c r="Z574" s="329"/>
      <c r="AA574" s="200"/>
      <c r="AB574" s="200"/>
      <c r="AC574" s="210"/>
      <c r="AD574" s="210"/>
      <c r="AE574" s="200"/>
      <c r="AF574" s="200"/>
      <c r="AG574" s="209"/>
      <c r="AH574" s="201"/>
      <c r="AI574" s="200"/>
      <c r="AJ574" s="200"/>
      <c r="AK574" s="209"/>
      <c r="AL574" s="200"/>
      <c r="AM574" s="201"/>
      <c r="AN574" s="201"/>
    </row>
    <row r="575" spans="1:40" x14ac:dyDescent="0.25">
      <c r="A575" s="202"/>
      <c r="C575" s="154"/>
      <c r="F575" s="252"/>
      <c r="H575" s="252"/>
      <c r="I575" s="252"/>
      <c r="J575" s="329"/>
      <c r="K575" s="329"/>
      <c r="L575" s="200"/>
      <c r="M575" s="200"/>
      <c r="N575" s="210"/>
      <c r="O575" s="210"/>
      <c r="P575" s="200"/>
      <c r="Q575" s="200"/>
      <c r="R575" s="200"/>
      <c r="T575" s="154"/>
      <c r="V575" s="200"/>
      <c r="W575" s="200"/>
      <c r="X575" s="200"/>
      <c r="Y575" s="200"/>
      <c r="Z575" s="329"/>
      <c r="AA575" s="200"/>
      <c r="AB575" s="200"/>
      <c r="AC575" s="210"/>
      <c r="AD575" s="210"/>
      <c r="AE575" s="200"/>
      <c r="AF575" s="200"/>
      <c r="AG575" s="209"/>
      <c r="AH575" s="201"/>
      <c r="AI575" s="200"/>
      <c r="AJ575" s="200"/>
      <c r="AK575" s="209"/>
      <c r="AL575" s="200"/>
      <c r="AM575" s="201"/>
      <c r="AN575" s="201"/>
    </row>
    <row r="576" spans="1:40" x14ac:dyDescent="0.25">
      <c r="F576" s="211"/>
      <c r="H576" s="211"/>
      <c r="I576" s="211"/>
      <c r="J576" s="329"/>
      <c r="K576" s="329"/>
      <c r="L576" s="211"/>
      <c r="M576" s="211"/>
      <c r="N576" s="211"/>
      <c r="O576" s="211"/>
      <c r="P576" s="211"/>
      <c r="Q576" s="211"/>
      <c r="R576" s="211"/>
      <c r="V576" s="211"/>
      <c r="Y576" s="211"/>
      <c r="Z576" s="305"/>
      <c r="AA576" s="211"/>
      <c r="AB576" s="211"/>
      <c r="AC576" s="211"/>
      <c r="AD576" s="211"/>
      <c r="AE576" s="211"/>
      <c r="AF576" s="211"/>
      <c r="AI576" s="211"/>
      <c r="AJ576" s="211"/>
      <c r="AK576" s="212"/>
      <c r="AL576" s="211"/>
    </row>
    <row r="577" spans="1:40" x14ac:dyDescent="0.25">
      <c r="A577" s="202"/>
      <c r="C577" s="154"/>
      <c r="F577" s="200"/>
      <c r="H577" s="200"/>
      <c r="I577" s="200"/>
      <c r="L577" s="200"/>
      <c r="M577" s="200"/>
      <c r="N577" s="210"/>
      <c r="O577" s="210"/>
      <c r="P577" s="252"/>
      <c r="Q577" s="252"/>
      <c r="R577" s="200"/>
      <c r="T577" s="154"/>
      <c r="V577" s="200"/>
      <c r="W577" s="200"/>
      <c r="X577" s="200"/>
      <c r="Y577" s="200"/>
      <c r="Z577" s="328"/>
      <c r="AA577" s="200"/>
      <c r="AB577" s="200"/>
      <c r="AC577" s="210"/>
      <c r="AD577" s="210"/>
      <c r="AE577" s="200"/>
      <c r="AF577" s="200"/>
      <c r="AG577" s="209"/>
      <c r="AH577" s="201"/>
      <c r="AI577" s="252"/>
      <c r="AJ577" s="252"/>
      <c r="AK577" s="209"/>
      <c r="AL577" s="200"/>
      <c r="AM577" s="201"/>
      <c r="AN577" s="201"/>
    </row>
    <row r="578" spans="1:40" x14ac:dyDescent="0.25">
      <c r="H578" s="211"/>
      <c r="I578" s="211"/>
      <c r="J578" s="305"/>
      <c r="K578" s="305"/>
      <c r="L578" s="211"/>
      <c r="M578" s="211"/>
      <c r="N578" s="211"/>
      <c r="O578" s="211"/>
      <c r="P578" s="211"/>
      <c r="Q578" s="211"/>
      <c r="R578" s="211"/>
      <c r="V578" s="211"/>
      <c r="Y578" s="211"/>
      <c r="Z578" s="305"/>
      <c r="AA578" s="211"/>
      <c r="AB578" s="211"/>
      <c r="AC578" s="211"/>
      <c r="AD578" s="211"/>
      <c r="AE578" s="211"/>
      <c r="AF578" s="211"/>
      <c r="AI578" s="211"/>
      <c r="AJ578" s="211"/>
      <c r="AK578" s="212"/>
      <c r="AL578" s="211"/>
    </row>
    <row r="579" spans="1:40" x14ac:dyDescent="0.25">
      <c r="F579" s="211"/>
    </row>
    <row r="580" spans="1:40" x14ac:dyDescent="0.25">
      <c r="C580" s="202"/>
      <c r="T580" s="202"/>
    </row>
    <row r="581" spans="1:40" x14ac:dyDescent="0.25">
      <c r="A581" s="154"/>
    </row>
    <row r="582" spans="1:40" x14ac:dyDescent="0.25">
      <c r="J582" s="202"/>
      <c r="K582" s="202"/>
      <c r="Z582" s="202"/>
    </row>
    <row r="583" spans="1:40" x14ac:dyDescent="0.25">
      <c r="H583" s="154"/>
      <c r="I583" s="154"/>
      <c r="Y583" s="154"/>
    </row>
    <row r="584" spans="1:40" x14ac:dyDescent="0.25">
      <c r="J584" s="202"/>
      <c r="K584" s="202"/>
      <c r="Z584" s="202"/>
    </row>
    <row r="585" spans="1:40" x14ac:dyDescent="0.25">
      <c r="L585" s="154"/>
      <c r="M585" s="154"/>
      <c r="AA585" s="154"/>
      <c r="AB585" s="154"/>
    </row>
    <row r="586" spans="1:40" x14ac:dyDescent="0.25">
      <c r="A586" s="202"/>
      <c r="R586" s="154"/>
      <c r="AK586" s="297"/>
      <c r="AL586" s="154"/>
    </row>
    <row r="587" spans="1:40" x14ac:dyDescent="0.25">
      <c r="A587" s="202"/>
      <c r="R587" s="154"/>
      <c r="AK587" s="297"/>
      <c r="AL587" s="154"/>
    </row>
    <row r="588" spans="1:40" x14ac:dyDescent="0.25">
      <c r="A588" s="154"/>
      <c r="R588" s="154"/>
      <c r="AK588" s="297"/>
      <c r="AL588" s="154"/>
    </row>
    <row r="589" spans="1:40" x14ac:dyDescent="0.25">
      <c r="L589" s="154"/>
      <c r="M589" s="154"/>
      <c r="R589" s="202"/>
      <c r="AA589" s="154"/>
      <c r="AB589" s="154"/>
      <c r="AK589" s="209"/>
      <c r="AL589" s="202"/>
    </row>
    <row r="590" spans="1:40" x14ac:dyDescent="0.25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208"/>
      <c r="AH590" s="102"/>
      <c r="AI590" s="102"/>
      <c r="AJ590" s="102"/>
      <c r="AK590" s="208"/>
      <c r="AL590" s="102"/>
      <c r="AM590" s="102"/>
      <c r="AN590" s="102"/>
    </row>
    <row r="591" spans="1:40" x14ac:dyDescent="0.25">
      <c r="L591" s="103"/>
      <c r="M591" s="103"/>
      <c r="N591" s="103"/>
      <c r="O591" s="103"/>
      <c r="R591" s="103"/>
      <c r="AA591" s="103"/>
      <c r="AB591" s="103"/>
      <c r="AC591" s="103"/>
      <c r="AD591" s="103"/>
      <c r="AE591" s="103"/>
      <c r="AF591" s="103"/>
      <c r="AG591" s="185"/>
      <c r="AH591" s="103"/>
      <c r="AK591" s="185"/>
      <c r="AL591" s="103"/>
      <c r="AM591" s="103"/>
      <c r="AN591" s="103"/>
    </row>
    <row r="592" spans="1:40" x14ac:dyDescent="0.25">
      <c r="L592" s="103"/>
      <c r="M592" s="103"/>
      <c r="N592" s="103"/>
      <c r="O592" s="103"/>
      <c r="R592" s="103"/>
      <c r="Z592" s="103"/>
      <c r="AA592" s="103"/>
      <c r="AB592" s="103"/>
      <c r="AC592" s="103"/>
      <c r="AD592" s="103"/>
      <c r="AE592" s="103"/>
      <c r="AF592" s="103"/>
      <c r="AG592" s="185"/>
      <c r="AH592" s="103"/>
      <c r="AK592" s="185"/>
      <c r="AL592" s="103"/>
      <c r="AM592" s="103"/>
      <c r="AN592" s="103"/>
    </row>
    <row r="593" spans="1:40" x14ac:dyDescent="0.25">
      <c r="A593" s="103"/>
      <c r="C593" s="103"/>
      <c r="D593" s="103"/>
      <c r="E593" s="103"/>
      <c r="F593" s="103"/>
      <c r="J593" s="103"/>
      <c r="K593" s="103"/>
      <c r="L593" s="103"/>
      <c r="M593" s="103"/>
      <c r="N593" s="103"/>
      <c r="O593" s="103"/>
      <c r="P593" s="103"/>
      <c r="Q593" s="103"/>
      <c r="R593" s="103"/>
      <c r="T593" s="103"/>
      <c r="U593" s="103"/>
      <c r="V593" s="103"/>
      <c r="Z593" s="103"/>
      <c r="AA593" s="103"/>
      <c r="AB593" s="103"/>
      <c r="AC593" s="103"/>
      <c r="AD593" s="103"/>
      <c r="AE593" s="103"/>
      <c r="AF593" s="103"/>
      <c r="AG593" s="185"/>
      <c r="AH593" s="103"/>
      <c r="AI593" s="103"/>
      <c r="AJ593" s="103"/>
      <c r="AK593" s="185"/>
      <c r="AL593" s="103"/>
      <c r="AM593" s="103"/>
      <c r="AN593" s="103"/>
    </row>
    <row r="594" spans="1:40" x14ac:dyDescent="0.25">
      <c r="A594" s="103"/>
      <c r="C594" s="103"/>
      <c r="D594" s="103"/>
      <c r="E594" s="103"/>
      <c r="F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T594" s="103"/>
      <c r="U594" s="103"/>
      <c r="V594" s="103"/>
      <c r="Y594" s="103"/>
      <c r="Z594" s="103"/>
      <c r="AA594" s="103"/>
      <c r="AB594" s="103"/>
      <c r="AC594" s="103"/>
      <c r="AD594" s="103"/>
      <c r="AE594" s="103"/>
      <c r="AF594" s="103"/>
      <c r="AG594" s="185"/>
      <c r="AH594" s="103"/>
      <c r="AI594" s="103"/>
      <c r="AJ594" s="103"/>
      <c r="AK594" s="185"/>
      <c r="AL594" s="103"/>
      <c r="AM594" s="103"/>
      <c r="AN594" s="103"/>
    </row>
    <row r="595" spans="1:40" x14ac:dyDescent="0.25">
      <c r="C595" s="103"/>
      <c r="D595" s="103"/>
      <c r="E595" s="103"/>
      <c r="F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T595" s="103"/>
      <c r="U595" s="103"/>
      <c r="V595" s="103"/>
      <c r="Y595" s="103"/>
      <c r="Z595" s="103"/>
      <c r="AA595" s="103"/>
      <c r="AB595" s="103"/>
      <c r="AC595" s="103"/>
      <c r="AD595" s="103"/>
      <c r="AE595" s="103"/>
      <c r="AF595" s="103"/>
      <c r="AG595" s="185"/>
      <c r="AH595" s="103"/>
      <c r="AI595" s="103"/>
      <c r="AJ595" s="103"/>
      <c r="AK595" s="185"/>
      <c r="AL595" s="103"/>
      <c r="AM595" s="103"/>
      <c r="AN595" s="103"/>
    </row>
    <row r="596" spans="1:40" x14ac:dyDescent="0.25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208"/>
      <c r="AH596" s="102"/>
      <c r="AI596" s="102"/>
      <c r="AJ596" s="102"/>
      <c r="AK596" s="208"/>
      <c r="AL596" s="102"/>
      <c r="AM596" s="102"/>
      <c r="AN596" s="102"/>
    </row>
    <row r="597" spans="1:40" x14ac:dyDescent="0.25"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Y597" s="103"/>
      <c r="Z597" s="103"/>
      <c r="AA597" s="103"/>
      <c r="AB597" s="103"/>
      <c r="AC597" s="103"/>
      <c r="AD597" s="103"/>
      <c r="AE597" s="103"/>
      <c r="AF597" s="103"/>
      <c r="AG597" s="185"/>
      <c r="AH597" s="103"/>
      <c r="AI597" s="103"/>
      <c r="AJ597" s="103"/>
      <c r="AK597" s="185"/>
      <c r="AL597" s="103"/>
      <c r="AM597" s="103"/>
      <c r="AN597" s="103"/>
    </row>
    <row r="598" spans="1:40" x14ac:dyDescent="0.25">
      <c r="A598" s="202"/>
      <c r="C598" s="154"/>
      <c r="D598" s="154"/>
      <c r="E598" s="154"/>
      <c r="T598" s="154"/>
      <c r="U598" s="154"/>
    </row>
    <row r="600" spans="1:40" x14ac:dyDescent="0.25">
      <c r="A600" s="202"/>
      <c r="C600" s="154"/>
      <c r="T600" s="154"/>
    </row>
    <row r="601" spans="1:40" x14ac:dyDescent="0.25">
      <c r="A601" s="202"/>
      <c r="C601" s="154"/>
      <c r="T601" s="154"/>
    </row>
    <row r="602" spans="1:40" x14ac:dyDescent="0.25">
      <c r="A602" s="202"/>
      <c r="C602" s="154"/>
      <c r="F602" s="252"/>
      <c r="H602" s="252"/>
      <c r="I602" s="252"/>
      <c r="J602" s="329"/>
      <c r="K602" s="329"/>
      <c r="L602" s="200"/>
      <c r="M602" s="200"/>
      <c r="N602" s="210"/>
      <c r="O602" s="210"/>
      <c r="P602" s="200"/>
      <c r="Q602" s="200"/>
      <c r="R602" s="200"/>
      <c r="T602" s="154"/>
      <c r="V602" s="200"/>
      <c r="W602" s="200"/>
      <c r="X602" s="200"/>
      <c r="Y602" s="200"/>
      <c r="Z602" s="329"/>
      <c r="AA602" s="200"/>
      <c r="AB602" s="200"/>
      <c r="AC602" s="210"/>
      <c r="AD602" s="210"/>
      <c r="AE602" s="200"/>
      <c r="AF602" s="200"/>
      <c r="AG602" s="209"/>
      <c r="AH602" s="201"/>
      <c r="AI602" s="200"/>
      <c r="AJ602" s="200"/>
      <c r="AK602" s="209"/>
      <c r="AL602" s="200"/>
      <c r="AM602" s="201"/>
      <c r="AN602" s="201"/>
    </row>
    <row r="603" spans="1:40" x14ac:dyDescent="0.25">
      <c r="A603" s="202"/>
      <c r="C603" s="154"/>
      <c r="F603" s="200"/>
      <c r="H603" s="200"/>
      <c r="I603" s="200"/>
      <c r="J603" s="334"/>
      <c r="K603" s="334"/>
      <c r="L603" s="200"/>
      <c r="M603" s="200"/>
      <c r="N603" s="210"/>
      <c r="O603" s="210"/>
      <c r="P603" s="200"/>
      <c r="Q603" s="200"/>
      <c r="R603" s="200"/>
      <c r="T603" s="154"/>
      <c r="V603" s="200"/>
      <c r="W603" s="200"/>
      <c r="X603" s="200"/>
      <c r="Y603" s="200"/>
      <c r="Z603" s="334"/>
      <c r="AA603" s="200"/>
      <c r="AB603" s="200"/>
      <c r="AC603" s="210"/>
      <c r="AD603" s="210"/>
      <c r="AE603" s="200"/>
      <c r="AF603" s="200"/>
      <c r="AG603" s="209"/>
      <c r="AH603" s="201"/>
      <c r="AI603" s="200"/>
      <c r="AJ603" s="200"/>
      <c r="AK603" s="209"/>
      <c r="AL603" s="200"/>
      <c r="AM603" s="201"/>
      <c r="AN603" s="201"/>
    </row>
    <row r="604" spans="1:40" x14ac:dyDescent="0.25">
      <c r="A604" s="202"/>
      <c r="C604" s="154"/>
      <c r="F604" s="200"/>
      <c r="H604" s="200"/>
      <c r="I604" s="200"/>
      <c r="J604" s="334"/>
      <c r="K604" s="334"/>
      <c r="L604" s="200"/>
      <c r="M604" s="200"/>
      <c r="N604" s="210"/>
      <c r="O604" s="210"/>
      <c r="P604" s="200"/>
      <c r="Q604" s="200"/>
      <c r="R604" s="200"/>
      <c r="T604" s="154"/>
      <c r="V604" s="200"/>
      <c r="W604" s="200"/>
      <c r="X604" s="200"/>
      <c r="Y604" s="200"/>
      <c r="Z604" s="334"/>
      <c r="AA604" s="200"/>
      <c r="AB604" s="200"/>
      <c r="AC604" s="210"/>
      <c r="AD604" s="210"/>
      <c r="AE604" s="200"/>
      <c r="AF604" s="200"/>
      <c r="AG604" s="209"/>
      <c r="AH604" s="201"/>
      <c r="AI604" s="200"/>
      <c r="AJ604" s="200"/>
      <c r="AK604" s="209"/>
      <c r="AL604" s="200"/>
      <c r="AM604" s="201"/>
      <c r="AN604" s="201"/>
    </row>
    <row r="605" spans="1:40" x14ac:dyDescent="0.25">
      <c r="A605" s="202"/>
      <c r="C605" s="154"/>
      <c r="F605" s="200"/>
      <c r="H605" s="200"/>
      <c r="I605" s="200"/>
      <c r="J605" s="334"/>
      <c r="K605" s="334"/>
      <c r="T605" s="154"/>
      <c r="V605" s="200"/>
      <c r="Z605" s="334"/>
    </row>
    <row r="606" spans="1:40" x14ac:dyDescent="0.25">
      <c r="A606" s="202"/>
      <c r="C606" s="154"/>
      <c r="F606" s="252"/>
      <c r="H606" s="252"/>
      <c r="I606" s="252"/>
      <c r="J606" s="329"/>
      <c r="K606" s="329"/>
      <c r="L606" s="200"/>
      <c r="M606" s="200"/>
      <c r="N606" s="210"/>
      <c r="O606" s="210"/>
      <c r="P606" s="200"/>
      <c r="Q606" s="200"/>
      <c r="R606" s="200"/>
      <c r="T606" s="154"/>
      <c r="V606" s="200"/>
      <c r="W606" s="200"/>
      <c r="X606" s="200"/>
      <c r="Y606" s="200"/>
      <c r="Z606" s="329"/>
      <c r="AA606" s="200"/>
      <c r="AB606" s="200"/>
      <c r="AC606" s="210"/>
      <c r="AD606" s="210"/>
      <c r="AE606" s="200"/>
      <c r="AF606" s="200"/>
      <c r="AG606" s="209"/>
      <c r="AH606" s="201"/>
      <c r="AI606" s="200"/>
      <c r="AJ606" s="200"/>
      <c r="AK606" s="209"/>
      <c r="AL606" s="200"/>
      <c r="AM606" s="201"/>
      <c r="AN606" s="201"/>
    </row>
    <row r="607" spans="1:40" x14ac:dyDescent="0.25">
      <c r="A607" s="202"/>
      <c r="C607" s="154"/>
      <c r="F607" s="200"/>
      <c r="H607" s="200"/>
      <c r="I607" s="200"/>
      <c r="J607" s="334"/>
      <c r="K607" s="334"/>
      <c r="T607" s="154"/>
      <c r="V607" s="200"/>
      <c r="W607" s="200"/>
      <c r="X607" s="200"/>
      <c r="Y607" s="200"/>
      <c r="Z607" s="334"/>
      <c r="AC607" s="210"/>
      <c r="AD607" s="210"/>
      <c r="AE607" s="200"/>
      <c r="AF607" s="200"/>
      <c r="AG607" s="209"/>
      <c r="AH607" s="201"/>
      <c r="AI607" s="200"/>
      <c r="AJ607" s="200"/>
      <c r="AK607" s="209"/>
      <c r="AL607" s="200"/>
      <c r="AM607" s="201"/>
      <c r="AN607" s="201"/>
    </row>
    <row r="608" spans="1:40" x14ac:dyDescent="0.25">
      <c r="A608" s="202"/>
      <c r="C608" s="154"/>
      <c r="F608" s="252"/>
      <c r="H608" s="252"/>
      <c r="I608" s="252"/>
      <c r="J608" s="329"/>
      <c r="K608" s="329"/>
      <c r="L608" s="200"/>
      <c r="M608" s="200"/>
      <c r="N608" s="210"/>
      <c r="O608" s="210"/>
      <c r="P608" s="200"/>
      <c r="Q608" s="200"/>
      <c r="R608" s="200"/>
      <c r="T608" s="154"/>
      <c r="V608" s="200"/>
      <c r="W608" s="200"/>
      <c r="X608" s="200"/>
      <c r="Y608" s="200"/>
      <c r="Z608" s="329"/>
      <c r="AA608" s="200"/>
      <c r="AB608" s="200"/>
      <c r="AC608" s="210"/>
      <c r="AD608" s="210"/>
      <c r="AE608" s="200"/>
      <c r="AF608" s="200"/>
      <c r="AG608" s="209"/>
      <c r="AH608" s="201"/>
      <c r="AI608" s="200"/>
      <c r="AJ608" s="200"/>
      <c r="AK608" s="209"/>
      <c r="AL608" s="200"/>
      <c r="AM608" s="201"/>
      <c r="AN608" s="201"/>
    </row>
    <row r="609" spans="1:40" x14ac:dyDescent="0.25">
      <c r="A609" s="202"/>
      <c r="C609" s="154"/>
      <c r="F609" s="200"/>
      <c r="H609" s="200"/>
      <c r="I609" s="200"/>
      <c r="J609" s="334"/>
      <c r="K609" s="334"/>
      <c r="L609" s="200"/>
      <c r="M609" s="200"/>
      <c r="N609" s="210"/>
      <c r="O609" s="210"/>
      <c r="P609" s="200"/>
      <c r="Q609" s="200"/>
      <c r="R609" s="200"/>
      <c r="T609" s="154"/>
      <c r="V609" s="200"/>
      <c r="W609" s="200"/>
      <c r="X609" s="200"/>
      <c r="Y609" s="200"/>
      <c r="Z609" s="334"/>
      <c r="AA609" s="200"/>
      <c r="AB609" s="200"/>
      <c r="AC609" s="210"/>
      <c r="AD609" s="210"/>
      <c r="AE609" s="200"/>
      <c r="AF609" s="200"/>
      <c r="AG609" s="209"/>
      <c r="AH609" s="201"/>
      <c r="AI609" s="200"/>
      <c r="AJ609" s="200"/>
      <c r="AK609" s="209"/>
      <c r="AL609" s="200"/>
      <c r="AM609" s="201"/>
      <c r="AN609" s="201"/>
    </row>
    <row r="610" spans="1:40" x14ac:dyDescent="0.25">
      <c r="F610" s="200"/>
      <c r="H610" s="200"/>
      <c r="I610" s="200"/>
      <c r="J610" s="334"/>
      <c r="K610" s="334"/>
      <c r="Z610" s="334"/>
    </row>
    <row r="611" spans="1:40" x14ac:dyDescent="0.25">
      <c r="A611" s="202"/>
      <c r="C611" s="154"/>
      <c r="F611" s="200"/>
      <c r="H611" s="252"/>
      <c r="I611" s="252"/>
      <c r="J611" s="329"/>
      <c r="K611" s="329"/>
      <c r="L611" s="200"/>
      <c r="M611" s="200"/>
      <c r="N611" s="210"/>
      <c r="O611" s="210"/>
      <c r="P611" s="200"/>
      <c r="Q611" s="200"/>
      <c r="R611" s="200"/>
      <c r="T611" s="154"/>
      <c r="V611" s="200"/>
      <c r="W611" s="200"/>
      <c r="X611" s="200"/>
      <c r="Y611" s="200"/>
      <c r="Z611" s="329"/>
      <c r="AA611" s="200"/>
      <c r="AB611" s="200"/>
      <c r="AC611" s="210"/>
      <c r="AD611" s="210"/>
      <c r="AE611" s="200"/>
      <c r="AF611" s="200"/>
      <c r="AG611" s="209"/>
      <c r="AH611" s="201"/>
      <c r="AI611" s="200"/>
      <c r="AJ611" s="200"/>
      <c r="AK611" s="209"/>
      <c r="AL611" s="200"/>
      <c r="AM611" s="201"/>
      <c r="AN611" s="201"/>
    </row>
    <row r="612" spans="1:40" x14ac:dyDescent="0.25">
      <c r="F612" s="211"/>
      <c r="H612" s="211"/>
      <c r="I612" s="211"/>
      <c r="J612" s="329"/>
      <c r="K612" s="329"/>
      <c r="L612" s="211"/>
      <c r="M612" s="211"/>
      <c r="N612" s="211"/>
      <c r="O612" s="211"/>
      <c r="P612" s="211"/>
      <c r="Q612" s="211"/>
      <c r="R612" s="211"/>
      <c r="V612" s="211"/>
      <c r="Y612" s="211"/>
      <c r="Z612" s="329"/>
      <c r="AA612" s="211"/>
      <c r="AB612" s="211"/>
      <c r="AC612" s="211"/>
      <c r="AD612" s="211"/>
      <c r="AE612" s="211"/>
      <c r="AF612" s="211"/>
      <c r="AI612" s="211"/>
      <c r="AJ612" s="211"/>
      <c r="AK612" s="212"/>
      <c r="AL612" s="211"/>
    </row>
    <row r="613" spans="1:40" x14ac:dyDescent="0.25">
      <c r="A613" s="202"/>
      <c r="C613" s="154"/>
      <c r="F613" s="200"/>
      <c r="H613" s="200"/>
      <c r="I613" s="200"/>
      <c r="J613" s="334"/>
      <c r="K613" s="334"/>
      <c r="L613" s="200"/>
      <c r="M613" s="200"/>
      <c r="N613" s="202"/>
      <c r="O613" s="202"/>
      <c r="P613" s="200"/>
      <c r="Q613" s="200"/>
      <c r="R613" s="200"/>
      <c r="T613" s="154"/>
      <c r="V613" s="200"/>
      <c r="Y613" s="200"/>
      <c r="Z613" s="334"/>
      <c r="AA613" s="200"/>
      <c r="AB613" s="200"/>
      <c r="AC613" s="201"/>
      <c r="AD613" s="201"/>
      <c r="AE613" s="200"/>
      <c r="AF613" s="200"/>
      <c r="AG613" s="209"/>
      <c r="AH613" s="201"/>
      <c r="AI613" s="200"/>
      <c r="AJ613" s="200"/>
      <c r="AK613" s="209"/>
      <c r="AL613" s="200"/>
      <c r="AM613" s="201"/>
      <c r="AN613" s="201"/>
    </row>
    <row r="614" spans="1:40" x14ac:dyDescent="0.25">
      <c r="F614" s="211"/>
      <c r="H614" s="211"/>
      <c r="I614" s="211"/>
      <c r="J614" s="329"/>
      <c r="K614" s="329"/>
      <c r="L614" s="211"/>
      <c r="M614" s="211"/>
      <c r="N614" s="211"/>
      <c r="O614" s="211"/>
      <c r="P614" s="211"/>
      <c r="Q614" s="211"/>
      <c r="R614" s="211"/>
      <c r="V614" s="211"/>
      <c r="Y614" s="211"/>
      <c r="Z614" s="329"/>
      <c r="AA614" s="211"/>
      <c r="AB614" s="211"/>
      <c r="AC614" s="211"/>
      <c r="AD614" s="211"/>
      <c r="AE614" s="211"/>
      <c r="AF614" s="211"/>
      <c r="AI614" s="211"/>
      <c r="AJ614" s="211"/>
      <c r="AK614" s="212"/>
      <c r="AL614" s="211"/>
    </row>
    <row r="615" spans="1:40" x14ac:dyDescent="0.25">
      <c r="J615" s="334"/>
      <c r="K615" s="334"/>
      <c r="Z615" s="334"/>
    </row>
    <row r="616" spans="1:40" x14ac:dyDescent="0.25">
      <c r="A616" s="202"/>
      <c r="C616" s="154"/>
      <c r="J616" s="334"/>
      <c r="K616" s="334"/>
      <c r="T616" s="154"/>
      <c r="Z616" s="334"/>
    </row>
    <row r="617" spans="1:40" x14ac:dyDescent="0.25">
      <c r="A617" s="202"/>
      <c r="C617" s="154"/>
      <c r="J617" s="334"/>
      <c r="K617" s="334"/>
      <c r="T617" s="154"/>
      <c r="Z617" s="334"/>
    </row>
    <row r="618" spans="1:40" x14ac:dyDescent="0.25">
      <c r="A618" s="202"/>
      <c r="C618" s="154"/>
      <c r="F618" s="252"/>
      <c r="H618" s="252"/>
      <c r="I618" s="252"/>
      <c r="J618" s="329"/>
      <c r="K618" s="329"/>
      <c r="L618" s="200"/>
      <c r="M618" s="200"/>
      <c r="N618" s="210"/>
      <c r="O618" s="210"/>
      <c r="P618" s="200"/>
      <c r="Q618" s="200"/>
      <c r="R618" s="200"/>
      <c r="T618" s="154"/>
      <c r="V618" s="200"/>
      <c r="W618" s="200"/>
      <c r="X618" s="200"/>
      <c r="Y618" s="200"/>
      <c r="Z618" s="329"/>
      <c r="AA618" s="200"/>
      <c r="AB618" s="200"/>
      <c r="AC618" s="210"/>
      <c r="AD618" s="210"/>
      <c r="AE618" s="200"/>
      <c r="AF618" s="200"/>
      <c r="AG618" s="209"/>
      <c r="AH618" s="201"/>
      <c r="AI618" s="200"/>
      <c r="AJ618" s="200"/>
      <c r="AK618" s="209"/>
      <c r="AL618" s="200"/>
      <c r="AM618" s="201"/>
      <c r="AN618" s="201"/>
    </row>
    <row r="619" spans="1:40" x14ac:dyDescent="0.25">
      <c r="A619" s="202"/>
      <c r="C619" s="154"/>
      <c r="J619" s="334"/>
      <c r="K619" s="334"/>
      <c r="T619" s="154"/>
      <c r="Z619" s="334"/>
    </row>
    <row r="620" spans="1:40" x14ac:dyDescent="0.25">
      <c r="A620" s="202"/>
      <c r="C620" s="154"/>
      <c r="F620" s="252"/>
      <c r="H620" s="252"/>
      <c r="I620" s="252"/>
      <c r="J620" s="329"/>
      <c r="K620" s="329"/>
      <c r="L620" s="200"/>
      <c r="M620" s="200"/>
      <c r="N620" s="210"/>
      <c r="O620" s="210"/>
      <c r="P620" s="200"/>
      <c r="Q620" s="200"/>
      <c r="R620" s="200"/>
      <c r="T620" s="154"/>
      <c r="V620" s="200"/>
      <c r="W620" s="200"/>
      <c r="X620" s="200"/>
      <c r="Y620" s="200"/>
      <c r="Z620" s="329"/>
      <c r="AA620" s="200"/>
      <c r="AB620" s="200"/>
      <c r="AC620" s="210"/>
      <c r="AD620" s="210"/>
      <c r="AE620" s="200"/>
      <c r="AF620" s="200"/>
      <c r="AG620" s="209"/>
      <c r="AH620" s="201"/>
      <c r="AI620" s="200"/>
      <c r="AJ620" s="200"/>
      <c r="AK620" s="209"/>
      <c r="AL620" s="200"/>
      <c r="AM620" s="201"/>
      <c r="AN620" s="201"/>
    </row>
    <row r="621" spans="1:40" x14ac:dyDescent="0.25">
      <c r="F621" s="211"/>
      <c r="H621" s="211"/>
      <c r="I621" s="211"/>
      <c r="J621" s="329"/>
      <c r="K621" s="329"/>
      <c r="L621" s="211"/>
      <c r="M621" s="211"/>
      <c r="N621" s="211"/>
      <c r="O621" s="211"/>
      <c r="P621" s="211"/>
      <c r="Q621" s="211"/>
      <c r="R621" s="211"/>
      <c r="V621" s="211"/>
      <c r="Y621" s="211"/>
      <c r="Z621" s="329"/>
      <c r="AA621" s="211"/>
      <c r="AB621" s="211"/>
      <c r="AC621" s="211"/>
      <c r="AD621" s="211"/>
      <c r="AE621" s="211"/>
      <c r="AF621" s="211"/>
      <c r="AI621" s="211"/>
      <c r="AJ621" s="211"/>
      <c r="AK621" s="212"/>
      <c r="AL621" s="211"/>
    </row>
    <row r="622" spans="1:40" x14ac:dyDescent="0.25">
      <c r="A622" s="202"/>
      <c r="C622" s="154"/>
      <c r="F622" s="200"/>
      <c r="H622" s="200"/>
      <c r="I622" s="200"/>
      <c r="J622" s="334"/>
      <c r="K622" s="334"/>
      <c r="L622" s="200"/>
      <c r="M622" s="200"/>
      <c r="N622" s="201"/>
      <c r="O622" s="201"/>
      <c r="P622" s="200"/>
      <c r="Q622" s="200"/>
      <c r="R622" s="200"/>
      <c r="T622" s="154"/>
      <c r="V622" s="200"/>
      <c r="Y622" s="200"/>
      <c r="Z622" s="334"/>
      <c r="AA622" s="200"/>
      <c r="AB622" s="200"/>
      <c r="AC622" s="201"/>
      <c r="AD622" s="201"/>
      <c r="AE622" s="200"/>
      <c r="AF622" s="200"/>
      <c r="AG622" s="209"/>
      <c r="AH622" s="201"/>
      <c r="AI622" s="200"/>
      <c r="AJ622" s="200"/>
      <c r="AK622" s="209"/>
      <c r="AL622" s="200"/>
      <c r="AM622" s="201"/>
      <c r="AN622" s="201"/>
    </row>
    <row r="623" spans="1:40" x14ac:dyDescent="0.25">
      <c r="F623" s="211"/>
      <c r="H623" s="211"/>
      <c r="I623" s="211"/>
      <c r="J623" s="329"/>
      <c r="K623" s="329"/>
      <c r="L623" s="211"/>
      <c r="M623" s="211"/>
      <c r="N623" s="211"/>
      <c r="O623" s="211"/>
      <c r="P623" s="211"/>
      <c r="Q623" s="211"/>
      <c r="R623" s="211"/>
      <c r="V623" s="211"/>
      <c r="Y623" s="211"/>
      <c r="Z623" s="305"/>
      <c r="AA623" s="211"/>
      <c r="AB623" s="211"/>
      <c r="AC623" s="211"/>
      <c r="AD623" s="211"/>
      <c r="AE623" s="211"/>
      <c r="AF623" s="211"/>
      <c r="AI623" s="211"/>
      <c r="AJ623" s="211"/>
      <c r="AK623" s="212"/>
      <c r="AL623" s="211"/>
    </row>
    <row r="624" spans="1:40" x14ac:dyDescent="0.25">
      <c r="J624" s="334"/>
      <c r="K624" s="334"/>
    </row>
    <row r="625" spans="1:40" x14ac:dyDescent="0.25">
      <c r="A625" s="202"/>
      <c r="C625" s="154"/>
      <c r="F625" s="200"/>
      <c r="H625" s="200"/>
      <c r="I625" s="200"/>
      <c r="J625" s="334"/>
      <c r="K625" s="334"/>
      <c r="L625" s="200"/>
      <c r="M625" s="200"/>
      <c r="N625" s="210"/>
      <c r="O625" s="210"/>
      <c r="P625" s="252"/>
      <c r="Q625" s="252"/>
      <c r="R625" s="200"/>
      <c r="T625" s="154"/>
      <c r="V625" s="200"/>
      <c r="Y625" s="200"/>
      <c r="AA625" s="200"/>
      <c r="AB625" s="200"/>
      <c r="AC625" s="201"/>
      <c r="AD625" s="201"/>
      <c r="AE625" s="200"/>
      <c r="AF625" s="200"/>
      <c r="AG625" s="209"/>
      <c r="AH625" s="201"/>
      <c r="AI625" s="252"/>
      <c r="AJ625" s="252"/>
      <c r="AK625" s="209"/>
      <c r="AL625" s="200"/>
      <c r="AM625" s="201"/>
      <c r="AN625" s="201"/>
    </row>
    <row r="626" spans="1:40" x14ac:dyDescent="0.25">
      <c r="H626" s="211"/>
      <c r="I626" s="211"/>
      <c r="J626" s="329"/>
      <c r="K626" s="329"/>
      <c r="L626" s="211"/>
      <c r="M626" s="211"/>
      <c r="N626" s="211"/>
      <c r="O626" s="211"/>
      <c r="P626" s="211"/>
      <c r="Q626" s="211"/>
      <c r="R626" s="211"/>
      <c r="V626" s="211"/>
      <c r="Y626" s="211"/>
      <c r="Z626" s="305"/>
      <c r="AA626" s="211"/>
      <c r="AB626" s="211"/>
      <c r="AC626" s="211"/>
      <c r="AD626" s="211"/>
      <c r="AE626" s="211"/>
      <c r="AF626" s="211"/>
      <c r="AI626" s="211"/>
      <c r="AJ626" s="211"/>
      <c r="AK626" s="212"/>
      <c r="AL626" s="211"/>
    </row>
    <row r="627" spans="1:40" x14ac:dyDescent="0.25">
      <c r="F627" s="211"/>
    </row>
    <row r="628" spans="1:40" x14ac:dyDescent="0.25">
      <c r="C628" s="202"/>
      <c r="T628" s="202"/>
    </row>
    <row r="629" spans="1:40" x14ac:dyDescent="0.25">
      <c r="A629" s="154"/>
    </row>
    <row r="630" spans="1:40" x14ac:dyDescent="0.25">
      <c r="J630" s="202"/>
      <c r="K630" s="202"/>
      <c r="Z630" s="202"/>
    </row>
    <row r="631" spans="1:40" x14ac:dyDescent="0.25">
      <c r="H631" s="154"/>
      <c r="I631" s="154"/>
      <c r="Y631" s="154"/>
    </row>
    <row r="632" spans="1:40" x14ac:dyDescent="0.25">
      <c r="J632" s="202"/>
      <c r="K632" s="202"/>
      <c r="Z632" s="202"/>
    </row>
    <row r="633" spans="1:40" x14ac:dyDescent="0.25">
      <c r="L633" s="154"/>
      <c r="M633" s="154"/>
      <c r="AA633" s="154"/>
      <c r="AB633" s="154"/>
    </row>
    <row r="634" spans="1:40" x14ac:dyDescent="0.25">
      <c r="A634" s="202"/>
      <c r="R634" s="154"/>
      <c r="AK634" s="297"/>
      <c r="AL634" s="154"/>
    </row>
    <row r="635" spans="1:40" x14ac:dyDescent="0.25">
      <c r="A635" s="202"/>
      <c r="R635" s="154"/>
      <c r="AK635" s="297"/>
      <c r="AL635" s="154"/>
    </row>
    <row r="636" spans="1:40" x14ac:dyDescent="0.25">
      <c r="A636" s="154"/>
      <c r="R636" s="154"/>
      <c r="AK636" s="297"/>
      <c r="AL636" s="154"/>
    </row>
    <row r="637" spans="1:40" x14ac:dyDescent="0.25">
      <c r="L637" s="154"/>
      <c r="M637" s="154"/>
      <c r="R637" s="202"/>
      <c r="AA637" s="154"/>
      <c r="AB637" s="154"/>
      <c r="AK637" s="209"/>
      <c r="AL637" s="202"/>
    </row>
    <row r="638" spans="1:40" x14ac:dyDescent="0.25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208"/>
      <c r="AH638" s="102"/>
      <c r="AI638" s="102"/>
      <c r="AJ638" s="102"/>
      <c r="AK638" s="208"/>
      <c r="AL638" s="102"/>
      <c r="AM638" s="102"/>
      <c r="AN638" s="102"/>
    </row>
    <row r="639" spans="1:40" x14ac:dyDescent="0.25">
      <c r="L639" s="103"/>
      <c r="M639" s="103"/>
      <c r="N639" s="103"/>
      <c r="O639" s="103"/>
      <c r="R639" s="103"/>
      <c r="AA639" s="103"/>
      <c r="AB639" s="103"/>
      <c r="AC639" s="103"/>
      <c r="AD639" s="103"/>
      <c r="AE639" s="103"/>
      <c r="AF639" s="103"/>
      <c r="AG639" s="185"/>
      <c r="AH639" s="103"/>
      <c r="AK639" s="185"/>
      <c r="AL639" s="103"/>
      <c r="AM639" s="103"/>
      <c r="AN639" s="103"/>
    </row>
    <row r="640" spans="1:40" x14ac:dyDescent="0.25">
      <c r="L640" s="103"/>
      <c r="M640" s="103"/>
      <c r="N640" s="103"/>
      <c r="O640" s="103"/>
      <c r="R640" s="103"/>
      <c r="Z640" s="103"/>
      <c r="AA640" s="103"/>
      <c r="AB640" s="103"/>
      <c r="AC640" s="103"/>
      <c r="AD640" s="103"/>
      <c r="AE640" s="103"/>
      <c r="AF640" s="103"/>
      <c r="AG640" s="185"/>
      <c r="AH640" s="103"/>
      <c r="AK640" s="185"/>
      <c r="AL640" s="103"/>
      <c r="AM640" s="103"/>
      <c r="AN640" s="103"/>
    </row>
    <row r="641" spans="1:40" x14ac:dyDescent="0.25">
      <c r="A641" s="103"/>
      <c r="C641" s="103"/>
      <c r="D641" s="103"/>
      <c r="E641" s="103"/>
      <c r="F641" s="103"/>
      <c r="J641" s="103"/>
      <c r="K641" s="103"/>
      <c r="L641" s="103"/>
      <c r="M641" s="103"/>
      <c r="N641" s="103"/>
      <c r="O641" s="103"/>
      <c r="P641" s="103"/>
      <c r="Q641" s="103"/>
      <c r="R641" s="103"/>
      <c r="T641" s="103"/>
      <c r="U641" s="103"/>
      <c r="V641" s="103"/>
      <c r="Z641" s="103"/>
      <c r="AA641" s="103"/>
      <c r="AB641" s="103"/>
      <c r="AC641" s="103"/>
      <c r="AD641" s="103"/>
      <c r="AE641" s="103"/>
      <c r="AF641" s="103"/>
      <c r="AG641" s="185"/>
      <c r="AH641" s="103"/>
      <c r="AI641" s="103"/>
      <c r="AJ641" s="103"/>
      <c r="AK641" s="185"/>
      <c r="AL641" s="103"/>
      <c r="AM641" s="103"/>
      <c r="AN641" s="103"/>
    </row>
    <row r="642" spans="1:40" x14ac:dyDescent="0.25">
      <c r="A642" s="103"/>
      <c r="C642" s="103"/>
      <c r="D642" s="103"/>
      <c r="E642" s="103"/>
      <c r="F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T642" s="103"/>
      <c r="U642" s="103"/>
      <c r="V642" s="103"/>
      <c r="Y642" s="103"/>
      <c r="Z642" s="103"/>
      <c r="AA642" s="103"/>
      <c r="AB642" s="103"/>
      <c r="AC642" s="103"/>
      <c r="AD642" s="103"/>
      <c r="AE642" s="103"/>
      <c r="AF642" s="103"/>
      <c r="AG642" s="185"/>
      <c r="AH642" s="103"/>
      <c r="AI642" s="103"/>
      <c r="AJ642" s="103"/>
      <c r="AK642" s="185"/>
      <c r="AL642" s="103"/>
      <c r="AM642" s="103"/>
      <c r="AN642" s="103"/>
    </row>
    <row r="643" spans="1:40" x14ac:dyDescent="0.25">
      <c r="C643" s="103"/>
      <c r="D643" s="103"/>
      <c r="E643" s="103"/>
      <c r="F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T643" s="103"/>
      <c r="U643" s="103"/>
      <c r="V643" s="103"/>
      <c r="Y643" s="103"/>
      <c r="Z643" s="103"/>
      <c r="AA643" s="103"/>
      <c r="AB643" s="103"/>
      <c r="AC643" s="103"/>
      <c r="AD643" s="103"/>
      <c r="AE643" s="103"/>
      <c r="AF643" s="103"/>
      <c r="AG643" s="185"/>
      <c r="AH643" s="103"/>
      <c r="AI643" s="103"/>
      <c r="AJ643" s="103"/>
      <c r="AK643" s="185"/>
      <c r="AL643" s="103"/>
      <c r="AM643" s="103"/>
      <c r="AN643" s="103"/>
    </row>
    <row r="644" spans="1:40" x14ac:dyDescent="0.25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208"/>
      <c r="AH644" s="102"/>
      <c r="AI644" s="102"/>
      <c r="AJ644" s="102"/>
      <c r="AK644" s="208"/>
      <c r="AL644" s="102"/>
      <c r="AM644" s="102"/>
      <c r="AN644" s="102"/>
    </row>
    <row r="645" spans="1:40" x14ac:dyDescent="0.25"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Y645" s="103"/>
      <c r="Z645" s="103"/>
      <c r="AA645" s="103"/>
      <c r="AB645" s="103"/>
      <c r="AC645" s="103"/>
      <c r="AD645" s="103"/>
      <c r="AE645" s="103"/>
      <c r="AF645" s="103"/>
      <c r="AG645" s="185"/>
      <c r="AH645" s="103"/>
      <c r="AI645" s="103"/>
      <c r="AJ645" s="103"/>
      <c r="AK645" s="185"/>
      <c r="AL645" s="103"/>
      <c r="AM645" s="103"/>
      <c r="AN645" s="103"/>
    </row>
    <row r="646" spans="1:40" x14ac:dyDescent="0.25">
      <c r="A646" s="202"/>
      <c r="C646" s="154"/>
      <c r="D646" s="154"/>
      <c r="E646" s="154"/>
      <c r="T646" s="154"/>
      <c r="U646" s="154"/>
    </row>
    <row r="648" spans="1:40" x14ac:dyDescent="0.25">
      <c r="A648" s="202"/>
      <c r="C648" s="154"/>
      <c r="D648" s="154"/>
      <c r="E648" s="154"/>
      <c r="T648" s="154"/>
      <c r="U648" s="154"/>
    </row>
    <row r="649" spans="1:40" x14ac:dyDescent="0.25">
      <c r="A649" s="202"/>
      <c r="C649" s="154"/>
      <c r="T649" s="154"/>
    </row>
    <row r="650" spans="1:40" x14ac:dyDescent="0.25">
      <c r="A650" s="202"/>
      <c r="C650" s="154"/>
      <c r="T650" s="154"/>
    </row>
    <row r="651" spans="1:40" x14ac:dyDescent="0.25">
      <c r="A651" s="202"/>
      <c r="C651" s="154"/>
      <c r="H651" s="252"/>
      <c r="I651" s="252"/>
      <c r="J651" s="329"/>
      <c r="K651" s="329"/>
      <c r="L651" s="200"/>
      <c r="M651" s="200"/>
      <c r="N651" s="210"/>
      <c r="O651" s="210"/>
      <c r="P651" s="200"/>
      <c r="Q651" s="200"/>
      <c r="R651" s="200"/>
      <c r="T651" s="154"/>
      <c r="V651" s="200"/>
      <c r="W651" s="200"/>
      <c r="X651" s="200"/>
      <c r="Y651" s="200"/>
      <c r="Z651" s="329"/>
      <c r="AA651" s="200"/>
      <c r="AB651" s="200"/>
      <c r="AC651" s="210"/>
      <c r="AD651" s="210"/>
      <c r="AE651" s="200"/>
      <c r="AF651" s="200"/>
      <c r="AG651" s="209"/>
      <c r="AH651" s="201"/>
      <c r="AI651" s="200"/>
      <c r="AJ651" s="200"/>
      <c r="AK651" s="209"/>
      <c r="AL651" s="200"/>
      <c r="AM651" s="210"/>
      <c r="AN651" s="210"/>
    </row>
    <row r="652" spans="1:40" x14ac:dyDescent="0.25">
      <c r="A652" s="202"/>
      <c r="C652" s="154"/>
      <c r="F652" s="252"/>
      <c r="J652" s="334"/>
      <c r="K652" s="334"/>
      <c r="T652" s="154"/>
      <c r="V652" s="200"/>
      <c r="W652" s="200"/>
      <c r="X652" s="200"/>
      <c r="Y652" s="200"/>
      <c r="Z652" s="329"/>
    </row>
    <row r="653" spans="1:40" x14ac:dyDescent="0.25">
      <c r="A653" s="202"/>
      <c r="C653" s="154"/>
      <c r="H653" s="252"/>
      <c r="I653" s="252"/>
      <c r="J653" s="329"/>
      <c r="K653" s="329"/>
      <c r="L653" s="200"/>
      <c r="M653" s="200"/>
      <c r="N653" s="210"/>
      <c r="O653" s="210"/>
      <c r="P653" s="200"/>
      <c r="Q653" s="200"/>
      <c r="R653" s="200"/>
      <c r="T653" s="154"/>
      <c r="V653" s="200"/>
      <c r="W653" s="200"/>
      <c r="X653" s="200"/>
      <c r="Y653" s="200"/>
      <c r="Z653" s="329"/>
      <c r="AA653" s="200"/>
      <c r="AB653" s="200"/>
      <c r="AC653" s="210"/>
      <c r="AD653" s="210"/>
      <c r="AE653" s="200"/>
      <c r="AF653" s="200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C654" s="154"/>
      <c r="F654" s="252"/>
      <c r="J654" s="334"/>
      <c r="K654" s="334"/>
      <c r="T654" s="154"/>
      <c r="V654" s="200"/>
      <c r="W654" s="200"/>
      <c r="X654" s="200"/>
      <c r="Y654" s="200"/>
      <c r="Z654" s="329"/>
    </row>
    <row r="655" spans="1:40" x14ac:dyDescent="0.25">
      <c r="A655" s="202"/>
      <c r="C655" s="154"/>
      <c r="H655" s="252"/>
      <c r="I655" s="252"/>
      <c r="J655" s="329"/>
      <c r="K655" s="329"/>
      <c r="L655" s="200"/>
      <c r="M655" s="200"/>
      <c r="N655" s="210"/>
      <c r="O655" s="210"/>
      <c r="P655" s="200"/>
      <c r="Q655" s="200"/>
      <c r="R655" s="200"/>
      <c r="T655" s="154"/>
      <c r="V655" s="200"/>
      <c r="W655" s="200"/>
      <c r="X655" s="200"/>
      <c r="Y655" s="200"/>
      <c r="Z655" s="329"/>
      <c r="AA655" s="200"/>
      <c r="AB655" s="200"/>
      <c r="AC655" s="210"/>
      <c r="AD655" s="210"/>
      <c r="AE655" s="200"/>
      <c r="AF655" s="200"/>
      <c r="AG655" s="209"/>
      <c r="AH655" s="201"/>
      <c r="AI655" s="200"/>
      <c r="AJ655" s="200"/>
      <c r="AK655" s="209"/>
      <c r="AL655" s="200"/>
      <c r="AM655" s="210"/>
      <c r="AN655" s="210"/>
    </row>
    <row r="656" spans="1:40" x14ac:dyDescent="0.25">
      <c r="A656" s="202"/>
      <c r="C656" s="154"/>
      <c r="F656" s="252"/>
      <c r="J656" s="334"/>
      <c r="K656" s="334"/>
      <c r="T656" s="154"/>
      <c r="V656" s="200"/>
      <c r="W656" s="200"/>
      <c r="X656" s="200"/>
      <c r="Y656" s="200"/>
      <c r="Z656" s="329"/>
    </row>
    <row r="657" spans="1:40" x14ac:dyDescent="0.25">
      <c r="A657" s="202"/>
      <c r="C657" s="154"/>
      <c r="H657" s="252"/>
      <c r="I657" s="252"/>
      <c r="J657" s="329"/>
      <c r="K657" s="329"/>
      <c r="L657" s="200"/>
      <c r="M657" s="200"/>
      <c r="N657" s="210"/>
      <c r="O657" s="210"/>
      <c r="P657" s="200"/>
      <c r="Q657" s="200"/>
      <c r="R657" s="200"/>
      <c r="T657" s="154"/>
      <c r="V657" s="200"/>
      <c r="W657" s="200"/>
      <c r="X657" s="200"/>
      <c r="Y657" s="200"/>
      <c r="Z657" s="329"/>
      <c r="AA657" s="200"/>
      <c r="AB657" s="200"/>
      <c r="AC657" s="210"/>
      <c r="AD657" s="210"/>
      <c r="AE657" s="200"/>
      <c r="AF657" s="200"/>
      <c r="AG657" s="209"/>
      <c r="AH657" s="201"/>
      <c r="AI657" s="200"/>
      <c r="AJ657" s="200"/>
      <c r="AK657" s="209"/>
      <c r="AL657" s="200"/>
      <c r="AM657" s="210"/>
      <c r="AN657" s="210"/>
    </row>
    <row r="658" spans="1:40" x14ac:dyDescent="0.25">
      <c r="A658" s="202"/>
      <c r="C658" s="154"/>
      <c r="F658" s="252"/>
      <c r="J658" s="334"/>
      <c r="K658" s="334"/>
      <c r="T658" s="154"/>
      <c r="V658" s="200"/>
      <c r="W658" s="200"/>
      <c r="X658" s="200"/>
      <c r="Y658" s="200"/>
      <c r="Z658" s="329"/>
    </row>
    <row r="659" spans="1:40" x14ac:dyDescent="0.25">
      <c r="A659" s="202"/>
      <c r="C659" s="154"/>
      <c r="H659" s="252"/>
      <c r="I659" s="252"/>
      <c r="J659" s="329"/>
      <c r="K659" s="329"/>
      <c r="L659" s="200"/>
      <c r="M659" s="200"/>
      <c r="N659" s="210"/>
      <c r="O659" s="210"/>
      <c r="P659" s="200"/>
      <c r="Q659" s="200"/>
      <c r="R659" s="200"/>
      <c r="T659" s="154"/>
      <c r="V659" s="200"/>
      <c r="W659" s="200"/>
      <c r="X659" s="200"/>
      <c r="Y659" s="200"/>
      <c r="Z659" s="329"/>
      <c r="AA659" s="200"/>
      <c r="AB659" s="200"/>
      <c r="AC659" s="210"/>
      <c r="AD659" s="210"/>
      <c r="AE659" s="200"/>
      <c r="AF659" s="200"/>
      <c r="AG659" s="209"/>
      <c r="AH659" s="201"/>
      <c r="AI659" s="200"/>
      <c r="AJ659" s="200"/>
      <c r="AK659" s="209"/>
      <c r="AL659" s="200"/>
      <c r="AM659" s="210"/>
      <c r="AN659" s="210"/>
    </row>
    <row r="660" spans="1:40" x14ac:dyDescent="0.25">
      <c r="A660" s="202"/>
      <c r="C660" s="154"/>
      <c r="F660" s="252"/>
      <c r="J660" s="334"/>
      <c r="K660" s="334"/>
      <c r="T660" s="154"/>
      <c r="V660" s="200"/>
      <c r="W660" s="200"/>
      <c r="X660" s="200"/>
      <c r="Y660" s="200"/>
      <c r="Z660" s="329"/>
    </row>
    <row r="661" spans="1:40" x14ac:dyDescent="0.25">
      <c r="A661" s="202"/>
      <c r="C661" s="154"/>
      <c r="H661" s="252"/>
      <c r="I661" s="252"/>
      <c r="J661" s="329"/>
      <c r="K661" s="329"/>
      <c r="L661" s="200"/>
      <c r="M661" s="200"/>
      <c r="N661" s="210"/>
      <c r="O661" s="210"/>
      <c r="P661" s="200"/>
      <c r="Q661" s="200"/>
      <c r="R661" s="200"/>
      <c r="T661" s="154"/>
      <c r="V661" s="200"/>
      <c r="W661" s="200"/>
      <c r="X661" s="200"/>
      <c r="Y661" s="200"/>
      <c r="Z661" s="329"/>
      <c r="AA661" s="200"/>
      <c r="AB661" s="200"/>
      <c r="AC661" s="210"/>
      <c r="AD661" s="210"/>
      <c r="AE661" s="200"/>
      <c r="AF661" s="200"/>
      <c r="AG661" s="209"/>
      <c r="AH661" s="201"/>
      <c r="AI661" s="200"/>
      <c r="AJ661" s="200"/>
      <c r="AK661" s="209"/>
      <c r="AL661" s="200"/>
      <c r="AM661" s="210"/>
      <c r="AN661" s="210"/>
    </row>
    <row r="662" spans="1:40" x14ac:dyDescent="0.25">
      <c r="F662" s="252"/>
      <c r="H662" s="211"/>
      <c r="I662" s="211"/>
      <c r="J662" s="329"/>
      <c r="K662" s="329"/>
      <c r="L662" s="211"/>
      <c r="M662" s="211"/>
      <c r="N662" s="211"/>
      <c r="O662" s="211"/>
      <c r="P662" s="211"/>
      <c r="Q662" s="211"/>
      <c r="R662" s="211"/>
      <c r="V662" s="211"/>
      <c r="Y662" s="211"/>
      <c r="Z662" s="329"/>
      <c r="AA662" s="211"/>
      <c r="AB662" s="211"/>
      <c r="AC662" s="211"/>
      <c r="AD662" s="211"/>
      <c r="AE662" s="211"/>
      <c r="AF662" s="211"/>
      <c r="AI662" s="211"/>
      <c r="AJ662" s="211"/>
      <c r="AK662" s="212"/>
      <c r="AL662" s="211"/>
      <c r="AM662" s="210"/>
      <c r="AN662" s="210"/>
    </row>
    <row r="663" spans="1:40" x14ac:dyDescent="0.25">
      <c r="A663" s="202"/>
      <c r="C663" s="154"/>
      <c r="F663" s="211"/>
      <c r="H663" s="200"/>
      <c r="I663" s="200"/>
      <c r="J663" s="334"/>
      <c r="K663" s="334"/>
      <c r="L663" s="200"/>
      <c r="M663" s="200"/>
      <c r="N663" s="210"/>
      <c r="O663" s="210"/>
      <c r="P663" s="252"/>
      <c r="Q663" s="252"/>
      <c r="R663" s="200"/>
      <c r="T663" s="154"/>
      <c r="V663" s="200"/>
      <c r="W663" s="200"/>
      <c r="X663" s="200"/>
      <c r="Y663" s="200"/>
      <c r="Z663" s="329"/>
      <c r="AA663" s="200"/>
      <c r="AB663" s="200"/>
      <c r="AC663" s="210"/>
      <c r="AD663" s="210"/>
      <c r="AE663" s="200"/>
      <c r="AF663" s="200"/>
      <c r="AG663" s="209"/>
      <c r="AH663" s="201"/>
      <c r="AI663" s="252"/>
      <c r="AJ663" s="252"/>
      <c r="AK663" s="209"/>
      <c r="AL663" s="200"/>
      <c r="AM663" s="210"/>
      <c r="AN663" s="210"/>
    </row>
    <row r="664" spans="1:40" x14ac:dyDescent="0.25">
      <c r="F664" s="200"/>
      <c r="H664" s="211"/>
      <c r="I664" s="211"/>
      <c r="J664" s="329"/>
      <c r="K664" s="329"/>
      <c r="L664" s="211"/>
      <c r="M664" s="211"/>
      <c r="N664" s="211"/>
      <c r="O664" s="211"/>
      <c r="P664" s="211"/>
      <c r="Q664" s="211"/>
      <c r="R664" s="211"/>
      <c r="V664" s="211"/>
      <c r="Y664" s="211"/>
      <c r="Z664" s="329"/>
      <c r="AA664" s="211"/>
      <c r="AB664" s="211"/>
      <c r="AC664" s="211"/>
      <c r="AD664" s="211"/>
      <c r="AE664" s="211"/>
      <c r="AF664" s="211"/>
      <c r="AI664" s="211"/>
      <c r="AJ664" s="211"/>
      <c r="AK664" s="212"/>
      <c r="AL664" s="211"/>
    </row>
    <row r="665" spans="1:40" x14ac:dyDescent="0.25">
      <c r="A665" s="202"/>
      <c r="C665" s="154"/>
      <c r="D665" s="154"/>
      <c r="E665" s="154"/>
      <c r="F665" s="211"/>
      <c r="J665" s="334"/>
      <c r="K665" s="334"/>
      <c r="T665" s="154"/>
      <c r="U665" s="154"/>
      <c r="V665" s="200"/>
      <c r="W665" s="200"/>
      <c r="X665" s="200"/>
      <c r="Y665" s="200"/>
      <c r="Z665" s="329"/>
    </row>
    <row r="666" spans="1:40" x14ac:dyDescent="0.25">
      <c r="A666" s="202"/>
      <c r="C666" s="154"/>
      <c r="J666" s="334"/>
      <c r="K666" s="334"/>
      <c r="T666" s="154"/>
      <c r="V666" s="200"/>
      <c r="W666" s="200"/>
      <c r="X666" s="200"/>
      <c r="Y666" s="200"/>
      <c r="Z666" s="329"/>
    </row>
    <row r="667" spans="1:40" x14ac:dyDescent="0.25">
      <c r="A667" s="202"/>
      <c r="C667" s="154"/>
      <c r="J667" s="334"/>
      <c r="K667" s="334"/>
      <c r="T667" s="154"/>
      <c r="V667" s="200"/>
      <c r="W667" s="200"/>
      <c r="X667" s="200"/>
      <c r="Y667" s="200"/>
      <c r="Z667" s="329"/>
    </row>
    <row r="668" spans="1:40" x14ac:dyDescent="0.25">
      <c r="A668" s="202"/>
      <c r="C668" s="154"/>
      <c r="H668" s="252"/>
      <c r="I668" s="252"/>
      <c r="J668" s="329"/>
      <c r="K668" s="329"/>
      <c r="L668" s="200"/>
      <c r="M668" s="200"/>
      <c r="N668" s="210"/>
      <c r="O668" s="210"/>
      <c r="P668" s="200"/>
      <c r="Q668" s="200"/>
      <c r="R668" s="200"/>
      <c r="T668" s="154"/>
      <c r="V668" s="200"/>
      <c r="W668" s="200"/>
      <c r="X668" s="200"/>
      <c r="Y668" s="200"/>
      <c r="Z668" s="329"/>
      <c r="AA668" s="200"/>
      <c r="AB668" s="200"/>
      <c r="AC668" s="210"/>
      <c r="AD668" s="210"/>
      <c r="AE668" s="200"/>
      <c r="AF668" s="200"/>
      <c r="AG668" s="209"/>
      <c r="AH668" s="201"/>
      <c r="AI668" s="200"/>
      <c r="AJ668" s="200"/>
      <c r="AK668" s="209"/>
      <c r="AL668" s="200"/>
      <c r="AM668" s="210"/>
      <c r="AN668" s="210"/>
    </row>
    <row r="669" spans="1:40" x14ac:dyDescent="0.25">
      <c r="A669" s="202"/>
      <c r="C669" s="154"/>
      <c r="F669" s="252"/>
      <c r="J669" s="334"/>
      <c r="K669" s="334"/>
      <c r="T669" s="154"/>
      <c r="V669" s="200"/>
      <c r="W669" s="200"/>
      <c r="X669" s="200"/>
      <c r="Y669" s="200"/>
      <c r="Z669" s="329"/>
    </row>
    <row r="670" spans="1:40" x14ac:dyDescent="0.25">
      <c r="A670" s="202"/>
      <c r="C670" s="154"/>
      <c r="H670" s="252"/>
      <c r="I670" s="252"/>
      <c r="J670" s="329"/>
      <c r="K670" s="329"/>
      <c r="L670" s="200"/>
      <c r="M670" s="200"/>
      <c r="N670" s="210"/>
      <c r="O670" s="210"/>
      <c r="P670" s="200"/>
      <c r="Q670" s="200"/>
      <c r="R670" s="200"/>
      <c r="T670" s="154"/>
      <c r="V670" s="200"/>
      <c r="W670" s="200"/>
      <c r="X670" s="200"/>
      <c r="Y670" s="200"/>
      <c r="Z670" s="329"/>
      <c r="AA670" s="200"/>
      <c r="AB670" s="200"/>
      <c r="AC670" s="210"/>
      <c r="AD670" s="210"/>
      <c r="AE670" s="200"/>
      <c r="AF670" s="200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F671" s="252"/>
      <c r="H671" s="211"/>
      <c r="I671" s="211"/>
      <c r="J671" s="329"/>
      <c r="K671" s="329"/>
      <c r="L671" s="211"/>
      <c r="M671" s="211"/>
      <c r="N671" s="211"/>
      <c r="O671" s="211"/>
      <c r="P671" s="211"/>
      <c r="Q671" s="211"/>
      <c r="R671" s="211"/>
      <c r="V671" s="211"/>
      <c r="Y671" s="211"/>
      <c r="Z671" s="305"/>
      <c r="AA671" s="211"/>
      <c r="AB671" s="211"/>
      <c r="AC671" s="211"/>
      <c r="AD671" s="211"/>
      <c r="AE671" s="211"/>
      <c r="AF671" s="211"/>
      <c r="AI671" s="211"/>
      <c r="AJ671" s="211"/>
      <c r="AK671" s="212"/>
      <c r="AL671" s="211"/>
    </row>
    <row r="672" spans="1:40" x14ac:dyDescent="0.25">
      <c r="A672" s="202"/>
      <c r="C672" s="154"/>
      <c r="F672" s="211"/>
      <c r="H672" s="200"/>
      <c r="I672" s="200"/>
      <c r="L672" s="200"/>
      <c r="M672" s="200"/>
      <c r="N672" s="210"/>
      <c r="O672" s="210"/>
      <c r="P672" s="252"/>
      <c r="Q672" s="252"/>
      <c r="R672" s="200"/>
      <c r="T672" s="154"/>
      <c r="V672" s="200"/>
      <c r="W672" s="200"/>
      <c r="X672" s="200"/>
      <c r="Y672" s="200"/>
      <c r="Z672" s="328"/>
      <c r="AA672" s="200"/>
      <c r="AB672" s="200"/>
      <c r="AC672" s="210"/>
      <c r="AD672" s="210"/>
      <c r="AE672" s="200"/>
      <c r="AF672" s="200"/>
      <c r="AG672" s="209"/>
      <c r="AH672" s="201"/>
      <c r="AI672" s="252"/>
      <c r="AJ672" s="252"/>
      <c r="AK672" s="209"/>
      <c r="AL672" s="200"/>
      <c r="AM672" s="210"/>
      <c r="AN672" s="210"/>
    </row>
    <row r="673" spans="1:40" x14ac:dyDescent="0.25">
      <c r="F673" s="200"/>
      <c r="H673" s="211"/>
      <c r="I673" s="211"/>
      <c r="J673" s="305"/>
      <c r="K673" s="305"/>
      <c r="L673" s="211"/>
      <c r="M673" s="211"/>
      <c r="N673" s="211"/>
      <c r="O673" s="211"/>
      <c r="P673" s="211"/>
      <c r="Q673" s="211"/>
      <c r="R673" s="211"/>
      <c r="V673" s="211"/>
      <c r="Y673" s="211"/>
      <c r="Z673" s="305"/>
      <c r="AA673" s="211"/>
      <c r="AB673" s="211"/>
      <c r="AC673" s="211"/>
      <c r="AD673" s="211"/>
      <c r="AE673" s="211"/>
      <c r="AF673" s="211"/>
      <c r="AI673" s="211"/>
      <c r="AJ673" s="211"/>
      <c r="AK673" s="212"/>
      <c r="AL673" s="211"/>
    </row>
    <row r="674" spans="1:40" x14ac:dyDescent="0.25">
      <c r="A674" s="202"/>
      <c r="C674" s="154"/>
      <c r="D674" s="154"/>
      <c r="E674" s="154"/>
      <c r="F674" s="211"/>
      <c r="T674" s="154"/>
      <c r="U674" s="154"/>
      <c r="V674" s="200"/>
      <c r="W674" s="200"/>
      <c r="X674" s="200"/>
      <c r="Y674" s="200"/>
      <c r="Z674" s="328"/>
    </row>
    <row r="675" spans="1:40" x14ac:dyDescent="0.25">
      <c r="A675" s="202"/>
      <c r="C675" s="154"/>
      <c r="T675" s="154"/>
      <c r="V675" s="200"/>
      <c r="W675" s="200"/>
      <c r="X675" s="200"/>
      <c r="Y675" s="200"/>
      <c r="Z675" s="328"/>
    </row>
    <row r="676" spans="1:40" x14ac:dyDescent="0.25">
      <c r="A676" s="202"/>
      <c r="C676" s="154"/>
      <c r="H676" s="252"/>
      <c r="I676" s="252"/>
      <c r="J676" s="328"/>
      <c r="K676" s="328"/>
      <c r="L676" s="200"/>
      <c r="M676" s="200"/>
      <c r="N676" s="210"/>
      <c r="O676" s="210"/>
      <c r="P676" s="200"/>
      <c r="Q676" s="200"/>
      <c r="R676" s="200"/>
      <c r="T676" s="154"/>
      <c r="V676" s="200"/>
      <c r="W676" s="200"/>
      <c r="X676" s="200"/>
      <c r="Y676" s="200"/>
      <c r="Z676" s="328"/>
      <c r="AA676" s="200"/>
      <c r="AB676" s="200"/>
      <c r="AC676" s="210"/>
      <c r="AD676" s="210"/>
      <c r="AE676" s="200"/>
      <c r="AF676" s="200"/>
      <c r="AG676" s="209"/>
      <c r="AH676" s="201"/>
      <c r="AI676" s="200"/>
      <c r="AJ676" s="200"/>
      <c r="AK676" s="209"/>
      <c r="AL676" s="200"/>
      <c r="AM676" s="210"/>
      <c r="AN676" s="210"/>
    </row>
    <row r="677" spans="1:40" x14ac:dyDescent="0.25">
      <c r="A677" s="202"/>
      <c r="C677" s="154"/>
      <c r="F677" s="252"/>
      <c r="T677" s="154"/>
      <c r="V677" s="200"/>
      <c r="W677" s="200"/>
      <c r="X677" s="200"/>
      <c r="Y677" s="200"/>
      <c r="Z677" s="328"/>
    </row>
    <row r="678" spans="1:40" x14ac:dyDescent="0.25">
      <c r="A678" s="202"/>
      <c r="C678" s="154"/>
      <c r="H678" s="252"/>
      <c r="I678" s="252"/>
      <c r="J678" s="328"/>
      <c r="K678" s="328"/>
      <c r="L678" s="200"/>
      <c r="M678" s="200"/>
      <c r="N678" s="210"/>
      <c r="O678" s="210"/>
      <c r="P678" s="200"/>
      <c r="Q678" s="200"/>
      <c r="R678" s="200"/>
      <c r="T678" s="154"/>
      <c r="V678" s="200"/>
      <c r="W678" s="200"/>
      <c r="X678" s="200"/>
      <c r="Y678" s="200"/>
      <c r="Z678" s="328"/>
      <c r="AA678" s="200"/>
      <c r="AB678" s="200"/>
      <c r="AC678" s="210"/>
      <c r="AD678" s="210"/>
      <c r="AE678" s="200"/>
      <c r="AF678" s="200"/>
      <c r="AG678" s="209"/>
      <c r="AH678" s="201"/>
      <c r="AI678" s="200"/>
      <c r="AJ678" s="200"/>
      <c r="AK678" s="209"/>
      <c r="AL678" s="200"/>
      <c r="AM678" s="210"/>
      <c r="AN678" s="210"/>
    </row>
    <row r="679" spans="1:40" x14ac:dyDescent="0.25">
      <c r="A679" s="202"/>
      <c r="C679" s="154"/>
      <c r="F679" s="252"/>
      <c r="T679" s="154"/>
      <c r="V679" s="200"/>
      <c r="W679" s="200"/>
      <c r="X679" s="200"/>
      <c r="Y679" s="200"/>
      <c r="Z679" s="328"/>
    </row>
    <row r="680" spans="1:40" x14ac:dyDescent="0.25">
      <c r="A680" s="202"/>
      <c r="C680" s="154"/>
      <c r="H680" s="252"/>
      <c r="I680" s="252"/>
      <c r="J680" s="328"/>
      <c r="K680" s="328"/>
      <c r="L680" s="200"/>
      <c r="M680" s="200"/>
      <c r="N680" s="210"/>
      <c r="O680" s="210"/>
      <c r="P680" s="200"/>
      <c r="Q680" s="200"/>
      <c r="R680" s="200"/>
      <c r="T680" s="154"/>
      <c r="V680" s="200"/>
      <c r="W680" s="200"/>
      <c r="X680" s="200"/>
      <c r="Y680" s="200"/>
      <c r="Z680" s="328"/>
      <c r="AA680" s="200"/>
      <c r="AB680" s="200"/>
      <c r="AC680" s="210"/>
      <c r="AD680" s="210"/>
      <c r="AE680" s="200"/>
      <c r="AF680" s="200"/>
      <c r="AG680" s="209"/>
      <c r="AH680" s="201"/>
      <c r="AI680" s="200"/>
      <c r="AJ680" s="200"/>
      <c r="AK680" s="209"/>
      <c r="AL680" s="200"/>
      <c r="AM680" s="210"/>
      <c r="AN680" s="210"/>
    </row>
    <row r="681" spans="1:40" x14ac:dyDescent="0.25">
      <c r="A681" s="202"/>
      <c r="C681" s="154"/>
      <c r="F681" s="252"/>
      <c r="T681" s="154"/>
      <c r="V681" s="200"/>
      <c r="W681" s="200"/>
      <c r="X681" s="200"/>
      <c r="Y681" s="200"/>
      <c r="Z681" s="328"/>
    </row>
    <row r="682" spans="1:40" x14ac:dyDescent="0.25">
      <c r="A682" s="202"/>
      <c r="C682" s="154"/>
      <c r="H682" s="252"/>
      <c r="I682" s="252"/>
      <c r="J682" s="328"/>
      <c r="K682" s="328"/>
      <c r="L682" s="200"/>
      <c r="M682" s="200"/>
      <c r="N682" s="210"/>
      <c r="O682" s="210"/>
      <c r="P682" s="200"/>
      <c r="Q682" s="200"/>
      <c r="R682" s="200"/>
      <c r="T682" s="154"/>
      <c r="V682" s="200"/>
      <c r="W682" s="200"/>
      <c r="X682" s="200"/>
      <c r="Y682" s="200"/>
      <c r="Z682" s="328"/>
      <c r="AA682" s="200"/>
      <c r="AB682" s="200"/>
      <c r="AC682" s="210"/>
      <c r="AD682" s="210"/>
      <c r="AE682" s="200"/>
      <c r="AF682" s="200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F683" s="252"/>
      <c r="H683" s="211"/>
      <c r="I683" s="211"/>
      <c r="J683" s="305"/>
      <c r="K683" s="305"/>
      <c r="L683" s="211"/>
      <c r="M683" s="211"/>
      <c r="N683" s="211"/>
      <c r="O683" s="211"/>
      <c r="P683" s="211"/>
      <c r="Q683" s="211"/>
      <c r="R683" s="211"/>
      <c r="V683" s="211"/>
      <c r="Y683" s="211"/>
      <c r="Z683" s="305"/>
      <c r="AA683" s="211"/>
      <c r="AB683" s="211"/>
      <c r="AC683" s="211"/>
      <c r="AD683" s="211"/>
      <c r="AE683" s="211"/>
      <c r="AF683" s="211"/>
      <c r="AI683" s="211"/>
      <c r="AJ683" s="211"/>
      <c r="AK683" s="212"/>
      <c r="AL683" s="211"/>
    </row>
    <row r="684" spans="1:40" x14ac:dyDescent="0.25">
      <c r="A684" s="202"/>
      <c r="C684" s="154"/>
      <c r="F684" s="211"/>
      <c r="H684" s="200"/>
      <c r="I684" s="200"/>
      <c r="L684" s="200"/>
      <c r="M684" s="200"/>
      <c r="N684" s="210"/>
      <c r="O684" s="210"/>
      <c r="P684" s="252"/>
      <c r="Q684" s="252"/>
      <c r="R684" s="200"/>
      <c r="T684" s="154"/>
      <c r="V684" s="200"/>
      <c r="W684" s="200"/>
      <c r="X684" s="200"/>
      <c r="Y684" s="200"/>
      <c r="Z684" s="328"/>
      <c r="AA684" s="200"/>
      <c r="AB684" s="200"/>
      <c r="AC684" s="210"/>
      <c r="AD684" s="210"/>
      <c r="AE684" s="200"/>
      <c r="AF684" s="200"/>
      <c r="AG684" s="209"/>
      <c r="AH684" s="201"/>
      <c r="AI684" s="252"/>
      <c r="AJ684" s="252"/>
      <c r="AK684" s="209"/>
      <c r="AL684" s="200"/>
      <c r="AM684" s="210"/>
      <c r="AN684" s="210"/>
    </row>
    <row r="685" spans="1:40" x14ac:dyDescent="0.25">
      <c r="F685" s="200"/>
      <c r="H685" s="211"/>
      <c r="I685" s="211"/>
      <c r="J685" s="305"/>
      <c r="K685" s="305"/>
      <c r="L685" s="211"/>
      <c r="M685" s="211"/>
      <c r="N685" s="211"/>
      <c r="O685" s="211"/>
      <c r="P685" s="211"/>
      <c r="Q685" s="211"/>
      <c r="R685" s="211"/>
      <c r="V685" s="211"/>
      <c r="Y685" s="211"/>
      <c r="Z685" s="305"/>
      <c r="AA685" s="211"/>
      <c r="AB685" s="211"/>
      <c r="AC685" s="211"/>
      <c r="AD685" s="211"/>
      <c r="AE685" s="211"/>
      <c r="AF685" s="211"/>
      <c r="AI685" s="211"/>
      <c r="AJ685" s="211"/>
      <c r="AK685" s="212"/>
      <c r="AL685" s="211"/>
    </row>
    <row r="686" spans="1:40" x14ac:dyDescent="0.25">
      <c r="A686" s="202"/>
      <c r="C686" s="154"/>
      <c r="F686" s="211"/>
      <c r="H686" s="200"/>
      <c r="I686" s="200"/>
      <c r="L686" s="200"/>
      <c r="M686" s="200"/>
      <c r="N686" s="210"/>
      <c r="O686" s="210"/>
      <c r="P686" s="200"/>
      <c r="Q686" s="200"/>
      <c r="R686" s="200"/>
      <c r="T686" s="154"/>
      <c r="V686" s="200"/>
      <c r="W686" s="200"/>
      <c r="X686" s="200"/>
      <c r="Y686" s="200"/>
      <c r="AA686" s="200"/>
      <c r="AB686" s="200"/>
      <c r="AC686" s="210"/>
      <c r="AD686" s="210"/>
      <c r="AE686" s="200"/>
      <c r="AF686" s="200"/>
      <c r="AG686" s="209"/>
      <c r="AH686" s="201"/>
      <c r="AI686" s="200"/>
      <c r="AJ686" s="200"/>
      <c r="AK686" s="209"/>
      <c r="AL686" s="200"/>
      <c r="AM686" s="201"/>
      <c r="AN686" s="201"/>
    </row>
    <row r="687" spans="1:40" x14ac:dyDescent="0.25">
      <c r="F687" s="200"/>
      <c r="H687" s="211"/>
      <c r="I687" s="211"/>
      <c r="J687" s="305"/>
      <c r="K687" s="305"/>
      <c r="L687" s="211"/>
      <c r="M687" s="211"/>
      <c r="N687" s="211"/>
      <c r="O687" s="211"/>
      <c r="P687" s="211"/>
      <c r="Q687" s="211"/>
      <c r="R687" s="211"/>
      <c r="V687" s="211"/>
      <c r="Y687" s="211"/>
      <c r="Z687" s="305"/>
      <c r="AA687" s="211"/>
      <c r="AB687" s="211"/>
      <c r="AC687" s="211"/>
      <c r="AD687" s="211"/>
      <c r="AE687" s="211"/>
      <c r="AF687" s="211"/>
      <c r="AI687" s="211"/>
      <c r="AJ687" s="211"/>
      <c r="AK687" s="212"/>
      <c r="AL687" s="211"/>
    </row>
    <row r="689" spans="1:40" x14ac:dyDescent="0.25">
      <c r="C689" s="202"/>
      <c r="F689" s="211"/>
      <c r="T689" s="202"/>
    </row>
    <row r="690" spans="1:40" x14ac:dyDescent="0.25">
      <c r="A690" s="154"/>
    </row>
    <row r="691" spans="1:40" x14ac:dyDescent="0.25">
      <c r="J691" s="202"/>
      <c r="K691" s="202"/>
      <c r="Z691" s="202"/>
    </row>
    <row r="692" spans="1:40" x14ac:dyDescent="0.25">
      <c r="H692" s="154"/>
      <c r="I692" s="154"/>
      <c r="Y692" s="154"/>
    </row>
    <row r="693" spans="1:40" x14ac:dyDescent="0.25">
      <c r="J693" s="202"/>
      <c r="K693" s="202"/>
      <c r="Z693" s="202"/>
    </row>
    <row r="694" spans="1:40" x14ac:dyDescent="0.25">
      <c r="L694" s="154"/>
      <c r="M694" s="154"/>
      <c r="AA694" s="154"/>
      <c r="AB694" s="154"/>
    </row>
    <row r="695" spans="1:40" x14ac:dyDescent="0.25">
      <c r="A695" s="202"/>
      <c r="R695" s="154"/>
      <c r="AK695" s="297"/>
      <c r="AL695" s="154"/>
    </row>
    <row r="696" spans="1:40" x14ac:dyDescent="0.25">
      <c r="A696" s="202"/>
      <c r="R696" s="154"/>
      <c r="AK696" s="297"/>
      <c r="AL696" s="154"/>
    </row>
    <row r="697" spans="1:40" x14ac:dyDescent="0.25">
      <c r="A697" s="154"/>
      <c r="R697" s="154"/>
      <c r="AK697" s="297"/>
      <c r="AL697" s="154"/>
    </row>
    <row r="698" spans="1:40" x14ac:dyDescent="0.25">
      <c r="L698" s="154"/>
      <c r="M698" s="154"/>
      <c r="R698" s="202"/>
      <c r="AA698" s="154"/>
      <c r="AB698" s="154"/>
      <c r="AK698" s="209"/>
      <c r="AL698" s="202"/>
    </row>
    <row r="699" spans="1:40" x14ac:dyDescent="0.25">
      <c r="A699" s="102"/>
      <c r="B699" s="102"/>
      <c r="C699" s="102"/>
      <c r="D699" s="102"/>
      <c r="E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208"/>
      <c r="AH699" s="102"/>
      <c r="AI699" s="102"/>
      <c r="AJ699" s="102"/>
      <c r="AK699" s="208"/>
      <c r="AL699" s="102"/>
      <c r="AM699" s="102"/>
      <c r="AN699" s="102"/>
    </row>
    <row r="700" spans="1:40" x14ac:dyDescent="0.25">
      <c r="F700" s="102"/>
      <c r="L700" s="103"/>
      <c r="M700" s="103"/>
      <c r="N700" s="103"/>
      <c r="O700" s="103"/>
      <c r="R700" s="103"/>
      <c r="AA700" s="103"/>
      <c r="AB700" s="103"/>
      <c r="AC700" s="103"/>
      <c r="AD700" s="103"/>
      <c r="AE700" s="103"/>
      <c r="AF700" s="103"/>
      <c r="AG700" s="185"/>
      <c r="AH700" s="103"/>
      <c r="AK700" s="185"/>
      <c r="AL700" s="103"/>
      <c r="AM700" s="103"/>
      <c r="AN700" s="103"/>
    </row>
    <row r="701" spans="1:40" x14ac:dyDescent="0.25">
      <c r="L701" s="103"/>
      <c r="M701" s="103"/>
      <c r="N701" s="103"/>
      <c r="O701" s="103"/>
      <c r="R701" s="103"/>
      <c r="Z701" s="103"/>
      <c r="AA701" s="103"/>
      <c r="AB701" s="103"/>
      <c r="AC701" s="103"/>
      <c r="AD701" s="103"/>
      <c r="AE701" s="103"/>
      <c r="AF701" s="103"/>
      <c r="AG701" s="185"/>
      <c r="AH701" s="103"/>
      <c r="AK701" s="185"/>
      <c r="AL701" s="103"/>
      <c r="AM701" s="103"/>
      <c r="AN701" s="103"/>
    </row>
    <row r="702" spans="1:40" x14ac:dyDescent="0.25">
      <c r="A702" s="103"/>
      <c r="C702" s="103"/>
      <c r="D702" s="103"/>
      <c r="E702" s="103"/>
      <c r="J702" s="103"/>
      <c r="K702" s="103"/>
      <c r="L702" s="103"/>
      <c r="M702" s="103"/>
      <c r="N702" s="103"/>
      <c r="O702" s="103"/>
      <c r="P702" s="103"/>
      <c r="Q702" s="103"/>
      <c r="R702" s="103"/>
      <c r="T702" s="103"/>
      <c r="U702" s="103"/>
      <c r="V702" s="103"/>
      <c r="Z702" s="103"/>
      <c r="AA702" s="103"/>
      <c r="AB702" s="103"/>
      <c r="AC702" s="103"/>
      <c r="AD702" s="103"/>
      <c r="AE702" s="103"/>
      <c r="AF702" s="103"/>
      <c r="AG702" s="185"/>
      <c r="AH702" s="103"/>
      <c r="AI702" s="103"/>
      <c r="AJ702" s="103"/>
      <c r="AK702" s="185"/>
      <c r="AL702" s="103"/>
      <c r="AM702" s="103"/>
      <c r="AN702" s="103"/>
    </row>
    <row r="703" spans="1:40" x14ac:dyDescent="0.25">
      <c r="A703" s="103"/>
      <c r="C703" s="103"/>
      <c r="D703" s="103"/>
      <c r="E703" s="103"/>
      <c r="F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T703" s="103"/>
      <c r="U703" s="103"/>
      <c r="V703" s="103"/>
      <c r="Y703" s="103"/>
      <c r="Z703" s="103"/>
      <c r="AA703" s="103"/>
      <c r="AB703" s="103"/>
      <c r="AC703" s="103"/>
      <c r="AD703" s="103"/>
      <c r="AE703" s="103"/>
      <c r="AF703" s="103"/>
      <c r="AG703" s="185"/>
      <c r="AH703" s="103"/>
      <c r="AI703" s="103"/>
      <c r="AJ703" s="103"/>
      <c r="AK703" s="185"/>
      <c r="AL703" s="103"/>
      <c r="AM703" s="103"/>
      <c r="AN703" s="103"/>
    </row>
    <row r="704" spans="1:40" x14ac:dyDescent="0.25">
      <c r="C704" s="103"/>
      <c r="D704" s="103"/>
      <c r="E704" s="103"/>
      <c r="F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T704" s="103"/>
      <c r="U704" s="103"/>
      <c r="V704" s="103"/>
      <c r="Y704" s="103"/>
      <c r="Z704" s="103"/>
      <c r="AA704" s="103"/>
      <c r="AB704" s="103"/>
      <c r="AC704" s="103"/>
      <c r="AD704" s="103"/>
      <c r="AE704" s="103"/>
      <c r="AF704" s="103"/>
      <c r="AG704" s="185"/>
      <c r="AH704" s="103"/>
      <c r="AI704" s="103"/>
      <c r="AJ704" s="103"/>
      <c r="AK704" s="185"/>
      <c r="AL704" s="103"/>
      <c r="AM704" s="103"/>
      <c r="AN704" s="103"/>
    </row>
    <row r="705" spans="1:40" x14ac:dyDescent="0.25">
      <c r="A705" s="102"/>
      <c r="B705" s="102"/>
      <c r="C705" s="102"/>
      <c r="D705" s="102"/>
      <c r="E705" s="102"/>
      <c r="F705" s="103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208"/>
      <c r="AH705" s="102"/>
      <c r="AI705" s="102"/>
      <c r="AJ705" s="102"/>
      <c r="AK705" s="208"/>
      <c r="AL705" s="102"/>
      <c r="AM705" s="102"/>
      <c r="AN705" s="102"/>
    </row>
    <row r="706" spans="1:40" x14ac:dyDescent="0.25">
      <c r="F706" s="102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Y706" s="103"/>
      <c r="Z706" s="103"/>
      <c r="AA706" s="103"/>
      <c r="AB706" s="103"/>
      <c r="AC706" s="103"/>
      <c r="AD706" s="103"/>
      <c r="AE706" s="103"/>
      <c r="AF706" s="103"/>
      <c r="AG706" s="185"/>
      <c r="AH706" s="103"/>
      <c r="AI706" s="103"/>
      <c r="AJ706" s="103"/>
      <c r="AK706" s="185"/>
      <c r="AL706" s="103"/>
      <c r="AM706" s="103"/>
      <c r="AN706" s="103"/>
    </row>
    <row r="707" spans="1:40" x14ac:dyDescent="0.25">
      <c r="A707" s="202"/>
      <c r="C707" s="154"/>
      <c r="D707" s="154"/>
      <c r="E707" s="154"/>
      <c r="H707" s="200"/>
      <c r="I707" s="200"/>
      <c r="J707" s="213"/>
      <c r="K707" s="213"/>
      <c r="L707" s="200"/>
      <c r="M707" s="200"/>
      <c r="N707" s="213"/>
      <c r="O707" s="213"/>
      <c r="P707" s="200"/>
      <c r="Q707" s="200"/>
      <c r="R707" s="200"/>
      <c r="T707" s="154"/>
      <c r="U707" s="154"/>
      <c r="V707" s="200"/>
      <c r="Y707" s="200"/>
      <c r="Z707" s="213"/>
      <c r="AA707" s="200"/>
      <c r="AB707" s="200"/>
      <c r="AC707" s="213"/>
      <c r="AD707" s="213"/>
      <c r="AE707" s="200"/>
      <c r="AF707" s="200"/>
      <c r="AG707" s="209"/>
      <c r="AH707" s="201"/>
      <c r="AI707" s="200"/>
      <c r="AJ707" s="200"/>
      <c r="AK707" s="209"/>
      <c r="AL707" s="200"/>
      <c r="AM707" s="210"/>
      <c r="AN707" s="210"/>
    </row>
    <row r="708" spans="1:40" x14ac:dyDescent="0.25">
      <c r="F708" s="200"/>
      <c r="H708" s="211"/>
      <c r="I708" s="211"/>
      <c r="J708" s="305"/>
      <c r="K708" s="305"/>
      <c r="L708" s="211"/>
      <c r="M708" s="211"/>
      <c r="N708" s="211"/>
      <c r="O708" s="211"/>
      <c r="P708" s="211"/>
      <c r="Q708" s="211"/>
      <c r="R708" s="211"/>
      <c r="V708" s="211"/>
      <c r="Y708" s="211"/>
      <c r="Z708" s="305"/>
      <c r="AA708" s="211"/>
      <c r="AB708" s="211"/>
      <c r="AC708" s="211"/>
      <c r="AD708" s="211"/>
      <c r="AE708" s="211"/>
      <c r="AF708" s="211"/>
      <c r="AI708" s="211"/>
      <c r="AJ708" s="211"/>
      <c r="AK708" s="212"/>
      <c r="AL708" s="211"/>
      <c r="AM708" s="210"/>
      <c r="AN708" s="210"/>
    </row>
    <row r="709" spans="1:40" x14ac:dyDescent="0.25">
      <c r="A709" s="202"/>
      <c r="C709" s="154"/>
      <c r="F709" s="211"/>
      <c r="H709" s="200"/>
      <c r="I709" s="200"/>
      <c r="J709" s="213"/>
      <c r="K709" s="213"/>
      <c r="L709" s="200"/>
      <c r="M709" s="200"/>
      <c r="N709" s="213"/>
      <c r="O709" s="213"/>
      <c r="P709" s="200"/>
      <c r="Q709" s="200"/>
      <c r="R709" s="200"/>
      <c r="T709" s="154"/>
      <c r="V709" s="200"/>
      <c r="Y709" s="200"/>
      <c r="Z709" s="213"/>
      <c r="AA709" s="200"/>
      <c r="AB709" s="200"/>
      <c r="AC709" s="213"/>
      <c r="AD709" s="213"/>
      <c r="AE709" s="200"/>
      <c r="AF709" s="200"/>
      <c r="AG709" s="209"/>
      <c r="AH709" s="201"/>
      <c r="AI709" s="200"/>
      <c r="AJ709" s="200"/>
      <c r="AK709" s="209"/>
      <c r="AL709" s="200"/>
      <c r="AM709" s="210"/>
      <c r="AN709" s="210"/>
    </row>
    <row r="710" spans="1:40" x14ac:dyDescent="0.25">
      <c r="F710" s="200"/>
      <c r="H710" s="200"/>
      <c r="I710" s="200"/>
      <c r="J710" s="213"/>
      <c r="K710" s="213"/>
      <c r="L710" s="200"/>
      <c r="M710" s="200"/>
      <c r="N710" s="213"/>
      <c r="O710" s="213"/>
      <c r="P710" s="200"/>
      <c r="Q710" s="200"/>
      <c r="R710" s="200"/>
      <c r="V710" s="200"/>
      <c r="Y710" s="200"/>
      <c r="Z710" s="213"/>
      <c r="AA710" s="200"/>
      <c r="AB710" s="200"/>
      <c r="AC710" s="213"/>
      <c r="AD710" s="213"/>
      <c r="AG710" s="209"/>
      <c r="AH710" s="201"/>
      <c r="AI710" s="200"/>
      <c r="AJ710" s="200"/>
      <c r="AK710" s="209"/>
      <c r="AL710" s="200"/>
      <c r="AM710" s="210"/>
      <c r="AN710" s="210"/>
    </row>
    <row r="711" spans="1:40" x14ac:dyDescent="0.25">
      <c r="A711" s="202"/>
      <c r="C711" s="154"/>
      <c r="D711" s="154"/>
      <c r="E711" s="154"/>
      <c r="F711" s="200"/>
      <c r="H711" s="200"/>
      <c r="I711" s="200"/>
      <c r="J711" s="213"/>
      <c r="K711" s="213"/>
      <c r="L711" s="200"/>
      <c r="M711" s="200"/>
      <c r="N711" s="213"/>
      <c r="O711" s="213"/>
      <c r="P711" s="200"/>
      <c r="Q711" s="200"/>
      <c r="R711" s="200"/>
      <c r="T711" s="154"/>
      <c r="U711" s="154"/>
      <c r="V711" s="200"/>
      <c r="Y711" s="200"/>
      <c r="Z711" s="213"/>
      <c r="AA711" s="200"/>
      <c r="AB711" s="200"/>
      <c r="AC711" s="213"/>
      <c r="AD711" s="213"/>
      <c r="AE711" s="200"/>
      <c r="AF711" s="200"/>
      <c r="AG711" s="209"/>
      <c r="AH711" s="201"/>
      <c r="AI711" s="200"/>
      <c r="AJ711" s="200"/>
      <c r="AK711" s="209"/>
      <c r="AL711" s="200"/>
      <c r="AM711" s="210"/>
      <c r="AN711" s="210"/>
    </row>
    <row r="712" spans="1:40" x14ac:dyDescent="0.25">
      <c r="A712" s="202"/>
      <c r="C712" s="154"/>
      <c r="D712" s="154"/>
      <c r="E712" s="154"/>
      <c r="F712" s="200"/>
      <c r="H712" s="200"/>
      <c r="I712" s="200"/>
      <c r="J712" s="213"/>
      <c r="K712" s="213"/>
      <c r="L712" s="200"/>
      <c r="M712" s="200"/>
      <c r="N712" s="213"/>
      <c r="O712" s="213"/>
      <c r="P712" s="200"/>
      <c r="Q712" s="200"/>
      <c r="R712" s="200"/>
      <c r="T712" s="154"/>
      <c r="U712" s="154"/>
      <c r="V712" s="200"/>
      <c r="Y712" s="200"/>
      <c r="Z712" s="213"/>
      <c r="AA712" s="200"/>
      <c r="AB712" s="200"/>
      <c r="AC712" s="213"/>
      <c r="AD712" s="213"/>
      <c r="AE712" s="200"/>
      <c r="AF712" s="200"/>
      <c r="AG712" s="209"/>
      <c r="AH712" s="201"/>
      <c r="AI712" s="200"/>
      <c r="AJ712" s="200"/>
      <c r="AK712" s="209"/>
      <c r="AL712" s="200"/>
      <c r="AM712" s="210"/>
      <c r="AN712" s="210"/>
    </row>
    <row r="713" spans="1:40" x14ac:dyDescent="0.25">
      <c r="A713" s="202"/>
      <c r="C713" s="154"/>
      <c r="D713" s="154"/>
      <c r="E713" s="154"/>
      <c r="F713" s="200"/>
      <c r="H713" s="200"/>
      <c r="I713" s="200"/>
      <c r="J713" s="213"/>
      <c r="K713" s="213"/>
      <c r="L713" s="200"/>
      <c r="M713" s="200"/>
      <c r="N713" s="213"/>
      <c r="O713" s="213"/>
      <c r="P713" s="200"/>
      <c r="Q713" s="200"/>
      <c r="R713" s="200"/>
      <c r="T713" s="154"/>
      <c r="U713" s="154"/>
      <c r="V713" s="200"/>
      <c r="Y713" s="200"/>
      <c r="Z713" s="213"/>
      <c r="AA713" s="200"/>
      <c r="AB713" s="200"/>
      <c r="AC713" s="213"/>
      <c r="AD713" s="213"/>
      <c r="AE713" s="200"/>
      <c r="AF713" s="200"/>
      <c r="AG713" s="209"/>
      <c r="AH713" s="201"/>
      <c r="AI713" s="200"/>
      <c r="AJ713" s="200"/>
      <c r="AK713" s="209"/>
      <c r="AL713" s="200"/>
      <c r="AM713" s="210"/>
      <c r="AN713" s="210"/>
    </row>
    <row r="714" spans="1:40" x14ac:dyDescent="0.25">
      <c r="A714" s="202"/>
      <c r="C714" s="154"/>
      <c r="D714" s="154"/>
      <c r="E714" s="154"/>
      <c r="F714" s="200"/>
      <c r="H714" s="200"/>
      <c r="I714" s="200"/>
      <c r="J714" s="213"/>
      <c r="K714" s="213"/>
      <c r="L714" s="200"/>
      <c r="M714" s="200"/>
      <c r="N714" s="213"/>
      <c r="O714" s="213"/>
      <c r="P714" s="200"/>
      <c r="Q714" s="200"/>
      <c r="R714" s="200"/>
      <c r="T714" s="154"/>
      <c r="U714" s="154"/>
      <c r="V714" s="200"/>
      <c r="Y714" s="200"/>
      <c r="Z714" s="213"/>
      <c r="AA714" s="200"/>
      <c r="AB714" s="200"/>
      <c r="AC714" s="213"/>
      <c r="AD714" s="213"/>
      <c r="AE714" s="200"/>
      <c r="AF714" s="200"/>
      <c r="AG714" s="209"/>
      <c r="AH714" s="201"/>
      <c r="AI714" s="200"/>
      <c r="AJ714" s="200"/>
      <c r="AK714" s="209"/>
      <c r="AL714" s="200"/>
      <c r="AM714" s="210"/>
      <c r="AN714" s="210"/>
    </row>
    <row r="715" spans="1:40" x14ac:dyDescent="0.25">
      <c r="A715" s="202"/>
      <c r="C715" s="154"/>
      <c r="D715" s="154"/>
      <c r="E715" s="154"/>
      <c r="F715" s="200"/>
      <c r="H715" s="200"/>
      <c r="I715" s="200"/>
      <c r="J715" s="213"/>
      <c r="K715" s="213"/>
      <c r="L715" s="200"/>
      <c r="M715" s="200"/>
      <c r="N715" s="213"/>
      <c r="O715" s="213"/>
      <c r="P715" s="200"/>
      <c r="Q715" s="200"/>
      <c r="R715" s="200"/>
      <c r="T715" s="154"/>
      <c r="U715" s="154"/>
      <c r="V715" s="200"/>
      <c r="Y715" s="200"/>
      <c r="Z715" s="213"/>
      <c r="AA715" s="200"/>
      <c r="AB715" s="200"/>
      <c r="AC715" s="213"/>
      <c r="AD715" s="213"/>
      <c r="AE715" s="200"/>
      <c r="AF715" s="200"/>
      <c r="AG715" s="209"/>
      <c r="AH715" s="201"/>
      <c r="AI715" s="200"/>
      <c r="AJ715" s="200"/>
      <c r="AK715" s="209"/>
      <c r="AL715" s="200"/>
      <c r="AM715" s="210"/>
      <c r="AN715" s="210"/>
    </row>
    <row r="716" spans="1:40" x14ac:dyDescent="0.25">
      <c r="A716" s="202"/>
      <c r="C716" s="154"/>
      <c r="D716" s="154"/>
      <c r="E716" s="154"/>
      <c r="F716" s="200"/>
      <c r="H716" s="200"/>
      <c r="I716" s="200"/>
      <c r="J716" s="213"/>
      <c r="K716" s="213"/>
      <c r="L716" s="200"/>
      <c r="M716" s="200"/>
      <c r="N716" s="213"/>
      <c r="O716" s="213"/>
      <c r="P716" s="200"/>
      <c r="Q716" s="200"/>
      <c r="R716" s="200"/>
      <c r="T716" s="154"/>
      <c r="U716" s="154"/>
      <c r="V716" s="200"/>
      <c r="Y716" s="200"/>
      <c r="Z716" s="213"/>
      <c r="AA716" s="200"/>
      <c r="AB716" s="200"/>
      <c r="AC716" s="213"/>
      <c r="AD716" s="213"/>
      <c r="AE716" s="200"/>
      <c r="AF716" s="200"/>
      <c r="AG716" s="209"/>
      <c r="AH716" s="201"/>
      <c r="AI716" s="200"/>
      <c r="AJ716" s="200"/>
      <c r="AK716" s="209"/>
      <c r="AL716" s="200"/>
      <c r="AM716" s="210"/>
      <c r="AN716" s="210"/>
    </row>
    <row r="717" spans="1:40" x14ac:dyDescent="0.25">
      <c r="F717" s="200"/>
      <c r="H717" s="211"/>
      <c r="I717" s="211"/>
      <c r="J717" s="305"/>
      <c r="K717" s="305"/>
      <c r="L717" s="211"/>
      <c r="M717" s="211"/>
      <c r="N717" s="211"/>
      <c r="O717" s="211"/>
      <c r="P717" s="211"/>
      <c r="Q717" s="211"/>
      <c r="R717" s="211"/>
      <c r="V717" s="211"/>
      <c r="Y717" s="211"/>
      <c r="Z717" s="305"/>
      <c r="AA717" s="211"/>
      <c r="AB717" s="211"/>
      <c r="AC717" s="211"/>
      <c r="AD717" s="211"/>
      <c r="AE717" s="211"/>
      <c r="AF717" s="211"/>
      <c r="AI717" s="211"/>
      <c r="AJ717" s="211"/>
      <c r="AK717" s="212"/>
      <c r="AL717" s="211"/>
      <c r="AM717" s="210"/>
      <c r="AN717" s="210"/>
    </row>
    <row r="718" spans="1:40" x14ac:dyDescent="0.25">
      <c r="A718" s="202"/>
      <c r="C718" s="154"/>
      <c r="F718" s="211"/>
      <c r="H718" s="200"/>
      <c r="I718" s="200"/>
      <c r="J718" s="213"/>
      <c r="K718" s="213"/>
      <c r="L718" s="200"/>
      <c r="M718" s="200"/>
      <c r="N718" s="213"/>
      <c r="O718" s="213"/>
      <c r="P718" s="200"/>
      <c r="Q718" s="200"/>
      <c r="R718" s="200"/>
      <c r="T718" s="154"/>
      <c r="V718" s="200"/>
      <c r="Y718" s="200"/>
      <c r="Z718" s="213"/>
      <c r="AA718" s="200"/>
      <c r="AB718" s="200"/>
      <c r="AC718" s="213"/>
      <c r="AD718" s="213"/>
      <c r="AE718" s="200"/>
      <c r="AF718" s="200"/>
      <c r="AG718" s="209"/>
      <c r="AH718" s="201"/>
      <c r="AI718" s="200"/>
      <c r="AJ718" s="200"/>
      <c r="AK718" s="209"/>
      <c r="AL718" s="200"/>
      <c r="AM718" s="210"/>
      <c r="AN718" s="210"/>
    </row>
    <row r="719" spans="1:40" x14ac:dyDescent="0.25">
      <c r="F719" s="200"/>
      <c r="H719" s="200"/>
      <c r="I719" s="200"/>
      <c r="J719" s="213"/>
      <c r="K719" s="213"/>
      <c r="L719" s="200"/>
      <c r="M719" s="200"/>
      <c r="N719" s="213"/>
      <c r="O719" s="213"/>
      <c r="P719" s="200"/>
      <c r="Q719" s="200"/>
      <c r="R719" s="200"/>
      <c r="V719" s="200"/>
      <c r="Y719" s="200"/>
      <c r="Z719" s="213"/>
      <c r="AA719" s="200"/>
      <c r="AB719" s="200"/>
      <c r="AC719" s="213"/>
      <c r="AD719" s="213"/>
      <c r="AG719" s="209"/>
      <c r="AH719" s="201"/>
      <c r="AI719" s="200"/>
      <c r="AJ719" s="200"/>
      <c r="AK719" s="209"/>
      <c r="AL719" s="200"/>
      <c r="AM719" s="210"/>
      <c r="AN719" s="210"/>
    </row>
    <row r="720" spans="1:40" x14ac:dyDescent="0.25">
      <c r="A720" s="202"/>
      <c r="C720" s="154"/>
      <c r="D720" s="154"/>
      <c r="E720" s="154"/>
      <c r="F720" s="200"/>
      <c r="H720" s="200"/>
      <c r="I720" s="200"/>
      <c r="J720" s="213"/>
      <c r="K720" s="213"/>
      <c r="L720" s="200"/>
      <c r="M720" s="200"/>
      <c r="N720" s="213"/>
      <c r="O720" s="213"/>
      <c r="P720" s="200"/>
      <c r="Q720" s="200"/>
      <c r="R720" s="200"/>
      <c r="T720" s="154"/>
      <c r="U720" s="154"/>
      <c r="V720" s="200"/>
      <c r="Y720" s="200"/>
      <c r="Z720" s="213"/>
      <c r="AA720" s="200"/>
      <c r="AB720" s="200"/>
      <c r="AC720" s="213"/>
      <c r="AD720" s="213"/>
      <c r="AE720" s="200"/>
      <c r="AF720" s="200"/>
      <c r="AG720" s="209"/>
      <c r="AH720" s="201"/>
      <c r="AI720" s="200"/>
      <c r="AJ720" s="200"/>
      <c r="AK720" s="209"/>
      <c r="AL720" s="200"/>
      <c r="AM720" s="210"/>
      <c r="AN720" s="210"/>
    </row>
    <row r="721" spans="1:40" x14ac:dyDescent="0.25">
      <c r="F721" s="200"/>
      <c r="H721" s="211"/>
      <c r="I721" s="211"/>
      <c r="J721" s="305"/>
      <c r="K721" s="305"/>
      <c r="L721" s="211"/>
      <c r="M721" s="211"/>
      <c r="N721" s="211"/>
      <c r="O721" s="211"/>
      <c r="P721" s="211"/>
      <c r="Q721" s="211"/>
      <c r="R721" s="211"/>
      <c r="V721" s="211"/>
      <c r="Y721" s="211"/>
      <c r="Z721" s="305"/>
      <c r="AA721" s="211"/>
      <c r="AB721" s="211"/>
      <c r="AC721" s="211"/>
      <c r="AD721" s="211"/>
      <c r="AE721" s="211"/>
      <c r="AF721" s="211"/>
      <c r="AI721" s="211"/>
      <c r="AJ721" s="211"/>
      <c r="AK721" s="212"/>
      <c r="AL721" s="211"/>
      <c r="AM721" s="210"/>
      <c r="AN721" s="210"/>
    </row>
    <row r="722" spans="1:40" x14ac:dyDescent="0.25">
      <c r="A722" s="202"/>
      <c r="C722" s="154"/>
      <c r="F722" s="211"/>
      <c r="H722" s="200"/>
      <c r="I722" s="200"/>
      <c r="J722" s="213"/>
      <c r="K722" s="213"/>
      <c r="L722" s="200"/>
      <c r="M722" s="200"/>
      <c r="N722" s="213"/>
      <c r="O722" s="213"/>
      <c r="P722" s="200"/>
      <c r="Q722" s="200"/>
      <c r="R722" s="200"/>
      <c r="T722" s="154"/>
      <c r="V722" s="200"/>
      <c r="Y722" s="200"/>
      <c r="Z722" s="213"/>
      <c r="AA722" s="200"/>
      <c r="AB722" s="200"/>
      <c r="AC722" s="213"/>
      <c r="AD722" s="213"/>
      <c r="AE722" s="200"/>
      <c r="AF722" s="200"/>
      <c r="AG722" s="209"/>
      <c r="AH722" s="201"/>
      <c r="AI722" s="200"/>
      <c r="AJ722" s="200"/>
      <c r="AK722" s="209"/>
      <c r="AL722" s="200"/>
      <c r="AM722" s="210"/>
      <c r="AN722" s="210"/>
    </row>
    <row r="723" spans="1:40" x14ac:dyDescent="0.25">
      <c r="F723" s="200"/>
      <c r="H723" s="200"/>
      <c r="I723" s="200"/>
      <c r="J723" s="213"/>
      <c r="K723" s="213"/>
      <c r="L723" s="200"/>
      <c r="M723" s="200"/>
      <c r="N723" s="213"/>
      <c r="O723" s="213"/>
      <c r="P723" s="200"/>
      <c r="Q723" s="200"/>
      <c r="R723" s="200"/>
      <c r="V723" s="200"/>
      <c r="Y723" s="200"/>
      <c r="Z723" s="213"/>
      <c r="AA723" s="200"/>
      <c r="AB723" s="200"/>
      <c r="AC723" s="213"/>
      <c r="AD723" s="213"/>
      <c r="AG723" s="209"/>
      <c r="AH723" s="201"/>
      <c r="AI723" s="200"/>
      <c r="AJ723" s="200"/>
      <c r="AK723" s="209"/>
      <c r="AL723" s="200"/>
      <c r="AM723" s="210"/>
      <c r="AN723" s="210"/>
    </row>
    <row r="724" spans="1:40" x14ac:dyDescent="0.25">
      <c r="A724" s="202"/>
      <c r="C724" s="154"/>
      <c r="D724" s="154"/>
      <c r="E724" s="154"/>
      <c r="F724" s="200"/>
      <c r="H724" s="200"/>
      <c r="I724" s="200"/>
      <c r="J724" s="213"/>
      <c r="K724" s="213"/>
      <c r="L724" s="200"/>
      <c r="M724" s="200"/>
      <c r="N724" s="213"/>
      <c r="O724" s="213"/>
      <c r="P724" s="200"/>
      <c r="Q724" s="200"/>
      <c r="R724" s="200"/>
      <c r="T724" s="154"/>
      <c r="U724" s="154"/>
      <c r="V724" s="200"/>
      <c r="Y724" s="200"/>
      <c r="Z724" s="213"/>
      <c r="AA724" s="200"/>
      <c r="AB724" s="200"/>
      <c r="AC724" s="213"/>
      <c r="AD724" s="213"/>
      <c r="AE724" s="200"/>
      <c r="AF724" s="200"/>
      <c r="AG724" s="209"/>
      <c r="AH724" s="201"/>
      <c r="AI724" s="200"/>
      <c r="AJ724" s="200"/>
      <c r="AK724" s="209"/>
      <c r="AL724" s="200"/>
      <c r="AM724" s="210"/>
      <c r="AN724" s="210"/>
    </row>
    <row r="725" spans="1:40" x14ac:dyDescent="0.25">
      <c r="A725" s="202"/>
      <c r="C725" s="154"/>
      <c r="D725" s="154"/>
      <c r="E725" s="154"/>
      <c r="F725" s="200"/>
      <c r="G725" s="200"/>
      <c r="H725" s="200"/>
      <c r="I725" s="200"/>
      <c r="J725" s="213"/>
      <c r="K725" s="213"/>
      <c r="L725" s="200"/>
      <c r="M725" s="200"/>
      <c r="N725" s="213"/>
      <c r="O725" s="213"/>
      <c r="P725" s="200"/>
      <c r="Q725" s="200"/>
      <c r="R725" s="200"/>
      <c r="T725" s="154"/>
      <c r="U725" s="154"/>
      <c r="V725" s="200"/>
      <c r="W725" s="200"/>
      <c r="X725" s="200"/>
      <c r="Y725" s="200"/>
      <c r="Z725" s="213"/>
      <c r="AA725" s="200"/>
      <c r="AB725" s="200"/>
      <c r="AC725" s="213"/>
      <c r="AD725" s="213"/>
      <c r="AE725" s="200"/>
      <c r="AF725" s="200"/>
      <c r="AG725" s="209"/>
      <c r="AH725" s="201"/>
      <c r="AI725" s="200"/>
      <c r="AJ725" s="200"/>
      <c r="AK725" s="209"/>
      <c r="AL725" s="200"/>
      <c r="AM725" s="210"/>
      <c r="AN725" s="210"/>
    </row>
    <row r="726" spans="1:40" x14ac:dyDescent="0.25">
      <c r="A726" s="202"/>
      <c r="C726" s="154"/>
      <c r="D726" s="154"/>
      <c r="E726" s="154"/>
      <c r="F726" s="200"/>
      <c r="G726" s="200"/>
      <c r="H726" s="200"/>
      <c r="I726" s="200"/>
      <c r="J726" s="213"/>
      <c r="K726" s="213"/>
      <c r="L726" s="200"/>
      <c r="M726" s="200"/>
      <c r="N726" s="213"/>
      <c r="O726" s="213"/>
      <c r="P726" s="200"/>
      <c r="Q726" s="200"/>
      <c r="R726" s="200"/>
      <c r="T726" s="154"/>
      <c r="U726" s="154"/>
      <c r="V726" s="200"/>
      <c r="W726" s="200"/>
      <c r="X726" s="200"/>
      <c r="Y726" s="200"/>
      <c r="Z726" s="213"/>
      <c r="AA726" s="200"/>
      <c r="AB726" s="200"/>
      <c r="AC726" s="213"/>
      <c r="AD726" s="213"/>
      <c r="AE726" s="200"/>
      <c r="AF726" s="200"/>
      <c r="AG726" s="209"/>
      <c r="AH726" s="201"/>
      <c r="AI726" s="200"/>
      <c r="AJ726" s="200"/>
      <c r="AK726" s="209"/>
      <c r="AL726" s="200"/>
      <c r="AM726" s="210"/>
      <c r="AN726" s="210"/>
    </row>
    <row r="727" spans="1:40" x14ac:dyDescent="0.25">
      <c r="A727" s="202"/>
      <c r="C727" s="154"/>
      <c r="D727" s="154"/>
      <c r="E727" s="154"/>
      <c r="F727" s="200"/>
      <c r="H727" s="200"/>
      <c r="I727" s="200"/>
      <c r="J727" s="213"/>
      <c r="K727" s="213"/>
      <c r="L727" s="200"/>
      <c r="M727" s="200"/>
      <c r="N727" s="213"/>
      <c r="O727" s="213"/>
      <c r="P727" s="200"/>
      <c r="Q727" s="200"/>
      <c r="R727" s="200"/>
      <c r="T727" s="154"/>
      <c r="U727" s="154"/>
      <c r="V727" s="200"/>
      <c r="Y727" s="200"/>
      <c r="Z727" s="213"/>
      <c r="AA727" s="200"/>
      <c r="AB727" s="200"/>
      <c r="AC727" s="213"/>
      <c r="AD727" s="213"/>
      <c r="AE727" s="200"/>
      <c r="AF727" s="200"/>
      <c r="AG727" s="209"/>
      <c r="AH727" s="201"/>
      <c r="AI727" s="200"/>
      <c r="AJ727" s="200"/>
      <c r="AK727" s="209"/>
      <c r="AL727" s="200"/>
      <c r="AM727" s="210"/>
      <c r="AN727" s="210"/>
    </row>
    <row r="728" spans="1:40" x14ac:dyDescent="0.25">
      <c r="A728" s="202"/>
      <c r="C728" s="154"/>
      <c r="D728" s="154"/>
      <c r="E728" s="154"/>
      <c r="F728" s="200"/>
      <c r="H728" s="200"/>
      <c r="I728" s="200"/>
      <c r="J728" s="213"/>
      <c r="K728" s="213"/>
      <c r="L728" s="200"/>
      <c r="M728" s="200"/>
      <c r="N728" s="213"/>
      <c r="O728" s="213"/>
      <c r="P728" s="200"/>
      <c r="Q728" s="200"/>
      <c r="R728" s="200"/>
      <c r="T728" s="154"/>
      <c r="U728" s="154"/>
      <c r="V728" s="200"/>
      <c r="Y728" s="200"/>
      <c r="Z728" s="213"/>
      <c r="AA728" s="200"/>
      <c r="AB728" s="200"/>
      <c r="AC728" s="213"/>
      <c r="AD728" s="213"/>
      <c r="AE728" s="200"/>
      <c r="AF728" s="200"/>
      <c r="AG728" s="209"/>
      <c r="AH728" s="201"/>
      <c r="AI728" s="200"/>
      <c r="AJ728" s="200"/>
      <c r="AK728" s="209"/>
      <c r="AL728" s="200"/>
      <c r="AM728" s="210"/>
      <c r="AN728" s="210"/>
    </row>
    <row r="729" spans="1:40" x14ac:dyDescent="0.25">
      <c r="A729" s="202"/>
      <c r="C729" s="154"/>
      <c r="D729" s="154"/>
      <c r="E729" s="154"/>
      <c r="F729" s="200"/>
      <c r="H729" s="200"/>
      <c r="I729" s="200"/>
      <c r="J729" s="213"/>
      <c r="K729" s="213"/>
      <c r="L729" s="200"/>
      <c r="M729" s="200"/>
      <c r="N729" s="213"/>
      <c r="O729" s="213"/>
      <c r="P729" s="200"/>
      <c r="Q729" s="200"/>
      <c r="R729" s="200"/>
      <c r="T729" s="154"/>
      <c r="U729" s="154"/>
      <c r="V729" s="200"/>
      <c r="Y729" s="200"/>
      <c r="Z729" s="213"/>
      <c r="AA729" s="200"/>
      <c r="AB729" s="200"/>
      <c r="AC729" s="213"/>
      <c r="AD729" s="213"/>
      <c r="AE729" s="200"/>
      <c r="AF729" s="200"/>
      <c r="AG729" s="209"/>
      <c r="AH729" s="201"/>
      <c r="AI729" s="200"/>
      <c r="AJ729" s="200"/>
      <c r="AK729" s="209"/>
      <c r="AL729" s="200"/>
      <c r="AM729" s="210"/>
      <c r="AN729" s="210"/>
    </row>
    <row r="730" spans="1:40" x14ac:dyDescent="0.25">
      <c r="A730" s="202"/>
      <c r="C730" s="154"/>
      <c r="D730" s="154"/>
      <c r="E730" s="154"/>
      <c r="F730" s="200"/>
      <c r="H730" s="200"/>
      <c r="I730" s="200"/>
      <c r="J730" s="213"/>
      <c r="K730" s="213"/>
      <c r="L730" s="200"/>
      <c r="M730" s="200"/>
      <c r="N730" s="213"/>
      <c r="O730" s="213"/>
      <c r="P730" s="200"/>
      <c r="Q730" s="200"/>
      <c r="R730" s="200"/>
      <c r="T730" s="154"/>
      <c r="U730" s="154"/>
      <c r="V730" s="200"/>
      <c r="Y730" s="200"/>
      <c r="Z730" s="213"/>
      <c r="AA730" s="200"/>
      <c r="AB730" s="200"/>
      <c r="AC730" s="213"/>
      <c r="AD730" s="213"/>
      <c r="AE730" s="200"/>
      <c r="AF730" s="200"/>
      <c r="AG730" s="209"/>
      <c r="AH730" s="201"/>
      <c r="AI730" s="200"/>
      <c r="AJ730" s="200"/>
      <c r="AK730" s="209"/>
      <c r="AL730" s="200"/>
      <c r="AM730" s="210"/>
      <c r="AN730" s="210"/>
    </row>
    <row r="731" spans="1:40" x14ac:dyDescent="0.25">
      <c r="F731" s="200"/>
      <c r="H731" s="211"/>
      <c r="I731" s="211"/>
      <c r="J731" s="305"/>
      <c r="K731" s="305"/>
      <c r="L731" s="211"/>
      <c r="M731" s="211"/>
      <c r="N731" s="211"/>
      <c r="O731" s="211"/>
      <c r="P731" s="211"/>
      <c r="Q731" s="211"/>
      <c r="R731" s="211"/>
      <c r="V731" s="211"/>
      <c r="Y731" s="211"/>
      <c r="Z731" s="305"/>
      <c r="AA731" s="211"/>
      <c r="AB731" s="211"/>
      <c r="AC731" s="211"/>
      <c r="AD731" s="211"/>
      <c r="AE731" s="211"/>
      <c r="AF731" s="211"/>
      <c r="AI731" s="211"/>
      <c r="AJ731" s="211"/>
      <c r="AK731" s="212"/>
      <c r="AL731" s="211"/>
      <c r="AM731" s="210"/>
      <c r="AN731" s="210"/>
    </row>
    <row r="732" spans="1:40" x14ac:dyDescent="0.25">
      <c r="A732" s="202"/>
      <c r="C732" s="154"/>
      <c r="F732" s="211"/>
      <c r="H732" s="200"/>
      <c r="I732" s="200"/>
      <c r="J732" s="213"/>
      <c r="K732" s="213"/>
      <c r="L732" s="200"/>
      <c r="M732" s="200"/>
      <c r="N732" s="213"/>
      <c r="O732" s="213"/>
      <c r="P732" s="200"/>
      <c r="Q732" s="200"/>
      <c r="R732" s="200"/>
      <c r="T732" s="154"/>
      <c r="V732" s="200"/>
      <c r="Y732" s="200"/>
      <c r="Z732" s="213"/>
      <c r="AA732" s="200"/>
      <c r="AB732" s="200"/>
      <c r="AC732" s="213"/>
      <c r="AD732" s="213"/>
      <c r="AE732" s="200"/>
      <c r="AF732" s="200"/>
      <c r="AG732" s="209"/>
      <c r="AH732" s="201"/>
      <c r="AI732" s="200"/>
      <c r="AJ732" s="200"/>
      <c r="AK732" s="209"/>
      <c r="AL732" s="200"/>
      <c r="AM732" s="210"/>
      <c r="AN732" s="210"/>
    </row>
    <row r="733" spans="1:40" x14ac:dyDescent="0.25">
      <c r="F733" s="200"/>
      <c r="V733" s="200"/>
      <c r="Y733" s="200"/>
      <c r="Z733" s="305"/>
      <c r="AA733" s="200"/>
      <c r="AB733" s="200"/>
      <c r="AC733" s="200"/>
      <c r="AD733" s="200"/>
      <c r="AE733" s="200"/>
      <c r="AF733" s="200"/>
      <c r="AI733" s="200"/>
      <c r="AJ733" s="200"/>
      <c r="AK733" s="209"/>
      <c r="AL733" s="200"/>
      <c r="AM733" s="210"/>
      <c r="AN733" s="210"/>
    </row>
    <row r="734" spans="1:40" x14ac:dyDescent="0.25">
      <c r="A734" s="202"/>
      <c r="C734" s="154"/>
      <c r="D734" s="154"/>
      <c r="E734" s="154"/>
      <c r="L734" s="200"/>
      <c r="M734" s="200"/>
      <c r="N734" s="213"/>
      <c r="O734" s="213"/>
      <c r="P734" s="202"/>
      <c r="Q734" s="202"/>
      <c r="R734" s="200"/>
      <c r="T734" s="154"/>
      <c r="U734" s="154"/>
      <c r="AA734" s="200"/>
      <c r="AB734" s="200"/>
      <c r="AC734" s="213"/>
      <c r="AD734" s="213"/>
      <c r="AE734" s="200"/>
      <c r="AF734" s="200"/>
      <c r="AG734" s="209"/>
      <c r="AH734" s="201"/>
      <c r="AI734" s="202"/>
      <c r="AJ734" s="202"/>
      <c r="AK734" s="209"/>
      <c r="AL734" s="200"/>
      <c r="AM734" s="210"/>
      <c r="AN734" s="210"/>
    </row>
    <row r="735" spans="1:40" x14ac:dyDescent="0.25">
      <c r="A735" s="202"/>
      <c r="D735" s="154"/>
      <c r="E735" s="154"/>
      <c r="H735" s="252"/>
      <c r="I735" s="252"/>
      <c r="J735" s="213"/>
      <c r="K735" s="213"/>
      <c r="L735" s="200"/>
      <c r="M735" s="200"/>
      <c r="N735" s="213"/>
      <c r="O735" s="213"/>
      <c r="P735" s="252"/>
      <c r="Q735" s="252"/>
      <c r="R735" s="200"/>
      <c r="U735" s="154"/>
      <c r="V735" s="200"/>
      <c r="Y735" s="200"/>
      <c r="Z735" s="213"/>
      <c r="AA735" s="200"/>
      <c r="AB735" s="200"/>
      <c r="AC735" s="213"/>
      <c r="AD735" s="213"/>
      <c r="AE735" s="200"/>
      <c r="AF735" s="200"/>
      <c r="AG735" s="209"/>
      <c r="AH735" s="201"/>
      <c r="AI735" s="200"/>
      <c r="AJ735" s="200"/>
      <c r="AK735" s="209"/>
      <c r="AL735" s="200"/>
      <c r="AM735" s="210"/>
      <c r="AN735" s="210"/>
    </row>
    <row r="736" spans="1:40" x14ac:dyDescent="0.25">
      <c r="F736" s="252"/>
      <c r="H736" s="211"/>
      <c r="I736" s="211"/>
      <c r="J736" s="305"/>
      <c r="K736" s="305"/>
      <c r="L736" s="211"/>
      <c r="M736" s="211"/>
      <c r="N736" s="211"/>
      <c r="O736" s="211"/>
      <c r="P736" s="211"/>
      <c r="Q736" s="211"/>
      <c r="R736" s="211"/>
      <c r="V736" s="211"/>
      <c r="Y736" s="211"/>
      <c r="Z736" s="305"/>
      <c r="AA736" s="211"/>
      <c r="AB736" s="211"/>
      <c r="AC736" s="211"/>
      <c r="AD736" s="211"/>
      <c r="AE736" s="211"/>
      <c r="AF736" s="211"/>
      <c r="AI736" s="211"/>
      <c r="AJ736" s="211"/>
      <c r="AK736" s="212"/>
      <c r="AL736" s="211"/>
      <c r="AM736" s="210"/>
      <c r="AN736" s="210"/>
    </row>
    <row r="737" spans="1:40" x14ac:dyDescent="0.25">
      <c r="A737" s="202"/>
      <c r="C737" s="154"/>
      <c r="F737" s="211"/>
      <c r="H737" s="200"/>
      <c r="I737" s="200"/>
      <c r="J737" s="213"/>
      <c r="K737" s="213"/>
      <c r="L737" s="200"/>
      <c r="M737" s="200"/>
      <c r="N737" s="213"/>
      <c r="O737" s="213"/>
      <c r="P737" s="200"/>
      <c r="Q737" s="200"/>
      <c r="R737" s="200"/>
      <c r="T737" s="154"/>
      <c r="V737" s="200"/>
      <c r="Y737" s="200"/>
      <c r="Z737" s="213"/>
      <c r="AA737" s="200"/>
      <c r="AB737" s="200"/>
      <c r="AC737" s="213"/>
      <c r="AD737" s="213"/>
      <c r="AE737" s="200"/>
      <c r="AF737" s="200"/>
      <c r="AG737" s="209"/>
      <c r="AH737" s="201"/>
      <c r="AI737" s="200"/>
      <c r="AJ737" s="200"/>
      <c r="AK737" s="209"/>
      <c r="AL737" s="200"/>
      <c r="AM737" s="210"/>
      <c r="AN737" s="210"/>
    </row>
    <row r="738" spans="1:40" x14ac:dyDescent="0.25">
      <c r="F738" s="200"/>
      <c r="H738" s="200"/>
      <c r="I738" s="200"/>
      <c r="J738" s="213"/>
      <c r="K738" s="213"/>
      <c r="L738" s="200"/>
      <c r="M738" s="200"/>
      <c r="N738" s="213"/>
      <c r="O738" s="213"/>
      <c r="P738" s="200"/>
      <c r="Q738" s="200"/>
      <c r="R738" s="200"/>
      <c r="V738" s="200"/>
      <c r="Y738" s="200"/>
      <c r="Z738" s="213"/>
      <c r="AA738" s="200"/>
      <c r="AB738" s="200"/>
      <c r="AC738" s="213"/>
      <c r="AD738" s="213"/>
      <c r="AG738" s="209"/>
      <c r="AH738" s="201"/>
      <c r="AI738" s="200"/>
      <c r="AJ738" s="200"/>
      <c r="AK738" s="209"/>
      <c r="AL738" s="200"/>
      <c r="AM738" s="210"/>
      <c r="AN738" s="210"/>
    </row>
    <row r="739" spans="1:40" x14ac:dyDescent="0.25">
      <c r="A739" s="202"/>
      <c r="D739" s="154"/>
      <c r="E739" s="154"/>
      <c r="F739" s="200"/>
      <c r="H739" s="200"/>
      <c r="I739" s="200"/>
      <c r="J739" s="213"/>
      <c r="K739" s="213"/>
      <c r="L739" s="252"/>
      <c r="M739" s="252"/>
      <c r="N739" s="213"/>
      <c r="O739" s="213"/>
      <c r="P739" s="200"/>
      <c r="Q739" s="200"/>
      <c r="R739" s="200"/>
      <c r="U739" s="154"/>
      <c r="V739" s="200"/>
      <c r="Y739" s="200"/>
      <c r="Z739" s="213"/>
      <c r="AA739" s="252"/>
      <c r="AB739" s="252"/>
      <c r="AC739" s="213"/>
      <c r="AD739" s="213"/>
      <c r="AE739" s="200"/>
      <c r="AF739" s="200"/>
      <c r="AG739" s="209"/>
      <c r="AH739" s="201"/>
      <c r="AI739" s="200"/>
      <c r="AJ739" s="200"/>
      <c r="AK739" s="209"/>
      <c r="AL739" s="200"/>
      <c r="AM739" s="210"/>
      <c r="AN739" s="210"/>
    </row>
    <row r="740" spans="1:40" x14ac:dyDescent="0.25">
      <c r="A740" s="202"/>
      <c r="D740" s="154"/>
      <c r="E740" s="154"/>
      <c r="F740" s="200"/>
      <c r="H740" s="200"/>
      <c r="I740" s="200"/>
      <c r="J740" s="213"/>
      <c r="K740" s="213"/>
      <c r="L740" s="252"/>
      <c r="M740" s="252"/>
      <c r="N740" s="213"/>
      <c r="O740" s="213"/>
      <c r="P740" s="200"/>
      <c r="Q740" s="200"/>
      <c r="R740" s="200"/>
      <c r="U740" s="154"/>
      <c r="V740" s="200"/>
      <c r="Y740" s="200"/>
      <c r="Z740" s="213"/>
      <c r="AA740" s="252"/>
      <c r="AB740" s="252"/>
      <c r="AC740" s="213"/>
      <c r="AD740" s="213"/>
      <c r="AE740" s="200"/>
      <c r="AF740" s="200"/>
      <c r="AG740" s="209"/>
      <c r="AH740" s="201"/>
      <c r="AI740" s="200"/>
      <c r="AJ740" s="200"/>
      <c r="AK740" s="209"/>
      <c r="AL740" s="200"/>
      <c r="AM740" s="210"/>
      <c r="AN740" s="210"/>
    </row>
    <row r="741" spans="1:40" x14ac:dyDescent="0.25">
      <c r="A741" s="202"/>
      <c r="D741" s="154"/>
      <c r="E741" s="154"/>
      <c r="F741" s="200"/>
      <c r="H741" s="200"/>
      <c r="I741" s="200"/>
      <c r="J741" s="213"/>
      <c r="K741" s="213"/>
      <c r="L741" s="252"/>
      <c r="M741" s="252"/>
      <c r="N741" s="213"/>
      <c r="O741" s="213"/>
      <c r="P741" s="200"/>
      <c r="Q741" s="200"/>
      <c r="R741" s="200"/>
      <c r="U741" s="154"/>
      <c r="V741" s="200"/>
      <c r="Y741" s="200"/>
      <c r="Z741" s="213"/>
      <c r="AA741" s="252"/>
      <c r="AB741" s="252"/>
      <c r="AC741" s="213"/>
      <c r="AD741" s="213"/>
      <c r="AE741" s="200"/>
      <c r="AF741" s="200"/>
      <c r="AG741" s="209"/>
      <c r="AH741" s="201"/>
      <c r="AI741" s="200"/>
      <c r="AJ741" s="200"/>
      <c r="AK741" s="209"/>
      <c r="AL741" s="200"/>
      <c r="AM741" s="210"/>
      <c r="AN741" s="210"/>
    </row>
    <row r="742" spans="1:40" x14ac:dyDescent="0.25">
      <c r="F742" s="200"/>
      <c r="H742" s="211"/>
      <c r="I742" s="211"/>
      <c r="J742" s="305"/>
      <c r="K742" s="305"/>
      <c r="L742" s="211"/>
      <c r="M742" s="211"/>
      <c r="N742" s="211"/>
      <c r="O742" s="211"/>
      <c r="P742" s="211"/>
      <c r="Q742" s="211"/>
      <c r="R742" s="211"/>
      <c r="V742" s="211"/>
      <c r="Y742" s="211"/>
      <c r="Z742" s="305"/>
      <c r="AA742" s="211"/>
      <c r="AB742" s="211"/>
      <c r="AC742" s="211"/>
      <c r="AD742" s="211"/>
      <c r="AE742" s="211"/>
      <c r="AF742" s="211"/>
      <c r="AI742" s="211"/>
      <c r="AJ742" s="211"/>
      <c r="AK742" s="212"/>
      <c r="AL742" s="211"/>
      <c r="AM742" s="210"/>
      <c r="AN742" s="210"/>
    </row>
    <row r="743" spans="1:40" x14ac:dyDescent="0.25">
      <c r="A743" s="202"/>
      <c r="C743" s="154"/>
      <c r="F743" s="211"/>
      <c r="H743" s="200"/>
      <c r="I743" s="200"/>
      <c r="J743" s="213"/>
      <c r="K743" s="213"/>
      <c r="L743" s="200"/>
      <c r="M743" s="200"/>
      <c r="N743" s="213"/>
      <c r="O743" s="213"/>
      <c r="P743" s="200"/>
      <c r="Q743" s="200"/>
      <c r="R743" s="200"/>
      <c r="T743" s="154"/>
      <c r="V743" s="200"/>
      <c r="Y743" s="200"/>
      <c r="Z743" s="213"/>
      <c r="AA743" s="200"/>
      <c r="AB743" s="200"/>
      <c r="AC743" s="213"/>
      <c r="AD743" s="213"/>
      <c r="AE743" s="200"/>
      <c r="AF743" s="200"/>
      <c r="AG743" s="209"/>
      <c r="AH743" s="201"/>
      <c r="AI743" s="200"/>
      <c r="AJ743" s="200"/>
      <c r="AK743" s="209"/>
      <c r="AL743" s="200"/>
      <c r="AM743" s="210"/>
      <c r="AN743" s="210"/>
    </row>
    <row r="744" spans="1:40" x14ac:dyDescent="0.25">
      <c r="F744" s="200"/>
      <c r="H744" s="200"/>
      <c r="I744" s="200"/>
      <c r="J744" s="213"/>
      <c r="K744" s="213"/>
      <c r="L744" s="200"/>
      <c r="M744" s="200"/>
      <c r="N744" s="213"/>
      <c r="O744" s="213"/>
      <c r="P744" s="200"/>
      <c r="Q744" s="200"/>
      <c r="R744" s="200"/>
      <c r="V744" s="200"/>
      <c r="Y744" s="200"/>
      <c r="Z744" s="213"/>
      <c r="AA744" s="200"/>
      <c r="AB744" s="200"/>
      <c r="AC744" s="213"/>
      <c r="AD744" s="213"/>
      <c r="AG744" s="209"/>
      <c r="AH744" s="201"/>
      <c r="AI744" s="200"/>
      <c r="AJ744" s="200"/>
      <c r="AK744" s="209"/>
      <c r="AL744" s="200"/>
      <c r="AM744" s="210"/>
      <c r="AN744" s="210"/>
    </row>
    <row r="745" spans="1:40" x14ac:dyDescent="0.25">
      <c r="A745" s="202"/>
      <c r="C745" s="154"/>
      <c r="F745" s="200"/>
      <c r="H745" s="200"/>
      <c r="I745" s="200"/>
      <c r="J745" s="213"/>
      <c r="K745" s="213"/>
      <c r="L745" s="200"/>
      <c r="M745" s="200"/>
      <c r="N745" s="213"/>
      <c r="O745" s="213"/>
      <c r="P745" s="200"/>
      <c r="Q745" s="200"/>
      <c r="R745" s="200"/>
      <c r="T745" s="154"/>
      <c r="V745" s="200"/>
      <c r="Y745" s="200"/>
      <c r="Z745" s="213"/>
      <c r="AA745" s="200"/>
      <c r="AB745" s="200"/>
      <c r="AC745" s="213"/>
      <c r="AD745" s="213"/>
      <c r="AE745" s="200"/>
      <c r="AF745" s="200"/>
      <c r="AG745" s="209"/>
      <c r="AH745" s="201"/>
      <c r="AI745" s="200"/>
      <c r="AJ745" s="200"/>
      <c r="AK745" s="209"/>
      <c r="AL745" s="200"/>
      <c r="AM745" s="210"/>
      <c r="AN745" s="210"/>
    </row>
    <row r="746" spans="1:40" x14ac:dyDescent="0.25">
      <c r="F746" s="200"/>
      <c r="H746" s="211"/>
      <c r="I746" s="211"/>
      <c r="J746" s="305"/>
      <c r="K746" s="305"/>
      <c r="L746" s="211"/>
      <c r="M746" s="211"/>
      <c r="N746" s="211"/>
      <c r="O746" s="211"/>
      <c r="P746" s="211"/>
      <c r="Q746" s="211"/>
      <c r="R746" s="211"/>
      <c r="V746" s="211"/>
      <c r="Y746" s="211"/>
      <c r="Z746" s="305"/>
      <c r="AA746" s="211"/>
      <c r="AB746" s="211"/>
      <c r="AC746" s="211"/>
      <c r="AD746" s="211"/>
      <c r="AE746" s="211"/>
      <c r="AF746" s="211"/>
      <c r="AI746" s="211"/>
      <c r="AJ746" s="211"/>
      <c r="AK746" s="212"/>
      <c r="AL746" s="211"/>
    </row>
    <row r="748" spans="1:40" x14ac:dyDescent="0.25">
      <c r="C748" s="154"/>
      <c r="F748" s="211"/>
      <c r="L748" s="200"/>
      <c r="M748" s="200"/>
      <c r="P748" s="200"/>
      <c r="Q748" s="200"/>
      <c r="R748" s="200"/>
      <c r="T748" s="154"/>
    </row>
    <row r="749" spans="1:40" x14ac:dyDescent="0.25">
      <c r="A749" s="154"/>
      <c r="L749" s="200"/>
      <c r="M749" s="200"/>
      <c r="P749" s="200"/>
      <c r="Q749" s="200"/>
      <c r="R749" s="200"/>
    </row>
    <row r="750" spans="1:40" x14ac:dyDescent="0.25">
      <c r="L750" s="200"/>
      <c r="M750" s="200"/>
      <c r="P750" s="200"/>
      <c r="Q750" s="200"/>
      <c r="R750" s="200"/>
    </row>
    <row r="751" spans="1:40" x14ac:dyDescent="0.25">
      <c r="L751" s="200"/>
      <c r="M751" s="200"/>
      <c r="P751" s="200"/>
      <c r="Q751" s="200"/>
      <c r="R751" s="200"/>
    </row>
    <row r="752" spans="1:40" x14ac:dyDescent="0.25">
      <c r="L752" s="200"/>
      <c r="M752" s="200"/>
      <c r="P752" s="200"/>
      <c r="Q752" s="200"/>
      <c r="R752" s="200"/>
    </row>
    <row r="753" spans="12:18" x14ac:dyDescent="0.25">
      <c r="L753" s="200"/>
      <c r="M753" s="200"/>
      <c r="P753" s="200"/>
      <c r="Q753" s="200"/>
      <c r="R753" s="200"/>
    </row>
    <row r="754" spans="12:18" x14ac:dyDescent="0.25">
      <c r="L754" s="200"/>
      <c r="M754" s="200"/>
      <c r="P754" s="200"/>
      <c r="Q754" s="200"/>
      <c r="R754" s="200"/>
    </row>
    <row r="787" spans="49:49" x14ac:dyDescent="0.25">
      <c r="AW787" s="200"/>
    </row>
    <row r="788" spans="49:49" x14ac:dyDescent="0.25">
      <c r="AW788" s="200"/>
    </row>
    <row r="789" spans="49:49" x14ac:dyDescent="0.25">
      <c r="AW789" s="200"/>
    </row>
    <row r="790" spans="49:49" x14ac:dyDescent="0.25">
      <c r="AW790" s="200"/>
    </row>
    <row r="791" spans="49:49" x14ac:dyDescent="0.25">
      <c r="AW791" s="200"/>
    </row>
    <row r="792" spans="49:49" x14ac:dyDescent="0.25">
      <c r="AW792" s="200"/>
    </row>
    <row r="795" spans="49:49" x14ac:dyDescent="0.25">
      <c r="AW795" s="200"/>
    </row>
    <row r="796" spans="49:49" x14ac:dyDescent="0.25">
      <c r="AW796" s="200"/>
    </row>
    <row r="797" spans="49:49" x14ac:dyDescent="0.25">
      <c r="AW797" s="200"/>
    </row>
    <row r="798" spans="49:49" x14ac:dyDescent="0.25">
      <c r="AW798" s="200"/>
    </row>
    <row r="799" spans="49:49" x14ac:dyDescent="0.25">
      <c r="AW799" s="200"/>
    </row>
    <row r="800" spans="49:49" x14ac:dyDescent="0.25">
      <c r="AW800" s="200"/>
    </row>
    <row r="801" spans="49:49" x14ac:dyDescent="0.25">
      <c r="AW801" s="200"/>
    </row>
    <row r="802" spans="49:49" x14ac:dyDescent="0.25">
      <c r="AW802" s="200"/>
    </row>
    <row r="805" spans="49:49" x14ac:dyDescent="0.25">
      <c r="AW805" s="200"/>
    </row>
    <row r="806" spans="49:49" x14ac:dyDescent="0.25">
      <c r="AW806" s="200"/>
    </row>
    <row r="809" spans="49:49" x14ac:dyDescent="0.25">
      <c r="AW809" s="200"/>
    </row>
    <row r="810" spans="49:49" x14ac:dyDescent="0.25">
      <c r="AW810" s="200"/>
    </row>
    <row r="811" spans="49:49" x14ac:dyDescent="0.25">
      <c r="AW811" s="200"/>
    </row>
    <row r="812" spans="49:49" x14ac:dyDescent="0.25">
      <c r="AW812" s="200"/>
    </row>
    <row r="818" spans="45:69" x14ac:dyDescent="0.25">
      <c r="AY818" s="202"/>
    </row>
    <row r="819" spans="45:69" x14ac:dyDescent="0.25">
      <c r="AY819" s="202"/>
    </row>
    <row r="820" spans="45:69" x14ac:dyDescent="0.25">
      <c r="AY820" s="154"/>
    </row>
    <row r="821" spans="45:69" x14ac:dyDescent="0.25">
      <c r="AY821" s="154"/>
    </row>
    <row r="822" spans="45:69" x14ac:dyDescent="0.25">
      <c r="AS822" s="202"/>
      <c r="BD822" s="154"/>
    </row>
    <row r="823" spans="45:69" x14ac:dyDescent="0.25">
      <c r="AS823" s="202"/>
      <c r="BD823" s="154"/>
    </row>
    <row r="824" spans="45:69" x14ac:dyDescent="0.25">
      <c r="AS824" s="154"/>
      <c r="BD824" s="154"/>
    </row>
    <row r="825" spans="45:69" x14ac:dyDescent="0.25">
      <c r="BD825" s="202"/>
    </row>
    <row r="826" spans="45:69" x14ac:dyDescent="0.25"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  <c r="BE826" s="102"/>
    </row>
    <row r="827" spans="45:69" x14ac:dyDescent="0.25">
      <c r="AX827" s="154"/>
    </row>
    <row r="828" spans="45:69" x14ac:dyDescent="0.25">
      <c r="AX828" s="102"/>
      <c r="AY828" s="102"/>
      <c r="AZ828" s="102"/>
      <c r="BA828" s="102"/>
      <c r="BC828" s="103"/>
      <c r="BD828" s="103"/>
    </row>
    <row r="829" spans="45:69" x14ac:dyDescent="0.25">
      <c r="AV829" s="103"/>
      <c r="AW829" s="103"/>
      <c r="AZ829" s="103"/>
      <c r="BA829" s="103"/>
      <c r="BC829" s="103"/>
      <c r="BD829" s="103"/>
      <c r="BE829" s="103"/>
      <c r="BG829" s="102"/>
      <c r="BH829" s="154"/>
      <c r="BK829" s="102"/>
      <c r="BM829" s="102"/>
      <c r="BN829" s="154"/>
      <c r="BQ829" s="102"/>
    </row>
    <row r="830" spans="45:69" x14ac:dyDescent="0.25"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H830" s="103"/>
      <c r="BI830" s="103"/>
      <c r="BJ830" s="103"/>
      <c r="BN830" s="103"/>
      <c r="BO830" s="103"/>
      <c r="BP830" s="103"/>
    </row>
    <row r="831" spans="45:69" x14ac:dyDescent="0.25">
      <c r="AS831" s="103"/>
      <c r="AU831" s="154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G831" s="103"/>
      <c r="BH831" s="103"/>
      <c r="BI831" s="103"/>
      <c r="BJ831" s="103"/>
      <c r="BK831" s="103"/>
      <c r="BM831" s="103"/>
      <c r="BN831" s="103"/>
      <c r="BO831" s="103"/>
      <c r="BP831" s="103"/>
      <c r="BQ831" s="103"/>
    </row>
    <row r="832" spans="45:69" x14ac:dyDescent="0.25">
      <c r="AS832" s="103"/>
      <c r="AU832" s="154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G832" s="103"/>
      <c r="BH832" s="103"/>
      <c r="BI832" s="103"/>
      <c r="BJ832" s="103"/>
      <c r="BK832" s="103"/>
      <c r="BM832" s="103"/>
      <c r="BN832" s="103"/>
      <c r="BO832" s="103"/>
      <c r="BP832" s="103"/>
      <c r="BQ832" s="103"/>
    </row>
    <row r="833" spans="45:69" x14ac:dyDescent="0.25"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  <c r="BE833" s="102"/>
      <c r="BG833" s="102"/>
      <c r="BH833" s="102"/>
      <c r="BI833" s="102"/>
      <c r="BJ833" s="102"/>
      <c r="BK833" s="102"/>
      <c r="BM833" s="102"/>
      <c r="BN833" s="102"/>
      <c r="BO833" s="102"/>
      <c r="BP833" s="102"/>
      <c r="BQ833" s="102"/>
    </row>
    <row r="834" spans="45:69" x14ac:dyDescent="0.25"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</row>
    <row r="835" spans="45:69" x14ac:dyDescent="0.25">
      <c r="AS835" s="202"/>
      <c r="AU835" s="154"/>
      <c r="AV835" s="103"/>
      <c r="AY835" s="213"/>
    </row>
    <row r="836" spans="45:69" x14ac:dyDescent="0.25">
      <c r="AS836" s="202"/>
      <c r="AV836" s="103"/>
      <c r="AW836" s="200"/>
      <c r="AX836" s="334"/>
      <c r="AY836" s="334"/>
      <c r="AZ836" s="334"/>
      <c r="BA836" s="210"/>
      <c r="BB836" s="334"/>
      <c r="BC836" s="213"/>
      <c r="BD836" s="213"/>
      <c r="BE836" s="210"/>
      <c r="BG836" s="334"/>
      <c r="BH836" s="334"/>
      <c r="BI836" s="334"/>
      <c r="BJ836" s="334"/>
      <c r="BK836" s="334"/>
      <c r="BM836" s="334"/>
      <c r="BN836" s="334"/>
      <c r="BO836" s="334"/>
      <c r="BP836" s="334"/>
      <c r="BQ836" s="334"/>
    </row>
    <row r="837" spans="45:69" x14ac:dyDescent="0.25">
      <c r="AS837" s="202"/>
      <c r="AV837" s="103"/>
      <c r="AW837" s="200"/>
      <c r="AX837" s="334"/>
      <c r="AY837" s="334"/>
      <c r="AZ837" s="334"/>
      <c r="BA837" s="210"/>
      <c r="BB837" s="334"/>
      <c r="BC837" s="213"/>
      <c r="BD837" s="213"/>
      <c r="BE837" s="210"/>
      <c r="BG837" s="334"/>
      <c r="BH837" s="334"/>
      <c r="BI837" s="334"/>
      <c r="BJ837" s="334"/>
      <c r="BK837" s="334"/>
      <c r="BM837" s="334"/>
      <c r="BN837" s="334"/>
      <c r="BO837" s="334"/>
      <c r="BP837" s="334"/>
      <c r="BQ837" s="334"/>
    </row>
    <row r="838" spans="45:69" x14ac:dyDescent="0.25">
      <c r="AS838" s="202"/>
      <c r="AV838" s="103"/>
      <c r="AW838" s="200"/>
      <c r="AX838" s="334"/>
      <c r="AY838" s="334"/>
      <c r="AZ838" s="334"/>
      <c r="BA838" s="210"/>
      <c r="BB838" s="334"/>
      <c r="BC838" s="213"/>
      <c r="BD838" s="213"/>
      <c r="BE838" s="210"/>
      <c r="BG838" s="334"/>
      <c r="BH838" s="334"/>
      <c r="BI838" s="334"/>
      <c r="BJ838" s="334"/>
      <c r="BK838" s="334"/>
      <c r="BM838" s="334"/>
      <c r="BN838" s="334"/>
      <c r="BO838" s="334"/>
      <c r="BP838" s="334"/>
      <c r="BQ838" s="334"/>
    </row>
    <row r="839" spans="45:69" x14ac:dyDescent="0.25">
      <c r="AS839" s="202"/>
      <c r="AV839" s="103"/>
      <c r="AW839" s="200"/>
      <c r="AX839" s="334"/>
      <c r="AY839" s="334"/>
      <c r="AZ839" s="334"/>
      <c r="BA839" s="210"/>
      <c r="BB839" s="334"/>
      <c r="BC839" s="213"/>
      <c r="BD839" s="213"/>
      <c r="BE839" s="210"/>
      <c r="BG839" s="334"/>
      <c r="BH839" s="334"/>
      <c r="BI839" s="334"/>
      <c r="BJ839" s="334"/>
      <c r="BK839" s="334"/>
      <c r="BM839" s="334"/>
      <c r="BN839" s="334"/>
      <c r="BO839" s="334"/>
      <c r="BP839" s="334"/>
      <c r="BQ839" s="334"/>
    </row>
    <row r="840" spans="45:69" x14ac:dyDescent="0.25">
      <c r="AS840" s="202"/>
      <c r="AV840" s="103"/>
      <c r="AW840" s="200"/>
      <c r="AX840" s="334"/>
      <c r="AY840" s="334"/>
      <c r="AZ840" s="334"/>
      <c r="BA840" s="210"/>
      <c r="BB840" s="334"/>
      <c r="BC840" s="213"/>
      <c r="BD840" s="213"/>
      <c r="BE840" s="210"/>
      <c r="BG840" s="334"/>
      <c r="BH840" s="334"/>
      <c r="BI840" s="334"/>
      <c r="BJ840" s="334"/>
      <c r="BK840" s="334"/>
      <c r="BM840" s="334"/>
      <c r="BN840" s="334"/>
      <c r="BO840" s="334"/>
      <c r="BP840" s="334"/>
      <c r="BQ840" s="334"/>
    </row>
    <row r="841" spans="45:69" x14ac:dyDescent="0.25">
      <c r="AS841" s="202"/>
      <c r="AV841" s="103"/>
      <c r="AW841" s="200"/>
      <c r="AX841" s="334"/>
      <c r="AY841" s="334"/>
      <c r="AZ841" s="334"/>
      <c r="BA841" s="210"/>
      <c r="BB841" s="334"/>
      <c r="BC841" s="213"/>
      <c r="BD841" s="213"/>
      <c r="BE841" s="210"/>
      <c r="BG841" s="334"/>
      <c r="BH841" s="334"/>
      <c r="BI841" s="334"/>
      <c r="BJ841" s="334"/>
      <c r="BK841" s="334"/>
      <c r="BM841" s="334"/>
      <c r="BN841" s="334"/>
      <c r="BO841" s="334"/>
      <c r="BP841" s="334"/>
      <c r="BQ841" s="334"/>
    </row>
    <row r="842" spans="45:69" x14ac:dyDescent="0.25">
      <c r="AS842" s="202"/>
      <c r="AV842" s="103"/>
      <c r="AW842" s="200"/>
      <c r="AX842" s="334"/>
      <c r="AY842" s="334"/>
      <c r="AZ842" s="334"/>
      <c r="BA842" s="210"/>
      <c r="BB842" s="334"/>
      <c r="BC842" s="213"/>
      <c r="BD842" s="213"/>
      <c r="BE842" s="210"/>
      <c r="BG842" s="334"/>
      <c r="BH842" s="334"/>
      <c r="BI842" s="334"/>
      <c r="BJ842" s="334"/>
      <c r="BK842" s="334"/>
      <c r="BM842" s="334"/>
      <c r="BN842" s="334"/>
      <c r="BO842" s="334"/>
      <c r="BP842" s="334"/>
      <c r="BQ842" s="334"/>
    </row>
    <row r="843" spans="45:69" x14ac:dyDescent="0.25">
      <c r="AY843" s="213"/>
      <c r="AZ843" s="334"/>
      <c r="BA843" s="210"/>
      <c r="BB843" s="334"/>
      <c r="BC843" s="213"/>
      <c r="BD843" s="213"/>
      <c r="BE843" s="210"/>
      <c r="BK843" s="334"/>
      <c r="BQ843" s="334"/>
    </row>
    <row r="844" spans="45:69" x14ac:dyDescent="0.25">
      <c r="AS844" s="202"/>
      <c r="AV844" s="103"/>
      <c r="AY844" s="213"/>
      <c r="AZ844" s="334"/>
      <c r="BA844" s="210"/>
      <c r="BB844" s="334"/>
      <c r="BC844" s="213"/>
      <c r="BD844" s="213"/>
      <c r="BE844" s="210"/>
      <c r="BK844" s="334"/>
      <c r="BQ844" s="334"/>
    </row>
    <row r="845" spans="45:69" x14ac:dyDescent="0.25">
      <c r="AS845" s="202"/>
      <c r="AV845" s="103"/>
      <c r="AW845" s="200"/>
      <c r="AX845" s="334"/>
      <c r="AY845" s="334"/>
      <c r="AZ845" s="334"/>
      <c r="BA845" s="210"/>
      <c r="BB845" s="334"/>
      <c r="BC845" s="213"/>
      <c r="BD845" s="213"/>
      <c r="BE845" s="210"/>
      <c r="BG845" s="334"/>
      <c r="BH845" s="334"/>
      <c r="BI845" s="334"/>
      <c r="BJ845" s="334"/>
      <c r="BK845" s="334"/>
      <c r="BM845" s="334"/>
      <c r="BN845" s="334"/>
      <c r="BO845" s="334"/>
      <c r="BP845" s="334"/>
      <c r="BQ845" s="334"/>
    </row>
    <row r="846" spans="45:69" x14ac:dyDescent="0.25">
      <c r="AS846" s="202"/>
      <c r="AV846" s="103"/>
      <c r="AW846" s="200"/>
      <c r="AX846" s="334"/>
      <c r="AY846" s="334"/>
      <c r="AZ846" s="334"/>
      <c r="BA846" s="210"/>
      <c r="BB846" s="334"/>
      <c r="BC846" s="213"/>
      <c r="BD846" s="213"/>
      <c r="BE846" s="210"/>
      <c r="BG846" s="334"/>
      <c r="BH846" s="334"/>
      <c r="BI846" s="334"/>
      <c r="BJ846" s="334"/>
      <c r="BK846" s="334"/>
      <c r="BM846" s="334"/>
      <c r="BN846" s="334"/>
      <c r="BO846" s="334"/>
      <c r="BP846" s="334"/>
      <c r="BQ846" s="334"/>
    </row>
    <row r="847" spans="45:69" x14ac:dyDescent="0.25">
      <c r="AS847" s="202"/>
      <c r="AV847" s="103"/>
      <c r="AW847" s="200"/>
      <c r="AX847" s="334"/>
      <c r="AY847" s="334"/>
      <c r="AZ847" s="334"/>
      <c r="BA847" s="210"/>
      <c r="BB847" s="334"/>
      <c r="BC847" s="213"/>
      <c r="BD847" s="213"/>
      <c r="BE847" s="210"/>
      <c r="BG847" s="334"/>
      <c r="BH847" s="334"/>
      <c r="BI847" s="334"/>
      <c r="BJ847" s="334"/>
      <c r="BK847" s="334"/>
      <c r="BM847" s="334"/>
      <c r="BN847" s="334"/>
      <c r="BO847" s="334"/>
      <c r="BP847" s="334"/>
      <c r="BQ847" s="334"/>
    </row>
    <row r="848" spans="45:69" x14ac:dyDescent="0.25">
      <c r="AS848" s="202"/>
      <c r="AV848" s="103"/>
      <c r="AW848" s="200"/>
      <c r="AX848" s="334"/>
      <c r="AY848" s="334"/>
      <c r="AZ848" s="334"/>
      <c r="BA848" s="210"/>
      <c r="BB848" s="334"/>
      <c r="BC848" s="213"/>
      <c r="BD848" s="213"/>
      <c r="BE848" s="210"/>
      <c r="BG848" s="334"/>
      <c r="BH848" s="334"/>
      <c r="BI848" s="334"/>
      <c r="BJ848" s="334"/>
      <c r="BK848" s="334"/>
      <c r="BM848" s="334"/>
      <c r="BN848" s="334"/>
      <c r="BO848" s="334"/>
      <c r="BP848" s="334"/>
      <c r="BQ848" s="334"/>
    </row>
    <row r="849" spans="45:69" x14ac:dyDescent="0.25">
      <c r="AS849" s="202"/>
      <c r="AV849" s="103"/>
      <c r="AW849" s="200"/>
      <c r="AX849" s="334"/>
      <c r="AY849" s="334"/>
      <c r="AZ849" s="334"/>
      <c r="BA849" s="210"/>
      <c r="BB849" s="334"/>
      <c r="BC849" s="213"/>
      <c r="BD849" s="213"/>
      <c r="BE849" s="210"/>
      <c r="BG849" s="334"/>
      <c r="BH849" s="334"/>
      <c r="BI849" s="334"/>
      <c r="BJ849" s="334"/>
      <c r="BK849" s="334"/>
      <c r="BM849" s="334"/>
      <c r="BN849" s="334"/>
      <c r="BO849" s="334"/>
      <c r="BP849" s="334"/>
      <c r="BQ849" s="334"/>
    </row>
    <row r="850" spans="45:69" x14ac:dyDescent="0.25">
      <c r="AS850" s="202"/>
      <c r="AV850" s="103"/>
      <c r="AW850" s="200"/>
      <c r="AX850" s="334"/>
      <c r="AY850" s="334"/>
      <c r="AZ850" s="334"/>
      <c r="BA850" s="210"/>
      <c r="BB850" s="334"/>
      <c r="BC850" s="213"/>
      <c r="BD850" s="213"/>
      <c r="BE850" s="210"/>
      <c r="BG850" s="334"/>
      <c r="BH850" s="334"/>
      <c r="BI850" s="334"/>
      <c r="BJ850" s="334"/>
      <c r="BK850" s="334"/>
      <c r="BM850" s="334"/>
      <c r="BN850" s="334"/>
      <c r="BO850" s="334"/>
      <c r="BP850" s="334"/>
      <c r="BQ850" s="334"/>
    </row>
    <row r="851" spans="45:69" x14ac:dyDescent="0.25">
      <c r="AS851" s="202"/>
      <c r="AV851" s="103"/>
      <c r="AW851" s="200"/>
      <c r="AX851" s="334"/>
      <c r="AY851" s="334"/>
      <c r="AZ851" s="334"/>
      <c r="BA851" s="210"/>
      <c r="BB851" s="334"/>
      <c r="BC851" s="213"/>
      <c r="BD851" s="213"/>
      <c r="BE851" s="210"/>
      <c r="BG851" s="334"/>
      <c r="BH851" s="334"/>
      <c r="BI851" s="334"/>
      <c r="BJ851" s="334"/>
      <c r="BK851" s="334"/>
      <c r="BM851" s="334"/>
      <c r="BN851" s="334"/>
      <c r="BO851" s="334"/>
      <c r="BP851" s="334"/>
      <c r="BQ851" s="334"/>
    </row>
    <row r="852" spans="45:69" x14ac:dyDescent="0.25">
      <c r="AS852" s="202"/>
      <c r="AV852" s="103"/>
      <c r="AW852" s="200"/>
      <c r="AX852" s="334"/>
      <c r="AY852" s="334"/>
      <c r="AZ852" s="334"/>
      <c r="BA852" s="210"/>
      <c r="BB852" s="334"/>
      <c r="BC852" s="213"/>
      <c r="BD852" s="213"/>
      <c r="BE852" s="210"/>
      <c r="BG852" s="334"/>
      <c r="BH852" s="334"/>
      <c r="BI852" s="334"/>
      <c r="BJ852" s="334"/>
      <c r="BK852" s="334"/>
      <c r="BM852" s="334"/>
      <c r="BN852" s="334"/>
      <c r="BO852" s="334"/>
      <c r="BP852" s="334"/>
      <c r="BQ852" s="334"/>
    </row>
    <row r="853" spans="45:69" x14ac:dyDescent="0.25">
      <c r="AY853" s="213"/>
      <c r="AZ853" s="334"/>
      <c r="BA853" s="210"/>
      <c r="BB853" s="334"/>
      <c r="BC853" s="213"/>
      <c r="BD853" s="213"/>
      <c r="BE853" s="210"/>
      <c r="BK853" s="334"/>
      <c r="BQ853" s="334"/>
    </row>
    <row r="854" spans="45:69" x14ac:dyDescent="0.25">
      <c r="AU854" s="154"/>
      <c r="AZ854" s="334"/>
      <c r="BB854" s="334"/>
      <c r="BG854" s="334"/>
      <c r="BH854" s="334"/>
      <c r="BJ854" s="334"/>
      <c r="BK854" s="334"/>
    </row>
    <row r="855" spans="45:69" x14ac:dyDescent="0.25">
      <c r="AZ855" s="334"/>
      <c r="BB855" s="334"/>
    </row>
    <row r="856" spans="45:69" x14ac:dyDescent="0.25">
      <c r="AS856" s="154"/>
      <c r="AZ856" s="334"/>
      <c r="BB856" s="334"/>
      <c r="BI856" s="334"/>
    </row>
    <row r="857" spans="45:69" x14ac:dyDescent="0.25">
      <c r="AY857" s="202"/>
      <c r="AZ857" s="334"/>
      <c r="BB857" s="334"/>
    </row>
    <row r="858" spans="45:69" x14ac:dyDescent="0.25">
      <c r="AY858" s="334"/>
      <c r="BB858" s="334"/>
    </row>
    <row r="859" spans="45:69" x14ac:dyDescent="0.25">
      <c r="AY859" s="154"/>
      <c r="AZ859" s="334"/>
      <c r="BB859" s="334"/>
    </row>
    <row r="860" spans="45:69" x14ac:dyDescent="0.25">
      <c r="AY860" s="154"/>
      <c r="AZ860" s="334"/>
      <c r="BB860" s="334"/>
    </row>
    <row r="861" spans="45:69" x14ac:dyDescent="0.25">
      <c r="AS861" s="202"/>
      <c r="AZ861" s="334"/>
      <c r="BB861" s="334"/>
      <c r="BD861" s="154"/>
    </row>
    <row r="862" spans="45:69" x14ac:dyDescent="0.25">
      <c r="AS862" s="202"/>
      <c r="AZ862" s="334"/>
      <c r="BB862" s="334"/>
      <c r="BD862" s="154"/>
    </row>
    <row r="863" spans="45:69" x14ac:dyDescent="0.25">
      <c r="AS863" s="154"/>
      <c r="AZ863" s="334"/>
      <c r="BB863" s="334"/>
      <c r="BD863" s="154"/>
    </row>
    <row r="864" spans="45:69" x14ac:dyDescent="0.25">
      <c r="AZ864" s="334"/>
      <c r="BB864" s="334"/>
      <c r="BD864" s="202"/>
    </row>
    <row r="865" spans="45:75" x14ac:dyDescent="0.25">
      <c r="AS865" s="102"/>
      <c r="AT865" s="102"/>
      <c r="AU865" s="102"/>
      <c r="AV865" s="102"/>
      <c r="AW865" s="102"/>
      <c r="AX865" s="102"/>
      <c r="AY865" s="102"/>
      <c r="AZ865" s="335"/>
      <c r="BA865" s="102"/>
      <c r="BB865" s="335"/>
      <c r="BC865" s="102"/>
      <c r="BD865" s="102"/>
      <c r="BE865" s="102"/>
    </row>
    <row r="866" spans="45:75" x14ac:dyDescent="0.25">
      <c r="AX866" s="154"/>
      <c r="AZ866" s="334"/>
      <c r="BB866" s="334"/>
    </row>
    <row r="867" spans="45:75" x14ac:dyDescent="0.25">
      <c r="AX867" s="102"/>
      <c r="AY867" s="102"/>
      <c r="AZ867" s="335"/>
      <c r="BA867" s="102"/>
      <c r="BB867" s="334"/>
      <c r="BC867" s="103"/>
      <c r="BD867" s="103"/>
    </row>
    <row r="868" spans="45:75" x14ac:dyDescent="0.25">
      <c r="AV868" s="103"/>
      <c r="AW868" s="103"/>
      <c r="AZ868" s="336"/>
      <c r="BA868" s="103"/>
      <c r="BB868" s="334"/>
      <c r="BC868" s="103"/>
      <c r="BD868" s="103"/>
      <c r="BE868" s="103"/>
      <c r="BG868" s="102"/>
      <c r="BH868" s="102"/>
      <c r="BI868" s="154"/>
      <c r="BM868" s="102"/>
      <c r="BN868" s="102"/>
      <c r="BP868" s="102"/>
      <c r="BQ868" s="102"/>
      <c r="BR868" s="154"/>
      <c r="BV868" s="102"/>
      <c r="BW868" s="102"/>
    </row>
    <row r="869" spans="45:75" x14ac:dyDescent="0.25">
      <c r="AV869" s="103"/>
      <c r="AW869" s="103"/>
      <c r="AX869" s="103"/>
      <c r="AY869" s="103"/>
      <c r="AZ869" s="336"/>
      <c r="BA869" s="103"/>
      <c r="BB869" s="336"/>
      <c r="BC869" s="103"/>
      <c r="BD869" s="103"/>
      <c r="BE869" s="103"/>
      <c r="BH869" s="103"/>
      <c r="BI869" s="103"/>
      <c r="BJ869" s="103"/>
      <c r="BK869" s="103"/>
      <c r="BL869" s="103"/>
      <c r="BM869" s="103"/>
      <c r="BQ869" s="103"/>
      <c r="BR869" s="103"/>
      <c r="BS869" s="103"/>
      <c r="BT869" s="103"/>
      <c r="BU869" s="103"/>
      <c r="BV869" s="103"/>
    </row>
    <row r="870" spans="45:75" x14ac:dyDescent="0.25">
      <c r="AS870" s="103"/>
      <c r="AU870" s="154"/>
      <c r="AV870" s="103"/>
      <c r="AW870" s="103"/>
      <c r="AX870" s="103"/>
      <c r="AY870" s="103"/>
      <c r="AZ870" s="336"/>
      <c r="BA870" s="103"/>
      <c r="BB870" s="336"/>
      <c r="BC870" s="103"/>
      <c r="BD870" s="103"/>
      <c r="BE870" s="103"/>
      <c r="BG870" s="103"/>
      <c r="BH870" s="103"/>
      <c r="BI870" s="103"/>
      <c r="BJ870" s="103"/>
      <c r="BK870" s="103"/>
      <c r="BL870" s="103"/>
      <c r="BM870" s="103"/>
      <c r="BN870" s="103"/>
      <c r="BP870" s="103"/>
      <c r="BQ870" s="103"/>
      <c r="BR870" s="103"/>
      <c r="BS870" s="103"/>
      <c r="BT870" s="103"/>
      <c r="BU870" s="103"/>
      <c r="BV870" s="103"/>
      <c r="BW870" s="103"/>
    </row>
    <row r="871" spans="45:75" x14ac:dyDescent="0.25">
      <c r="AS871" s="103"/>
      <c r="AU871" s="154"/>
      <c r="AV871" s="103"/>
      <c r="AW871" s="103"/>
      <c r="AX871" s="103"/>
      <c r="AY871" s="103"/>
      <c r="AZ871" s="336"/>
      <c r="BA871" s="103"/>
      <c r="BB871" s="336"/>
      <c r="BC871" s="103"/>
      <c r="BD871" s="103"/>
      <c r="BE871" s="103"/>
      <c r="BG871" s="103"/>
      <c r="BH871" s="103"/>
      <c r="BI871" s="103"/>
      <c r="BJ871" s="103"/>
      <c r="BK871" s="103"/>
      <c r="BL871" s="103"/>
      <c r="BM871" s="103"/>
      <c r="BN871" s="103"/>
      <c r="BP871" s="103"/>
      <c r="BQ871" s="103"/>
      <c r="BR871" s="103"/>
      <c r="BS871" s="103"/>
      <c r="BT871" s="103"/>
      <c r="BU871" s="103"/>
      <c r="BV871" s="103"/>
      <c r="BW871" s="103"/>
    </row>
    <row r="872" spans="45:75" x14ac:dyDescent="0.25">
      <c r="AS872" s="102"/>
      <c r="AT872" s="102"/>
      <c r="AU872" s="102"/>
      <c r="AV872" s="102"/>
      <c r="AW872" s="102"/>
      <c r="AX872" s="102"/>
      <c r="AY872" s="102"/>
      <c r="AZ872" s="335"/>
      <c r="BA872" s="102"/>
      <c r="BB872" s="335"/>
      <c r="BC872" s="102"/>
      <c r="BD872" s="102"/>
      <c r="BE872" s="102"/>
      <c r="BG872" s="102"/>
      <c r="BH872" s="102"/>
      <c r="BI872" s="102"/>
      <c r="BJ872" s="102"/>
      <c r="BK872" s="102"/>
      <c r="BL872" s="102"/>
      <c r="BM872" s="102"/>
      <c r="BN872" s="102"/>
      <c r="BP872" s="102"/>
      <c r="BQ872" s="102"/>
      <c r="BR872" s="102"/>
      <c r="BS872" s="102"/>
      <c r="BT872" s="102"/>
      <c r="BU872" s="102"/>
      <c r="BV872" s="102"/>
      <c r="BW872" s="102"/>
    </row>
    <row r="873" spans="45:75" x14ac:dyDescent="0.25">
      <c r="AV873" s="103"/>
      <c r="AW873" s="103"/>
      <c r="AX873" s="103"/>
      <c r="AY873" s="103"/>
      <c r="AZ873" s="336"/>
      <c r="BA873" s="103"/>
      <c r="BB873" s="336"/>
      <c r="BC873" s="103"/>
      <c r="BD873" s="103"/>
      <c r="BE873" s="103"/>
      <c r="BG873" s="334"/>
      <c r="BH873" s="334"/>
      <c r="BI873" s="334"/>
      <c r="BJ873" s="334"/>
      <c r="BK873" s="334"/>
      <c r="BL873" s="334"/>
      <c r="BM873" s="334"/>
      <c r="BN873" s="334"/>
      <c r="BO873" s="334"/>
      <c r="BP873" s="334"/>
      <c r="BQ873" s="334"/>
      <c r="BR873" s="334"/>
      <c r="BS873" s="334"/>
      <c r="BT873" s="334"/>
      <c r="BU873" s="334"/>
      <c r="BV873" s="334"/>
      <c r="BW873" s="334"/>
    </row>
    <row r="874" spans="45:75" x14ac:dyDescent="0.25">
      <c r="AS874" s="202"/>
      <c r="AU874" s="154"/>
      <c r="AV874" s="202"/>
      <c r="AW874" s="200"/>
      <c r="AX874" s="334"/>
      <c r="AY874" s="334"/>
      <c r="AZ874" s="334"/>
      <c r="BA874" s="201"/>
      <c r="BB874" s="334"/>
      <c r="BC874" s="334"/>
      <c r="BD874" s="334"/>
      <c r="BE874" s="201"/>
      <c r="BG874" s="334"/>
      <c r="BH874" s="334"/>
      <c r="BI874" s="334"/>
      <c r="BJ874" s="334"/>
      <c r="BK874" s="334"/>
      <c r="BL874" s="334"/>
      <c r="BM874" s="334"/>
      <c r="BN874" s="334"/>
      <c r="BO874" s="334"/>
      <c r="BP874" s="334"/>
      <c r="BQ874" s="334"/>
      <c r="BR874" s="334"/>
      <c r="BS874" s="334"/>
      <c r="BT874" s="334"/>
      <c r="BU874" s="334"/>
      <c r="BV874" s="334"/>
      <c r="BW874" s="334"/>
    </row>
    <row r="875" spans="45:75" x14ac:dyDescent="0.25">
      <c r="AS875" s="202"/>
      <c r="AV875" s="202"/>
      <c r="AW875" s="200"/>
      <c r="AX875" s="334"/>
      <c r="AY875" s="334"/>
      <c r="AZ875" s="334"/>
      <c r="BA875" s="201"/>
      <c r="BB875" s="334"/>
      <c r="BC875" s="334"/>
      <c r="BD875" s="334"/>
      <c r="BE875" s="201"/>
      <c r="BG875" s="334"/>
      <c r="BH875" s="334"/>
      <c r="BI875" s="334"/>
      <c r="BJ875" s="334"/>
      <c r="BK875" s="334"/>
      <c r="BL875" s="334"/>
      <c r="BM875" s="334"/>
      <c r="BN875" s="334"/>
      <c r="BO875" s="334"/>
      <c r="BP875" s="334"/>
      <c r="BQ875" s="334"/>
      <c r="BR875" s="334"/>
      <c r="BS875" s="334"/>
      <c r="BT875" s="334"/>
      <c r="BU875" s="334"/>
      <c r="BV875" s="334"/>
      <c r="BW875" s="334"/>
    </row>
    <row r="876" spans="45:75" x14ac:dyDescent="0.25">
      <c r="AS876" s="202"/>
      <c r="AV876" s="202"/>
      <c r="AW876" s="200"/>
      <c r="AX876" s="334"/>
      <c r="AY876" s="334"/>
      <c r="AZ876" s="334"/>
      <c r="BA876" s="201"/>
      <c r="BB876" s="334"/>
      <c r="BC876" s="334"/>
      <c r="BD876" s="334"/>
      <c r="BE876" s="201"/>
      <c r="BG876" s="334"/>
      <c r="BH876" s="334"/>
      <c r="BI876" s="334"/>
      <c r="BJ876" s="334"/>
      <c r="BK876" s="334"/>
      <c r="BL876" s="334"/>
      <c r="BM876" s="334"/>
      <c r="BN876" s="334"/>
      <c r="BO876" s="334"/>
      <c r="BP876" s="334"/>
      <c r="BQ876" s="334"/>
      <c r="BR876" s="334"/>
      <c r="BS876" s="334"/>
      <c r="BT876" s="334"/>
      <c r="BU876" s="334"/>
      <c r="BV876" s="334"/>
      <c r="BW876" s="334"/>
    </row>
    <row r="877" spans="45:75" x14ac:dyDescent="0.25">
      <c r="AS877" s="202"/>
      <c r="AV877" s="202"/>
      <c r="AW877" s="200"/>
      <c r="AX877" s="334"/>
      <c r="AY877" s="334"/>
      <c r="AZ877" s="334"/>
      <c r="BA877" s="201"/>
      <c r="BB877" s="334"/>
      <c r="BC877" s="334"/>
      <c r="BD877" s="334"/>
      <c r="BE877" s="201"/>
      <c r="BG877" s="334"/>
      <c r="BH877" s="334"/>
      <c r="BI877" s="334"/>
      <c r="BJ877" s="334"/>
      <c r="BK877" s="334"/>
      <c r="BL877" s="334"/>
      <c r="BM877" s="334"/>
      <c r="BN877" s="334"/>
      <c r="BO877" s="334"/>
      <c r="BP877" s="334"/>
      <c r="BQ877" s="334"/>
      <c r="BR877" s="334"/>
      <c r="BS877" s="334"/>
      <c r="BT877" s="334"/>
      <c r="BU877" s="334"/>
      <c r="BV877" s="334"/>
      <c r="BW877" s="334"/>
    </row>
    <row r="878" spans="45:75" x14ac:dyDescent="0.25">
      <c r="AS878" s="202"/>
      <c r="AV878" s="202"/>
      <c r="AW878" s="200"/>
      <c r="AX878" s="334"/>
      <c r="AY878" s="334"/>
      <c r="AZ878" s="334"/>
      <c r="BA878" s="201"/>
      <c r="BB878" s="334"/>
      <c r="BC878" s="334"/>
      <c r="BD878" s="334"/>
      <c r="BE878" s="201"/>
      <c r="BG878" s="334"/>
      <c r="BH878" s="334"/>
      <c r="BI878" s="334"/>
      <c r="BJ878" s="334"/>
      <c r="BK878" s="334"/>
      <c r="BL878" s="334"/>
      <c r="BM878" s="334"/>
      <c r="BN878" s="334"/>
      <c r="BO878" s="334"/>
      <c r="BP878" s="334"/>
      <c r="BQ878" s="334"/>
      <c r="BR878" s="334"/>
      <c r="BS878" s="334"/>
      <c r="BT878" s="334"/>
      <c r="BU878" s="334"/>
      <c r="BV878" s="334"/>
      <c r="BW878" s="334"/>
    </row>
    <row r="879" spans="45:75" x14ac:dyDescent="0.25">
      <c r="AS879" s="202"/>
      <c r="AV879" s="202"/>
      <c r="AW879" s="200"/>
      <c r="AX879" s="334"/>
      <c r="AY879" s="334"/>
      <c r="AZ879" s="334"/>
      <c r="BA879" s="201"/>
      <c r="BB879" s="334"/>
      <c r="BC879" s="334"/>
      <c r="BD879" s="334"/>
      <c r="BE879" s="201"/>
      <c r="BG879" s="334"/>
      <c r="BH879" s="334"/>
      <c r="BI879" s="334"/>
      <c r="BJ879" s="334"/>
      <c r="BK879" s="334"/>
      <c r="BL879" s="334"/>
      <c r="BM879" s="334"/>
      <c r="BN879" s="334"/>
      <c r="BO879" s="334"/>
      <c r="BP879" s="334"/>
      <c r="BQ879" s="334"/>
      <c r="BR879" s="334"/>
      <c r="BS879" s="334"/>
      <c r="BT879" s="334"/>
      <c r="BU879" s="334"/>
      <c r="BV879" s="334"/>
      <c r="BW879" s="334"/>
    </row>
    <row r="880" spans="45:75" x14ac:dyDescent="0.25">
      <c r="AS880" s="202"/>
      <c r="AV880" s="202"/>
      <c r="AW880" s="200"/>
      <c r="AX880" s="334"/>
      <c r="AY880" s="334"/>
      <c r="AZ880" s="334"/>
      <c r="BA880" s="201"/>
      <c r="BB880" s="334"/>
      <c r="BC880" s="334"/>
      <c r="BD880" s="334"/>
      <c r="BE880" s="201"/>
      <c r="BG880" s="334"/>
      <c r="BH880" s="334"/>
      <c r="BI880" s="334"/>
      <c r="BJ880" s="334"/>
      <c r="BK880" s="334"/>
      <c r="BL880" s="334"/>
      <c r="BM880" s="334"/>
      <c r="BN880" s="334"/>
      <c r="BO880" s="334"/>
      <c r="BP880" s="334"/>
      <c r="BQ880" s="334"/>
      <c r="BR880" s="334"/>
      <c r="BS880" s="334"/>
      <c r="BT880" s="334"/>
      <c r="BU880" s="334"/>
      <c r="BV880" s="334"/>
      <c r="BW880" s="334"/>
    </row>
    <row r="881" spans="45:75" x14ac:dyDescent="0.25">
      <c r="AS881" s="202"/>
      <c r="AV881" s="202"/>
      <c r="AW881" s="200"/>
      <c r="AX881" s="334"/>
      <c r="AY881" s="334"/>
      <c r="AZ881" s="334"/>
      <c r="BA881" s="201"/>
      <c r="BB881" s="334"/>
      <c r="BC881" s="334"/>
      <c r="BD881" s="334"/>
      <c r="BE881" s="201"/>
      <c r="BG881" s="334"/>
      <c r="BH881" s="334"/>
      <c r="BI881" s="334"/>
      <c r="BJ881" s="334"/>
      <c r="BK881" s="334"/>
      <c r="BL881" s="334"/>
      <c r="BM881" s="334"/>
      <c r="BN881" s="334"/>
      <c r="BO881" s="334"/>
      <c r="BP881" s="334"/>
      <c r="BQ881" s="334"/>
      <c r="BR881" s="334"/>
      <c r="BS881" s="334"/>
      <c r="BT881" s="334"/>
      <c r="BU881" s="334"/>
      <c r="BV881" s="334"/>
      <c r="BW881" s="334"/>
    </row>
    <row r="882" spans="45:75" x14ac:dyDescent="0.25">
      <c r="AS882" s="202"/>
      <c r="AV882" s="202"/>
      <c r="AW882" s="200"/>
      <c r="AX882" s="334"/>
      <c r="AY882" s="334"/>
      <c r="AZ882" s="334"/>
      <c r="BA882" s="201"/>
      <c r="BB882" s="334"/>
      <c r="BC882" s="334"/>
      <c r="BD882" s="334"/>
      <c r="BE882" s="201"/>
      <c r="BG882" s="334"/>
      <c r="BH882" s="334"/>
      <c r="BI882" s="334"/>
      <c r="BJ882" s="334"/>
      <c r="BK882" s="334"/>
      <c r="BL882" s="334"/>
      <c r="BM882" s="334"/>
      <c r="BN882" s="334"/>
      <c r="BO882" s="334"/>
      <c r="BP882" s="334"/>
      <c r="BQ882" s="334"/>
      <c r="BR882" s="334"/>
      <c r="BS882" s="334"/>
      <c r="BT882" s="334"/>
      <c r="BU882" s="334"/>
      <c r="BV882" s="334"/>
      <c r="BW882" s="334"/>
    </row>
    <row r="883" spans="45:75" x14ac:dyDescent="0.25">
      <c r="AS883" s="202"/>
      <c r="AV883" s="202"/>
      <c r="AW883" s="200"/>
      <c r="AX883" s="334"/>
      <c r="AY883" s="334"/>
      <c r="AZ883" s="334"/>
      <c r="BA883" s="201"/>
      <c r="BB883" s="334"/>
      <c r="BC883" s="334"/>
      <c r="BD883" s="334"/>
      <c r="BE883" s="201"/>
      <c r="BG883" s="334"/>
      <c r="BH883" s="334"/>
      <c r="BI883" s="334"/>
      <c r="BJ883" s="334"/>
      <c r="BK883" s="334"/>
      <c r="BL883" s="334"/>
      <c r="BM883" s="334"/>
      <c r="BN883" s="334"/>
      <c r="BO883" s="334"/>
      <c r="BP883" s="334"/>
      <c r="BQ883" s="334"/>
      <c r="BR883" s="334"/>
      <c r="BS883" s="334"/>
      <c r="BT883" s="334"/>
      <c r="BU883" s="334"/>
      <c r="BV883" s="334"/>
      <c r="BW883" s="334"/>
    </row>
    <row r="884" spans="45:75" x14ac:dyDescent="0.25">
      <c r="AS884" s="202"/>
      <c r="AV884" s="202"/>
      <c r="AW884" s="200"/>
      <c r="AX884" s="334"/>
      <c r="AY884" s="334"/>
      <c r="AZ884" s="334"/>
      <c r="BA884" s="201"/>
      <c r="BB884" s="334"/>
      <c r="BC884" s="334"/>
      <c r="BD884" s="334"/>
      <c r="BE884" s="201"/>
      <c r="BG884" s="334"/>
      <c r="BH884" s="334"/>
      <c r="BI884" s="334"/>
      <c r="BJ884" s="334"/>
      <c r="BK884" s="334"/>
      <c r="BL884" s="334"/>
      <c r="BM884" s="334"/>
      <c r="BN884" s="334"/>
      <c r="BO884" s="334"/>
      <c r="BP884" s="334"/>
      <c r="BQ884" s="334"/>
      <c r="BR884" s="334"/>
      <c r="BS884" s="334"/>
      <c r="BT884" s="334"/>
      <c r="BU884" s="334"/>
      <c r="BV884" s="334"/>
      <c r="BW884" s="334"/>
    </row>
    <row r="885" spans="45:75" x14ac:dyDescent="0.25">
      <c r="AS885" s="202"/>
      <c r="AV885" s="202"/>
      <c r="AW885" s="200"/>
      <c r="AX885" s="334"/>
      <c r="AY885" s="334"/>
      <c r="AZ885" s="334"/>
      <c r="BA885" s="201"/>
      <c r="BB885" s="334"/>
      <c r="BC885" s="334"/>
      <c r="BD885" s="334"/>
      <c r="BE885" s="201"/>
      <c r="BG885" s="334"/>
      <c r="BH885" s="334"/>
      <c r="BI885" s="334"/>
      <c r="BJ885" s="334"/>
      <c r="BK885" s="334"/>
      <c r="BL885" s="334"/>
      <c r="BM885" s="334"/>
      <c r="BN885" s="334"/>
      <c r="BO885" s="334"/>
      <c r="BP885" s="334"/>
      <c r="BQ885" s="334"/>
      <c r="BR885" s="334"/>
      <c r="BS885" s="334"/>
      <c r="BT885" s="334"/>
      <c r="BU885" s="334"/>
      <c r="BV885" s="334"/>
      <c r="BW885" s="334"/>
    </row>
    <row r="886" spans="45:75" x14ac:dyDescent="0.25">
      <c r="AS886" s="202"/>
      <c r="AV886" s="202"/>
      <c r="AW886" s="200"/>
      <c r="AX886" s="334"/>
      <c r="AY886" s="334"/>
      <c r="AZ886" s="334"/>
      <c r="BA886" s="201"/>
      <c r="BB886" s="334"/>
      <c r="BC886" s="334"/>
      <c r="BD886" s="334"/>
      <c r="BE886" s="201"/>
      <c r="BG886" s="334"/>
      <c r="BH886" s="334"/>
      <c r="BI886" s="334"/>
      <c r="BJ886" s="334"/>
      <c r="BK886" s="334"/>
      <c r="BL886" s="334"/>
      <c r="BM886" s="334"/>
      <c r="BN886" s="334"/>
      <c r="BO886" s="334"/>
      <c r="BP886" s="334"/>
      <c r="BQ886" s="334"/>
      <c r="BR886" s="334"/>
      <c r="BS886" s="334"/>
      <c r="BT886" s="334"/>
      <c r="BU886" s="334"/>
      <c r="BV886" s="334"/>
      <c r="BW886" s="334"/>
    </row>
    <row r="887" spans="45:75" x14ac:dyDescent="0.25">
      <c r="AS887" s="202"/>
      <c r="AV887" s="202"/>
      <c r="AW887" s="200"/>
      <c r="AX887" s="334"/>
      <c r="AY887" s="334"/>
      <c r="AZ887" s="334"/>
      <c r="BA887" s="201"/>
      <c r="BB887" s="334"/>
      <c r="BC887" s="334"/>
      <c r="BD887" s="334"/>
      <c r="BE887" s="201"/>
      <c r="BG887" s="334"/>
      <c r="BH887" s="334"/>
      <c r="BI887" s="334"/>
      <c r="BJ887" s="334"/>
      <c r="BK887" s="334"/>
      <c r="BL887" s="334"/>
      <c r="BM887" s="334"/>
      <c r="BN887" s="334"/>
      <c r="BO887" s="334"/>
      <c r="BP887" s="334"/>
      <c r="BQ887" s="334"/>
      <c r="BR887" s="334"/>
      <c r="BS887" s="334"/>
      <c r="BT887" s="334"/>
      <c r="BU887" s="334"/>
      <c r="BV887" s="334"/>
      <c r="BW887" s="334"/>
    </row>
    <row r="888" spans="45:75" x14ac:dyDescent="0.25">
      <c r="AS888" s="202"/>
      <c r="AV888" s="202"/>
      <c r="AW888" s="200"/>
      <c r="AX888" s="334"/>
      <c r="AY888" s="334"/>
      <c r="AZ888" s="334"/>
      <c r="BA888" s="201"/>
      <c r="BB888" s="334"/>
      <c r="BC888" s="334"/>
      <c r="BD888" s="334"/>
      <c r="BE888" s="201"/>
      <c r="BG888" s="334"/>
      <c r="BH888" s="334"/>
      <c r="BI888" s="334"/>
      <c r="BJ888" s="334"/>
      <c r="BK888" s="334"/>
      <c r="BL888" s="334"/>
      <c r="BM888" s="334"/>
      <c r="BN888" s="334"/>
      <c r="BO888" s="334"/>
      <c r="BP888" s="334"/>
      <c r="BQ888" s="334"/>
      <c r="BR888" s="334"/>
      <c r="BS888" s="334"/>
      <c r="BT888" s="334"/>
      <c r="BU888" s="334"/>
      <c r="BV888" s="334"/>
      <c r="BW888" s="334"/>
    </row>
    <row r="889" spans="45:75" x14ac:dyDescent="0.25">
      <c r="AS889" s="202"/>
      <c r="AV889" s="202"/>
      <c r="AW889" s="200"/>
      <c r="AX889" s="334"/>
      <c r="AY889" s="334"/>
      <c r="AZ889" s="334"/>
      <c r="BA889" s="201"/>
      <c r="BB889" s="334"/>
      <c r="BC889" s="334"/>
      <c r="BD889" s="334"/>
      <c r="BE889" s="201"/>
      <c r="BG889" s="334"/>
      <c r="BH889" s="334"/>
      <c r="BI889" s="334"/>
      <c r="BJ889" s="334"/>
      <c r="BK889" s="334"/>
      <c r="BL889" s="334"/>
      <c r="BM889" s="334"/>
      <c r="BN889" s="334"/>
      <c r="BO889" s="334"/>
      <c r="BP889" s="334"/>
      <c r="BQ889" s="334"/>
      <c r="BR889" s="334"/>
      <c r="BS889" s="334"/>
      <c r="BT889" s="334"/>
      <c r="BU889" s="334"/>
      <c r="BV889" s="334"/>
      <c r="BW889" s="334"/>
    </row>
    <row r="890" spans="45:75" x14ac:dyDescent="0.25">
      <c r="AS890" s="202"/>
      <c r="AV890" s="202"/>
      <c r="AW890" s="200"/>
      <c r="AX890" s="334"/>
      <c r="AY890" s="334"/>
      <c r="AZ890" s="334"/>
      <c r="BA890" s="201"/>
      <c r="BB890" s="334"/>
      <c r="BC890" s="334"/>
      <c r="BD890" s="334"/>
      <c r="BE890" s="201"/>
      <c r="BG890" s="334"/>
      <c r="BH890" s="334"/>
      <c r="BI890" s="334"/>
      <c r="BJ890" s="334"/>
      <c r="BK890" s="334"/>
      <c r="BL890" s="334"/>
      <c r="BM890" s="334"/>
      <c r="BN890" s="334"/>
      <c r="BO890" s="334"/>
      <c r="BP890" s="334"/>
      <c r="BQ890" s="334"/>
      <c r="BR890" s="334"/>
      <c r="BS890" s="334"/>
      <c r="BT890" s="334"/>
      <c r="BU890" s="334"/>
      <c r="BV890" s="334"/>
      <c r="BW890" s="334"/>
    </row>
    <row r="891" spans="45:75" x14ac:dyDescent="0.25">
      <c r="AS891" s="202"/>
      <c r="AV891" s="202"/>
      <c r="AW891" s="200"/>
      <c r="AX891" s="334"/>
      <c r="AY891" s="334"/>
      <c r="AZ891" s="334"/>
      <c r="BA891" s="201"/>
      <c r="BB891" s="334"/>
      <c r="BC891" s="334"/>
      <c r="BD891" s="334"/>
      <c r="BE891" s="201"/>
      <c r="BG891" s="334"/>
      <c r="BH891" s="334"/>
      <c r="BI891" s="334"/>
      <c r="BJ891" s="334"/>
      <c r="BK891" s="334"/>
      <c r="BL891" s="334"/>
      <c r="BM891" s="334"/>
      <c r="BN891" s="334"/>
      <c r="BO891" s="334"/>
      <c r="BP891" s="334"/>
      <c r="BQ891" s="334"/>
      <c r="BR891" s="334"/>
      <c r="BS891" s="334"/>
      <c r="BT891" s="334"/>
      <c r="BU891" s="334"/>
      <c r="BV891" s="334"/>
      <c r="BW891" s="334"/>
    </row>
    <row r="892" spans="45:75" x14ac:dyDescent="0.25">
      <c r="AS892" s="202"/>
      <c r="AV892" s="202"/>
      <c r="AW892" s="200"/>
      <c r="AX892" s="334"/>
      <c r="AY892" s="334"/>
      <c r="AZ892" s="334"/>
      <c r="BA892" s="201"/>
      <c r="BB892" s="334"/>
      <c r="BC892" s="334"/>
      <c r="BD892" s="334"/>
      <c r="BE892" s="201"/>
      <c r="BG892" s="334"/>
      <c r="BH892" s="334"/>
      <c r="BI892" s="334"/>
      <c r="BJ892" s="334"/>
      <c r="BK892" s="334"/>
      <c r="BL892" s="334"/>
      <c r="BM892" s="334"/>
      <c r="BN892" s="334"/>
      <c r="BO892" s="334"/>
      <c r="BP892" s="334"/>
      <c r="BQ892" s="334"/>
      <c r="BR892" s="334"/>
      <c r="BS892" s="334"/>
      <c r="BT892" s="334"/>
      <c r="BU892" s="334"/>
      <c r="BV892" s="334"/>
      <c r="BW892" s="334"/>
    </row>
    <row r="893" spans="45:75" x14ac:dyDescent="0.25">
      <c r="AS893" s="202"/>
      <c r="AV893" s="202"/>
      <c r="AW893" s="200"/>
      <c r="AX893" s="334"/>
      <c r="AY893" s="334"/>
      <c r="AZ893" s="334"/>
      <c r="BA893" s="201"/>
      <c r="BB893" s="334"/>
      <c r="BC893" s="334"/>
      <c r="BD893" s="334"/>
      <c r="BE893" s="201"/>
      <c r="BG893" s="334"/>
      <c r="BH893" s="334"/>
      <c r="BI893" s="334"/>
      <c r="BJ893" s="334"/>
      <c r="BK893" s="334"/>
      <c r="BL893" s="334"/>
      <c r="BM893" s="334"/>
      <c r="BN893" s="334"/>
      <c r="BO893" s="334"/>
      <c r="BP893" s="334"/>
      <c r="BQ893" s="334"/>
      <c r="BR893" s="334"/>
      <c r="BS893" s="334"/>
      <c r="BT893" s="334"/>
      <c r="BU893" s="334"/>
      <c r="BV893" s="334"/>
      <c r="BW893" s="334"/>
    </row>
    <row r="894" spans="45:75" x14ac:dyDescent="0.25">
      <c r="AS894" s="202"/>
      <c r="AV894" s="202"/>
      <c r="AW894" s="200"/>
      <c r="AX894" s="334"/>
      <c r="AY894" s="334"/>
      <c r="AZ894" s="334"/>
      <c r="BA894" s="201"/>
      <c r="BB894" s="334"/>
      <c r="BC894" s="334"/>
      <c r="BD894" s="334"/>
      <c r="BE894" s="201"/>
      <c r="BG894" s="334"/>
      <c r="BH894" s="334"/>
      <c r="BI894" s="334"/>
      <c r="BJ894" s="334"/>
      <c r="BK894" s="334"/>
      <c r="BL894" s="334"/>
      <c r="BM894" s="334"/>
      <c r="BN894" s="334"/>
      <c r="BO894" s="334"/>
      <c r="BP894" s="334"/>
      <c r="BQ894" s="334"/>
      <c r="BR894" s="334"/>
      <c r="BS894" s="334"/>
      <c r="BT894" s="334"/>
      <c r="BU894" s="334"/>
      <c r="BV894" s="334"/>
      <c r="BW894" s="334"/>
    </row>
    <row r="895" spans="45:75" x14ac:dyDescent="0.25">
      <c r="AW895" s="200"/>
      <c r="AX895" s="334"/>
      <c r="AY895" s="334"/>
      <c r="AZ895" s="334"/>
      <c r="BA895" s="201"/>
      <c r="BB895" s="334"/>
      <c r="BC895" s="334"/>
      <c r="BD895" s="334"/>
      <c r="BE895" s="201"/>
      <c r="BG895" s="102"/>
      <c r="BH895" s="102"/>
      <c r="BI895" s="154"/>
      <c r="BM895" s="102"/>
      <c r="BN895" s="102"/>
      <c r="BO895" s="334"/>
      <c r="BP895" s="102"/>
      <c r="BQ895" s="102"/>
      <c r="BR895" s="154"/>
      <c r="BV895" s="102"/>
      <c r="BW895" s="102"/>
    </row>
    <row r="896" spans="45:75" x14ac:dyDescent="0.25">
      <c r="AS896" s="202"/>
      <c r="AU896" s="154"/>
      <c r="AV896" s="103"/>
      <c r="AW896" s="200"/>
      <c r="AX896" s="334"/>
      <c r="AY896" s="334"/>
      <c r="AZ896" s="334"/>
      <c r="BA896" s="201"/>
      <c r="BB896" s="334"/>
      <c r="BC896" s="334"/>
      <c r="BD896" s="334"/>
      <c r="BE896" s="201"/>
      <c r="BG896" s="336"/>
      <c r="BH896" s="334"/>
      <c r="BI896" s="334"/>
      <c r="BJ896" s="334"/>
      <c r="BK896" s="336"/>
      <c r="BL896" s="337"/>
      <c r="BM896" s="334"/>
      <c r="BN896" s="336"/>
      <c r="BO896" s="334"/>
      <c r="BP896" s="336"/>
      <c r="BQ896" s="334"/>
      <c r="BR896" s="334"/>
      <c r="BS896" s="334"/>
      <c r="BT896" s="336"/>
      <c r="BU896" s="337"/>
      <c r="BV896" s="334"/>
      <c r="BW896" s="336"/>
    </row>
    <row r="897" spans="45:75" x14ac:dyDescent="0.25">
      <c r="AS897" s="202"/>
      <c r="AV897" s="103"/>
      <c r="AW897" s="200"/>
      <c r="AX897" s="334"/>
      <c r="AY897" s="334"/>
      <c r="AZ897" s="334"/>
      <c r="BA897" s="201"/>
      <c r="BB897" s="334"/>
      <c r="BC897" s="334"/>
      <c r="BD897" s="334"/>
      <c r="BE897" s="201"/>
      <c r="BG897" s="334"/>
      <c r="BH897" s="334"/>
      <c r="BI897" s="334"/>
      <c r="BJ897" s="334"/>
      <c r="BK897" s="334"/>
      <c r="BL897" s="337"/>
      <c r="BM897" s="334"/>
      <c r="BN897" s="334"/>
      <c r="BO897" s="334"/>
      <c r="BP897" s="334"/>
      <c r="BQ897" s="334"/>
      <c r="BR897" s="334"/>
      <c r="BS897" s="334"/>
      <c r="BT897" s="334"/>
      <c r="BU897" s="337"/>
      <c r="BV897" s="334"/>
      <c r="BW897" s="334"/>
    </row>
    <row r="898" spans="45:75" x14ac:dyDescent="0.25">
      <c r="AS898" s="202"/>
      <c r="AV898" s="103"/>
      <c r="AW898" s="200"/>
      <c r="AX898" s="334"/>
      <c r="AY898" s="334"/>
      <c r="AZ898" s="334"/>
      <c r="BA898" s="201"/>
      <c r="BB898" s="334"/>
      <c r="BC898" s="334"/>
      <c r="BD898" s="334"/>
      <c r="BE898" s="201"/>
      <c r="BG898" s="334"/>
      <c r="BH898" s="334"/>
      <c r="BI898" s="334"/>
      <c r="BJ898" s="334"/>
      <c r="BK898" s="334"/>
      <c r="BL898" s="337"/>
      <c r="BM898" s="334"/>
      <c r="BN898" s="334"/>
      <c r="BO898" s="334"/>
      <c r="BP898" s="334"/>
      <c r="BQ898" s="334"/>
      <c r="BR898" s="334"/>
      <c r="BS898" s="334"/>
      <c r="BT898" s="334"/>
      <c r="BU898" s="337"/>
      <c r="BV898" s="334"/>
      <c r="BW898" s="334"/>
    </row>
    <row r="899" spans="45:75" x14ac:dyDescent="0.25">
      <c r="AS899" s="202"/>
      <c r="AV899" s="103"/>
      <c r="AW899" s="200"/>
      <c r="AX899" s="334"/>
      <c r="AY899" s="334"/>
      <c r="AZ899" s="334"/>
      <c r="BA899" s="201"/>
      <c r="BB899" s="334"/>
      <c r="BC899" s="334"/>
      <c r="BD899" s="334"/>
      <c r="BE899" s="201"/>
      <c r="BG899" s="334"/>
      <c r="BH899" s="334"/>
      <c r="BI899" s="334"/>
      <c r="BJ899" s="334"/>
      <c r="BK899" s="334"/>
      <c r="BL899" s="337"/>
      <c r="BM899" s="334"/>
      <c r="BN899" s="334"/>
      <c r="BO899" s="334"/>
      <c r="BP899" s="334"/>
      <c r="BQ899" s="334"/>
      <c r="BR899" s="334"/>
      <c r="BS899" s="334"/>
      <c r="BT899" s="334"/>
      <c r="BU899" s="337"/>
      <c r="BV899" s="334"/>
      <c r="BW899" s="334"/>
    </row>
    <row r="900" spans="45:75" x14ac:dyDescent="0.25">
      <c r="AX900" s="334"/>
      <c r="AY900" s="334"/>
      <c r="AZ900" s="334"/>
      <c r="BA900" s="201"/>
      <c r="BB900" s="334"/>
      <c r="BC900" s="334"/>
      <c r="BD900" s="334"/>
      <c r="BE900" s="201"/>
      <c r="BG900" s="334"/>
      <c r="BH900" s="334"/>
      <c r="BI900" s="334"/>
      <c r="BJ900" s="334"/>
      <c r="BK900" s="334"/>
      <c r="BL900" s="334"/>
      <c r="BM900" s="334"/>
      <c r="BN900" s="334"/>
      <c r="BO900" s="334"/>
      <c r="BP900" s="334"/>
      <c r="BQ900" s="334"/>
      <c r="BR900" s="334"/>
      <c r="BS900" s="334"/>
      <c r="BT900" s="334"/>
      <c r="BU900" s="334"/>
      <c r="BV900" s="334"/>
    </row>
    <row r="901" spans="45:75" x14ac:dyDescent="0.25">
      <c r="AU901" s="154"/>
    </row>
    <row r="902" spans="45:75" x14ac:dyDescent="0.25">
      <c r="AU902" s="154"/>
      <c r="AZ902" s="334"/>
      <c r="BA902" s="201"/>
      <c r="BB902" s="334"/>
      <c r="BC902" s="334"/>
      <c r="BD902" s="334"/>
      <c r="BE902" s="201"/>
      <c r="BG902" s="334"/>
      <c r="BH902" s="334"/>
      <c r="BI902" s="334"/>
      <c r="BJ902" s="334"/>
      <c r="BK902" s="334"/>
      <c r="BL902" s="334"/>
      <c r="BM902" s="334"/>
      <c r="BN902" s="334"/>
      <c r="BO902" s="334"/>
      <c r="BP902" s="334"/>
      <c r="BQ902" s="334"/>
      <c r="BR902" s="334"/>
      <c r="BS902" s="334"/>
      <c r="BT902" s="334"/>
      <c r="BU902" s="334"/>
      <c r="BV902" s="334"/>
    </row>
    <row r="903" spans="45:75" x14ac:dyDescent="0.25">
      <c r="AS903" s="154"/>
      <c r="AZ903" s="334"/>
      <c r="BB903" s="334"/>
    </row>
    <row r="904" spans="45:75" x14ac:dyDescent="0.25">
      <c r="AY904" s="202"/>
      <c r="AZ904" s="334"/>
      <c r="BB904" s="334"/>
      <c r="BO904" s="334"/>
      <c r="BP904" s="334"/>
      <c r="BQ904" s="334"/>
      <c r="BR904" s="334"/>
      <c r="BS904" s="334"/>
      <c r="BT904" s="334"/>
      <c r="BU904" s="334"/>
      <c r="BV904" s="334"/>
    </row>
    <row r="905" spans="45:75" x14ac:dyDescent="0.25">
      <c r="AY905" s="334"/>
      <c r="AZ905" s="334"/>
      <c r="BB905" s="334"/>
      <c r="BO905" s="334"/>
      <c r="BP905" s="334"/>
      <c r="BQ905" s="334"/>
      <c r="BR905" s="334"/>
      <c r="BS905" s="334"/>
      <c r="BT905" s="334"/>
      <c r="BU905" s="334"/>
      <c r="BV905" s="334"/>
    </row>
    <row r="906" spans="45:75" x14ac:dyDescent="0.25">
      <c r="AY906" s="154"/>
      <c r="AZ906" s="334"/>
      <c r="BB906" s="334"/>
      <c r="BO906" s="334"/>
      <c r="BP906" s="334"/>
      <c r="BQ906" s="334"/>
      <c r="BR906" s="334"/>
      <c r="BS906" s="334"/>
      <c r="BT906" s="334"/>
      <c r="BU906" s="334"/>
      <c r="BV906" s="334"/>
    </row>
    <row r="907" spans="45:75" x14ac:dyDescent="0.25">
      <c r="AY907" s="154"/>
      <c r="AZ907" s="334"/>
      <c r="BB907" s="334"/>
      <c r="BO907" s="334"/>
      <c r="BP907" s="334"/>
      <c r="BQ907" s="334"/>
      <c r="BR907" s="334"/>
      <c r="BS907" s="334"/>
      <c r="BT907" s="334"/>
      <c r="BU907" s="334"/>
      <c r="BV907" s="334"/>
    </row>
    <row r="908" spans="45:75" x14ac:dyDescent="0.25">
      <c r="AS908" s="202"/>
      <c r="AZ908" s="334"/>
      <c r="BB908" s="334"/>
      <c r="BD908" s="154"/>
      <c r="BO908" s="334"/>
      <c r="BP908" s="334"/>
      <c r="BQ908" s="334"/>
      <c r="BR908" s="334"/>
      <c r="BS908" s="334"/>
      <c r="BT908" s="334"/>
      <c r="BU908" s="334"/>
      <c r="BV908" s="334"/>
    </row>
    <row r="909" spans="45:75" x14ac:dyDescent="0.25">
      <c r="AS909" s="202"/>
      <c r="AZ909" s="334"/>
      <c r="BB909" s="334"/>
      <c r="BD909" s="154"/>
      <c r="BO909" s="334"/>
      <c r="BP909" s="334"/>
      <c r="BQ909" s="334"/>
      <c r="BR909" s="334"/>
      <c r="BS909" s="334"/>
      <c r="BT909" s="334"/>
      <c r="BU909" s="334"/>
      <c r="BV909" s="334"/>
    </row>
    <row r="910" spans="45:75" x14ac:dyDescent="0.25">
      <c r="AS910" s="154"/>
      <c r="AZ910" s="334"/>
      <c r="BB910" s="334"/>
      <c r="BD910" s="154"/>
      <c r="BO910" s="334"/>
      <c r="BP910" s="334"/>
      <c r="BQ910" s="334"/>
      <c r="BR910" s="334"/>
      <c r="BS910" s="334"/>
      <c r="BT910" s="334"/>
      <c r="BU910" s="334"/>
      <c r="BV910" s="334"/>
    </row>
    <row r="911" spans="45:75" x14ac:dyDescent="0.25">
      <c r="AZ911" s="334"/>
      <c r="BB911" s="334"/>
      <c r="BD911" s="202"/>
      <c r="BO911" s="334"/>
      <c r="BP911" s="334"/>
      <c r="BQ911" s="334"/>
      <c r="BR911" s="334"/>
      <c r="BS911" s="334"/>
      <c r="BT911" s="334"/>
      <c r="BU911" s="334"/>
      <c r="BV911" s="334"/>
    </row>
    <row r="912" spans="45:75" x14ac:dyDescent="0.25">
      <c r="AS912" s="102"/>
      <c r="AT912" s="102"/>
      <c r="AU912" s="102"/>
      <c r="AV912" s="102"/>
      <c r="AW912" s="102"/>
      <c r="AX912" s="102"/>
      <c r="AY912" s="102"/>
      <c r="AZ912" s="335"/>
      <c r="BA912" s="102"/>
      <c r="BB912" s="335"/>
      <c r="BC912" s="102"/>
      <c r="BD912" s="102"/>
      <c r="BE912" s="102"/>
      <c r="BO912" s="334"/>
      <c r="BP912" s="334"/>
      <c r="BQ912" s="334"/>
      <c r="BR912" s="334"/>
      <c r="BS912" s="334"/>
      <c r="BT912" s="334"/>
      <c r="BU912" s="334"/>
      <c r="BV912" s="334"/>
    </row>
    <row r="913" spans="45:74" x14ac:dyDescent="0.25">
      <c r="AX913" s="154"/>
      <c r="AZ913" s="334"/>
      <c r="BB913" s="334"/>
      <c r="BO913" s="334"/>
      <c r="BP913" s="334"/>
      <c r="BQ913" s="334"/>
      <c r="BR913" s="334"/>
      <c r="BS913" s="334"/>
      <c r="BT913" s="334"/>
      <c r="BU913" s="334"/>
      <c r="BV913" s="334"/>
    </row>
    <row r="914" spans="45:74" x14ac:dyDescent="0.25">
      <c r="AX914" s="102"/>
      <c r="AY914" s="102"/>
      <c r="AZ914" s="335"/>
      <c r="BA914" s="102"/>
      <c r="BB914" s="334"/>
      <c r="BC914" s="103"/>
      <c r="BD914" s="103"/>
      <c r="BO914" s="334"/>
      <c r="BP914" s="334"/>
      <c r="BQ914" s="334"/>
      <c r="BR914" s="334"/>
      <c r="BS914" s="334"/>
      <c r="BT914" s="334"/>
      <c r="BU914" s="334"/>
      <c r="BV914" s="334"/>
    </row>
    <row r="915" spans="45:74" x14ac:dyDescent="0.25">
      <c r="AV915" s="103"/>
      <c r="AW915" s="103"/>
      <c r="AZ915" s="336"/>
      <c r="BA915" s="103"/>
      <c r="BB915" s="334"/>
      <c r="BC915" s="103"/>
      <c r="BD915" s="103"/>
      <c r="BE915" s="103"/>
      <c r="BG915" s="102"/>
      <c r="BH915" s="154"/>
      <c r="BK915" s="102"/>
      <c r="BM915" s="102"/>
      <c r="BN915" s="154"/>
      <c r="BQ915" s="102"/>
    </row>
    <row r="916" spans="45:74" x14ac:dyDescent="0.25">
      <c r="AV916" s="103"/>
      <c r="AW916" s="103"/>
      <c r="AX916" s="103"/>
      <c r="AY916" s="103"/>
      <c r="AZ916" s="336"/>
      <c r="BA916" s="103"/>
      <c r="BB916" s="336"/>
      <c r="BC916" s="103"/>
      <c r="BD916" s="103"/>
      <c r="BE916" s="103"/>
      <c r="BH916" s="103"/>
      <c r="BI916" s="103"/>
      <c r="BN916" s="103"/>
      <c r="BO916" s="103"/>
    </row>
    <row r="917" spans="45:74" x14ac:dyDescent="0.25">
      <c r="AS917" s="103"/>
      <c r="AU917" s="154"/>
      <c r="AV917" s="103"/>
      <c r="AW917" s="103"/>
      <c r="AX917" s="103"/>
      <c r="AY917" s="103"/>
      <c r="AZ917" s="336"/>
      <c r="BA917" s="103"/>
      <c r="BB917" s="336"/>
      <c r="BC917" s="103"/>
      <c r="BD917" s="103"/>
      <c r="BE917" s="103"/>
      <c r="BG917" s="103"/>
      <c r="BH917" s="103"/>
      <c r="BI917" s="103"/>
      <c r="BJ917" s="103"/>
      <c r="BK917" s="103"/>
      <c r="BM917" s="103"/>
      <c r="BN917" s="103"/>
      <c r="BO917" s="103"/>
      <c r="BP917" s="103"/>
      <c r="BQ917" s="103"/>
    </row>
    <row r="918" spans="45:74" x14ac:dyDescent="0.25">
      <c r="AS918" s="103"/>
      <c r="AU918" s="154"/>
      <c r="AV918" s="103"/>
      <c r="AW918" s="103"/>
      <c r="AX918" s="103"/>
      <c r="AY918" s="103"/>
      <c r="AZ918" s="336"/>
      <c r="BA918" s="103"/>
      <c r="BB918" s="336"/>
      <c r="BC918" s="103"/>
      <c r="BD918" s="103"/>
      <c r="BE918" s="103"/>
      <c r="BG918" s="103"/>
      <c r="BH918" s="103"/>
      <c r="BI918" s="103"/>
      <c r="BJ918" s="103"/>
      <c r="BK918" s="103"/>
      <c r="BM918" s="103"/>
      <c r="BN918" s="103"/>
      <c r="BO918" s="103"/>
      <c r="BP918" s="103"/>
      <c r="BQ918" s="103"/>
    </row>
    <row r="919" spans="45:74" x14ac:dyDescent="0.25">
      <c r="AS919" s="102"/>
      <c r="AT919" s="102"/>
      <c r="AU919" s="102"/>
      <c r="AV919" s="102"/>
      <c r="AW919" s="102"/>
      <c r="AX919" s="102"/>
      <c r="AY919" s="102"/>
      <c r="AZ919" s="335"/>
      <c r="BA919" s="102"/>
      <c r="BB919" s="335"/>
      <c r="BC919" s="102"/>
      <c r="BD919" s="102"/>
      <c r="BE919" s="102"/>
      <c r="BG919" s="102"/>
      <c r="BH919" s="102"/>
      <c r="BI919" s="102"/>
      <c r="BJ919" s="102"/>
      <c r="BK919" s="102"/>
      <c r="BM919" s="102"/>
      <c r="BN919" s="102"/>
      <c r="BO919" s="102"/>
      <c r="BP919" s="102"/>
      <c r="BQ919" s="102"/>
    </row>
    <row r="920" spans="45:74" x14ac:dyDescent="0.25">
      <c r="AV920" s="103"/>
      <c r="AW920" s="103"/>
      <c r="AX920" s="103"/>
      <c r="AY920" s="103"/>
      <c r="AZ920" s="336"/>
      <c r="BA920" s="103"/>
      <c r="BB920" s="336"/>
      <c r="BC920" s="103"/>
      <c r="BD920" s="103"/>
      <c r="BE920" s="103"/>
      <c r="BG920" s="334"/>
      <c r="BH920" s="334"/>
      <c r="BI920" s="334"/>
      <c r="BJ920" s="334"/>
      <c r="BK920" s="334"/>
      <c r="BL920" s="334"/>
      <c r="BM920" s="334"/>
      <c r="BN920" s="334"/>
      <c r="BO920" s="334"/>
      <c r="BP920" s="334"/>
      <c r="BQ920" s="334"/>
    </row>
    <row r="921" spans="45:74" x14ac:dyDescent="0.25">
      <c r="AS921" s="202"/>
      <c r="AT921" s="154"/>
      <c r="AV921" s="200"/>
      <c r="AW921" s="200"/>
      <c r="AX921" s="334"/>
      <c r="AY921" s="334"/>
      <c r="AZ921" s="334"/>
      <c r="BA921" s="201"/>
      <c r="BB921" s="334"/>
      <c r="BC921" s="334"/>
      <c r="BD921" s="334"/>
      <c r="BE921" s="201"/>
      <c r="BG921" s="334"/>
      <c r="BH921" s="334"/>
      <c r="BI921" s="334"/>
      <c r="BJ921" s="334"/>
      <c r="BK921" s="334"/>
      <c r="BL921" s="334"/>
      <c r="BM921" s="334"/>
      <c r="BN921" s="334"/>
      <c r="BO921" s="334"/>
      <c r="BP921" s="334"/>
      <c r="BQ921" s="334"/>
      <c r="BR921" s="334"/>
      <c r="BS921" s="334"/>
    </row>
    <row r="922" spans="45:74" x14ac:dyDescent="0.25">
      <c r="AS922" s="202"/>
      <c r="AV922" s="200"/>
      <c r="AW922" s="200"/>
      <c r="AX922" s="334"/>
      <c r="AY922" s="334"/>
      <c r="AZ922" s="334"/>
      <c r="BA922" s="201"/>
      <c r="BB922" s="334"/>
      <c r="BC922" s="334"/>
      <c r="BD922" s="334"/>
      <c r="BE922" s="201"/>
      <c r="BG922" s="334"/>
      <c r="BH922" s="334"/>
      <c r="BI922" s="334"/>
      <c r="BJ922" s="334"/>
      <c r="BK922" s="334"/>
      <c r="BL922" s="334"/>
      <c r="BM922" s="334"/>
      <c r="BN922" s="334"/>
      <c r="BO922" s="334"/>
      <c r="BP922" s="334"/>
      <c r="BQ922" s="334"/>
      <c r="BR922" s="334"/>
      <c r="BS922" s="334"/>
    </row>
    <row r="923" spans="45:74" x14ac:dyDescent="0.25">
      <c r="AS923" s="202"/>
      <c r="AV923" s="200"/>
      <c r="AW923" s="200"/>
      <c r="AX923" s="334"/>
      <c r="AY923" s="334"/>
      <c r="AZ923" s="334"/>
      <c r="BA923" s="201"/>
      <c r="BB923" s="334"/>
      <c r="BC923" s="334"/>
      <c r="BD923" s="334"/>
      <c r="BE923" s="201"/>
      <c r="BG923" s="334"/>
      <c r="BH923" s="334"/>
      <c r="BI923" s="334"/>
      <c r="BJ923" s="334"/>
      <c r="BK923" s="334"/>
      <c r="BL923" s="334"/>
      <c r="BM923" s="334"/>
      <c r="BN923" s="334"/>
      <c r="BO923" s="334"/>
      <c r="BP923" s="334"/>
      <c r="BQ923" s="334"/>
      <c r="BR923" s="334"/>
      <c r="BS923" s="334"/>
    </row>
    <row r="924" spans="45:74" x14ac:dyDescent="0.25">
      <c r="AS924" s="202"/>
      <c r="AV924" s="200"/>
      <c r="AW924" s="200"/>
      <c r="AX924" s="334"/>
      <c r="AY924" s="334"/>
      <c r="AZ924" s="334"/>
      <c r="BA924" s="201"/>
      <c r="BB924" s="334"/>
      <c r="BC924" s="334"/>
      <c r="BD924" s="334"/>
      <c r="BE924" s="201"/>
      <c r="BG924" s="334"/>
      <c r="BH924" s="334"/>
      <c r="BI924" s="334"/>
      <c r="BJ924" s="334"/>
      <c r="BK924" s="334"/>
      <c r="BL924" s="334"/>
      <c r="BM924" s="334"/>
      <c r="BN924" s="334"/>
      <c r="BO924" s="334"/>
      <c r="BP924" s="334"/>
      <c r="BQ924" s="334"/>
      <c r="BR924" s="334"/>
      <c r="BS924" s="334"/>
    </row>
    <row r="925" spans="45:74" x14ac:dyDescent="0.25">
      <c r="AS925" s="202"/>
      <c r="AV925" s="200"/>
      <c r="AW925" s="200"/>
      <c r="AX925" s="334"/>
      <c r="AY925" s="334"/>
      <c r="AZ925" s="334"/>
      <c r="BA925" s="201"/>
      <c r="BB925" s="334"/>
      <c r="BC925" s="334"/>
      <c r="BD925" s="334"/>
      <c r="BE925" s="201"/>
      <c r="BG925" s="334"/>
      <c r="BH925" s="334"/>
      <c r="BI925" s="334"/>
      <c r="BJ925" s="334"/>
      <c r="BK925" s="334"/>
      <c r="BL925" s="334"/>
      <c r="BM925" s="334"/>
      <c r="BN925" s="334"/>
      <c r="BO925" s="334"/>
      <c r="BP925" s="334"/>
      <c r="BQ925" s="334"/>
      <c r="BR925" s="334"/>
      <c r="BS925" s="334"/>
    </row>
    <row r="926" spans="45:74" x14ac:dyDescent="0.25">
      <c r="AS926" s="202"/>
      <c r="AV926" s="200"/>
      <c r="AW926" s="200"/>
      <c r="AX926" s="334"/>
      <c r="AY926" s="334"/>
      <c r="AZ926" s="334"/>
      <c r="BA926" s="201"/>
      <c r="BB926" s="334"/>
      <c r="BC926" s="334"/>
      <c r="BD926" s="334"/>
      <c r="BE926" s="201"/>
      <c r="BG926" s="334"/>
      <c r="BH926" s="334"/>
      <c r="BI926" s="334"/>
      <c r="BJ926" s="334"/>
      <c r="BK926" s="334"/>
      <c r="BL926" s="334"/>
      <c r="BM926" s="334"/>
      <c r="BN926" s="334"/>
      <c r="BO926" s="334"/>
      <c r="BP926" s="334"/>
      <c r="BQ926" s="334"/>
      <c r="BR926" s="334"/>
      <c r="BS926" s="334"/>
    </row>
    <row r="927" spans="45:74" x14ac:dyDescent="0.25">
      <c r="AS927" s="202"/>
      <c r="AV927" s="200"/>
      <c r="AW927" s="200"/>
      <c r="AX927" s="334"/>
      <c r="AY927" s="334"/>
      <c r="AZ927" s="334"/>
      <c r="BA927" s="201"/>
      <c r="BB927" s="334"/>
      <c r="BC927" s="334"/>
      <c r="BD927" s="334"/>
      <c r="BE927" s="201"/>
      <c r="BG927" s="334"/>
      <c r="BH927" s="334"/>
      <c r="BI927" s="334"/>
      <c r="BJ927" s="334"/>
      <c r="BK927" s="334"/>
      <c r="BL927" s="334"/>
      <c r="BM927" s="334"/>
      <c r="BN927" s="334"/>
      <c r="BO927" s="334"/>
      <c r="BP927" s="334"/>
      <c r="BQ927" s="334"/>
      <c r="BR927" s="334"/>
      <c r="BS927" s="334"/>
    </row>
    <row r="928" spans="45:74" x14ac:dyDescent="0.25">
      <c r="AS928" s="202"/>
      <c r="AV928" s="200"/>
      <c r="AW928" s="200"/>
      <c r="AX928" s="334"/>
      <c r="AY928" s="334"/>
      <c r="AZ928" s="334"/>
      <c r="BA928" s="201"/>
      <c r="BB928" s="334"/>
      <c r="BC928" s="334"/>
      <c r="BD928" s="334"/>
      <c r="BE928" s="201"/>
      <c r="BG928" s="334"/>
      <c r="BH928" s="334"/>
      <c r="BI928" s="334"/>
      <c r="BJ928" s="334"/>
      <c r="BK928" s="334"/>
      <c r="BL928" s="334"/>
      <c r="BM928" s="334"/>
      <c r="BN928" s="334"/>
      <c r="BO928" s="334"/>
      <c r="BP928" s="334"/>
      <c r="BQ928" s="334"/>
      <c r="BR928" s="334"/>
      <c r="BS928" s="334"/>
    </row>
    <row r="929" spans="45:71" x14ac:dyDescent="0.25">
      <c r="AS929" s="202"/>
      <c r="AV929" s="200"/>
      <c r="AW929" s="200"/>
      <c r="AX929" s="334"/>
      <c r="AY929" s="334"/>
      <c r="AZ929" s="334"/>
      <c r="BA929" s="201"/>
      <c r="BB929" s="334"/>
      <c r="BC929" s="334"/>
      <c r="BD929" s="334"/>
      <c r="BE929" s="201"/>
      <c r="BG929" s="334"/>
      <c r="BH929" s="334"/>
      <c r="BI929" s="334"/>
      <c r="BJ929" s="334"/>
      <c r="BK929" s="334"/>
      <c r="BL929" s="334"/>
      <c r="BM929" s="334"/>
      <c r="BN929" s="334"/>
      <c r="BO929" s="334"/>
      <c r="BP929" s="334"/>
      <c r="BQ929" s="334"/>
      <c r="BR929" s="334"/>
      <c r="BS929" s="334"/>
    </row>
    <row r="930" spans="45:71" x14ac:dyDescent="0.25">
      <c r="AS930" s="202"/>
      <c r="AV930" s="200"/>
      <c r="AW930" s="200"/>
      <c r="AX930" s="334"/>
      <c r="AY930" s="334"/>
      <c r="AZ930" s="334"/>
      <c r="BA930" s="201"/>
      <c r="BB930" s="334"/>
      <c r="BC930" s="334"/>
      <c r="BD930" s="334"/>
      <c r="BE930" s="201"/>
      <c r="BG930" s="334"/>
      <c r="BH930" s="334"/>
      <c r="BI930" s="334"/>
      <c r="BJ930" s="334"/>
      <c r="BK930" s="334"/>
      <c r="BL930" s="334"/>
      <c r="BM930" s="334"/>
      <c r="BN930" s="334"/>
      <c r="BO930" s="334"/>
      <c r="BP930" s="334"/>
      <c r="BQ930" s="334"/>
      <c r="BR930" s="334"/>
      <c r="BS930" s="334"/>
    </row>
    <row r="931" spans="45:71" x14ac:dyDescent="0.25">
      <c r="AS931" s="202"/>
      <c r="AV931" s="200"/>
      <c r="AW931" s="200"/>
      <c r="AX931" s="334"/>
      <c r="AY931" s="334"/>
      <c r="AZ931" s="334"/>
      <c r="BA931" s="201"/>
      <c r="BB931" s="334"/>
      <c r="BC931" s="334"/>
      <c r="BD931" s="334"/>
      <c r="BE931" s="201"/>
      <c r="BG931" s="334"/>
      <c r="BH931" s="334"/>
      <c r="BI931" s="334"/>
      <c r="BJ931" s="334"/>
      <c r="BK931" s="334"/>
      <c r="BL931" s="334"/>
      <c r="BM931" s="334"/>
      <c r="BN931" s="334"/>
      <c r="BO931" s="334"/>
      <c r="BP931" s="334"/>
      <c r="BQ931" s="334"/>
      <c r="BR931" s="334"/>
      <c r="BS931" s="334"/>
    </row>
    <row r="932" spans="45:71" x14ac:dyDescent="0.25">
      <c r="AS932" s="202"/>
      <c r="AV932" s="200"/>
      <c r="AW932" s="200"/>
      <c r="AX932" s="334"/>
      <c r="AY932" s="334"/>
      <c r="AZ932" s="334"/>
      <c r="BA932" s="201"/>
      <c r="BB932" s="334"/>
      <c r="BC932" s="334"/>
      <c r="BD932" s="334"/>
      <c r="BE932" s="201"/>
      <c r="BG932" s="334"/>
      <c r="BH932" s="334"/>
      <c r="BI932" s="334"/>
      <c r="BJ932" s="334"/>
      <c r="BK932" s="334"/>
      <c r="BL932" s="334"/>
      <c r="BM932" s="334"/>
      <c r="BN932" s="334"/>
      <c r="BO932" s="334"/>
      <c r="BP932" s="334"/>
      <c r="BQ932" s="334"/>
      <c r="BR932" s="334"/>
      <c r="BS932" s="334"/>
    </row>
    <row r="933" spans="45:71" x14ac:dyDescent="0.25">
      <c r="AS933" s="202"/>
      <c r="AV933" s="200"/>
      <c r="AW933" s="200"/>
      <c r="AX933" s="334"/>
      <c r="AY933" s="334"/>
      <c r="AZ933" s="334"/>
      <c r="BA933" s="201"/>
      <c r="BB933" s="334"/>
      <c r="BC933" s="334"/>
      <c r="BD933" s="334"/>
      <c r="BE933" s="201"/>
      <c r="BG933" s="334"/>
      <c r="BH933" s="334"/>
      <c r="BI933" s="334"/>
      <c r="BJ933" s="334"/>
      <c r="BK933" s="334"/>
      <c r="BL933" s="334"/>
      <c r="BM933" s="334"/>
      <c r="BN933" s="334"/>
      <c r="BO933" s="334"/>
      <c r="BP933" s="334"/>
      <c r="BQ933" s="334"/>
      <c r="BR933" s="334"/>
      <c r="BS933" s="334"/>
    </row>
    <row r="934" spans="45:71" x14ac:dyDescent="0.25">
      <c r="AS934" s="202"/>
      <c r="AV934" s="200"/>
      <c r="AW934" s="200"/>
      <c r="AX934" s="334"/>
      <c r="AY934" s="334"/>
      <c r="AZ934" s="334"/>
      <c r="BA934" s="201"/>
      <c r="BB934" s="334"/>
      <c r="BC934" s="334"/>
      <c r="BD934" s="334"/>
      <c r="BE934" s="201"/>
      <c r="BG934" s="334"/>
      <c r="BH934" s="334"/>
      <c r="BI934" s="334"/>
      <c r="BJ934" s="334"/>
      <c r="BK934" s="334"/>
      <c r="BL934" s="334"/>
      <c r="BM934" s="334"/>
      <c r="BN934" s="334"/>
      <c r="BO934" s="334"/>
      <c r="BP934" s="334"/>
      <c r="BQ934" s="334"/>
      <c r="BR934" s="334"/>
      <c r="BS934" s="334"/>
    </row>
    <row r="935" spans="45:71" x14ac:dyDescent="0.25">
      <c r="AS935" s="202"/>
      <c r="AV935" s="200"/>
      <c r="AW935" s="200"/>
      <c r="AX935" s="334"/>
      <c r="AY935" s="334"/>
      <c r="AZ935" s="334"/>
      <c r="BA935" s="201"/>
      <c r="BB935" s="334"/>
      <c r="BC935" s="334"/>
      <c r="BD935" s="334"/>
      <c r="BE935" s="201"/>
      <c r="BG935" s="334"/>
      <c r="BH935" s="334"/>
      <c r="BI935" s="334"/>
      <c r="BJ935" s="334"/>
      <c r="BK935" s="334"/>
      <c r="BL935" s="334"/>
      <c r="BM935" s="334"/>
      <c r="BN935" s="334"/>
      <c r="BO935" s="334"/>
      <c r="BP935" s="334"/>
      <c r="BQ935" s="334"/>
      <c r="BR935" s="334"/>
      <c r="BS935" s="334"/>
    </row>
    <row r="936" spans="45:71" x14ac:dyDescent="0.25">
      <c r="AS936" s="202"/>
      <c r="AV936" s="200"/>
      <c r="AW936" s="200"/>
      <c r="AX936" s="334"/>
      <c r="AY936" s="334"/>
      <c r="AZ936" s="334"/>
      <c r="BA936" s="201"/>
      <c r="BB936" s="334"/>
      <c r="BC936" s="334"/>
      <c r="BD936" s="334"/>
      <c r="BE936" s="201"/>
      <c r="BG936" s="334"/>
      <c r="BH936" s="334"/>
      <c r="BI936" s="334"/>
      <c r="BJ936" s="334"/>
      <c r="BK936" s="334"/>
      <c r="BL936" s="334"/>
      <c r="BM936" s="334"/>
      <c r="BN936" s="334"/>
      <c r="BO936" s="334"/>
      <c r="BP936" s="334"/>
      <c r="BQ936" s="334"/>
      <c r="BR936" s="334"/>
      <c r="BS936" s="334"/>
    </row>
    <row r="937" spans="45:71" x14ac:dyDescent="0.25">
      <c r="AS937" s="202"/>
      <c r="AV937" s="200"/>
      <c r="AW937" s="200"/>
      <c r="AX937" s="334"/>
      <c r="AY937" s="334"/>
      <c r="AZ937" s="334"/>
      <c r="BA937" s="201"/>
      <c r="BB937" s="334"/>
      <c r="BC937" s="334"/>
      <c r="BD937" s="334"/>
      <c r="BE937" s="201"/>
      <c r="BG937" s="334"/>
      <c r="BH937" s="334"/>
      <c r="BI937" s="334"/>
      <c r="BJ937" s="334"/>
      <c r="BK937" s="334"/>
      <c r="BL937" s="334"/>
      <c r="BM937" s="334"/>
      <c r="BN937" s="334"/>
      <c r="BO937" s="334"/>
      <c r="BP937" s="334"/>
      <c r="BQ937" s="334"/>
      <c r="BR937" s="334"/>
      <c r="BS937" s="334"/>
    </row>
    <row r="938" spans="45:71" x14ac:dyDescent="0.25">
      <c r="AS938" s="202"/>
      <c r="AV938" s="200"/>
      <c r="AW938" s="200"/>
      <c r="AX938" s="334"/>
      <c r="AY938" s="334"/>
      <c r="AZ938" s="334"/>
      <c r="BA938" s="201"/>
      <c r="BB938" s="334"/>
      <c r="BC938" s="334"/>
      <c r="BD938" s="334"/>
      <c r="BE938" s="201"/>
      <c r="BG938" s="334"/>
      <c r="BH938" s="334"/>
      <c r="BI938" s="334"/>
      <c r="BJ938" s="334"/>
      <c r="BK938" s="334"/>
      <c r="BL938" s="334"/>
      <c r="BM938" s="334"/>
      <c r="BN938" s="334"/>
      <c r="BO938" s="334"/>
      <c r="BP938" s="334"/>
      <c r="BQ938" s="334"/>
      <c r="BR938" s="334"/>
      <c r="BS938" s="334"/>
    </row>
    <row r="939" spans="45:71" x14ac:dyDescent="0.25">
      <c r="AZ939" s="334"/>
      <c r="BB939" s="334"/>
      <c r="BC939" s="334"/>
      <c r="BD939" s="334"/>
      <c r="BG939" s="334"/>
      <c r="BH939" s="334"/>
      <c r="BI939" s="334"/>
      <c r="BJ939" s="334"/>
      <c r="BK939" s="334"/>
      <c r="BL939" s="334"/>
      <c r="BM939" s="334"/>
      <c r="BN939" s="334"/>
      <c r="BO939" s="334"/>
      <c r="BP939" s="334"/>
      <c r="BQ939" s="334"/>
      <c r="BR939" s="334"/>
      <c r="BS939" s="334"/>
    </row>
    <row r="940" spans="45:71" x14ac:dyDescent="0.25">
      <c r="AS940" s="202"/>
      <c r="AT940" s="154"/>
      <c r="AV940" s="200"/>
      <c r="AW940" s="200"/>
      <c r="AX940" s="334"/>
      <c r="AY940" s="334"/>
      <c r="AZ940" s="334"/>
      <c r="BA940" s="201"/>
      <c r="BB940" s="334"/>
      <c r="BC940" s="334"/>
      <c r="BD940" s="334"/>
      <c r="BE940" s="201"/>
    </row>
    <row r="941" spans="45:71" x14ac:dyDescent="0.25">
      <c r="AS941" s="202"/>
      <c r="AV941" s="200"/>
      <c r="AW941" s="200"/>
      <c r="AX941" s="334"/>
      <c r="AY941" s="334"/>
      <c r="AZ941" s="334"/>
      <c r="BA941" s="201"/>
      <c r="BB941" s="334"/>
      <c r="BC941" s="334"/>
      <c r="BD941" s="334"/>
      <c r="BE941" s="201"/>
    </row>
    <row r="942" spans="45:71" x14ac:dyDescent="0.25">
      <c r="AS942" s="202"/>
      <c r="AV942" s="200"/>
      <c r="AW942" s="200"/>
      <c r="AX942" s="334"/>
      <c r="AY942" s="334"/>
      <c r="AZ942" s="334"/>
      <c r="BA942" s="201"/>
      <c r="BB942" s="334"/>
      <c r="BC942" s="334"/>
      <c r="BD942" s="334"/>
      <c r="BE942" s="201"/>
    </row>
    <row r="943" spans="45:71" x14ac:dyDescent="0.25">
      <c r="AS943" s="202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4" spans="45:71" x14ac:dyDescent="0.25">
      <c r="AS944" s="202"/>
      <c r="AV944" s="200"/>
      <c r="AW944" s="200"/>
      <c r="AX944" s="334"/>
      <c r="AY944" s="334"/>
      <c r="AZ944" s="334"/>
      <c r="BA944" s="201"/>
      <c r="BB944" s="334"/>
      <c r="BC944" s="334"/>
      <c r="BD944" s="334"/>
      <c r="BE944" s="201"/>
    </row>
    <row r="945" spans="45:57" x14ac:dyDescent="0.25">
      <c r="AS945" s="202"/>
      <c r="AV945" s="200"/>
      <c r="AW945" s="200"/>
      <c r="AX945" s="334"/>
      <c r="AY945" s="334"/>
      <c r="AZ945" s="334"/>
      <c r="BA945" s="201"/>
      <c r="BB945" s="334"/>
      <c r="BC945" s="334"/>
      <c r="BD945" s="334"/>
      <c r="BE945" s="201"/>
    </row>
    <row r="946" spans="45:57" x14ac:dyDescent="0.25">
      <c r="AS946" s="202"/>
      <c r="AV946" s="200"/>
      <c r="AW946" s="200"/>
      <c r="AX946" s="334"/>
      <c r="AY946" s="334"/>
      <c r="AZ946" s="334"/>
      <c r="BA946" s="201"/>
      <c r="BB946" s="334"/>
      <c r="BC946" s="334"/>
      <c r="BD946" s="334"/>
      <c r="BE946" s="201"/>
    </row>
    <row r="947" spans="45:57" x14ac:dyDescent="0.25">
      <c r="AS947" s="202"/>
      <c r="AV947" s="200"/>
      <c r="AW947" s="200"/>
      <c r="AX947" s="334"/>
      <c r="AY947" s="334"/>
      <c r="AZ947" s="334"/>
      <c r="BA947" s="201"/>
      <c r="BB947" s="334"/>
      <c r="BC947" s="334"/>
      <c r="BD947" s="334"/>
      <c r="BE947" s="201"/>
    </row>
    <row r="948" spans="45:57" x14ac:dyDescent="0.25">
      <c r="AS948" s="202"/>
      <c r="AV948" s="200"/>
      <c r="AW948" s="200"/>
      <c r="AX948" s="334"/>
      <c r="AY948" s="334"/>
      <c r="AZ948" s="334"/>
      <c r="BA948" s="201"/>
      <c r="BB948" s="334"/>
      <c r="BC948" s="334"/>
      <c r="BD948" s="334"/>
      <c r="BE948" s="201"/>
    </row>
    <row r="949" spans="45:57" x14ac:dyDescent="0.25">
      <c r="AS949" s="202"/>
      <c r="AV949" s="200"/>
      <c r="AW949" s="200"/>
      <c r="AX949" s="334"/>
      <c r="AY949" s="334"/>
      <c r="AZ949" s="334"/>
      <c r="BA949" s="201"/>
      <c r="BB949" s="334"/>
      <c r="BC949" s="334"/>
      <c r="BD949" s="334"/>
      <c r="BE949" s="201"/>
    </row>
    <row r="950" spans="45:57" x14ac:dyDescent="0.25">
      <c r="AS950" s="202"/>
      <c r="AV950" s="200"/>
      <c r="AW950" s="200"/>
      <c r="AX950" s="334"/>
      <c r="AY950" s="334"/>
      <c r="AZ950" s="334"/>
      <c r="BA950" s="201"/>
      <c r="BB950" s="334"/>
      <c r="BC950" s="334"/>
      <c r="BD950" s="334"/>
      <c r="BE950" s="201"/>
    </row>
    <row r="951" spans="45:57" x14ac:dyDescent="0.25">
      <c r="AS951" s="202"/>
      <c r="AV951" s="200"/>
      <c r="AW951" s="200"/>
      <c r="AX951" s="334"/>
      <c r="AY951" s="334"/>
      <c r="AZ951" s="334"/>
      <c r="BA951" s="201"/>
      <c r="BB951" s="334"/>
      <c r="BC951" s="334"/>
      <c r="BD951" s="334"/>
      <c r="BE951" s="201"/>
    </row>
    <row r="952" spans="45:57" x14ac:dyDescent="0.25">
      <c r="AS952" s="202"/>
      <c r="AV952" s="200"/>
      <c r="AW952" s="200"/>
      <c r="AX952" s="334"/>
      <c r="AY952" s="334"/>
      <c r="AZ952" s="334"/>
      <c r="BA952" s="201"/>
      <c r="BB952" s="334"/>
      <c r="BC952" s="334"/>
      <c r="BD952" s="334"/>
      <c r="BE952" s="201"/>
    </row>
    <row r="953" spans="45:57" x14ac:dyDescent="0.25">
      <c r="AS953" s="202"/>
      <c r="AV953" s="200"/>
      <c r="AW953" s="200"/>
      <c r="AX953" s="334"/>
      <c r="AY953" s="334"/>
      <c r="AZ953" s="334"/>
      <c r="BA953" s="201"/>
      <c r="BB953" s="334"/>
      <c r="BC953" s="334"/>
      <c r="BD953" s="334"/>
      <c r="BE953" s="201"/>
    </row>
    <row r="954" spans="45:57" x14ac:dyDescent="0.25">
      <c r="AS954" s="202"/>
      <c r="AV954" s="200"/>
      <c r="AW954" s="200"/>
      <c r="AX954" s="334"/>
      <c r="AY954" s="334"/>
      <c r="AZ954" s="334"/>
      <c r="BA954" s="201"/>
      <c r="BB954" s="334"/>
      <c r="BC954" s="334"/>
      <c r="BD954" s="334"/>
      <c r="BE954" s="201"/>
    </row>
    <row r="955" spans="45:57" x14ac:dyDescent="0.25">
      <c r="AS955" s="202"/>
      <c r="AV955" s="200"/>
      <c r="AW955" s="200"/>
      <c r="AX955" s="334"/>
      <c r="AY955" s="334"/>
      <c r="AZ955" s="334"/>
      <c r="BA955" s="201"/>
      <c r="BB955" s="334"/>
      <c r="BC955" s="334"/>
      <c r="BD955" s="334"/>
      <c r="BE955" s="201"/>
    </row>
    <row r="956" spans="45:57" x14ac:dyDescent="0.25">
      <c r="AS956" s="202"/>
      <c r="AV956" s="200"/>
      <c r="AW956" s="200"/>
      <c r="AX956" s="334"/>
      <c r="AY956" s="334"/>
      <c r="AZ956" s="334"/>
      <c r="BA956" s="201"/>
      <c r="BB956" s="334"/>
      <c r="BC956" s="334"/>
      <c r="BD956" s="334"/>
      <c r="BE956" s="201"/>
    </row>
    <row r="957" spans="45:57" x14ac:dyDescent="0.25">
      <c r="AS957" s="202"/>
      <c r="AV957" s="200"/>
      <c r="AW957" s="200"/>
      <c r="AX957" s="334"/>
      <c r="AY957" s="334"/>
      <c r="AZ957" s="334"/>
      <c r="BA957" s="201"/>
      <c r="BB957" s="334"/>
      <c r="BC957" s="334"/>
      <c r="BD957" s="334"/>
      <c r="BE957" s="201"/>
    </row>
    <row r="958" spans="45:57" x14ac:dyDescent="0.25">
      <c r="BB958" s="334"/>
    </row>
    <row r="959" spans="45:57" x14ac:dyDescent="0.25">
      <c r="AU959" s="154"/>
      <c r="BB959" s="334"/>
    </row>
    <row r="960" spans="45:57" x14ac:dyDescent="0.25">
      <c r="AU960" s="154"/>
    </row>
    <row r="961" spans="45:57" x14ac:dyDescent="0.25">
      <c r="AU961" s="154"/>
      <c r="BB961" s="334"/>
    </row>
    <row r="962" spans="45:57" x14ac:dyDescent="0.25">
      <c r="AS962" s="154"/>
      <c r="AZ962" s="334"/>
      <c r="BB962" s="334"/>
    </row>
    <row r="963" spans="45:57" x14ac:dyDescent="0.25">
      <c r="AY963" s="202"/>
      <c r="AZ963" s="334"/>
      <c r="BB963" s="334"/>
    </row>
    <row r="964" spans="45:57" x14ac:dyDescent="0.25">
      <c r="AY964" s="334"/>
      <c r="AZ964" s="334"/>
      <c r="BB964" s="334"/>
    </row>
    <row r="965" spans="45:57" x14ac:dyDescent="0.25">
      <c r="AY965" s="154"/>
      <c r="AZ965" s="334"/>
      <c r="BB965" s="334"/>
    </row>
    <row r="966" spans="45:57" x14ac:dyDescent="0.25">
      <c r="AY966" s="154"/>
      <c r="AZ966" s="334"/>
      <c r="BB966" s="334"/>
    </row>
    <row r="967" spans="45:57" x14ac:dyDescent="0.25">
      <c r="AS967" s="202"/>
      <c r="AZ967" s="334"/>
      <c r="BB967" s="334"/>
      <c r="BD967" s="154"/>
    </row>
    <row r="968" spans="45:57" x14ac:dyDescent="0.25">
      <c r="AS968" s="202"/>
      <c r="AZ968" s="334"/>
      <c r="BB968" s="334"/>
      <c r="BD968" s="154"/>
    </row>
    <row r="969" spans="45:57" x14ac:dyDescent="0.25">
      <c r="AS969" s="154"/>
      <c r="AZ969" s="334"/>
      <c r="BB969" s="334"/>
      <c r="BD969" s="154"/>
    </row>
    <row r="970" spans="45:57" x14ac:dyDescent="0.25">
      <c r="AZ970" s="334"/>
      <c r="BB970" s="334"/>
      <c r="BD970" s="202"/>
    </row>
    <row r="971" spans="45:57" x14ac:dyDescent="0.25">
      <c r="AS971" s="102"/>
      <c r="AT971" s="102"/>
      <c r="AU971" s="102"/>
      <c r="AV971" s="102"/>
      <c r="AW971" s="102"/>
      <c r="AX971" s="102"/>
      <c r="AY971" s="102"/>
      <c r="AZ971" s="335"/>
      <c r="BA971" s="102"/>
      <c r="BB971" s="335"/>
      <c r="BC971" s="102"/>
      <c r="BD971" s="102"/>
      <c r="BE971" s="102"/>
    </row>
    <row r="972" spans="45:57" x14ac:dyDescent="0.25">
      <c r="AX972" s="154"/>
      <c r="AZ972" s="334"/>
      <c r="BB972" s="334"/>
    </row>
    <row r="973" spans="45:57" x14ac:dyDescent="0.25">
      <c r="AX973" s="102"/>
      <c r="AY973" s="102"/>
      <c r="AZ973" s="335"/>
      <c r="BA973" s="102"/>
      <c r="BB973" s="334"/>
      <c r="BC973" s="103"/>
      <c r="BD973" s="103"/>
    </row>
    <row r="974" spans="45:57" x14ac:dyDescent="0.25">
      <c r="AV974" s="103"/>
      <c r="AW974" s="103"/>
      <c r="AZ974" s="336"/>
      <c r="BA974" s="103"/>
      <c r="BB974" s="334"/>
      <c r="BC974" s="103"/>
      <c r="BD974" s="103"/>
      <c r="BE974" s="103"/>
    </row>
    <row r="975" spans="45:57" x14ac:dyDescent="0.25">
      <c r="AV975" s="103"/>
      <c r="AW975" s="103"/>
      <c r="AX975" s="103"/>
      <c r="AY975" s="103"/>
      <c r="AZ975" s="336"/>
      <c r="BA975" s="103"/>
      <c r="BB975" s="336"/>
      <c r="BC975" s="103"/>
      <c r="BD975" s="103"/>
      <c r="BE975" s="103"/>
    </row>
    <row r="976" spans="45:57" x14ac:dyDescent="0.25">
      <c r="AS976" s="103"/>
      <c r="AU976" s="154"/>
      <c r="AV976" s="103"/>
      <c r="AW976" s="103"/>
      <c r="AX976" s="103"/>
      <c r="AY976" s="103"/>
      <c r="AZ976" s="336"/>
      <c r="BA976" s="103"/>
      <c r="BB976" s="336"/>
      <c r="BC976" s="103"/>
      <c r="BD976" s="103"/>
      <c r="BE976" s="103"/>
    </row>
    <row r="977" spans="45:57" x14ac:dyDescent="0.25">
      <c r="AS977" s="103"/>
      <c r="AU977" s="154"/>
      <c r="AV977" s="103"/>
      <c r="AW977" s="103"/>
      <c r="AX977" s="103"/>
      <c r="AY977" s="103"/>
      <c r="AZ977" s="336"/>
      <c r="BA977" s="103"/>
      <c r="BB977" s="336"/>
      <c r="BC977" s="103"/>
      <c r="BD977" s="103"/>
      <c r="BE977" s="103"/>
    </row>
    <row r="978" spans="45:57" x14ac:dyDescent="0.25">
      <c r="AS978" s="102"/>
      <c r="AT978" s="102"/>
      <c r="AU978" s="102"/>
      <c r="AV978" s="102"/>
      <c r="AW978" s="102"/>
      <c r="AX978" s="102"/>
      <c r="AY978" s="102"/>
      <c r="AZ978" s="335"/>
      <c r="BA978" s="102"/>
      <c r="BB978" s="335"/>
      <c r="BC978" s="102"/>
      <c r="BD978" s="102"/>
      <c r="BE978" s="102"/>
    </row>
    <row r="979" spans="45:57" x14ac:dyDescent="0.25">
      <c r="AV979" s="103"/>
      <c r="AW979" s="103"/>
      <c r="AX979" s="103"/>
      <c r="AY979" s="103"/>
      <c r="AZ979" s="336"/>
      <c r="BA979" s="103"/>
      <c r="BB979" s="336"/>
      <c r="BC979" s="103"/>
      <c r="BD979" s="103"/>
      <c r="BE979" s="103"/>
    </row>
    <row r="980" spans="45:57" x14ac:dyDescent="0.25">
      <c r="AS980" s="202"/>
      <c r="AT980" s="154"/>
      <c r="AV980" s="200"/>
      <c r="AW980" s="200"/>
      <c r="AX980" s="334"/>
      <c r="AY980" s="334"/>
      <c r="AZ980" s="334"/>
      <c r="BA980" s="201"/>
      <c r="BB980" s="334"/>
      <c r="BC980" s="334"/>
      <c r="BD980" s="334"/>
      <c r="BE980" s="201"/>
    </row>
    <row r="981" spans="45:57" x14ac:dyDescent="0.25">
      <c r="AS981" s="202"/>
      <c r="AV981" s="200"/>
      <c r="AW981" s="200"/>
      <c r="AX981" s="334"/>
      <c r="AY981" s="334"/>
      <c r="AZ981" s="334"/>
      <c r="BA981" s="201"/>
      <c r="BB981" s="334"/>
      <c r="BC981" s="334"/>
      <c r="BD981" s="334"/>
      <c r="BE981" s="201"/>
    </row>
    <row r="982" spans="45:57" x14ac:dyDescent="0.25">
      <c r="AS982" s="202"/>
      <c r="AV982" s="200"/>
      <c r="AW982" s="200"/>
      <c r="AX982" s="334"/>
      <c r="AY982" s="334"/>
      <c r="AZ982" s="334"/>
      <c r="BA982" s="201"/>
      <c r="BB982" s="334"/>
      <c r="BC982" s="334"/>
      <c r="BD982" s="334"/>
      <c r="BE982" s="201"/>
    </row>
    <row r="983" spans="45:57" x14ac:dyDescent="0.25">
      <c r="AS983" s="202"/>
      <c r="AV983" s="200"/>
      <c r="AW983" s="200"/>
      <c r="AX983" s="334"/>
      <c r="AY983" s="334"/>
      <c r="AZ983" s="334"/>
      <c r="BA983" s="201"/>
      <c r="BB983" s="334"/>
      <c r="BC983" s="334"/>
      <c r="BD983" s="334"/>
      <c r="BE983" s="201"/>
    </row>
    <row r="984" spans="45:57" x14ac:dyDescent="0.25">
      <c r="AS984" s="202"/>
      <c r="AV984" s="200"/>
      <c r="AW984" s="200"/>
      <c r="AX984" s="334"/>
      <c r="AY984" s="334"/>
      <c r="AZ984" s="334"/>
      <c r="BA984" s="201"/>
      <c r="BB984" s="334"/>
      <c r="BC984" s="334"/>
      <c r="BD984" s="334"/>
      <c r="BE984" s="201"/>
    </row>
    <row r="985" spans="45:57" x14ac:dyDescent="0.25">
      <c r="AS985" s="202"/>
      <c r="AV985" s="200"/>
      <c r="AW985" s="200"/>
      <c r="AX985" s="334"/>
      <c r="AY985" s="334"/>
      <c r="AZ985" s="334"/>
      <c r="BA985" s="201"/>
      <c r="BB985" s="334"/>
      <c r="BC985" s="334"/>
      <c r="BD985" s="334"/>
      <c r="BE985" s="201"/>
    </row>
    <row r="986" spans="45:57" x14ac:dyDescent="0.25">
      <c r="AS986" s="202"/>
      <c r="AV986" s="200"/>
      <c r="AW986" s="200"/>
      <c r="AX986" s="334"/>
      <c r="AY986" s="334"/>
      <c r="AZ986" s="334"/>
      <c r="BA986" s="201"/>
      <c r="BB986" s="334"/>
      <c r="BC986" s="334"/>
      <c r="BD986" s="334"/>
      <c r="BE986" s="201"/>
    </row>
    <row r="987" spans="45:57" x14ac:dyDescent="0.25">
      <c r="AS987" s="202"/>
      <c r="AV987" s="200"/>
      <c r="AW987" s="200"/>
      <c r="AX987" s="334"/>
      <c r="AY987" s="334"/>
      <c r="AZ987" s="334"/>
      <c r="BA987" s="201"/>
      <c r="BB987" s="334"/>
      <c r="BC987" s="334"/>
      <c r="BD987" s="334"/>
      <c r="BE987" s="201"/>
    </row>
    <row r="988" spans="45:57" x14ac:dyDescent="0.25">
      <c r="AS988" s="202"/>
      <c r="AV988" s="200"/>
      <c r="AW988" s="200"/>
      <c r="AX988" s="334"/>
      <c r="AY988" s="334"/>
      <c r="AZ988" s="334"/>
      <c r="BA988" s="201"/>
      <c r="BB988" s="334"/>
      <c r="BC988" s="334"/>
      <c r="BD988" s="334"/>
      <c r="BE988" s="201"/>
    </row>
    <row r="989" spans="45:57" x14ac:dyDescent="0.25">
      <c r="AS989" s="202"/>
      <c r="AV989" s="200"/>
      <c r="AW989" s="200"/>
      <c r="AX989" s="334"/>
      <c r="AY989" s="334"/>
      <c r="AZ989" s="334"/>
      <c r="BA989" s="201"/>
      <c r="BB989" s="334"/>
      <c r="BC989" s="334"/>
      <c r="BD989" s="334"/>
      <c r="BE989" s="201"/>
    </row>
    <row r="990" spans="45:57" x14ac:dyDescent="0.25">
      <c r="AV990" s="200"/>
      <c r="AW990" s="200"/>
      <c r="BB990" s="334"/>
    </row>
    <row r="991" spans="45:57" x14ac:dyDescent="0.25">
      <c r="AS991" s="202"/>
      <c r="AT991" s="154"/>
      <c r="AV991" s="200"/>
      <c r="AW991" s="200"/>
      <c r="AX991" s="334"/>
      <c r="AY991" s="334"/>
      <c r="AZ991" s="334"/>
      <c r="BA991" s="201"/>
      <c r="BB991" s="334"/>
      <c r="BC991" s="334"/>
      <c r="BD991" s="334"/>
      <c r="BE991" s="201"/>
    </row>
    <row r="992" spans="45:57" x14ac:dyDescent="0.25">
      <c r="AS992" s="202"/>
      <c r="AV992" s="200"/>
      <c r="AW992" s="200"/>
      <c r="AX992" s="334"/>
      <c r="AY992" s="334"/>
      <c r="AZ992" s="334"/>
      <c r="BA992" s="201"/>
      <c r="BB992" s="334"/>
      <c r="BC992" s="334"/>
      <c r="BD992" s="334"/>
      <c r="BE992" s="201"/>
    </row>
    <row r="993" spans="45:57" x14ac:dyDescent="0.25">
      <c r="AS993" s="202"/>
      <c r="AV993" s="200"/>
      <c r="AW993" s="200"/>
      <c r="AX993" s="334"/>
      <c r="AY993" s="334"/>
      <c r="AZ993" s="334"/>
      <c r="BA993" s="201"/>
      <c r="BB993" s="334"/>
      <c r="BC993" s="334"/>
      <c r="BD993" s="334"/>
      <c r="BE993" s="201"/>
    </row>
    <row r="994" spans="45:57" x14ac:dyDescent="0.25">
      <c r="AS994" s="202"/>
      <c r="AV994" s="200"/>
      <c r="AW994" s="200"/>
      <c r="AX994" s="334"/>
      <c r="AY994" s="334"/>
      <c r="AZ994" s="334"/>
      <c r="BA994" s="201"/>
      <c r="BB994" s="334"/>
      <c r="BC994" s="334"/>
      <c r="BD994" s="334"/>
      <c r="BE994" s="201"/>
    </row>
    <row r="995" spans="45:57" x14ac:dyDescent="0.25">
      <c r="AS995" s="202"/>
      <c r="AV995" s="200"/>
      <c r="AW995" s="200"/>
      <c r="AX995" s="334"/>
      <c r="AY995" s="334"/>
      <c r="AZ995" s="334"/>
      <c r="BA995" s="201"/>
      <c r="BB995" s="334"/>
      <c r="BC995" s="334"/>
      <c r="BD995" s="334"/>
      <c r="BE995" s="201"/>
    </row>
    <row r="996" spans="45:57" x14ac:dyDescent="0.25">
      <c r="AS996" s="202"/>
      <c r="AV996" s="200"/>
      <c r="AW996" s="200"/>
      <c r="AX996" s="334"/>
      <c r="AY996" s="334"/>
      <c r="AZ996" s="334"/>
      <c r="BA996" s="201"/>
      <c r="BB996" s="334"/>
      <c r="BC996" s="334"/>
      <c r="BD996" s="334"/>
      <c r="BE996" s="201"/>
    </row>
    <row r="997" spans="45:57" x14ac:dyDescent="0.25">
      <c r="AS997" s="202"/>
      <c r="AV997" s="200"/>
      <c r="AW997" s="200"/>
      <c r="AX997" s="334"/>
      <c r="AY997" s="334"/>
      <c r="AZ997" s="334"/>
      <c r="BA997" s="201"/>
      <c r="BB997" s="334"/>
      <c r="BC997" s="334"/>
      <c r="BD997" s="334"/>
      <c r="BE997" s="201"/>
    </row>
    <row r="998" spans="45:57" x14ac:dyDescent="0.25">
      <c r="AS998" s="202"/>
      <c r="AV998" s="200"/>
      <c r="AW998" s="200"/>
      <c r="AX998" s="334"/>
      <c r="AY998" s="334"/>
      <c r="AZ998" s="334"/>
      <c r="BA998" s="201"/>
      <c r="BB998" s="334"/>
      <c r="BC998" s="334"/>
      <c r="BD998" s="334"/>
      <c r="BE998" s="201"/>
    </row>
    <row r="999" spans="45:57" x14ac:dyDescent="0.25">
      <c r="AS999" s="202"/>
      <c r="AV999" s="200"/>
      <c r="AW999" s="200"/>
      <c r="AX999" s="334"/>
      <c r="AY999" s="334"/>
      <c r="AZ999" s="334"/>
      <c r="BA999" s="201"/>
      <c r="BB999" s="334"/>
      <c r="BC999" s="334"/>
      <c r="BD999" s="334"/>
      <c r="BE999" s="201"/>
    </row>
    <row r="1000" spans="45:57" x14ac:dyDescent="0.25">
      <c r="AS1000" s="202"/>
      <c r="AV1000" s="200"/>
      <c r="AW1000" s="200"/>
      <c r="AX1000" s="334"/>
      <c r="AY1000" s="334"/>
      <c r="AZ1000" s="334"/>
      <c r="BA1000" s="201"/>
      <c r="BB1000" s="334"/>
      <c r="BC1000" s="334"/>
      <c r="BD1000" s="334"/>
      <c r="BE1000" s="201"/>
    </row>
    <row r="1002" spans="45:57" x14ac:dyDescent="0.25">
      <c r="AU1002" s="154"/>
    </row>
    <row r="1003" spans="45:57" x14ac:dyDescent="0.25">
      <c r="AU1003" s="154"/>
    </row>
    <row r="1004" spans="45:57" x14ac:dyDescent="0.25">
      <c r="AU1004" s="154"/>
    </row>
    <row r="1005" spans="45:57" x14ac:dyDescent="0.25">
      <c r="AS1005" s="154"/>
    </row>
    <row r="1026" spans="52:71" x14ac:dyDescent="0.25">
      <c r="AZ1026" s="334"/>
      <c r="BB1026" s="334"/>
      <c r="BC1026" s="334"/>
      <c r="BD1026" s="334"/>
      <c r="BG1026" s="334"/>
      <c r="BH1026" s="334"/>
      <c r="BI1026" s="334"/>
      <c r="BJ1026" s="334"/>
      <c r="BK1026" s="334"/>
      <c r="BL1026" s="334"/>
      <c r="BM1026" s="334"/>
      <c r="BN1026" s="334"/>
      <c r="BO1026" s="334"/>
      <c r="BP1026" s="334"/>
      <c r="BQ1026" s="334"/>
      <c r="BR1026" s="334"/>
      <c r="BS1026" s="334"/>
    </row>
    <row r="1027" spans="52:71" x14ac:dyDescent="0.25">
      <c r="AZ1027" s="334"/>
      <c r="BB1027" s="334"/>
      <c r="BC1027" s="334"/>
      <c r="BD1027" s="334"/>
      <c r="BG1027" s="334"/>
      <c r="BH1027" s="334"/>
      <c r="BI1027" s="334"/>
      <c r="BJ1027" s="334"/>
      <c r="BK1027" s="334"/>
      <c r="BL1027" s="334"/>
      <c r="BM1027" s="334"/>
      <c r="BN1027" s="334"/>
      <c r="BO1027" s="334"/>
      <c r="BP1027" s="334"/>
      <c r="BQ1027" s="334"/>
      <c r="BR1027" s="334"/>
      <c r="BS1027" s="334"/>
    </row>
    <row r="1028" spans="52:71" x14ac:dyDescent="0.25">
      <c r="AZ1028" s="334"/>
      <c r="BB1028" s="334"/>
      <c r="BC1028" s="334"/>
      <c r="BD1028" s="334"/>
      <c r="BG1028" s="334"/>
      <c r="BH1028" s="334"/>
      <c r="BI1028" s="334"/>
      <c r="BJ1028" s="334"/>
      <c r="BK1028" s="334"/>
      <c r="BL1028" s="334"/>
      <c r="BM1028" s="334"/>
      <c r="BN1028" s="334"/>
      <c r="BO1028" s="334"/>
      <c r="BP1028" s="334"/>
      <c r="BQ1028" s="334"/>
      <c r="BR1028" s="334"/>
      <c r="BS1028" s="334"/>
    </row>
    <row r="1029" spans="52:71" x14ac:dyDescent="0.25">
      <c r="AZ1029" s="334"/>
      <c r="BB1029" s="334"/>
      <c r="BC1029" s="334"/>
      <c r="BD1029" s="334"/>
      <c r="BG1029" s="334"/>
      <c r="BH1029" s="334"/>
      <c r="BI1029" s="334"/>
      <c r="BJ1029" s="334"/>
      <c r="BK1029" s="334"/>
      <c r="BL1029" s="334"/>
      <c r="BM1029" s="334"/>
      <c r="BN1029" s="334"/>
      <c r="BO1029" s="334"/>
      <c r="BP1029" s="334"/>
      <c r="BQ1029" s="334"/>
      <c r="BR1029" s="334"/>
      <c r="BS1029" s="334"/>
    </row>
    <row r="1030" spans="52:71" x14ac:dyDescent="0.25">
      <c r="AZ1030" s="334"/>
      <c r="BB1030" s="334"/>
      <c r="BC1030" s="334"/>
      <c r="BD1030" s="334"/>
      <c r="BG1030" s="334"/>
      <c r="BH1030" s="334"/>
      <c r="BI1030" s="334"/>
      <c r="BJ1030" s="334"/>
      <c r="BK1030" s="334"/>
      <c r="BL1030" s="334"/>
      <c r="BM1030" s="334"/>
      <c r="BN1030" s="334"/>
      <c r="BO1030" s="334"/>
      <c r="BP1030" s="334"/>
      <c r="BQ1030" s="334"/>
      <c r="BR1030" s="334"/>
      <c r="BS1030" s="334"/>
    </row>
    <row r="1031" spans="52:71" x14ac:dyDescent="0.25">
      <c r="AZ1031" s="334"/>
      <c r="BB1031" s="334"/>
      <c r="BC1031" s="334"/>
      <c r="BD1031" s="334"/>
      <c r="BG1031" s="334"/>
      <c r="BH1031" s="334"/>
      <c r="BI1031" s="334"/>
      <c r="BJ1031" s="334"/>
      <c r="BK1031" s="334"/>
      <c r="BL1031" s="334"/>
      <c r="BM1031" s="334"/>
      <c r="BN1031" s="334"/>
      <c r="BO1031" s="334"/>
      <c r="BP1031" s="334"/>
      <c r="BQ1031" s="334"/>
      <c r="BR1031" s="334"/>
      <c r="BS1031" s="334"/>
    </row>
    <row r="1032" spans="52:71" x14ac:dyDescent="0.25">
      <c r="AZ1032" s="334"/>
      <c r="BB1032" s="334"/>
      <c r="BC1032" s="334"/>
      <c r="BD1032" s="334"/>
      <c r="BG1032" s="334"/>
      <c r="BH1032" s="334"/>
      <c r="BI1032" s="334"/>
      <c r="BJ1032" s="334"/>
      <c r="BK1032" s="334"/>
      <c r="BL1032" s="334"/>
      <c r="BM1032" s="334"/>
      <c r="BN1032" s="334"/>
      <c r="BO1032" s="334"/>
      <c r="BP1032" s="334"/>
      <c r="BQ1032" s="334"/>
      <c r="BR1032" s="334"/>
      <c r="BS1032" s="334"/>
    </row>
    <row r="1033" spans="52:71" x14ac:dyDescent="0.25">
      <c r="AZ1033" s="334"/>
      <c r="BB1033" s="334"/>
      <c r="BC1033" s="334"/>
      <c r="BD1033" s="334"/>
      <c r="BG1033" s="334"/>
      <c r="BH1033" s="334"/>
      <c r="BI1033" s="334"/>
      <c r="BJ1033" s="334"/>
      <c r="BK1033" s="334"/>
      <c r="BL1033" s="334"/>
      <c r="BM1033" s="334"/>
      <c r="BN1033" s="334"/>
      <c r="BO1033" s="334"/>
      <c r="BP1033" s="334"/>
      <c r="BQ1033" s="334"/>
      <c r="BR1033" s="334"/>
      <c r="BS1033" s="334"/>
    </row>
    <row r="1034" spans="52:71" x14ac:dyDescent="0.25">
      <c r="AZ1034" s="334"/>
      <c r="BB1034" s="334"/>
      <c r="BC1034" s="334"/>
      <c r="BD1034" s="334"/>
      <c r="BG1034" s="334"/>
      <c r="BH1034" s="334"/>
      <c r="BI1034" s="334"/>
      <c r="BJ1034" s="334"/>
      <c r="BK1034" s="334"/>
      <c r="BL1034" s="334"/>
      <c r="BM1034" s="334"/>
      <c r="BN1034" s="334"/>
      <c r="BO1034" s="334"/>
      <c r="BP1034" s="334"/>
      <c r="BQ1034" s="334"/>
      <c r="BR1034" s="334"/>
      <c r="BS1034" s="334"/>
    </row>
    <row r="1035" spans="52:71" x14ac:dyDescent="0.25">
      <c r="AZ1035" s="334"/>
      <c r="BB1035" s="334"/>
      <c r="BC1035" s="334"/>
      <c r="BD1035" s="334"/>
      <c r="BG1035" s="334"/>
      <c r="BH1035" s="334"/>
      <c r="BI1035" s="334"/>
      <c r="BJ1035" s="334"/>
      <c r="BK1035" s="334"/>
      <c r="BL1035" s="334"/>
      <c r="BM1035" s="334"/>
      <c r="BN1035" s="334"/>
      <c r="BO1035" s="334"/>
      <c r="BP1035" s="334"/>
      <c r="BQ1035" s="334"/>
      <c r="BR1035" s="334"/>
      <c r="BS1035" s="334"/>
    </row>
    <row r="1036" spans="52:71" x14ac:dyDescent="0.25">
      <c r="AZ1036" s="334"/>
      <c r="BB1036" s="334"/>
      <c r="BC1036" s="334"/>
      <c r="BD1036" s="334"/>
      <c r="BG1036" s="334"/>
      <c r="BH1036" s="334"/>
      <c r="BI1036" s="334"/>
      <c r="BJ1036" s="334"/>
      <c r="BK1036" s="334"/>
      <c r="BL1036" s="334"/>
      <c r="BM1036" s="334"/>
      <c r="BN1036" s="334"/>
      <c r="BO1036" s="334"/>
      <c r="BP1036" s="334"/>
      <c r="BQ1036" s="334"/>
      <c r="BR1036" s="334"/>
      <c r="BS1036" s="334"/>
    </row>
    <row r="1037" spans="52:71" x14ac:dyDescent="0.25">
      <c r="AZ1037" s="334"/>
      <c r="BB1037" s="334"/>
      <c r="BC1037" s="334"/>
      <c r="BD1037" s="334"/>
      <c r="BG1037" s="334"/>
      <c r="BH1037" s="334"/>
      <c r="BI1037" s="334"/>
      <c r="BJ1037" s="334"/>
      <c r="BK1037" s="334"/>
      <c r="BL1037" s="334"/>
      <c r="BM1037" s="334"/>
      <c r="BN1037" s="334"/>
      <c r="BO1037" s="334"/>
      <c r="BP1037" s="334"/>
      <c r="BQ1037" s="334"/>
      <c r="BR1037" s="334"/>
      <c r="BS1037" s="334"/>
    </row>
    <row r="1038" spans="52:71" x14ac:dyDescent="0.25">
      <c r="AZ1038" s="334"/>
      <c r="BG1038" s="334"/>
      <c r="BH1038" s="334"/>
      <c r="BI1038" s="334"/>
      <c r="BJ1038" s="334"/>
      <c r="BK1038" s="334"/>
      <c r="BL1038" s="334"/>
      <c r="BM1038" s="334"/>
      <c r="BN1038" s="334"/>
      <c r="BO1038" s="334"/>
      <c r="BP1038" s="334"/>
      <c r="BQ1038" s="334"/>
      <c r="BR1038" s="334"/>
      <c r="BS1038" s="334"/>
    </row>
    <row r="1039" spans="52:71" x14ac:dyDescent="0.25">
      <c r="AZ1039" s="334"/>
      <c r="BG1039" s="334"/>
      <c r="BH1039" s="334"/>
      <c r="BI1039" s="334"/>
      <c r="BJ1039" s="334"/>
      <c r="BK1039" s="334"/>
      <c r="BL1039" s="334"/>
      <c r="BM1039" s="334"/>
      <c r="BN1039" s="334"/>
      <c r="BO1039" s="334"/>
      <c r="BP1039" s="334"/>
      <c r="BQ1039" s="334"/>
      <c r="BR1039" s="334"/>
      <c r="BS1039" s="334"/>
    </row>
    <row r="1040" spans="52:71" x14ac:dyDescent="0.25">
      <c r="AZ1040" s="334"/>
      <c r="BG1040" s="334"/>
      <c r="BH1040" s="334"/>
      <c r="BI1040" s="334"/>
      <c r="BJ1040" s="334"/>
      <c r="BK1040" s="334"/>
      <c r="BL1040" s="334"/>
      <c r="BM1040" s="334"/>
      <c r="BN1040" s="334"/>
      <c r="BO1040" s="334"/>
      <c r="BP1040" s="334"/>
      <c r="BQ1040" s="334"/>
      <c r="BR1040" s="334"/>
      <c r="BS1040" s="334"/>
    </row>
    <row r="1041" spans="52:71" x14ac:dyDescent="0.25">
      <c r="AZ1041" s="334"/>
      <c r="BG1041" s="334"/>
      <c r="BH1041" s="334"/>
      <c r="BI1041" s="334"/>
      <c r="BJ1041" s="334"/>
      <c r="BK1041" s="334"/>
      <c r="BL1041" s="334"/>
      <c r="BM1041" s="334"/>
      <c r="BN1041" s="334"/>
      <c r="BO1041" s="334"/>
      <c r="BP1041" s="334"/>
      <c r="BQ1041" s="334"/>
      <c r="BR1041" s="334"/>
      <c r="BS1041" s="334"/>
    </row>
    <row r="1042" spans="52:71" x14ac:dyDescent="0.25">
      <c r="AZ1042" s="334"/>
      <c r="BG1042" s="334"/>
      <c r="BH1042" s="334"/>
      <c r="BI1042" s="334"/>
      <c r="BJ1042" s="334"/>
      <c r="BK1042" s="334"/>
      <c r="BL1042" s="334"/>
      <c r="BM1042" s="334"/>
      <c r="BN1042" s="334"/>
      <c r="BO1042" s="334"/>
      <c r="BP1042" s="334"/>
      <c r="BQ1042" s="334"/>
      <c r="BR1042" s="334"/>
      <c r="BS1042" s="334"/>
    </row>
    <row r="1043" spans="52:71" x14ac:dyDescent="0.25">
      <c r="AZ1043" s="334"/>
      <c r="BG1043" s="334"/>
      <c r="BH1043" s="334"/>
      <c r="BI1043" s="334"/>
      <c r="BJ1043" s="334"/>
      <c r="BK1043" s="334"/>
      <c r="BL1043" s="334"/>
      <c r="BM1043" s="334"/>
      <c r="BN1043" s="334"/>
      <c r="BO1043" s="334"/>
      <c r="BP1043" s="334"/>
      <c r="BQ1043" s="334"/>
      <c r="BR1043" s="334"/>
      <c r="BS1043" s="334"/>
    </row>
    <row r="1044" spans="52:71" x14ac:dyDescent="0.25">
      <c r="AZ1044" s="334"/>
      <c r="BG1044" s="334"/>
      <c r="BH1044" s="334"/>
      <c r="BI1044" s="334"/>
      <c r="BJ1044" s="334"/>
      <c r="BK1044" s="334"/>
      <c r="BL1044" s="334"/>
      <c r="BM1044" s="334"/>
      <c r="BN1044" s="334"/>
      <c r="BO1044" s="334"/>
      <c r="BP1044" s="334"/>
      <c r="BQ1044" s="334"/>
      <c r="BR1044" s="334"/>
      <c r="BS1044" s="334"/>
    </row>
    <row r="1045" spans="52:71" x14ac:dyDescent="0.25">
      <c r="AZ1045" s="334"/>
    </row>
    <row r="1046" spans="52:71" x14ac:dyDescent="0.25">
      <c r="AZ1046" s="334"/>
    </row>
    <row r="1060" spans="1:28" x14ac:dyDescent="0.25">
      <c r="A1060" s="154"/>
    </row>
    <row r="1063" spans="1:28" x14ac:dyDescent="0.25">
      <c r="Y1063" s="154"/>
    </row>
    <row r="1064" spans="1:28" x14ac:dyDescent="0.25">
      <c r="A1064" s="154"/>
      <c r="H1064" s="154"/>
      <c r="I1064" s="154"/>
    </row>
    <row r="1065" spans="1:28" x14ac:dyDescent="0.25">
      <c r="A1065" s="154"/>
      <c r="V1065" s="103"/>
      <c r="AA1065" s="103"/>
      <c r="AB1065" s="103"/>
    </row>
    <row r="1066" spans="1:28" x14ac:dyDescent="0.25">
      <c r="A1066" s="154"/>
      <c r="V1066" s="102"/>
      <c r="AA1066" s="102"/>
      <c r="AB1066" s="102"/>
    </row>
    <row r="1067" spans="1:28" x14ac:dyDescent="0.25">
      <c r="A1067" s="154"/>
      <c r="U1067" s="154"/>
      <c r="AA1067" s="103"/>
      <c r="AB1067" s="103"/>
    </row>
    <row r="1068" spans="1:28" x14ac:dyDescent="0.25">
      <c r="A1068" s="154"/>
    </row>
    <row r="1069" spans="1:28" x14ac:dyDescent="0.25">
      <c r="A1069" s="154"/>
      <c r="U1069" s="154"/>
      <c r="AA1069" s="103"/>
      <c r="AB1069" s="103"/>
    </row>
    <row r="1070" spans="1:28" x14ac:dyDescent="0.25">
      <c r="A1070" s="154"/>
    </row>
    <row r="1071" spans="1:28" x14ac:dyDescent="0.25">
      <c r="A1071" s="154"/>
      <c r="U1071" s="154"/>
      <c r="V1071" s="338"/>
      <c r="AA1071" s="103"/>
      <c r="AB1071" s="103"/>
    </row>
    <row r="1072" spans="1:28" x14ac:dyDescent="0.25">
      <c r="A1072" s="154"/>
    </row>
    <row r="1073" spans="1:28" x14ac:dyDescent="0.25">
      <c r="A1073" s="154"/>
      <c r="U1073" s="154"/>
      <c r="AA1073" s="103"/>
      <c r="AB1073" s="103"/>
    </row>
    <row r="1074" spans="1:28" x14ac:dyDescent="0.25">
      <c r="A1074" s="154"/>
    </row>
    <row r="1075" spans="1:28" x14ac:dyDescent="0.25">
      <c r="A1075" s="154"/>
      <c r="U1075" s="154"/>
      <c r="AA1075" s="103"/>
      <c r="AB1075" s="103"/>
    </row>
    <row r="1076" spans="1:28" x14ac:dyDescent="0.25">
      <c r="A1076" s="154"/>
    </row>
    <row r="1077" spans="1:28" x14ac:dyDescent="0.25">
      <c r="A1077" s="154"/>
    </row>
    <row r="1078" spans="1:28" x14ac:dyDescent="0.25">
      <c r="A1078" s="154"/>
    </row>
    <row r="1079" spans="1:28" x14ac:dyDescent="0.25">
      <c r="A1079" s="154"/>
    </row>
    <row r="1080" spans="1:28" x14ac:dyDescent="0.25">
      <c r="A1080" s="154"/>
    </row>
    <row r="1081" spans="1:28" x14ac:dyDescent="0.25">
      <c r="A1081" s="154"/>
    </row>
    <row r="1082" spans="1:28" x14ac:dyDescent="0.25">
      <c r="A1082" s="154"/>
    </row>
    <row r="1083" spans="1:28" x14ac:dyDescent="0.25">
      <c r="A1083" s="154"/>
    </row>
    <row r="1084" spans="1:28" x14ac:dyDescent="0.25">
      <c r="A1084" s="154"/>
    </row>
    <row r="1085" spans="1:28" x14ac:dyDescent="0.25">
      <c r="A1085" s="154"/>
    </row>
    <row r="1086" spans="1:28" x14ac:dyDescent="0.25">
      <c r="A1086" s="154"/>
      <c r="H1086" s="154"/>
      <c r="I1086" s="154"/>
    </row>
    <row r="1089" spans="1:1" x14ac:dyDescent="0.25">
      <c r="A1089" s="154"/>
    </row>
    <row r="1092" spans="1:1" x14ac:dyDescent="0.25">
      <c r="A1092" s="154"/>
    </row>
    <row r="1095" spans="1:1" x14ac:dyDescent="0.25">
      <c r="A1095" s="154"/>
    </row>
    <row r="1096" spans="1:1" x14ac:dyDescent="0.25">
      <c r="A1096" s="154"/>
    </row>
    <row r="1097" spans="1:1" x14ac:dyDescent="0.25">
      <c r="A1097" s="154"/>
    </row>
    <row r="1098" spans="1:1" x14ac:dyDescent="0.25">
      <c r="A1098" s="154"/>
    </row>
    <row r="1099" spans="1:1" x14ac:dyDescent="0.25">
      <c r="A1099" s="154"/>
    </row>
    <row r="1100" spans="1:1" x14ac:dyDescent="0.25">
      <c r="A1100" s="154"/>
    </row>
    <row r="1101" spans="1:1" x14ac:dyDescent="0.25">
      <c r="A1101" s="154"/>
    </row>
    <row r="1102" spans="1:1" x14ac:dyDescent="0.25">
      <c r="A1102" s="154"/>
    </row>
    <row r="1103" spans="1:1" x14ac:dyDescent="0.25">
      <c r="A1103" s="154"/>
    </row>
    <row r="1104" spans="1:1" x14ac:dyDescent="0.25">
      <c r="A1104" s="154"/>
    </row>
    <row r="1105" spans="1:1" x14ac:dyDescent="0.25">
      <c r="A1105" s="154"/>
    </row>
    <row r="1106" spans="1:1" x14ac:dyDescent="0.25">
      <c r="A1106" s="154"/>
    </row>
    <row r="1107" spans="1:1" x14ac:dyDescent="0.25">
      <c r="A1107" s="154"/>
    </row>
    <row r="1108" spans="1:1" x14ac:dyDescent="0.25">
      <c r="A1108" s="154"/>
    </row>
    <row r="1109" spans="1:1" x14ac:dyDescent="0.25">
      <c r="A1109" s="154"/>
    </row>
    <row r="1110" spans="1:1" x14ac:dyDescent="0.25">
      <c r="A1110" s="154"/>
    </row>
    <row r="1111" spans="1:1" x14ac:dyDescent="0.25">
      <c r="A1111" s="154"/>
    </row>
    <row r="1112" spans="1:1" x14ac:dyDescent="0.25">
      <c r="A1112" s="154"/>
    </row>
    <row r="1113" spans="1:1" x14ac:dyDescent="0.25">
      <c r="A1113" s="154"/>
    </row>
    <row r="1114" spans="1:1" x14ac:dyDescent="0.25">
      <c r="A1114" s="154"/>
    </row>
    <row r="1115" spans="1:1" x14ac:dyDescent="0.25">
      <c r="A1115" s="154"/>
    </row>
    <row r="1116" spans="1:1" x14ac:dyDescent="0.25">
      <c r="A1116" s="154"/>
    </row>
    <row r="1117" spans="1:1" x14ac:dyDescent="0.25">
      <c r="A1117" s="154"/>
    </row>
    <row r="1118" spans="1:1" x14ac:dyDescent="0.25">
      <c r="A1118" s="154"/>
    </row>
    <row r="1119" spans="1:1" x14ac:dyDescent="0.25">
      <c r="A1119" s="154"/>
    </row>
    <row r="1120" spans="1:1" x14ac:dyDescent="0.25">
      <c r="A1120" s="154"/>
    </row>
    <row r="1121" spans="1:1" x14ac:dyDescent="0.25">
      <c r="A1121" s="154"/>
    </row>
    <row r="1122" spans="1:1" x14ac:dyDescent="0.25">
      <c r="A1122" s="154"/>
    </row>
    <row r="1123" spans="1:1" x14ac:dyDescent="0.25">
      <c r="A1123" s="154"/>
    </row>
    <row r="1124" spans="1:1" x14ac:dyDescent="0.25">
      <c r="A1124" s="154"/>
    </row>
    <row r="1125" spans="1:1" x14ac:dyDescent="0.25">
      <c r="A1125" s="154"/>
    </row>
    <row r="1126" spans="1:1" x14ac:dyDescent="0.25">
      <c r="A1126" s="154"/>
    </row>
    <row r="1127" spans="1:1" x14ac:dyDescent="0.25">
      <c r="A1127" s="154"/>
    </row>
    <row r="1128" spans="1:1" x14ac:dyDescent="0.25">
      <c r="A1128" s="154"/>
    </row>
    <row r="1129" spans="1:1" x14ac:dyDescent="0.25">
      <c r="A1129" s="154"/>
    </row>
    <row r="1134" spans="1:1" x14ac:dyDescent="0.25">
      <c r="A1134" s="154"/>
    </row>
    <row r="1135" spans="1:1" x14ac:dyDescent="0.25">
      <c r="A1135" s="154"/>
    </row>
    <row r="1138" spans="1:1" x14ac:dyDescent="0.25">
      <c r="A1138" s="154"/>
    </row>
    <row r="1140" spans="1:1" x14ac:dyDescent="0.25">
      <c r="A1140" s="154"/>
    </row>
    <row r="1142" spans="1:1" x14ac:dyDescent="0.25">
      <c r="A1142" s="154"/>
    </row>
    <row r="1144" spans="1:1" x14ac:dyDescent="0.25">
      <c r="A1144" s="154"/>
    </row>
    <row r="1147" spans="1:1" x14ac:dyDescent="0.25">
      <c r="A1147" s="154"/>
    </row>
    <row r="1148" spans="1:1" x14ac:dyDescent="0.25">
      <c r="A1148" s="154"/>
    </row>
    <row r="1149" spans="1:1" x14ac:dyDescent="0.25">
      <c r="A1149" s="154"/>
    </row>
    <row r="1150" spans="1:1" x14ac:dyDescent="0.25">
      <c r="A1150" s="154"/>
    </row>
    <row r="1151" spans="1:1" x14ac:dyDescent="0.25">
      <c r="A1151" s="154"/>
    </row>
    <row r="1152" spans="1:1" x14ac:dyDescent="0.25">
      <c r="A1152" s="154"/>
    </row>
    <row r="1153" spans="1:1" x14ac:dyDescent="0.25">
      <c r="A1153" s="154"/>
    </row>
    <row r="1154" spans="1:1" x14ac:dyDescent="0.25">
      <c r="A1154" s="154"/>
    </row>
  </sheetData>
  <customSheetViews>
    <customSheetView guid="{195DF303-1BBD-4236-94B5-47432850B006}" scale="75" fitToPage="1" showRuler="0"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1"/>
      <headerFooter alignWithMargins="0"/>
    </customSheetView>
    <customSheetView guid="{0C49E549-011E-46F4-A82E-2CC8951A9C1E}" scale="75" fitToPage="1" showRuler="0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2"/>
      <headerFooter alignWithMargins="0"/>
    </customSheetView>
    <customSheetView guid="{4BC93440-BA85-4935-A8C9-66DC6AE5DE5E}" scale="75" fitToPage="1" showRuler="0" topLeftCell="B42">
      <selection activeCell="J65" sqref="J65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3" orientation="landscape" r:id="rId3"/>
      <headerFooter alignWithMargins="0"/>
    </customSheetView>
    <customSheetView guid="{2431C9E5-7CC2-4B8D-99C3-962247B1DBF5}" scale="75" fitToPage="1" showRuler="0" topLeftCell="B42">
      <selection activeCell="J65" sqref="J65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3" orientation="landscape" r:id="rId4"/>
      <headerFooter alignWithMargins="0"/>
    </customSheetView>
    <customSheetView guid="{2EA35095-1ADC-4CC7-8C3C-B487D65FA247}" scale="75" fitToPage="1" showRuler="0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5"/>
      <headerFooter alignWithMargins="0"/>
    </customSheetView>
    <customSheetView guid="{8FC77C99-DBF7-40B8-99B8-01B75826CDCB}" scale="75" fitToPage="1" showRuler="0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3" orientation="landscape" r:id="rId8"/>
      <headerFooter alignWithMargins="0"/>
    </customSheetView>
    <customSheetView guid="{0BC1F393-8A13-47D5-BC6C-0C99615B5AB9}" scale="75" fitToPage="1" showRuler="0" topLeftCell="A48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9"/>
      <headerFooter alignWithMargins="0"/>
    </customSheetView>
    <customSheetView guid="{18BDED73-BFA0-442E-87EC-CED86EE4CF94}" scale="75" fitToPage="1" showRuler="0" topLeftCell="A48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10"/>
      <headerFooter alignWithMargins="0"/>
    </customSheetView>
    <customSheetView guid="{35F19056-2E6F-4935-B863-78836FE990BF}" scale="75" fitToPage="1" showRuler="0" topLeftCell="A48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11"/>
      <headerFooter alignWithMargins="0"/>
    </customSheetView>
    <customSheetView guid="{F562D92E-120C-4AE9-9663-89E64D41DC53}" scale="75" fitToPage="1" topLeftCell="A48">
      <selection activeCell="P74" sqref="P74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12"/>
      <headerFooter alignWithMargins="0"/>
    </customSheetView>
  </customSheetViews>
  <phoneticPr fontId="9" type="noConversion"/>
  <printOptions horizontalCentered="1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68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7"/>
  <dimension ref="A1:BX1067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6.77734375" style="101" customWidth="1"/>
    <col min="4" max="4" width="42.77734375" style="101" customWidth="1"/>
    <col min="5" max="5" width="0.8867187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1.3320312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18.88671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4.5546875" style="101" customWidth="1"/>
    <col min="23" max="23" width="39" style="101" customWidth="1"/>
    <col min="24" max="24" width="0.55468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1.8867187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50"/>
      <c r="K1" s="187"/>
      <c r="L1" s="187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50"/>
      <c r="K2" s="187"/>
      <c r="L2" s="187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50"/>
      <c r="K4" s="187"/>
      <c r="L4" s="187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87"/>
      <c r="N5" s="187"/>
      <c r="O5" s="150"/>
      <c r="P5" s="150"/>
      <c r="Q5" s="150"/>
      <c r="R5" s="150"/>
      <c r="V5" s="211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V6" s="211"/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769</v>
      </c>
      <c r="V7" s="329"/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V8" s="329"/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N9" s="82"/>
      <c r="O9" s="80"/>
      <c r="P9" s="80"/>
      <c r="Q9" s="80"/>
      <c r="R9" s="159" t="str">
        <f>WIT</f>
        <v>B. L. SAILERS</v>
      </c>
      <c r="V9" s="329"/>
      <c r="AK9" s="297"/>
      <c r="AL9" s="154"/>
    </row>
    <row r="10" spans="1:40" x14ac:dyDescent="0.25">
      <c r="A10" s="187" t="s">
        <v>151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87"/>
      <c r="N10" s="187"/>
      <c r="O10" s="150"/>
      <c r="P10" s="150"/>
      <c r="Q10" s="150"/>
      <c r="R10" s="150"/>
      <c r="V10" s="329"/>
      <c r="W10" s="100"/>
      <c r="AA10" s="154"/>
      <c r="AB10" s="154"/>
      <c r="AK10" s="209"/>
      <c r="AL10" s="202"/>
    </row>
    <row r="11" spans="1:40" x14ac:dyDescent="0.25">
      <c r="A11" s="151"/>
      <c r="B11" s="151"/>
      <c r="C11" s="151"/>
      <c r="D11" s="151"/>
      <c r="E11" s="151"/>
      <c r="F11" s="151"/>
      <c r="G11" s="80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T11" s="102"/>
      <c r="U11" s="102"/>
      <c r="V11" s="329"/>
      <c r="W11" s="273"/>
      <c r="X11" s="102"/>
      <c r="Y11" s="102"/>
      <c r="Z11" s="102"/>
      <c r="AA11" s="102"/>
      <c r="AB11" s="102"/>
      <c r="AC11" s="102"/>
      <c r="AD11" s="102"/>
      <c r="AE11" s="102"/>
      <c r="AF11" s="102"/>
      <c r="AG11" s="208"/>
      <c r="AH11" s="102"/>
      <c r="AI11" s="102"/>
      <c r="AJ11" s="102"/>
      <c r="AK11" s="208"/>
      <c r="AL11" s="102"/>
      <c r="AM11" s="102"/>
      <c r="AN11" s="102"/>
    </row>
    <row r="12" spans="1:40" ht="18" customHeight="1" x14ac:dyDescent="0.25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93" t="s">
        <v>6</v>
      </c>
      <c r="M12" s="193"/>
      <c r="N12" s="193" t="s">
        <v>7</v>
      </c>
      <c r="O12" s="193"/>
      <c r="P12" s="152"/>
      <c r="Q12" s="152"/>
      <c r="R12" s="193" t="s">
        <v>6</v>
      </c>
      <c r="V12" s="329"/>
      <c r="W12" s="100"/>
      <c r="AA12" s="103"/>
      <c r="AB12" s="103"/>
      <c r="AC12" s="103"/>
      <c r="AD12" s="103"/>
      <c r="AE12" s="103"/>
      <c r="AF12" s="103"/>
      <c r="AG12" s="185"/>
      <c r="AH12" s="103"/>
      <c r="AK12" s="185"/>
      <c r="AL12" s="103"/>
      <c r="AM12" s="103"/>
      <c r="AN12" s="103"/>
    </row>
    <row r="13" spans="1:40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12</v>
      </c>
      <c r="M13" s="83"/>
      <c r="N13" s="83" t="s">
        <v>13</v>
      </c>
      <c r="O13" s="83"/>
      <c r="P13" s="80"/>
      <c r="Q13" s="80"/>
      <c r="R13" s="83" t="s">
        <v>11</v>
      </c>
      <c r="V13" s="329"/>
      <c r="W13" s="273"/>
      <c r="Z13" s="103"/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3" t="s">
        <v>17</v>
      </c>
      <c r="B14" s="80"/>
      <c r="C14" s="83" t="s">
        <v>18</v>
      </c>
      <c r="D14" s="83" t="s">
        <v>19</v>
      </c>
      <c r="E14" s="83"/>
      <c r="F14" s="83" t="s">
        <v>20</v>
      </c>
      <c r="G14" s="80"/>
      <c r="H14" s="80"/>
      <c r="I14" s="80"/>
      <c r="J14" s="83" t="s">
        <v>6</v>
      </c>
      <c r="K14" s="83"/>
      <c r="L14" s="83" t="s">
        <v>21</v>
      </c>
      <c r="M14" s="83"/>
      <c r="N14" s="83" t="s">
        <v>21</v>
      </c>
      <c r="O14" s="83"/>
      <c r="P14" s="83" t="s">
        <v>21</v>
      </c>
      <c r="Q14" s="83"/>
      <c r="R14" s="83" t="s">
        <v>9</v>
      </c>
      <c r="T14" s="103"/>
      <c r="U14" s="103"/>
      <c r="V14" s="103"/>
      <c r="Z14" s="103"/>
      <c r="AA14" s="103"/>
      <c r="AB14" s="103"/>
      <c r="AC14" s="103"/>
      <c r="AD14" s="103"/>
      <c r="AE14" s="103"/>
      <c r="AF14" s="103"/>
      <c r="AG14" s="185"/>
      <c r="AH14" s="103"/>
      <c r="AI14" s="103"/>
      <c r="AJ14" s="103"/>
      <c r="AK14" s="185"/>
      <c r="AL14" s="103"/>
      <c r="AM14" s="103"/>
      <c r="AN14" s="103"/>
    </row>
    <row r="15" spans="1:40" x14ac:dyDescent="0.25">
      <c r="A15" s="83" t="s">
        <v>24</v>
      </c>
      <c r="B15" s="80"/>
      <c r="C15" s="83" t="s">
        <v>25</v>
      </c>
      <c r="D15" s="83" t="s">
        <v>26</v>
      </c>
      <c r="E15" s="83"/>
      <c r="F15" s="83" t="s">
        <v>27</v>
      </c>
      <c r="G15" s="80"/>
      <c r="H15" s="83" t="s">
        <v>28</v>
      </c>
      <c r="I15" s="83"/>
      <c r="J15" s="196" t="s">
        <v>431</v>
      </c>
      <c r="K15" s="83"/>
      <c r="L15" s="83" t="s">
        <v>9</v>
      </c>
      <c r="M15" s="83"/>
      <c r="N15" s="83" t="s">
        <v>9</v>
      </c>
      <c r="O15" s="83"/>
      <c r="P15" s="83" t="s">
        <v>430</v>
      </c>
      <c r="Q15" s="83"/>
      <c r="R15" s="256" t="s">
        <v>30</v>
      </c>
      <c r="T15" s="103"/>
      <c r="U15" s="103"/>
      <c r="V15" s="103"/>
      <c r="Y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0"/>
      <c r="B16" s="80"/>
      <c r="C16" s="256" t="s">
        <v>35</v>
      </c>
      <c r="D16" s="256" t="s">
        <v>36</v>
      </c>
      <c r="E16" s="256"/>
      <c r="F16" s="256" t="s">
        <v>37</v>
      </c>
      <c r="G16" s="258"/>
      <c r="H16" s="256" t="s">
        <v>38</v>
      </c>
      <c r="I16" s="256"/>
      <c r="J16" s="256" t="s">
        <v>39</v>
      </c>
      <c r="K16" s="256"/>
      <c r="L16" s="256" t="s">
        <v>40</v>
      </c>
      <c r="M16" s="256"/>
      <c r="N16" s="256" t="s">
        <v>41</v>
      </c>
      <c r="O16" s="256"/>
      <c r="P16" s="256" t="s">
        <v>42</v>
      </c>
      <c r="Q16" s="256"/>
      <c r="R16" s="256" t="s">
        <v>43</v>
      </c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208"/>
      <c r="AH16" s="102"/>
      <c r="AI16" s="102"/>
      <c r="AJ16" s="102"/>
      <c r="AK16" s="208"/>
      <c r="AL16" s="102"/>
      <c r="AM16" s="102"/>
      <c r="AN16" s="102"/>
    </row>
    <row r="17" spans="1:43" ht="17.100000000000001" customHeight="1" x14ac:dyDescent="0.25">
      <c r="A17" s="152"/>
      <c r="B17" s="152"/>
      <c r="C17" s="152"/>
      <c r="D17" s="152"/>
      <c r="E17" s="152"/>
      <c r="F17" s="152"/>
      <c r="G17" s="152"/>
      <c r="H17" s="376" t="s">
        <v>51</v>
      </c>
      <c r="I17" s="376"/>
      <c r="J17" s="375" t="s">
        <v>71</v>
      </c>
      <c r="K17" s="376"/>
      <c r="L17" s="376" t="s">
        <v>52</v>
      </c>
      <c r="M17" s="376"/>
      <c r="N17" s="376" t="s">
        <v>53</v>
      </c>
      <c r="O17" s="376"/>
      <c r="P17" s="376" t="s">
        <v>52</v>
      </c>
      <c r="Q17" s="376"/>
      <c r="R17" s="376" t="s">
        <v>52</v>
      </c>
      <c r="Y17" s="104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3" x14ac:dyDescent="0.25">
      <c r="A18" s="159">
        <v>1</v>
      </c>
      <c r="B18" s="80"/>
      <c r="C18" s="253" t="s">
        <v>96</v>
      </c>
      <c r="D18" s="265" t="s">
        <v>263</v>
      </c>
      <c r="E18" s="82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154"/>
      <c r="U18" s="154"/>
      <c r="Y18" s="104"/>
    </row>
    <row r="19" spans="1:43" x14ac:dyDescent="0.25">
      <c r="A19" s="80"/>
      <c r="B19" s="80"/>
      <c r="C19" s="80"/>
      <c r="D19" s="80"/>
      <c r="E19" s="8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154"/>
      <c r="Y19" s="104"/>
    </row>
    <row r="20" spans="1:43" x14ac:dyDescent="0.25">
      <c r="A20" s="159">
        <v>2</v>
      </c>
      <c r="B20" s="80"/>
      <c r="C20" s="265" t="s">
        <v>264</v>
      </c>
      <c r="D20" s="80"/>
      <c r="E20" s="8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</row>
    <row r="21" spans="1:43" x14ac:dyDescent="0.25">
      <c r="A21" s="159">
        <v>3</v>
      </c>
      <c r="B21" s="80"/>
      <c r="C21" s="265" t="s">
        <v>265</v>
      </c>
      <c r="D21" s="80"/>
      <c r="E21" s="8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200"/>
      <c r="V21" s="211"/>
      <c r="Y21" s="200"/>
      <c r="Z21" s="252"/>
      <c r="AA21" s="200"/>
      <c r="AB21" s="200"/>
      <c r="AC21" s="210"/>
      <c r="AD21" s="210"/>
      <c r="AE21" s="200"/>
      <c r="AF21" s="200"/>
      <c r="AI21" s="200"/>
      <c r="AJ21" s="200"/>
      <c r="AK21" s="209"/>
      <c r="AL21" s="200"/>
    </row>
    <row r="22" spans="1:43" x14ac:dyDescent="0.25">
      <c r="A22" s="159">
        <v>4</v>
      </c>
      <c r="B22" s="80"/>
      <c r="C22" s="81" t="s">
        <v>98</v>
      </c>
      <c r="D22" s="80"/>
      <c r="E22" s="80"/>
      <c r="F22" s="225">
        <v>0</v>
      </c>
      <c r="G22" s="70"/>
      <c r="H22" s="225">
        <f>ROUND(F22*786/12,0)</f>
        <v>0</v>
      </c>
      <c r="I22" s="78"/>
      <c r="J22" s="349">
        <f>ROUND(AC74+(AC74*LT_COS_RATE),2)</f>
        <v>10.32</v>
      </c>
      <c r="K22" s="352"/>
      <c r="L22" s="79">
        <f>ROUND((F22*J22),0)</f>
        <v>0</v>
      </c>
      <c r="M22" s="79"/>
      <c r="N22" s="156">
        <f>ROUND((L22/L$47)*100,1)</f>
        <v>0</v>
      </c>
      <c r="O22" s="156"/>
      <c r="P22" s="79">
        <f>ROUND($P$47/$H$47*H22,0)</f>
        <v>0</v>
      </c>
      <c r="Q22" s="79"/>
      <c r="R22" s="79">
        <f>L22+P22</f>
        <v>0</v>
      </c>
      <c r="S22" s="200"/>
      <c r="V22" s="211"/>
      <c r="Y22" s="463"/>
      <c r="Z22" s="305"/>
      <c r="AA22" s="211"/>
      <c r="AB22" s="211"/>
      <c r="AC22" s="211"/>
      <c r="AD22" s="211"/>
      <c r="AE22" s="211"/>
      <c r="AF22" s="211"/>
      <c r="AI22" s="211"/>
      <c r="AJ22" s="211"/>
      <c r="AK22" s="212"/>
      <c r="AL22" s="211"/>
      <c r="AM22" s="210"/>
      <c r="AN22" s="210"/>
    </row>
    <row r="23" spans="1:43" x14ac:dyDescent="0.25">
      <c r="A23" s="159">
        <v>5</v>
      </c>
      <c r="B23" s="80"/>
      <c r="C23" s="81" t="s">
        <v>97</v>
      </c>
      <c r="D23" s="80"/>
      <c r="E23" s="80"/>
      <c r="F23" s="189">
        <v>144</v>
      </c>
      <c r="G23" s="70"/>
      <c r="H23" s="225">
        <f>ROUND(F23*786/12,0)</f>
        <v>9432</v>
      </c>
      <c r="I23" s="79"/>
      <c r="J23" s="349">
        <f>ROUND(AC75+(AC75*LT_COS_RATE),2)</f>
        <v>8.01</v>
      </c>
      <c r="K23" s="162"/>
      <c r="L23" s="79">
        <f>ROUND((F23*J23),0)</f>
        <v>1153</v>
      </c>
      <c r="M23" s="79"/>
      <c r="N23" s="156">
        <f>ROUND((L23/L$47)*100,1)</f>
        <v>1.7</v>
      </c>
      <c r="O23" s="156"/>
      <c r="P23" s="79">
        <f>ROUND($P$47/$H$47*H23,0)</f>
        <v>10</v>
      </c>
      <c r="Q23" s="79"/>
      <c r="R23" s="79">
        <f>L23+P23</f>
        <v>1163</v>
      </c>
      <c r="S23" s="200"/>
      <c r="V23" s="252"/>
      <c r="Y23" s="463"/>
      <c r="Z23" s="305"/>
      <c r="AA23" s="200"/>
      <c r="AB23" s="200"/>
      <c r="AC23" s="210"/>
      <c r="AD23" s="210"/>
      <c r="AE23" s="200"/>
      <c r="AF23" s="200"/>
      <c r="AI23" s="200"/>
      <c r="AJ23" s="200"/>
      <c r="AK23" s="209"/>
      <c r="AL23" s="200"/>
      <c r="AM23" s="210"/>
      <c r="AN23" s="210"/>
    </row>
    <row r="24" spans="1:43" x14ac:dyDescent="0.25">
      <c r="A24" s="159">
        <v>6</v>
      </c>
      <c r="B24" s="80"/>
      <c r="C24" s="265" t="s">
        <v>266</v>
      </c>
      <c r="D24" s="80"/>
      <c r="E24" s="80"/>
      <c r="F24" s="189"/>
      <c r="G24" s="70"/>
      <c r="H24" s="79"/>
      <c r="I24" s="79"/>
      <c r="J24" s="399"/>
      <c r="K24" s="162"/>
      <c r="L24" s="79"/>
      <c r="M24" s="79"/>
      <c r="N24" s="156"/>
      <c r="O24" s="156"/>
      <c r="P24" s="79"/>
      <c r="Q24" s="79"/>
      <c r="R24" s="79"/>
      <c r="S24" s="200"/>
      <c r="V24" s="252"/>
      <c r="Y24" s="329"/>
      <c r="Z24" s="305"/>
      <c r="AA24" s="200"/>
      <c r="AB24" s="200"/>
      <c r="AC24" s="210"/>
      <c r="AD24" s="210"/>
      <c r="AE24" s="200"/>
      <c r="AF24" s="200"/>
      <c r="AI24" s="200"/>
      <c r="AJ24" s="200"/>
      <c r="AK24" s="209"/>
      <c r="AL24" s="200"/>
      <c r="AM24" s="210"/>
      <c r="AN24" s="210"/>
    </row>
    <row r="25" spans="1:43" x14ac:dyDescent="0.25">
      <c r="A25" s="159">
        <v>7</v>
      </c>
      <c r="B25" s="80"/>
      <c r="C25" s="81" t="s">
        <v>267</v>
      </c>
      <c r="D25" s="80"/>
      <c r="E25" s="80"/>
      <c r="F25" s="189"/>
      <c r="G25" s="70"/>
      <c r="H25" s="79"/>
      <c r="I25" s="79"/>
      <c r="J25" s="399"/>
      <c r="K25" s="162"/>
      <c r="L25" s="70"/>
      <c r="M25" s="70"/>
      <c r="N25" s="70"/>
      <c r="O25" s="70"/>
      <c r="P25" s="70"/>
      <c r="Q25" s="70"/>
      <c r="R25" s="70"/>
      <c r="Y25" s="394"/>
    </row>
    <row r="26" spans="1:43" x14ac:dyDescent="0.25">
      <c r="A26" s="159">
        <v>8</v>
      </c>
      <c r="B26" s="80"/>
      <c r="C26" s="81" t="s">
        <v>268</v>
      </c>
      <c r="D26" s="80"/>
      <c r="E26" s="80"/>
      <c r="F26" s="225">
        <v>372</v>
      </c>
      <c r="G26" s="70"/>
      <c r="H26" s="225">
        <f>ROUND(F26*1215/12,0)</f>
        <v>37665</v>
      </c>
      <c r="I26" s="78"/>
      <c r="J26" s="349">
        <f>ROUND(AC78+(AC78*LT_COS_RATE),2)</f>
        <v>18.79</v>
      </c>
      <c r="K26" s="352"/>
      <c r="L26" s="79">
        <f>ROUND((F26*J26),0)</f>
        <v>6990</v>
      </c>
      <c r="M26" s="79"/>
      <c r="N26" s="156">
        <f>ROUND((L26/L$47)*100,1)</f>
        <v>10.1</v>
      </c>
      <c r="O26" s="156"/>
      <c r="P26" s="79">
        <f>ROUND($P$47/$H$47*H26,0)</f>
        <v>39</v>
      </c>
      <c r="Q26" s="79"/>
      <c r="R26" s="79">
        <f>L26+P26</f>
        <v>7029</v>
      </c>
      <c r="S26" s="109"/>
      <c r="Y26" s="463"/>
    </row>
    <row r="27" spans="1:43" x14ac:dyDescent="0.25">
      <c r="A27" s="159">
        <v>9</v>
      </c>
      <c r="B27" s="80"/>
      <c r="C27" s="265" t="s">
        <v>269</v>
      </c>
      <c r="D27" s="80"/>
      <c r="E27" s="80"/>
      <c r="F27" s="225"/>
      <c r="G27" s="70"/>
      <c r="H27" s="78"/>
      <c r="I27" s="78"/>
      <c r="J27" s="349"/>
      <c r="K27" s="352"/>
      <c r="L27" s="79"/>
      <c r="M27" s="79"/>
      <c r="N27" s="156"/>
      <c r="O27" s="156"/>
      <c r="P27" s="79"/>
      <c r="Q27" s="79"/>
      <c r="R27" s="79"/>
      <c r="Y27" s="394"/>
    </row>
    <row r="28" spans="1:43" x14ac:dyDescent="0.25">
      <c r="A28" s="159">
        <v>10</v>
      </c>
      <c r="B28" s="80"/>
      <c r="C28" s="82" t="s">
        <v>270</v>
      </c>
      <c r="D28" s="80"/>
      <c r="E28" s="80"/>
      <c r="F28" s="189">
        <v>372</v>
      </c>
      <c r="G28" s="70"/>
      <c r="H28" s="225">
        <f>ROUND(F28*786/12,0)</f>
        <v>24366</v>
      </c>
      <c r="I28" s="79"/>
      <c r="J28" s="349">
        <f>ROUND(AC80+(AC80*LT_COS_RATE),2)</f>
        <v>7.94</v>
      </c>
      <c r="K28" s="352"/>
      <c r="L28" s="79">
        <f>ROUND((F28*J28),0)</f>
        <v>2954</v>
      </c>
      <c r="M28" s="79"/>
      <c r="N28" s="156">
        <f>ROUND((L28/L$47)*100,1)</f>
        <v>4.3</v>
      </c>
      <c r="O28" s="156"/>
      <c r="P28" s="79">
        <f>ROUND($P$47/$H$47*H28,0)</f>
        <v>25</v>
      </c>
      <c r="Q28" s="79"/>
      <c r="R28" s="79">
        <f>L28+P28</f>
        <v>2979</v>
      </c>
      <c r="S28" s="109"/>
      <c r="Y28" s="463"/>
    </row>
    <row r="29" spans="1:43" x14ac:dyDescent="0.25">
      <c r="A29" s="159">
        <v>11</v>
      </c>
      <c r="B29" s="80"/>
      <c r="C29" s="82" t="s">
        <v>271</v>
      </c>
      <c r="D29" s="80"/>
      <c r="E29" s="80"/>
      <c r="F29" s="189">
        <v>7008</v>
      </c>
      <c r="G29" s="70"/>
      <c r="H29" s="225">
        <f>ROUND(F29*453/12,0)</f>
        <v>264552</v>
      </c>
      <c r="I29" s="79"/>
      <c r="J29" s="349">
        <f>ROUND(AC81+(AC81*LT_COS_RATE),2)</f>
        <v>7.52</v>
      </c>
      <c r="K29" s="352"/>
      <c r="L29" s="79">
        <f>ROUND((F29*J29),0)</f>
        <v>52700</v>
      </c>
      <c r="M29" s="79"/>
      <c r="N29" s="156">
        <f>ROUND((L29/L$47)*100,1)</f>
        <v>76.400000000000006</v>
      </c>
      <c r="O29" s="156"/>
      <c r="P29" s="79">
        <f>ROUND($P$47/$H$47*H29,0)</f>
        <v>272</v>
      </c>
      <c r="Q29" s="79"/>
      <c r="R29" s="79">
        <f>L29+P29</f>
        <v>52972</v>
      </c>
      <c r="S29" s="109"/>
      <c r="Y29" s="463"/>
    </row>
    <row r="30" spans="1:43" x14ac:dyDescent="0.25">
      <c r="A30" s="159">
        <v>12</v>
      </c>
      <c r="B30" s="80"/>
      <c r="C30" s="81" t="s">
        <v>260</v>
      </c>
      <c r="D30" s="80"/>
      <c r="E30" s="80"/>
      <c r="F30" s="189">
        <v>408</v>
      </c>
      <c r="G30" s="70"/>
      <c r="H30" s="225">
        <f>ROUND(F30*1914/12,0)</f>
        <v>65076</v>
      </c>
      <c r="I30" s="79"/>
      <c r="J30" s="349">
        <f>ROUND(AC82+(AC82*LT_COS_RATE),2)</f>
        <v>11.93</v>
      </c>
      <c r="K30" s="162"/>
      <c r="L30" s="79">
        <f>ROUND((F30*J30),0)</f>
        <v>4867</v>
      </c>
      <c r="M30" s="79"/>
      <c r="N30" s="156">
        <f>ROUND((L30/L$47)*100,1)</f>
        <v>7.1</v>
      </c>
      <c r="O30" s="156"/>
      <c r="P30" s="167">
        <f>P31-P22-P23-P26-P28-P29</f>
        <v>66</v>
      </c>
      <c r="Q30" s="79"/>
      <c r="R30" s="79">
        <f>L30+P30</f>
        <v>4933</v>
      </c>
      <c r="S30" s="109"/>
      <c r="Y30" s="463"/>
    </row>
    <row r="31" spans="1:43" ht="20.100000000000001" customHeight="1" x14ac:dyDescent="0.25">
      <c r="A31" s="159">
        <v>13</v>
      </c>
      <c r="B31" s="80"/>
      <c r="C31" s="253" t="s">
        <v>100</v>
      </c>
      <c r="D31" s="80"/>
      <c r="E31" s="80"/>
      <c r="F31" s="169">
        <f>SUM(F22:F30)</f>
        <v>8304</v>
      </c>
      <c r="G31" s="70"/>
      <c r="H31" s="169">
        <f>SUM(H22:H30)</f>
        <v>401091</v>
      </c>
      <c r="I31" s="79"/>
      <c r="J31" s="399"/>
      <c r="K31" s="162"/>
      <c r="L31" s="169">
        <f>SUM(L22:L30)</f>
        <v>68664</v>
      </c>
      <c r="M31" s="79"/>
      <c r="N31" s="303">
        <f>ROUND((L31/L$47)*100,1)</f>
        <v>99.6</v>
      </c>
      <c r="O31" s="302"/>
      <c r="P31" s="169">
        <f>ROUND($P$47/$H$47*H31,0)</f>
        <v>412</v>
      </c>
      <c r="Q31" s="79"/>
      <c r="R31" s="169">
        <f>SUM(R22:R30)</f>
        <v>69076</v>
      </c>
      <c r="T31" s="100"/>
      <c r="U31" s="100"/>
      <c r="V31" s="100"/>
      <c r="W31" s="100"/>
      <c r="X31" s="100"/>
      <c r="Y31" s="464"/>
      <c r="Z31" s="100"/>
      <c r="AA31" s="100"/>
      <c r="AB31" s="100"/>
      <c r="AC31" s="312"/>
      <c r="AD31" s="312"/>
      <c r="AE31" s="100"/>
      <c r="AF31" s="100"/>
      <c r="AG31" s="380"/>
      <c r="AH31" s="100"/>
      <c r="AI31" s="100"/>
      <c r="AJ31" s="100"/>
      <c r="AK31" s="380"/>
      <c r="AL31" s="100"/>
      <c r="AM31" s="100"/>
      <c r="AN31" s="100"/>
      <c r="AO31" s="100"/>
      <c r="AP31" s="100"/>
      <c r="AQ31" s="380"/>
    </row>
    <row r="32" spans="1:43" x14ac:dyDescent="0.25">
      <c r="A32" s="80"/>
      <c r="B32" s="80"/>
      <c r="C32" s="80"/>
      <c r="D32" s="80"/>
      <c r="E32" s="80"/>
      <c r="F32" s="70"/>
      <c r="G32" s="70"/>
      <c r="H32" s="70"/>
      <c r="I32" s="70"/>
      <c r="J32" s="399"/>
      <c r="K32" s="162"/>
      <c r="L32" s="70"/>
      <c r="M32" s="70"/>
      <c r="N32" s="70"/>
      <c r="O32" s="70"/>
      <c r="P32" s="70"/>
      <c r="Q32" s="70"/>
      <c r="R32" s="70"/>
      <c r="T32" s="202"/>
      <c r="Y32" s="394"/>
      <c r="AO32" s="154"/>
      <c r="AP32" s="154"/>
    </row>
    <row r="33" spans="1:76" x14ac:dyDescent="0.25">
      <c r="A33" s="159">
        <v>14</v>
      </c>
      <c r="B33" s="80"/>
      <c r="C33" s="265" t="s">
        <v>272</v>
      </c>
      <c r="D33" s="80"/>
      <c r="E33" s="80"/>
      <c r="F33" s="70"/>
      <c r="G33" s="70"/>
      <c r="H33" s="70"/>
      <c r="I33" s="70"/>
      <c r="J33" s="399"/>
      <c r="K33" s="162"/>
      <c r="L33" s="70"/>
      <c r="M33" s="70"/>
      <c r="N33" s="70"/>
      <c r="O33" s="70"/>
      <c r="P33" s="70"/>
      <c r="Q33" s="70"/>
      <c r="R33" s="70"/>
      <c r="T33" s="154"/>
      <c r="Y33" s="394"/>
      <c r="AO33" s="202"/>
      <c r="AP33" s="202"/>
    </row>
    <row r="34" spans="1:76" x14ac:dyDescent="0.25">
      <c r="A34" s="159">
        <v>15</v>
      </c>
      <c r="B34" s="80"/>
      <c r="C34" s="265" t="s">
        <v>265</v>
      </c>
      <c r="D34" s="80"/>
      <c r="E34" s="80"/>
      <c r="F34" s="70"/>
      <c r="G34" s="70"/>
      <c r="H34" s="70"/>
      <c r="I34" s="70"/>
      <c r="J34" s="399"/>
      <c r="K34" s="162"/>
      <c r="L34" s="70"/>
      <c r="M34" s="70"/>
      <c r="N34" s="70"/>
      <c r="O34" s="70"/>
      <c r="P34" s="70"/>
      <c r="Q34" s="70"/>
      <c r="R34" s="70"/>
      <c r="T34" s="154"/>
      <c r="Y34" s="394"/>
      <c r="AO34" s="202"/>
      <c r="AP34" s="202"/>
    </row>
    <row r="35" spans="1:76" x14ac:dyDescent="0.25">
      <c r="A35" s="159">
        <v>16</v>
      </c>
      <c r="B35" s="80"/>
      <c r="C35" s="81" t="s">
        <v>98</v>
      </c>
      <c r="D35" s="80"/>
      <c r="E35" s="80"/>
      <c r="F35" s="225">
        <v>0</v>
      </c>
      <c r="G35" s="70"/>
      <c r="H35" s="225">
        <f>ROUND(F35*616/12,0)</f>
        <v>0</v>
      </c>
      <c r="I35" s="78"/>
      <c r="J35" s="349">
        <f>ROUND(AC87+(AC87*LT_COS_RATE),2)</f>
        <v>6.09</v>
      </c>
      <c r="K35" s="352"/>
      <c r="L35" s="79">
        <f>ROUND((F35*J35),0)</f>
        <v>0</v>
      </c>
      <c r="M35" s="79"/>
      <c r="N35" s="156">
        <f>ROUND((L35/L$47)*100,1)</f>
        <v>0</v>
      </c>
      <c r="O35" s="156"/>
      <c r="P35" s="79">
        <f>ROUND($P$47/$H$47*H35,0)</f>
        <v>0</v>
      </c>
      <c r="Q35" s="79"/>
      <c r="R35" s="79">
        <f>L35+P35</f>
        <v>0</v>
      </c>
      <c r="S35" s="109"/>
      <c r="Y35" s="463"/>
      <c r="AE35" s="103"/>
      <c r="AF35" s="103"/>
      <c r="AG35" s="185"/>
      <c r="AH35" s="103"/>
      <c r="AI35" s="103"/>
      <c r="AJ35" s="103"/>
      <c r="AK35" s="185"/>
      <c r="AL35" s="103"/>
      <c r="AO35" s="103"/>
      <c r="AP35" s="103"/>
      <c r="AQ35" s="185"/>
    </row>
    <row r="36" spans="1:76" x14ac:dyDescent="0.25">
      <c r="A36" s="159">
        <v>17</v>
      </c>
      <c r="B36" s="80"/>
      <c r="C36" s="81" t="s">
        <v>97</v>
      </c>
      <c r="D36" s="80"/>
      <c r="E36" s="80"/>
      <c r="F36" s="225">
        <v>60</v>
      </c>
      <c r="G36" s="70"/>
      <c r="H36" s="225">
        <f>ROUND(F36*786/12,0)</f>
        <v>3930</v>
      </c>
      <c r="I36" s="78"/>
      <c r="J36" s="349">
        <f>ROUND(AC88+(AC88*LT_COS_RATE),2)</f>
        <v>7.74</v>
      </c>
      <c r="K36" s="352"/>
      <c r="L36" s="79">
        <f>ROUND((F36*J36),0)</f>
        <v>464</v>
      </c>
      <c r="M36" s="79"/>
      <c r="N36" s="341">
        <f>N37-N35</f>
        <v>0.7</v>
      </c>
      <c r="O36" s="156"/>
      <c r="P36" s="167">
        <f>ROUND($P$47/$H$47*H36,0)</f>
        <v>4</v>
      </c>
      <c r="Q36" s="79"/>
      <c r="R36" s="79">
        <f>L36+P36</f>
        <v>468</v>
      </c>
      <c r="S36" s="109"/>
      <c r="V36" s="103"/>
      <c r="W36" s="103"/>
      <c r="X36" s="103"/>
      <c r="Y36" s="463"/>
      <c r="AA36" s="103"/>
      <c r="AB36" s="103"/>
      <c r="AC36" s="103"/>
      <c r="AD36" s="103"/>
      <c r="AE36" s="103"/>
      <c r="AF36" s="103"/>
      <c r="AG36" s="185"/>
      <c r="AH36" s="103"/>
      <c r="AI36" s="103"/>
      <c r="AJ36" s="103"/>
      <c r="AK36" s="185"/>
      <c r="AL36" s="103"/>
      <c r="AM36" s="103"/>
      <c r="AN36" s="103"/>
      <c r="AO36" s="103"/>
      <c r="AP36" s="103"/>
      <c r="AQ36" s="185"/>
      <c r="AS36" s="200"/>
      <c r="AT36" s="200"/>
      <c r="AU36" s="210"/>
      <c r="BX36" s="317"/>
    </row>
    <row r="37" spans="1:76" ht="20.100000000000001" customHeight="1" x14ac:dyDescent="0.25">
      <c r="A37" s="159">
        <v>18</v>
      </c>
      <c r="B37" s="80"/>
      <c r="C37" s="265" t="s">
        <v>273</v>
      </c>
      <c r="D37" s="80"/>
      <c r="E37" s="80"/>
      <c r="F37" s="169">
        <f>SUM(F35:F36)</f>
        <v>60</v>
      </c>
      <c r="G37" s="70"/>
      <c r="H37" s="169">
        <f>SUM(H35:H36)</f>
        <v>3930</v>
      </c>
      <c r="I37" s="79"/>
      <c r="J37" s="162"/>
      <c r="K37" s="162"/>
      <c r="L37" s="169">
        <f>SUM(L35:L36)</f>
        <v>464</v>
      </c>
      <c r="M37" s="79"/>
      <c r="N37" s="303">
        <f>ROUND((L37/L$47)*100,1)</f>
        <v>0.7</v>
      </c>
      <c r="O37" s="158"/>
      <c r="P37" s="169">
        <f>ROUND($P$47/$H$47*H37,0)</f>
        <v>4</v>
      </c>
      <c r="Q37" s="79"/>
      <c r="R37" s="169">
        <f>SUM(R35:R36)</f>
        <v>468</v>
      </c>
      <c r="Y37" s="394"/>
      <c r="AA37" s="103"/>
      <c r="AB37" s="103"/>
      <c r="AC37" s="103"/>
      <c r="AD37" s="103"/>
      <c r="AE37" s="103"/>
      <c r="AF37" s="103"/>
      <c r="AG37" s="185"/>
      <c r="AH37" s="103"/>
      <c r="AI37" s="103"/>
      <c r="AJ37" s="103"/>
      <c r="AK37" s="185"/>
      <c r="AL37" s="103"/>
      <c r="AM37" s="103"/>
      <c r="AN37" s="103"/>
      <c r="AO37" s="103"/>
      <c r="AP37" s="103"/>
      <c r="AQ37" s="185"/>
      <c r="AS37" s="200"/>
      <c r="AT37" s="200"/>
      <c r="AU37" s="327"/>
    </row>
    <row r="38" spans="1:76" ht="20.100000000000001" customHeight="1" x14ac:dyDescent="0.25">
      <c r="A38" s="159">
        <v>19</v>
      </c>
      <c r="B38" s="80"/>
      <c r="C38" s="265" t="s">
        <v>592</v>
      </c>
      <c r="D38" s="80"/>
      <c r="E38" s="80"/>
      <c r="F38" s="169">
        <f>F37+F31</f>
        <v>8364</v>
      </c>
      <c r="G38" s="70"/>
      <c r="H38" s="169">
        <f>H37+H31</f>
        <v>405021</v>
      </c>
      <c r="I38" s="79"/>
      <c r="J38" s="162"/>
      <c r="K38" s="162"/>
      <c r="L38" s="169">
        <f>L37+L31</f>
        <v>69128</v>
      </c>
      <c r="M38" s="79"/>
      <c r="N38" s="303">
        <f>ROUND((L38/L$47)*100,1)</f>
        <v>100.3</v>
      </c>
      <c r="O38" s="158"/>
      <c r="P38" s="169">
        <f>P37+P31</f>
        <v>416</v>
      </c>
      <c r="Q38" s="79"/>
      <c r="R38" s="169">
        <f>R37+R31</f>
        <v>69544</v>
      </c>
      <c r="Y38" s="394"/>
      <c r="AA38" s="103"/>
      <c r="AB38" s="103"/>
      <c r="AC38" s="103"/>
      <c r="AD38" s="103"/>
      <c r="AE38" s="103"/>
      <c r="AF38" s="103"/>
      <c r="AG38" s="185"/>
      <c r="AH38" s="103"/>
      <c r="AI38" s="103"/>
      <c r="AJ38" s="103"/>
      <c r="AK38" s="185"/>
      <c r="AL38" s="103"/>
      <c r="AM38" s="103"/>
      <c r="AN38" s="103"/>
      <c r="AO38" s="103"/>
      <c r="AP38" s="103"/>
      <c r="AQ38" s="185"/>
      <c r="AS38" s="200"/>
      <c r="AT38" s="200"/>
      <c r="AU38" s="327"/>
    </row>
    <row r="39" spans="1:76" ht="15.75" customHeight="1" x14ac:dyDescent="0.25">
      <c r="A39" s="159"/>
      <c r="B39" s="80"/>
      <c r="C39" s="265"/>
      <c r="D39" s="80"/>
      <c r="E39" s="80"/>
      <c r="F39" s="163"/>
      <c r="G39" s="70"/>
      <c r="H39" s="163"/>
      <c r="I39" s="79"/>
      <c r="J39" s="162"/>
      <c r="K39" s="162"/>
      <c r="L39" s="163"/>
      <c r="M39" s="79"/>
      <c r="N39" s="198"/>
      <c r="O39" s="158"/>
      <c r="P39" s="163"/>
      <c r="Q39" s="79"/>
      <c r="R39" s="163"/>
      <c r="Y39" s="394"/>
      <c r="AA39" s="103"/>
      <c r="AB39" s="103"/>
      <c r="AC39" s="103"/>
      <c r="AD39" s="103"/>
      <c r="AE39" s="103"/>
      <c r="AF39" s="103"/>
      <c r="AG39" s="185"/>
      <c r="AH39" s="103"/>
      <c r="AI39" s="103"/>
      <c r="AJ39" s="103"/>
      <c r="AK39" s="185"/>
      <c r="AL39" s="103"/>
      <c r="AM39" s="103"/>
      <c r="AN39" s="103"/>
      <c r="AO39" s="103"/>
      <c r="AP39" s="103"/>
      <c r="AQ39" s="185"/>
      <c r="AS39" s="200"/>
      <c r="AT39" s="200"/>
      <c r="AU39" s="327"/>
    </row>
    <row r="40" spans="1:76" ht="15.75" customHeight="1" x14ac:dyDescent="0.25">
      <c r="A40" s="159">
        <v>20</v>
      </c>
      <c r="B40" s="80"/>
      <c r="C40" s="253" t="s">
        <v>591</v>
      </c>
      <c r="D40" s="80"/>
      <c r="E40" s="80"/>
      <c r="F40" s="163"/>
      <c r="G40" s="70"/>
      <c r="H40" s="163"/>
      <c r="I40" s="79"/>
      <c r="J40" s="162"/>
      <c r="K40" s="162"/>
      <c r="L40" s="163"/>
      <c r="M40" s="79"/>
      <c r="N40" s="198"/>
      <c r="O40" s="158"/>
      <c r="P40" s="163"/>
      <c r="Q40" s="79"/>
      <c r="R40" s="163"/>
      <c r="Y40" s="394"/>
      <c r="AA40" s="103"/>
      <c r="AB40" s="103"/>
      <c r="AC40" s="103"/>
      <c r="AD40" s="103"/>
      <c r="AE40" s="103"/>
      <c r="AF40" s="103"/>
      <c r="AG40" s="185"/>
      <c r="AH40" s="103"/>
      <c r="AI40" s="103"/>
      <c r="AJ40" s="103"/>
      <c r="AK40" s="185"/>
      <c r="AL40" s="103"/>
      <c r="AM40" s="103"/>
      <c r="AN40" s="103"/>
      <c r="AO40" s="103"/>
      <c r="AP40" s="103"/>
      <c r="AQ40" s="185"/>
      <c r="AS40" s="200"/>
      <c r="AT40" s="200"/>
      <c r="AU40" s="327"/>
    </row>
    <row r="41" spans="1:76" ht="15.75" customHeight="1" x14ac:dyDescent="0.25">
      <c r="A41" s="159">
        <v>21</v>
      </c>
      <c r="B41" s="80"/>
      <c r="C41" s="153" t="str">
        <f>ESM_Name</f>
        <v>ENVIRONMENTAL SURCHARGE MECHANISM RIDER (ESM)</v>
      </c>
      <c r="D41" s="80"/>
      <c r="E41" s="80"/>
      <c r="F41" s="163"/>
      <c r="G41" s="70"/>
      <c r="H41" s="163"/>
      <c r="I41" s="79"/>
      <c r="J41" s="430">
        <f>PRO_ESM</f>
        <v>0</v>
      </c>
      <c r="K41" s="162"/>
      <c r="L41" s="163">
        <f>ROUND($R$38*J41,0)</f>
        <v>0</v>
      </c>
      <c r="M41" s="79"/>
      <c r="N41" s="198">
        <f t="shared" ref="N41:N43" si="0">ROUND((L41/L$47)*100,1)</f>
        <v>0</v>
      </c>
      <c r="O41" s="158"/>
      <c r="P41" s="163"/>
      <c r="Q41" s="79"/>
      <c r="R41" s="163">
        <f t="shared" ref="R41:R43" si="1">L41+P41</f>
        <v>0</v>
      </c>
      <c r="Y41" s="394"/>
      <c r="AA41" s="103"/>
      <c r="AB41" s="103"/>
      <c r="AC41" s="103"/>
      <c r="AD41" s="103"/>
      <c r="AE41" s="103"/>
      <c r="AF41" s="103"/>
      <c r="AG41" s="185"/>
      <c r="AH41" s="103"/>
      <c r="AI41" s="103"/>
      <c r="AJ41" s="103"/>
      <c r="AK41" s="185"/>
      <c r="AL41" s="103"/>
      <c r="AM41" s="103"/>
      <c r="AN41" s="103"/>
      <c r="AO41" s="103"/>
      <c r="AP41" s="103"/>
      <c r="AQ41" s="185"/>
      <c r="AS41" s="200"/>
      <c r="AT41" s="200"/>
      <c r="AU41" s="327"/>
    </row>
    <row r="42" spans="1:76" ht="15.75" customHeight="1" x14ac:dyDescent="0.25">
      <c r="A42" s="159">
        <v>22</v>
      </c>
      <c r="B42" s="80"/>
      <c r="C42" s="153" t="str">
        <f>DCI_Name</f>
        <v>DISTRIBUTION CAPITAL INVESTMENT RIDER (DCI)</v>
      </c>
      <c r="D42" s="80"/>
      <c r="E42" s="80"/>
      <c r="F42" s="163"/>
      <c r="G42" s="70"/>
      <c r="H42" s="163"/>
      <c r="I42" s="79"/>
      <c r="J42" s="430">
        <f>PRO_DCI_SL</f>
        <v>0</v>
      </c>
      <c r="K42" s="162"/>
      <c r="L42" s="163">
        <f>ROUND($H$38*J42,0)</f>
        <v>0</v>
      </c>
      <c r="M42" s="79"/>
      <c r="N42" s="198">
        <f t="shared" si="0"/>
        <v>0</v>
      </c>
      <c r="O42" s="158"/>
      <c r="P42" s="163"/>
      <c r="Q42" s="79"/>
      <c r="R42" s="163">
        <f t="shared" si="1"/>
        <v>0</v>
      </c>
      <c r="Y42" s="394"/>
      <c r="AA42" s="103"/>
      <c r="AB42" s="103"/>
      <c r="AC42" s="103"/>
      <c r="AD42" s="103"/>
      <c r="AE42" s="103"/>
      <c r="AF42" s="103"/>
      <c r="AG42" s="185"/>
      <c r="AH42" s="103"/>
      <c r="AI42" s="103"/>
      <c r="AJ42" s="103"/>
      <c r="AK42" s="185"/>
      <c r="AL42" s="103"/>
      <c r="AM42" s="103"/>
      <c r="AN42" s="103"/>
      <c r="AO42" s="103"/>
      <c r="AP42" s="103"/>
      <c r="AQ42" s="185"/>
      <c r="AS42" s="200"/>
      <c r="AT42" s="200"/>
      <c r="AU42" s="327"/>
    </row>
    <row r="43" spans="1:76" ht="15.75" customHeight="1" x14ac:dyDescent="0.25">
      <c r="A43" s="159">
        <v>23</v>
      </c>
      <c r="B43" s="80"/>
      <c r="C43" s="153" t="str">
        <f>FTR_Name</f>
        <v>FERC TRANSMISSION COST RECOVERY RECONCILIATION (FTR)</v>
      </c>
      <c r="D43" s="80"/>
      <c r="E43" s="80"/>
      <c r="F43" s="163"/>
      <c r="G43" s="70"/>
      <c r="H43" s="163"/>
      <c r="I43" s="79"/>
      <c r="J43" s="430">
        <f>PRO_FTR_SL</f>
        <v>0</v>
      </c>
      <c r="K43" s="162"/>
      <c r="L43" s="163">
        <f>ROUND($H$38*J43,0)</f>
        <v>0</v>
      </c>
      <c r="M43" s="79"/>
      <c r="N43" s="198">
        <f t="shared" si="0"/>
        <v>0</v>
      </c>
      <c r="O43" s="158"/>
      <c r="P43" s="163"/>
      <c r="Q43" s="79"/>
      <c r="R43" s="163">
        <f t="shared" si="1"/>
        <v>0</v>
      </c>
      <c r="Y43" s="394"/>
      <c r="AA43" s="103"/>
      <c r="AB43" s="103"/>
      <c r="AC43" s="103"/>
      <c r="AD43" s="103"/>
      <c r="AE43" s="103"/>
      <c r="AF43" s="103"/>
      <c r="AG43" s="185"/>
      <c r="AH43" s="103"/>
      <c r="AI43" s="103"/>
      <c r="AJ43" s="103"/>
      <c r="AK43" s="185"/>
      <c r="AL43" s="103"/>
      <c r="AM43" s="103"/>
      <c r="AN43" s="103"/>
      <c r="AO43" s="103"/>
      <c r="AP43" s="103"/>
      <c r="AQ43" s="185"/>
      <c r="AS43" s="200"/>
      <c r="AT43" s="200"/>
      <c r="AU43" s="327"/>
    </row>
    <row r="44" spans="1:76" ht="15.75" customHeight="1" x14ac:dyDescent="0.25">
      <c r="A44" s="159">
        <v>24</v>
      </c>
      <c r="B44" s="80"/>
      <c r="C44" s="153" t="str">
        <f>PSM_Name</f>
        <v>PROFIT SHARING MECHANISM (PSM)</v>
      </c>
      <c r="D44" s="80"/>
      <c r="E44" s="80"/>
      <c r="F44" s="163"/>
      <c r="G44" s="70"/>
      <c r="H44" s="163"/>
      <c r="I44" s="79"/>
      <c r="J44" s="438">
        <f>PRO_PSM</f>
        <v>-4.5600000000000003E-4</v>
      </c>
      <c r="K44" s="162"/>
      <c r="L44" s="167">
        <f>ROUND($H$38*J44,0)</f>
        <v>-185</v>
      </c>
      <c r="M44" s="79"/>
      <c r="N44" s="166">
        <f>ROUND((L44/L$47)*100,1)</f>
        <v>-0.3</v>
      </c>
      <c r="O44" s="158"/>
      <c r="P44" s="167"/>
      <c r="Q44" s="79"/>
      <c r="R44" s="167">
        <f t="shared" ref="R44" si="2">L44+P44</f>
        <v>-185</v>
      </c>
      <c r="Y44" s="394"/>
      <c r="AA44" s="103"/>
      <c r="AB44" s="103"/>
      <c r="AC44" s="103"/>
      <c r="AD44" s="103"/>
      <c r="AE44" s="103"/>
      <c r="AF44" s="103"/>
      <c r="AG44" s="185"/>
      <c r="AH44" s="103"/>
      <c r="AI44" s="103"/>
      <c r="AJ44" s="103"/>
      <c r="AK44" s="185"/>
      <c r="AL44" s="103"/>
      <c r="AM44" s="103"/>
      <c r="AN44" s="103"/>
      <c r="AO44" s="103"/>
      <c r="AP44" s="103"/>
      <c r="AQ44" s="185"/>
      <c r="AS44" s="200"/>
      <c r="AT44" s="200"/>
      <c r="AU44" s="327"/>
    </row>
    <row r="45" spans="1:76" ht="20.100000000000001" customHeight="1" x14ac:dyDescent="0.25">
      <c r="A45" s="159">
        <v>25</v>
      </c>
      <c r="B45" s="80"/>
      <c r="C45" s="253" t="s">
        <v>585</v>
      </c>
      <c r="D45" s="80"/>
      <c r="E45" s="80"/>
      <c r="F45" s="167"/>
      <c r="G45" s="70"/>
      <c r="H45" s="167"/>
      <c r="I45" s="79"/>
      <c r="J45" s="162"/>
      <c r="K45" s="162"/>
      <c r="L45" s="169">
        <f>SUM(L41:L44)</f>
        <v>-185</v>
      </c>
      <c r="M45" s="79"/>
      <c r="N45" s="170">
        <f>ROUND((L45/L$47)*100,1)</f>
        <v>-0.3</v>
      </c>
      <c r="O45" s="158"/>
      <c r="P45" s="169"/>
      <c r="Q45" s="79"/>
      <c r="R45" s="169">
        <f>SUM(R41:R44)</f>
        <v>-185</v>
      </c>
      <c r="Y45" s="394"/>
      <c r="AA45" s="103"/>
      <c r="AB45" s="103"/>
      <c r="AC45" s="103"/>
      <c r="AD45" s="103"/>
      <c r="AE45" s="103"/>
      <c r="AF45" s="103"/>
      <c r="AG45" s="185"/>
      <c r="AH45" s="103"/>
      <c r="AI45" s="103"/>
      <c r="AJ45" s="103"/>
      <c r="AK45" s="185"/>
      <c r="AL45" s="103"/>
      <c r="AM45" s="103"/>
      <c r="AN45" s="103"/>
      <c r="AO45" s="103"/>
      <c r="AP45" s="103"/>
      <c r="AQ45" s="185"/>
      <c r="AS45" s="200"/>
      <c r="AT45" s="200"/>
      <c r="AU45" s="327"/>
    </row>
    <row r="46" spans="1:76" ht="15.75" customHeight="1" x14ac:dyDescent="0.25">
      <c r="A46" s="159"/>
      <c r="B46" s="80"/>
      <c r="C46" s="265"/>
      <c r="D46" s="80"/>
      <c r="E46" s="80"/>
      <c r="F46" s="163"/>
      <c r="G46" s="70"/>
      <c r="H46" s="163"/>
      <c r="I46" s="79"/>
      <c r="J46" s="162"/>
      <c r="K46" s="162"/>
      <c r="L46" s="163"/>
      <c r="M46" s="79"/>
      <c r="N46" s="198"/>
      <c r="O46" s="158"/>
      <c r="P46" s="163"/>
      <c r="Q46" s="79"/>
      <c r="R46" s="163"/>
      <c r="Y46" s="394"/>
      <c r="AA46" s="103"/>
      <c r="AB46" s="103"/>
      <c r="AC46" s="103"/>
      <c r="AD46" s="103"/>
      <c r="AE46" s="103"/>
      <c r="AF46" s="103"/>
      <c r="AG46" s="185"/>
      <c r="AH46" s="103"/>
      <c r="AI46" s="103"/>
      <c r="AJ46" s="103"/>
      <c r="AK46" s="185"/>
      <c r="AL46" s="103"/>
      <c r="AM46" s="103"/>
      <c r="AN46" s="103"/>
      <c r="AO46" s="103"/>
      <c r="AP46" s="103"/>
      <c r="AQ46" s="185"/>
      <c r="AS46" s="200"/>
      <c r="AT46" s="200"/>
      <c r="AU46" s="327"/>
    </row>
    <row r="47" spans="1:76" ht="20.100000000000001" customHeight="1" thickBot="1" x14ac:dyDescent="0.3">
      <c r="A47" s="159">
        <v>26</v>
      </c>
      <c r="B47" s="80"/>
      <c r="C47" s="253" t="s">
        <v>593</v>
      </c>
      <c r="D47" s="80"/>
      <c r="E47" s="80"/>
      <c r="F47" s="275">
        <f>F31+F37</f>
        <v>8364</v>
      </c>
      <c r="G47" s="70"/>
      <c r="H47" s="275">
        <f>H31+H37</f>
        <v>405021</v>
      </c>
      <c r="I47" s="79"/>
      <c r="J47" s="162"/>
      <c r="K47" s="162"/>
      <c r="L47" s="275">
        <f>L45+L38</f>
        <v>68943</v>
      </c>
      <c r="M47" s="79"/>
      <c r="N47" s="309">
        <v>100</v>
      </c>
      <c r="O47" s="156"/>
      <c r="P47" s="435">
        <f>ROUND(H47*CUR_FAC,0)</f>
        <v>416</v>
      </c>
      <c r="Q47" s="78"/>
      <c r="R47" s="275">
        <f>R45+R38</f>
        <v>69359</v>
      </c>
      <c r="Y47" s="394"/>
      <c r="AS47" s="200"/>
      <c r="AT47" s="200"/>
      <c r="AU47" s="210"/>
    </row>
    <row r="48" spans="1:76" ht="16.5" thickTop="1" x14ac:dyDescent="0.25">
      <c r="A48" s="80"/>
      <c r="B48" s="80"/>
      <c r="C48" s="80"/>
      <c r="D48" s="80"/>
      <c r="E48" s="8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Y48" s="200"/>
      <c r="AO48" s="200"/>
      <c r="AP48" s="200"/>
      <c r="AR48" s="202"/>
      <c r="AS48" s="200"/>
      <c r="AT48" s="200"/>
      <c r="AU48" s="210"/>
    </row>
    <row r="49" spans="1:47" x14ac:dyDescent="0.25">
      <c r="A49" s="80"/>
      <c r="B49" s="80"/>
      <c r="C49" s="173" t="s">
        <v>80</v>
      </c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T49" s="202"/>
      <c r="V49" s="154"/>
      <c r="Y49" s="200"/>
      <c r="AA49" s="200"/>
      <c r="AB49" s="200"/>
      <c r="AC49" s="300"/>
      <c r="AD49" s="300"/>
      <c r="AE49" s="200"/>
      <c r="AF49" s="200"/>
      <c r="AG49" s="209"/>
      <c r="AH49" s="210"/>
      <c r="AI49" s="200"/>
      <c r="AJ49" s="200"/>
      <c r="AK49" s="209"/>
      <c r="AL49" s="201"/>
      <c r="AM49" s="200"/>
      <c r="AN49" s="200"/>
      <c r="AO49" s="200"/>
      <c r="AP49" s="200"/>
      <c r="AQ49" s="209"/>
      <c r="AR49" s="200"/>
      <c r="AS49" s="200"/>
      <c r="AT49" s="200"/>
      <c r="AU49" s="210"/>
    </row>
    <row r="50" spans="1:47" x14ac:dyDescent="0.25">
      <c r="A50" s="80"/>
      <c r="B50" s="80"/>
      <c r="C50" s="173" t="str">
        <f>"(2) REFLECTS FUEL COMPONENT OF "&amp;TEXT(PRO_FAC,"$0.000000;($0.000000)")&amp;" PER KWH."</f>
        <v>(2) REFLECTS FUEL COMPONENT OF $0.001028 PER KWH.</v>
      </c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T50" s="202"/>
      <c r="V50" s="154"/>
      <c r="Y50" s="200"/>
      <c r="AA50" s="200"/>
      <c r="AB50" s="200"/>
      <c r="AC50" s="300"/>
      <c r="AD50" s="300"/>
      <c r="AE50" s="200"/>
      <c r="AF50" s="200"/>
      <c r="AG50" s="209"/>
      <c r="AH50" s="210"/>
      <c r="AI50" s="200"/>
      <c r="AJ50" s="200"/>
      <c r="AK50" s="209"/>
      <c r="AL50" s="201"/>
      <c r="AM50" s="200"/>
      <c r="AN50" s="200"/>
      <c r="AO50" s="200"/>
      <c r="AP50" s="200"/>
      <c r="AQ50" s="209"/>
      <c r="AR50" s="200"/>
      <c r="AS50" s="200"/>
      <c r="AT50" s="200"/>
      <c r="AU50" s="210"/>
    </row>
    <row r="51" spans="1:47" x14ac:dyDescent="0.25">
      <c r="A51" s="82"/>
      <c r="B51" s="80"/>
      <c r="C51" s="173" t="str">
        <f>"(3) REFLECTS FUEL COST RECOVERY INCLUDED IN BASE RATES OF "&amp;TEXT(PRO_BASE_FUEL,"$0.000000;($0.000000)")&amp;"  PER KWH."</f>
        <v>(3) REFLECTS FUEL COST RECOVERY INCLUDED IN BASE RATES OF $0.023837  PER KWH.</v>
      </c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T51" s="100"/>
      <c r="U51" s="100"/>
      <c r="V51" s="100"/>
      <c r="W51" s="100"/>
      <c r="X51" s="100"/>
      <c r="Y51" s="100"/>
      <c r="Z51" s="100"/>
      <c r="AA51" s="100"/>
      <c r="AB51" s="100"/>
      <c r="AC51" s="312"/>
      <c r="AD51" s="312"/>
      <c r="AE51" s="100"/>
      <c r="AF51" s="100"/>
      <c r="AG51" s="380"/>
      <c r="AH51" s="100"/>
      <c r="AI51" s="100"/>
      <c r="AJ51" s="100"/>
      <c r="AK51" s="380"/>
      <c r="AR51" s="200"/>
      <c r="AS51" s="200"/>
      <c r="AT51" s="200"/>
      <c r="AU51" s="210"/>
    </row>
    <row r="52" spans="1:47" x14ac:dyDescent="0.25">
      <c r="H52" s="154"/>
      <c r="I52" s="154"/>
      <c r="T52" s="312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380"/>
      <c r="AH52" s="100"/>
      <c r="AI52" s="100"/>
      <c r="AJ52" s="100"/>
      <c r="AK52" s="380"/>
      <c r="AR52" s="200"/>
    </row>
    <row r="53" spans="1:47" x14ac:dyDescent="0.25">
      <c r="L53" s="154"/>
      <c r="M53" s="154"/>
      <c r="T53" s="150" t="str">
        <f>NAME</f>
        <v>DUKE ENERGY KENTUCKY, INC.</v>
      </c>
      <c r="U53" s="150"/>
      <c r="V53" s="150"/>
      <c r="W53" s="150"/>
      <c r="X53" s="150"/>
      <c r="Y53" s="150"/>
      <c r="Z53" s="150"/>
      <c r="AA53" s="150"/>
      <c r="AB53" s="150"/>
      <c r="AC53" s="150"/>
      <c r="AD53" s="187"/>
      <c r="AE53" s="187"/>
      <c r="AF53" s="150"/>
      <c r="AG53" s="380"/>
      <c r="AH53" s="150"/>
      <c r="AI53" s="100"/>
      <c r="AJ53" s="150"/>
      <c r="AK53" s="190"/>
      <c r="AL53" s="150"/>
      <c r="AM53" s="150"/>
      <c r="AN53" s="150"/>
      <c r="AO53" s="100"/>
      <c r="AP53" s="150"/>
      <c r="AQ53" s="190"/>
      <c r="AR53" s="252"/>
    </row>
    <row r="54" spans="1:47" x14ac:dyDescent="0.25">
      <c r="F54" s="109"/>
      <c r="H54" s="109"/>
      <c r="I54" s="109"/>
      <c r="J54" s="394"/>
      <c r="K54" s="394"/>
      <c r="L54" s="211"/>
      <c r="M54" s="445"/>
      <c r="N54" s="449"/>
      <c r="O54" s="449"/>
      <c r="P54" s="109"/>
      <c r="Q54" s="109"/>
      <c r="R54" s="109"/>
      <c r="T54" s="150" t="str">
        <f>CASE_NO</f>
        <v>CASE NO.   2017-00321</v>
      </c>
      <c r="U54" s="150"/>
      <c r="V54" s="150"/>
      <c r="W54" s="150"/>
      <c r="X54" s="150"/>
      <c r="Y54" s="150"/>
      <c r="Z54" s="150"/>
      <c r="AA54" s="150"/>
      <c r="AB54" s="150"/>
      <c r="AC54" s="150"/>
      <c r="AD54" s="187"/>
      <c r="AE54" s="187"/>
      <c r="AF54" s="150"/>
      <c r="AG54" s="380"/>
      <c r="AH54" s="150"/>
      <c r="AI54" s="100"/>
      <c r="AJ54" s="150"/>
      <c r="AK54" s="190"/>
      <c r="AL54" s="150"/>
      <c r="AM54" s="150"/>
      <c r="AN54" s="150"/>
      <c r="AO54" s="100"/>
      <c r="AP54" s="150"/>
      <c r="AQ54" s="190"/>
      <c r="AR54" s="252"/>
    </row>
    <row r="55" spans="1:47" x14ac:dyDescent="0.25">
      <c r="A55" s="202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211"/>
      <c r="T55" s="187" t="str">
        <f>TITLE</f>
        <v>ANNUALIZED BASE YEAR REVENUES AT PROPOSED VS. MOST CURRENT RATES</v>
      </c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380"/>
      <c r="AH55" s="150"/>
      <c r="AI55" s="100"/>
      <c r="AJ55" s="150"/>
      <c r="AK55" s="190"/>
      <c r="AL55" s="150"/>
      <c r="AM55" s="150"/>
      <c r="AN55" s="150"/>
      <c r="AO55" s="100"/>
      <c r="AP55" s="150"/>
      <c r="AQ55" s="190"/>
      <c r="AR55" s="252"/>
    </row>
    <row r="56" spans="1:47" x14ac:dyDescent="0.25">
      <c r="A56" s="202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T56" s="150" t="str">
        <f>DATE</f>
        <v>FOR THE TWELVE MONTHS ENDED November 30, 2017</v>
      </c>
      <c r="U56" s="150"/>
      <c r="V56" s="150"/>
      <c r="W56" s="150"/>
      <c r="X56" s="150"/>
      <c r="Y56" s="150"/>
      <c r="Z56" s="150"/>
      <c r="AA56" s="150"/>
      <c r="AB56" s="150"/>
      <c r="AC56" s="150"/>
      <c r="AD56" s="187"/>
      <c r="AE56" s="187"/>
      <c r="AF56" s="150"/>
      <c r="AG56" s="380"/>
      <c r="AH56" s="150"/>
      <c r="AI56" s="100"/>
      <c r="AJ56" s="150"/>
      <c r="AK56" s="190"/>
      <c r="AL56" s="150"/>
      <c r="AM56" s="150"/>
      <c r="AN56" s="150"/>
      <c r="AO56" s="100"/>
      <c r="AP56" s="150"/>
      <c r="AQ56" s="190"/>
      <c r="AR56" s="200"/>
    </row>
    <row r="57" spans="1:47" x14ac:dyDescent="0.25">
      <c r="A57" s="154"/>
      <c r="R57" s="154"/>
      <c r="T57" s="150" t="str">
        <f>SERVICE</f>
        <v>(ELECTRIC SERVICE)</v>
      </c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87"/>
      <c r="AG57" s="424"/>
      <c r="AH57" s="150"/>
      <c r="AI57" s="100"/>
      <c r="AJ57" s="150"/>
      <c r="AK57" s="190"/>
      <c r="AL57" s="150"/>
      <c r="AM57" s="150"/>
      <c r="AN57" s="150"/>
      <c r="AO57" s="100"/>
      <c r="AP57" s="150"/>
      <c r="AQ57" s="190"/>
      <c r="AR57" s="200"/>
    </row>
    <row r="58" spans="1:47" x14ac:dyDescent="0.25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T58" s="159" t="str">
        <f>DATA_PERIOD</f>
        <v>DATA: __X__ BASE PERIOD   ____FORECASTED PERIOD</v>
      </c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H58" s="80"/>
      <c r="AJ58" s="80"/>
      <c r="AK58" s="188"/>
      <c r="AL58" s="80"/>
      <c r="AM58" s="80"/>
      <c r="AN58" s="80"/>
      <c r="AO58" s="82" t="s">
        <v>179</v>
      </c>
      <c r="AQ58" s="440"/>
    </row>
    <row r="59" spans="1:47" x14ac:dyDescent="0.25">
      <c r="L59" s="103"/>
      <c r="M59" s="103"/>
      <c r="N59" s="103"/>
      <c r="O59" s="103"/>
      <c r="R59" s="103"/>
      <c r="T59" s="159" t="str">
        <f>TYPE</f>
        <v>TYPE OF FILING: _X_ ORIGINAL   ___UPDATED  ___ REVISED</v>
      </c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H59" s="80"/>
      <c r="AJ59" s="80"/>
      <c r="AK59" s="188"/>
      <c r="AL59" s="80"/>
      <c r="AM59" s="80"/>
      <c r="AN59" s="80"/>
      <c r="AO59" s="81" t="str">
        <f>R7</f>
        <v>PAGE  19  OF  22</v>
      </c>
      <c r="AQ59" s="440"/>
    </row>
    <row r="60" spans="1:47" x14ac:dyDescent="0.25">
      <c r="C60" s="103"/>
      <c r="D60" s="103"/>
      <c r="E60" s="103"/>
      <c r="F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T60" s="82" t="s">
        <v>192</v>
      </c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188"/>
      <c r="AH60" s="80"/>
      <c r="AI60" s="80"/>
      <c r="AJ60" s="80"/>
      <c r="AK60" s="188"/>
      <c r="AL60" s="80"/>
      <c r="AM60" s="80"/>
      <c r="AN60" s="80"/>
      <c r="AO60" s="82" t="s">
        <v>3</v>
      </c>
      <c r="AQ60" s="440"/>
    </row>
    <row r="61" spans="1:47" x14ac:dyDescent="0.2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T61" s="258" t="str">
        <f>TIME</f>
        <v>6 Months Actual and 6 Months Projected</v>
      </c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G61" s="440"/>
      <c r="AH61" s="80"/>
      <c r="AI61" s="80"/>
      <c r="AJ61" s="80"/>
      <c r="AK61" s="188"/>
      <c r="AL61" s="80"/>
      <c r="AM61" s="80"/>
      <c r="AN61" s="80"/>
      <c r="AO61" s="159" t="str">
        <f>WIT</f>
        <v>B. L. SAILERS</v>
      </c>
    </row>
    <row r="62" spans="1:47" x14ac:dyDescent="0.25"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T62" s="187" t="s">
        <v>152</v>
      </c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87"/>
      <c r="AG62" s="450"/>
      <c r="AH62" s="150"/>
      <c r="AI62" s="150"/>
      <c r="AJ62" s="150"/>
      <c r="AK62" s="190"/>
      <c r="AL62" s="150"/>
      <c r="AM62" s="150"/>
      <c r="AN62" s="150"/>
      <c r="AO62" s="150"/>
      <c r="AP62" s="187"/>
      <c r="AQ62" s="450"/>
    </row>
    <row r="63" spans="1:47" x14ac:dyDescent="0.25">
      <c r="A63" s="202"/>
      <c r="C63" s="154"/>
      <c r="D63" s="154"/>
      <c r="E63" s="154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91"/>
      <c r="AH63" s="151"/>
      <c r="AI63" s="151"/>
      <c r="AJ63" s="151"/>
      <c r="AK63" s="191"/>
      <c r="AL63" s="151"/>
      <c r="AM63" s="151"/>
      <c r="AN63" s="151"/>
      <c r="AO63" s="151"/>
      <c r="AP63" s="151"/>
      <c r="AQ63" s="191"/>
    </row>
    <row r="64" spans="1:47" ht="18" customHeight="1" x14ac:dyDescent="0.25">
      <c r="A64" s="202"/>
      <c r="C64" s="154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93" t="s">
        <v>8</v>
      </c>
      <c r="AF64" s="193"/>
      <c r="AG64" s="194" t="s">
        <v>7</v>
      </c>
      <c r="AH64" s="193"/>
      <c r="AI64" s="193" t="s">
        <v>9</v>
      </c>
      <c r="AJ64" s="193"/>
      <c r="AK64" s="194" t="s">
        <v>10</v>
      </c>
      <c r="AL64" s="193"/>
      <c r="AM64" s="152"/>
      <c r="AN64" s="152"/>
      <c r="AO64" s="193" t="s">
        <v>8</v>
      </c>
      <c r="AP64" s="193"/>
      <c r="AQ64" s="194" t="s">
        <v>11</v>
      </c>
    </row>
    <row r="65" spans="1:49" x14ac:dyDescent="0.25">
      <c r="T65" s="80"/>
      <c r="U65" s="80"/>
      <c r="V65" s="80"/>
      <c r="W65" s="80"/>
      <c r="X65" s="80"/>
      <c r="Y65" s="80"/>
      <c r="Z65" s="80"/>
      <c r="AA65" s="80"/>
      <c r="AB65" s="80"/>
      <c r="AC65" s="83" t="s">
        <v>14</v>
      </c>
      <c r="AD65" s="83"/>
      <c r="AE65" s="83" t="s">
        <v>12</v>
      </c>
      <c r="AF65" s="83"/>
      <c r="AG65" s="195" t="s">
        <v>13</v>
      </c>
      <c r="AH65" s="83"/>
      <c r="AI65" s="83" t="s">
        <v>15</v>
      </c>
      <c r="AJ65" s="83"/>
      <c r="AK65" s="195" t="s">
        <v>16</v>
      </c>
      <c r="AL65" s="83"/>
      <c r="AM65" s="80"/>
      <c r="AN65" s="80"/>
      <c r="AO65" s="83" t="s">
        <v>11</v>
      </c>
      <c r="AP65" s="83"/>
      <c r="AQ65" s="195" t="s">
        <v>9</v>
      </c>
    </row>
    <row r="66" spans="1:49" x14ac:dyDescent="0.25">
      <c r="A66" s="202"/>
      <c r="C66" s="154"/>
      <c r="F66" s="252"/>
      <c r="H66" s="252"/>
      <c r="I66" s="252"/>
      <c r="J66" s="300"/>
      <c r="K66" s="300"/>
      <c r="L66" s="200"/>
      <c r="M66" s="200"/>
      <c r="N66" s="210"/>
      <c r="O66" s="210"/>
      <c r="P66" s="202"/>
      <c r="Q66" s="202"/>
      <c r="R66" s="200"/>
      <c r="T66" s="83" t="s">
        <v>17</v>
      </c>
      <c r="U66" s="80"/>
      <c r="V66" s="83" t="s">
        <v>18</v>
      </c>
      <c r="W66" s="83" t="s">
        <v>19</v>
      </c>
      <c r="X66" s="83"/>
      <c r="Y66" s="83" t="s">
        <v>20</v>
      </c>
      <c r="Z66" s="80"/>
      <c r="AA66" s="80"/>
      <c r="AB66" s="80"/>
      <c r="AC66" s="83" t="s">
        <v>8</v>
      </c>
      <c r="AD66" s="83"/>
      <c r="AE66" s="83" t="s">
        <v>21</v>
      </c>
      <c r="AF66" s="83"/>
      <c r="AG66" s="195" t="s">
        <v>21</v>
      </c>
      <c r="AH66" s="83"/>
      <c r="AI66" s="83" t="s">
        <v>22</v>
      </c>
      <c r="AJ66" s="83"/>
      <c r="AK66" s="195" t="s">
        <v>22</v>
      </c>
      <c r="AL66" s="83"/>
      <c r="AM66" s="83" t="s">
        <v>21</v>
      </c>
      <c r="AN66" s="83"/>
      <c r="AO66" s="83" t="s">
        <v>9</v>
      </c>
      <c r="AP66" s="83"/>
      <c r="AQ66" s="195" t="s">
        <v>23</v>
      </c>
    </row>
    <row r="67" spans="1:49" x14ac:dyDescent="0.25">
      <c r="A67" s="202"/>
      <c r="C67" s="154"/>
      <c r="F67" s="252"/>
      <c r="H67" s="252"/>
      <c r="I67" s="252"/>
      <c r="J67" s="300"/>
      <c r="K67" s="300"/>
      <c r="L67" s="200"/>
      <c r="M67" s="200"/>
      <c r="N67" s="210"/>
      <c r="O67" s="210"/>
      <c r="P67" s="202"/>
      <c r="Q67" s="202"/>
      <c r="R67" s="200"/>
      <c r="T67" s="83" t="s">
        <v>24</v>
      </c>
      <c r="U67" s="80"/>
      <c r="V67" s="83" t="s">
        <v>25</v>
      </c>
      <c r="W67" s="83" t="s">
        <v>26</v>
      </c>
      <c r="X67" s="83"/>
      <c r="Y67" s="83" t="s">
        <v>27</v>
      </c>
      <c r="Z67" s="80"/>
      <c r="AA67" s="83" t="s">
        <v>28</v>
      </c>
      <c r="AB67" s="83"/>
      <c r="AC67" s="196" t="s">
        <v>431</v>
      </c>
      <c r="AD67" s="83"/>
      <c r="AE67" s="83" t="s">
        <v>9</v>
      </c>
      <c r="AF67" s="83"/>
      <c r="AG67" s="195" t="s">
        <v>9</v>
      </c>
      <c r="AH67" s="83"/>
      <c r="AI67" s="256" t="s">
        <v>31</v>
      </c>
      <c r="AJ67" s="256"/>
      <c r="AK67" s="257" t="s">
        <v>32</v>
      </c>
      <c r="AL67" s="83"/>
      <c r="AM67" s="83" t="s">
        <v>430</v>
      </c>
      <c r="AN67" s="83"/>
      <c r="AO67" s="256" t="s">
        <v>33</v>
      </c>
      <c r="AP67" s="256"/>
      <c r="AQ67" s="257" t="s">
        <v>34</v>
      </c>
    </row>
    <row r="68" spans="1:49" x14ac:dyDescent="0.25">
      <c r="A68" s="202"/>
      <c r="C68" s="154"/>
      <c r="F68" s="252"/>
      <c r="H68" s="252"/>
      <c r="I68" s="252"/>
      <c r="J68" s="300"/>
      <c r="K68" s="300"/>
      <c r="L68" s="200"/>
      <c r="M68" s="200"/>
      <c r="N68" s="210"/>
      <c r="O68" s="210"/>
      <c r="P68" s="202"/>
      <c r="Q68" s="202"/>
      <c r="R68" s="200"/>
      <c r="T68" s="80"/>
      <c r="U68" s="80"/>
      <c r="V68" s="256" t="s">
        <v>35</v>
      </c>
      <c r="W68" s="256" t="s">
        <v>36</v>
      </c>
      <c r="X68" s="256"/>
      <c r="Y68" s="256" t="s">
        <v>37</v>
      </c>
      <c r="Z68" s="258"/>
      <c r="AA68" s="256" t="s">
        <v>38</v>
      </c>
      <c r="AB68" s="256"/>
      <c r="AC68" s="256" t="s">
        <v>44</v>
      </c>
      <c r="AD68" s="256"/>
      <c r="AE68" s="256" t="s">
        <v>45</v>
      </c>
      <c r="AF68" s="256"/>
      <c r="AG68" s="257" t="s">
        <v>46</v>
      </c>
      <c r="AH68" s="256"/>
      <c r="AI68" s="256" t="s">
        <v>47</v>
      </c>
      <c r="AJ68" s="256"/>
      <c r="AK68" s="257" t="s">
        <v>48</v>
      </c>
      <c r="AL68" s="256"/>
      <c r="AM68" s="256" t="s">
        <v>42</v>
      </c>
      <c r="AN68" s="256"/>
      <c r="AO68" s="256" t="s">
        <v>49</v>
      </c>
      <c r="AP68" s="256"/>
      <c r="AQ68" s="257" t="s">
        <v>50</v>
      </c>
      <c r="AU68" s="104"/>
      <c r="AW68" s="101" t="s">
        <v>403</v>
      </c>
    </row>
    <row r="69" spans="1:49" ht="17.100000000000001" customHeight="1" x14ac:dyDescent="0.25">
      <c r="F69" s="211"/>
      <c r="H69" s="200"/>
      <c r="I69" s="200"/>
      <c r="J69" s="305"/>
      <c r="K69" s="305"/>
      <c r="L69" s="211"/>
      <c r="M69" s="211"/>
      <c r="N69" s="211"/>
      <c r="O69" s="211"/>
      <c r="P69" s="211"/>
      <c r="Q69" s="211"/>
      <c r="R69" s="211"/>
      <c r="T69" s="152"/>
      <c r="U69" s="152"/>
      <c r="V69" s="152"/>
      <c r="W69" s="152"/>
      <c r="X69" s="152"/>
      <c r="Y69" s="152"/>
      <c r="Z69" s="152"/>
      <c r="AA69" s="376" t="s">
        <v>51</v>
      </c>
      <c r="AB69" s="376"/>
      <c r="AC69" s="375" t="s">
        <v>71</v>
      </c>
      <c r="AD69" s="376"/>
      <c r="AE69" s="376" t="s">
        <v>52</v>
      </c>
      <c r="AF69" s="376"/>
      <c r="AG69" s="381" t="s">
        <v>53</v>
      </c>
      <c r="AH69" s="376"/>
      <c r="AI69" s="376" t="s">
        <v>52</v>
      </c>
      <c r="AJ69" s="376"/>
      <c r="AK69" s="381" t="s">
        <v>53</v>
      </c>
      <c r="AL69" s="376"/>
      <c r="AM69" s="376" t="s">
        <v>52</v>
      </c>
      <c r="AN69" s="376"/>
      <c r="AO69" s="376" t="s">
        <v>52</v>
      </c>
      <c r="AP69" s="376"/>
      <c r="AQ69" s="381" t="s">
        <v>53</v>
      </c>
      <c r="AU69" s="104"/>
    </row>
    <row r="70" spans="1:49" x14ac:dyDescent="0.25">
      <c r="A70" s="202"/>
      <c r="C70" s="154"/>
      <c r="F70" s="200"/>
      <c r="H70" s="200"/>
      <c r="I70" s="200"/>
      <c r="J70" s="305"/>
      <c r="K70" s="305"/>
      <c r="L70" s="200"/>
      <c r="M70" s="200"/>
      <c r="N70" s="210"/>
      <c r="O70" s="210"/>
      <c r="P70" s="200"/>
      <c r="Q70" s="200"/>
      <c r="R70" s="200"/>
      <c r="T70" s="159">
        <v>1</v>
      </c>
      <c r="U70" s="80"/>
      <c r="V70" s="253" t="s">
        <v>96</v>
      </c>
      <c r="W70" s="265" t="s">
        <v>263</v>
      </c>
      <c r="X70" s="82"/>
      <c r="Y70" s="70"/>
      <c r="Z70" s="70"/>
      <c r="AA70" s="70"/>
      <c r="AB70" s="70"/>
      <c r="AC70" s="70"/>
      <c r="AD70" s="70"/>
      <c r="AE70" s="70"/>
      <c r="AF70" s="70"/>
      <c r="AG70" s="164"/>
      <c r="AH70" s="70"/>
      <c r="AI70" s="70"/>
      <c r="AJ70" s="70"/>
      <c r="AK70" s="164"/>
      <c r="AL70" s="70"/>
      <c r="AM70" s="70"/>
      <c r="AN70" s="70"/>
      <c r="AO70" s="70"/>
      <c r="AP70" s="70"/>
      <c r="AQ70" s="164"/>
      <c r="AU70" s="104"/>
    </row>
    <row r="71" spans="1:49" x14ac:dyDescent="0.25">
      <c r="A71" s="202"/>
      <c r="C71" s="154"/>
      <c r="F71" s="252"/>
      <c r="H71" s="252"/>
      <c r="I71" s="252"/>
      <c r="J71" s="328"/>
      <c r="K71" s="328"/>
      <c r="L71" s="200"/>
      <c r="M71" s="200"/>
      <c r="N71" s="210"/>
      <c r="O71" s="210"/>
      <c r="P71" s="200"/>
      <c r="Q71" s="200"/>
      <c r="R71" s="200"/>
      <c r="S71" s="200"/>
      <c r="T71" s="80"/>
      <c r="U71" s="80"/>
      <c r="V71" s="80"/>
      <c r="W71" s="80"/>
      <c r="X71" s="80"/>
      <c r="Y71" s="70"/>
      <c r="Z71" s="70"/>
      <c r="AA71" s="70"/>
      <c r="AB71" s="70"/>
      <c r="AC71" s="70"/>
      <c r="AD71" s="70"/>
      <c r="AE71" s="70"/>
      <c r="AF71" s="70"/>
      <c r="AG71" s="164"/>
      <c r="AH71" s="70"/>
      <c r="AI71" s="70"/>
      <c r="AJ71" s="70"/>
      <c r="AK71" s="164"/>
      <c r="AL71" s="70"/>
      <c r="AM71" s="70"/>
      <c r="AN71" s="70"/>
      <c r="AO71" s="70"/>
      <c r="AP71" s="70"/>
      <c r="AQ71" s="164"/>
    </row>
    <row r="72" spans="1:49" x14ac:dyDescent="0.25">
      <c r="A72" s="202"/>
      <c r="C72" s="154"/>
      <c r="F72" s="252"/>
      <c r="H72" s="252"/>
      <c r="I72" s="252"/>
      <c r="J72" s="300"/>
      <c r="K72" s="300"/>
      <c r="L72" s="200"/>
      <c r="M72" s="200"/>
      <c r="N72" s="210"/>
      <c r="O72" s="210"/>
      <c r="P72" s="200"/>
      <c r="Q72" s="200"/>
      <c r="R72" s="200"/>
      <c r="T72" s="159">
        <v>2</v>
      </c>
      <c r="U72" s="80"/>
      <c r="V72" s="265" t="s">
        <v>264</v>
      </c>
      <c r="W72" s="80"/>
      <c r="X72" s="80"/>
      <c r="Y72" s="70"/>
      <c r="Z72" s="70"/>
      <c r="AA72" s="70"/>
      <c r="AB72" s="70"/>
      <c r="AC72" s="70"/>
      <c r="AD72" s="70"/>
      <c r="AE72" s="70"/>
      <c r="AF72" s="70"/>
      <c r="AG72" s="164"/>
      <c r="AH72" s="70"/>
      <c r="AI72" s="70"/>
      <c r="AJ72" s="70"/>
      <c r="AK72" s="164"/>
      <c r="AL72" s="70"/>
      <c r="AM72" s="70"/>
      <c r="AN72" s="70"/>
      <c r="AO72" s="70"/>
      <c r="AP72" s="70"/>
      <c r="AQ72" s="164"/>
    </row>
    <row r="73" spans="1:49" x14ac:dyDescent="0.25">
      <c r="A73" s="202"/>
      <c r="C73" s="154"/>
      <c r="F73" s="252"/>
      <c r="H73" s="252"/>
      <c r="I73" s="252"/>
      <c r="J73" s="300"/>
      <c r="K73" s="300"/>
      <c r="L73" s="200"/>
      <c r="M73" s="200"/>
      <c r="N73" s="210"/>
      <c r="O73" s="210"/>
      <c r="P73" s="200"/>
      <c r="Q73" s="200"/>
      <c r="R73" s="200"/>
      <c r="T73" s="159">
        <v>3</v>
      </c>
      <c r="U73" s="80"/>
      <c r="V73" s="265" t="s">
        <v>265</v>
      </c>
      <c r="W73" s="80"/>
      <c r="X73" s="80"/>
      <c r="Y73" s="70"/>
      <c r="Z73" s="70"/>
      <c r="AA73" s="70"/>
      <c r="AB73" s="70"/>
      <c r="AC73" s="70"/>
      <c r="AD73" s="70"/>
      <c r="AE73" s="70"/>
      <c r="AF73" s="70"/>
      <c r="AG73" s="164"/>
      <c r="AH73" s="70"/>
      <c r="AI73" s="70"/>
      <c r="AJ73" s="70"/>
      <c r="AK73" s="164"/>
      <c r="AL73" s="70"/>
      <c r="AM73" s="70"/>
      <c r="AN73" s="70"/>
      <c r="AO73" s="70"/>
      <c r="AP73" s="70"/>
      <c r="AQ73" s="164"/>
    </row>
    <row r="74" spans="1:49" x14ac:dyDescent="0.25">
      <c r="A74" s="202"/>
      <c r="C74" s="154"/>
      <c r="F74" s="200"/>
      <c r="H74" s="200"/>
      <c r="I74" s="200"/>
      <c r="J74" s="305"/>
      <c r="K74" s="305"/>
      <c r="L74" s="200"/>
      <c r="M74" s="200"/>
      <c r="N74" s="210"/>
      <c r="O74" s="210"/>
      <c r="P74" s="200"/>
      <c r="Q74" s="200"/>
      <c r="R74" s="200"/>
      <c r="T74" s="159">
        <v>4</v>
      </c>
      <c r="U74" s="80"/>
      <c r="V74" s="81" t="s">
        <v>98</v>
      </c>
      <c r="W74" s="80"/>
      <c r="X74" s="80"/>
      <c r="Y74" s="79">
        <f>F22</f>
        <v>0</v>
      </c>
      <c r="Z74" s="79"/>
      <c r="AA74" s="79">
        <f>H22</f>
        <v>0</v>
      </c>
      <c r="AB74" s="79"/>
      <c r="AC74" s="349">
        <v>9.2200000000000006</v>
      </c>
      <c r="AD74" s="352"/>
      <c r="AE74" s="79">
        <f>ROUND((Y74*AC74),0)</f>
        <v>0</v>
      </c>
      <c r="AF74" s="79"/>
      <c r="AG74" s="155">
        <f>ROUND((AE74/AE$99)*100,1)</f>
        <v>0</v>
      </c>
      <c r="AH74" s="156"/>
      <c r="AI74" s="79">
        <f>L22-AE74</f>
        <v>0</v>
      </c>
      <c r="AJ74" s="79"/>
      <c r="AK74" s="197">
        <f t="shared" ref="AK74:AK75" si="3">IF(AE74=0,0,ROUND((AI74/AE74)*100,1))</f>
        <v>0</v>
      </c>
      <c r="AL74" s="158"/>
      <c r="AM74" s="79">
        <f>ROUND($AM$99/$AA$99*AA74,0)</f>
        <v>0</v>
      </c>
      <c r="AN74" s="79"/>
      <c r="AO74" s="79">
        <f>AE74+AM74</f>
        <v>0</v>
      </c>
      <c r="AP74" s="79"/>
      <c r="AQ74" s="155">
        <f t="shared" ref="AQ74:AQ75" si="4">IF(AO74=0,0,ROUND((AI74/AO74)*100,1))</f>
        <v>0</v>
      </c>
      <c r="AU74" s="394"/>
      <c r="AW74" s="225">
        <v>616</v>
      </c>
    </row>
    <row r="75" spans="1:49" x14ac:dyDescent="0.25">
      <c r="A75" s="202"/>
      <c r="C75" s="154"/>
      <c r="F75" s="200"/>
      <c r="H75" s="200"/>
      <c r="I75" s="200"/>
      <c r="J75" s="305"/>
      <c r="K75" s="305"/>
      <c r="L75" s="200"/>
      <c r="M75" s="200"/>
      <c r="N75" s="200"/>
      <c r="O75" s="200"/>
      <c r="P75" s="200"/>
      <c r="Q75" s="200"/>
      <c r="R75" s="200"/>
      <c r="T75" s="159">
        <v>5</v>
      </c>
      <c r="U75" s="80"/>
      <c r="V75" s="81" t="s">
        <v>97</v>
      </c>
      <c r="W75" s="80"/>
      <c r="X75" s="80"/>
      <c r="Y75" s="79">
        <f>F23</f>
        <v>144</v>
      </c>
      <c r="Z75" s="79"/>
      <c r="AA75" s="79">
        <f>H23</f>
        <v>9432</v>
      </c>
      <c r="AB75" s="79"/>
      <c r="AC75" s="399">
        <v>7.16</v>
      </c>
      <c r="AD75" s="162"/>
      <c r="AE75" s="79">
        <f>ROUND((Y75*AC75),0)</f>
        <v>1031</v>
      </c>
      <c r="AF75" s="79"/>
      <c r="AG75" s="155">
        <f>ROUND((AE75/AE$99)*100,1)</f>
        <v>1.7</v>
      </c>
      <c r="AH75" s="156"/>
      <c r="AI75" s="79">
        <f>L23-AE75</f>
        <v>122</v>
      </c>
      <c r="AJ75" s="79"/>
      <c r="AK75" s="197">
        <f t="shared" si="3"/>
        <v>11.8</v>
      </c>
      <c r="AL75" s="158"/>
      <c r="AM75" s="79">
        <f>ROUND($AM$99/$AA$99*AA75,0)</f>
        <v>10</v>
      </c>
      <c r="AN75" s="79"/>
      <c r="AO75" s="79">
        <f>AE75+AM75</f>
        <v>1041</v>
      </c>
      <c r="AP75" s="79"/>
      <c r="AQ75" s="155">
        <f t="shared" si="4"/>
        <v>11.7</v>
      </c>
      <c r="AU75" s="394"/>
      <c r="AW75" s="189">
        <v>786</v>
      </c>
    </row>
    <row r="76" spans="1:49" x14ac:dyDescent="0.25">
      <c r="A76" s="202"/>
      <c r="C76" s="154"/>
      <c r="F76" s="200"/>
      <c r="H76" s="252"/>
      <c r="I76" s="252"/>
      <c r="J76" s="329"/>
      <c r="K76" s="329"/>
      <c r="L76" s="200"/>
      <c r="M76" s="200"/>
      <c r="N76" s="210"/>
      <c r="O76" s="210"/>
      <c r="P76" s="200"/>
      <c r="Q76" s="200"/>
      <c r="R76" s="200"/>
      <c r="T76" s="159">
        <v>6</v>
      </c>
      <c r="U76" s="80"/>
      <c r="V76" s="265" t="s">
        <v>266</v>
      </c>
      <c r="W76" s="80"/>
      <c r="X76" s="80"/>
      <c r="Y76" s="79"/>
      <c r="Z76" s="79"/>
      <c r="AA76" s="79"/>
      <c r="AB76" s="79"/>
      <c r="AC76" s="399"/>
      <c r="AD76" s="162"/>
      <c r="AE76" s="79"/>
      <c r="AF76" s="79"/>
      <c r="AG76" s="155"/>
      <c r="AH76" s="156"/>
      <c r="AI76" s="79"/>
      <c r="AJ76" s="79"/>
      <c r="AK76" s="155"/>
      <c r="AL76" s="158"/>
      <c r="AM76" s="79"/>
      <c r="AN76" s="79"/>
      <c r="AO76" s="79"/>
      <c r="AP76" s="79"/>
      <c r="AQ76" s="155"/>
      <c r="AW76" s="189"/>
    </row>
    <row r="77" spans="1:49" x14ac:dyDescent="0.25">
      <c r="F77" s="200"/>
      <c r="H77" s="200"/>
      <c r="I77" s="200"/>
      <c r="J77" s="305"/>
      <c r="K77" s="305"/>
      <c r="L77" s="211"/>
      <c r="M77" s="211"/>
      <c r="N77" s="211"/>
      <c r="O77" s="211"/>
      <c r="P77" s="211"/>
      <c r="Q77" s="211"/>
      <c r="R77" s="211"/>
      <c r="T77" s="159">
        <v>7</v>
      </c>
      <c r="U77" s="80"/>
      <c r="V77" s="81" t="s">
        <v>267</v>
      </c>
      <c r="W77" s="80"/>
      <c r="X77" s="80"/>
      <c r="Y77" s="79"/>
      <c r="Z77" s="70"/>
      <c r="AA77" s="70"/>
      <c r="AB77" s="70"/>
      <c r="AC77" s="399"/>
      <c r="AD77" s="162"/>
      <c r="AE77" s="70"/>
      <c r="AF77" s="70"/>
      <c r="AG77" s="164"/>
      <c r="AH77" s="70"/>
      <c r="AI77" s="70"/>
      <c r="AJ77" s="70"/>
      <c r="AK77" s="164"/>
      <c r="AL77" s="70"/>
      <c r="AM77" s="70"/>
      <c r="AN77" s="70"/>
      <c r="AO77" s="70"/>
      <c r="AP77" s="70"/>
      <c r="AQ77" s="164"/>
      <c r="AW77" s="189"/>
    </row>
    <row r="78" spans="1:49" x14ac:dyDescent="0.25">
      <c r="A78" s="202"/>
      <c r="C78" s="154"/>
      <c r="F78" s="200"/>
      <c r="H78" s="200"/>
      <c r="I78" s="200"/>
      <c r="J78" s="213"/>
      <c r="K78" s="213"/>
      <c r="L78" s="200"/>
      <c r="M78" s="200"/>
      <c r="N78" s="210"/>
      <c r="O78" s="210"/>
      <c r="P78" s="200"/>
      <c r="Q78" s="200"/>
      <c r="R78" s="200"/>
      <c r="T78" s="159">
        <v>8</v>
      </c>
      <c r="U78" s="80"/>
      <c r="V78" s="81" t="s">
        <v>268</v>
      </c>
      <c r="W78" s="80"/>
      <c r="X78" s="80"/>
      <c r="Y78" s="79">
        <f>F26</f>
        <v>372</v>
      </c>
      <c r="Z78" s="79"/>
      <c r="AA78" s="79">
        <f>H26</f>
        <v>37665</v>
      </c>
      <c r="AB78" s="79"/>
      <c r="AC78" s="349">
        <v>16.79</v>
      </c>
      <c r="AD78" s="352"/>
      <c r="AE78" s="79">
        <f>ROUND((Y78*AC78),0)</f>
        <v>6246</v>
      </c>
      <c r="AF78" s="79"/>
      <c r="AG78" s="155">
        <f>ROUND((AE78/AE$99)*100,1)</f>
        <v>10.1</v>
      </c>
      <c r="AH78" s="156"/>
      <c r="AI78" s="79">
        <f>L26-AE78</f>
        <v>744</v>
      </c>
      <c r="AJ78" s="79"/>
      <c r="AK78" s="155">
        <f>ROUND((AI78/AE78)*100,1)</f>
        <v>11.9</v>
      </c>
      <c r="AL78" s="158"/>
      <c r="AM78" s="79">
        <f>ROUND($AM$99/$AA$99*AA78,0)</f>
        <v>39</v>
      </c>
      <c r="AN78" s="79"/>
      <c r="AO78" s="79">
        <f>AE78+AM78</f>
        <v>6285</v>
      </c>
      <c r="AP78" s="79"/>
      <c r="AQ78" s="155">
        <f>ROUND((AI78/AO78)*100,1)</f>
        <v>11.8</v>
      </c>
      <c r="AU78" s="394"/>
      <c r="AW78" s="225">
        <v>1215</v>
      </c>
    </row>
    <row r="79" spans="1:49" x14ac:dyDescent="0.25">
      <c r="A79" s="202"/>
      <c r="C79" s="154"/>
      <c r="F79" s="200"/>
      <c r="H79" s="200"/>
      <c r="I79" s="200"/>
      <c r="J79" s="213"/>
      <c r="K79" s="213"/>
      <c r="L79" s="200"/>
      <c r="M79" s="200"/>
      <c r="N79" s="210"/>
      <c r="O79" s="210"/>
      <c r="P79" s="200"/>
      <c r="Q79" s="200"/>
      <c r="R79" s="200"/>
      <c r="T79" s="159">
        <v>9</v>
      </c>
      <c r="U79" s="80"/>
      <c r="V79" s="265" t="s">
        <v>269</v>
      </c>
      <c r="W79" s="80"/>
      <c r="X79" s="80"/>
      <c r="Y79" s="79"/>
      <c r="Z79" s="79"/>
      <c r="AA79" s="79"/>
      <c r="AB79" s="79"/>
      <c r="AC79" s="399"/>
      <c r="AD79" s="162"/>
      <c r="AE79" s="70"/>
      <c r="AF79" s="70"/>
      <c r="AG79" s="155"/>
      <c r="AH79" s="156"/>
      <c r="AI79" s="79"/>
      <c r="AJ79" s="79"/>
      <c r="AK79" s="155"/>
      <c r="AL79" s="158"/>
      <c r="AM79" s="79"/>
      <c r="AN79" s="79"/>
      <c r="AO79" s="79"/>
      <c r="AP79" s="79"/>
      <c r="AQ79" s="155"/>
      <c r="AW79" s="225"/>
    </row>
    <row r="80" spans="1:49" x14ac:dyDescent="0.25">
      <c r="A80" s="202"/>
      <c r="C80" s="154"/>
      <c r="F80" s="200"/>
      <c r="H80" s="252"/>
      <c r="I80" s="252"/>
      <c r="J80" s="320"/>
      <c r="K80" s="320"/>
      <c r="L80" s="200"/>
      <c r="M80" s="200"/>
      <c r="N80" s="210"/>
      <c r="O80" s="210"/>
      <c r="P80" s="200"/>
      <c r="Q80" s="200"/>
      <c r="R80" s="200"/>
      <c r="T80" s="159">
        <v>10</v>
      </c>
      <c r="U80" s="80"/>
      <c r="V80" s="82" t="s">
        <v>270</v>
      </c>
      <c r="W80" s="80"/>
      <c r="X80" s="80"/>
      <c r="Y80" s="79">
        <f>F28</f>
        <v>372</v>
      </c>
      <c r="Z80" s="79"/>
      <c r="AA80" s="79">
        <f>H28</f>
        <v>24366</v>
      </c>
      <c r="AB80" s="79"/>
      <c r="AC80" s="349">
        <v>7.1</v>
      </c>
      <c r="AD80" s="352"/>
      <c r="AE80" s="79">
        <f>ROUND((Y80*AC80),0)</f>
        <v>2641</v>
      </c>
      <c r="AF80" s="79"/>
      <c r="AG80" s="155">
        <f>ROUND((AE80/AE$99)*100,1)</f>
        <v>4.3</v>
      </c>
      <c r="AH80" s="156"/>
      <c r="AI80" s="79">
        <f>L28-AE80</f>
        <v>313</v>
      </c>
      <c r="AJ80" s="79"/>
      <c r="AK80" s="155">
        <f>ROUND((AI80/AE80)*100,1)</f>
        <v>11.9</v>
      </c>
      <c r="AL80" s="158"/>
      <c r="AM80" s="79">
        <f>ROUND($AM$99/$AA$99*AA80,0)</f>
        <v>25</v>
      </c>
      <c r="AN80" s="79"/>
      <c r="AO80" s="79">
        <f>AE80+AM80</f>
        <v>2666</v>
      </c>
      <c r="AP80" s="79"/>
      <c r="AQ80" s="155">
        <f>ROUND((AI80/AO80)*100,1)</f>
        <v>11.7</v>
      </c>
      <c r="AU80" s="394"/>
      <c r="AW80" s="189">
        <v>786</v>
      </c>
    </row>
    <row r="81" spans="1:49" x14ac:dyDescent="0.25">
      <c r="F81" s="211"/>
      <c r="H81" s="211"/>
      <c r="I81" s="211"/>
      <c r="J81" s="305"/>
      <c r="K81" s="305"/>
      <c r="L81" s="211"/>
      <c r="M81" s="211"/>
      <c r="N81" s="211"/>
      <c r="O81" s="211"/>
      <c r="P81" s="211"/>
      <c r="Q81" s="211"/>
      <c r="R81" s="211"/>
      <c r="T81" s="159">
        <v>11</v>
      </c>
      <c r="U81" s="80"/>
      <c r="V81" s="82" t="s">
        <v>271</v>
      </c>
      <c r="W81" s="80"/>
      <c r="X81" s="80"/>
      <c r="Y81" s="79">
        <f>F29</f>
        <v>7008</v>
      </c>
      <c r="Z81" s="79"/>
      <c r="AA81" s="79">
        <f>H29</f>
        <v>264552</v>
      </c>
      <c r="AB81" s="79"/>
      <c r="AC81" s="399">
        <v>6.72</v>
      </c>
      <c r="AD81" s="162"/>
      <c r="AE81" s="79">
        <f>ROUND((Y81*AC81),0)</f>
        <v>47094</v>
      </c>
      <c r="AF81" s="79"/>
      <c r="AG81" s="155">
        <f>ROUND((AE81/AE$99)*100,1)-0.1</f>
        <v>76.400000000000006</v>
      </c>
      <c r="AH81" s="156"/>
      <c r="AI81" s="79">
        <f>L29-AE81</f>
        <v>5606</v>
      </c>
      <c r="AJ81" s="79"/>
      <c r="AK81" s="155">
        <f>ROUND((AI81/AE81)*100,1)</f>
        <v>11.9</v>
      </c>
      <c r="AL81" s="158"/>
      <c r="AM81" s="79">
        <f>ROUND($AM$99/$AA$99*AA81,0)-1</f>
        <v>271</v>
      </c>
      <c r="AN81" s="79"/>
      <c r="AO81" s="79">
        <f>AE81+AM81</f>
        <v>47365</v>
      </c>
      <c r="AP81" s="79"/>
      <c r="AQ81" s="155">
        <f>ROUND((AI81/AO81)*100,1)</f>
        <v>11.8</v>
      </c>
      <c r="AU81" s="394"/>
      <c r="AW81" s="189">
        <v>453</v>
      </c>
    </row>
    <row r="82" spans="1:49" x14ac:dyDescent="0.25">
      <c r="F82" s="211"/>
      <c r="H82" s="211"/>
      <c r="I82" s="211"/>
      <c r="J82" s="305"/>
      <c r="K82" s="305"/>
      <c r="L82" s="211"/>
      <c r="M82" s="211"/>
      <c r="N82" s="211"/>
      <c r="O82" s="211"/>
      <c r="P82" s="211"/>
      <c r="Q82" s="211"/>
      <c r="R82" s="211"/>
      <c r="S82" s="200"/>
      <c r="T82" s="159">
        <v>12</v>
      </c>
      <c r="U82" s="80"/>
      <c r="V82" s="81" t="s">
        <v>260</v>
      </c>
      <c r="W82" s="80"/>
      <c r="X82" s="80"/>
      <c r="Y82" s="79">
        <f>F30</f>
        <v>408</v>
      </c>
      <c r="Z82" s="70"/>
      <c r="AA82" s="79">
        <f>H30</f>
        <v>65076</v>
      </c>
      <c r="AB82" s="70"/>
      <c r="AC82" s="399">
        <v>10.66</v>
      </c>
      <c r="AD82" s="162"/>
      <c r="AE82" s="79">
        <f>ROUND((Y82*AC82),0)</f>
        <v>4349</v>
      </c>
      <c r="AF82" s="70"/>
      <c r="AG82" s="155">
        <f>ROUND((AE82/AE$99)*100,1)</f>
        <v>7.1</v>
      </c>
      <c r="AH82" s="70"/>
      <c r="AI82" s="79">
        <f>L30-AE82</f>
        <v>518</v>
      </c>
      <c r="AJ82" s="70"/>
      <c r="AK82" s="166">
        <f>ROUND((AI82/AE82)*100,1)</f>
        <v>11.9</v>
      </c>
      <c r="AL82" s="70"/>
      <c r="AM82" s="167">
        <f>ROUND($AM$99/$AA$99*AA82,0)</f>
        <v>67</v>
      </c>
      <c r="AN82" s="70"/>
      <c r="AO82" s="79">
        <f>AE82+AM82</f>
        <v>4416</v>
      </c>
      <c r="AP82" s="70"/>
      <c r="AQ82" s="155">
        <f>ROUND((AI82/AO82)*100,1)</f>
        <v>11.7</v>
      </c>
      <c r="AU82" s="394"/>
      <c r="AW82" s="189">
        <v>1914</v>
      </c>
    </row>
    <row r="83" spans="1:49" ht="20.100000000000001" customHeight="1" x14ac:dyDescent="0.25">
      <c r="A83" s="202"/>
      <c r="C83" s="154"/>
      <c r="F83" s="252"/>
      <c r="H83" s="252"/>
      <c r="I83" s="252"/>
      <c r="J83" s="300"/>
      <c r="K83" s="300"/>
      <c r="L83" s="200"/>
      <c r="M83" s="200"/>
      <c r="N83" s="210"/>
      <c r="O83" s="210"/>
      <c r="P83" s="202"/>
      <c r="Q83" s="202"/>
      <c r="R83" s="200"/>
      <c r="T83" s="159">
        <v>13</v>
      </c>
      <c r="U83" s="80"/>
      <c r="V83" s="253" t="s">
        <v>100</v>
      </c>
      <c r="W83" s="80"/>
      <c r="X83" s="80"/>
      <c r="Y83" s="169">
        <f>SUM(Y74:Y82)</f>
        <v>8304</v>
      </c>
      <c r="Z83" s="70"/>
      <c r="AA83" s="169">
        <f>SUM(AA74:AA82)</f>
        <v>401091</v>
      </c>
      <c r="AB83" s="79"/>
      <c r="AC83" s="399"/>
      <c r="AD83" s="162"/>
      <c r="AE83" s="169">
        <f>SUM(AE74:AE82)</f>
        <v>61361</v>
      </c>
      <c r="AF83" s="79"/>
      <c r="AG83" s="170">
        <f>SUM(AG74:AG82)</f>
        <v>99.6</v>
      </c>
      <c r="AH83" s="158"/>
      <c r="AI83" s="169">
        <f>SUM(AI74:AI82)</f>
        <v>7303</v>
      </c>
      <c r="AJ83" s="79"/>
      <c r="AK83" s="166">
        <f>ROUND((AI83/AE83)*100,1)</f>
        <v>11.9</v>
      </c>
      <c r="AL83" s="158"/>
      <c r="AM83" s="169">
        <f>ROUND($AM$99/$AA$99*AA83,0)</f>
        <v>412</v>
      </c>
      <c r="AN83" s="79"/>
      <c r="AO83" s="169">
        <f>AE83+AM83</f>
        <v>61773</v>
      </c>
      <c r="AP83" s="79"/>
      <c r="AQ83" s="155">
        <f>ROUND((AI83/AO83)*100,1)</f>
        <v>11.8</v>
      </c>
      <c r="AW83" s="200"/>
    </row>
    <row r="84" spans="1:49" x14ac:dyDescent="0.25">
      <c r="F84" s="211"/>
      <c r="H84" s="200"/>
      <c r="I84" s="200"/>
      <c r="J84" s="305"/>
      <c r="K84" s="305"/>
      <c r="L84" s="211"/>
      <c r="M84" s="211"/>
      <c r="N84" s="211"/>
      <c r="O84" s="211"/>
      <c r="P84" s="211"/>
      <c r="Q84" s="211"/>
      <c r="R84" s="211"/>
      <c r="T84" s="80"/>
      <c r="U84" s="80"/>
      <c r="V84" s="80"/>
      <c r="W84" s="80"/>
      <c r="X84" s="80"/>
      <c r="Y84" s="70"/>
      <c r="Z84" s="70"/>
      <c r="AA84" s="70"/>
      <c r="AB84" s="70"/>
      <c r="AC84" s="399"/>
      <c r="AD84" s="162"/>
      <c r="AE84" s="70"/>
      <c r="AF84" s="70"/>
      <c r="AG84" s="164"/>
      <c r="AH84" s="70"/>
      <c r="AI84" s="70"/>
      <c r="AJ84" s="70"/>
      <c r="AK84" s="164"/>
      <c r="AL84" s="70"/>
      <c r="AM84" s="70"/>
      <c r="AN84" s="70"/>
      <c r="AO84" s="70"/>
      <c r="AP84" s="70"/>
      <c r="AQ84" s="164"/>
      <c r="AW84" s="80"/>
    </row>
    <row r="85" spans="1:49" x14ac:dyDescent="0.25">
      <c r="F85" s="211"/>
      <c r="H85" s="200"/>
      <c r="I85" s="200"/>
      <c r="J85" s="305"/>
      <c r="K85" s="305"/>
      <c r="L85" s="211"/>
      <c r="M85" s="211"/>
      <c r="N85" s="211"/>
      <c r="O85" s="211"/>
      <c r="P85" s="211"/>
      <c r="Q85" s="211"/>
      <c r="R85" s="211"/>
      <c r="T85" s="159">
        <v>14</v>
      </c>
      <c r="U85" s="80"/>
      <c r="V85" s="265" t="s">
        <v>272</v>
      </c>
      <c r="W85" s="80"/>
      <c r="X85" s="80"/>
      <c r="Y85" s="70"/>
      <c r="Z85" s="70"/>
      <c r="AA85" s="70"/>
      <c r="AB85" s="70"/>
      <c r="AC85" s="399"/>
      <c r="AD85" s="162"/>
      <c r="AE85" s="70"/>
      <c r="AF85" s="70"/>
      <c r="AG85" s="164"/>
      <c r="AH85" s="70"/>
      <c r="AI85" s="70"/>
      <c r="AJ85" s="70"/>
      <c r="AK85" s="164"/>
      <c r="AL85" s="70"/>
      <c r="AM85" s="70"/>
      <c r="AN85" s="70"/>
      <c r="AO85" s="70"/>
      <c r="AP85" s="70"/>
      <c r="AQ85" s="164"/>
      <c r="AW85" s="80"/>
    </row>
    <row r="86" spans="1:49" x14ac:dyDescent="0.25">
      <c r="F86" s="211"/>
      <c r="H86" s="200"/>
      <c r="I86" s="200"/>
      <c r="J86" s="305"/>
      <c r="K86" s="305"/>
      <c r="L86" s="211"/>
      <c r="M86" s="211"/>
      <c r="N86" s="211"/>
      <c r="O86" s="211"/>
      <c r="P86" s="211"/>
      <c r="Q86" s="211"/>
      <c r="R86" s="211"/>
      <c r="T86" s="159">
        <v>15</v>
      </c>
      <c r="U86" s="80"/>
      <c r="V86" s="265" t="s">
        <v>265</v>
      </c>
      <c r="W86" s="80"/>
      <c r="X86" s="80"/>
      <c r="Y86" s="70"/>
      <c r="Z86" s="70"/>
      <c r="AA86" s="70"/>
      <c r="AB86" s="70"/>
      <c r="AC86" s="399"/>
      <c r="AD86" s="162"/>
      <c r="AE86" s="70"/>
      <c r="AF86" s="70"/>
      <c r="AG86" s="164"/>
      <c r="AH86" s="70"/>
      <c r="AI86" s="70"/>
      <c r="AJ86" s="70"/>
      <c r="AK86" s="164"/>
      <c r="AL86" s="70"/>
      <c r="AM86" s="70"/>
      <c r="AN86" s="70"/>
      <c r="AO86" s="70"/>
      <c r="AP86" s="70"/>
      <c r="AQ86" s="164"/>
      <c r="AW86" s="80"/>
    </row>
    <row r="87" spans="1:49" x14ac:dyDescent="0.25">
      <c r="F87" s="211"/>
      <c r="H87" s="200"/>
      <c r="I87" s="200"/>
      <c r="J87" s="305"/>
      <c r="K87" s="305"/>
      <c r="L87" s="211"/>
      <c r="M87" s="211"/>
      <c r="N87" s="211"/>
      <c r="O87" s="211"/>
      <c r="P87" s="211"/>
      <c r="Q87" s="211"/>
      <c r="R87" s="211"/>
      <c r="T87" s="159">
        <v>16</v>
      </c>
      <c r="U87" s="80"/>
      <c r="V87" s="81" t="s">
        <v>98</v>
      </c>
      <c r="W87" s="80"/>
      <c r="X87" s="80"/>
      <c r="Y87" s="79">
        <f>F35</f>
        <v>0</v>
      </c>
      <c r="Z87" s="70"/>
      <c r="AA87" s="79">
        <f>H35</f>
        <v>0</v>
      </c>
      <c r="AB87" s="70"/>
      <c r="AC87" s="399">
        <v>5.44</v>
      </c>
      <c r="AD87" s="162"/>
      <c r="AE87" s="79">
        <f>ROUND((Y87*AC87),0)</f>
        <v>0</v>
      </c>
      <c r="AF87" s="70"/>
      <c r="AG87" s="155">
        <f>ROUND((AE87/AE$99)*100,1)</f>
        <v>0</v>
      </c>
      <c r="AH87" s="70"/>
      <c r="AI87" s="79">
        <f>L35-AE87</f>
        <v>0</v>
      </c>
      <c r="AJ87" s="70"/>
      <c r="AK87" s="197">
        <f t="shared" ref="AK87" si="5">IF(AE87=0,0,ROUND((AI87/AE87)*100,1))</f>
        <v>0</v>
      </c>
      <c r="AL87" s="70"/>
      <c r="AM87" s="79">
        <f>ROUND($AM$99/$AA$99*AA87,0)</f>
        <v>0</v>
      </c>
      <c r="AN87" s="70"/>
      <c r="AO87" s="79">
        <f>AE87+AM87</f>
        <v>0</v>
      </c>
      <c r="AP87" s="70"/>
      <c r="AQ87" s="155">
        <f t="shared" ref="AQ87:AQ88" si="6">IF(AO87=0,0,ROUND((AI87/AO87)*100,1))</f>
        <v>0</v>
      </c>
      <c r="AU87" s="394"/>
      <c r="AW87" s="225">
        <v>616</v>
      </c>
    </row>
    <row r="88" spans="1:49" x14ac:dyDescent="0.25">
      <c r="A88" s="202"/>
      <c r="C88" s="154"/>
      <c r="F88" s="252"/>
      <c r="H88" s="252"/>
      <c r="I88" s="252"/>
      <c r="J88" s="328"/>
      <c r="K88" s="328"/>
      <c r="L88" s="200"/>
      <c r="M88" s="200"/>
      <c r="N88" s="210"/>
      <c r="O88" s="210"/>
      <c r="P88" s="200"/>
      <c r="Q88" s="200"/>
      <c r="R88" s="200"/>
      <c r="S88" s="200"/>
      <c r="T88" s="159">
        <v>17</v>
      </c>
      <c r="U88" s="80"/>
      <c r="V88" s="81" t="s">
        <v>97</v>
      </c>
      <c r="W88" s="80"/>
      <c r="X88" s="80"/>
      <c r="Y88" s="79">
        <f>F36</f>
        <v>60</v>
      </c>
      <c r="Z88" s="70"/>
      <c r="AA88" s="79">
        <f>H36</f>
        <v>3930</v>
      </c>
      <c r="AB88" s="70"/>
      <c r="AC88" s="399">
        <v>6.92</v>
      </c>
      <c r="AD88" s="162"/>
      <c r="AE88" s="79">
        <f>ROUND((Y88*AC88),0)</f>
        <v>415</v>
      </c>
      <c r="AF88" s="70"/>
      <c r="AG88" s="166">
        <f>ROUND((AE88/AE$99)*100,1)</f>
        <v>0.7</v>
      </c>
      <c r="AH88" s="70"/>
      <c r="AI88" s="79">
        <f>L36-AE88</f>
        <v>49</v>
      </c>
      <c r="AJ88" s="70"/>
      <c r="AK88" s="166">
        <v>0</v>
      </c>
      <c r="AL88" s="70"/>
      <c r="AM88" s="167">
        <f>ROUND($AM$99/$AA$99*AA88,0)</f>
        <v>4</v>
      </c>
      <c r="AN88" s="70"/>
      <c r="AO88" s="79">
        <f>AE88+AM88</f>
        <v>419</v>
      </c>
      <c r="AP88" s="70"/>
      <c r="AQ88" s="155">
        <f t="shared" si="6"/>
        <v>11.7</v>
      </c>
      <c r="AU88" s="394"/>
      <c r="AW88" s="225">
        <v>786</v>
      </c>
    </row>
    <row r="89" spans="1:49" ht="20.100000000000001" customHeight="1" x14ac:dyDescent="0.25">
      <c r="A89" s="202"/>
      <c r="C89" s="154"/>
      <c r="F89" s="252"/>
      <c r="H89" s="252"/>
      <c r="I89" s="252"/>
      <c r="J89" s="300"/>
      <c r="K89" s="300"/>
      <c r="L89" s="200"/>
      <c r="M89" s="200"/>
      <c r="N89" s="210"/>
      <c r="O89" s="210"/>
      <c r="P89" s="200"/>
      <c r="Q89" s="200"/>
      <c r="R89" s="200"/>
      <c r="T89" s="159">
        <v>18</v>
      </c>
      <c r="U89" s="80"/>
      <c r="V89" s="265" t="s">
        <v>273</v>
      </c>
      <c r="W89" s="80"/>
      <c r="X89" s="80"/>
      <c r="Y89" s="169">
        <f>SUM(Y87:Y88)</f>
        <v>60</v>
      </c>
      <c r="Z89" s="70"/>
      <c r="AA89" s="169">
        <f>SUM(AA87:AA88)</f>
        <v>3930</v>
      </c>
      <c r="AB89" s="79"/>
      <c r="AC89" s="352"/>
      <c r="AD89" s="352"/>
      <c r="AE89" s="169">
        <f>SUM(AE87:AE88)</f>
        <v>415</v>
      </c>
      <c r="AF89" s="79"/>
      <c r="AG89" s="155">
        <f>ROUND((AE89/AE$99)*100,1)</f>
        <v>0.7</v>
      </c>
      <c r="AH89" s="156"/>
      <c r="AI89" s="169">
        <f>SUM(AI87:AI88)</f>
        <v>49</v>
      </c>
      <c r="AJ89" s="79"/>
      <c r="AK89" s="166">
        <f>ROUND((AI89/AE89)*100,1)</f>
        <v>11.8</v>
      </c>
      <c r="AL89" s="158"/>
      <c r="AM89" s="169">
        <f>ROUND($AM$99/$AA$99*AA89,0)</f>
        <v>4</v>
      </c>
      <c r="AN89" s="79"/>
      <c r="AO89" s="169">
        <f>SUM(AO87:AO88)</f>
        <v>419</v>
      </c>
      <c r="AP89" s="79"/>
      <c r="AQ89" s="155">
        <f>ROUND((AI89/AO89)*100,1)</f>
        <v>11.7</v>
      </c>
      <c r="AW89" s="163"/>
    </row>
    <row r="90" spans="1:49" ht="20.100000000000001" customHeight="1" x14ac:dyDescent="0.25">
      <c r="A90" s="202"/>
      <c r="C90" s="154"/>
      <c r="F90" s="252"/>
      <c r="H90" s="252"/>
      <c r="I90" s="252"/>
      <c r="J90" s="300"/>
      <c r="K90" s="300"/>
      <c r="L90" s="200"/>
      <c r="M90" s="200"/>
      <c r="N90" s="210"/>
      <c r="O90" s="210"/>
      <c r="P90" s="200"/>
      <c r="Q90" s="200"/>
      <c r="R90" s="200"/>
      <c r="T90" s="159">
        <v>19</v>
      </c>
      <c r="U90" s="80"/>
      <c r="V90" s="265" t="s">
        <v>592</v>
      </c>
      <c r="W90" s="80"/>
      <c r="X90" s="80"/>
      <c r="Y90" s="169">
        <f>Y89+Y83</f>
        <v>8364</v>
      </c>
      <c r="Z90" s="70"/>
      <c r="AA90" s="169">
        <f>AA89+AA83</f>
        <v>405021</v>
      </c>
      <c r="AB90" s="79"/>
      <c r="AC90" s="352"/>
      <c r="AD90" s="352"/>
      <c r="AE90" s="169">
        <f>AE89+AE83</f>
        <v>61776</v>
      </c>
      <c r="AF90" s="79"/>
      <c r="AG90" s="170">
        <f>ROUND((AE90/AE$99)*100,1)</f>
        <v>100.3</v>
      </c>
      <c r="AH90" s="156"/>
      <c r="AI90" s="169">
        <f>AI89+AI83</f>
        <v>7352</v>
      </c>
      <c r="AJ90" s="79"/>
      <c r="AK90" s="170">
        <f>ROUND((AI90/AE90)*100,1)</f>
        <v>11.9</v>
      </c>
      <c r="AL90" s="158"/>
      <c r="AM90" s="169">
        <f>AM89+AM83</f>
        <v>416</v>
      </c>
      <c r="AN90" s="79"/>
      <c r="AO90" s="169">
        <f>AO89+AO83</f>
        <v>62192</v>
      </c>
      <c r="AP90" s="79"/>
      <c r="AQ90" s="155">
        <f>ROUND((AI90/AO90)*100,1)</f>
        <v>11.8</v>
      </c>
      <c r="AW90" s="163"/>
    </row>
    <row r="91" spans="1:49" ht="15.75" customHeight="1" x14ac:dyDescent="0.25">
      <c r="A91" s="202"/>
      <c r="C91" s="154"/>
      <c r="F91" s="252"/>
      <c r="H91" s="252"/>
      <c r="I91" s="252"/>
      <c r="J91" s="300"/>
      <c r="K91" s="300"/>
      <c r="L91" s="200"/>
      <c r="M91" s="200"/>
      <c r="N91" s="210"/>
      <c r="O91" s="210"/>
      <c r="P91" s="200"/>
      <c r="Q91" s="200"/>
      <c r="R91" s="200"/>
      <c r="T91" s="159"/>
      <c r="U91" s="80"/>
      <c r="V91" s="265"/>
      <c r="W91" s="80"/>
      <c r="X91" s="80"/>
      <c r="Y91" s="163"/>
      <c r="Z91" s="70"/>
      <c r="AA91" s="163"/>
      <c r="AB91" s="79"/>
      <c r="AC91" s="352"/>
      <c r="AD91" s="352"/>
      <c r="AE91" s="163"/>
      <c r="AF91" s="79"/>
      <c r="AG91" s="197"/>
      <c r="AH91" s="156"/>
      <c r="AI91" s="163"/>
      <c r="AJ91" s="79"/>
      <c r="AK91" s="197"/>
      <c r="AL91" s="158"/>
      <c r="AM91" s="163"/>
      <c r="AN91" s="79"/>
      <c r="AO91" s="163"/>
      <c r="AP91" s="79"/>
      <c r="AQ91" s="155"/>
      <c r="AW91" s="163"/>
    </row>
    <row r="92" spans="1:49" ht="15.75" customHeight="1" x14ac:dyDescent="0.25">
      <c r="A92" s="202"/>
      <c r="C92" s="154"/>
      <c r="F92" s="252"/>
      <c r="H92" s="252"/>
      <c r="I92" s="252"/>
      <c r="J92" s="300"/>
      <c r="K92" s="300"/>
      <c r="L92" s="200"/>
      <c r="M92" s="200"/>
      <c r="N92" s="210"/>
      <c r="O92" s="210"/>
      <c r="P92" s="200"/>
      <c r="Q92" s="200"/>
      <c r="R92" s="200"/>
      <c r="T92" s="159">
        <f>A40</f>
        <v>20</v>
      </c>
      <c r="U92" s="80"/>
      <c r="V92" s="253" t="s">
        <v>591</v>
      </c>
      <c r="W92" s="80"/>
      <c r="X92" s="80"/>
      <c r="Y92" s="163"/>
      <c r="Z92" s="70"/>
      <c r="AA92" s="163"/>
      <c r="AB92" s="79"/>
      <c r="AC92" s="352"/>
      <c r="AD92" s="352"/>
      <c r="AE92" s="163"/>
      <c r="AF92" s="79"/>
      <c r="AG92" s="197"/>
      <c r="AH92" s="156"/>
      <c r="AI92" s="163"/>
      <c r="AJ92" s="79"/>
      <c r="AK92" s="197"/>
      <c r="AL92" s="158"/>
      <c r="AM92" s="163"/>
      <c r="AN92" s="79"/>
      <c r="AO92" s="163"/>
      <c r="AP92" s="79"/>
      <c r="AQ92" s="155"/>
      <c r="AW92" s="163"/>
    </row>
    <row r="93" spans="1:49" ht="15.75" customHeight="1" x14ac:dyDescent="0.25">
      <c r="A93" s="202"/>
      <c r="C93" s="154"/>
      <c r="F93" s="252"/>
      <c r="H93" s="252"/>
      <c r="I93" s="252"/>
      <c r="J93" s="300"/>
      <c r="K93" s="300"/>
      <c r="L93" s="200"/>
      <c r="M93" s="200"/>
      <c r="N93" s="210"/>
      <c r="O93" s="210"/>
      <c r="P93" s="200"/>
      <c r="Q93" s="200"/>
      <c r="R93" s="200"/>
      <c r="T93" s="159">
        <f t="shared" ref="T93:T97" si="7">A41</f>
        <v>21</v>
      </c>
      <c r="U93" s="80"/>
      <c r="V93" s="153" t="str">
        <f t="shared" ref="V93:V95" si="8">C41</f>
        <v>ENVIRONMENTAL SURCHARGE MECHANISM RIDER (ESM)</v>
      </c>
      <c r="W93" s="80"/>
      <c r="X93" s="80"/>
      <c r="Y93" s="163"/>
      <c r="Z93" s="70"/>
      <c r="AA93" s="163"/>
      <c r="AB93" s="79"/>
      <c r="AC93" s="401">
        <f>CUR_ESM</f>
        <v>0</v>
      </c>
      <c r="AD93" s="352"/>
      <c r="AE93" s="163">
        <f>ROUND($AO$90*AC93,0)</f>
        <v>0</v>
      </c>
      <c r="AF93" s="79"/>
      <c r="AG93" s="197">
        <f t="shared" ref="AG93:AG95" si="9">ROUND((AE93/AE$99)*100,1)</f>
        <v>0</v>
      </c>
      <c r="AH93" s="156"/>
      <c r="AI93" s="163">
        <f t="shared" ref="AI93:AI95" si="10">L41-AE93</f>
        <v>0</v>
      </c>
      <c r="AJ93" s="79"/>
      <c r="AK93" s="197">
        <f>IF(AE93=0,0,ROUND((AI93/AE93)*100,1))</f>
        <v>0</v>
      </c>
      <c r="AL93" s="158"/>
      <c r="AM93" s="163"/>
      <c r="AN93" s="79"/>
      <c r="AO93" s="163">
        <f t="shared" ref="AO93:AO95" si="11">AE93+AM93</f>
        <v>0</v>
      </c>
      <c r="AP93" s="79"/>
      <c r="AQ93" s="155">
        <f>IF(AO93=0,0,ROUND((AI93/AO93)*100,1))</f>
        <v>0</v>
      </c>
      <c r="AW93" s="163"/>
    </row>
    <row r="94" spans="1:49" ht="15.75" customHeight="1" x14ac:dyDescent="0.25">
      <c r="A94" s="202"/>
      <c r="C94" s="154"/>
      <c r="F94" s="252"/>
      <c r="H94" s="252"/>
      <c r="I94" s="252"/>
      <c r="J94" s="300"/>
      <c r="K94" s="300"/>
      <c r="L94" s="200"/>
      <c r="M94" s="200"/>
      <c r="N94" s="210"/>
      <c r="O94" s="210"/>
      <c r="P94" s="200"/>
      <c r="Q94" s="200"/>
      <c r="R94" s="200"/>
      <c r="T94" s="159">
        <f t="shared" si="7"/>
        <v>22</v>
      </c>
      <c r="U94" s="80"/>
      <c r="V94" s="153" t="str">
        <f t="shared" si="8"/>
        <v>DISTRIBUTION CAPITAL INVESTMENT RIDER (DCI)</v>
      </c>
      <c r="W94" s="80"/>
      <c r="X94" s="80"/>
      <c r="Y94" s="163"/>
      <c r="Z94" s="70"/>
      <c r="AA94" s="163"/>
      <c r="AB94" s="79"/>
      <c r="AC94" s="401">
        <f>CUR_DCI_SL</f>
        <v>0</v>
      </c>
      <c r="AD94" s="352"/>
      <c r="AE94" s="163">
        <f t="shared" ref="AE94:AE95" si="12">ROUND($AA$90*AC94,0)</f>
        <v>0</v>
      </c>
      <c r="AF94" s="79"/>
      <c r="AG94" s="197">
        <f t="shared" si="9"/>
        <v>0</v>
      </c>
      <c r="AH94" s="156"/>
      <c r="AI94" s="163">
        <f t="shared" si="10"/>
        <v>0</v>
      </c>
      <c r="AJ94" s="79"/>
      <c r="AK94" s="197">
        <f t="shared" ref="AK94:AK95" si="13">IF(AE94=0,0,ROUND((AI94/AE94)*100,1))</f>
        <v>0</v>
      </c>
      <c r="AL94" s="158"/>
      <c r="AM94" s="163"/>
      <c r="AN94" s="79"/>
      <c r="AO94" s="163">
        <f t="shared" si="11"/>
        <v>0</v>
      </c>
      <c r="AP94" s="79"/>
      <c r="AQ94" s="155">
        <f t="shared" ref="AQ94:AQ95" si="14">IF(AO94=0,0,ROUND((AI94/AO94)*100,1))</f>
        <v>0</v>
      </c>
      <c r="AW94" s="163"/>
    </row>
    <row r="95" spans="1:49" ht="15.75" customHeight="1" x14ac:dyDescent="0.25">
      <c r="A95" s="202"/>
      <c r="C95" s="154"/>
      <c r="F95" s="252"/>
      <c r="H95" s="252"/>
      <c r="I95" s="252"/>
      <c r="J95" s="300"/>
      <c r="K95" s="300"/>
      <c r="L95" s="200"/>
      <c r="M95" s="200"/>
      <c r="N95" s="210"/>
      <c r="O95" s="210"/>
      <c r="P95" s="200"/>
      <c r="Q95" s="200"/>
      <c r="R95" s="200"/>
      <c r="T95" s="159">
        <f t="shared" si="7"/>
        <v>23</v>
      </c>
      <c r="U95" s="80"/>
      <c r="V95" s="153" t="str">
        <f t="shared" si="8"/>
        <v>FERC TRANSMISSION COST RECOVERY RECONCILIATION (FTR)</v>
      </c>
      <c r="W95" s="80"/>
      <c r="X95" s="80"/>
      <c r="Y95" s="163"/>
      <c r="Z95" s="70"/>
      <c r="AA95" s="163"/>
      <c r="AB95" s="79"/>
      <c r="AC95" s="401">
        <f>CUR_FTR_SL</f>
        <v>0</v>
      </c>
      <c r="AD95" s="352"/>
      <c r="AE95" s="163">
        <f t="shared" si="12"/>
        <v>0</v>
      </c>
      <c r="AF95" s="79"/>
      <c r="AG95" s="197">
        <f t="shared" si="9"/>
        <v>0</v>
      </c>
      <c r="AH95" s="156"/>
      <c r="AI95" s="163">
        <f t="shared" si="10"/>
        <v>0</v>
      </c>
      <c r="AJ95" s="79"/>
      <c r="AK95" s="197">
        <f t="shared" si="13"/>
        <v>0</v>
      </c>
      <c r="AL95" s="158"/>
      <c r="AM95" s="163"/>
      <c r="AN95" s="79"/>
      <c r="AO95" s="163">
        <f t="shared" si="11"/>
        <v>0</v>
      </c>
      <c r="AP95" s="79"/>
      <c r="AQ95" s="155">
        <f t="shared" si="14"/>
        <v>0</v>
      </c>
      <c r="AW95" s="163"/>
    </row>
    <row r="96" spans="1:49" ht="15.75" customHeight="1" x14ac:dyDescent="0.25">
      <c r="A96" s="202"/>
      <c r="C96" s="154"/>
      <c r="F96" s="252"/>
      <c r="H96" s="252"/>
      <c r="I96" s="252"/>
      <c r="J96" s="300"/>
      <c r="K96" s="300"/>
      <c r="L96" s="200"/>
      <c r="M96" s="200"/>
      <c r="N96" s="210"/>
      <c r="O96" s="210"/>
      <c r="P96" s="200"/>
      <c r="Q96" s="200"/>
      <c r="R96" s="200"/>
      <c r="T96" s="159">
        <f t="shared" si="7"/>
        <v>24</v>
      </c>
      <c r="U96" s="80"/>
      <c r="V96" s="153" t="str">
        <f>C44</f>
        <v>PROFIT SHARING MECHANISM (PSM)</v>
      </c>
      <c r="W96" s="80"/>
      <c r="X96" s="80"/>
      <c r="Y96" s="163"/>
      <c r="Z96" s="70"/>
      <c r="AA96" s="163"/>
      <c r="AB96" s="79"/>
      <c r="AC96" s="288">
        <f>RS_PSM</f>
        <v>-4.5600000000000003E-4</v>
      </c>
      <c r="AD96" s="352"/>
      <c r="AE96" s="167">
        <f>ROUND($AA$90*AC96,0)</f>
        <v>-185</v>
      </c>
      <c r="AF96" s="79"/>
      <c r="AG96" s="166">
        <f>ROUND((AE96/AE$99)*100,1)</f>
        <v>-0.3</v>
      </c>
      <c r="AH96" s="156"/>
      <c r="AI96" s="79">
        <f>L44-AE96</f>
        <v>0</v>
      </c>
      <c r="AJ96" s="79"/>
      <c r="AK96" s="166">
        <f t="shared" ref="AK96:AK97" si="15">ROUND((AI96/AE96)*100,1)</f>
        <v>0</v>
      </c>
      <c r="AL96" s="158"/>
      <c r="AM96" s="163"/>
      <c r="AN96" s="79"/>
      <c r="AO96" s="79">
        <f t="shared" ref="AO96" si="16">AE96+AM96</f>
        <v>-185</v>
      </c>
      <c r="AP96" s="79"/>
      <c r="AQ96" s="155">
        <f t="shared" ref="AQ96:AQ97" si="17">ROUND((AI96/AO96)*100,1)</f>
        <v>0</v>
      </c>
      <c r="AW96" s="163"/>
    </row>
    <row r="97" spans="1:49" ht="20.100000000000001" customHeight="1" x14ac:dyDescent="0.25">
      <c r="A97" s="202"/>
      <c r="C97" s="154"/>
      <c r="F97" s="252"/>
      <c r="H97" s="252"/>
      <c r="I97" s="252"/>
      <c r="J97" s="300"/>
      <c r="K97" s="300"/>
      <c r="L97" s="200"/>
      <c r="M97" s="200"/>
      <c r="N97" s="210"/>
      <c r="O97" s="210"/>
      <c r="P97" s="200"/>
      <c r="Q97" s="200"/>
      <c r="R97" s="200"/>
      <c r="T97" s="159">
        <f t="shared" si="7"/>
        <v>25</v>
      </c>
      <c r="U97" s="80"/>
      <c r="V97" s="253" t="s">
        <v>585</v>
      </c>
      <c r="W97" s="80"/>
      <c r="X97" s="80"/>
      <c r="Y97" s="167"/>
      <c r="Z97" s="70"/>
      <c r="AA97" s="167"/>
      <c r="AB97" s="79"/>
      <c r="AC97" s="352"/>
      <c r="AD97" s="352"/>
      <c r="AE97" s="169">
        <f>SUM(AE93:AE96)</f>
        <v>-185</v>
      </c>
      <c r="AF97" s="79"/>
      <c r="AG97" s="170">
        <f>ROUND((AE97/AE$99)*100,1)</f>
        <v>-0.3</v>
      </c>
      <c r="AH97" s="156"/>
      <c r="AI97" s="169">
        <f>SUM(AI93:AI96)</f>
        <v>0</v>
      </c>
      <c r="AJ97" s="79"/>
      <c r="AK97" s="170">
        <f t="shared" si="15"/>
        <v>0</v>
      </c>
      <c r="AL97" s="158"/>
      <c r="AM97" s="169"/>
      <c r="AN97" s="79"/>
      <c r="AO97" s="169">
        <f>SUM(AO93:AO96)</f>
        <v>-185</v>
      </c>
      <c r="AP97" s="79"/>
      <c r="AQ97" s="155">
        <f t="shared" si="17"/>
        <v>0</v>
      </c>
      <c r="AW97" s="163"/>
    </row>
    <row r="98" spans="1:49" ht="15.75" customHeight="1" x14ac:dyDescent="0.25">
      <c r="A98" s="202"/>
      <c r="C98" s="154"/>
      <c r="F98" s="252"/>
      <c r="H98" s="252"/>
      <c r="I98" s="252"/>
      <c r="J98" s="300"/>
      <c r="K98" s="300"/>
      <c r="L98" s="200"/>
      <c r="M98" s="200"/>
      <c r="N98" s="210"/>
      <c r="O98" s="210"/>
      <c r="P98" s="200"/>
      <c r="Q98" s="200"/>
      <c r="R98" s="200"/>
      <c r="T98" s="159"/>
      <c r="U98" s="80"/>
      <c r="V98" s="265"/>
      <c r="W98" s="80"/>
      <c r="X98" s="80"/>
      <c r="Y98" s="163"/>
      <c r="Z98" s="70"/>
      <c r="AA98" s="163"/>
      <c r="AB98" s="79"/>
      <c r="AC98" s="352"/>
      <c r="AD98" s="352"/>
      <c r="AE98" s="163"/>
      <c r="AF98" s="79"/>
      <c r="AG98" s="197"/>
      <c r="AH98" s="156"/>
      <c r="AI98" s="163"/>
      <c r="AJ98" s="79"/>
      <c r="AK98" s="197"/>
      <c r="AL98" s="158"/>
      <c r="AM98" s="163"/>
      <c r="AN98" s="79"/>
      <c r="AO98" s="163"/>
      <c r="AP98" s="79"/>
      <c r="AQ98" s="155"/>
      <c r="AW98" s="163"/>
    </row>
    <row r="99" spans="1:49" ht="20.100000000000001" customHeight="1" thickBot="1" x14ac:dyDescent="0.3">
      <c r="A99" s="202"/>
      <c r="C99" s="154"/>
      <c r="F99" s="200"/>
      <c r="H99" s="200"/>
      <c r="I99" s="200"/>
      <c r="J99" s="213"/>
      <c r="K99" s="213"/>
      <c r="L99" s="200"/>
      <c r="M99" s="200"/>
      <c r="N99" s="210"/>
      <c r="O99" s="210"/>
      <c r="P99" s="200"/>
      <c r="Q99" s="200"/>
      <c r="R99" s="200"/>
      <c r="T99" s="159">
        <f>A47</f>
        <v>26</v>
      </c>
      <c r="U99" s="80"/>
      <c r="V99" s="253" t="s">
        <v>593</v>
      </c>
      <c r="W99" s="80"/>
      <c r="X99" s="80"/>
      <c r="Y99" s="275">
        <f>Y90</f>
        <v>8364</v>
      </c>
      <c r="Z99" s="70"/>
      <c r="AA99" s="275">
        <f>AA90</f>
        <v>405021</v>
      </c>
      <c r="AB99" s="79"/>
      <c r="AC99" s="70"/>
      <c r="AD99" s="70"/>
      <c r="AE99" s="275">
        <f>AE90+AE97</f>
        <v>61591</v>
      </c>
      <c r="AF99" s="79"/>
      <c r="AG99" s="291">
        <v>100</v>
      </c>
      <c r="AH99" s="158"/>
      <c r="AI99" s="275">
        <f>AI90+AI97</f>
        <v>7352</v>
      </c>
      <c r="AJ99" s="79"/>
      <c r="AK99" s="291">
        <f>ROUND((AI99/AE99)*100,1)</f>
        <v>11.9</v>
      </c>
      <c r="AL99" s="158"/>
      <c r="AM99" s="444">
        <f>ROUND(AA99*CUR_FAC,0)</f>
        <v>416</v>
      </c>
      <c r="AN99" s="78"/>
      <c r="AO99" s="275">
        <f>AO90+AO97</f>
        <v>62007</v>
      </c>
      <c r="AP99" s="79"/>
      <c r="AQ99" s="155">
        <f>ROUND((AI99/AO99)*100,1)</f>
        <v>11.9</v>
      </c>
      <c r="AW99" s="163"/>
    </row>
    <row r="100" spans="1:49" ht="16.5" thickTop="1" x14ac:dyDescent="0.25">
      <c r="A100" s="202"/>
      <c r="C100" s="154"/>
      <c r="F100" s="200"/>
      <c r="H100" s="200"/>
      <c r="I100" s="200"/>
      <c r="J100" s="213"/>
      <c r="K100" s="213"/>
      <c r="L100" s="200"/>
      <c r="M100" s="200"/>
      <c r="N100" s="210"/>
      <c r="O100" s="210"/>
      <c r="P100" s="200"/>
      <c r="Q100" s="200"/>
      <c r="R100" s="200"/>
      <c r="T100" s="80"/>
      <c r="U100" s="80"/>
      <c r="V100" s="80"/>
      <c r="W100" s="80"/>
      <c r="X100" s="80"/>
      <c r="Y100" s="70"/>
      <c r="Z100" s="70"/>
      <c r="AA100" s="70"/>
      <c r="AB100" s="70"/>
      <c r="AC100" s="70"/>
      <c r="AD100" s="70"/>
      <c r="AE100" s="70"/>
      <c r="AF100" s="70"/>
      <c r="AG100" s="164"/>
      <c r="AH100" s="70"/>
      <c r="AI100" s="70"/>
      <c r="AJ100" s="70"/>
      <c r="AK100" s="164"/>
      <c r="AL100" s="70"/>
      <c r="AM100" s="70"/>
      <c r="AN100" s="70"/>
      <c r="AO100" s="70"/>
      <c r="AP100" s="70"/>
      <c r="AQ100" s="164"/>
    </row>
    <row r="101" spans="1:49" x14ac:dyDescent="0.25">
      <c r="A101" s="202"/>
      <c r="C101" s="154"/>
      <c r="F101" s="252"/>
      <c r="H101" s="252"/>
      <c r="I101" s="252"/>
      <c r="J101" s="320"/>
      <c r="K101" s="320"/>
      <c r="L101" s="200"/>
      <c r="M101" s="200"/>
      <c r="N101" s="210"/>
      <c r="O101" s="210"/>
      <c r="P101" s="200"/>
      <c r="Q101" s="200"/>
      <c r="R101" s="200"/>
      <c r="T101" s="80"/>
      <c r="U101" s="80"/>
      <c r="V101" s="173" t="s">
        <v>80</v>
      </c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188"/>
      <c r="AH101" s="80"/>
      <c r="AI101" s="80"/>
      <c r="AJ101" s="80"/>
      <c r="AK101" s="188"/>
      <c r="AL101" s="80"/>
      <c r="AM101" s="80"/>
      <c r="AN101" s="80"/>
      <c r="AO101" s="80"/>
      <c r="AP101" s="80"/>
      <c r="AQ101" s="188"/>
    </row>
    <row r="102" spans="1:49" x14ac:dyDescent="0.25">
      <c r="A102" s="202"/>
      <c r="C102" s="154"/>
      <c r="F102" s="252"/>
      <c r="H102" s="252"/>
      <c r="I102" s="252"/>
      <c r="J102" s="320"/>
      <c r="K102" s="320"/>
      <c r="L102" s="200"/>
      <c r="M102" s="200"/>
      <c r="N102" s="210"/>
      <c r="O102" s="210"/>
      <c r="P102" s="200"/>
      <c r="Q102" s="200"/>
      <c r="R102" s="200"/>
      <c r="T102" s="80"/>
      <c r="U102" s="80"/>
      <c r="V102" s="173" t="str">
        <f>"(2) REFLECTS FUEL COMPONENT OF "&amp;TEXT(CUR_FAC,"$0.000000;($0.000000)")&amp;" PER KWH."</f>
        <v>(2) REFLECTS FUEL COMPONENT OF $0.001028 PER KWH.</v>
      </c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188"/>
      <c r="AH102" s="80"/>
      <c r="AI102" s="80"/>
      <c r="AJ102" s="80"/>
      <c r="AK102" s="188"/>
      <c r="AL102" s="80"/>
      <c r="AM102" s="80"/>
      <c r="AN102" s="80"/>
      <c r="AO102" s="80"/>
      <c r="AP102" s="80"/>
      <c r="AQ102" s="188"/>
    </row>
    <row r="103" spans="1:49" x14ac:dyDescent="0.25">
      <c r="F103" s="211"/>
      <c r="H103" s="211"/>
      <c r="I103" s="211"/>
      <c r="J103" s="305"/>
      <c r="K103" s="305"/>
      <c r="L103" s="211"/>
      <c r="M103" s="211"/>
      <c r="N103" s="211"/>
      <c r="O103" s="211"/>
      <c r="P103" s="211"/>
      <c r="Q103" s="211"/>
      <c r="R103" s="211"/>
      <c r="T103" s="82"/>
      <c r="U103" s="80"/>
      <c r="V103" s="173" t="str">
        <f>"(3) REFLECTS FUEL COST RECOVERY INCLUDED IN BASE RATES OF "&amp;TEXT(CUR_BASE_FUEL,"$0.000000;($0.000000)")&amp;"  PER KWH."</f>
        <v>(3) REFLECTS FUEL COST RECOVERY INCLUDED IN BASE RATES OF $0.023837  PER KWH.</v>
      </c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188"/>
      <c r="AH103" s="80"/>
      <c r="AI103" s="80"/>
      <c r="AJ103" s="80"/>
      <c r="AK103" s="188"/>
      <c r="AL103" s="80"/>
      <c r="AM103" s="80"/>
      <c r="AN103" s="80"/>
      <c r="AO103" s="80"/>
      <c r="AP103" s="80"/>
      <c r="AQ103" s="188"/>
    </row>
    <row r="104" spans="1:49" x14ac:dyDescent="0.25">
      <c r="A104" s="202"/>
      <c r="C104" s="154"/>
      <c r="F104" s="200"/>
      <c r="H104" s="200"/>
      <c r="I104" s="200"/>
      <c r="J104" s="305"/>
      <c r="K104" s="305"/>
      <c r="L104" s="200"/>
      <c r="M104" s="200"/>
      <c r="N104" s="210"/>
      <c r="O104" s="210"/>
      <c r="P104" s="200"/>
      <c r="Q104" s="200"/>
      <c r="R104" s="200"/>
      <c r="S104" s="200"/>
      <c r="T104" s="154"/>
      <c r="V104" s="200"/>
      <c r="Y104" s="200"/>
      <c r="Z104" s="329"/>
      <c r="AA104" s="200"/>
      <c r="AB104" s="200"/>
      <c r="AC104" s="210"/>
      <c r="AD104" s="210"/>
      <c r="AE104" s="200"/>
      <c r="AF104" s="200"/>
      <c r="AG104" s="209"/>
      <c r="AH104" s="201"/>
      <c r="AI104" s="200"/>
      <c r="AJ104" s="200"/>
      <c r="AK104" s="209"/>
      <c r="AL104" s="200"/>
      <c r="AM104" s="210"/>
      <c r="AN104" s="210"/>
    </row>
    <row r="105" spans="1:49" x14ac:dyDescent="0.25">
      <c r="F105" s="211"/>
      <c r="H105" s="211"/>
      <c r="I105" s="211"/>
      <c r="J105" s="305"/>
      <c r="K105" s="305"/>
      <c r="L105" s="211"/>
      <c r="M105" s="211"/>
      <c r="N105" s="211"/>
      <c r="O105" s="211"/>
      <c r="P105" s="211"/>
      <c r="Q105" s="211"/>
      <c r="R105" s="211"/>
      <c r="S105" s="200"/>
      <c r="T105" s="154"/>
      <c r="Y105" s="200"/>
      <c r="Z105" s="329"/>
      <c r="AA105" s="200"/>
      <c r="AB105" s="200"/>
      <c r="AC105" s="210"/>
      <c r="AD105" s="210"/>
      <c r="AE105" s="200"/>
      <c r="AF105" s="200"/>
      <c r="AG105" s="209"/>
      <c r="AH105" s="201"/>
      <c r="AI105" s="200"/>
      <c r="AJ105" s="200"/>
      <c r="AK105" s="209"/>
      <c r="AL105" s="200"/>
      <c r="AM105" s="210"/>
      <c r="AN105" s="210"/>
    </row>
    <row r="106" spans="1:49" x14ac:dyDescent="0.25">
      <c r="A106" s="202"/>
      <c r="C106" s="154"/>
      <c r="V106" s="200"/>
      <c r="Y106" s="200"/>
      <c r="Z106" s="305"/>
      <c r="AA106" s="211"/>
      <c r="AB106" s="211"/>
      <c r="AC106" s="211"/>
      <c r="AD106" s="211"/>
      <c r="AE106" s="211"/>
      <c r="AF106" s="211"/>
      <c r="AI106" s="211"/>
      <c r="AJ106" s="211"/>
      <c r="AK106" s="212"/>
      <c r="AL106" s="211"/>
      <c r="AM106" s="210"/>
      <c r="AN106" s="210"/>
    </row>
    <row r="107" spans="1:49" x14ac:dyDescent="0.25">
      <c r="A107" s="202"/>
      <c r="C107" s="154"/>
      <c r="F107" s="200"/>
      <c r="H107" s="200"/>
      <c r="I107" s="200"/>
      <c r="L107" s="200"/>
      <c r="M107" s="200"/>
      <c r="N107" s="210"/>
      <c r="O107" s="210"/>
      <c r="P107" s="252"/>
      <c r="Q107" s="252"/>
      <c r="R107" s="200"/>
      <c r="T107" s="154"/>
      <c r="V107" s="200"/>
      <c r="Y107" s="200"/>
      <c r="Z107" s="213"/>
      <c r="AA107" s="200"/>
      <c r="AB107" s="200"/>
      <c r="AC107" s="210"/>
      <c r="AD107" s="210"/>
      <c r="AE107" s="200"/>
      <c r="AF107" s="200"/>
      <c r="AG107" s="209"/>
      <c r="AH107" s="201"/>
      <c r="AI107" s="200"/>
      <c r="AJ107" s="200"/>
      <c r="AK107" s="209"/>
      <c r="AL107" s="200"/>
      <c r="AM107" s="210"/>
      <c r="AN107" s="210"/>
    </row>
    <row r="108" spans="1:49" x14ac:dyDescent="0.25">
      <c r="F108" s="211"/>
      <c r="H108" s="211"/>
      <c r="I108" s="211"/>
      <c r="J108" s="305"/>
      <c r="K108" s="305"/>
      <c r="L108" s="211"/>
      <c r="M108" s="211"/>
      <c r="N108" s="211"/>
      <c r="O108" s="211"/>
      <c r="P108" s="211"/>
      <c r="Q108" s="211"/>
      <c r="R108" s="211"/>
      <c r="V108" s="200"/>
      <c r="Y108" s="200"/>
      <c r="Z108" s="305"/>
      <c r="AA108" s="211"/>
      <c r="AB108" s="211"/>
      <c r="AC108" s="211"/>
      <c r="AD108" s="211"/>
      <c r="AE108" s="211"/>
      <c r="AF108" s="211"/>
      <c r="AI108" s="211"/>
      <c r="AJ108" s="211"/>
      <c r="AK108" s="212"/>
      <c r="AL108" s="211"/>
      <c r="AM108" s="210"/>
      <c r="AN108" s="210"/>
    </row>
    <row r="109" spans="1:49" x14ac:dyDescent="0.25">
      <c r="T109" s="154"/>
      <c r="V109" s="200"/>
      <c r="Y109" s="200"/>
      <c r="Z109" s="213"/>
      <c r="AA109" s="200"/>
      <c r="AB109" s="200"/>
      <c r="AC109" s="210"/>
      <c r="AD109" s="210"/>
      <c r="AE109" s="200"/>
      <c r="AF109" s="200"/>
      <c r="AG109" s="209"/>
      <c r="AH109" s="201"/>
      <c r="AI109" s="200"/>
      <c r="AJ109" s="200"/>
      <c r="AK109" s="209"/>
      <c r="AL109" s="200"/>
      <c r="AM109" s="210"/>
      <c r="AN109" s="210"/>
    </row>
    <row r="110" spans="1:49" x14ac:dyDescent="0.25">
      <c r="C110" s="154"/>
      <c r="L110" s="200"/>
      <c r="M110" s="200"/>
      <c r="N110" s="200"/>
      <c r="O110" s="200"/>
      <c r="P110" s="200"/>
      <c r="Q110" s="200"/>
      <c r="R110" s="200"/>
      <c r="S110" s="200"/>
      <c r="T110" s="154"/>
      <c r="V110" s="252"/>
      <c r="Y110" s="200"/>
      <c r="Z110" s="320"/>
      <c r="AA110" s="200"/>
      <c r="AB110" s="200"/>
      <c r="AC110" s="210"/>
      <c r="AD110" s="210"/>
      <c r="AE110" s="200"/>
      <c r="AF110" s="200"/>
      <c r="AG110" s="209"/>
      <c r="AH110" s="201"/>
      <c r="AI110" s="200"/>
      <c r="AJ110" s="200"/>
      <c r="AK110" s="209"/>
      <c r="AL110" s="200"/>
      <c r="AM110" s="210"/>
      <c r="AN110" s="210"/>
    </row>
    <row r="111" spans="1:49" x14ac:dyDescent="0.25">
      <c r="A111" s="154"/>
      <c r="V111" s="211"/>
      <c r="Y111" s="211"/>
      <c r="Z111" s="305"/>
      <c r="AA111" s="211"/>
      <c r="AB111" s="211"/>
      <c r="AC111" s="211"/>
      <c r="AD111" s="211"/>
      <c r="AE111" s="211"/>
      <c r="AF111" s="211"/>
      <c r="AI111" s="211"/>
      <c r="AJ111" s="211"/>
      <c r="AK111" s="212"/>
      <c r="AL111" s="211"/>
      <c r="AM111" s="210"/>
      <c r="AN111" s="210"/>
    </row>
    <row r="112" spans="1:49" x14ac:dyDescent="0.25">
      <c r="J112" s="202"/>
      <c r="K112" s="202"/>
      <c r="T112" s="154"/>
      <c r="V112" s="200"/>
      <c r="Y112" s="200"/>
      <c r="Z112" s="305"/>
      <c r="AA112" s="200"/>
      <c r="AB112" s="200"/>
      <c r="AC112" s="210"/>
      <c r="AD112" s="210"/>
      <c r="AE112" s="200"/>
      <c r="AF112" s="200"/>
      <c r="AG112" s="209"/>
      <c r="AH112" s="210"/>
      <c r="AI112" s="200"/>
      <c r="AJ112" s="200"/>
      <c r="AK112" s="209"/>
      <c r="AL112" s="200"/>
      <c r="AM112" s="210"/>
      <c r="AN112" s="210"/>
    </row>
    <row r="113" spans="1:40" x14ac:dyDescent="0.25">
      <c r="H113" s="154"/>
      <c r="I113" s="154"/>
      <c r="V113" s="211"/>
      <c r="Y113" s="211"/>
      <c r="Z113" s="305"/>
      <c r="AA113" s="211"/>
      <c r="AB113" s="211"/>
      <c r="AC113" s="211"/>
      <c r="AD113" s="211"/>
      <c r="AE113" s="211"/>
      <c r="AF113" s="211"/>
      <c r="AI113" s="211"/>
      <c r="AJ113" s="211"/>
      <c r="AK113" s="212"/>
      <c r="AL113" s="211"/>
      <c r="AM113" s="210"/>
      <c r="AN113" s="210"/>
    </row>
    <row r="114" spans="1:40" x14ac:dyDescent="0.25">
      <c r="J114" s="202"/>
      <c r="K114" s="202"/>
      <c r="T114" s="154"/>
    </row>
    <row r="115" spans="1:40" x14ac:dyDescent="0.25">
      <c r="L115" s="154"/>
      <c r="M115" s="154"/>
      <c r="AA115" s="154"/>
      <c r="AB115" s="154"/>
    </row>
    <row r="116" spans="1:40" x14ac:dyDescent="0.25">
      <c r="A116" s="202"/>
      <c r="R116" s="154"/>
      <c r="AK116" s="297"/>
      <c r="AL116" s="154"/>
    </row>
    <row r="117" spans="1:40" x14ac:dyDescent="0.25">
      <c r="A117" s="202"/>
      <c r="R117" s="154"/>
      <c r="AK117" s="297"/>
      <c r="AL117" s="154"/>
    </row>
    <row r="118" spans="1:40" x14ac:dyDescent="0.25">
      <c r="A118" s="154"/>
      <c r="R118" s="154"/>
      <c r="AK118" s="297"/>
      <c r="AL118" s="154"/>
    </row>
    <row r="119" spans="1:40" x14ac:dyDescent="0.25">
      <c r="L119" s="154"/>
      <c r="M119" s="154"/>
      <c r="R119" s="202"/>
      <c r="AA119" s="154"/>
      <c r="AB119" s="154"/>
      <c r="AK119" s="209"/>
      <c r="AL119" s="202"/>
    </row>
    <row r="120" spans="1:40" x14ac:dyDescent="0.2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208"/>
      <c r="AH120" s="102"/>
      <c r="AI120" s="102"/>
      <c r="AJ120" s="102"/>
      <c r="AK120" s="208"/>
      <c r="AL120" s="102"/>
      <c r="AM120" s="102"/>
      <c r="AN120" s="102"/>
    </row>
    <row r="121" spans="1:40" x14ac:dyDescent="0.25">
      <c r="L121" s="103"/>
      <c r="M121" s="103"/>
      <c r="N121" s="103"/>
      <c r="O121" s="103"/>
      <c r="R121" s="103"/>
      <c r="AA121" s="103"/>
      <c r="AB121" s="103"/>
      <c r="AC121" s="103"/>
      <c r="AD121" s="103"/>
      <c r="AE121" s="103"/>
      <c r="AF121" s="103"/>
      <c r="AG121" s="185"/>
      <c r="AH121" s="103"/>
      <c r="AK121" s="185"/>
      <c r="AL121" s="103"/>
      <c r="AM121" s="103"/>
      <c r="AN121" s="103"/>
    </row>
    <row r="122" spans="1:40" x14ac:dyDescent="0.25">
      <c r="L122" s="103"/>
      <c r="M122" s="103"/>
      <c r="N122" s="103"/>
      <c r="O122" s="103"/>
      <c r="R122" s="103"/>
      <c r="Z122" s="103"/>
      <c r="AA122" s="103"/>
      <c r="AB122" s="103"/>
      <c r="AC122" s="103"/>
      <c r="AD122" s="103"/>
      <c r="AE122" s="103"/>
      <c r="AF122" s="103"/>
      <c r="AG122" s="185"/>
      <c r="AH122" s="103"/>
      <c r="AK122" s="185"/>
      <c r="AL122" s="103"/>
      <c r="AM122" s="103"/>
      <c r="AN122" s="103"/>
    </row>
    <row r="123" spans="1:40" x14ac:dyDescent="0.25">
      <c r="A123" s="103"/>
      <c r="C123" s="103"/>
      <c r="D123" s="103"/>
      <c r="E123" s="103"/>
      <c r="F123" s="103"/>
      <c r="J123" s="103"/>
      <c r="K123" s="103"/>
      <c r="L123" s="103"/>
      <c r="M123" s="103"/>
      <c r="N123" s="103"/>
      <c r="O123" s="103"/>
      <c r="P123" s="103"/>
      <c r="Q123" s="103"/>
      <c r="R123" s="103"/>
      <c r="T123" s="103"/>
      <c r="U123" s="103"/>
      <c r="V123" s="103"/>
      <c r="Z123" s="103"/>
      <c r="AA123" s="103"/>
      <c r="AB123" s="103"/>
      <c r="AC123" s="103"/>
      <c r="AD123" s="103"/>
      <c r="AE123" s="103"/>
      <c r="AF123" s="103"/>
      <c r="AG123" s="185"/>
      <c r="AH123" s="103"/>
      <c r="AI123" s="103"/>
      <c r="AJ123" s="103"/>
      <c r="AK123" s="185"/>
      <c r="AL123" s="103"/>
      <c r="AM123" s="103"/>
      <c r="AN123" s="103"/>
    </row>
    <row r="124" spans="1:40" x14ac:dyDescent="0.25">
      <c r="A124" s="103"/>
      <c r="C124" s="103"/>
      <c r="D124" s="103"/>
      <c r="E124" s="103"/>
      <c r="F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T124" s="103"/>
      <c r="U124" s="103"/>
      <c r="V124" s="103"/>
      <c r="Y124" s="103"/>
      <c r="Z124" s="103"/>
      <c r="AA124" s="103"/>
      <c r="AB124" s="103"/>
      <c r="AC124" s="103"/>
      <c r="AD124" s="103"/>
      <c r="AE124" s="103"/>
      <c r="AF124" s="103"/>
      <c r="AG124" s="185"/>
      <c r="AH124" s="103"/>
      <c r="AI124" s="103"/>
      <c r="AJ124" s="103"/>
      <c r="AK124" s="185"/>
      <c r="AL124" s="103"/>
      <c r="AM124" s="103"/>
      <c r="AN124" s="103"/>
    </row>
    <row r="125" spans="1:40" x14ac:dyDescent="0.25">
      <c r="C125" s="103"/>
      <c r="D125" s="103"/>
      <c r="E125" s="103"/>
      <c r="F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T125" s="103"/>
      <c r="U125" s="103"/>
      <c r="V125" s="103"/>
      <c r="Y125" s="103"/>
      <c r="Z125" s="103"/>
      <c r="AA125" s="103"/>
      <c r="AB125" s="103"/>
      <c r="AC125" s="103"/>
      <c r="AD125" s="103"/>
      <c r="AE125" s="103"/>
      <c r="AF125" s="103"/>
      <c r="AG125" s="185"/>
      <c r="AH125" s="103"/>
      <c r="AI125" s="103"/>
      <c r="AJ125" s="103"/>
      <c r="AK125" s="185"/>
      <c r="AL125" s="103"/>
      <c r="AM125" s="103"/>
      <c r="AN125" s="103"/>
    </row>
    <row r="126" spans="1:40" x14ac:dyDescent="0.2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208"/>
      <c r="AH126" s="102"/>
      <c r="AI126" s="102"/>
      <c r="AJ126" s="102"/>
      <c r="AK126" s="208"/>
      <c r="AL126" s="102"/>
      <c r="AM126" s="102"/>
      <c r="AN126" s="102"/>
    </row>
    <row r="127" spans="1:40" x14ac:dyDescent="0.25"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Y127" s="103"/>
      <c r="Z127" s="103"/>
      <c r="AA127" s="103"/>
      <c r="AB127" s="103"/>
      <c r="AC127" s="103"/>
      <c r="AD127" s="103"/>
      <c r="AE127" s="103"/>
      <c r="AF127" s="103"/>
      <c r="AG127" s="185"/>
      <c r="AH127" s="103"/>
      <c r="AI127" s="103"/>
      <c r="AJ127" s="103"/>
      <c r="AK127" s="185"/>
      <c r="AL127" s="103"/>
      <c r="AM127" s="103"/>
      <c r="AN127" s="103"/>
    </row>
    <row r="128" spans="1:40" x14ac:dyDescent="0.25">
      <c r="A128" s="202"/>
      <c r="C128" s="154"/>
      <c r="D128" s="154"/>
      <c r="E128" s="154"/>
      <c r="T128" s="154"/>
      <c r="U128" s="154"/>
    </row>
    <row r="129" spans="1:40" x14ac:dyDescent="0.25">
      <c r="A129" s="202"/>
      <c r="D129" s="154"/>
      <c r="E129" s="154"/>
      <c r="U129" s="154"/>
    </row>
    <row r="131" spans="1:40" x14ac:dyDescent="0.25">
      <c r="A131" s="202"/>
      <c r="C131" s="154"/>
      <c r="F131" s="252"/>
      <c r="H131" s="252"/>
      <c r="I131" s="252"/>
      <c r="J131" s="300"/>
      <c r="K131" s="300"/>
      <c r="L131" s="200"/>
      <c r="M131" s="200"/>
      <c r="N131" s="210"/>
      <c r="O131" s="210"/>
      <c r="R131" s="200"/>
      <c r="T131" s="154"/>
      <c r="V131" s="200"/>
      <c r="Y131" s="252"/>
      <c r="Z131" s="300"/>
      <c r="AA131" s="200"/>
      <c r="AB131" s="200"/>
      <c r="AC131" s="210"/>
      <c r="AD131" s="210"/>
      <c r="AE131" s="200"/>
      <c r="AF131" s="200"/>
      <c r="AG131" s="325"/>
      <c r="AH131" s="326"/>
      <c r="AK131" s="209"/>
      <c r="AL131" s="200"/>
      <c r="AM131" s="327"/>
      <c r="AN131" s="327"/>
    </row>
    <row r="132" spans="1:40" x14ac:dyDescent="0.25">
      <c r="A132" s="202"/>
      <c r="C132" s="154"/>
      <c r="F132" s="252"/>
      <c r="H132" s="252"/>
      <c r="I132" s="252"/>
      <c r="J132" s="300"/>
      <c r="K132" s="300"/>
      <c r="L132" s="200"/>
      <c r="M132" s="200"/>
      <c r="N132" s="210"/>
      <c r="O132" s="210"/>
      <c r="P132" s="202"/>
      <c r="Q132" s="202"/>
      <c r="R132" s="200"/>
      <c r="T132" s="154"/>
      <c r="V132" s="200"/>
      <c r="Y132" s="252"/>
      <c r="Z132" s="300"/>
      <c r="AA132" s="200"/>
      <c r="AB132" s="200"/>
      <c r="AC132" s="210"/>
      <c r="AD132" s="210"/>
      <c r="AE132" s="200"/>
      <c r="AF132" s="200"/>
      <c r="AG132" s="209"/>
      <c r="AH132" s="201"/>
      <c r="AI132" s="202"/>
      <c r="AJ132" s="202"/>
      <c r="AK132" s="209"/>
      <c r="AL132" s="200"/>
      <c r="AM132" s="210"/>
      <c r="AN132" s="210"/>
    </row>
    <row r="133" spans="1:40" x14ac:dyDescent="0.25">
      <c r="F133" s="211"/>
      <c r="H133" s="200"/>
      <c r="I133" s="200"/>
      <c r="J133" s="305"/>
      <c r="K133" s="305"/>
      <c r="L133" s="211"/>
      <c r="M133" s="211"/>
      <c r="N133" s="211"/>
      <c r="O133" s="211"/>
      <c r="P133" s="211"/>
      <c r="Q133" s="211"/>
      <c r="R133" s="211"/>
      <c r="V133" s="211"/>
      <c r="Y133" s="200"/>
      <c r="Z133" s="305"/>
      <c r="AA133" s="211"/>
      <c r="AB133" s="211"/>
      <c r="AC133" s="211"/>
      <c r="AD133" s="211"/>
      <c r="AE133" s="211"/>
      <c r="AF133" s="211"/>
      <c r="AI133" s="211"/>
      <c r="AJ133" s="211"/>
      <c r="AK133" s="212"/>
      <c r="AL133" s="211"/>
      <c r="AM133" s="210"/>
      <c r="AN133" s="210"/>
    </row>
    <row r="134" spans="1:40" x14ac:dyDescent="0.25">
      <c r="A134" s="202"/>
      <c r="C134" s="154"/>
      <c r="F134" s="200"/>
      <c r="H134" s="200"/>
      <c r="I134" s="200"/>
      <c r="J134" s="305"/>
      <c r="K134" s="305"/>
      <c r="L134" s="200"/>
      <c r="M134" s="200"/>
      <c r="N134" s="210"/>
      <c r="O134" s="210"/>
      <c r="P134" s="200"/>
      <c r="Q134" s="200"/>
      <c r="R134" s="200"/>
      <c r="T134" s="154"/>
      <c r="V134" s="200"/>
      <c r="Y134" s="200"/>
      <c r="Z134" s="213"/>
      <c r="AA134" s="200"/>
      <c r="AB134" s="200"/>
      <c r="AC134" s="210"/>
      <c r="AD134" s="210"/>
      <c r="AE134" s="200"/>
      <c r="AF134" s="200"/>
      <c r="AG134" s="209"/>
      <c r="AH134" s="201"/>
      <c r="AI134" s="200"/>
      <c r="AJ134" s="200"/>
      <c r="AK134" s="209"/>
      <c r="AL134" s="200"/>
      <c r="AM134" s="210"/>
      <c r="AN134" s="210"/>
    </row>
    <row r="135" spans="1:40" x14ac:dyDescent="0.25">
      <c r="F135" s="211"/>
      <c r="H135" s="200"/>
      <c r="I135" s="200"/>
      <c r="J135" s="305"/>
      <c r="K135" s="305"/>
      <c r="L135" s="211"/>
      <c r="M135" s="211"/>
      <c r="N135" s="211"/>
      <c r="O135" s="211"/>
      <c r="P135" s="211"/>
      <c r="Q135" s="211"/>
      <c r="R135" s="211"/>
      <c r="V135" s="211"/>
      <c r="Y135" s="200"/>
      <c r="Z135" s="305"/>
      <c r="AA135" s="211"/>
      <c r="AB135" s="211"/>
      <c r="AC135" s="211"/>
      <c r="AD135" s="211"/>
      <c r="AE135" s="211"/>
      <c r="AF135" s="211"/>
      <c r="AI135" s="211"/>
      <c r="AJ135" s="211"/>
      <c r="AK135" s="212"/>
      <c r="AL135" s="211"/>
      <c r="AM135" s="210"/>
      <c r="AN135" s="210"/>
    </row>
    <row r="136" spans="1:40" x14ac:dyDescent="0.25">
      <c r="F136" s="200"/>
      <c r="H136" s="200"/>
      <c r="I136" s="200"/>
      <c r="J136" s="305"/>
      <c r="K136" s="305"/>
      <c r="L136" s="200"/>
      <c r="M136" s="200"/>
      <c r="N136" s="210"/>
      <c r="O136" s="210"/>
      <c r="P136" s="200"/>
      <c r="Q136" s="200"/>
      <c r="R136" s="200"/>
      <c r="V136" s="200"/>
      <c r="Y136" s="200"/>
      <c r="Z136" s="213"/>
      <c r="AA136" s="200"/>
      <c r="AB136" s="200"/>
      <c r="AC136" s="210"/>
      <c r="AD136" s="210"/>
      <c r="AE136" s="200"/>
      <c r="AF136" s="200"/>
      <c r="AG136" s="209"/>
      <c r="AH136" s="201"/>
      <c r="AI136" s="200"/>
      <c r="AJ136" s="200"/>
      <c r="AK136" s="209"/>
      <c r="AL136" s="200"/>
      <c r="AM136" s="210"/>
      <c r="AN136" s="210"/>
    </row>
    <row r="137" spans="1:40" x14ac:dyDescent="0.25">
      <c r="A137" s="202"/>
      <c r="C137" s="154"/>
      <c r="F137" s="252"/>
      <c r="H137" s="252"/>
      <c r="I137" s="252"/>
      <c r="J137" s="300"/>
      <c r="K137" s="300"/>
      <c r="L137" s="200"/>
      <c r="M137" s="200"/>
      <c r="N137" s="210"/>
      <c r="O137" s="210"/>
      <c r="P137" s="200"/>
      <c r="Q137" s="200"/>
      <c r="R137" s="200"/>
      <c r="T137" s="154"/>
      <c r="V137" s="252"/>
      <c r="Y137" s="200"/>
      <c r="Z137" s="300"/>
      <c r="AA137" s="200"/>
      <c r="AB137" s="200"/>
      <c r="AC137" s="210"/>
      <c r="AD137" s="210"/>
      <c r="AE137" s="200"/>
      <c r="AF137" s="200"/>
      <c r="AG137" s="325"/>
      <c r="AH137" s="326"/>
      <c r="AI137" s="200"/>
      <c r="AJ137" s="200"/>
      <c r="AK137" s="209"/>
      <c r="AL137" s="200"/>
      <c r="AM137" s="327"/>
      <c r="AN137" s="327"/>
    </row>
    <row r="138" spans="1:40" x14ac:dyDescent="0.25">
      <c r="A138" s="202"/>
      <c r="C138" s="154"/>
      <c r="F138" s="252"/>
      <c r="H138" s="252"/>
      <c r="I138" s="252"/>
      <c r="J138" s="300"/>
      <c r="K138" s="300"/>
      <c r="L138" s="200"/>
      <c r="M138" s="200"/>
      <c r="N138" s="210"/>
      <c r="O138" s="210"/>
      <c r="P138" s="200"/>
      <c r="Q138" s="200"/>
      <c r="R138" s="200"/>
      <c r="T138" s="154"/>
      <c r="V138" s="252"/>
      <c r="Y138" s="200"/>
      <c r="Z138" s="300"/>
      <c r="AA138" s="200"/>
      <c r="AB138" s="200"/>
      <c r="AC138" s="210"/>
      <c r="AD138" s="210"/>
      <c r="AE138" s="200"/>
      <c r="AF138" s="200"/>
      <c r="AG138" s="209"/>
      <c r="AH138" s="201"/>
      <c r="AI138" s="200"/>
      <c r="AJ138" s="200"/>
      <c r="AK138" s="209"/>
      <c r="AL138" s="200"/>
      <c r="AM138" s="210"/>
      <c r="AN138" s="210"/>
    </row>
    <row r="139" spans="1:40" x14ac:dyDescent="0.25">
      <c r="F139" s="200"/>
      <c r="H139" s="211"/>
      <c r="I139" s="211"/>
      <c r="J139" s="305"/>
      <c r="K139" s="305"/>
      <c r="L139" s="211"/>
      <c r="M139" s="211"/>
      <c r="N139" s="211"/>
      <c r="O139" s="211"/>
      <c r="P139" s="211"/>
      <c r="Q139" s="211"/>
      <c r="R139" s="211"/>
      <c r="V139" s="200"/>
      <c r="Y139" s="211"/>
      <c r="Z139" s="305"/>
      <c r="AA139" s="211"/>
      <c r="AB139" s="211"/>
      <c r="AC139" s="211"/>
      <c r="AD139" s="211"/>
      <c r="AE139" s="211"/>
      <c r="AF139" s="211"/>
      <c r="AI139" s="211"/>
      <c r="AJ139" s="211"/>
      <c r="AK139" s="212"/>
      <c r="AL139" s="211"/>
      <c r="AM139" s="210"/>
      <c r="AN139" s="210"/>
    </row>
    <row r="140" spans="1:40" x14ac:dyDescent="0.25">
      <c r="A140" s="202"/>
      <c r="C140" s="154"/>
      <c r="F140" s="200"/>
      <c r="H140" s="200"/>
      <c r="I140" s="200"/>
      <c r="J140" s="305"/>
      <c r="K140" s="305"/>
      <c r="L140" s="200"/>
      <c r="M140" s="200"/>
      <c r="N140" s="210"/>
      <c r="O140" s="210"/>
      <c r="P140" s="200"/>
      <c r="Q140" s="200"/>
      <c r="R140" s="200"/>
      <c r="T140" s="154"/>
      <c r="V140" s="200"/>
      <c r="Y140" s="200"/>
      <c r="Z140" s="305"/>
      <c r="AA140" s="200"/>
      <c r="AB140" s="200"/>
      <c r="AC140" s="210"/>
      <c r="AD140" s="210"/>
      <c r="AE140" s="200"/>
      <c r="AF140" s="200"/>
      <c r="AG140" s="209"/>
      <c r="AH140" s="201"/>
      <c r="AI140" s="200"/>
      <c r="AJ140" s="200"/>
      <c r="AK140" s="209"/>
      <c r="AL140" s="200"/>
      <c r="AM140" s="210"/>
      <c r="AN140" s="210"/>
    </row>
    <row r="141" spans="1:40" x14ac:dyDescent="0.25">
      <c r="F141" s="200"/>
      <c r="H141" s="211"/>
      <c r="I141" s="211"/>
      <c r="J141" s="305"/>
      <c r="K141" s="305"/>
      <c r="L141" s="211"/>
      <c r="M141" s="211"/>
      <c r="N141" s="211"/>
      <c r="O141" s="211"/>
      <c r="P141" s="211"/>
      <c r="Q141" s="211"/>
      <c r="R141" s="211"/>
      <c r="V141" s="200"/>
      <c r="Y141" s="211"/>
      <c r="Z141" s="305"/>
      <c r="AA141" s="211"/>
      <c r="AB141" s="211"/>
      <c r="AC141" s="211"/>
      <c r="AD141" s="211"/>
      <c r="AE141" s="211"/>
      <c r="AF141" s="211"/>
      <c r="AI141" s="211"/>
      <c r="AJ141" s="211"/>
      <c r="AK141" s="212"/>
      <c r="AL141" s="211"/>
      <c r="AM141" s="210"/>
      <c r="AN141" s="210"/>
    </row>
    <row r="142" spans="1:40" x14ac:dyDescent="0.25">
      <c r="F142" s="200"/>
      <c r="H142" s="200"/>
      <c r="I142" s="200"/>
      <c r="J142" s="305"/>
      <c r="K142" s="305"/>
      <c r="L142" s="200"/>
      <c r="M142" s="200"/>
      <c r="N142" s="200"/>
      <c r="O142" s="200"/>
      <c r="P142" s="200"/>
      <c r="Q142" s="200"/>
      <c r="R142" s="200"/>
      <c r="V142" s="200"/>
      <c r="Y142" s="200"/>
      <c r="Z142" s="305"/>
      <c r="AA142" s="200"/>
      <c r="AB142" s="200"/>
      <c r="AC142" s="200"/>
      <c r="AD142" s="200"/>
      <c r="AE142" s="200"/>
      <c r="AF142" s="200"/>
      <c r="AG142" s="209"/>
      <c r="AH142" s="201"/>
      <c r="AI142" s="200"/>
      <c r="AJ142" s="200"/>
      <c r="AK142" s="209"/>
      <c r="AL142" s="200"/>
      <c r="AM142" s="210"/>
      <c r="AN142" s="210"/>
    </row>
    <row r="143" spans="1:40" x14ac:dyDescent="0.25">
      <c r="A143" s="202"/>
      <c r="C143" s="154"/>
      <c r="F143" s="252"/>
      <c r="H143" s="252"/>
      <c r="I143" s="252"/>
      <c r="J143" s="320"/>
      <c r="K143" s="320"/>
      <c r="L143" s="200"/>
      <c r="M143" s="200"/>
      <c r="N143" s="210"/>
      <c r="O143" s="210"/>
      <c r="P143" s="252"/>
      <c r="Q143" s="252"/>
      <c r="R143" s="200"/>
      <c r="T143" s="154"/>
      <c r="V143" s="252"/>
      <c r="Y143" s="252"/>
      <c r="Z143" s="328"/>
      <c r="AA143" s="200"/>
      <c r="AB143" s="200"/>
      <c r="AC143" s="210"/>
      <c r="AD143" s="210"/>
      <c r="AE143" s="200"/>
      <c r="AF143" s="200"/>
      <c r="AG143" s="209"/>
      <c r="AH143" s="201"/>
      <c r="AI143" s="252"/>
      <c r="AJ143" s="252"/>
      <c r="AK143" s="209"/>
      <c r="AL143" s="200"/>
      <c r="AM143" s="210"/>
      <c r="AN143" s="210"/>
    </row>
    <row r="144" spans="1:40" x14ac:dyDescent="0.25">
      <c r="A144" s="202"/>
      <c r="C144" s="154"/>
      <c r="F144" s="252"/>
      <c r="H144" s="252"/>
      <c r="I144" s="252"/>
      <c r="J144" s="320"/>
      <c r="K144" s="320"/>
      <c r="L144" s="200"/>
      <c r="M144" s="200"/>
      <c r="N144" s="210"/>
      <c r="O144" s="210"/>
      <c r="P144" s="252"/>
      <c r="Q144" s="252"/>
      <c r="R144" s="200"/>
      <c r="T144" s="154"/>
      <c r="V144" s="252"/>
      <c r="Y144" s="200"/>
      <c r="Z144" s="304"/>
      <c r="AA144" s="200"/>
      <c r="AB144" s="200"/>
      <c r="AC144" s="210"/>
      <c r="AD144" s="210"/>
      <c r="AE144" s="200"/>
      <c r="AF144" s="200"/>
      <c r="AG144" s="209"/>
      <c r="AH144" s="201"/>
      <c r="AI144" s="252"/>
      <c r="AJ144" s="252"/>
      <c r="AK144" s="209"/>
      <c r="AL144" s="200"/>
      <c r="AM144" s="210"/>
      <c r="AN144" s="210"/>
    </row>
    <row r="145" spans="1:40" x14ac:dyDescent="0.25">
      <c r="A145" s="202"/>
      <c r="C145" s="154"/>
      <c r="F145" s="252"/>
      <c r="H145" s="252"/>
      <c r="I145" s="252"/>
      <c r="J145" s="320"/>
      <c r="K145" s="320"/>
      <c r="L145" s="200"/>
      <c r="M145" s="200"/>
      <c r="N145" s="210"/>
      <c r="O145" s="210"/>
      <c r="P145" s="252"/>
      <c r="Q145" s="252"/>
      <c r="R145" s="200"/>
      <c r="T145" s="154"/>
      <c r="V145" s="252"/>
      <c r="Y145" s="200"/>
      <c r="Z145" s="304"/>
      <c r="AA145" s="200"/>
      <c r="AB145" s="200"/>
      <c r="AC145" s="210"/>
      <c r="AD145" s="210"/>
      <c r="AE145" s="200"/>
      <c r="AF145" s="200"/>
      <c r="AG145" s="209"/>
      <c r="AH145" s="201"/>
      <c r="AI145" s="252"/>
      <c r="AJ145" s="252"/>
      <c r="AK145" s="209"/>
      <c r="AL145" s="200"/>
      <c r="AM145" s="210"/>
      <c r="AN145" s="210"/>
    </row>
    <row r="146" spans="1:40" x14ac:dyDescent="0.25">
      <c r="F146" s="211"/>
      <c r="H146" s="211"/>
      <c r="I146" s="211"/>
      <c r="J146" s="305"/>
      <c r="K146" s="305"/>
      <c r="L146" s="211"/>
      <c r="M146" s="211"/>
      <c r="N146" s="211"/>
      <c r="O146" s="211"/>
      <c r="P146" s="211"/>
      <c r="Q146" s="211"/>
      <c r="R146" s="211"/>
      <c r="V146" s="211"/>
      <c r="Y146" s="211"/>
      <c r="Z146" s="305"/>
      <c r="AA146" s="211"/>
      <c r="AB146" s="211"/>
      <c r="AC146" s="211"/>
      <c r="AD146" s="211"/>
      <c r="AE146" s="211"/>
      <c r="AF146" s="211"/>
      <c r="AI146" s="211"/>
      <c r="AJ146" s="211"/>
      <c r="AK146" s="212"/>
      <c r="AL146" s="211"/>
      <c r="AM146" s="210"/>
      <c r="AN146" s="210"/>
    </row>
    <row r="147" spans="1:40" x14ac:dyDescent="0.25">
      <c r="A147" s="202"/>
      <c r="C147" s="154"/>
      <c r="F147" s="200"/>
      <c r="H147" s="200"/>
      <c r="I147" s="200"/>
      <c r="J147" s="213"/>
      <c r="K147" s="213"/>
      <c r="L147" s="200"/>
      <c r="M147" s="200"/>
      <c r="N147" s="210"/>
      <c r="O147" s="210"/>
      <c r="P147" s="200"/>
      <c r="Q147" s="200"/>
      <c r="R147" s="200"/>
      <c r="T147" s="154"/>
      <c r="V147" s="200"/>
      <c r="Y147" s="200"/>
      <c r="Z147" s="213"/>
      <c r="AA147" s="200"/>
      <c r="AB147" s="200"/>
      <c r="AC147" s="210"/>
      <c r="AD147" s="210"/>
      <c r="AE147" s="200"/>
      <c r="AF147" s="200"/>
      <c r="AG147" s="209"/>
      <c r="AH147" s="201"/>
      <c r="AI147" s="200"/>
      <c r="AJ147" s="200"/>
      <c r="AK147" s="209"/>
      <c r="AL147" s="200"/>
      <c r="AM147" s="210"/>
      <c r="AN147" s="210"/>
    </row>
    <row r="148" spans="1:40" x14ac:dyDescent="0.25">
      <c r="F148" s="211"/>
      <c r="H148" s="211"/>
      <c r="I148" s="211"/>
      <c r="J148" s="305"/>
      <c r="K148" s="305"/>
      <c r="L148" s="211"/>
      <c r="M148" s="211"/>
      <c r="N148" s="211"/>
      <c r="O148" s="211"/>
      <c r="P148" s="211"/>
      <c r="Q148" s="211"/>
      <c r="R148" s="211"/>
      <c r="V148" s="211"/>
      <c r="Y148" s="211"/>
      <c r="Z148" s="305"/>
      <c r="AA148" s="211"/>
      <c r="AB148" s="211"/>
      <c r="AC148" s="211"/>
      <c r="AD148" s="211"/>
      <c r="AE148" s="211"/>
      <c r="AF148" s="211"/>
      <c r="AI148" s="211"/>
      <c r="AJ148" s="211"/>
      <c r="AK148" s="212"/>
      <c r="AL148" s="211"/>
      <c r="AM148" s="210"/>
      <c r="AN148" s="210"/>
    </row>
    <row r="149" spans="1:40" x14ac:dyDescent="0.25">
      <c r="A149" s="202"/>
      <c r="C149" s="154"/>
      <c r="F149" s="200"/>
      <c r="H149" s="200"/>
      <c r="I149" s="200"/>
      <c r="J149" s="213"/>
      <c r="K149" s="213"/>
      <c r="L149" s="200"/>
      <c r="M149" s="200"/>
      <c r="N149" s="210"/>
      <c r="O149" s="210"/>
      <c r="P149" s="200"/>
      <c r="Q149" s="200"/>
      <c r="R149" s="200"/>
      <c r="T149" s="154"/>
      <c r="V149" s="200"/>
      <c r="Y149" s="200"/>
      <c r="Z149" s="213"/>
      <c r="AA149" s="200"/>
      <c r="AB149" s="200"/>
      <c r="AC149" s="210"/>
      <c r="AD149" s="210"/>
      <c r="AE149" s="200"/>
      <c r="AF149" s="200"/>
      <c r="AG149" s="209"/>
      <c r="AH149" s="201"/>
      <c r="AI149" s="200"/>
      <c r="AJ149" s="200"/>
      <c r="AK149" s="209"/>
      <c r="AL149" s="200"/>
      <c r="AM149" s="210"/>
      <c r="AN149" s="210"/>
    </row>
    <row r="150" spans="1:40" x14ac:dyDescent="0.25">
      <c r="A150" s="202"/>
      <c r="C150" s="154"/>
      <c r="F150" s="200"/>
      <c r="H150" s="200"/>
      <c r="I150" s="200"/>
      <c r="J150" s="213"/>
      <c r="K150" s="213"/>
      <c r="L150" s="200"/>
      <c r="M150" s="200"/>
      <c r="N150" s="210"/>
      <c r="O150" s="210"/>
      <c r="P150" s="200"/>
      <c r="Q150" s="200"/>
      <c r="R150" s="200"/>
      <c r="T150" s="154"/>
      <c r="V150" s="200"/>
      <c r="Y150" s="200"/>
      <c r="Z150" s="213"/>
      <c r="AA150" s="200"/>
      <c r="AB150" s="200"/>
      <c r="AC150" s="210"/>
      <c r="AD150" s="210"/>
      <c r="AE150" s="200"/>
      <c r="AF150" s="200"/>
      <c r="AG150" s="209"/>
      <c r="AH150" s="201"/>
      <c r="AI150" s="200"/>
      <c r="AJ150" s="200"/>
      <c r="AK150" s="209"/>
      <c r="AL150" s="200"/>
      <c r="AM150" s="210"/>
      <c r="AN150" s="210"/>
    </row>
    <row r="151" spans="1:40" x14ac:dyDescent="0.25">
      <c r="F151" s="211"/>
      <c r="H151" s="211"/>
      <c r="I151" s="211"/>
      <c r="J151" s="305"/>
      <c r="K151" s="305"/>
      <c r="L151" s="211"/>
      <c r="M151" s="211"/>
      <c r="N151" s="211"/>
      <c r="O151" s="211"/>
      <c r="P151" s="211"/>
      <c r="Q151" s="211"/>
      <c r="R151" s="211"/>
      <c r="V151" s="211"/>
      <c r="Y151" s="211"/>
      <c r="Z151" s="305"/>
      <c r="AA151" s="211"/>
      <c r="AB151" s="211"/>
      <c r="AC151" s="211"/>
      <c r="AD151" s="211"/>
      <c r="AE151" s="211"/>
      <c r="AF151" s="211"/>
      <c r="AI151" s="211"/>
      <c r="AJ151" s="211"/>
      <c r="AK151" s="212"/>
      <c r="AL151" s="211"/>
      <c r="AM151" s="200"/>
      <c r="AN151" s="200"/>
    </row>
    <row r="152" spans="1:40" x14ac:dyDescent="0.25">
      <c r="F152" s="200"/>
      <c r="H152" s="200"/>
      <c r="I152" s="200"/>
      <c r="J152" s="213"/>
      <c r="K152" s="213"/>
      <c r="L152" s="200"/>
      <c r="M152" s="200"/>
      <c r="N152" s="200"/>
      <c r="O152" s="200"/>
      <c r="P152" s="200"/>
      <c r="Q152" s="200"/>
      <c r="R152" s="200"/>
      <c r="V152" s="200"/>
      <c r="Y152" s="200"/>
      <c r="Z152" s="213"/>
      <c r="AA152" s="200"/>
      <c r="AB152" s="200"/>
      <c r="AC152" s="200"/>
      <c r="AD152" s="200"/>
    </row>
    <row r="153" spans="1:40" x14ac:dyDescent="0.25">
      <c r="C153" s="154"/>
      <c r="F153" s="200"/>
      <c r="H153" s="200"/>
      <c r="I153" s="200"/>
      <c r="J153" s="213"/>
      <c r="K153" s="213"/>
      <c r="L153" s="200"/>
      <c r="M153" s="200"/>
      <c r="N153" s="200"/>
      <c r="O153" s="200"/>
      <c r="P153" s="200"/>
      <c r="Q153" s="200"/>
      <c r="R153" s="200"/>
      <c r="T153" s="154"/>
      <c r="V153" s="200"/>
      <c r="Y153" s="200"/>
      <c r="Z153" s="213"/>
      <c r="AA153" s="200"/>
      <c r="AB153" s="200"/>
      <c r="AC153" s="200"/>
      <c r="AD153" s="200"/>
    </row>
    <row r="154" spans="1:40" x14ac:dyDescent="0.25">
      <c r="A154" s="154"/>
    </row>
    <row r="155" spans="1:40" x14ac:dyDescent="0.25">
      <c r="J155" s="202"/>
      <c r="K155" s="202"/>
      <c r="Z155" s="202"/>
    </row>
    <row r="156" spans="1:40" x14ac:dyDescent="0.25">
      <c r="H156" s="154"/>
      <c r="I156" s="154"/>
      <c r="Y156" s="154"/>
    </row>
    <row r="157" spans="1:40" x14ac:dyDescent="0.25">
      <c r="J157" s="202"/>
      <c r="K157" s="202"/>
      <c r="Z157" s="202"/>
    </row>
    <row r="158" spans="1:40" x14ac:dyDescent="0.25">
      <c r="L158" s="154"/>
      <c r="M158" s="154"/>
      <c r="AA158" s="154"/>
      <c r="AB158" s="154"/>
    </row>
    <row r="159" spans="1:40" x14ac:dyDescent="0.25">
      <c r="A159" s="202"/>
      <c r="R159" s="154"/>
      <c r="AK159" s="297"/>
      <c r="AL159" s="154"/>
    </row>
    <row r="160" spans="1:40" x14ac:dyDescent="0.25">
      <c r="A160" s="202"/>
      <c r="R160" s="154"/>
      <c r="AK160" s="297"/>
      <c r="AL160" s="154"/>
    </row>
    <row r="161" spans="1:40" x14ac:dyDescent="0.25">
      <c r="A161" s="154"/>
      <c r="R161" s="154"/>
      <c r="AK161" s="297"/>
      <c r="AL161" s="154"/>
    </row>
    <row r="162" spans="1:40" x14ac:dyDescent="0.25">
      <c r="L162" s="154"/>
      <c r="M162" s="154"/>
      <c r="R162" s="202"/>
      <c r="AA162" s="154"/>
      <c r="AB162" s="154"/>
      <c r="AK162" s="209"/>
      <c r="AL162" s="202"/>
    </row>
    <row r="163" spans="1:40" x14ac:dyDescent="0.25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208"/>
      <c r="AH163" s="102"/>
      <c r="AI163" s="102"/>
      <c r="AJ163" s="102"/>
      <c r="AK163" s="208"/>
      <c r="AL163" s="102"/>
      <c r="AM163" s="102"/>
      <c r="AN163" s="102"/>
    </row>
    <row r="164" spans="1:40" x14ac:dyDescent="0.25">
      <c r="L164" s="103"/>
      <c r="M164" s="103"/>
      <c r="N164" s="103"/>
      <c r="O164" s="103"/>
      <c r="R164" s="103"/>
      <c r="AA164" s="103"/>
      <c r="AB164" s="103"/>
      <c r="AC164" s="103"/>
      <c r="AD164" s="103"/>
      <c r="AE164" s="103"/>
      <c r="AF164" s="103"/>
      <c r="AG164" s="185"/>
      <c r="AH164" s="103"/>
      <c r="AK164" s="185"/>
      <c r="AL164" s="103"/>
      <c r="AM164" s="103"/>
      <c r="AN164" s="103"/>
    </row>
    <row r="165" spans="1:40" x14ac:dyDescent="0.25">
      <c r="L165" s="103"/>
      <c r="M165" s="103"/>
      <c r="N165" s="103"/>
      <c r="O165" s="103"/>
      <c r="R165" s="103"/>
      <c r="Z165" s="103"/>
      <c r="AA165" s="103"/>
      <c r="AB165" s="103"/>
      <c r="AC165" s="103"/>
      <c r="AD165" s="103"/>
      <c r="AE165" s="103"/>
      <c r="AF165" s="103"/>
      <c r="AG165" s="185"/>
      <c r="AH165" s="103"/>
      <c r="AK165" s="185"/>
      <c r="AL165" s="103"/>
      <c r="AM165" s="103"/>
      <c r="AN165" s="103"/>
    </row>
    <row r="166" spans="1:40" x14ac:dyDescent="0.25">
      <c r="A166" s="103"/>
      <c r="C166" s="103"/>
      <c r="D166" s="103"/>
      <c r="E166" s="103"/>
      <c r="F166" s="103"/>
      <c r="J166" s="103"/>
      <c r="K166" s="103"/>
      <c r="L166" s="103"/>
      <c r="M166" s="103"/>
      <c r="N166" s="103"/>
      <c r="O166" s="103"/>
      <c r="P166" s="103"/>
      <c r="Q166" s="103"/>
      <c r="R166" s="103"/>
      <c r="T166" s="103"/>
      <c r="U166" s="103"/>
      <c r="V166" s="103"/>
      <c r="Z166" s="103"/>
      <c r="AA166" s="103"/>
      <c r="AB166" s="103"/>
      <c r="AC166" s="103"/>
      <c r="AD166" s="103"/>
      <c r="AE166" s="103"/>
      <c r="AF166" s="103"/>
      <c r="AG166" s="185"/>
      <c r="AH166" s="103"/>
      <c r="AI166" s="103"/>
      <c r="AJ166" s="103"/>
      <c r="AK166" s="185"/>
      <c r="AL166" s="103"/>
      <c r="AM166" s="103"/>
      <c r="AN166" s="103"/>
    </row>
    <row r="167" spans="1:40" x14ac:dyDescent="0.25">
      <c r="A167" s="103"/>
      <c r="C167" s="103"/>
      <c r="D167" s="103"/>
      <c r="E167" s="103"/>
      <c r="F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T167" s="103"/>
      <c r="U167" s="103"/>
      <c r="V167" s="103"/>
      <c r="Y167" s="103"/>
      <c r="Z167" s="103"/>
      <c r="AA167" s="103"/>
      <c r="AB167" s="103"/>
      <c r="AC167" s="103"/>
      <c r="AD167" s="103"/>
      <c r="AE167" s="103"/>
      <c r="AF167" s="103"/>
      <c r="AG167" s="185"/>
      <c r="AH167" s="103"/>
      <c r="AI167" s="103"/>
      <c r="AJ167" s="103"/>
      <c r="AK167" s="185"/>
      <c r="AL167" s="103"/>
      <c r="AM167" s="103"/>
      <c r="AN167" s="103"/>
    </row>
    <row r="168" spans="1:40" x14ac:dyDescent="0.25">
      <c r="C168" s="103"/>
      <c r="D168" s="103"/>
      <c r="E168" s="103"/>
      <c r="F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T168" s="103"/>
      <c r="U168" s="103"/>
      <c r="V168" s="103"/>
      <c r="Y168" s="103"/>
      <c r="Z168" s="103"/>
      <c r="AA168" s="103"/>
      <c r="AB168" s="103"/>
      <c r="AC168" s="103"/>
      <c r="AD168" s="103"/>
      <c r="AE168" s="103"/>
      <c r="AF168" s="103"/>
      <c r="AG168" s="185"/>
      <c r="AH168" s="103"/>
      <c r="AI168" s="103"/>
      <c r="AJ168" s="103"/>
      <c r="AK168" s="185"/>
      <c r="AL168" s="103"/>
      <c r="AM168" s="103"/>
      <c r="AN168" s="103"/>
    </row>
    <row r="169" spans="1:40" x14ac:dyDescent="0.25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208"/>
      <c r="AH169" s="102"/>
      <c r="AI169" s="102"/>
      <c r="AJ169" s="102"/>
      <c r="AK169" s="208"/>
      <c r="AL169" s="102"/>
      <c r="AM169" s="102"/>
      <c r="AN169" s="102"/>
    </row>
    <row r="170" spans="1:40" x14ac:dyDescent="0.25"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Y170" s="103"/>
      <c r="Z170" s="103"/>
      <c r="AA170" s="103"/>
      <c r="AB170" s="103"/>
      <c r="AC170" s="103"/>
      <c r="AD170" s="103"/>
      <c r="AE170" s="103"/>
      <c r="AF170" s="103"/>
      <c r="AG170" s="185"/>
      <c r="AH170" s="103"/>
      <c r="AI170" s="103"/>
      <c r="AJ170" s="103"/>
      <c r="AK170" s="185"/>
      <c r="AL170" s="103"/>
      <c r="AM170" s="103"/>
      <c r="AN170" s="103"/>
    </row>
    <row r="171" spans="1:40" x14ac:dyDescent="0.25">
      <c r="A171" s="202"/>
      <c r="C171" s="154"/>
      <c r="D171" s="154"/>
      <c r="E171" s="154"/>
      <c r="T171" s="154"/>
      <c r="U171" s="154"/>
    </row>
    <row r="173" spans="1:40" x14ac:dyDescent="0.25">
      <c r="A173" s="202"/>
      <c r="C173" s="154"/>
      <c r="F173" s="252"/>
      <c r="H173" s="317"/>
      <c r="I173" s="317"/>
      <c r="J173" s="300"/>
      <c r="K173" s="300"/>
      <c r="L173" s="200"/>
      <c r="M173" s="200"/>
      <c r="N173" s="202"/>
      <c r="O173" s="202"/>
      <c r="P173" s="202"/>
      <c r="Q173" s="202"/>
      <c r="R173" s="200"/>
      <c r="T173" s="154"/>
      <c r="V173" s="200"/>
      <c r="Y173" s="202"/>
      <c r="Z173" s="300"/>
      <c r="AA173" s="200"/>
      <c r="AB173" s="200"/>
      <c r="AC173" s="202"/>
      <c r="AD173" s="202"/>
      <c r="AE173" s="200"/>
      <c r="AF173" s="200"/>
      <c r="AG173" s="325"/>
      <c r="AH173" s="326"/>
      <c r="AI173" s="200"/>
      <c r="AJ173" s="200"/>
      <c r="AK173" s="209"/>
      <c r="AL173" s="200"/>
      <c r="AM173" s="327"/>
      <c r="AN173" s="327"/>
    </row>
    <row r="174" spans="1:40" x14ac:dyDescent="0.25">
      <c r="F174" s="252"/>
      <c r="H174" s="317"/>
      <c r="I174" s="317"/>
      <c r="J174" s="317"/>
      <c r="K174" s="317"/>
      <c r="R174" s="200"/>
      <c r="V174" s="200"/>
      <c r="Z174" s="317"/>
    </row>
    <row r="175" spans="1:40" x14ac:dyDescent="0.25">
      <c r="A175" s="202"/>
      <c r="C175" s="154"/>
      <c r="F175" s="252"/>
      <c r="H175" s="252"/>
      <c r="I175" s="252"/>
      <c r="J175" s="320"/>
      <c r="K175" s="320"/>
      <c r="L175" s="200"/>
      <c r="M175" s="200"/>
      <c r="N175" s="210"/>
      <c r="O175" s="210"/>
      <c r="P175" s="252"/>
      <c r="Q175" s="252"/>
      <c r="R175" s="200"/>
      <c r="T175" s="154"/>
      <c r="V175" s="200"/>
      <c r="Y175" s="200"/>
      <c r="Z175" s="304"/>
      <c r="AA175" s="200"/>
      <c r="AB175" s="200"/>
      <c r="AC175" s="210"/>
      <c r="AD175" s="210"/>
      <c r="AE175" s="200"/>
      <c r="AF175" s="200"/>
      <c r="AG175" s="209"/>
      <c r="AH175" s="201"/>
      <c r="AI175" s="252"/>
      <c r="AJ175" s="252"/>
      <c r="AK175" s="209"/>
      <c r="AL175" s="200"/>
      <c r="AM175" s="210"/>
      <c r="AN175" s="210"/>
    </row>
    <row r="176" spans="1:40" x14ac:dyDescent="0.25">
      <c r="F176" s="211"/>
      <c r="H176" s="211"/>
      <c r="I176" s="211"/>
      <c r="J176" s="305"/>
      <c r="K176" s="305"/>
      <c r="L176" s="211"/>
      <c r="M176" s="211"/>
      <c r="N176" s="211"/>
      <c r="O176" s="211"/>
      <c r="P176" s="211"/>
      <c r="Q176" s="211"/>
      <c r="R176" s="211"/>
      <c r="V176" s="211"/>
      <c r="Y176" s="211"/>
      <c r="Z176" s="305"/>
      <c r="AA176" s="211"/>
      <c r="AB176" s="211"/>
      <c r="AC176" s="211"/>
      <c r="AD176" s="211"/>
      <c r="AE176" s="211"/>
      <c r="AF176" s="211"/>
      <c r="AI176" s="211"/>
      <c r="AJ176" s="211"/>
      <c r="AK176" s="212"/>
      <c r="AL176" s="211"/>
    </row>
    <row r="177" spans="1:40" x14ac:dyDescent="0.25">
      <c r="A177" s="202"/>
      <c r="D177" s="154"/>
      <c r="E177" s="154"/>
      <c r="F177" s="200"/>
      <c r="H177" s="200"/>
      <c r="I177" s="200"/>
      <c r="J177" s="213"/>
      <c r="K177" s="213"/>
      <c r="L177" s="200"/>
      <c r="M177" s="200"/>
      <c r="N177" s="210"/>
      <c r="O177" s="210"/>
      <c r="P177" s="200"/>
      <c r="Q177" s="200"/>
      <c r="R177" s="200"/>
      <c r="U177" s="154"/>
      <c r="V177" s="200"/>
      <c r="Y177" s="200"/>
      <c r="Z177" s="213"/>
      <c r="AA177" s="200"/>
      <c r="AB177" s="200"/>
      <c r="AC177" s="210"/>
      <c r="AD177" s="210"/>
      <c r="AE177" s="200"/>
      <c r="AF177" s="200"/>
      <c r="AG177" s="209"/>
      <c r="AH177" s="201"/>
      <c r="AI177" s="200"/>
      <c r="AJ177" s="200"/>
      <c r="AK177" s="209"/>
      <c r="AL177" s="200"/>
      <c r="AM177" s="210"/>
      <c r="AN177" s="210"/>
    </row>
    <row r="178" spans="1:40" x14ac:dyDescent="0.25">
      <c r="F178" s="211"/>
      <c r="H178" s="211"/>
      <c r="I178" s="211"/>
      <c r="J178" s="305"/>
      <c r="K178" s="305"/>
      <c r="L178" s="211"/>
      <c r="M178" s="211"/>
      <c r="N178" s="211"/>
      <c r="O178" s="211"/>
      <c r="P178" s="211"/>
      <c r="Q178" s="211"/>
      <c r="R178" s="211"/>
      <c r="V178" s="211"/>
      <c r="Y178" s="211"/>
      <c r="Z178" s="305"/>
      <c r="AA178" s="211"/>
      <c r="AB178" s="211"/>
      <c r="AC178" s="211"/>
      <c r="AD178" s="211"/>
      <c r="AE178" s="211"/>
      <c r="AF178" s="211"/>
      <c r="AI178" s="211"/>
      <c r="AJ178" s="211"/>
      <c r="AK178" s="212"/>
      <c r="AL178" s="211"/>
    </row>
    <row r="179" spans="1:40" x14ac:dyDescent="0.25">
      <c r="R179" s="200"/>
    </row>
    <row r="180" spans="1:40" x14ac:dyDescent="0.25">
      <c r="R180" s="200"/>
    </row>
    <row r="181" spans="1:40" x14ac:dyDescent="0.25">
      <c r="R181" s="200"/>
    </row>
    <row r="182" spans="1:40" x14ac:dyDescent="0.25">
      <c r="A182" s="202"/>
      <c r="C182" s="154"/>
      <c r="D182" s="154"/>
      <c r="E182" s="154"/>
      <c r="H182" s="200"/>
      <c r="I182" s="200"/>
      <c r="J182" s="213"/>
      <c r="K182" s="213"/>
      <c r="L182" s="200"/>
      <c r="M182" s="200"/>
      <c r="N182" s="210"/>
      <c r="O182" s="210"/>
      <c r="P182" s="200"/>
      <c r="Q182" s="200"/>
      <c r="R182" s="200"/>
      <c r="T182" s="154"/>
      <c r="U182" s="154"/>
      <c r="Y182" s="200"/>
      <c r="Z182" s="213"/>
      <c r="AA182" s="200"/>
      <c r="AB182" s="200"/>
      <c r="AC182" s="210"/>
      <c r="AD182" s="210"/>
    </row>
    <row r="183" spans="1:40" x14ac:dyDescent="0.25">
      <c r="H183" s="200"/>
      <c r="I183" s="200"/>
      <c r="J183" s="213"/>
      <c r="K183" s="213"/>
      <c r="L183" s="200"/>
      <c r="M183" s="200"/>
      <c r="N183" s="210"/>
      <c r="O183" s="210"/>
      <c r="P183" s="200"/>
      <c r="Q183" s="200"/>
      <c r="R183" s="200"/>
      <c r="Y183" s="200"/>
      <c r="Z183" s="213"/>
      <c r="AA183" s="200"/>
      <c r="AB183" s="200"/>
      <c r="AC183" s="210"/>
      <c r="AD183" s="210"/>
    </row>
    <row r="184" spans="1:40" x14ac:dyDescent="0.25">
      <c r="A184" s="202"/>
      <c r="C184" s="154"/>
      <c r="F184" s="252"/>
      <c r="H184" s="252"/>
      <c r="I184" s="252"/>
      <c r="J184" s="214"/>
      <c r="K184" s="214"/>
      <c r="L184" s="252"/>
      <c r="M184" s="252"/>
      <c r="N184" s="210"/>
      <c r="O184" s="210"/>
      <c r="P184" s="200"/>
      <c r="Q184" s="200"/>
      <c r="R184" s="200"/>
      <c r="T184" s="154"/>
      <c r="V184" s="200"/>
      <c r="Y184" s="200"/>
      <c r="Z184" s="214"/>
      <c r="AA184" s="200"/>
      <c r="AB184" s="200"/>
      <c r="AC184" s="210"/>
      <c r="AD184" s="210"/>
      <c r="AE184" s="200"/>
      <c r="AF184" s="200"/>
      <c r="AG184" s="209"/>
      <c r="AH184" s="201"/>
      <c r="AI184" s="200"/>
      <c r="AJ184" s="200"/>
      <c r="AK184" s="209"/>
      <c r="AL184" s="200"/>
      <c r="AM184" s="210"/>
      <c r="AN184" s="210"/>
    </row>
    <row r="185" spans="1:40" x14ac:dyDescent="0.25">
      <c r="F185" s="252"/>
      <c r="H185" s="317"/>
      <c r="I185" s="317"/>
      <c r="J185" s="317"/>
      <c r="K185" s="317"/>
      <c r="R185" s="200"/>
      <c r="V185" s="200"/>
      <c r="Z185" s="317"/>
    </row>
    <row r="186" spans="1:40" x14ac:dyDescent="0.25">
      <c r="A186" s="202"/>
      <c r="C186" s="154"/>
      <c r="F186" s="252"/>
      <c r="H186" s="252"/>
      <c r="I186" s="252"/>
      <c r="J186" s="300"/>
      <c r="K186" s="300"/>
      <c r="L186" s="200"/>
      <c r="M186" s="200"/>
      <c r="N186" s="210"/>
      <c r="O186" s="210"/>
      <c r="P186" s="200"/>
      <c r="Q186" s="200"/>
      <c r="R186" s="200"/>
      <c r="T186" s="154"/>
      <c r="V186" s="200"/>
      <c r="Y186" s="200"/>
      <c r="Z186" s="300"/>
      <c r="AA186" s="200"/>
      <c r="AB186" s="200"/>
      <c r="AC186" s="210"/>
      <c r="AD186" s="210"/>
      <c r="AE186" s="200"/>
      <c r="AF186" s="200"/>
      <c r="AG186" s="209"/>
      <c r="AH186" s="201"/>
      <c r="AI186" s="200"/>
      <c r="AJ186" s="200"/>
      <c r="AK186" s="209"/>
      <c r="AL186" s="200"/>
      <c r="AM186" s="210"/>
      <c r="AN186" s="210"/>
    </row>
    <row r="187" spans="1:40" x14ac:dyDescent="0.25">
      <c r="F187" s="252"/>
      <c r="H187" s="317"/>
      <c r="I187" s="317"/>
      <c r="J187" s="317"/>
      <c r="K187" s="317"/>
      <c r="R187" s="200"/>
      <c r="V187" s="200"/>
      <c r="Z187" s="317"/>
    </row>
    <row r="188" spans="1:40" x14ac:dyDescent="0.25">
      <c r="A188" s="202"/>
      <c r="C188" s="154"/>
      <c r="F188" s="252"/>
      <c r="H188" s="252"/>
      <c r="I188" s="252"/>
      <c r="J188" s="320"/>
      <c r="K188" s="320"/>
      <c r="L188" s="200"/>
      <c r="M188" s="200"/>
      <c r="N188" s="210"/>
      <c r="O188" s="210"/>
      <c r="P188" s="200"/>
      <c r="Q188" s="200"/>
      <c r="R188" s="200"/>
      <c r="T188" s="154"/>
      <c r="V188" s="200"/>
      <c r="Y188" s="200"/>
      <c r="Z188" s="304"/>
      <c r="AA188" s="200"/>
      <c r="AB188" s="200"/>
      <c r="AC188" s="210"/>
      <c r="AD188" s="210"/>
      <c r="AE188" s="200"/>
      <c r="AF188" s="200"/>
      <c r="AG188" s="209"/>
      <c r="AH188" s="201"/>
      <c r="AI188" s="200"/>
      <c r="AJ188" s="200"/>
      <c r="AK188" s="209"/>
      <c r="AL188" s="200"/>
      <c r="AM188" s="210"/>
      <c r="AN188" s="210"/>
    </row>
    <row r="189" spans="1:40" x14ac:dyDescent="0.25">
      <c r="F189" s="211"/>
      <c r="H189" s="211"/>
      <c r="I189" s="211"/>
      <c r="J189" s="305"/>
      <c r="K189" s="305"/>
      <c r="L189" s="211"/>
      <c r="M189" s="211"/>
      <c r="N189" s="211"/>
      <c r="O189" s="211"/>
      <c r="P189" s="211"/>
      <c r="Q189" s="211"/>
      <c r="R189" s="211"/>
      <c r="S189" s="200"/>
      <c r="V189" s="211"/>
      <c r="Y189" s="211"/>
      <c r="Z189" s="305"/>
      <c r="AA189" s="211"/>
      <c r="AB189" s="211"/>
      <c r="AC189" s="211"/>
      <c r="AD189" s="211"/>
      <c r="AE189" s="211"/>
      <c r="AF189" s="211"/>
      <c r="AI189" s="211"/>
      <c r="AJ189" s="211"/>
      <c r="AK189" s="212"/>
      <c r="AL189" s="211"/>
    </row>
    <row r="190" spans="1:40" x14ac:dyDescent="0.25">
      <c r="A190" s="202"/>
      <c r="D190" s="154"/>
      <c r="E190" s="154"/>
      <c r="F190" s="200"/>
      <c r="H190" s="200"/>
      <c r="I190" s="200"/>
      <c r="J190" s="213"/>
      <c r="K190" s="213"/>
      <c r="L190" s="200"/>
      <c r="M190" s="200"/>
      <c r="N190" s="210"/>
      <c r="O190" s="210"/>
      <c r="P190" s="252"/>
      <c r="Q190" s="252"/>
      <c r="R190" s="200"/>
      <c r="S190" s="200"/>
      <c r="U190" s="154"/>
      <c r="V190" s="200"/>
      <c r="Y190" s="200"/>
      <c r="Z190" s="213"/>
      <c r="AA190" s="200"/>
      <c r="AB190" s="200"/>
      <c r="AC190" s="210"/>
      <c r="AD190" s="210"/>
      <c r="AE190" s="200"/>
      <c r="AF190" s="200"/>
      <c r="AG190" s="209"/>
      <c r="AH190" s="201"/>
      <c r="AI190" s="252"/>
      <c r="AJ190" s="252"/>
      <c r="AK190" s="209"/>
      <c r="AL190" s="200"/>
      <c r="AM190" s="210"/>
      <c r="AN190" s="210"/>
    </row>
    <row r="191" spans="1:40" x14ac:dyDescent="0.25">
      <c r="F191" s="211"/>
      <c r="H191" s="211"/>
      <c r="I191" s="211"/>
      <c r="J191" s="305"/>
      <c r="K191" s="305"/>
      <c r="L191" s="211"/>
      <c r="M191" s="211"/>
      <c r="N191" s="211"/>
      <c r="O191" s="211"/>
      <c r="P191" s="211"/>
      <c r="Q191" s="211"/>
      <c r="R191" s="211"/>
      <c r="S191" s="200"/>
      <c r="V191" s="211"/>
      <c r="Y191" s="211"/>
      <c r="Z191" s="305"/>
      <c r="AA191" s="211"/>
      <c r="AB191" s="211"/>
      <c r="AC191" s="211"/>
      <c r="AD191" s="211"/>
      <c r="AE191" s="211"/>
      <c r="AF191" s="211"/>
      <c r="AI191" s="211"/>
      <c r="AJ191" s="211"/>
      <c r="AK191" s="212"/>
      <c r="AL191" s="211"/>
    </row>
    <row r="192" spans="1:40" x14ac:dyDescent="0.25">
      <c r="R192" s="200"/>
    </row>
    <row r="193" spans="1:40" x14ac:dyDescent="0.25">
      <c r="F193" s="200"/>
      <c r="H193" s="200"/>
      <c r="I193" s="200"/>
      <c r="J193" s="213"/>
      <c r="K193" s="213"/>
      <c r="L193" s="200"/>
      <c r="M193" s="200"/>
      <c r="N193" s="200"/>
      <c r="O193" s="200"/>
      <c r="P193" s="200"/>
      <c r="Q193" s="200"/>
      <c r="R193" s="200"/>
      <c r="V193" s="200"/>
      <c r="Y193" s="200"/>
      <c r="Z193" s="213"/>
      <c r="AA193" s="200"/>
      <c r="AB193" s="200"/>
      <c r="AC193" s="200"/>
      <c r="AD193" s="200"/>
    </row>
    <row r="194" spans="1:40" x14ac:dyDescent="0.25">
      <c r="C194" s="154"/>
      <c r="F194" s="200"/>
      <c r="H194" s="200"/>
      <c r="I194" s="200"/>
      <c r="J194" s="213"/>
      <c r="K194" s="213"/>
      <c r="L194" s="200"/>
      <c r="M194" s="200"/>
      <c r="N194" s="200"/>
      <c r="O194" s="200"/>
      <c r="P194" s="200"/>
      <c r="Q194" s="200"/>
      <c r="R194" s="200"/>
      <c r="T194" s="154"/>
      <c r="V194" s="200"/>
      <c r="Y194" s="200"/>
      <c r="Z194" s="213"/>
      <c r="AA194" s="200"/>
      <c r="AB194" s="200"/>
      <c r="AC194" s="200"/>
      <c r="AD194" s="200"/>
    </row>
    <row r="195" spans="1:40" x14ac:dyDescent="0.25">
      <c r="C195" s="154"/>
      <c r="T195" s="154"/>
    </row>
    <row r="196" spans="1:40" x14ac:dyDescent="0.25">
      <c r="A196" s="154"/>
    </row>
    <row r="198" spans="1:40" x14ac:dyDescent="0.25">
      <c r="J198" s="202"/>
      <c r="K198" s="202"/>
      <c r="Z198" s="202"/>
    </row>
    <row r="199" spans="1:40" x14ac:dyDescent="0.25">
      <c r="H199" s="154"/>
      <c r="I199" s="154"/>
      <c r="Y199" s="154"/>
    </row>
    <row r="200" spans="1:40" x14ac:dyDescent="0.25">
      <c r="J200" s="202"/>
      <c r="K200" s="202"/>
      <c r="Z200" s="202"/>
    </row>
    <row r="201" spans="1:40" x14ac:dyDescent="0.25">
      <c r="L201" s="154"/>
      <c r="M201" s="154"/>
      <c r="AA201" s="154"/>
      <c r="AB201" s="154"/>
    </row>
    <row r="202" spans="1:40" x14ac:dyDescent="0.25">
      <c r="A202" s="202"/>
      <c r="R202" s="154"/>
      <c r="AK202" s="297"/>
      <c r="AL202" s="154"/>
    </row>
    <row r="203" spans="1:40" x14ac:dyDescent="0.25">
      <c r="A203" s="202"/>
      <c r="R203" s="154"/>
      <c r="AK203" s="297"/>
      <c r="AL203" s="154"/>
    </row>
    <row r="204" spans="1:40" x14ac:dyDescent="0.25">
      <c r="A204" s="154"/>
      <c r="R204" s="154"/>
      <c r="AK204" s="297"/>
      <c r="AL204" s="154"/>
    </row>
    <row r="205" spans="1:40" x14ac:dyDescent="0.25">
      <c r="L205" s="154"/>
      <c r="M205" s="154"/>
      <c r="R205" s="202"/>
      <c r="AA205" s="154"/>
      <c r="AB205" s="154"/>
      <c r="AK205" s="209"/>
      <c r="AL205" s="202"/>
    </row>
    <row r="206" spans="1:40" x14ac:dyDescent="0.25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208"/>
      <c r="AH206" s="102"/>
      <c r="AI206" s="102"/>
      <c r="AJ206" s="102"/>
      <c r="AK206" s="208"/>
      <c r="AL206" s="102"/>
      <c r="AM206" s="102"/>
      <c r="AN206" s="102"/>
    </row>
    <row r="207" spans="1:40" x14ac:dyDescent="0.25">
      <c r="L207" s="103"/>
      <c r="M207" s="103"/>
      <c r="N207" s="103"/>
      <c r="O207" s="103"/>
      <c r="R207" s="103"/>
      <c r="AA207" s="103"/>
      <c r="AB207" s="103"/>
      <c r="AC207" s="103"/>
      <c r="AD207" s="103"/>
      <c r="AE207" s="103"/>
      <c r="AF207" s="103"/>
      <c r="AG207" s="185"/>
      <c r="AH207" s="103"/>
      <c r="AK207" s="185"/>
      <c r="AL207" s="103"/>
      <c r="AM207" s="103"/>
      <c r="AN207" s="103"/>
    </row>
    <row r="208" spans="1:40" x14ac:dyDescent="0.25">
      <c r="L208" s="103"/>
      <c r="M208" s="103"/>
      <c r="N208" s="103"/>
      <c r="O208" s="103"/>
      <c r="R208" s="103"/>
      <c r="Z208" s="103"/>
      <c r="AA208" s="103"/>
      <c r="AB208" s="103"/>
      <c r="AC208" s="103"/>
      <c r="AD208" s="103"/>
      <c r="AE208" s="103"/>
      <c r="AF208" s="103"/>
      <c r="AG208" s="185"/>
      <c r="AH208" s="103"/>
      <c r="AK208" s="185"/>
      <c r="AL208" s="103"/>
      <c r="AM208" s="103"/>
      <c r="AN208" s="103"/>
    </row>
    <row r="209" spans="1:40" x14ac:dyDescent="0.25">
      <c r="A209" s="103"/>
      <c r="C209" s="103"/>
      <c r="D209" s="103"/>
      <c r="E209" s="103"/>
      <c r="F209" s="103"/>
      <c r="J209" s="103"/>
      <c r="K209" s="103"/>
      <c r="L209" s="103"/>
      <c r="M209" s="103"/>
      <c r="N209" s="103"/>
      <c r="O209" s="103"/>
      <c r="P209" s="103"/>
      <c r="Q209" s="103"/>
      <c r="R209" s="103"/>
      <c r="T209" s="103"/>
      <c r="U209" s="103"/>
      <c r="V209" s="103"/>
      <c r="Z209" s="103"/>
      <c r="AA209" s="103"/>
      <c r="AB209" s="103"/>
      <c r="AC209" s="103"/>
      <c r="AD209" s="103"/>
      <c r="AE209" s="103"/>
      <c r="AF209" s="103"/>
      <c r="AG209" s="185"/>
      <c r="AH209" s="103"/>
      <c r="AI209" s="103"/>
      <c r="AJ209" s="103"/>
      <c r="AK209" s="185"/>
      <c r="AL209" s="103"/>
      <c r="AM209" s="103"/>
      <c r="AN209" s="103"/>
    </row>
    <row r="210" spans="1:40" x14ac:dyDescent="0.25">
      <c r="A210" s="103"/>
      <c r="C210" s="103"/>
      <c r="D210" s="103"/>
      <c r="E210" s="103"/>
      <c r="F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T210" s="103"/>
      <c r="U210" s="103"/>
      <c r="V210" s="103"/>
      <c r="Y210" s="103"/>
      <c r="Z210" s="103"/>
      <c r="AA210" s="103"/>
      <c r="AB210" s="103"/>
      <c r="AC210" s="103"/>
      <c r="AD210" s="103"/>
      <c r="AE210" s="103"/>
      <c r="AF210" s="103"/>
      <c r="AG210" s="185"/>
      <c r="AH210" s="103"/>
      <c r="AI210" s="103"/>
      <c r="AJ210" s="103"/>
      <c r="AK210" s="185"/>
      <c r="AL210" s="103"/>
      <c r="AM210" s="103"/>
      <c r="AN210" s="103"/>
    </row>
    <row r="211" spans="1:40" x14ac:dyDescent="0.25">
      <c r="C211" s="103"/>
      <c r="D211" s="103"/>
      <c r="E211" s="103"/>
      <c r="F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T211" s="103"/>
      <c r="U211" s="103"/>
      <c r="V211" s="103"/>
      <c r="Y211" s="103"/>
      <c r="Z211" s="103"/>
      <c r="AA211" s="103"/>
      <c r="AB211" s="103"/>
      <c r="AC211" s="103"/>
      <c r="AD211" s="103"/>
      <c r="AE211" s="103"/>
      <c r="AF211" s="103"/>
      <c r="AG211" s="185"/>
      <c r="AH211" s="103"/>
      <c r="AI211" s="103"/>
      <c r="AJ211" s="103"/>
      <c r="AK211" s="185"/>
      <c r="AL211" s="103"/>
      <c r="AM211" s="103"/>
      <c r="AN211" s="103"/>
    </row>
    <row r="212" spans="1:40" x14ac:dyDescent="0.25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208"/>
      <c r="AH212" s="102"/>
      <c r="AI212" s="102"/>
      <c r="AJ212" s="102"/>
      <c r="AK212" s="208"/>
      <c r="AL212" s="102"/>
      <c r="AM212" s="102"/>
      <c r="AN212" s="102"/>
    </row>
    <row r="213" spans="1:40" x14ac:dyDescent="0.25"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Y213" s="103"/>
      <c r="Z213" s="103"/>
      <c r="AA213" s="103"/>
      <c r="AB213" s="103"/>
      <c r="AC213" s="103"/>
      <c r="AD213" s="103"/>
      <c r="AE213" s="103"/>
      <c r="AF213" s="103"/>
      <c r="AG213" s="185"/>
      <c r="AH213" s="103"/>
      <c r="AI213" s="103"/>
      <c r="AJ213" s="103"/>
      <c r="AK213" s="185"/>
      <c r="AL213" s="103"/>
      <c r="AM213" s="103"/>
      <c r="AN213" s="103"/>
    </row>
    <row r="214" spans="1:40" x14ac:dyDescent="0.25">
      <c r="A214" s="202"/>
      <c r="C214" s="154"/>
      <c r="D214" s="154"/>
      <c r="E214" s="154"/>
      <c r="T214" s="154"/>
      <c r="U214" s="154"/>
    </row>
    <row r="215" spans="1:40" x14ac:dyDescent="0.25">
      <c r="A215" s="202"/>
      <c r="D215" s="154"/>
      <c r="E215" s="154"/>
      <c r="U215" s="154"/>
    </row>
    <row r="217" spans="1:40" x14ac:dyDescent="0.25">
      <c r="A217" s="202"/>
      <c r="C217" s="154"/>
      <c r="F217" s="200"/>
      <c r="J217" s="215"/>
      <c r="K217" s="215"/>
      <c r="L217" s="200"/>
      <c r="M217" s="200"/>
      <c r="R217" s="200"/>
      <c r="T217" s="154"/>
      <c r="V217" s="200"/>
      <c r="Z217" s="215"/>
      <c r="AA217" s="200"/>
      <c r="AB217" s="200"/>
      <c r="AK217" s="209"/>
      <c r="AL217" s="200"/>
    </row>
    <row r="218" spans="1:40" x14ac:dyDescent="0.25">
      <c r="F218" s="200"/>
      <c r="R218" s="200"/>
      <c r="V218" s="200"/>
      <c r="AK218" s="209"/>
      <c r="AL218" s="200"/>
    </row>
    <row r="219" spans="1:40" x14ac:dyDescent="0.25">
      <c r="A219" s="202"/>
      <c r="C219" s="154"/>
      <c r="F219" s="252"/>
      <c r="H219" s="252"/>
      <c r="I219" s="252"/>
      <c r="J219" s="300"/>
      <c r="K219" s="300"/>
      <c r="L219" s="200"/>
      <c r="M219" s="200"/>
      <c r="N219" s="210"/>
      <c r="O219" s="210"/>
      <c r="P219" s="200"/>
      <c r="Q219" s="200"/>
      <c r="R219" s="200"/>
      <c r="T219" s="154"/>
      <c r="V219" s="200"/>
      <c r="Y219" s="200"/>
      <c r="Z219" s="300"/>
      <c r="AA219" s="200"/>
      <c r="AB219" s="200"/>
      <c r="AC219" s="210"/>
      <c r="AD219" s="210"/>
      <c r="AE219" s="200"/>
      <c r="AF219" s="200"/>
      <c r="AG219" s="209"/>
      <c r="AH219" s="201"/>
      <c r="AI219" s="200"/>
      <c r="AJ219" s="200"/>
      <c r="AK219" s="209"/>
      <c r="AL219" s="200"/>
      <c r="AM219" s="210"/>
      <c r="AN219" s="210"/>
    </row>
    <row r="220" spans="1:40" x14ac:dyDescent="0.25">
      <c r="A220" s="202"/>
      <c r="C220" s="154"/>
      <c r="F220" s="252"/>
      <c r="H220" s="317"/>
      <c r="I220" s="317"/>
      <c r="J220" s="300"/>
      <c r="K220" s="300"/>
      <c r="L220" s="200"/>
      <c r="M220" s="200"/>
      <c r="N220" s="210"/>
      <c r="O220" s="210"/>
      <c r="P220" s="200"/>
      <c r="Q220" s="200"/>
      <c r="R220" s="200"/>
      <c r="T220" s="154"/>
      <c r="V220" s="200"/>
      <c r="Y220" s="200"/>
      <c r="Z220" s="300"/>
      <c r="AA220" s="200"/>
      <c r="AB220" s="200"/>
      <c r="AC220" s="210"/>
      <c r="AD220" s="210"/>
      <c r="AE220" s="200"/>
      <c r="AF220" s="200"/>
      <c r="AG220" s="209"/>
      <c r="AH220" s="201"/>
      <c r="AI220" s="200"/>
      <c r="AJ220" s="200"/>
      <c r="AK220" s="209"/>
      <c r="AL220" s="200"/>
      <c r="AM220" s="210"/>
      <c r="AN220" s="210"/>
    </row>
    <row r="221" spans="1:40" x14ac:dyDescent="0.25">
      <c r="F221" s="211"/>
      <c r="H221" s="200"/>
      <c r="I221" s="200"/>
      <c r="J221" s="305"/>
      <c r="K221" s="305"/>
      <c r="L221" s="211"/>
      <c r="M221" s="211"/>
      <c r="N221" s="211"/>
      <c r="O221" s="211"/>
      <c r="P221" s="211"/>
      <c r="Q221" s="211"/>
      <c r="R221" s="211"/>
      <c r="V221" s="211"/>
      <c r="Y221" s="200"/>
      <c r="Z221" s="305"/>
      <c r="AA221" s="211"/>
      <c r="AB221" s="211"/>
      <c r="AC221" s="211"/>
      <c r="AD221" s="211"/>
      <c r="AE221" s="211"/>
      <c r="AF221" s="211"/>
      <c r="AI221" s="211"/>
      <c r="AJ221" s="211"/>
      <c r="AK221" s="212"/>
      <c r="AL221" s="211"/>
    </row>
    <row r="222" spans="1:40" x14ac:dyDescent="0.25">
      <c r="A222" s="202"/>
      <c r="C222" s="154"/>
      <c r="F222" s="200"/>
      <c r="H222" s="200"/>
      <c r="I222" s="200"/>
      <c r="J222" s="213"/>
      <c r="K222" s="213"/>
      <c r="L222" s="200"/>
      <c r="M222" s="200"/>
      <c r="N222" s="210"/>
      <c r="O222" s="210"/>
      <c r="P222" s="200"/>
      <c r="Q222" s="200"/>
      <c r="R222" s="200"/>
      <c r="T222" s="154"/>
      <c r="V222" s="200"/>
      <c r="Y222" s="200"/>
      <c r="Z222" s="213"/>
      <c r="AA222" s="200"/>
      <c r="AB222" s="200"/>
      <c r="AC222" s="210"/>
      <c r="AD222" s="210"/>
      <c r="AE222" s="200"/>
      <c r="AF222" s="200"/>
      <c r="AG222" s="209"/>
      <c r="AH222" s="201"/>
      <c r="AI222" s="200"/>
      <c r="AJ222" s="200"/>
      <c r="AK222" s="209"/>
      <c r="AL222" s="200"/>
      <c r="AM222" s="210"/>
      <c r="AN222" s="210"/>
    </row>
    <row r="223" spans="1:40" x14ac:dyDescent="0.25">
      <c r="F223" s="211"/>
      <c r="H223" s="200"/>
      <c r="I223" s="200"/>
      <c r="J223" s="305"/>
      <c r="K223" s="305"/>
      <c r="L223" s="211"/>
      <c r="M223" s="211"/>
      <c r="N223" s="211"/>
      <c r="O223" s="211"/>
      <c r="P223" s="211"/>
      <c r="Q223" s="211"/>
      <c r="R223" s="211"/>
      <c r="V223" s="211"/>
      <c r="Y223" s="200"/>
      <c r="Z223" s="305"/>
      <c r="AA223" s="211"/>
      <c r="AB223" s="211"/>
      <c r="AC223" s="211"/>
      <c r="AD223" s="211"/>
      <c r="AE223" s="211"/>
      <c r="AF223" s="211"/>
      <c r="AI223" s="211"/>
      <c r="AJ223" s="211"/>
      <c r="AK223" s="212"/>
      <c r="AL223" s="211"/>
    </row>
    <row r="224" spans="1:40" x14ac:dyDescent="0.25">
      <c r="F224" s="200"/>
      <c r="R224" s="200"/>
      <c r="V224" s="200"/>
      <c r="AK224" s="209"/>
      <c r="AL224" s="200"/>
    </row>
    <row r="225" spans="1:40" x14ac:dyDescent="0.25">
      <c r="A225" s="202"/>
      <c r="C225" s="154"/>
      <c r="F225" s="200"/>
      <c r="R225" s="200"/>
      <c r="T225" s="154"/>
      <c r="V225" s="200"/>
      <c r="AK225" s="209"/>
      <c r="AL225" s="200"/>
    </row>
    <row r="226" spans="1:40" x14ac:dyDescent="0.25">
      <c r="F226" s="200"/>
      <c r="R226" s="200"/>
      <c r="V226" s="200"/>
      <c r="AK226" s="209"/>
      <c r="AL226" s="200"/>
    </row>
    <row r="227" spans="1:40" x14ac:dyDescent="0.25">
      <c r="A227" s="202"/>
      <c r="C227" s="154"/>
      <c r="F227" s="200"/>
      <c r="H227" s="252"/>
      <c r="I227" s="252"/>
      <c r="J227" s="320"/>
      <c r="K227" s="320"/>
      <c r="L227" s="200"/>
      <c r="M227" s="200"/>
      <c r="N227" s="210"/>
      <c r="O227" s="210"/>
      <c r="P227" s="252"/>
      <c r="Q227" s="252"/>
      <c r="R227" s="200"/>
      <c r="T227" s="154"/>
      <c r="V227" s="200"/>
      <c r="Y227" s="200"/>
      <c r="Z227" s="304"/>
      <c r="AA227" s="200"/>
      <c r="AB227" s="200"/>
      <c r="AC227" s="210"/>
      <c r="AD227" s="210"/>
      <c r="AE227" s="200"/>
      <c r="AF227" s="200"/>
      <c r="AG227" s="209"/>
      <c r="AH227" s="201"/>
      <c r="AI227" s="252"/>
      <c r="AJ227" s="252"/>
      <c r="AK227" s="209"/>
      <c r="AL227" s="200"/>
      <c r="AM227" s="210"/>
      <c r="AN227" s="210"/>
    </row>
    <row r="228" spans="1:40" x14ac:dyDescent="0.25">
      <c r="H228" s="211"/>
      <c r="I228" s="211"/>
      <c r="J228" s="305"/>
      <c r="K228" s="305"/>
      <c r="L228" s="211"/>
      <c r="M228" s="211"/>
      <c r="N228" s="211"/>
      <c r="O228" s="211"/>
      <c r="P228" s="211"/>
      <c r="Q228" s="211"/>
      <c r="R228" s="211"/>
      <c r="V228" s="211"/>
      <c r="Y228" s="211"/>
      <c r="Z228" s="305"/>
      <c r="AA228" s="211"/>
      <c r="AB228" s="211"/>
      <c r="AC228" s="211"/>
      <c r="AD228" s="211"/>
      <c r="AE228" s="211"/>
      <c r="AF228" s="211"/>
      <c r="AI228" s="211"/>
      <c r="AJ228" s="211"/>
      <c r="AK228" s="212"/>
      <c r="AL228" s="211"/>
    </row>
    <row r="229" spans="1:40" x14ac:dyDescent="0.25">
      <c r="F229" s="211"/>
    </row>
    <row r="230" spans="1:40" x14ac:dyDescent="0.25">
      <c r="A230" s="202"/>
      <c r="C230" s="154"/>
      <c r="F230" s="200"/>
      <c r="H230" s="200"/>
      <c r="I230" s="200"/>
      <c r="J230" s="215"/>
      <c r="K230" s="215"/>
      <c r="L230" s="200"/>
      <c r="M230" s="200"/>
      <c r="N230" s="210"/>
      <c r="O230" s="210"/>
      <c r="P230" s="200"/>
      <c r="Q230" s="200"/>
      <c r="R230" s="200"/>
      <c r="T230" s="154"/>
      <c r="V230" s="200"/>
      <c r="Y230" s="200"/>
      <c r="Z230" s="215"/>
      <c r="AA230" s="200"/>
      <c r="AB230" s="200"/>
      <c r="AC230" s="210"/>
      <c r="AD230" s="210"/>
      <c r="AE230" s="200"/>
      <c r="AF230" s="200"/>
      <c r="AG230" s="209"/>
      <c r="AH230" s="201"/>
      <c r="AI230" s="200"/>
      <c r="AJ230" s="200"/>
      <c r="AK230" s="209"/>
      <c r="AL230" s="200"/>
      <c r="AM230" s="210"/>
      <c r="AN230" s="210"/>
    </row>
    <row r="231" spans="1:40" x14ac:dyDescent="0.25">
      <c r="F231" s="211"/>
      <c r="H231" s="211"/>
      <c r="I231" s="211"/>
      <c r="J231" s="305"/>
      <c r="K231" s="305"/>
      <c r="L231" s="211"/>
      <c r="M231" s="211"/>
      <c r="N231" s="211"/>
      <c r="O231" s="211"/>
      <c r="P231" s="211"/>
      <c r="Q231" s="211"/>
      <c r="R231" s="211"/>
      <c r="V231" s="211"/>
      <c r="Y231" s="211"/>
      <c r="Z231" s="305"/>
      <c r="AA231" s="211"/>
      <c r="AB231" s="211"/>
      <c r="AC231" s="211"/>
      <c r="AD231" s="211"/>
      <c r="AE231" s="211"/>
      <c r="AF231" s="211"/>
      <c r="AI231" s="211"/>
      <c r="AJ231" s="211"/>
      <c r="AK231" s="212"/>
      <c r="AL231" s="211"/>
    </row>
    <row r="232" spans="1:40" x14ac:dyDescent="0.25">
      <c r="R232" s="200"/>
      <c r="AG232" s="209"/>
      <c r="AH232" s="200"/>
    </row>
    <row r="233" spans="1:40" x14ac:dyDescent="0.25">
      <c r="F233" s="200"/>
      <c r="H233" s="200"/>
      <c r="I233" s="200"/>
      <c r="J233" s="213"/>
      <c r="K233" s="213"/>
      <c r="L233" s="200"/>
      <c r="M233" s="200"/>
      <c r="N233" s="200"/>
      <c r="O233" s="200"/>
      <c r="P233" s="200"/>
      <c r="Q233" s="200"/>
      <c r="R233" s="200"/>
      <c r="V233" s="200"/>
      <c r="Y233" s="200"/>
      <c r="Z233" s="213"/>
      <c r="AA233" s="200"/>
      <c r="AB233" s="200"/>
      <c r="AC233" s="200"/>
      <c r="AD233" s="200"/>
      <c r="AE233" s="200"/>
      <c r="AF233" s="200"/>
      <c r="AG233" s="209"/>
      <c r="AH233" s="200"/>
    </row>
    <row r="234" spans="1:40" x14ac:dyDescent="0.25">
      <c r="C234" s="154"/>
      <c r="F234" s="200"/>
      <c r="H234" s="200"/>
      <c r="I234" s="200"/>
      <c r="J234" s="213"/>
      <c r="K234" s="213"/>
      <c r="L234" s="200"/>
      <c r="M234" s="200"/>
      <c r="N234" s="200"/>
      <c r="O234" s="200"/>
      <c r="P234" s="200"/>
      <c r="Q234" s="200"/>
      <c r="R234" s="200"/>
      <c r="T234" s="154"/>
      <c r="V234" s="200"/>
      <c r="Y234" s="200"/>
      <c r="Z234" s="213"/>
      <c r="AA234" s="200"/>
      <c r="AB234" s="200"/>
      <c r="AC234" s="200"/>
      <c r="AD234" s="200"/>
      <c r="AE234" s="200"/>
      <c r="AF234" s="200"/>
      <c r="AG234" s="209"/>
      <c r="AH234" s="200"/>
    </row>
    <row r="235" spans="1:40" x14ac:dyDescent="0.25">
      <c r="A235" s="154"/>
    </row>
    <row r="237" spans="1:40" x14ac:dyDescent="0.25">
      <c r="J237" s="202"/>
      <c r="K237" s="202"/>
      <c r="Z237" s="202"/>
    </row>
    <row r="238" spans="1:40" x14ac:dyDescent="0.25">
      <c r="H238" s="154"/>
      <c r="I238" s="154"/>
      <c r="Y238" s="154"/>
    </row>
    <row r="239" spans="1:40" x14ac:dyDescent="0.25">
      <c r="J239" s="202"/>
      <c r="K239" s="202"/>
      <c r="Z239" s="202"/>
    </row>
    <row r="240" spans="1:40" x14ac:dyDescent="0.25">
      <c r="L240" s="154"/>
      <c r="M240" s="154"/>
      <c r="AA240" s="154"/>
      <c r="AB240" s="154"/>
    </row>
    <row r="241" spans="1:40" x14ac:dyDescent="0.25">
      <c r="A241" s="202"/>
      <c r="R241" s="154"/>
      <c r="AK241" s="297"/>
      <c r="AL241" s="154"/>
    </row>
    <row r="242" spans="1:40" x14ac:dyDescent="0.25">
      <c r="A242" s="202"/>
      <c r="R242" s="154"/>
      <c r="AK242" s="297"/>
      <c r="AL242" s="154"/>
    </row>
    <row r="243" spans="1:40" x14ac:dyDescent="0.25">
      <c r="A243" s="154"/>
      <c r="R243" s="154"/>
      <c r="AK243" s="297"/>
      <c r="AL243" s="154"/>
    </row>
    <row r="244" spans="1:40" x14ac:dyDescent="0.25">
      <c r="L244" s="154"/>
      <c r="M244" s="154"/>
      <c r="R244" s="202"/>
      <c r="AA244" s="154"/>
      <c r="AB244" s="154"/>
      <c r="AK244" s="209"/>
      <c r="AL244" s="202"/>
    </row>
    <row r="245" spans="1:40" x14ac:dyDescent="0.25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208"/>
      <c r="AH245" s="102"/>
      <c r="AI245" s="102"/>
      <c r="AJ245" s="102"/>
      <c r="AK245" s="208"/>
      <c r="AL245" s="102"/>
      <c r="AM245" s="102"/>
      <c r="AN245" s="102"/>
    </row>
    <row r="246" spans="1:40" x14ac:dyDescent="0.25">
      <c r="L246" s="103"/>
      <c r="M246" s="103"/>
      <c r="N246" s="103"/>
      <c r="O246" s="103"/>
      <c r="R246" s="103"/>
      <c r="AA246" s="103"/>
      <c r="AB246" s="103"/>
      <c r="AC246" s="103"/>
      <c r="AD246" s="103"/>
      <c r="AE246" s="103"/>
      <c r="AF246" s="103"/>
      <c r="AG246" s="185"/>
      <c r="AH246" s="103"/>
      <c r="AK246" s="185"/>
      <c r="AL246" s="103"/>
      <c r="AM246" s="103"/>
      <c r="AN246" s="103"/>
    </row>
    <row r="247" spans="1:40" x14ac:dyDescent="0.25">
      <c r="L247" s="103"/>
      <c r="M247" s="103"/>
      <c r="N247" s="103"/>
      <c r="O247" s="103"/>
      <c r="R247" s="103"/>
      <c r="Z247" s="103"/>
      <c r="AA247" s="103"/>
      <c r="AB247" s="103"/>
      <c r="AC247" s="103"/>
      <c r="AD247" s="103"/>
      <c r="AE247" s="103"/>
      <c r="AF247" s="103"/>
      <c r="AG247" s="185"/>
      <c r="AH247" s="103"/>
      <c r="AK247" s="185"/>
      <c r="AL247" s="103"/>
      <c r="AM247" s="103"/>
      <c r="AN247" s="103"/>
    </row>
    <row r="248" spans="1:40" x14ac:dyDescent="0.25">
      <c r="A248" s="103"/>
      <c r="C248" s="103"/>
      <c r="D248" s="103"/>
      <c r="E248" s="103"/>
      <c r="F248" s="103"/>
      <c r="J248" s="103"/>
      <c r="K248" s="103"/>
      <c r="L248" s="103"/>
      <c r="M248" s="103"/>
      <c r="N248" s="103"/>
      <c r="O248" s="103"/>
      <c r="P248" s="103"/>
      <c r="Q248" s="103"/>
      <c r="R248" s="103"/>
      <c r="T248" s="103"/>
      <c r="U248" s="103"/>
      <c r="V248" s="103"/>
      <c r="Z248" s="103"/>
      <c r="AA248" s="103"/>
      <c r="AB248" s="103"/>
      <c r="AC248" s="103"/>
      <c r="AD248" s="103"/>
      <c r="AE248" s="103"/>
      <c r="AF248" s="103"/>
      <c r="AG248" s="185"/>
      <c r="AH248" s="103"/>
      <c r="AI248" s="103"/>
      <c r="AJ248" s="103"/>
      <c r="AK248" s="185"/>
      <c r="AL248" s="103"/>
      <c r="AM248" s="103"/>
      <c r="AN248" s="103"/>
    </row>
    <row r="249" spans="1:40" x14ac:dyDescent="0.25">
      <c r="A249" s="103"/>
      <c r="C249" s="103"/>
      <c r="D249" s="103"/>
      <c r="E249" s="103"/>
      <c r="F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T249" s="103"/>
      <c r="U249" s="103"/>
      <c r="V249" s="103"/>
      <c r="Y249" s="103"/>
      <c r="Z249" s="103"/>
      <c r="AA249" s="103"/>
      <c r="AB249" s="103"/>
      <c r="AC249" s="103"/>
      <c r="AD249" s="103"/>
      <c r="AE249" s="103"/>
      <c r="AF249" s="103"/>
      <c r="AG249" s="185"/>
      <c r="AH249" s="103"/>
      <c r="AI249" s="103"/>
      <c r="AJ249" s="103"/>
      <c r="AK249" s="185"/>
      <c r="AL249" s="103"/>
      <c r="AM249" s="103"/>
      <c r="AN249" s="103"/>
    </row>
    <row r="250" spans="1:40" x14ac:dyDescent="0.25">
      <c r="C250" s="103"/>
      <c r="D250" s="103"/>
      <c r="E250" s="103"/>
      <c r="F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T250" s="103"/>
      <c r="U250" s="103"/>
      <c r="V250" s="103"/>
      <c r="Y250" s="103"/>
      <c r="Z250" s="103"/>
      <c r="AA250" s="103"/>
      <c r="AB250" s="103"/>
      <c r="AC250" s="103"/>
      <c r="AD250" s="103"/>
      <c r="AE250" s="103"/>
      <c r="AF250" s="103"/>
      <c r="AG250" s="185"/>
      <c r="AH250" s="103"/>
      <c r="AI250" s="103"/>
      <c r="AJ250" s="103"/>
      <c r="AK250" s="185"/>
      <c r="AL250" s="103"/>
      <c r="AM250" s="103"/>
      <c r="AN250" s="103"/>
    </row>
    <row r="251" spans="1:40" x14ac:dyDescent="0.25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208"/>
      <c r="AH251" s="102"/>
      <c r="AI251" s="102"/>
      <c r="AJ251" s="102"/>
      <c r="AK251" s="208"/>
      <c r="AL251" s="102"/>
      <c r="AM251" s="102"/>
      <c r="AN251" s="102"/>
    </row>
    <row r="252" spans="1:40" x14ac:dyDescent="0.25"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Y252" s="103"/>
      <c r="Z252" s="103"/>
      <c r="AA252" s="103"/>
      <c r="AB252" s="103"/>
      <c r="AC252" s="103"/>
      <c r="AD252" s="103"/>
      <c r="AE252" s="103"/>
      <c r="AF252" s="103"/>
      <c r="AG252" s="185"/>
      <c r="AH252" s="103"/>
      <c r="AI252" s="103"/>
      <c r="AJ252" s="103"/>
      <c r="AK252" s="185"/>
      <c r="AL252" s="103"/>
      <c r="AM252" s="103"/>
      <c r="AN252" s="103"/>
    </row>
    <row r="253" spans="1:40" x14ac:dyDescent="0.25">
      <c r="A253" s="202"/>
      <c r="C253" s="154"/>
      <c r="D253" s="154"/>
      <c r="E253" s="154"/>
      <c r="T253" s="154"/>
      <c r="U253" s="154"/>
    </row>
    <row r="254" spans="1:40" x14ac:dyDescent="0.25">
      <c r="A254" s="202"/>
      <c r="C254" s="154"/>
      <c r="T254" s="154"/>
    </row>
    <row r="256" spans="1:40" x14ac:dyDescent="0.25">
      <c r="A256" s="202"/>
      <c r="C256" s="154"/>
      <c r="F256" s="252"/>
      <c r="H256" s="252"/>
      <c r="I256" s="252"/>
      <c r="J256" s="300"/>
      <c r="K256" s="300"/>
      <c r="L256" s="200"/>
      <c r="M256" s="200"/>
      <c r="N256" s="210"/>
      <c r="O256" s="210"/>
      <c r="P256" s="202"/>
      <c r="Q256" s="202"/>
      <c r="R256" s="200"/>
      <c r="T256" s="154"/>
      <c r="V256" s="200"/>
      <c r="Y256" s="252"/>
      <c r="Z256" s="300"/>
      <c r="AA256" s="200"/>
      <c r="AB256" s="200"/>
      <c r="AC256" s="210"/>
      <c r="AD256" s="210"/>
      <c r="AE256" s="200"/>
      <c r="AF256" s="200"/>
      <c r="AG256" s="209"/>
      <c r="AH256" s="201"/>
      <c r="AI256" s="202"/>
      <c r="AJ256" s="202"/>
      <c r="AK256" s="209"/>
      <c r="AL256" s="200"/>
      <c r="AM256" s="210"/>
      <c r="AN256" s="210"/>
    </row>
    <row r="257" spans="1:40" x14ac:dyDescent="0.25">
      <c r="F257" s="211"/>
      <c r="H257" s="200"/>
      <c r="I257" s="200"/>
      <c r="J257" s="305"/>
      <c r="K257" s="305"/>
      <c r="L257" s="211"/>
      <c r="M257" s="211"/>
      <c r="N257" s="211"/>
      <c r="O257" s="211"/>
      <c r="P257" s="211"/>
      <c r="Q257" s="211"/>
      <c r="R257" s="211"/>
      <c r="V257" s="211"/>
      <c r="Y257" s="200"/>
      <c r="Z257" s="305"/>
      <c r="AA257" s="211"/>
      <c r="AB257" s="211"/>
      <c r="AC257" s="211"/>
      <c r="AD257" s="211"/>
      <c r="AE257" s="211"/>
      <c r="AF257" s="211"/>
      <c r="AI257" s="211"/>
      <c r="AJ257" s="211"/>
      <c r="AK257" s="212"/>
      <c r="AL257" s="211"/>
      <c r="AM257" s="210"/>
      <c r="AN257" s="210"/>
    </row>
    <row r="258" spans="1:40" x14ac:dyDescent="0.25">
      <c r="A258" s="202"/>
      <c r="C258" s="154"/>
      <c r="F258" s="252"/>
      <c r="H258" s="252"/>
      <c r="I258" s="252"/>
      <c r="J258" s="328"/>
      <c r="K258" s="328"/>
      <c r="L258" s="200"/>
      <c r="M258" s="200"/>
      <c r="N258" s="210"/>
      <c r="O258" s="210"/>
      <c r="P258" s="200"/>
      <c r="Q258" s="200"/>
      <c r="R258" s="200"/>
      <c r="S258" s="200"/>
      <c r="T258" s="154"/>
      <c r="V258" s="252"/>
      <c r="Y258" s="252"/>
      <c r="Z258" s="328"/>
      <c r="AA258" s="200"/>
      <c r="AB258" s="200"/>
      <c r="AC258" s="210"/>
      <c r="AD258" s="210"/>
      <c r="AE258" s="200"/>
      <c r="AF258" s="200"/>
      <c r="AG258" s="209"/>
      <c r="AH258" s="210"/>
      <c r="AI258" s="200"/>
      <c r="AJ258" s="200"/>
      <c r="AK258" s="209"/>
      <c r="AL258" s="200"/>
      <c r="AM258" s="210"/>
      <c r="AN258" s="210"/>
    </row>
    <row r="259" spans="1:40" x14ac:dyDescent="0.25">
      <c r="A259" s="202"/>
      <c r="C259" s="154"/>
      <c r="F259" s="252"/>
      <c r="H259" s="252"/>
      <c r="I259" s="252"/>
      <c r="J259" s="300"/>
      <c r="K259" s="300"/>
      <c r="L259" s="200"/>
      <c r="M259" s="200"/>
      <c r="N259" s="210"/>
      <c r="O259" s="210"/>
      <c r="P259" s="200"/>
      <c r="Q259" s="200"/>
      <c r="R259" s="200"/>
      <c r="T259" s="154"/>
      <c r="V259" s="252"/>
      <c r="Y259" s="200"/>
      <c r="Z259" s="300"/>
      <c r="AA259" s="200"/>
      <c r="AB259" s="200"/>
      <c r="AC259" s="210"/>
      <c r="AD259" s="210"/>
      <c r="AE259" s="200"/>
      <c r="AF259" s="200"/>
      <c r="AG259" s="209"/>
      <c r="AH259" s="201"/>
      <c r="AI259" s="200"/>
      <c r="AJ259" s="200"/>
      <c r="AK259" s="209"/>
      <c r="AL259" s="200"/>
      <c r="AM259" s="210"/>
      <c r="AN259" s="210"/>
    </row>
    <row r="260" spans="1:40" x14ac:dyDescent="0.25">
      <c r="A260" s="202"/>
      <c r="C260" s="154"/>
      <c r="F260" s="252"/>
      <c r="H260" s="252"/>
      <c r="I260" s="252"/>
      <c r="J260" s="300"/>
      <c r="K260" s="300"/>
      <c r="L260" s="200"/>
      <c r="M260" s="200"/>
      <c r="N260" s="210"/>
      <c r="O260" s="210"/>
      <c r="P260" s="200"/>
      <c r="Q260" s="200"/>
      <c r="R260" s="200"/>
      <c r="T260" s="154"/>
      <c r="V260" s="252"/>
      <c r="Y260" s="200"/>
      <c r="Z260" s="300"/>
      <c r="AA260" s="200"/>
      <c r="AB260" s="200"/>
      <c r="AC260" s="210"/>
      <c r="AD260" s="210"/>
      <c r="AE260" s="200"/>
      <c r="AF260" s="200"/>
      <c r="AG260" s="209"/>
      <c r="AH260" s="201"/>
      <c r="AI260" s="200"/>
      <c r="AJ260" s="200"/>
      <c r="AK260" s="209"/>
      <c r="AL260" s="200"/>
      <c r="AM260" s="210"/>
      <c r="AN260" s="210"/>
    </row>
    <row r="261" spans="1:40" x14ac:dyDescent="0.25">
      <c r="F261" s="211"/>
      <c r="H261" s="211"/>
      <c r="I261" s="211"/>
      <c r="J261" s="305"/>
      <c r="K261" s="305"/>
      <c r="L261" s="211"/>
      <c r="M261" s="211"/>
      <c r="N261" s="211"/>
      <c r="O261" s="211"/>
      <c r="P261" s="211"/>
      <c r="Q261" s="211"/>
      <c r="R261" s="211"/>
      <c r="V261" s="211"/>
      <c r="Y261" s="211"/>
      <c r="Z261" s="305"/>
      <c r="AA261" s="211"/>
      <c r="AB261" s="211"/>
      <c r="AC261" s="211"/>
      <c r="AD261" s="211"/>
      <c r="AE261" s="211"/>
      <c r="AF261" s="211"/>
      <c r="AI261" s="211"/>
      <c r="AJ261" s="211"/>
      <c r="AK261" s="212"/>
      <c r="AL261" s="211"/>
      <c r="AM261" s="210"/>
      <c r="AN261" s="210"/>
    </row>
    <row r="262" spans="1:40" x14ac:dyDescent="0.25">
      <c r="A262" s="202"/>
      <c r="C262" s="154"/>
      <c r="F262" s="200"/>
      <c r="H262" s="200"/>
      <c r="I262" s="200"/>
      <c r="J262" s="213"/>
      <c r="K262" s="213"/>
      <c r="L262" s="200"/>
      <c r="M262" s="200"/>
      <c r="N262" s="210"/>
      <c r="O262" s="210"/>
      <c r="P262" s="200"/>
      <c r="Q262" s="200"/>
      <c r="R262" s="200"/>
      <c r="T262" s="154"/>
      <c r="V262" s="200"/>
      <c r="Y262" s="200"/>
      <c r="Z262" s="213"/>
      <c r="AA262" s="200"/>
      <c r="AB262" s="200"/>
      <c r="AC262" s="210"/>
      <c r="AD262" s="210"/>
      <c r="AE262" s="200"/>
      <c r="AF262" s="200"/>
      <c r="AG262" s="209"/>
      <c r="AH262" s="201"/>
      <c r="AI262" s="200"/>
      <c r="AJ262" s="200"/>
      <c r="AK262" s="209"/>
      <c r="AL262" s="200"/>
      <c r="AM262" s="210"/>
      <c r="AN262" s="210"/>
    </row>
    <row r="263" spans="1:40" x14ac:dyDescent="0.25">
      <c r="F263" s="211"/>
      <c r="H263" s="211"/>
      <c r="I263" s="211"/>
      <c r="J263" s="305"/>
      <c r="K263" s="305"/>
      <c r="L263" s="211"/>
      <c r="M263" s="211"/>
      <c r="N263" s="211"/>
      <c r="O263" s="211"/>
      <c r="P263" s="211"/>
      <c r="Q263" s="211"/>
      <c r="R263" s="211"/>
      <c r="V263" s="211"/>
      <c r="Y263" s="211"/>
      <c r="Z263" s="305"/>
      <c r="AA263" s="211"/>
      <c r="AB263" s="211"/>
      <c r="AC263" s="211"/>
      <c r="AD263" s="211"/>
      <c r="AE263" s="211"/>
      <c r="AF263" s="211"/>
      <c r="AI263" s="211"/>
      <c r="AJ263" s="211"/>
      <c r="AK263" s="212"/>
      <c r="AL263" s="211"/>
      <c r="AM263" s="210"/>
      <c r="AN263" s="210"/>
    </row>
    <row r="264" spans="1:40" x14ac:dyDescent="0.25">
      <c r="A264" s="202"/>
      <c r="C264" s="154"/>
      <c r="F264" s="200"/>
      <c r="H264" s="200"/>
      <c r="I264" s="200"/>
      <c r="J264" s="213"/>
      <c r="K264" s="213"/>
      <c r="L264" s="200"/>
      <c r="M264" s="200"/>
      <c r="N264" s="210"/>
      <c r="O264" s="210"/>
      <c r="P264" s="200"/>
      <c r="Q264" s="200"/>
      <c r="R264" s="200"/>
      <c r="T264" s="154"/>
      <c r="V264" s="200"/>
      <c r="Y264" s="200"/>
      <c r="Z264" s="213"/>
      <c r="AA264" s="200"/>
      <c r="AB264" s="200"/>
      <c r="AC264" s="210"/>
      <c r="AD264" s="210"/>
      <c r="AE264" s="200"/>
      <c r="AF264" s="200"/>
      <c r="AG264" s="209"/>
      <c r="AH264" s="201"/>
      <c r="AI264" s="200"/>
      <c r="AJ264" s="200"/>
      <c r="AK264" s="209"/>
      <c r="AL264" s="200"/>
      <c r="AM264" s="210"/>
      <c r="AN264" s="210"/>
    </row>
    <row r="265" spans="1:40" x14ac:dyDescent="0.25">
      <c r="A265" s="202"/>
      <c r="C265" s="154"/>
      <c r="F265" s="200"/>
      <c r="H265" s="252"/>
      <c r="I265" s="252"/>
      <c r="J265" s="320"/>
      <c r="K265" s="320"/>
      <c r="L265" s="200"/>
      <c r="M265" s="200"/>
      <c r="N265" s="210"/>
      <c r="O265" s="210"/>
      <c r="P265" s="200"/>
      <c r="Q265" s="200"/>
      <c r="R265" s="200"/>
      <c r="T265" s="154"/>
      <c r="V265" s="200"/>
      <c r="Y265" s="200"/>
      <c r="Z265" s="304"/>
      <c r="AA265" s="200"/>
      <c r="AB265" s="200"/>
      <c r="AC265" s="210"/>
      <c r="AD265" s="210"/>
      <c r="AE265" s="200"/>
      <c r="AF265" s="200"/>
      <c r="AG265" s="209"/>
      <c r="AH265" s="201"/>
      <c r="AI265" s="200"/>
      <c r="AJ265" s="200"/>
      <c r="AK265" s="209"/>
      <c r="AL265" s="200"/>
      <c r="AM265" s="210"/>
      <c r="AN265" s="210"/>
    </row>
    <row r="266" spans="1:40" x14ac:dyDescent="0.25">
      <c r="H266" s="211"/>
      <c r="I266" s="211"/>
      <c r="J266" s="305"/>
      <c r="K266" s="305"/>
      <c r="L266" s="211"/>
      <c r="M266" s="211"/>
      <c r="N266" s="211"/>
      <c r="O266" s="211"/>
      <c r="P266" s="211"/>
      <c r="Q266" s="211"/>
      <c r="R266" s="211"/>
      <c r="V266" s="211"/>
      <c r="Y266" s="211"/>
      <c r="Z266" s="305"/>
      <c r="AA266" s="211"/>
      <c r="AB266" s="211"/>
      <c r="AC266" s="211"/>
      <c r="AD266" s="211"/>
      <c r="AE266" s="211"/>
      <c r="AF266" s="211"/>
      <c r="AI266" s="211"/>
      <c r="AJ266" s="211"/>
      <c r="AK266" s="212"/>
      <c r="AL266" s="211"/>
      <c r="AM266" s="210"/>
      <c r="AN266" s="210"/>
    </row>
    <row r="267" spans="1:40" x14ac:dyDescent="0.25">
      <c r="F267" s="211"/>
    </row>
    <row r="268" spans="1:40" x14ac:dyDescent="0.25">
      <c r="A268" s="202"/>
      <c r="C268" s="154"/>
      <c r="F268" s="200"/>
      <c r="H268" s="200"/>
      <c r="I268" s="200"/>
      <c r="J268" s="305"/>
      <c r="K268" s="305"/>
      <c r="L268" s="200"/>
      <c r="M268" s="200"/>
      <c r="N268" s="210"/>
      <c r="O268" s="210"/>
      <c r="P268" s="200"/>
      <c r="Q268" s="200"/>
      <c r="R268" s="200"/>
      <c r="S268" s="200"/>
      <c r="T268" s="154"/>
      <c r="V268" s="200"/>
      <c r="Y268" s="200"/>
      <c r="Z268" s="305"/>
      <c r="AA268" s="200"/>
      <c r="AB268" s="200"/>
      <c r="AC268" s="210"/>
      <c r="AD268" s="210"/>
      <c r="AE268" s="200"/>
      <c r="AF268" s="200"/>
      <c r="AG268" s="209"/>
      <c r="AH268" s="210"/>
      <c r="AI268" s="200"/>
      <c r="AJ268" s="200"/>
      <c r="AK268" s="209"/>
      <c r="AL268" s="200"/>
      <c r="AM268" s="210"/>
      <c r="AN268" s="210"/>
    </row>
    <row r="269" spans="1:40" x14ac:dyDescent="0.25">
      <c r="F269" s="211"/>
      <c r="H269" s="211"/>
      <c r="I269" s="211"/>
      <c r="J269" s="305"/>
      <c r="K269" s="305"/>
      <c r="L269" s="211"/>
      <c r="M269" s="211"/>
      <c r="N269" s="211"/>
      <c r="O269" s="211"/>
      <c r="P269" s="211"/>
      <c r="Q269" s="211"/>
      <c r="R269" s="211"/>
      <c r="S269" s="200"/>
      <c r="V269" s="211"/>
      <c r="Y269" s="211"/>
      <c r="Z269" s="305"/>
      <c r="AA269" s="211"/>
      <c r="AB269" s="211"/>
      <c r="AC269" s="211"/>
      <c r="AD269" s="211"/>
      <c r="AE269" s="211"/>
      <c r="AF269" s="211"/>
      <c r="AI269" s="211"/>
      <c r="AJ269" s="211"/>
      <c r="AK269" s="212"/>
      <c r="AL269" s="211"/>
      <c r="AM269" s="210"/>
      <c r="AN269" s="210"/>
    </row>
    <row r="270" spans="1:40" x14ac:dyDescent="0.25">
      <c r="A270" s="202"/>
      <c r="C270" s="154"/>
      <c r="H270" s="252"/>
      <c r="I270" s="252"/>
      <c r="J270" s="305"/>
      <c r="K270" s="305"/>
      <c r="L270" s="200"/>
      <c r="M270" s="200"/>
      <c r="N270" s="210"/>
      <c r="O270" s="210"/>
      <c r="P270" s="200"/>
      <c r="Q270" s="200"/>
      <c r="R270" s="200"/>
      <c r="S270" s="200"/>
      <c r="T270" s="154"/>
      <c r="V270" s="252"/>
      <c r="Y270" s="252"/>
      <c r="Z270" s="305"/>
      <c r="AA270" s="200"/>
      <c r="AB270" s="200"/>
      <c r="AC270" s="210"/>
      <c r="AD270" s="210"/>
      <c r="AE270" s="200"/>
      <c r="AF270" s="200"/>
      <c r="AI270" s="200"/>
      <c r="AJ270" s="200"/>
      <c r="AK270" s="209"/>
      <c r="AL270" s="200"/>
      <c r="AM270" s="210"/>
      <c r="AN270" s="210"/>
    </row>
    <row r="271" spans="1:40" x14ac:dyDescent="0.25">
      <c r="F271" s="252"/>
    </row>
    <row r="272" spans="1:40" x14ac:dyDescent="0.25">
      <c r="A272" s="202"/>
      <c r="C272" s="154"/>
      <c r="F272" s="252"/>
      <c r="H272" s="252"/>
      <c r="I272" s="252"/>
      <c r="J272" s="300"/>
      <c r="K272" s="300"/>
      <c r="L272" s="200"/>
      <c r="M272" s="200"/>
      <c r="N272" s="210"/>
      <c r="O272" s="210"/>
      <c r="P272" s="202"/>
      <c r="Q272" s="202"/>
      <c r="R272" s="200"/>
      <c r="T272" s="154"/>
      <c r="V272" s="200"/>
      <c r="Y272" s="252"/>
      <c r="Z272" s="300"/>
      <c r="AA272" s="200"/>
      <c r="AB272" s="200"/>
      <c r="AC272" s="210"/>
      <c r="AD272" s="210"/>
      <c r="AE272" s="200"/>
      <c r="AF272" s="200"/>
      <c r="AG272" s="209"/>
      <c r="AH272" s="201"/>
      <c r="AI272" s="202"/>
      <c r="AJ272" s="202"/>
      <c r="AK272" s="209"/>
      <c r="AL272" s="200"/>
      <c r="AM272" s="210"/>
      <c r="AN272" s="210"/>
    </row>
    <row r="273" spans="1:40" x14ac:dyDescent="0.25">
      <c r="F273" s="211"/>
      <c r="H273" s="200"/>
      <c r="I273" s="200"/>
      <c r="J273" s="305"/>
      <c r="K273" s="305"/>
      <c r="L273" s="211"/>
      <c r="M273" s="211"/>
      <c r="N273" s="211"/>
      <c r="O273" s="211"/>
      <c r="P273" s="211"/>
      <c r="Q273" s="211"/>
      <c r="R273" s="211"/>
      <c r="V273" s="211"/>
      <c r="Y273" s="200"/>
      <c r="Z273" s="305"/>
      <c r="AA273" s="211"/>
      <c r="AB273" s="211"/>
      <c r="AC273" s="211"/>
      <c r="AD273" s="211"/>
      <c r="AE273" s="211"/>
      <c r="AF273" s="211"/>
      <c r="AI273" s="211"/>
      <c r="AJ273" s="211"/>
      <c r="AK273" s="212"/>
      <c r="AL273" s="211"/>
      <c r="AM273" s="210"/>
      <c r="AN273" s="210"/>
    </row>
    <row r="274" spans="1:40" x14ac:dyDescent="0.25">
      <c r="A274" s="202"/>
      <c r="C274" s="154"/>
      <c r="F274" s="252"/>
      <c r="H274" s="252"/>
      <c r="I274" s="252"/>
      <c r="J274" s="328"/>
      <c r="K274" s="328"/>
      <c r="L274" s="200"/>
      <c r="M274" s="200"/>
      <c r="N274" s="210"/>
      <c r="O274" s="210"/>
      <c r="P274" s="200"/>
      <c r="Q274" s="200"/>
      <c r="R274" s="200"/>
      <c r="S274" s="200"/>
      <c r="T274" s="154"/>
      <c r="V274" s="252"/>
      <c r="Y274" s="252"/>
      <c r="Z274" s="328"/>
      <c r="AA274" s="200"/>
      <c r="AB274" s="200"/>
      <c r="AC274" s="210"/>
      <c r="AD274" s="210"/>
      <c r="AE274" s="200"/>
      <c r="AF274" s="200"/>
      <c r="AG274" s="209"/>
      <c r="AH274" s="210"/>
      <c r="AI274" s="200"/>
      <c r="AJ274" s="200"/>
      <c r="AK274" s="209"/>
      <c r="AL274" s="200"/>
      <c r="AM274" s="210"/>
      <c r="AN274" s="210"/>
    </row>
    <row r="275" spans="1:40" x14ac:dyDescent="0.25">
      <c r="A275" s="202"/>
      <c r="C275" s="154"/>
      <c r="F275" s="252"/>
      <c r="H275" s="252"/>
      <c r="I275" s="252"/>
      <c r="J275" s="300"/>
      <c r="K275" s="300"/>
      <c r="L275" s="200"/>
      <c r="M275" s="200"/>
      <c r="N275" s="210"/>
      <c r="O275" s="210"/>
      <c r="P275" s="200"/>
      <c r="Q275" s="200"/>
      <c r="R275" s="200"/>
      <c r="T275" s="154"/>
      <c r="V275" s="252"/>
      <c r="Y275" s="200"/>
      <c r="Z275" s="300"/>
      <c r="AA275" s="200"/>
      <c r="AB275" s="200"/>
      <c r="AC275" s="210"/>
      <c r="AD275" s="210"/>
      <c r="AE275" s="200"/>
      <c r="AF275" s="200"/>
      <c r="AG275" s="209"/>
      <c r="AH275" s="201"/>
      <c r="AI275" s="200"/>
      <c r="AJ275" s="200"/>
      <c r="AK275" s="209"/>
      <c r="AL275" s="200"/>
      <c r="AM275" s="210"/>
      <c r="AN275" s="210"/>
    </row>
    <row r="276" spans="1:40" x14ac:dyDescent="0.25">
      <c r="A276" s="202"/>
      <c r="C276" s="154"/>
      <c r="F276" s="252"/>
      <c r="H276" s="252"/>
      <c r="I276" s="252"/>
      <c r="J276" s="300"/>
      <c r="K276" s="300"/>
      <c r="L276" s="200"/>
      <c r="M276" s="200"/>
      <c r="N276" s="210"/>
      <c r="O276" s="210"/>
      <c r="P276" s="200"/>
      <c r="Q276" s="200"/>
      <c r="R276" s="200"/>
      <c r="T276" s="154"/>
      <c r="V276" s="252"/>
      <c r="Y276" s="200"/>
      <c r="Z276" s="300"/>
      <c r="AA276" s="200"/>
      <c r="AB276" s="200"/>
      <c r="AC276" s="210"/>
      <c r="AD276" s="210"/>
      <c r="AE276" s="200"/>
      <c r="AF276" s="200"/>
      <c r="AG276" s="209"/>
      <c r="AH276" s="201"/>
      <c r="AI276" s="200"/>
      <c r="AJ276" s="200"/>
      <c r="AK276" s="209"/>
      <c r="AL276" s="200"/>
      <c r="AM276" s="210"/>
      <c r="AN276" s="210"/>
    </row>
    <row r="277" spans="1:40" x14ac:dyDescent="0.25">
      <c r="F277" s="211"/>
      <c r="H277" s="211"/>
      <c r="I277" s="211"/>
      <c r="J277" s="305"/>
      <c r="K277" s="305"/>
      <c r="L277" s="211"/>
      <c r="M277" s="211"/>
      <c r="N277" s="211"/>
      <c r="O277" s="211"/>
      <c r="P277" s="211"/>
      <c r="Q277" s="211"/>
      <c r="R277" s="211"/>
      <c r="V277" s="211"/>
      <c r="Y277" s="211"/>
      <c r="Z277" s="305"/>
      <c r="AA277" s="211"/>
      <c r="AB277" s="211"/>
      <c r="AC277" s="211"/>
      <c r="AD277" s="211"/>
      <c r="AE277" s="211"/>
      <c r="AF277" s="211"/>
      <c r="AI277" s="211"/>
      <c r="AJ277" s="211"/>
      <c r="AK277" s="212"/>
      <c r="AL277" s="211"/>
      <c r="AM277" s="210"/>
      <c r="AN277" s="210"/>
    </row>
    <row r="278" spans="1:40" x14ac:dyDescent="0.25">
      <c r="A278" s="202"/>
      <c r="C278" s="154"/>
      <c r="F278" s="200"/>
      <c r="H278" s="200"/>
      <c r="I278" s="200"/>
      <c r="J278" s="213"/>
      <c r="K278" s="213"/>
      <c r="L278" s="200"/>
      <c r="M278" s="200"/>
      <c r="N278" s="210"/>
      <c r="O278" s="210"/>
      <c r="P278" s="200"/>
      <c r="Q278" s="200"/>
      <c r="R278" s="200"/>
      <c r="T278" s="154"/>
      <c r="V278" s="200"/>
      <c r="Y278" s="200"/>
      <c r="Z278" s="213"/>
      <c r="AA278" s="200"/>
      <c r="AB278" s="200"/>
      <c r="AC278" s="210"/>
      <c r="AD278" s="210"/>
      <c r="AE278" s="200"/>
      <c r="AF278" s="200"/>
      <c r="AG278" s="209"/>
      <c r="AH278" s="201"/>
      <c r="AI278" s="200"/>
      <c r="AJ278" s="200"/>
      <c r="AK278" s="209"/>
      <c r="AL278" s="200"/>
      <c r="AM278" s="210"/>
      <c r="AN278" s="210"/>
    </row>
    <row r="279" spans="1:40" x14ac:dyDescent="0.25">
      <c r="F279" s="211"/>
      <c r="H279" s="211"/>
      <c r="I279" s="211"/>
      <c r="J279" s="305"/>
      <c r="K279" s="305"/>
      <c r="L279" s="211"/>
      <c r="M279" s="211"/>
      <c r="N279" s="211"/>
      <c r="O279" s="211"/>
      <c r="P279" s="211"/>
      <c r="Q279" s="211"/>
      <c r="R279" s="211"/>
      <c r="V279" s="211"/>
      <c r="Y279" s="211"/>
      <c r="Z279" s="305"/>
      <c r="AA279" s="211"/>
      <c r="AB279" s="211"/>
      <c r="AC279" s="211"/>
      <c r="AD279" s="211"/>
      <c r="AE279" s="211"/>
      <c r="AF279" s="211"/>
      <c r="AI279" s="211"/>
      <c r="AJ279" s="211"/>
      <c r="AK279" s="212"/>
      <c r="AL279" s="211"/>
      <c r="AM279" s="210"/>
      <c r="AN279" s="210"/>
    </row>
    <row r="280" spans="1:40" x14ac:dyDescent="0.25">
      <c r="A280" s="202"/>
      <c r="C280" s="154"/>
      <c r="F280" s="200"/>
      <c r="H280" s="200"/>
      <c r="I280" s="200"/>
      <c r="J280" s="213"/>
      <c r="K280" s="213"/>
      <c r="L280" s="200"/>
      <c r="M280" s="200"/>
      <c r="N280" s="210"/>
      <c r="O280" s="210"/>
      <c r="P280" s="200"/>
      <c r="Q280" s="200"/>
      <c r="R280" s="200"/>
      <c r="T280" s="154"/>
      <c r="V280" s="200"/>
      <c r="Y280" s="200"/>
      <c r="Z280" s="213"/>
      <c r="AA280" s="200"/>
      <c r="AB280" s="200"/>
      <c r="AC280" s="210"/>
      <c r="AD280" s="210"/>
      <c r="AE280" s="200"/>
      <c r="AF280" s="200"/>
      <c r="AG280" s="209"/>
      <c r="AH280" s="201"/>
      <c r="AI280" s="200"/>
      <c r="AJ280" s="200"/>
      <c r="AK280" s="209"/>
      <c r="AL280" s="200"/>
      <c r="AM280" s="210"/>
      <c r="AN280" s="210"/>
    </row>
    <row r="281" spans="1:40" x14ac:dyDescent="0.25">
      <c r="A281" s="202"/>
      <c r="C281" s="154"/>
      <c r="F281" s="200"/>
      <c r="H281" s="252"/>
      <c r="I281" s="252"/>
      <c r="J281" s="320"/>
      <c r="K281" s="320"/>
      <c r="L281" s="200"/>
      <c r="M281" s="200"/>
      <c r="N281" s="210"/>
      <c r="O281" s="210"/>
      <c r="P281" s="200"/>
      <c r="Q281" s="200"/>
      <c r="R281" s="200"/>
      <c r="T281" s="154"/>
      <c r="V281" s="200"/>
      <c r="Y281" s="200"/>
      <c r="Z281" s="304"/>
      <c r="AA281" s="200"/>
      <c r="AB281" s="200"/>
      <c r="AC281" s="210"/>
      <c r="AD281" s="210"/>
      <c r="AE281" s="200"/>
      <c r="AF281" s="200"/>
      <c r="AG281" s="209"/>
      <c r="AH281" s="201"/>
      <c r="AI281" s="200"/>
      <c r="AJ281" s="200"/>
      <c r="AK281" s="209"/>
      <c r="AL281" s="200"/>
      <c r="AM281" s="210"/>
      <c r="AN281" s="210"/>
    </row>
    <row r="282" spans="1:40" x14ac:dyDescent="0.25">
      <c r="H282" s="211"/>
      <c r="I282" s="211"/>
      <c r="J282" s="305"/>
      <c r="K282" s="305"/>
      <c r="L282" s="211"/>
      <c r="M282" s="211"/>
      <c r="N282" s="211"/>
      <c r="O282" s="211"/>
      <c r="P282" s="211"/>
      <c r="Q282" s="211"/>
      <c r="R282" s="211"/>
      <c r="V282" s="211"/>
      <c r="Y282" s="211"/>
      <c r="Z282" s="305"/>
      <c r="AA282" s="211"/>
      <c r="AB282" s="211"/>
      <c r="AC282" s="211"/>
      <c r="AD282" s="211"/>
      <c r="AE282" s="211"/>
      <c r="AF282" s="211"/>
      <c r="AI282" s="211"/>
      <c r="AJ282" s="211"/>
      <c r="AK282" s="212"/>
      <c r="AL282" s="211"/>
      <c r="AM282" s="210"/>
      <c r="AN282" s="210"/>
    </row>
    <row r="283" spans="1:40" x14ac:dyDescent="0.25">
      <c r="F283" s="211"/>
    </row>
    <row r="284" spans="1:40" x14ac:dyDescent="0.25">
      <c r="A284" s="202"/>
      <c r="C284" s="154"/>
      <c r="F284" s="200"/>
      <c r="H284" s="200"/>
      <c r="I284" s="200"/>
      <c r="J284" s="305"/>
      <c r="K284" s="305"/>
      <c r="L284" s="200"/>
      <c r="M284" s="200"/>
      <c r="N284" s="210"/>
      <c r="O284" s="210"/>
      <c r="P284" s="200"/>
      <c r="Q284" s="200"/>
      <c r="R284" s="200"/>
      <c r="S284" s="200"/>
      <c r="T284" s="154"/>
      <c r="V284" s="200"/>
      <c r="Y284" s="200"/>
      <c r="Z284" s="305"/>
      <c r="AA284" s="200"/>
      <c r="AB284" s="200"/>
      <c r="AC284" s="210"/>
      <c r="AD284" s="210"/>
      <c r="AE284" s="200"/>
      <c r="AF284" s="200"/>
      <c r="AG284" s="209"/>
      <c r="AH284" s="210"/>
      <c r="AI284" s="200"/>
      <c r="AJ284" s="200"/>
      <c r="AK284" s="209"/>
      <c r="AL284" s="200"/>
      <c r="AM284" s="210"/>
      <c r="AN284" s="210"/>
    </row>
    <row r="285" spans="1:40" x14ac:dyDescent="0.25">
      <c r="F285" s="211"/>
      <c r="H285" s="211"/>
      <c r="I285" s="211"/>
      <c r="J285" s="305"/>
      <c r="K285" s="305"/>
      <c r="L285" s="211"/>
      <c r="M285" s="211"/>
      <c r="N285" s="211"/>
      <c r="O285" s="211"/>
      <c r="P285" s="211"/>
      <c r="Q285" s="211"/>
      <c r="R285" s="211"/>
      <c r="S285" s="200"/>
      <c r="V285" s="211"/>
      <c r="Y285" s="211"/>
      <c r="Z285" s="305"/>
      <c r="AA285" s="211"/>
      <c r="AB285" s="211"/>
      <c r="AC285" s="211"/>
      <c r="AD285" s="211"/>
      <c r="AE285" s="211"/>
      <c r="AF285" s="211"/>
      <c r="AI285" s="211"/>
      <c r="AJ285" s="211"/>
      <c r="AK285" s="212"/>
      <c r="AL285" s="211"/>
      <c r="AM285" s="210"/>
      <c r="AN285" s="210"/>
    </row>
    <row r="286" spans="1:40" x14ac:dyDescent="0.25">
      <c r="A286" s="202"/>
      <c r="C286" s="154"/>
      <c r="T286" s="154"/>
    </row>
    <row r="287" spans="1:40" x14ac:dyDescent="0.25">
      <c r="A287" s="202"/>
      <c r="C287" s="154"/>
      <c r="F287" s="200"/>
      <c r="H287" s="200"/>
      <c r="I287" s="200"/>
      <c r="L287" s="200"/>
      <c r="M287" s="200"/>
      <c r="N287" s="210"/>
      <c r="O287" s="210"/>
      <c r="P287" s="252"/>
      <c r="Q287" s="252"/>
      <c r="R287" s="200"/>
      <c r="T287" s="154"/>
      <c r="V287" s="200"/>
      <c r="Y287" s="200"/>
      <c r="AA287" s="200"/>
      <c r="AB287" s="200"/>
      <c r="AC287" s="210"/>
      <c r="AD287" s="210"/>
      <c r="AE287" s="200"/>
      <c r="AF287" s="200"/>
      <c r="AG287" s="209"/>
      <c r="AH287" s="210"/>
      <c r="AI287" s="252"/>
      <c r="AJ287" s="252"/>
      <c r="AK287" s="209"/>
      <c r="AL287" s="200"/>
      <c r="AM287" s="210"/>
      <c r="AN287" s="210"/>
    </row>
    <row r="288" spans="1:40" x14ac:dyDescent="0.25">
      <c r="H288" s="211"/>
      <c r="I288" s="211"/>
      <c r="J288" s="305"/>
      <c r="K288" s="305"/>
      <c r="L288" s="211"/>
      <c r="M288" s="211"/>
      <c r="N288" s="211"/>
      <c r="O288" s="211"/>
      <c r="P288" s="211"/>
      <c r="Q288" s="211"/>
      <c r="R288" s="211"/>
      <c r="V288" s="211"/>
      <c r="Y288" s="211"/>
      <c r="Z288" s="305"/>
      <c r="AA288" s="211"/>
      <c r="AB288" s="211"/>
      <c r="AC288" s="211"/>
      <c r="AD288" s="211"/>
      <c r="AE288" s="211"/>
      <c r="AF288" s="211"/>
      <c r="AI288" s="211"/>
      <c r="AJ288" s="211"/>
      <c r="AK288" s="212"/>
      <c r="AL288" s="211"/>
    </row>
    <row r="289" spans="1:40" x14ac:dyDescent="0.25">
      <c r="F289" s="211"/>
    </row>
    <row r="290" spans="1:40" x14ac:dyDescent="0.25">
      <c r="C290" s="154"/>
      <c r="L290" s="200"/>
      <c r="M290" s="200"/>
      <c r="N290" s="200"/>
      <c r="O290" s="200"/>
      <c r="P290" s="200"/>
      <c r="Q290" s="200"/>
      <c r="R290" s="200"/>
      <c r="S290" s="200"/>
      <c r="T290" s="154"/>
      <c r="AA290" s="200"/>
      <c r="AB290" s="200"/>
      <c r="AC290" s="200"/>
      <c r="AD290" s="200"/>
      <c r="AI290" s="200"/>
      <c r="AJ290" s="200"/>
      <c r="AK290" s="209"/>
      <c r="AL290" s="200"/>
    </row>
    <row r="291" spans="1:40" x14ac:dyDescent="0.25">
      <c r="A291" s="154"/>
    </row>
    <row r="292" spans="1:40" x14ac:dyDescent="0.25">
      <c r="J292" s="202"/>
      <c r="K292" s="202"/>
      <c r="Z292" s="202"/>
    </row>
    <row r="293" spans="1:40" x14ac:dyDescent="0.25">
      <c r="H293" s="154"/>
      <c r="I293" s="154"/>
      <c r="Y293" s="154"/>
    </row>
    <row r="294" spans="1:40" x14ac:dyDescent="0.25">
      <c r="J294" s="202"/>
      <c r="K294" s="202"/>
      <c r="Z294" s="202"/>
    </row>
    <row r="295" spans="1:40" x14ac:dyDescent="0.25">
      <c r="L295" s="154"/>
      <c r="M295" s="154"/>
      <c r="AA295" s="154"/>
      <c r="AB295" s="154"/>
    </row>
    <row r="296" spans="1:40" x14ac:dyDescent="0.25">
      <c r="A296" s="202"/>
      <c r="R296" s="154"/>
      <c r="AK296" s="297"/>
      <c r="AL296" s="154"/>
    </row>
    <row r="297" spans="1:40" x14ac:dyDescent="0.25">
      <c r="A297" s="202"/>
      <c r="R297" s="154"/>
      <c r="AK297" s="297"/>
      <c r="AL297" s="154"/>
    </row>
    <row r="298" spans="1:40" x14ac:dyDescent="0.25">
      <c r="A298" s="154"/>
      <c r="R298" s="154"/>
      <c r="AK298" s="297"/>
      <c r="AL298" s="154"/>
    </row>
    <row r="299" spans="1:40" x14ac:dyDescent="0.25">
      <c r="L299" s="154"/>
      <c r="M299" s="154"/>
      <c r="R299" s="202"/>
      <c r="AA299" s="154"/>
      <c r="AB299" s="154"/>
      <c r="AK299" s="209"/>
      <c r="AL299" s="202"/>
    </row>
    <row r="300" spans="1:40" x14ac:dyDescent="0.25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208"/>
      <c r="AH300" s="102"/>
      <c r="AI300" s="102"/>
      <c r="AJ300" s="102"/>
      <c r="AK300" s="208"/>
      <c r="AL300" s="102"/>
      <c r="AM300" s="102"/>
      <c r="AN300" s="102"/>
    </row>
    <row r="301" spans="1:40" x14ac:dyDescent="0.25">
      <c r="L301" s="103"/>
      <c r="M301" s="103"/>
      <c r="N301" s="103"/>
      <c r="O301" s="103"/>
      <c r="R301" s="103"/>
      <c r="AA301" s="103"/>
      <c r="AB301" s="103"/>
      <c r="AC301" s="103"/>
      <c r="AD301" s="103"/>
      <c r="AE301" s="103"/>
      <c r="AF301" s="103"/>
      <c r="AG301" s="185"/>
      <c r="AH301" s="103"/>
      <c r="AK301" s="185"/>
      <c r="AL301" s="103"/>
      <c r="AM301" s="103"/>
      <c r="AN301" s="103"/>
    </row>
    <row r="302" spans="1:40" x14ac:dyDescent="0.25">
      <c r="L302" s="103"/>
      <c r="M302" s="103"/>
      <c r="N302" s="103"/>
      <c r="O302" s="103"/>
      <c r="R302" s="103"/>
      <c r="Z302" s="103"/>
      <c r="AA302" s="103"/>
      <c r="AB302" s="103"/>
      <c r="AC302" s="103"/>
      <c r="AD302" s="103"/>
      <c r="AE302" s="103"/>
      <c r="AF302" s="103"/>
      <c r="AG302" s="185"/>
      <c r="AH302" s="103"/>
      <c r="AK302" s="185"/>
      <c r="AL302" s="103"/>
      <c r="AM302" s="103"/>
      <c r="AN302" s="103"/>
    </row>
    <row r="303" spans="1:40" x14ac:dyDescent="0.25">
      <c r="A303" s="103"/>
      <c r="C303" s="103"/>
      <c r="D303" s="103"/>
      <c r="E303" s="103"/>
      <c r="F303" s="103"/>
      <c r="J303" s="103"/>
      <c r="K303" s="103"/>
      <c r="L303" s="103"/>
      <c r="M303" s="103"/>
      <c r="N303" s="103"/>
      <c r="O303" s="103"/>
      <c r="P303" s="103"/>
      <c r="Q303" s="103"/>
      <c r="R303" s="103"/>
      <c r="T303" s="103"/>
      <c r="U303" s="103"/>
      <c r="V303" s="103"/>
      <c r="Z303" s="103"/>
      <c r="AA303" s="103"/>
      <c r="AB303" s="103"/>
      <c r="AC303" s="103"/>
      <c r="AD303" s="103"/>
      <c r="AE303" s="103"/>
      <c r="AF303" s="103"/>
      <c r="AG303" s="185"/>
      <c r="AH303" s="103"/>
      <c r="AI303" s="103"/>
      <c r="AJ303" s="103"/>
      <c r="AK303" s="185"/>
      <c r="AL303" s="103"/>
      <c r="AM303" s="103"/>
      <c r="AN303" s="103"/>
    </row>
    <row r="304" spans="1:40" x14ac:dyDescent="0.25">
      <c r="A304" s="103"/>
      <c r="C304" s="103"/>
      <c r="D304" s="103"/>
      <c r="E304" s="103"/>
      <c r="F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T304" s="103"/>
      <c r="U304" s="103"/>
      <c r="V304" s="103"/>
      <c r="Y304" s="103"/>
      <c r="Z304" s="103"/>
      <c r="AA304" s="103"/>
      <c r="AB304" s="103"/>
      <c r="AC304" s="103"/>
      <c r="AD304" s="103"/>
      <c r="AE304" s="103"/>
      <c r="AF304" s="103"/>
      <c r="AG304" s="185"/>
      <c r="AH304" s="103"/>
      <c r="AI304" s="103"/>
      <c r="AJ304" s="103"/>
      <c r="AK304" s="185"/>
      <c r="AL304" s="103"/>
      <c r="AM304" s="103"/>
      <c r="AN304" s="103"/>
    </row>
    <row r="305" spans="1:40" x14ac:dyDescent="0.25">
      <c r="C305" s="103"/>
      <c r="D305" s="103"/>
      <c r="E305" s="103"/>
      <c r="F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T305" s="103"/>
      <c r="U305" s="103"/>
      <c r="V305" s="103"/>
      <c r="Y305" s="103"/>
      <c r="Z305" s="103"/>
      <c r="AA305" s="103"/>
      <c r="AB305" s="103"/>
      <c r="AC305" s="103"/>
      <c r="AD305" s="103"/>
      <c r="AE305" s="103"/>
      <c r="AF305" s="103"/>
      <c r="AG305" s="185"/>
      <c r="AH305" s="103"/>
      <c r="AI305" s="103"/>
      <c r="AJ305" s="103"/>
      <c r="AK305" s="185"/>
      <c r="AL305" s="103"/>
      <c r="AM305" s="103"/>
      <c r="AN305" s="103"/>
    </row>
    <row r="306" spans="1:40" x14ac:dyDescent="0.25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208"/>
      <c r="AH306" s="102"/>
      <c r="AI306" s="102"/>
      <c r="AJ306" s="102"/>
      <c r="AK306" s="208"/>
      <c r="AL306" s="102"/>
      <c r="AM306" s="102"/>
      <c r="AN306" s="102"/>
    </row>
    <row r="307" spans="1:40" x14ac:dyDescent="0.25"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Y307" s="103"/>
      <c r="Z307" s="103"/>
      <c r="AA307" s="103"/>
      <c r="AB307" s="103"/>
      <c r="AC307" s="103"/>
      <c r="AD307" s="103"/>
      <c r="AE307" s="103"/>
      <c r="AF307" s="103"/>
      <c r="AG307" s="185"/>
      <c r="AH307" s="103"/>
      <c r="AI307" s="103"/>
      <c r="AJ307" s="103"/>
      <c r="AK307" s="185"/>
      <c r="AL307" s="103"/>
      <c r="AM307" s="103"/>
      <c r="AN307" s="103"/>
    </row>
    <row r="308" spans="1:40" x14ac:dyDescent="0.25">
      <c r="A308" s="202"/>
      <c r="C308" s="154"/>
      <c r="D308" s="154"/>
      <c r="E308" s="154"/>
      <c r="T308" s="154"/>
      <c r="U308" s="154"/>
    </row>
    <row r="309" spans="1:40" x14ac:dyDescent="0.25">
      <c r="D309" s="154"/>
      <c r="E309" s="154"/>
      <c r="U309" s="154"/>
    </row>
    <row r="311" spans="1:40" x14ac:dyDescent="0.25">
      <c r="A311" s="202"/>
      <c r="C311" s="154"/>
      <c r="T311" s="154"/>
    </row>
    <row r="312" spans="1:40" x14ac:dyDescent="0.25">
      <c r="A312" s="202"/>
      <c r="C312" s="154"/>
      <c r="F312" s="252"/>
      <c r="H312" s="252"/>
      <c r="I312" s="252"/>
      <c r="J312" s="329"/>
      <c r="K312" s="329"/>
      <c r="L312" s="200"/>
      <c r="M312" s="200"/>
      <c r="N312" s="210"/>
      <c r="O312" s="210"/>
      <c r="P312" s="200"/>
      <c r="Q312" s="200"/>
      <c r="R312" s="200"/>
      <c r="T312" s="154"/>
      <c r="V312" s="252"/>
      <c r="W312" s="200"/>
      <c r="X312" s="200"/>
      <c r="Y312" s="252"/>
      <c r="Z312" s="329"/>
      <c r="AA312" s="200"/>
      <c r="AB312" s="200"/>
      <c r="AC312" s="210"/>
      <c r="AD312" s="210"/>
      <c r="AE312" s="200"/>
      <c r="AF312" s="200"/>
      <c r="AG312" s="209"/>
      <c r="AH312" s="201"/>
      <c r="AI312" s="200"/>
      <c r="AJ312" s="200"/>
      <c r="AK312" s="209"/>
      <c r="AL312" s="200"/>
      <c r="AM312" s="210"/>
      <c r="AN312" s="210"/>
    </row>
    <row r="313" spans="1:40" x14ac:dyDescent="0.25">
      <c r="A313" s="202"/>
      <c r="C313" s="154"/>
      <c r="F313" s="200"/>
      <c r="H313" s="200"/>
      <c r="I313" s="200"/>
      <c r="J313" s="305"/>
      <c r="K313" s="305"/>
      <c r="L313" s="200"/>
      <c r="M313" s="200"/>
      <c r="N313" s="210"/>
      <c r="O313" s="210"/>
      <c r="P313" s="200"/>
      <c r="Q313" s="200"/>
      <c r="R313" s="200"/>
      <c r="T313" s="154"/>
      <c r="V313" s="252"/>
      <c r="W313" s="200"/>
      <c r="X313" s="200"/>
      <c r="Y313" s="252"/>
      <c r="Z313" s="305"/>
      <c r="AA313" s="200"/>
      <c r="AB313" s="200"/>
      <c r="AC313" s="210"/>
      <c r="AD313" s="210"/>
      <c r="AE313" s="200"/>
      <c r="AF313" s="200"/>
      <c r="AG313" s="209"/>
      <c r="AH313" s="201"/>
      <c r="AI313" s="200"/>
      <c r="AJ313" s="200"/>
      <c r="AK313" s="209"/>
      <c r="AL313" s="200"/>
      <c r="AM313" s="210"/>
      <c r="AN313" s="210"/>
    </row>
    <row r="314" spans="1:40" x14ac:dyDescent="0.25">
      <c r="A314" s="202"/>
      <c r="C314" s="154"/>
      <c r="F314" s="252"/>
      <c r="H314" s="252"/>
      <c r="I314" s="252"/>
      <c r="J314" s="329"/>
      <c r="K314" s="329"/>
      <c r="L314" s="200"/>
      <c r="M314" s="200"/>
      <c r="N314" s="210"/>
      <c r="O314" s="210"/>
      <c r="P314" s="200"/>
      <c r="Q314" s="200"/>
      <c r="R314" s="200"/>
      <c r="T314" s="154"/>
      <c r="V314" s="252"/>
      <c r="W314" s="200"/>
      <c r="X314" s="200"/>
      <c r="Y314" s="252"/>
      <c r="Z314" s="329"/>
      <c r="AA314" s="200"/>
      <c r="AB314" s="200"/>
      <c r="AC314" s="210"/>
      <c r="AD314" s="210"/>
      <c r="AE314" s="200"/>
      <c r="AF314" s="200"/>
      <c r="AG314" s="209"/>
      <c r="AH314" s="201"/>
      <c r="AI314" s="200"/>
      <c r="AJ314" s="200"/>
      <c r="AK314" s="209"/>
      <c r="AL314" s="200"/>
      <c r="AM314" s="210"/>
      <c r="AN314" s="210"/>
    </row>
    <row r="315" spans="1:40" x14ac:dyDescent="0.25">
      <c r="A315" s="202"/>
      <c r="C315" s="154"/>
      <c r="F315" s="252"/>
      <c r="H315" s="252"/>
      <c r="I315" s="252"/>
      <c r="J315" s="329"/>
      <c r="K315" s="329"/>
      <c r="L315" s="200"/>
      <c r="M315" s="200"/>
      <c r="N315" s="210"/>
      <c r="O315" s="210"/>
      <c r="P315" s="200"/>
      <c r="Q315" s="200"/>
      <c r="R315" s="200"/>
      <c r="T315" s="154"/>
      <c r="V315" s="252"/>
      <c r="W315" s="200"/>
      <c r="X315" s="200"/>
      <c r="Y315" s="252"/>
      <c r="Z315" s="329"/>
      <c r="AA315" s="200"/>
      <c r="AB315" s="200"/>
      <c r="AC315" s="210"/>
      <c r="AD315" s="210"/>
      <c r="AE315" s="200"/>
      <c r="AF315" s="200"/>
      <c r="AG315" s="209"/>
      <c r="AH315" s="201"/>
      <c r="AI315" s="200"/>
      <c r="AJ315" s="200"/>
      <c r="AK315" s="209"/>
      <c r="AL315" s="200"/>
      <c r="AM315" s="210"/>
      <c r="AN315" s="210"/>
    </row>
    <row r="316" spans="1:40" x14ac:dyDescent="0.25">
      <c r="A316" s="202"/>
      <c r="C316" s="154"/>
      <c r="F316" s="252"/>
      <c r="H316" s="252"/>
      <c r="I316" s="252"/>
      <c r="J316" s="329"/>
      <c r="K316" s="329"/>
      <c r="L316" s="200"/>
      <c r="M316" s="200"/>
      <c r="N316" s="210"/>
      <c r="O316" s="210"/>
      <c r="P316" s="200"/>
      <c r="Q316" s="200"/>
      <c r="R316" s="200"/>
      <c r="T316" s="154"/>
      <c r="V316" s="252"/>
      <c r="W316" s="200"/>
      <c r="X316" s="200"/>
      <c r="Y316" s="252"/>
      <c r="Z316" s="329"/>
      <c r="AA316" s="200"/>
      <c r="AB316" s="200"/>
      <c r="AC316" s="210"/>
      <c r="AD316" s="210"/>
      <c r="AE316" s="200"/>
      <c r="AF316" s="200"/>
      <c r="AG316" s="209"/>
      <c r="AH316" s="201"/>
      <c r="AI316" s="200"/>
      <c r="AJ316" s="200"/>
      <c r="AK316" s="209"/>
      <c r="AL316" s="200"/>
      <c r="AM316" s="210"/>
      <c r="AN316" s="210"/>
    </row>
    <row r="317" spans="1:40" x14ac:dyDescent="0.25">
      <c r="A317" s="202"/>
      <c r="C317" s="154"/>
      <c r="F317" s="200"/>
      <c r="H317" s="200"/>
      <c r="I317" s="200"/>
      <c r="J317" s="329"/>
      <c r="K317" s="329"/>
      <c r="L317" s="200"/>
      <c r="M317" s="200"/>
      <c r="N317" s="210"/>
      <c r="O317" s="210"/>
      <c r="P317" s="200"/>
      <c r="Q317" s="200"/>
      <c r="R317" s="200"/>
      <c r="T317" s="154"/>
      <c r="V317" s="252"/>
      <c r="W317" s="200"/>
      <c r="X317" s="200"/>
      <c r="Y317" s="252"/>
      <c r="Z317" s="329"/>
      <c r="AA317" s="200"/>
      <c r="AB317" s="200"/>
      <c r="AC317" s="210"/>
      <c r="AD317" s="210"/>
      <c r="AE317" s="200"/>
      <c r="AF317" s="200"/>
      <c r="AG317" s="209"/>
      <c r="AH317" s="201"/>
      <c r="AI317" s="200"/>
      <c r="AJ317" s="200"/>
      <c r="AK317" s="209"/>
      <c r="AL317" s="200"/>
      <c r="AM317" s="210"/>
      <c r="AN317" s="210"/>
    </row>
    <row r="318" spans="1:40" x14ac:dyDescent="0.25">
      <c r="A318" s="202"/>
      <c r="C318" s="154"/>
      <c r="F318" s="200"/>
      <c r="H318" s="200"/>
      <c r="I318" s="200"/>
      <c r="J318" s="329"/>
      <c r="K318" s="329"/>
      <c r="L318" s="200"/>
      <c r="M318" s="200"/>
      <c r="N318" s="210"/>
      <c r="O318" s="210"/>
      <c r="P318" s="200"/>
      <c r="Q318" s="200"/>
      <c r="R318" s="200"/>
      <c r="T318" s="154"/>
      <c r="V318" s="252"/>
      <c r="W318" s="200"/>
      <c r="X318" s="200"/>
      <c r="Y318" s="252"/>
      <c r="Z318" s="329"/>
      <c r="AA318" s="200"/>
      <c r="AB318" s="200"/>
      <c r="AC318" s="210"/>
      <c r="AD318" s="210"/>
      <c r="AE318" s="200"/>
      <c r="AF318" s="200"/>
      <c r="AG318" s="209"/>
      <c r="AH318" s="201"/>
      <c r="AI318" s="200"/>
      <c r="AJ318" s="200"/>
      <c r="AK318" s="209"/>
      <c r="AL318" s="200"/>
      <c r="AM318" s="210"/>
      <c r="AN318" s="210"/>
    </row>
    <row r="319" spans="1:40" x14ac:dyDescent="0.25">
      <c r="F319" s="331"/>
      <c r="H319" s="332"/>
      <c r="I319" s="332"/>
      <c r="J319" s="329"/>
      <c r="K319" s="329"/>
      <c r="L319" s="331"/>
      <c r="M319" s="331"/>
      <c r="N319" s="211"/>
      <c r="O319" s="211"/>
      <c r="P319" s="331"/>
      <c r="Q319" s="331"/>
      <c r="R319" s="331"/>
      <c r="V319" s="331"/>
      <c r="W319" s="200"/>
      <c r="X319" s="200"/>
      <c r="Y319" s="331"/>
      <c r="Z319" s="329"/>
      <c r="AA319" s="331"/>
      <c r="AB319" s="331"/>
      <c r="AC319" s="333"/>
      <c r="AD319" s="333"/>
      <c r="AE319" s="331"/>
      <c r="AF319" s="331"/>
      <c r="AG319" s="209"/>
      <c r="AH319" s="201"/>
      <c r="AI319" s="331"/>
      <c r="AJ319" s="331"/>
      <c r="AK319" s="208"/>
      <c r="AL319" s="331"/>
      <c r="AM319" s="210"/>
      <c r="AN319" s="210"/>
    </row>
    <row r="320" spans="1:40" x14ac:dyDescent="0.25">
      <c r="A320" s="202"/>
      <c r="C320" s="154"/>
      <c r="F320" s="200"/>
      <c r="H320" s="200"/>
      <c r="I320" s="200"/>
      <c r="J320" s="329"/>
      <c r="K320" s="329"/>
      <c r="L320" s="200"/>
      <c r="M320" s="200"/>
      <c r="N320" s="201"/>
      <c r="O320" s="201"/>
      <c r="P320" s="200"/>
      <c r="Q320" s="200"/>
      <c r="R320" s="200"/>
      <c r="T320" s="103"/>
      <c r="V320" s="200"/>
      <c r="W320" s="200"/>
      <c r="X320" s="200"/>
      <c r="Y320" s="200"/>
      <c r="Z320" s="329"/>
      <c r="AA320" s="200"/>
      <c r="AB320" s="200"/>
      <c r="AC320" s="201"/>
      <c r="AD320" s="201"/>
      <c r="AE320" s="200"/>
      <c r="AF320" s="200"/>
      <c r="AG320" s="209"/>
      <c r="AH320" s="201"/>
      <c r="AI320" s="200"/>
      <c r="AJ320" s="200"/>
      <c r="AK320" s="209"/>
      <c r="AL320" s="200"/>
      <c r="AM320" s="210"/>
      <c r="AN320" s="210"/>
    </row>
    <row r="321" spans="1:40" x14ac:dyDescent="0.25">
      <c r="F321" s="102"/>
      <c r="H321" s="102"/>
      <c r="I321" s="102"/>
      <c r="L321" s="102"/>
      <c r="M321" s="102"/>
      <c r="N321" s="333"/>
      <c r="O321" s="333"/>
      <c r="P321" s="331"/>
      <c r="Q321" s="331"/>
      <c r="R321" s="331"/>
      <c r="V321" s="331"/>
      <c r="Y321" s="331"/>
      <c r="Z321" s="305"/>
      <c r="AA321" s="331"/>
      <c r="AB321" s="331"/>
      <c r="AC321" s="331"/>
      <c r="AD321" s="331"/>
      <c r="AE321" s="331"/>
      <c r="AF321" s="331"/>
      <c r="AI321" s="331"/>
      <c r="AJ321" s="331"/>
      <c r="AK321" s="208"/>
      <c r="AL321" s="331"/>
      <c r="AM321" s="333"/>
      <c r="AN321" s="333"/>
    </row>
    <row r="322" spans="1:40" x14ac:dyDescent="0.25">
      <c r="AI322" s="202"/>
      <c r="AJ322" s="202"/>
    </row>
    <row r="326" spans="1:40" x14ac:dyDescent="0.25">
      <c r="N326" s="200"/>
      <c r="O326" s="200"/>
      <c r="P326" s="200"/>
      <c r="Q326" s="200"/>
      <c r="R326" s="200"/>
      <c r="V326" s="200"/>
      <c r="Y326" s="200"/>
      <c r="Z326" s="213"/>
      <c r="AA326" s="200"/>
      <c r="AB326" s="200"/>
      <c r="AC326" s="210"/>
      <c r="AD326" s="210"/>
      <c r="AE326" s="200"/>
      <c r="AF326" s="200"/>
      <c r="AG326" s="209"/>
      <c r="AH326" s="201"/>
      <c r="AI326" s="200"/>
      <c r="AJ326" s="200"/>
      <c r="AK326" s="209"/>
      <c r="AL326" s="200"/>
      <c r="AM326" s="210"/>
      <c r="AN326" s="210"/>
    </row>
    <row r="327" spans="1:40" x14ac:dyDescent="0.25">
      <c r="A327" s="202"/>
      <c r="C327" s="154"/>
      <c r="D327" s="154"/>
      <c r="E327" s="154"/>
      <c r="J327" s="334"/>
      <c r="K327" s="334"/>
      <c r="T327" s="154"/>
      <c r="U327" s="154"/>
      <c r="Z327" s="334"/>
      <c r="AE327" s="200"/>
      <c r="AF327" s="200"/>
      <c r="AI327" s="200"/>
      <c r="AJ327" s="200"/>
      <c r="AK327" s="209"/>
      <c r="AL327" s="200"/>
      <c r="AM327" s="210"/>
      <c r="AN327" s="210"/>
    </row>
    <row r="328" spans="1:40" x14ac:dyDescent="0.25">
      <c r="D328" s="154"/>
      <c r="E328" s="154"/>
      <c r="F328" s="200"/>
      <c r="H328" s="200"/>
      <c r="I328" s="200"/>
      <c r="J328" s="329"/>
      <c r="K328" s="329"/>
      <c r="L328" s="200"/>
      <c r="M328" s="200"/>
      <c r="N328" s="210"/>
      <c r="O328" s="210"/>
      <c r="P328" s="200"/>
      <c r="Q328" s="200"/>
      <c r="R328" s="200"/>
      <c r="U328" s="154"/>
      <c r="V328" s="200"/>
      <c r="Y328" s="200"/>
      <c r="Z328" s="329"/>
      <c r="AA328" s="200"/>
      <c r="AB328" s="200"/>
      <c r="AC328" s="210"/>
      <c r="AD328" s="210"/>
      <c r="AE328" s="200"/>
      <c r="AF328" s="200"/>
      <c r="AG328" s="209"/>
      <c r="AH328" s="201"/>
      <c r="AI328" s="200"/>
      <c r="AJ328" s="200"/>
      <c r="AK328" s="209"/>
      <c r="AL328" s="200"/>
      <c r="AM328" s="210"/>
      <c r="AN328" s="210"/>
    </row>
    <row r="329" spans="1:40" x14ac:dyDescent="0.25">
      <c r="F329" s="200"/>
      <c r="H329" s="200"/>
      <c r="I329" s="200"/>
      <c r="J329" s="305"/>
      <c r="K329" s="305"/>
      <c r="L329" s="200"/>
      <c r="M329" s="200"/>
      <c r="N329" s="200"/>
      <c r="O329" s="200"/>
      <c r="P329" s="200"/>
      <c r="Q329" s="200"/>
      <c r="R329" s="200"/>
      <c r="V329" s="200"/>
      <c r="Y329" s="200"/>
      <c r="Z329" s="305"/>
      <c r="AA329" s="200"/>
      <c r="AB329" s="200"/>
      <c r="AC329" s="200"/>
      <c r="AD329" s="200"/>
      <c r="AE329" s="200"/>
      <c r="AF329" s="200"/>
      <c r="AG329" s="209"/>
      <c r="AH329" s="201"/>
      <c r="AI329" s="252"/>
      <c r="AJ329" s="252"/>
      <c r="AK329" s="209"/>
      <c r="AL329" s="200"/>
      <c r="AM329" s="210"/>
      <c r="AN329" s="210"/>
    </row>
    <row r="330" spans="1:40" x14ac:dyDescent="0.25">
      <c r="A330" s="202"/>
      <c r="C330" s="154"/>
      <c r="F330" s="252"/>
      <c r="H330" s="252"/>
      <c r="I330" s="252"/>
      <c r="J330" s="304"/>
      <c r="K330" s="304"/>
      <c r="L330" s="200"/>
      <c r="M330" s="200"/>
      <c r="N330" s="210"/>
      <c r="O330" s="210"/>
      <c r="P330" s="200"/>
      <c r="Q330" s="200"/>
      <c r="R330" s="200"/>
      <c r="T330" s="154"/>
      <c r="V330" s="252"/>
      <c r="Y330" s="252"/>
      <c r="Z330" s="304"/>
      <c r="AA330" s="200"/>
      <c r="AB330" s="200"/>
      <c r="AC330" s="210"/>
      <c r="AD330" s="210"/>
      <c r="AE330" s="200"/>
      <c r="AF330" s="200"/>
      <c r="AG330" s="209"/>
      <c r="AH330" s="201"/>
      <c r="AI330" s="200"/>
      <c r="AJ330" s="200"/>
      <c r="AK330" s="209"/>
      <c r="AL330" s="200"/>
      <c r="AM330" s="210"/>
      <c r="AN330" s="210"/>
    </row>
    <row r="331" spans="1:40" x14ac:dyDescent="0.25">
      <c r="F331" s="102"/>
      <c r="H331" s="102"/>
      <c r="I331" s="102"/>
      <c r="L331" s="102"/>
      <c r="M331" s="102"/>
      <c r="N331" s="102"/>
      <c r="O331" s="102"/>
      <c r="P331" s="102"/>
      <c r="Q331" s="102"/>
      <c r="R331" s="102"/>
      <c r="V331" s="102"/>
      <c r="Y331" s="102"/>
      <c r="AA331" s="102"/>
      <c r="AB331" s="102"/>
      <c r="AC331" s="102"/>
      <c r="AD331" s="102"/>
      <c r="AE331" s="102"/>
      <c r="AF331" s="102"/>
      <c r="AG331" s="208"/>
      <c r="AH331" s="102"/>
      <c r="AI331" s="102"/>
      <c r="AJ331" s="102"/>
      <c r="AK331" s="208"/>
      <c r="AL331" s="102"/>
      <c r="AM331" s="102"/>
      <c r="AN331" s="102"/>
    </row>
    <row r="332" spans="1:40" x14ac:dyDescent="0.25">
      <c r="A332" s="202"/>
      <c r="C332" s="103"/>
      <c r="F332" s="252"/>
      <c r="H332" s="252"/>
      <c r="I332" s="252"/>
      <c r="J332" s="300"/>
      <c r="K332" s="300"/>
      <c r="L332" s="252"/>
      <c r="M332" s="252"/>
      <c r="N332" s="210"/>
      <c r="O332" s="210"/>
      <c r="P332" s="252"/>
      <c r="Q332" s="252"/>
      <c r="R332" s="252"/>
      <c r="T332" s="103"/>
      <c r="V332" s="200"/>
      <c r="Y332" s="200"/>
      <c r="Z332" s="213"/>
      <c r="AA332" s="200"/>
      <c r="AB332" s="200"/>
      <c r="AC332" s="210"/>
      <c r="AD332" s="210"/>
      <c r="AE332" s="202"/>
      <c r="AF332" s="202"/>
      <c r="AG332" s="209"/>
      <c r="AH332" s="201"/>
      <c r="AI332" s="200"/>
      <c r="AJ332" s="200"/>
      <c r="AK332" s="209"/>
      <c r="AL332" s="200"/>
      <c r="AM332" s="210"/>
      <c r="AN332" s="210"/>
    </row>
    <row r="333" spans="1:40" x14ac:dyDescent="0.25">
      <c r="F333" s="331"/>
      <c r="H333" s="331"/>
      <c r="I333" s="331"/>
      <c r="J333" s="305"/>
      <c r="K333" s="305"/>
      <c r="L333" s="331"/>
      <c r="M333" s="331"/>
      <c r="N333" s="331"/>
      <c r="O333" s="331"/>
      <c r="P333" s="331"/>
      <c r="Q333" s="331"/>
      <c r="R333" s="331"/>
      <c r="V333" s="102"/>
      <c r="Y333" s="102"/>
      <c r="AA333" s="102"/>
      <c r="AB333" s="102"/>
      <c r="AC333" s="102"/>
      <c r="AD333" s="102"/>
      <c r="AE333" s="102"/>
      <c r="AF333" s="102"/>
      <c r="AG333" s="208"/>
      <c r="AH333" s="102"/>
      <c r="AI333" s="102"/>
      <c r="AJ333" s="102"/>
      <c r="AK333" s="208"/>
      <c r="AL333" s="102"/>
      <c r="AM333" s="102"/>
      <c r="AN333" s="102"/>
    </row>
    <row r="334" spans="1:40" x14ac:dyDescent="0.25">
      <c r="F334" s="252"/>
      <c r="H334" s="252"/>
      <c r="I334" s="252"/>
      <c r="J334" s="328"/>
      <c r="K334" s="328"/>
      <c r="L334" s="200"/>
      <c r="M334" s="200"/>
      <c r="N334" s="210"/>
      <c r="O334" s="210"/>
      <c r="P334" s="200"/>
      <c r="Q334" s="200"/>
      <c r="R334" s="200"/>
    </row>
    <row r="335" spans="1:40" x14ac:dyDescent="0.25">
      <c r="A335" s="154"/>
      <c r="F335" s="252"/>
      <c r="H335" s="252"/>
      <c r="I335" s="252"/>
      <c r="J335" s="300"/>
      <c r="K335" s="300"/>
      <c r="L335" s="200"/>
      <c r="M335" s="200"/>
      <c r="N335" s="210"/>
      <c r="O335" s="210"/>
      <c r="P335" s="200"/>
      <c r="Q335" s="200"/>
      <c r="R335" s="200"/>
    </row>
    <row r="336" spans="1:40" x14ac:dyDescent="0.25">
      <c r="F336" s="252"/>
      <c r="H336" s="252"/>
      <c r="I336" s="252"/>
      <c r="J336" s="300"/>
      <c r="K336" s="300"/>
      <c r="L336" s="200"/>
      <c r="M336" s="200"/>
      <c r="N336" s="210"/>
      <c r="O336" s="210"/>
      <c r="P336" s="200"/>
      <c r="Q336" s="200"/>
      <c r="R336" s="200"/>
    </row>
    <row r="337" spans="1:40" x14ac:dyDescent="0.25">
      <c r="A337" s="154"/>
    </row>
    <row r="339" spans="1:40" x14ac:dyDescent="0.25">
      <c r="J339" s="202"/>
      <c r="K339" s="202"/>
      <c r="Z339" s="202"/>
    </row>
    <row r="340" spans="1:40" x14ac:dyDescent="0.25">
      <c r="H340" s="154"/>
      <c r="I340" s="154"/>
      <c r="Y340" s="154"/>
    </row>
    <row r="341" spans="1:40" x14ac:dyDescent="0.25">
      <c r="J341" s="202"/>
      <c r="K341" s="202"/>
      <c r="Z341" s="202"/>
    </row>
    <row r="342" spans="1:40" x14ac:dyDescent="0.25">
      <c r="L342" s="154"/>
      <c r="M342" s="154"/>
      <c r="AA342" s="154"/>
      <c r="AB342" s="154"/>
    </row>
    <row r="343" spans="1:40" x14ac:dyDescent="0.25">
      <c r="A343" s="202"/>
      <c r="R343" s="154"/>
      <c r="AK343" s="297"/>
      <c r="AL343" s="154"/>
    </row>
    <row r="344" spans="1:40" x14ac:dyDescent="0.25">
      <c r="A344" s="202"/>
      <c r="R344" s="154"/>
      <c r="AK344" s="297"/>
      <c r="AL344" s="154"/>
    </row>
    <row r="345" spans="1:40" x14ac:dyDescent="0.25">
      <c r="A345" s="154"/>
      <c r="R345" s="154"/>
      <c r="AK345" s="297"/>
      <c r="AL345" s="154"/>
    </row>
    <row r="346" spans="1:40" x14ac:dyDescent="0.25">
      <c r="L346" s="154"/>
      <c r="M346" s="154"/>
      <c r="R346" s="202"/>
      <c r="AA346" s="154"/>
      <c r="AB346" s="154"/>
      <c r="AK346" s="209"/>
      <c r="AL346" s="202"/>
    </row>
    <row r="347" spans="1:40" x14ac:dyDescent="0.25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208"/>
      <c r="AH347" s="102"/>
      <c r="AI347" s="102"/>
      <c r="AJ347" s="102"/>
      <c r="AK347" s="208"/>
      <c r="AL347" s="102"/>
      <c r="AM347" s="102"/>
      <c r="AN347" s="102"/>
    </row>
    <row r="348" spans="1:40" x14ac:dyDescent="0.25">
      <c r="L348" s="103"/>
      <c r="M348" s="103"/>
      <c r="N348" s="103"/>
      <c r="O348" s="103"/>
      <c r="R348" s="103"/>
      <c r="AA348" s="103"/>
      <c r="AB348" s="103"/>
      <c r="AC348" s="103"/>
      <c r="AD348" s="103"/>
      <c r="AE348" s="103"/>
      <c r="AF348" s="103"/>
      <c r="AG348" s="185"/>
      <c r="AH348" s="103"/>
      <c r="AK348" s="185"/>
      <c r="AL348" s="103"/>
      <c r="AM348" s="103"/>
      <c r="AN348" s="103"/>
    </row>
    <row r="349" spans="1:40" x14ac:dyDescent="0.25">
      <c r="L349" s="103"/>
      <c r="M349" s="103"/>
      <c r="N349" s="103"/>
      <c r="O349" s="103"/>
      <c r="R349" s="103"/>
      <c r="Z349" s="103"/>
      <c r="AA349" s="103"/>
      <c r="AB349" s="103"/>
      <c r="AC349" s="103"/>
      <c r="AD349" s="103"/>
      <c r="AE349" s="103"/>
      <c r="AF349" s="103"/>
      <c r="AG349" s="185"/>
      <c r="AH349" s="103"/>
      <c r="AK349" s="185"/>
      <c r="AL349" s="103"/>
      <c r="AM349" s="103"/>
      <c r="AN349" s="103"/>
    </row>
    <row r="350" spans="1:40" x14ac:dyDescent="0.25">
      <c r="A350" s="103"/>
      <c r="C350" s="103"/>
      <c r="D350" s="103"/>
      <c r="E350" s="103"/>
      <c r="F350" s="103"/>
      <c r="J350" s="103"/>
      <c r="K350" s="103"/>
      <c r="L350" s="103"/>
      <c r="M350" s="103"/>
      <c r="N350" s="103"/>
      <c r="O350" s="103"/>
      <c r="P350" s="103"/>
      <c r="Q350" s="103"/>
      <c r="R350" s="103"/>
      <c r="T350" s="103"/>
      <c r="U350" s="103"/>
      <c r="V350" s="103"/>
      <c r="Z350" s="103"/>
      <c r="AA350" s="103"/>
      <c r="AB350" s="103"/>
      <c r="AC350" s="103"/>
      <c r="AD350" s="103"/>
      <c r="AE350" s="103"/>
      <c r="AF350" s="103"/>
      <c r="AG350" s="185"/>
      <c r="AH350" s="103"/>
      <c r="AI350" s="103"/>
      <c r="AJ350" s="103"/>
      <c r="AK350" s="185"/>
      <c r="AL350" s="103"/>
      <c r="AM350" s="103"/>
      <c r="AN350" s="103"/>
    </row>
    <row r="351" spans="1:40" x14ac:dyDescent="0.25">
      <c r="A351" s="103"/>
      <c r="C351" s="103"/>
      <c r="D351" s="103"/>
      <c r="E351" s="103"/>
      <c r="F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T351" s="103"/>
      <c r="U351" s="103"/>
      <c r="V351" s="103"/>
      <c r="Y351" s="103"/>
      <c r="Z351" s="103"/>
      <c r="AA351" s="103"/>
      <c r="AB351" s="103"/>
      <c r="AC351" s="103"/>
      <c r="AD351" s="103"/>
      <c r="AE351" s="103"/>
      <c r="AF351" s="103"/>
      <c r="AG351" s="185"/>
      <c r="AH351" s="103"/>
      <c r="AI351" s="103"/>
      <c r="AJ351" s="103"/>
      <c r="AK351" s="185"/>
      <c r="AL351" s="103"/>
      <c r="AM351" s="103"/>
      <c r="AN351" s="103"/>
    </row>
    <row r="352" spans="1:40" x14ac:dyDescent="0.25">
      <c r="C352" s="103"/>
      <c r="D352" s="103"/>
      <c r="E352" s="103"/>
      <c r="F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T352" s="103"/>
      <c r="U352" s="103"/>
      <c r="V352" s="103"/>
      <c r="Y352" s="103"/>
      <c r="Z352" s="103"/>
      <c r="AA352" s="103"/>
      <c r="AB352" s="103"/>
      <c r="AC352" s="103"/>
      <c r="AD352" s="103"/>
      <c r="AE352" s="103"/>
      <c r="AF352" s="103"/>
      <c r="AG352" s="185"/>
      <c r="AH352" s="103"/>
      <c r="AI352" s="103"/>
      <c r="AJ352" s="103"/>
      <c r="AK352" s="185"/>
      <c r="AL352" s="103"/>
      <c r="AM352" s="103"/>
      <c r="AN352" s="103"/>
    </row>
    <row r="353" spans="1:40" x14ac:dyDescent="0.25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208"/>
      <c r="AH353" s="102"/>
      <c r="AI353" s="102"/>
      <c r="AJ353" s="102"/>
      <c r="AK353" s="208"/>
      <c r="AL353" s="102"/>
      <c r="AM353" s="102"/>
      <c r="AN353" s="102"/>
    </row>
    <row r="354" spans="1:40" x14ac:dyDescent="0.25"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Y354" s="103"/>
      <c r="Z354" s="103"/>
      <c r="AA354" s="103"/>
      <c r="AB354" s="103"/>
      <c r="AC354" s="103"/>
      <c r="AD354" s="103"/>
      <c r="AE354" s="103"/>
      <c r="AF354" s="103"/>
      <c r="AG354" s="185"/>
      <c r="AH354" s="103"/>
      <c r="AI354" s="103"/>
      <c r="AJ354" s="103"/>
      <c r="AK354" s="185"/>
      <c r="AL354" s="103"/>
      <c r="AM354" s="103"/>
      <c r="AN354" s="103"/>
    </row>
    <row r="355" spans="1:40" x14ac:dyDescent="0.25">
      <c r="A355" s="202"/>
      <c r="C355" s="154"/>
      <c r="D355" s="154"/>
      <c r="E355" s="154"/>
      <c r="T355" s="154"/>
      <c r="U355" s="154"/>
    </row>
    <row r="357" spans="1:40" x14ac:dyDescent="0.25">
      <c r="A357" s="202"/>
      <c r="C357" s="154"/>
      <c r="T357" s="154"/>
    </row>
    <row r="358" spans="1:40" x14ac:dyDescent="0.25">
      <c r="A358" s="202"/>
      <c r="C358" s="154"/>
      <c r="F358" s="252"/>
      <c r="H358" s="252"/>
      <c r="I358" s="252"/>
      <c r="J358" s="305"/>
      <c r="K358" s="305"/>
      <c r="L358" s="200"/>
      <c r="M358" s="200"/>
      <c r="N358" s="210"/>
      <c r="O358" s="210"/>
      <c r="P358" s="200"/>
      <c r="Q358" s="200"/>
      <c r="R358" s="200"/>
      <c r="T358" s="154"/>
      <c r="V358" s="252"/>
      <c r="Y358" s="252"/>
      <c r="Z358" s="305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A359" s="202"/>
      <c r="C359" s="154"/>
      <c r="T359" s="154"/>
    </row>
    <row r="360" spans="1:40" x14ac:dyDescent="0.25">
      <c r="A360" s="202"/>
      <c r="C360" s="154"/>
      <c r="F360" s="252"/>
      <c r="H360" s="252"/>
      <c r="I360" s="252"/>
      <c r="J360" s="329"/>
      <c r="K360" s="329"/>
      <c r="L360" s="200"/>
      <c r="M360" s="200"/>
      <c r="N360" s="210"/>
      <c r="O360" s="210"/>
      <c r="P360" s="200"/>
      <c r="Q360" s="200"/>
      <c r="R360" s="200"/>
      <c r="T360" s="154"/>
      <c r="V360" s="200"/>
      <c r="Y360" s="200"/>
      <c r="Z360" s="329"/>
      <c r="AA360" s="200"/>
      <c r="AB360" s="200"/>
      <c r="AC360" s="210"/>
      <c r="AD360" s="210"/>
      <c r="AE360" s="200"/>
      <c r="AF360" s="200"/>
      <c r="AG360" s="209"/>
      <c r="AH360" s="201"/>
      <c r="AI360" s="200"/>
      <c r="AJ360" s="200"/>
      <c r="AK360" s="209"/>
      <c r="AL360" s="200"/>
      <c r="AM360" s="210"/>
      <c r="AN360" s="210"/>
    </row>
    <row r="361" spans="1:40" x14ac:dyDescent="0.25">
      <c r="A361" s="202"/>
      <c r="C361" s="154"/>
      <c r="F361" s="252"/>
      <c r="H361" s="252"/>
      <c r="I361" s="252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00"/>
      <c r="Y361" s="200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00"/>
      <c r="Y362" s="200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52"/>
      <c r="H363" s="252"/>
      <c r="I363" s="252"/>
      <c r="J363" s="329"/>
      <c r="K363" s="329"/>
      <c r="L363" s="200"/>
      <c r="M363" s="200"/>
      <c r="N363" s="210"/>
      <c r="O363" s="210"/>
      <c r="P363" s="200"/>
      <c r="Q363" s="200"/>
      <c r="R363" s="200"/>
      <c r="T363" s="154"/>
      <c r="V363" s="200"/>
      <c r="Y363" s="200"/>
      <c r="Z363" s="329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A364" s="202"/>
      <c r="C364" s="154"/>
      <c r="J364" s="334"/>
      <c r="K364" s="334"/>
      <c r="T364" s="154"/>
      <c r="Z364" s="334"/>
    </row>
    <row r="365" spans="1:40" x14ac:dyDescent="0.25">
      <c r="A365" s="202"/>
      <c r="C365" s="154"/>
      <c r="F365" s="252"/>
      <c r="H365" s="252"/>
      <c r="I365" s="252"/>
      <c r="J365" s="329"/>
      <c r="K365" s="329"/>
      <c r="L365" s="200"/>
      <c r="M365" s="200"/>
      <c r="N365" s="210"/>
      <c r="O365" s="210"/>
      <c r="P365" s="200"/>
      <c r="Q365" s="200"/>
      <c r="R365" s="200"/>
      <c r="T365" s="154"/>
      <c r="V365" s="200"/>
      <c r="Y365" s="200"/>
      <c r="Z365" s="329"/>
      <c r="AA365" s="200"/>
      <c r="AB365" s="200"/>
      <c r="AC365" s="210"/>
      <c r="AD365" s="21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A366" s="202"/>
      <c r="C366" s="154"/>
      <c r="F366" s="252"/>
      <c r="H366" s="252"/>
      <c r="I366" s="252"/>
      <c r="J366" s="329"/>
      <c r="K366" s="329"/>
      <c r="L366" s="200"/>
      <c r="M366" s="200"/>
      <c r="N366" s="210"/>
      <c r="O366" s="210"/>
      <c r="P366" s="200"/>
      <c r="Q366" s="200"/>
      <c r="R366" s="200"/>
      <c r="T366" s="154"/>
      <c r="V366" s="200"/>
      <c r="Y366" s="200"/>
      <c r="Z366" s="329"/>
      <c r="AA366" s="200"/>
      <c r="AB366" s="200"/>
      <c r="AC366" s="210"/>
      <c r="AD366" s="210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A367" s="202"/>
      <c r="C367" s="154"/>
      <c r="F367" s="252"/>
      <c r="H367" s="252"/>
      <c r="I367" s="252"/>
      <c r="J367" s="329"/>
      <c r="K367" s="329"/>
      <c r="L367" s="200"/>
      <c r="M367" s="200"/>
      <c r="N367" s="210"/>
      <c r="O367" s="210"/>
      <c r="P367" s="200"/>
      <c r="Q367" s="200"/>
      <c r="R367" s="200"/>
      <c r="T367" s="154"/>
      <c r="V367" s="200"/>
      <c r="Y367" s="200"/>
      <c r="Z367" s="329"/>
      <c r="AA367" s="200"/>
      <c r="AB367" s="200"/>
      <c r="AC367" s="210"/>
      <c r="AD367" s="210"/>
      <c r="AE367" s="200"/>
      <c r="AF367" s="200"/>
      <c r="AG367" s="209"/>
      <c r="AH367" s="201"/>
      <c r="AI367" s="200"/>
      <c r="AJ367" s="200"/>
      <c r="AK367" s="209"/>
      <c r="AL367" s="200"/>
      <c r="AM367" s="210"/>
      <c r="AN367" s="210"/>
    </row>
    <row r="368" spans="1:40" x14ac:dyDescent="0.25">
      <c r="A368" s="202"/>
      <c r="C368" s="154"/>
      <c r="J368" s="334"/>
      <c r="K368" s="334"/>
      <c r="T368" s="154"/>
      <c r="Z368" s="334"/>
    </row>
    <row r="369" spans="1:40" x14ac:dyDescent="0.25">
      <c r="A369" s="202"/>
      <c r="C369" s="154"/>
      <c r="F369" s="252"/>
      <c r="H369" s="252"/>
      <c r="I369" s="252"/>
      <c r="J369" s="329"/>
      <c r="K369" s="329"/>
      <c r="L369" s="200"/>
      <c r="M369" s="200"/>
      <c r="N369" s="210"/>
      <c r="O369" s="210"/>
      <c r="P369" s="200"/>
      <c r="Q369" s="200"/>
      <c r="R369" s="200"/>
      <c r="T369" s="154"/>
      <c r="V369" s="200"/>
      <c r="Y369" s="200"/>
      <c r="Z369" s="329"/>
      <c r="AA369" s="200"/>
      <c r="AB369" s="200"/>
      <c r="AC369" s="210"/>
      <c r="AD369" s="210"/>
      <c r="AE369" s="200"/>
      <c r="AF369" s="200"/>
      <c r="AG369" s="209"/>
      <c r="AH369" s="201"/>
      <c r="AI369" s="200"/>
      <c r="AJ369" s="200"/>
      <c r="AK369" s="209"/>
      <c r="AL369" s="200"/>
      <c r="AM369" s="210"/>
      <c r="AN369" s="210"/>
    </row>
    <row r="370" spans="1:40" x14ac:dyDescent="0.25">
      <c r="A370" s="202"/>
      <c r="C370" s="154"/>
      <c r="F370" s="252"/>
      <c r="H370" s="252"/>
      <c r="I370" s="252"/>
      <c r="J370" s="329"/>
      <c r="K370" s="329"/>
      <c r="L370" s="200"/>
      <c r="M370" s="200"/>
      <c r="N370" s="210"/>
      <c r="O370" s="210"/>
      <c r="P370" s="200"/>
      <c r="Q370" s="200"/>
      <c r="R370" s="200"/>
      <c r="T370" s="154"/>
      <c r="V370" s="200"/>
      <c r="Y370" s="200"/>
      <c r="Z370" s="329"/>
      <c r="AA370" s="200"/>
      <c r="AB370" s="200"/>
      <c r="AC370" s="210"/>
      <c r="AD370" s="210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A371" s="202"/>
      <c r="C371" s="154"/>
      <c r="J371" s="334"/>
      <c r="K371" s="334"/>
      <c r="T371" s="154"/>
      <c r="Z371" s="334"/>
    </row>
    <row r="372" spans="1:40" x14ac:dyDescent="0.25">
      <c r="A372" s="202"/>
      <c r="C372" s="154"/>
      <c r="F372" s="252"/>
      <c r="H372" s="252"/>
      <c r="I372" s="252"/>
      <c r="J372" s="329"/>
      <c r="K372" s="329"/>
      <c r="L372" s="200"/>
      <c r="M372" s="200"/>
      <c r="N372" s="210"/>
      <c r="O372" s="210"/>
      <c r="P372" s="200"/>
      <c r="Q372" s="200"/>
      <c r="R372" s="200"/>
      <c r="T372" s="154"/>
      <c r="V372" s="200"/>
      <c r="Y372" s="200"/>
      <c r="Z372" s="329"/>
      <c r="AA372" s="200"/>
      <c r="AB372" s="200"/>
      <c r="AC372" s="210"/>
      <c r="AD372" s="210"/>
      <c r="AE372" s="200"/>
      <c r="AF372" s="200"/>
      <c r="AG372" s="209"/>
      <c r="AH372" s="201"/>
      <c r="AI372" s="200"/>
      <c r="AJ372" s="200"/>
      <c r="AK372" s="209"/>
      <c r="AL372" s="200"/>
      <c r="AM372" s="210"/>
      <c r="AN372" s="210"/>
    </row>
    <row r="373" spans="1:40" x14ac:dyDescent="0.25">
      <c r="A373" s="202"/>
      <c r="C373" s="154"/>
      <c r="F373" s="252"/>
      <c r="H373" s="252"/>
      <c r="I373" s="252"/>
      <c r="J373" s="329"/>
      <c r="K373" s="329"/>
      <c r="L373" s="200"/>
      <c r="M373" s="200"/>
      <c r="N373" s="210"/>
      <c r="O373" s="210"/>
      <c r="P373" s="200"/>
      <c r="Q373" s="200"/>
      <c r="R373" s="200"/>
      <c r="T373" s="154"/>
      <c r="V373" s="200"/>
      <c r="Y373" s="200"/>
      <c r="Z373" s="329"/>
      <c r="AA373" s="200"/>
      <c r="AB373" s="200"/>
      <c r="AC373" s="210"/>
      <c r="AD373" s="210"/>
      <c r="AE373" s="200"/>
      <c r="AF373" s="200"/>
      <c r="AG373" s="209"/>
      <c r="AH373" s="201"/>
      <c r="AI373" s="200"/>
      <c r="AJ373" s="200"/>
      <c r="AK373" s="209"/>
      <c r="AL373" s="200"/>
      <c r="AM373" s="210"/>
      <c r="AN373" s="210"/>
    </row>
    <row r="374" spans="1:40" x14ac:dyDescent="0.25">
      <c r="A374" s="202"/>
      <c r="C374" s="154"/>
      <c r="F374" s="252"/>
      <c r="H374" s="252"/>
      <c r="I374" s="252"/>
      <c r="J374" s="329"/>
      <c r="K374" s="329"/>
      <c r="L374" s="200"/>
      <c r="M374" s="200"/>
      <c r="N374" s="210"/>
      <c r="O374" s="210"/>
      <c r="P374" s="200"/>
      <c r="Q374" s="200"/>
      <c r="R374" s="200"/>
      <c r="T374" s="154"/>
      <c r="V374" s="200"/>
      <c r="Y374" s="200"/>
      <c r="Z374" s="329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F375" s="211"/>
      <c r="H375" s="211"/>
      <c r="I375" s="211"/>
      <c r="J375" s="329"/>
      <c r="K375" s="329"/>
      <c r="L375" s="211"/>
      <c r="M375" s="211"/>
      <c r="N375" s="211"/>
      <c r="O375" s="211"/>
      <c r="P375" s="211"/>
      <c r="Q375" s="211"/>
      <c r="R375" s="211"/>
      <c r="V375" s="211"/>
      <c r="Y375" s="211"/>
      <c r="Z375" s="329"/>
      <c r="AA375" s="211"/>
      <c r="AB375" s="211"/>
      <c r="AC375" s="211"/>
      <c r="AD375" s="211"/>
      <c r="AE375" s="211"/>
      <c r="AF375" s="211"/>
      <c r="AI375" s="211"/>
      <c r="AJ375" s="211"/>
      <c r="AK375" s="212"/>
      <c r="AL375" s="211"/>
    </row>
    <row r="376" spans="1:40" x14ac:dyDescent="0.25">
      <c r="A376" s="202"/>
      <c r="C376" s="103"/>
      <c r="F376" s="200"/>
      <c r="H376" s="200"/>
      <c r="I376" s="200"/>
      <c r="J376" s="334"/>
      <c r="K376" s="334"/>
      <c r="L376" s="200"/>
      <c r="M376" s="200"/>
      <c r="N376" s="201"/>
      <c r="O376" s="201"/>
      <c r="P376" s="200"/>
      <c r="Q376" s="200"/>
      <c r="R376" s="200"/>
      <c r="T376" s="103"/>
      <c r="V376" s="200"/>
      <c r="Y376" s="200"/>
      <c r="Z376" s="334"/>
      <c r="AA376" s="200"/>
      <c r="AB376" s="200"/>
      <c r="AC376" s="200"/>
      <c r="AD376" s="20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F377" s="211"/>
      <c r="H377" s="211"/>
      <c r="I377" s="211"/>
      <c r="J377" s="329"/>
      <c r="K377" s="329"/>
      <c r="L377" s="211"/>
      <c r="M377" s="211"/>
      <c r="N377" s="211"/>
      <c r="O377" s="211"/>
      <c r="P377" s="211"/>
      <c r="Q377" s="211"/>
      <c r="R377" s="211"/>
      <c r="V377" s="211"/>
      <c r="Y377" s="211"/>
      <c r="Z377" s="329"/>
      <c r="AA377" s="211"/>
      <c r="AB377" s="211"/>
      <c r="AC377" s="211"/>
      <c r="AD377" s="211"/>
      <c r="AE377" s="211"/>
      <c r="AF377" s="211"/>
      <c r="AI377" s="211"/>
      <c r="AJ377" s="211"/>
      <c r="AK377" s="212"/>
      <c r="AL377" s="211"/>
    </row>
    <row r="378" spans="1:40" x14ac:dyDescent="0.25">
      <c r="A378" s="202"/>
      <c r="C378" s="154"/>
      <c r="J378" s="334"/>
      <c r="K378" s="334"/>
      <c r="T378" s="154"/>
      <c r="Z378" s="334"/>
    </row>
    <row r="379" spans="1:40" x14ac:dyDescent="0.25">
      <c r="A379" s="202"/>
      <c r="C379" s="154"/>
      <c r="J379" s="334"/>
      <c r="K379" s="334"/>
      <c r="T379" s="154"/>
      <c r="Z379" s="334"/>
    </row>
    <row r="380" spans="1:40" x14ac:dyDescent="0.25">
      <c r="A380" s="202"/>
      <c r="C380" s="154"/>
      <c r="F380" s="252"/>
      <c r="H380" s="252"/>
      <c r="I380" s="252"/>
      <c r="J380" s="329"/>
      <c r="K380" s="329"/>
      <c r="L380" s="200"/>
      <c r="M380" s="200"/>
      <c r="N380" s="210"/>
      <c r="O380" s="210"/>
      <c r="P380" s="200"/>
      <c r="Q380" s="200"/>
      <c r="R380" s="200"/>
      <c r="T380" s="154"/>
      <c r="V380" s="200"/>
      <c r="Y380" s="200"/>
      <c r="Z380" s="329"/>
      <c r="AA380" s="200"/>
      <c r="AB380" s="200"/>
      <c r="AC380" s="210"/>
      <c r="AD380" s="210"/>
      <c r="AE380" s="200"/>
      <c r="AF380" s="200"/>
      <c r="AG380" s="209"/>
      <c r="AH380" s="201"/>
      <c r="AI380" s="200"/>
      <c r="AJ380" s="200"/>
      <c r="AK380" s="209"/>
      <c r="AL380" s="200"/>
      <c r="AM380" s="210"/>
      <c r="AN380" s="210"/>
    </row>
    <row r="381" spans="1:40" x14ac:dyDescent="0.25">
      <c r="A381" s="202"/>
      <c r="C381" s="154"/>
      <c r="F381" s="252"/>
      <c r="H381" s="252"/>
      <c r="I381" s="252"/>
      <c r="J381" s="329"/>
      <c r="K381" s="329"/>
      <c r="L381" s="200"/>
      <c r="M381" s="200"/>
      <c r="N381" s="210"/>
      <c r="O381" s="210"/>
      <c r="P381" s="200"/>
      <c r="Q381" s="200"/>
      <c r="R381" s="200"/>
      <c r="T381" s="154"/>
      <c r="V381" s="200"/>
      <c r="Y381" s="200"/>
      <c r="Z381" s="329"/>
      <c r="AA381" s="200"/>
      <c r="AB381" s="200"/>
      <c r="AC381" s="210"/>
      <c r="AD381" s="210"/>
      <c r="AE381" s="200"/>
      <c r="AF381" s="200"/>
      <c r="AG381" s="209"/>
      <c r="AH381" s="201"/>
      <c r="AI381" s="200"/>
      <c r="AJ381" s="200"/>
      <c r="AK381" s="209"/>
      <c r="AL381" s="200"/>
      <c r="AM381" s="210"/>
      <c r="AN381" s="210"/>
    </row>
    <row r="382" spans="1:40" x14ac:dyDescent="0.25">
      <c r="A382" s="202"/>
      <c r="C382" s="154"/>
      <c r="F382" s="252"/>
      <c r="H382" s="252"/>
      <c r="I382" s="252"/>
      <c r="J382" s="329"/>
      <c r="K382" s="329"/>
      <c r="L382" s="200"/>
      <c r="M382" s="200"/>
      <c r="N382" s="210"/>
      <c r="O382" s="210"/>
      <c r="P382" s="200"/>
      <c r="Q382" s="200"/>
      <c r="R382" s="200"/>
      <c r="T382" s="154"/>
      <c r="V382" s="200"/>
      <c r="Y382" s="200"/>
      <c r="Z382" s="329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A383" s="202"/>
      <c r="C383" s="154"/>
      <c r="F383" s="252"/>
      <c r="H383" s="252"/>
      <c r="I383" s="252"/>
      <c r="J383" s="329"/>
      <c r="K383" s="329"/>
      <c r="L383" s="200"/>
      <c r="M383" s="200"/>
      <c r="N383" s="210"/>
      <c r="O383" s="210"/>
      <c r="P383" s="200"/>
      <c r="Q383" s="200"/>
      <c r="R383" s="200"/>
      <c r="T383" s="154"/>
      <c r="V383" s="200"/>
      <c r="Y383" s="200"/>
      <c r="Z383" s="329"/>
      <c r="AA383" s="200"/>
      <c r="AB383" s="200"/>
      <c r="AC383" s="210"/>
      <c r="AD383" s="210"/>
      <c r="AE383" s="200"/>
      <c r="AF383" s="200"/>
      <c r="AG383" s="209"/>
      <c r="AH383" s="201"/>
      <c r="AI383" s="200"/>
      <c r="AJ383" s="200"/>
      <c r="AK383" s="209"/>
      <c r="AL383" s="200"/>
      <c r="AM383" s="210"/>
      <c r="AN383" s="210"/>
    </row>
    <row r="384" spans="1:40" x14ac:dyDescent="0.25">
      <c r="A384" s="202"/>
      <c r="C384" s="154"/>
      <c r="F384" s="252"/>
      <c r="H384" s="252"/>
      <c r="I384" s="252"/>
      <c r="J384" s="329"/>
      <c r="K384" s="329"/>
      <c r="L384" s="200"/>
      <c r="M384" s="200"/>
      <c r="N384" s="210"/>
      <c r="O384" s="210"/>
      <c r="P384" s="200"/>
      <c r="Q384" s="200"/>
      <c r="R384" s="200"/>
      <c r="T384" s="154"/>
      <c r="V384" s="200"/>
      <c r="Y384" s="200"/>
      <c r="Z384" s="329"/>
      <c r="AA384" s="200"/>
      <c r="AB384" s="200"/>
      <c r="AC384" s="210"/>
      <c r="AD384" s="210"/>
      <c r="AE384" s="200"/>
      <c r="AF384" s="200"/>
      <c r="AG384" s="209"/>
      <c r="AH384" s="201"/>
      <c r="AI384" s="200"/>
      <c r="AJ384" s="200"/>
      <c r="AK384" s="209"/>
      <c r="AL384" s="200"/>
      <c r="AM384" s="210"/>
      <c r="AN384" s="210"/>
    </row>
    <row r="385" spans="1:40" x14ac:dyDescent="0.25">
      <c r="A385" s="202"/>
      <c r="C385" s="154"/>
      <c r="F385" s="252"/>
      <c r="H385" s="252"/>
      <c r="I385" s="252"/>
      <c r="J385" s="329"/>
      <c r="K385" s="329"/>
      <c r="L385" s="200"/>
      <c r="M385" s="200"/>
      <c r="N385" s="210"/>
      <c r="O385" s="210"/>
      <c r="P385" s="200"/>
      <c r="Q385" s="200"/>
      <c r="R385" s="200"/>
      <c r="T385" s="154"/>
      <c r="V385" s="200"/>
      <c r="Y385" s="200"/>
      <c r="Z385" s="329"/>
      <c r="AA385" s="200"/>
      <c r="AB385" s="200"/>
      <c r="AC385" s="210"/>
      <c r="AD385" s="210"/>
      <c r="AE385" s="200"/>
      <c r="AF385" s="200"/>
      <c r="AG385" s="209"/>
      <c r="AH385" s="201"/>
      <c r="AI385" s="200"/>
      <c r="AJ385" s="200"/>
      <c r="AK385" s="209"/>
      <c r="AL385" s="200"/>
      <c r="AM385" s="210"/>
      <c r="AN385" s="210"/>
    </row>
    <row r="386" spans="1:40" x14ac:dyDescent="0.25">
      <c r="A386" s="202"/>
      <c r="C386" s="154"/>
      <c r="F386" s="252"/>
      <c r="H386" s="252"/>
      <c r="I386" s="252"/>
      <c r="J386" s="329"/>
      <c r="K386" s="329"/>
      <c r="L386" s="200"/>
      <c r="M386" s="200"/>
      <c r="N386" s="210"/>
      <c r="O386" s="210"/>
      <c r="P386" s="200"/>
      <c r="Q386" s="200"/>
      <c r="R386" s="200"/>
      <c r="T386" s="154"/>
      <c r="V386" s="200"/>
      <c r="Y386" s="200"/>
      <c r="Z386" s="329"/>
      <c r="AA386" s="200"/>
      <c r="AB386" s="200"/>
      <c r="AC386" s="210"/>
      <c r="AD386" s="210"/>
      <c r="AE386" s="200"/>
      <c r="AF386" s="200"/>
      <c r="AG386" s="209"/>
      <c r="AH386" s="201"/>
      <c r="AI386" s="200"/>
      <c r="AJ386" s="200"/>
      <c r="AK386" s="209"/>
      <c r="AL386" s="200"/>
      <c r="AM386" s="210"/>
      <c r="AN386" s="210"/>
    </row>
    <row r="387" spans="1:40" x14ac:dyDescent="0.25">
      <c r="A387" s="202"/>
      <c r="C387" s="154"/>
      <c r="J387" s="334"/>
      <c r="K387" s="334"/>
      <c r="T387" s="154"/>
      <c r="Z387" s="334"/>
    </row>
    <row r="388" spans="1:40" x14ac:dyDescent="0.25">
      <c r="A388" s="202"/>
      <c r="C388" s="154"/>
      <c r="F388" s="252"/>
      <c r="H388" s="252"/>
      <c r="I388" s="252"/>
      <c r="J388" s="329"/>
      <c r="K388" s="329"/>
      <c r="L388" s="200"/>
      <c r="M388" s="200"/>
      <c r="N388" s="210"/>
      <c r="O388" s="210"/>
      <c r="P388" s="200"/>
      <c r="Q388" s="200"/>
      <c r="R388" s="200"/>
      <c r="T388" s="154"/>
      <c r="V388" s="200"/>
      <c r="Y388" s="200"/>
      <c r="Z388" s="329"/>
      <c r="AA388" s="200"/>
      <c r="AB388" s="200"/>
      <c r="AC388" s="210"/>
      <c r="AD388" s="210"/>
      <c r="AE388" s="200"/>
      <c r="AF388" s="200"/>
      <c r="AG388" s="209"/>
      <c r="AH388" s="201"/>
      <c r="AI388" s="200"/>
      <c r="AJ388" s="200"/>
      <c r="AK388" s="209"/>
      <c r="AL388" s="200"/>
      <c r="AM388" s="210"/>
      <c r="AN388" s="210"/>
    </row>
    <row r="389" spans="1:40" x14ac:dyDescent="0.25">
      <c r="A389" s="202"/>
      <c r="C389" s="154"/>
      <c r="F389" s="252"/>
      <c r="H389" s="252"/>
      <c r="I389" s="252"/>
      <c r="J389" s="329"/>
      <c r="K389" s="329"/>
      <c r="L389" s="200"/>
      <c r="M389" s="200"/>
      <c r="N389" s="210"/>
      <c r="O389" s="210"/>
      <c r="P389" s="200"/>
      <c r="Q389" s="200"/>
      <c r="R389" s="200"/>
      <c r="T389" s="154"/>
      <c r="V389" s="200"/>
      <c r="Y389" s="200"/>
      <c r="Z389" s="329"/>
      <c r="AA389" s="200"/>
      <c r="AB389" s="200"/>
      <c r="AC389" s="210"/>
      <c r="AD389" s="210"/>
      <c r="AE389" s="200"/>
      <c r="AF389" s="200"/>
      <c r="AG389" s="209"/>
      <c r="AH389" s="201"/>
      <c r="AI389" s="200"/>
      <c r="AJ389" s="200"/>
      <c r="AK389" s="209"/>
      <c r="AL389" s="200"/>
      <c r="AM389" s="210"/>
      <c r="AN389" s="210"/>
    </row>
    <row r="390" spans="1:40" x14ac:dyDescent="0.25">
      <c r="A390" s="202"/>
      <c r="C390" s="154"/>
      <c r="F390" s="252"/>
      <c r="H390" s="252"/>
      <c r="I390" s="252"/>
      <c r="J390" s="329"/>
      <c r="K390" s="329"/>
      <c r="L390" s="200"/>
      <c r="M390" s="200"/>
      <c r="N390" s="210"/>
      <c r="O390" s="210"/>
      <c r="P390" s="200"/>
      <c r="Q390" s="200"/>
      <c r="R390" s="200"/>
      <c r="T390" s="154"/>
      <c r="V390" s="200"/>
      <c r="Y390" s="200"/>
      <c r="Z390" s="329"/>
      <c r="AA390" s="200"/>
      <c r="AB390" s="200"/>
      <c r="AC390" s="210"/>
      <c r="AD390" s="210"/>
      <c r="AE390" s="200"/>
      <c r="AF390" s="200"/>
      <c r="AG390" s="209"/>
      <c r="AH390" s="201"/>
      <c r="AI390" s="200"/>
      <c r="AJ390" s="200"/>
      <c r="AK390" s="209"/>
      <c r="AL390" s="200"/>
      <c r="AM390" s="210"/>
      <c r="AN390" s="210"/>
    </row>
    <row r="391" spans="1:40" x14ac:dyDescent="0.25">
      <c r="A391" s="202"/>
      <c r="C391" s="154"/>
      <c r="F391" s="252"/>
      <c r="H391" s="252"/>
      <c r="I391" s="252"/>
      <c r="J391" s="329"/>
      <c r="K391" s="329"/>
      <c r="L391" s="200"/>
      <c r="M391" s="200"/>
      <c r="N391" s="210"/>
      <c r="O391" s="210"/>
      <c r="P391" s="200"/>
      <c r="Q391" s="200"/>
      <c r="R391" s="200"/>
      <c r="T391" s="154"/>
      <c r="V391" s="200"/>
      <c r="Y391" s="200"/>
      <c r="Z391" s="329"/>
      <c r="AA391" s="200"/>
      <c r="AB391" s="200"/>
      <c r="AC391" s="210"/>
      <c r="AD391" s="210"/>
      <c r="AE391" s="200"/>
      <c r="AF391" s="200"/>
      <c r="AG391" s="209"/>
      <c r="AH391" s="201"/>
      <c r="AI391" s="200"/>
      <c r="AJ391" s="200"/>
      <c r="AK391" s="209"/>
      <c r="AL391" s="200"/>
      <c r="AM391" s="210"/>
      <c r="AN391" s="210"/>
    </row>
    <row r="392" spans="1:40" x14ac:dyDescent="0.25">
      <c r="A392" s="202"/>
      <c r="C392" s="154"/>
      <c r="J392" s="334"/>
      <c r="K392" s="334"/>
      <c r="T392" s="154"/>
      <c r="Z392" s="334"/>
    </row>
    <row r="393" spans="1:40" x14ac:dyDescent="0.25">
      <c r="A393" s="202"/>
      <c r="C393" s="154"/>
      <c r="F393" s="252"/>
      <c r="H393" s="252"/>
      <c r="I393" s="252"/>
      <c r="J393" s="329"/>
      <c r="K393" s="329"/>
      <c r="L393" s="200"/>
      <c r="M393" s="200"/>
      <c r="N393" s="210"/>
      <c r="O393" s="210"/>
      <c r="P393" s="200"/>
      <c r="Q393" s="200"/>
      <c r="R393" s="200"/>
      <c r="T393" s="154"/>
      <c r="V393" s="200"/>
      <c r="Y393" s="200"/>
      <c r="Z393" s="329"/>
      <c r="AA393" s="200"/>
      <c r="AB393" s="200"/>
      <c r="AC393" s="210"/>
      <c r="AD393" s="210"/>
      <c r="AE393" s="200"/>
      <c r="AF393" s="200"/>
      <c r="AG393" s="209"/>
      <c r="AH393" s="201"/>
      <c r="AI393" s="200"/>
      <c r="AJ393" s="200"/>
      <c r="AK393" s="209"/>
      <c r="AL393" s="200"/>
      <c r="AM393" s="210"/>
      <c r="AN393" s="210"/>
    </row>
    <row r="394" spans="1:40" x14ac:dyDescent="0.25">
      <c r="A394" s="202"/>
      <c r="C394" s="154"/>
      <c r="F394" s="252"/>
      <c r="H394" s="252"/>
      <c r="I394" s="252"/>
      <c r="J394" s="329"/>
      <c r="K394" s="329"/>
      <c r="L394" s="200"/>
      <c r="M394" s="200"/>
      <c r="N394" s="210"/>
      <c r="O394" s="210"/>
      <c r="P394" s="200"/>
      <c r="Q394" s="200"/>
      <c r="R394" s="200"/>
      <c r="T394" s="154"/>
      <c r="V394" s="200"/>
      <c r="Y394" s="200"/>
      <c r="Z394" s="329"/>
      <c r="AA394" s="200"/>
      <c r="AB394" s="200"/>
      <c r="AC394" s="210"/>
      <c r="AD394" s="210"/>
      <c r="AE394" s="200"/>
      <c r="AF394" s="200"/>
      <c r="AG394" s="209"/>
      <c r="AH394" s="201"/>
      <c r="AI394" s="200"/>
      <c r="AJ394" s="200"/>
      <c r="AK394" s="209"/>
      <c r="AL394" s="200"/>
      <c r="AM394" s="210"/>
      <c r="AN394" s="210"/>
    </row>
    <row r="395" spans="1:40" x14ac:dyDescent="0.25">
      <c r="A395" s="202"/>
      <c r="C395" s="154"/>
      <c r="F395" s="252"/>
      <c r="H395" s="252"/>
      <c r="I395" s="252"/>
      <c r="J395" s="329"/>
      <c r="K395" s="329"/>
      <c r="L395" s="200"/>
      <c r="M395" s="200"/>
      <c r="N395" s="210"/>
      <c r="O395" s="210"/>
      <c r="P395" s="200"/>
      <c r="Q395" s="200"/>
      <c r="R395" s="200"/>
      <c r="T395" s="154"/>
      <c r="V395" s="200"/>
      <c r="Y395" s="200"/>
      <c r="Z395" s="329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A396" s="202"/>
      <c r="C396" s="154"/>
      <c r="F396" s="252"/>
      <c r="H396" s="252"/>
      <c r="I396" s="252"/>
      <c r="J396" s="329"/>
      <c r="K396" s="329"/>
      <c r="L396" s="200"/>
      <c r="M396" s="200"/>
      <c r="N396" s="210"/>
      <c r="O396" s="210"/>
      <c r="P396" s="200"/>
      <c r="Q396" s="200"/>
      <c r="R396" s="200"/>
      <c r="T396" s="154"/>
      <c r="V396" s="200"/>
      <c r="Y396" s="200"/>
      <c r="Z396" s="329"/>
      <c r="AA396" s="200"/>
      <c r="AB396" s="200"/>
      <c r="AC396" s="210"/>
      <c r="AD396" s="210"/>
      <c r="AE396" s="200"/>
      <c r="AF396" s="200"/>
      <c r="AG396" s="209"/>
      <c r="AH396" s="201"/>
      <c r="AI396" s="200"/>
      <c r="AJ396" s="200"/>
      <c r="AK396" s="209"/>
      <c r="AL396" s="200"/>
      <c r="AM396" s="210"/>
      <c r="AN396" s="210"/>
    </row>
    <row r="397" spans="1:40" x14ac:dyDescent="0.25">
      <c r="A397" s="202"/>
      <c r="C397" s="154"/>
      <c r="F397" s="252"/>
      <c r="H397" s="252"/>
      <c r="I397" s="252"/>
      <c r="J397" s="329"/>
      <c r="K397" s="329"/>
      <c r="L397" s="200"/>
      <c r="M397" s="200"/>
      <c r="N397" s="210"/>
      <c r="O397" s="210"/>
      <c r="P397" s="200"/>
      <c r="Q397" s="200"/>
      <c r="R397" s="200"/>
      <c r="T397" s="154"/>
      <c r="V397" s="200"/>
      <c r="Y397" s="200"/>
      <c r="Z397" s="329"/>
      <c r="AA397" s="200"/>
      <c r="AB397" s="200"/>
      <c r="AC397" s="210"/>
      <c r="AD397" s="210"/>
      <c r="AE397" s="200"/>
      <c r="AF397" s="200"/>
      <c r="AG397" s="209"/>
      <c r="AH397" s="201"/>
      <c r="AI397" s="200"/>
      <c r="AJ397" s="200"/>
      <c r="AK397" s="209"/>
      <c r="AL397" s="200"/>
      <c r="AM397" s="210"/>
      <c r="AN397" s="210"/>
    </row>
    <row r="398" spans="1:40" x14ac:dyDescent="0.25">
      <c r="F398" s="211"/>
      <c r="H398" s="211"/>
      <c r="I398" s="211"/>
      <c r="J398" s="305"/>
      <c r="K398" s="305"/>
      <c r="L398" s="211"/>
      <c r="M398" s="211"/>
      <c r="N398" s="211"/>
      <c r="O398" s="211"/>
      <c r="P398" s="211"/>
      <c r="Q398" s="211"/>
      <c r="R398" s="211"/>
      <c r="V398" s="211"/>
      <c r="Y398" s="211"/>
      <c r="Z398" s="329"/>
      <c r="AA398" s="211"/>
      <c r="AB398" s="211"/>
      <c r="AC398" s="211"/>
      <c r="AD398" s="211"/>
      <c r="AE398" s="211"/>
      <c r="AF398" s="211"/>
      <c r="AI398" s="211"/>
      <c r="AJ398" s="211"/>
      <c r="AK398" s="212"/>
      <c r="AL398" s="211"/>
    </row>
    <row r="399" spans="1:40" x14ac:dyDescent="0.25">
      <c r="A399" s="202"/>
      <c r="C399" s="154"/>
      <c r="F399" s="200"/>
      <c r="H399" s="200"/>
      <c r="I399" s="200"/>
      <c r="L399" s="200"/>
      <c r="M399" s="200"/>
      <c r="N399" s="201"/>
      <c r="O399" s="201"/>
      <c r="P399" s="200"/>
      <c r="Q399" s="200"/>
      <c r="R399" s="200"/>
      <c r="T399" s="154"/>
      <c r="V399" s="200"/>
      <c r="Y399" s="200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F400" s="211"/>
      <c r="H400" s="211"/>
      <c r="I400" s="211"/>
      <c r="J400" s="305"/>
      <c r="K400" s="305"/>
      <c r="L400" s="211"/>
      <c r="M400" s="211"/>
      <c r="N400" s="211"/>
      <c r="O400" s="211"/>
      <c r="P400" s="211"/>
      <c r="Q400" s="211"/>
      <c r="R400" s="211"/>
      <c r="V400" s="211"/>
      <c r="Y400" s="211"/>
      <c r="Z400" s="305"/>
      <c r="AA400" s="211"/>
      <c r="AB400" s="211"/>
      <c r="AC400" s="211"/>
      <c r="AD400" s="211"/>
      <c r="AE400" s="211"/>
      <c r="AF400" s="211"/>
      <c r="AI400" s="211"/>
      <c r="AJ400" s="211"/>
      <c r="AK400" s="212"/>
      <c r="AL400" s="211"/>
    </row>
    <row r="401" spans="1:40" x14ac:dyDescent="0.25">
      <c r="A401" s="202"/>
      <c r="C401" s="154"/>
      <c r="T401" s="154"/>
    </row>
    <row r="402" spans="1:40" x14ac:dyDescent="0.25">
      <c r="A402" s="202"/>
      <c r="C402" s="154"/>
      <c r="F402" s="252"/>
      <c r="H402" s="252"/>
      <c r="I402" s="252"/>
      <c r="J402" s="300"/>
      <c r="K402" s="300"/>
      <c r="L402" s="200"/>
      <c r="M402" s="200"/>
      <c r="N402" s="210"/>
      <c r="O402" s="210"/>
      <c r="P402" s="200"/>
      <c r="Q402" s="200"/>
      <c r="R402" s="200"/>
      <c r="T402" s="154"/>
      <c r="V402" s="200"/>
      <c r="Y402" s="200"/>
      <c r="Z402" s="300"/>
      <c r="AA402" s="200"/>
      <c r="AB402" s="200"/>
      <c r="AC402" s="210"/>
      <c r="AD402" s="210"/>
      <c r="AE402" s="200"/>
      <c r="AF402" s="200"/>
      <c r="AG402" s="209"/>
      <c r="AH402" s="201"/>
      <c r="AI402" s="200"/>
      <c r="AJ402" s="200"/>
      <c r="AK402" s="209"/>
      <c r="AL402" s="200"/>
      <c r="AM402" s="210"/>
      <c r="AN402" s="210"/>
    </row>
    <row r="403" spans="1:40" x14ac:dyDescent="0.25">
      <c r="A403" s="202"/>
      <c r="C403" s="154"/>
      <c r="F403" s="252"/>
      <c r="H403" s="252"/>
      <c r="I403" s="252"/>
      <c r="J403" s="300"/>
      <c r="K403" s="300"/>
      <c r="L403" s="200"/>
      <c r="M403" s="200"/>
      <c r="N403" s="210"/>
      <c r="O403" s="210"/>
      <c r="P403" s="200"/>
      <c r="Q403" s="200"/>
      <c r="R403" s="200"/>
      <c r="T403" s="154"/>
      <c r="V403" s="200"/>
      <c r="Y403" s="200"/>
      <c r="Z403" s="300"/>
      <c r="AA403" s="200"/>
      <c r="AB403" s="200"/>
      <c r="AC403" s="210"/>
      <c r="AD403" s="210"/>
      <c r="AE403" s="200"/>
      <c r="AF403" s="200"/>
      <c r="AG403" s="209"/>
      <c r="AH403" s="201"/>
      <c r="AI403" s="200"/>
      <c r="AJ403" s="200"/>
      <c r="AK403" s="209"/>
      <c r="AL403" s="200"/>
      <c r="AM403" s="210"/>
      <c r="AN403" s="210"/>
    </row>
    <row r="404" spans="1:40" x14ac:dyDescent="0.25">
      <c r="F404" s="211"/>
      <c r="H404" s="200"/>
      <c r="I404" s="200"/>
      <c r="J404" s="305"/>
      <c r="K404" s="305"/>
      <c r="L404" s="211"/>
      <c r="M404" s="211"/>
      <c r="N404" s="211"/>
      <c r="O404" s="211"/>
      <c r="P404" s="211"/>
      <c r="Q404" s="211"/>
      <c r="R404" s="211"/>
      <c r="V404" s="211"/>
      <c r="Y404" s="200"/>
      <c r="Z404" s="305"/>
      <c r="AA404" s="211"/>
      <c r="AB404" s="211"/>
      <c r="AC404" s="211"/>
      <c r="AD404" s="211"/>
      <c r="AE404" s="211"/>
      <c r="AF404" s="211"/>
      <c r="AI404" s="211"/>
      <c r="AJ404" s="211"/>
      <c r="AK404" s="212"/>
      <c r="AL404" s="211"/>
    </row>
    <row r="405" spans="1:40" x14ac:dyDescent="0.25">
      <c r="F405" s="200"/>
      <c r="H405" s="200"/>
      <c r="I405" s="200"/>
      <c r="J405" s="305"/>
      <c r="K405" s="305"/>
      <c r="L405" s="200"/>
      <c r="M405" s="200"/>
      <c r="N405" s="200"/>
      <c r="O405" s="200"/>
      <c r="P405" s="200"/>
      <c r="Q405" s="200"/>
      <c r="R405" s="200"/>
      <c r="V405" s="200"/>
      <c r="Y405" s="200"/>
      <c r="Z405" s="305"/>
      <c r="AA405" s="200"/>
      <c r="AB405" s="200"/>
      <c r="AC405" s="200"/>
      <c r="AD405" s="200"/>
      <c r="AE405" s="200"/>
      <c r="AF405" s="200"/>
      <c r="AI405" s="200"/>
      <c r="AJ405" s="200"/>
      <c r="AK405" s="209"/>
      <c r="AL405" s="200"/>
    </row>
    <row r="406" spans="1:40" x14ac:dyDescent="0.25">
      <c r="A406" s="202"/>
      <c r="C406" s="154"/>
      <c r="F406" s="200"/>
      <c r="H406" s="200"/>
      <c r="I406" s="200"/>
      <c r="L406" s="200"/>
      <c r="M406" s="200"/>
      <c r="N406" s="210"/>
      <c r="O406" s="210"/>
      <c r="P406" s="200"/>
      <c r="Q406" s="200"/>
      <c r="R406" s="200"/>
      <c r="T406" s="154"/>
      <c r="V406" s="200"/>
      <c r="Y406" s="200"/>
      <c r="AA406" s="200"/>
      <c r="AB406" s="200"/>
      <c r="AC406" s="210"/>
      <c r="AD406" s="210"/>
      <c r="AE406" s="200"/>
      <c r="AF406" s="200"/>
      <c r="AG406" s="209"/>
      <c r="AH406" s="201"/>
      <c r="AI406" s="252"/>
      <c r="AJ406" s="252"/>
      <c r="AK406" s="209"/>
      <c r="AL406" s="200"/>
      <c r="AM406" s="210"/>
      <c r="AN406" s="210"/>
    </row>
    <row r="407" spans="1:40" x14ac:dyDescent="0.25">
      <c r="H407" s="211"/>
      <c r="I407" s="211"/>
      <c r="J407" s="305"/>
      <c r="K407" s="305"/>
      <c r="L407" s="211"/>
      <c r="M407" s="211"/>
      <c r="N407" s="211"/>
      <c r="O407" s="211"/>
      <c r="P407" s="211"/>
      <c r="Q407" s="211"/>
      <c r="R407" s="211"/>
      <c r="V407" s="211"/>
      <c r="Y407" s="211"/>
      <c r="Z407" s="305"/>
      <c r="AA407" s="211"/>
      <c r="AB407" s="211"/>
      <c r="AC407" s="211"/>
      <c r="AD407" s="211"/>
      <c r="AE407" s="211"/>
      <c r="AF407" s="211"/>
      <c r="AI407" s="211"/>
      <c r="AJ407" s="211"/>
      <c r="AK407" s="212"/>
      <c r="AL407" s="211"/>
    </row>
    <row r="408" spans="1:40" x14ac:dyDescent="0.25">
      <c r="F408" s="211"/>
    </row>
    <row r="409" spans="1:40" x14ac:dyDescent="0.25">
      <c r="A409" s="154"/>
      <c r="T409" s="154"/>
    </row>
    <row r="410" spans="1:40" x14ac:dyDescent="0.25">
      <c r="A410" s="154"/>
      <c r="T410" s="154"/>
    </row>
    <row r="411" spans="1:40" x14ac:dyDescent="0.25">
      <c r="A411" s="154"/>
      <c r="T411" s="154"/>
    </row>
    <row r="412" spans="1:40" x14ac:dyDescent="0.25">
      <c r="A412" s="154"/>
      <c r="T412" s="154"/>
    </row>
    <row r="413" spans="1:40" x14ac:dyDescent="0.25">
      <c r="A413" s="154"/>
      <c r="T413" s="154"/>
    </row>
    <row r="414" spans="1:40" x14ac:dyDescent="0.25">
      <c r="A414" s="154"/>
      <c r="T414" s="154"/>
    </row>
    <row r="415" spans="1:40" x14ac:dyDescent="0.25">
      <c r="A415" s="154"/>
      <c r="T415" s="154"/>
    </row>
    <row r="416" spans="1:40" x14ac:dyDescent="0.25">
      <c r="A416" s="154"/>
      <c r="T416" s="154"/>
    </row>
    <row r="417" spans="1:40" x14ac:dyDescent="0.25">
      <c r="A417" s="154"/>
      <c r="T417" s="154"/>
    </row>
    <row r="419" spans="1:40" x14ac:dyDescent="0.25">
      <c r="A419" s="154"/>
    </row>
    <row r="420" spans="1:40" x14ac:dyDescent="0.25">
      <c r="J420" s="202"/>
      <c r="K420" s="202"/>
      <c r="Z420" s="202"/>
    </row>
    <row r="421" spans="1:40" x14ac:dyDescent="0.25">
      <c r="H421" s="154"/>
      <c r="I421" s="154"/>
      <c r="Y421" s="154"/>
    </row>
    <row r="422" spans="1:40" x14ac:dyDescent="0.25">
      <c r="J422" s="202"/>
      <c r="K422" s="202"/>
      <c r="Z422" s="202"/>
    </row>
    <row r="423" spans="1:40" x14ac:dyDescent="0.25">
      <c r="L423" s="154"/>
      <c r="M423" s="154"/>
      <c r="AA423" s="154"/>
      <c r="AB423" s="154"/>
    </row>
    <row r="424" spans="1:40" x14ac:dyDescent="0.25">
      <c r="A424" s="202"/>
      <c r="R424" s="154"/>
      <c r="AK424" s="297"/>
      <c r="AL424" s="154"/>
    </row>
    <row r="425" spans="1:40" x14ac:dyDescent="0.25">
      <c r="A425" s="202"/>
      <c r="R425" s="154"/>
      <c r="AK425" s="297"/>
      <c r="AL425" s="154"/>
    </row>
    <row r="426" spans="1:40" x14ac:dyDescent="0.25">
      <c r="A426" s="154"/>
      <c r="R426" s="154"/>
      <c r="AK426" s="297"/>
      <c r="AL426" s="154"/>
    </row>
    <row r="427" spans="1:40" x14ac:dyDescent="0.25">
      <c r="L427" s="154"/>
      <c r="M427" s="154"/>
      <c r="R427" s="202"/>
      <c r="AA427" s="154"/>
      <c r="AB427" s="154"/>
      <c r="AK427" s="209"/>
      <c r="AL427" s="202"/>
    </row>
    <row r="428" spans="1:40" x14ac:dyDescent="0.25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208"/>
      <c r="AH428" s="102"/>
      <c r="AI428" s="102"/>
      <c r="AJ428" s="102"/>
      <c r="AK428" s="208"/>
      <c r="AL428" s="102"/>
      <c r="AM428" s="102"/>
      <c r="AN428" s="102"/>
    </row>
    <row r="429" spans="1:40" x14ac:dyDescent="0.25">
      <c r="L429" s="103"/>
      <c r="M429" s="103"/>
      <c r="N429" s="103"/>
      <c r="O429" s="103"/>
      <c r="R429" s="103"/>
      <c r="AA429" s="103"/>
      <c r="AB429" s="103"/>
      <c r="AC429" s="103"/>
      <c r="AD429" s="103"/>
      <c r="AE429" s="103"/>
      <c r="AF429" s="103"/>
      <c r="AG429" s="185"/>
      <c r="AH429" s="103"/>
      <c r="AK429" s="185"/>
      <c r="AL429" s="103"/>
      <c r="AM429" s="103"/>
      <c r="AN429" s="103"/>
    </row>
    <row r="430" spans="1:40" x14ac:dyDescent="0.25">
      <c r="L430" s="103"/>
      <c r="M430" s="103"/>
      <c r="N430" s="103"/>
      <c r="O430" s="103"/>
      <c r="R430" s="103"/>
      <c r="Z430" s="103"/>
      <c r="AA430" s="103"/>
      <c r="AB430" s="103"/>
      <c r="AC430" s="103"/>
      <c r="AD430" s="103"/>
      <c r="AE430" s="103"/>
      <c r="AF430" s="103"/>
      <c r="AG430" s="185"/>
      <c r="AH430" s="103"/>
      <c r="AK430" s="185"/>
      <c r="AL430" s="103"/>
      <c r="AM430" s="103"/>
      <c r="AN430" s="103"/>
    </row>
    <row r="431" spans="1:40" x14ac:dyDescent="0.25">
      <c r="A431" s="103"/>
      <c r="C431" s="103"/>
      <c r="D431" s="103"/>
      <c r="E431" s="103"/>
      <c r="F431" s="103"/>
      <c r="J431" s="103"/>
      <c r="K431" s="103"/>
      <c r="L431" s="103"/>
      <c r="M431" s="103"/>
      <c r="N431" s="103"/>
      <c r="O431" s="103"/>
      <c r="P431" s="103"/>
      <c r="Q431" s="103"/>
      <c r="R431" s="103"/>
      <c r="T431" s="103"/>
      <c r="U431" s="103"/>
      <c r="V431" s="103"/>
      <c r="Z431" s="103"/>
      <c r="AA431" s="103"/>
      <c r="AB431" s="103"/>
      <c r="AC431" s="103"/>
      <c r="AD431" s="103"/>
      <c r="AE431" s="103"/>
      <c r="AF431" s="103"/>
      <c r="AG431" s="185"/>
      <c r="AH431" s="103"/>
      <c r="AI431" s="103"/>
      <c r="AJ431" s="103"/>
      <c r="AK431" s="185"/>
      <c r="AL431" s="103"/>
      <c r="AM431" s="103"/>
      <c r="AN431" s="103"/>
    </row>
    <row r="432" spans="1:40" x14ac:dyDescent="0.25">
      <c r="A432" s="103"/>
      <c r="C432" s="103"/>
      <c r="D432" s="103"/>
      <c r="E432" s="103"/>
      <c r="F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T432" s="103"/>
      <c r="U432" s="103"/>
      <c r="V432" s="103"/>
      <c r="Y432" s="103"/>
      <c r="Z432" s="103"/>
      <c r="AA432" s="103"/>
      <c r="AB432" s="103"/>
      <c r="AC432" s="103"/>
      <c r="AD432" s="103"/>
      <c r="AE432" s="103"/>
      <c r="AF432" s="103"/>
      <c r="AG432" s="185"/>
      <c r="AH432" s="103"/>
      <c r="AI432" s="103"/>
      <c r="AJ432" s="103"/>
      <c r="AK432" s="185"/>
      <c r="AL432" s="103"/>
      <c r="AM432" s="103"/>
      <c r="AN432" s="103"/>
    </row>
    <row r="433" spans="1:40" x14ac:dyDescent="0.25">
      <c r="C433" s="103"/>
      <c r="D433" s="103"/>
      <c r="E433" s="103"/>
      <c r="F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T433" s="103"/>
      <c r="U433" s="103"/>
      <c r="V433" s="103"/>
      <c r="Y433" s="103"/>
      <c r="Z433" s="103"/>
      <c r="AA433" s="103"/>
      <c r="AB433" s="103"/>
      <c r="AC433" s="103"/>
      <c r="AD433" s="103"/>
      <c r="AE433" s="103"/>
      <c r="AF433" s="103"/>
      <c r="AG433" s="185"/>
      <c r="AH433" s="103"/>
      <c r="AI433" s="103"/>
      <c r="AJ433" s="103"/>
      <c r="AK433" s="185"/>
      <c r="AL433" s="103"/>
      <c r="AM433" s="103"/>
      <c r="AN433" s="103"/>
    </row>
    <row r="434" spans="1:40" x14ac:dyDescent="0.2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208"/>
      <c r="AH434" s="102"/>
      <c r="AI434" s="102"/>
      <c r="AJ434" s="102"/>
      <c r="AK434" s="208"/>
      <c r="AL434" s="102"/>
      <c r="AM434" s="102"/>
      <c r="AN434" s="102"/>
    </row>
    <row r="435" spans="1:40" x14ac:dyDescent="0.25"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Y435" s="103"/>
      <c r="Z435" s="103"/>
      <c r="AA435" s="103"/>
      <c r="AB435" s="103"/>
      <c r="AC435" s="103"/>
      <c r="AD435" s="103"/>
      <c r="AE435" s="103"/>
      <c r="AF435" s="103"/>
      <c r="AG435" s="185"/>
      <c r="AH435" s="103"/>
      <c r="AI435" s="103"/>
      <c r="AJ435" s="103"/>
      <c r="AK435" s="185"/>
      <c r="AL435" s="103"/>
      <c r="AM435" s="103"/>
      <c r="AN435" s="103"/>
    </row>
    <row r="436" spans="1:40" x14ac:dyDescent="0.25">
      <c r="A436" s="202"/>
      <c r="C436" s="154"/>
      <c r="D436" s="154"/>
      <c r="E436" s="154"/>
      <c r="T436" s="154"/>
      <c r="U436" s="154"/>
    </row>
    <row r="437" spans="1:40" x14ac:dyDescent="0.25">
      <c r="A437" s="202"/>
      <c r="D437" s="154"/>
      <c r="E437" s="154"/>
      <c r="U437" s="154"/>
    </row>
    <row r="439" spans="1:40" x14ac:dyDescent="0.25">
      <c r="A439" s="202"/>
      <c r="C439" s="154"/>
      <c r="F439" s="200"/>
      <c r="J439" s="215"/>
      <c r="K439" s="215"/>
      <c r="L439" s="200"/>
      <c r="M439" s="200"/>
      <c r="R439" s="200"/>
      <c r="T439" s="154"/>
      <c r="V439" s="200"/>
      <c r="Z439" s="215"/>
      <c r="AA439" s="200"/>
      <c r="AB439" s="200"/>
      <c r="AG439" s="209"/>
      <c r="AH439" s="200"/>
      <c r="AK439" s="209"/>
      <c r="AL439" s="200"/>
    </row>
    <row r="440" spans="1:40" x14ac:dyDescent="0.25">
      <c r="A440" s="202"/>
      <c r="C440" s="154"/>
      <c r="F440" s="200"/>
      <c r="R440" s="200"/>
      <c r="T440" s="154"/>
      <c r="V440" s="200"/>
      <c r="AG440" s="209"/>
      <c r="AH440" s="200"/>
      <c r="AK440" s="209"/>
      <c r="AL440" s="200"/>
    </row>
    <row r="441" spans="1:40" x14ac:dyDescent="0.25">
      <c r="AI441" s="200"/>
      <c r="AJ441" s="200"/>
      <c r="AK441" s="209"/>
      <c r="AL441" s="200"/>
      <c r="AM441" s="210"/>
      <c r="AN441" s="210"/>
    </row>
    <row r="442" spans="1:40" x14ac:dyDescent="0.25">
      <c r="A442" s="202"/>
      <c r="C442" s="154"/>
      <c r="F442" s="252"/>
      <c r="H442" s="252"/>
      <c r="I442" s="252"/>
      <c r="J442" s="328"/>
      <c r="K442" s="328"/>
      <c r="L442" s="200"/>
      <c r="M442" s="200"/>
      <c r="N442" s="210"/>
      <c r="O442" s="210"/>
      <c r="P442" s="200"/>
      <c r="Q442" s="200"/>
      <c r="R442" s="200"/>
      <c r="T442" s="154"/>
      <c r="V442" s="200"/>
      <c r="Y442" s="200"/>
      <c r="Z442" s="328"/>
      <c r="AA442" s="200"/>
      <c r="AB442" s="200"/>
      <c r="AC442" s="210"/>
      <c r="AD442" s="210"/>
      <c r="AE442" s="200"/>
      <c r="AF442" s="200"/>
      <c r="AG442" s="209"/>
      <c r="AH442" s="201"/>
      <c r="AI442" s="200"/>
      <c r="AJ442" s="200"/>
      <c r="AK442" s="209"/>
      <c r="AL442" s="200"/>
      <c r="AM442" s="210"/>
      <c r="AN442" s="210"/>
    </row>
    <row r="443" spans="1:40" x14ac:dyDescent="0.25">
      <c r="F443" s="200"/>
      <c r="H443" s="200"/>
      <c r="I443" s="200"/>
      <c r="J443" s="213"/>
      <c r="K443" s="213"/>
      <c r="L443" s="200"/>
      <c r="M443" s="200"/>
      <c r="P443" s="200"/>
      <c r="Q443" s="200"/>
      <c r="R443" s="200"/>
      <c r="V443" s="200"/>
      <c r="Y443" s="200"/>
      <c r="Z443" s="213"/>
      <c r="AA443" s="200"/>
      <c r="AB443" s="200"/>
      <c r="AI443" s="200"/>
      <c r="AJ443" s="200"/>
      <c r="AK443" s="209"/>
      <c r="AL443" s="200"/>
      <c r="AM443" s="210"/>
      <c r="AN443" s="210"/>
    </row>
    <row r="444" spans="1:40" x14ac:dyDescent="0.25">
      <c r="F444" s="200"/>
      <c r="R444" s="200"/>
      <c r="V444" s="200"/>
      <c r="AK444" s="209"/>
      <c r="AL444" s="200"/>
      <c r="AM444" s="210"/>
      <c r="AN444" s="210"/>
    </row>
    <row r="445" spans="1:40" x14ac:dyDescent="0.25">
      <c r="A445" s="202"/>
      <c r="C445" s="154"/>
      <c r="F445" s="200"/>
      <c r="J445" s="215"/>
      <c r="K445" s="215"/>
      <c r="L445" s="200"/>
      <c r="M445" s="200"/>
      <c r="N445" s="210"/>
      <c r="O445" s="210"/>
      <c r="R445" s="200"/>
      <c r="T445" s="154"/>
      <c r="V445" s="200"/>
      <c r="Z445" s="215"/>
      <c r="AA445" s="200"/>
      <c r="AB445" s="200"/>
      <c r="AC445" s="210"/>
      <c r="AD445" s="210"/>
      <c r="AK445" s="209"/>
      <c r="AL445" s="200"/>
      <c r="AM445" s="210"/>
      <c r="AN445" s="210"/>
    </row>
    <row r="446" spans="1:40" x14ac:dyDescent="0.25">
      <c r="A446" s="202"/>
      <c r="C446" s="154"/>
      <c r="F446" s="200"/>
      <c r="H446" s="200"/>
      <c r="I446" s="200"/>
      <c r="J446" s="215"/>
      <c r="K446" s="215"/>
      <c r="L446" s="200"/>
      <c r="M446" s="200"/>
      <c r="N446" s="210"/>
      <c r="O446" s="210"/>
      <c r="P446" s="200"/>
      <c r="Q446" s="200"/>
      <c r="R446" s="200"/>
      <c r="T446" s="154"/>
      <c r="V446" s="200"/>
      <c r="Y446" s="200"/>
      <c r="Z446" s="215"/>
      <c r="AA446" s="200"/>
      <c r="AB446" s="200"/>
      <c r="AC446" s="210"/>
      <c r="AD446" s="210"/>
      <c r="AI446" s="200"/>
      <c r="AJ446" s="200"/>
      <c r="AK446" s="209"/>
      <c r="AL446" s="200"/>
      <c r="AM446" s="210"/>
      <c r="AN446" s="210"/>
    </row>
    <row r="447" spans="1:40" x14ac:dyDescent="0.25">
      <c r="A447" s="202"/>
      <c r="C447" s="154"/>
      <c r="T447" s="154"/>
      <c r="AM447" s="210"/>
      <c r="AN447" s="210"/>
    </row>
    <row r="448" spans="1:40" x14ac:dyDescent="0.25">
      <c r="A448" s="202"/>
      <c r="C448" s="154"/>
      <c r="T448" s="154"/>
      <c r="AM448" s="210"/>
      <c r="AN448" s="210"/>
    </row>
    <row r="449" spans="1:40" x14ac:dyDescent="0.25">
      <c r="AM449" s="210"/>
      <c r="AN449" s="210"/>
    </row>
    <row r="450" spans="1:40" x14ac:dyDescent="0.25">
      <c r="A450" s="202"/>
      <c r="C450" s="154"/>
      <c r="F450" s="252"/>
      <c r="H450" s="252"/>
      <c r="I450" s="252"/>
      <c r="J450" s="328"/>
      <c r="K450" s="328"/>
      <c r="L450" s="200"/>
      <c r="M450" s="200"/>
      <c r="N450" s="210"/>
      <c r="O450" s="210"/>
      <c r="P450" s="200"/>
      <c r="Q450" s="200"/>
      <c r="R450" s="200"/>
      <c r="T450" s="154"/>
      <c r="V450" s="200"/>
      <c r="Y450" s="200"/>
      <c r="Z450" s="328"/>
      <c r="AA450" s="200"/>
      <c r="AB450" s="200"/>
      <c r="AC450" s="210"/>
      <c r="AD450" s="210"/>
      <c r="AE450" s="200"/>
      <c r="AF450" s="200"/>
      <c r="AG450" s="209"/>
      <c r="AH450" s="201"/>
      <c r="AI450" s="200"/>
      <c r="AJ450" s="200"/>
      <c r="AK450" s="209"/>
      <c r="AL450" s="200"/>
      <c r="AM450" s="210"/>
      <c r="AN450" s="210"/>
    </row>
    <row r="451" spans="1:40" x14ac:dyDescent="0.25">
      <c r="F451" s="211"/>
      <c r="H451" s="211"/>
      <c r="I451" s="211"/>
      <c r="J451" s="305"/>
      <c r="K451" s="305"/>
      <c r="L451" s="211"/>
      <c r="M451" s="211"/>
      <c r="N451" s="211"/>
      <c r="O451" s="211"/>
      <c r="P451" s="211"/>
      <c r="Q451" s="211"/>
      <c r="R451" s="211"/>
      <c r="V451" s="211"/>
      <c r="Y451" s="211"/>
      <c r="Z451" s="305"/>
      <c r="AA451" s="211"/>
      <c r="AB451" s="211"/>
      <c r="AC451" s="211"/>
      <c r="AD451" s="211"/>
      <c r="AE451" s="211"/>
      <c r="AF451" s="211"/>
      <c r="AI451" s="211"/>
      <c r="AJ451" s="211"/>
      <c r="AK451" s="212"/>
      <c r="AL451" s="211"/>
      <c r="AM451" s="210"/>
      <c r="AN451" s="210"/>
    </row>
    <row r="452" spans="1:40" x14ac:dyDescent="0.25">
      <c r="H452" s="200"/>
      <c r="I452" s="200"/>
      <c r="Y452" s="200"/>
      <c r="AM452" s="210"/>
      <c r="AN452" s="210"/>
    </row>
    <row r="453" spans="1:40" x14ac:dyDescent="0.25">
      <c r="A453" s="202"/>
      <c r="C453" s="154"/>
      <c r="F453" s="200"/>
      <c r="H453" s="200"/>
      <c r="I453" s="200"/>
      <c r="L453" s="200"/>
      <c r="M453" s="200"/>
      <c r="N453" s="210"/>
      <c r="O453" s="210"/>
      <c r="P453" s="252"/>
      <c r="Q453" s="252"/>
      <c r="R453" s="200"/>
      <c r="T453" s="154"/>
      <c r="V453" s="200"/>
      <c r="Y453" s="200"/>
      <c r="AA453" s="200"/>
      <c r="AB453" s="200"/>
      <c r="AC453" s="210"/>
      <c r="AD453" s="210"/>
      <c r="AE453" s="200"/>
      <c r="AF453" s="200"/>
      <c r="AG453" s="209"/>
      <c r="AH453" s="201"/>
      <c r="AI453" s="252"/>
      <c r="AJ453" s="252"/>
      <c r="AK453" s="209"/>
      <c r="AL453" s="200"/>
      <c r="AM453" s="210"/>
      <c r="AN453" s="210"/>
    </row>
    <row r="454" spans="1:40" x14ac:dyDescent="0.25">
      <c r="H454" s="211"/>
      <c r="I454" s="211"/>
      <c r="J454" s="305"/>
      <c r="K454" s="305"/>
      <c r="L454" s="211"/>
      <c r="M454" s="211"/>
      <c r="N454" s="211"/>
      <c r="O454" s="211"/>
      <c r="P454" s="211"/>
      <c r="Q454" s="211"/>
      <c r="R454" s="211"/>
      <c r="V454" s="211"/>
      <c r="Y454" s="211"/>
      <c r="Z454" s="305"/>
      <c r="AA454" s="211"/>
      <c r="AB454" s="211"/>
      <c r="AC454" s="211"/>
      <c r="AD454" s="211"/>
      <c r="AE454" s="211"/>
      <c r="AF454" s="211"/>
      <c r="AI454" s="211"/>
      <c r="AJ454" s="211"/>
      <c r="AK454" s="212"/>
      <c r="AL454" s="211"/>
      <c r="AM454" s="210"/>
      <c r="AN454" s="210"/>
    </row>
    <row r="455" spans="1:40" x14ac:dyDescent="0.25">
      <c r="F455" s="211"/>
    </row>
    <row r="456" spans="1:40" x14ac:dyDescent="0.25">
      <c r="F456" s="200"/>
      <c r="H456" s="200"/>
      <c r="I456" s="200"/>
      <c r="J456" s="213"/>
      <c r="K456" s="213"/>
      <c r="L456" s="200"/>
      <c r="M456" s="200"/>
      <c r="N456" s="200"/>
      <c r="O456" s="200"/>
      <c r="P456" s="200"/>
      <c r="Q456" s="200"/>
      <c r="R456" s="200"/>
      <c r="V456" s="200"/>
      <c r="Y456" s="200"/>
      <c r="Z456" s="213"/>
      <c r="AA456" s="200"/>
      <c r="AB456" s="200"/>
      <c r="AC456" s="200"/>
      <c r="AD456" s="200"/>
      <c r="AE456" s="200"/>
      <c r="AF456" s="200"/>
      <c r="AG456" s="209"/>
      <c r="AH456" s="200"/>
      <c r="AI456" s="200"/>
      <c r="AJ456" s="200"/>
      <c r="AK456" s="209"/>
      <c r="AL456" s="200"/>
    </row>
    <row r="457" spans="1:40" x14ac:dyDescent="0.25">
      <c r="A457" s="154"/>
    </row>
    <row r="458" spans="1:40" x14ac:dyDescent="0.25">
      <c r="J458" s="202"/>
      <c r="K458" s="202"/>
      <c r="Z458" s="202"/>
    </row>
    <row r="459" spans="1:40" x14ac:dyDescent="0.25">
      <c r="H459" s="154"/>
      <c r="I459" s="154"/>
      <c r="Y459" s="154"/>
    </row>
    <row r="460" spans="1:40" x14ac:dyDescent="0.25">
      <c r="J460" s="202"/>
      <c r="K460" s="202"/>
      <c r="Z460" s="202"/>
    </row>
    <row r="461" spans="1:40" x14ac:dyDescent="0.25">
      <c r="L461" s="154"/>
      <c r="M461" s="154"/>
      <c r="AA461" s="154"/>
      <c r="AB461" s="154"/>
    </row>
    <row r="462" spans="1:40" x14ac:dyDescent="0.25">
      <c r="A462" s="202"/>
      <c r="R462" s="154"/>
      <c r="AK462" s="297"/>
      <c r="AL462" s="154"/>
    </row>
    <row r="463" spans="1:40" x14ac:dyDescent="0.25">
      <c r="A463" s="202"/>
      <c r="R463" s="154"/>
      <c r="AK463" s="297"/>
      <c r="AL463" s="154"/>
    </row>
    <row r="464" spans="1:40" x14ac:dyDescent="0.25">
      <c r="A464" s="154"/>
      <c r="R464" s="154"/>
      <c r="AK464" s="297"/>
      <c r="AL464" s="154"/>
    </row>
    <row r="465" spans="1:40" x14ac:dyDescent="0.25">
      <c r="L465" s="154"/>
      <c r="M465" s="154"/>
      <c r="R465" s="202"/>
      <c r="AA465" s="154"/>
      <c r="AB465" s="154"/>
      <c r="AK465" s="209"/>
      <c r="AL465" s="202"/>
    </row>
    <row r="466" spans="1:40" x14ac:dyDescent="0.25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208"/>
      <c r="AH466" s="102"/>
      <c r="AI466" s="102"/>
      <c r="AJ466" s="102"/>
      <c r="AK466" s="208"/>
      <c r="AL466" s="102"/>
      <c r="AM466" s="102"/>
      <c r="AN466" s="102"/>
    </row>
    <row r="467" spans="1:40" x14ac:dyDescent="0.25">
      <c r="L467" s="103"/>
      <c r="M467" s="103"/>
      <c r="N467" s="103"/>
      <c r="O467" s="103"/>
      <c r="R467" s="103"/>
      <c r="AA467" s="103"/>
      <c r="AB467" s="103"/>
      <c r="AC467" s="103"/>
      <c r="AD467" s="103"/>
      <c r="AE467" s="103"/>
      <c r="AF467" s="103"/>
      <c r="AG467" s="185"/>
      <c r="AH467" s="103"/>
      <c r="AK467" s="185"/>
      <c r="AL467" s="103"/>
      <c r="AM467" s="103"/>
      <c r="AN467" s="103"/>
    </row>
    <row r="468" spans="1:40" x14ac:dyDescent="0.25">
      <c r="L468" s="103"/>
      <c r="M468" s="103"/>
      <c r="N468" s="103"/>
      <c r="O468" s="103"/>
      <c r="R468" s="103"/>
      <c r="Z468" s="103"/>
      <c r="AA468" s="103"/>
      <c r="AB468" s="103"/>
      <c r="AC468" s="103"/>
      <c r="AD468" s="103"/>
      <c r="AE468" s="103"/>
      <c r="AF468" s="103"/>
      <c r="AG468" s="185"/>
      <c r="AH468" s="103"/>
      <c r="AK468" s="185"/>
      <c r="AL468" s="103"/>
      <c r="AM468" s="103"/>
      <c r="AN468" s="103"/>
    </row>
    <row r="469" spans="1:40" x14ac:dyDescent="0.25">
      <c r="A469" s="103"/>
      <c r="C469" s="103"/>
      <c r="D469" s="103"/>
      <c r="E469" s="103"/>
      <c r="F469" s="103"/>
      <c r="J469" s="103"/>
      <c r="K469" s="103"/>
      <c r="L469" s="103"/>
      <c r="M469" s="103"/>
      <c r="N469" s="103"/>
      <c r="O469" s="103"/>
      <c r="P469" s="103"/>
      <c r="Q469" s="103"/>
      <c r="R469" s="103"/>
      <c r="T469" s="103"/>
      <c r="U469" s="103"/>
      <c r="V469" s="103"/>
      <c r="Z469" s="103"/>
      <c r="AA469" s="103"/>
      <c r="AB469" s="103"/>
      <c r="AC469" s="103"/>
      <c r="AD469" s="103"/>
      <c r="AE469" s="103"/>
      <c r="AF469" s="103"/>
      <c r="AG469" s="185"/>
      <c r="AH469" s="103"/>
      <c r="AI469" s="103"/>
      <c r="AJ469" s="103"/>
      <c r="AK469" s="185"/>
      <c r="AL469" s="103"/>
      <c r="AM469" s="103"/>
      <c r="AN469" s="103"/>
    </row>
    <row r="470" spans="1:40" x14ac:dyDescent="0.25">
      <c r="A470" s="103"/>
      <c r="C470" s="103"/>
      <c r="D470" s="103"/>
      <c r="E470" s="103"/>
      <c r="F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T470" s="103"/>
      <c r="U470" s="103"/>
      <c r="V470" s="103"/>
      <c r="Y470" s="103"/>
      <c r="Z470" s="103"/>
      <c r="AA470" s="103"/>
      <c r="AB470" s="103"/>
      <c r="AC470" s="103"/>
      <c r="AD470" s="103"/>
      <c r="AE470" s="103"/>
      <c r="AF470" s="103"/>
      <c r="AG470" s="185"/>
      <c r="AH470" s="103"/>
      <c r="AI470" s="103"/>
      <c r="AJ470" s="103"/>
      <c r="AK470" s="185"/>
      <c r="AL470" s="103"/>
      <c r="AM470" s="103"/>
      <c r="AN470" s="103"/>
    </row>
    <row r="471" spans="1:40" x14ac:dyDescent="0.25">
      <c r="C471" s="103"/>
      <c r="D471" s="103"/>
      <c r="E471" s="103"/>
      <c r="F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T471" s="103"/>
      <c r="U471" s="103"/>
      <c r="V471" s="103"/>
      <c r="Y471" s="103"/>
      <c r="Z471" s="103"/>
      <c r="AA471" s="103"/>
      <c r="AB471" s="103"/>
      <c r="AC471" s="103"/>
      <c r="AD471" s="103"/>
      <c r="AE471" s="103"/>
      <c r="AF471" s="103"/>
      <c r="AG471" s="185"/>
      <c r="AH471" s="103"/>
      <c r="AI471" s="103"/>
      <c r="AJ471" s="103"/>
      <c r="AK471" s="185"/>
      <c r="AL471" s="103"/>
      <c r="AM471" s="103"/>
      <c r="AN471" s="103"/>
    </row>
    <row r="472" spans="1:40" x14ac:dyDescent="0.25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208"/>
      <c r="AH472" s="102"/>
      <c r="AI472" s="102"/>
      <c r="AJ472" s="102"/>
      <c r="AK472" s="208"/>
      <c r="AL472" s="102"/>
      <c r="AM472" s="102"/>
      <c r="AN472" s="102"/>
    </row>
    <row r="473" spans="1:40" x14ac:dyDescent="0.25"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Y473" s="103"/>
      <c r="Z473" s="103"/>
      <c r="AA473" s="103"/>
      <c r="AB473" s="103"/>
      <c r="AC473" s="103"/>
      <c r="AD473" s="103"/>
      <c r="AE473" s="103"/>
      <c r="AF473" s="103"/>
      <c r="AG473" s="185"/>
      <c r="AH473" s="103"/>
      <c r="AI473" s="103"/>
      <c r="AJ473" s="103"/>
      <c r="AK473" s="185"/>
      <c r="AL473" s="103"/>
      <c r="AM473" s="103"/>
      <c r="AN473" s="103"/>
    </row>
    <row r="474" spans="1:40" x14ac:dyDescent="0.25">
      <c r="A474" s="202"/>
      <c r="C474" s="154"/>
      <c r="D474" s="154"/>
      <c r="E474" s="154"/>
      <c r="T474" s="154"/>
      <c r="U474" s="154"/>
      <c r="V474" s="200"/>
      <c r="W474" s="200"/>
      <c r="X474" s="200"/>
      <c r="Y474" s="200"/>
      <c r="Z474" s="328"/>
    </row>
    <row r="476" spans="1:40" x14ac:dyDescent="0.25">
      <c r="A476" s="202"/>
      <c r="C476" s="154"/>
      <c r="T476" s="154"/>
      <c r="V476" s="200"/>
      <c r="W476" s="200"/>
      <c r="X476" s="200"/>
      <c r="Y476" s="200"/>
      <c r="Z476" s="328"/>
    </row>
    <row r="477" spans="1:40" x14ac:dyDescent="0.25">
      <c r="A477" s="202"/>
      <c r="C477" s="154"/>
      <c r="F477" s="252"/>
      <c r="H477" s="252"/>
      <c r="I477" s="252"/>
      <c r="J477" s="329"/>
      <c r="K477" s="329"/>
      <c r="L477" s="200"/>
      <c r="M477" s="200"/>
      <c r="N477" s="210"/>
      <c r="O477" s="210"/>
      <c r="P477" s="200"/>
      <c r="Q477" s="200"/>
      <c r="R477" s="200"/>
      <c r="T477" s="154"/>
      <c r="V477" s="200"/>
      <c r="W477" s="200"/>
      <c r="X477" s="200"/>
      <c r="Y477" s="200"/>
      <c r="Z477" s="329"/>
      <c r="AA477" s="200"/>
      <c r="AB477" s="200"/>
      <c r="AC477" s="210"/>
      <c r="AD477" s="210"/>
      <c r="AE477" s="200"/>
      <c r="AF477" s="200"/>
      <c r="AG477" s="209"/>
      <c r="AH477" s="201"/>
      <c r="AI477" s="200"/>
      <c r="AJ477" s="200"/>
      <c r="AK477" s="209"/>
      <c r="AL477" s="200"/>
      <c r="AM477" s="210"/>
      <c r="AN477" s="210"/>
    </row>
    <row r="478" spans="1:40" x14ac:dyDescent="0.25">
      <c r="A478" s="202"/>
      <c r="C478" s="154"/>
      <c r="F478" s="252"/>
      <c r="H478" s="252"/>
      <c r="I478" s="252"/>
      <c r="J478" s="329"/>
      <c r="K478" s="329"/>
      <c r="L478" s="200"/>
      <c r="M478" s="200"/>
      <c r="N478" s="210"/>
      <c r="O478" s="210"/>
      <c r="P478" s="200"/>
      <c r="Q478" s="200"/>
      <c r="R478" s="200"/>
      <c r="T478" s="154"/>
      <c r="V478" s="200"/>
      <c r="W478" s="200"/>
      <c r="X478" s="200"/>
      <c r="Y478" s="200"/>
      <c r="Z478" s="329"/>
      <c r="AA478" s="200"/>
      <c r="AB478" s="200"/>
      <c r="AC478" s="210"/>
      <c r="AD478" s="210"/>
      <c r="AE478" s="200"/>
      <c r="AF478" s="200"/>
      <c r="AG478" s="209"/>
      <c r="AH478" s="201"/>
      <c r="AI478" s="200"/>
      <c r="AJ478" s="200"/>
      <c r="AK478" s="209"/>
      <c r="AL478" s="200"/>
      <c r="AM478" s="210"/>
      <c r="AN478" s="210"/>
    </row>
    <row r="479" spans="1:40" x14ac:dyDescent="0.25">
      <c r="A479" s="202"/>
      <c r="C479" s="154"/>
      <c r="F479" s="252"/>
      <c r="H479" s="252"/>
      <c r="I479" s="252"/>
      <c r="J479" s="329"/>
      <c r="K479" s="329"/>
      <c r="L479" s="200"/>
      <c r="M479" s="200"/>
      <c r="N479" s="210"/>
      <c r="O479" s="210"/>
      <c r="P479" s="200"/>
      <c r="Q479" s="200"/>
      <c r="R479" s="200"/>
      <c r="T479" s="154"/>
      <c r="V479" s="200"/>
      <c r="W479" s="200"/>
      <c r="X479" s="200"/>
      <c r="Y479" s="200"/>
      <c r="Z479" s="329"/>
      <c r="AA479" s="200"/>
      <c r="AB479" s="200"/>
      <c r="AC479" s="210"/>
      <c r="AD479" s="210"/>
      <c r="AE479" s="200"/>
      <c r="AF479" s="200"/>
      <c r="AG479" s="209"/>
      <c r="AH479" s="201"/>
      <c r="AI479" s="200"/>
      <c r="AJ479" s="200"/>
      <c r="AK479" s="209"/>
      <c r="AL479" s="200"/>
      <c r="AM479" s="210"/>
      <c r="AN479" s="210"/>
    </row>
    <row r="480" spans="1:40" x14ac:dyDescent="0.25">
      <c r="A480" s="202"/>
      <c r="C480" s="154"/>
      <c r="F480" s="252"/>
      <c r="H480" s="252"/>
      <c r="I480" s="252"/>
      <c r="J480" s="329"/>
      <c r="K480" s="329"/>
      <c r="L480" s="200"/>
      <c r="M480" s="200"/>
      <c r="N480" s="210"/>
      <c r="O480" s="210"/>
      <c r="P480" s="200"/>
      <c r="Q480" s="200"/>
      <c r="R480" s="200"/>
      <c r="T480" s="154"/>
      <c r="V480" s="200"/>
      <c r="W480" s="200"/>
      <c r="X480" s="200"/>
      <c r="Y480" s="200"/>
      <c r="Z480" s="329"/>
      <c r="AA480" s="200"/>
      <c r="AB480" s="200"/>
      <c r="AC480" s="210"/>
      <c r="AD480" s="210"/>
      <c r="AE480" s="200"/>
      <c r="AF480" s="200"/>
      <c r="AG480" s="209"/>
      <c r="AH480" s="201"/>
      <c r="AI480" s="200"/>
      <c r="AJ480" s="200"/>
      <c r="AK480" s="209"/>
      <c r="AL480" s="200"/>
      <c r="AM480" s="210"/>
      <c r="AN480" s="210"/>
    </row>
    <row r="481" spans="1:40" x14ac:dyDescent="0.25">
      <c r="J481" s="334"/>
      <c r="K481" s="334"/>
      <c r="V481" s="200"/>
      <c r="W481" s="200"/>
      <c r="X481" s="200"/>
      <c r="Y481" s="200"/>
      <c r="Z481" s="329"/>
    </row>
    <row r="482" spans="1:40" x14ac:dyDescent="0.25">
      <c r="A482" s="202"/>
      <c r="C482" s="154"/>
      <c r="F482" s="252"/>
      <c r="H482" s="252"/>
      <c r="I482" s="252"/>
      <c r="J482" s="329"/>
      <c r="K482" s="329"/>
      <c r="L482" s="200"/>
      <c r="M482" s="200"/>
      <c r="N482" s="210"/>
      <c r="O482" s="210"/>
      <c r="P482" s="200"/>
      <c r="Q482" s="200"/>
      <c r="R482" s="200"/>
      <c r="T482" s="154"/>
      <c r="V482" s="200"/>
      <c r="W482" s="200"/>
      <c r="X482" s="200"/>
      <c r="Y482" s="200"/>
      <c r="Z482" s="329"/>
      <c r="AA482" s="200"/>
      <c r="AB482" s="200"/>
      <c r="AC482" s="210"/>
      <c r="AD482" s="210"/>
      <c r="AE482" s="200"/>
      <c r="AF482" s="200"/>
      <c r="AG482" s="209"/>
      <c r="AH482" s="201"/>
      <c r="AI482" s="200"/>
      <c r="AJ482" s="200"/>
      <c r="AK482" s="209"/>
      <c r="AL482" s="200"/>
      <c r="AM482" s="201"/>
      <c r="AN482" s="201"/>
    </row>
    <row r="483" spans="1:40" x14ac:dyDescent="0.25">
      <c r="A483" s="202"/>
      <c r="C483" s="154"/>
      <c r="J483" s="334"/>
      <c r="K483" s="334"/>
      <c r="T483" s="154"/>
      <c r="V483" s="200"/>
      <c r="W483" s="200"/>
      <c r="X483" s="200"/>
      <c r="Y483" s="200"/>
      <c r="Z483" s="329"/>
    </row>
    <row r="484" spans="1:40" x14ac:dyDescent="0.25">
      <c r="A484" s="202"/>
      <c r="C484" s="154"/>
      <c r="F484" s="252"/>
      <c r="H484" s="252"/>
      <c r="I484" s="252"/>
      <c r="J484" s="329"/>
      <c r="K484" s="329"/>
      <c r="L484" s="200"/>
      <c r="M484" s="200"/>
      <c r="N484" s="210"/>
      <c r="O484" s="210"/>
      <c r="P484" s="200"/>
      <c r="Q484" s="200"/>
      <c r="R484" s="200"/>
      <c r="T484" s="154"/>
      <c r="V484" s="200"/>
      <c r="W484" s="200"/>
      <c r="X484" s="200"/>
      <c r="Y484" s="200"/>
      <c r="Z484" s="329"/>
      <c r="AA484" s="200"/>
      <c r="AB484" s="200"/>
      <c r="AC484" s="210"/>
      <c r="AD484" s="210"/>
      <c r="AE484" s="200"/>
      <c r="AF484" s="200"/>
      <c r="AG484" s="209"/>
      <c r="AH484" s="201"/>
      <c r="AI484" s="200"/>
      <c r="AJ484" s="200"/>
      <c r="AK484" s="209"/>
      <c r="AL484" s="200"/>
      <c r="AM484" s="201"/>
      <c r="AN484" s="201"/>
    </row>
    <row r="485" spans="1:40" x14ac:dyDescent="0.25">
      <c r="J485" s="334"/>
      <c r="K485" s="334"/>
      <c r="Z485" s="334"/>
    </row>
    <row r="486" spans="1:40" x14ac:dyDescent="0.25">
      <c r="A486" s="202"/>
      <c r="C486" s="154"/>
      <c r="J486" s="334"/>
      <c r="K486" s="334"/>
      <c r="T486" s="154"/>
      <c r="V486" s="200"/>
      <c r="W486" s="200"/>
      <c r="X486" s="200"/>
      <c r="Y486" s="200"/>
      <c r="Z486" s="329"/>
    </row>
    <row r="487" spans="1:40" x14ac:dyDescent="0.25">
      <c r="A487" s="202"/>
      <c r="C487" s="154"/>
      <c r="F487" s="252"/>
      <c r="H487" s="252"/>
      <c r="I487" s="252"/>
      <c r="J487" s="329"/>
      <c r="K487" s="329"/>
      <c r="L487" s="200"/>
      <c r="M487" s="200"/>
      <c r="N487" s="210"/>
      <c r="O487" s="210"/>
      <c r="P487" s="200"/>
      <c r="Q487" s="200"/>
      <c r="R487" s="200"/>
      <c r="T487" s="154"/>
      <c r="V487" s="200"/>
      <c r="W487" s="200"/>
      <c r="X487" s="200"/>
      <c r="Y487" s="200"/>
      <c r="Z487" s="329"/>
      <c r="AA487" s="200"/>
      <c r="AB487" s="200"/>
      <c r="AC487" s="210"/>
      <c r="AD487" s="210"/>
      <c r="AE487" s="200"/>
      <c r="AF487" s="200"/>
      <c r="AG487" s="209"/>
      <c r="AH487" s="201"/>
      <c r="AI487" s="200"/>
      <c r="AJ487" s="200"/>
      <c r="AK487" s="209"/>
      <c r="AL487" s="200"/>
      <c r="AM487" s="201"/>
      <c r="AN487" s="201"/>
    </row>
    <row r="488" spans="1:40" x14ac:dyDescent="0.25">
      <c r="A488" s="202"/>
      <c r="C488" s="154"/>
      <c r="F488" s="252"/>
      <c r="H488" s="252"/>
      <c r="I488" s="252"/>
      <c r="J488" s="329"/>
      <c r="K488" s="329"/>
      <c r="L488" s="200"/>
      <c r="M488" s="200"/>
      <c r="N488" s="210"/>
      <c r="O488" s="210"/>
      <c r="P488" s="200"/>
      <c r="Q488" s="200"/>
      <c r="R488" s="200"/>
      <c r="T488" s="154"/>
      <c r="V488" s="200"/>
      <c r="W488" s="200"/>
      <c r="X488" s="200"/>
      <c r="Y488" s="200"/>
      <c r="Z488" s="329"/>
      <c r="AA488" s="200"/>
      <c r="AB488" s="200"/>
      <c r="AC488" s="210"/>
      <c r="AD488" s="210"/>
      <c r="AE488" s="200"/>
      <c r="AF488" s="200"/>
      <c r="AG488" s="209"/>
      <c r="AH488" s="201"/>
      <c r="AI488" s="200"/>
      <c r="AJ488" s="200"/>
      <c r="AK488" s="209"/>
      <c r="AL488" s="200"/>
      <c r="AM488" s="201"/>
      <c r="AN488" s="201"/>
    </row>
    <row r="489" spans="1:40" x14ac:dyDescent="0.25">
      <c r="F489" s="211"/>
      <c r="H489" s="211"/>
      <c r="I489" s="211"/>
      <c r="J489" s="329"/>
      <c r="K489" s="329"/>
      <c r="L489" s="211"/>
      <c r="M489" s="211"/>
      <c r="N489" s="211"/>
      <c r="O489" s="211"/>
      <c r="P489" s="211"/>
      <c r="Q489" s="211"/>
      <c r="R489" s="211"/>
      <c r="V489" s="211"/>
      <c r="Y489" s="211"/>
      <c r="Z489" s="305"/>
      <c r="AA489" s="211"/>
      <c r="AB489" s="211"/>
      <c r="AC489" s="211"/>
      <c r="AD489" s="211"/>
      <c r="AE489" s="211"/>
      <c r="AF489" s="211"/>
      <c r="AI489" s="211"/>
      <c r="AJ489" s="211"/>
      <c r="AK489" s="212"/>
      <c r="AL489" s="211"/>
    </row>
    <row r="490" spans="1:40" x14ac:dyDescent="0.25">
      <c r="A490" s="202"/>
      <c r="C490" s="154"/>
      <c r="F490" s="200"/>
      <c r="H490" s="200"/>
      <c r="I490" s="200"/>
      <c r="L490" s="200"/>
      <c r="M490" s="200"/>
      <c r="N490" s="210"/>
      <c r="O490" s="210"/>
      <c r="P490" s="252"/>
      <c r="Q490" s="252"/>
      <c r="R490" s="200"/>
      <c r="T490" s="154"/>
      <c r="V490" s="200"/>
      <c r="W490" s="200"/>
      <c r="X490" s="200"/>
      <c r="Y490" s="200"/>
      <c r="Z490" s="328"/>
      <c r="AA490" s="200"/>
      <c r="AB490" s="200"/>
      <c r="AC490" s="210"/>
      <c r="AD490" s="210"/>
      <c r="AE490" s="200"/>
      <c r="AF490" s="200"/>
      <c r="AG490" s="209"/>
      <c r="AH490" s="201"/>
      <c r="AI490" s="252"/>
      <c r="AJ490" s="252"/>
      <c r="AK490" s="209"/>
      <c r="AL490" s="200"/>
      <c r="AM490" s="201"/>
      <c r="AN490" s="201"/>
    </row>
    <row r="491" spans="1:40" x14ac:dyDescent="0.25">
      <c r="H491" s="211"/>
      <c r="I491" s="211"/>
      <c r="J491" s="305"/>
      <c r="K491" s="305"/>
      <c r="L491" s="211"/>
      <c r="M491" s="211"/>
      <c r="N491" s="211"/>
      <c r="O491" s="211"/>
      <c r="P491" s="211"/>
      <c r="Q491" s="211"/>
      <c r="R491" s="211"/>
      <c r="V491" s="211"/>
      <c r="Y491" s="211"/>
      <c r="Z491" s="305"/>
      <c r="AA491" s="211"/>
      <c r="AB491" s="211"/>
      <c r="AC491" s="211"/>
      <c r="AD491" s="211"/>
      <c r="AE491" s="211"/>
      <c r="AF491" s="211"/>
      <c r="AI491" s="211"/>
      <c r="AJ491" s="211"/>
      <c r="AK491" s="212"/>
      <c r="AL491" s="211"/>
    </row>
    <row r="492" spans="1:40" x14ac:dyDescent="0.25">
      <c r="F492" s="211"/>
    </row>
    <row r="493" spans="1:40" x14ac:dyDescent="0.25">
      <c r="C493" s="202"/>
      <c r="T493" s="202"/>
    </row>
    <row r="494" spans="1:40" x14ac:dyDescent="0.25">
      <c r="A494" s="154"/>
    </row>
    <row r="495" spans="1:40" x14ac:dyDescent="0.25">
      <c r="J495" s="202"/>
      <c r="K495" s="202"/>
      <c r="Z495" s="202"/>
    </row>
    <row r="496" spans="1:40" x14ac:dyDescent="0.25">
      <c r="H496" s="154"/>
      <c r="I496" s="154"/>
      <c r="Y496" s="154"/>
    </row>
    <row r="497" spans="1:40" x14ac:dyDescent="0.25">
      <c r="J497" s="202"/>
      <c r="K497" s="202"/>
      <c r="Z497" s="202"/>
    </row>
    <row r="498" spans="1:40" x14ac:dyDescent="0.25">
      <c r="L498" s="154"/>
      <c r="M498" s="154"/>
      <c r="AA498" s="154"/>
      <c r="AB498" s="154"/>
    </row>
    <row r="499" spans="1:40" x14ac:dyDescent="0.25">
      <c r="A499" s="202"/>
      <c r="R499" s="154"/>
      <c r="AK499" s="297"/>
      <c r="AL499" s="154"/>
    </row>
    <row r="500" spans="1:40" x14ac:dyDescent="0.25">
      <c r="A500" s="202"/>
      <c r="R500" s="154"/>
      <c r="AK500" s="297"/>
      <c r="AL500" s="154"/>
    </row>
    <row r="501" spans="1:40" x14ac:dyDescent="0.25">
      <c r="A501" s="154"/>
      <c r="R501" s="154"/>
      <c r="AK501" s="297"/>
      <c r="AL501" s="154"/>
    </row>
    <row r="502" spans="1:40" x14ac:dyDescent="0.25">
      <c r="L502" s="154"/>
      <c r="M502" s="154"/>
      <c r="R502" s="202"/>
      <c r="AA502" s="154"/>
      <c r="AB502" s="154"/>
      <c r="AK502" s="209"/>
      <c r="AL502" s="202"/>
    </row>
    <row r="503" spans="1:40" x14ac:dyDescent="0.25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208"/>
      <c r="AH503" s="102"/>
      <c r="AI503" s="102"/>
      <c r="AJ503" s="102"/>
      <c r="AK503" s="208"/>
      <c r="AL503" s="102"/>
      <c r="AM503" s="102"/>
      <c r="AN503" s="102"/>
    </row>
    <row r="504" spans="1:40" x14ac:dyDescent="0.25">
      <c r="L504" s="103"/>
      <c r="M504" s="103"/>
      <c r="N504" s="103"/>
      <c r="O504" s="103"/>
      <c r="R504" s="103"/>
      <c r="AA504" s="103"/>
      <c r="AB504" s="103"/>
      <c r="AC504" s="103"/>
      <c r="AD504" s="103"/>
      <c r="AE504" s="103"/>
      <c r="AF504" s="103"/>
      <c r="AG504" s="185"/>
      <c r="AH504" s="103"/>
      <c r="AK504" s="185"/>
      <c r="AL504" s="103"/>
      <c r="AM504" s="103"/>
      <c r="AN504" s="103"/>
    </row>
    <row r="505" spans="1:40" x14ac:dyDescent="0.25">
      <c r="L505" s="103"/>
      <c r="M505" s="103"/>
      <c r="N505" s="103"/>
      <c r="O505" s="103"/>
      <c r="R505" s="103"/>
      <c r="Z505" s="103"/>
      <c r="AA505" s="103"/>
      <c r="AB505" s="103"/>
      <c r="AC505" s="103"/>
      <c r="AD505" s="103"/>
      <c r="AE505" s="103"/>
      <c r="AF505" s="103"/>
      <c r="AG505" s="185"/>
      <c r="AH505" s="103"/>
      <c r="AK505" s="185"/>
      <c r="AL505" s="103"/>
      <c r="AM505" s="103"/>
      <c r="AN505" s="103"/>
    </row>
    <row r="506" spans="1:40" x14ac:dyDescent="0.25">
      <c r="A506" s="103"/>
      <c r="C506" s="103"/>
      <c r="D506" s="103"/>
      <c r="E506" s="103"/>
      <c r="F506" s="103"/>
      <c r="J506" s="103"/>
      <c r="K506" s="103"/>
      <c r="L506" s="103"/>
      <c r="M506" s="103"/>
      <c r="N506" s="103"/>
      <c r="O506" s="103"/>
      <c r="P506" s="103"/>
      <c r="Q506" s="103"/>
      <c r="R506" s="103"/>
      <c r="T506" s="103"/>
      <c r="U506" s="103"/>
      <c r="V506" s="103"/>
      <c r="Z506" s="103"/>
      <c r="AA506" s="103"/>
      <c r="AB506" s="103"/>
      <c r="AC506" s="103"/>
      <c r="AD506" s="103"/>
      <c r="AE506" s="103"/>
      <c r="AF506" s="103"/>
      <c r="AG506" s="185"/>
      <c r="AH506" s="103"/>
      <c r="AI506" s="103"/>
      <c r="AJ506" s="103"/>
      <c r="AK506" s="185"/>
      <c r="AL506" s="103"/>
      <c r="AM506" s="103"/>
      <c r="AN506" s="103"/>
    </row>
    <row r="507" spans="1:40" x14ac:dyDescent="0.25">
      <c r="A507" s="103"/>
      <c r="C507" s="103"/>
      <c r="D507" s="103"/>
      <c r="E507" s="103"/>
      <c r="F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T507" s="103"/>
      <c r="U507" s="103"/>
      <c r="V507" s="103"/>
      <c r="Y507" s="103"/>
      <c r="Z507" s="103"/>
      <c r="AA507" s="103"/>
      <c r="AB507" s="103"/>
      <c r="AC507" s="103"/>
      <c r="AD507" s="103"/>
      <c r="AE507" s="103"/>
      <c r="AF507" s="103"/>
      <c r="AG507" s="185"/>
      <c r="AH507" s="103"/>
      <c r="AI507" s="103"/>
      <c r="AJ507" s="103"/>
      <c r="AK507" s="185"/>
      <c r="AL507" s="103"/>
      <c r="AM507" s="103"/>
      <c r="AN507" s="103"/>
    </row>
    <row r="508" spans="1:40" x14ac:dyDescent="0.25">
      <c r="C508" s="103"/>
      <c r="D508" s="103"/>
      <c r="E508" s="103"/>
      <c r="F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T508" s="103"/>
      <c r="U508" s="103"/>
      <c r="V508" s="103"/>
      <c r="Y508" s="103"/>
      <c r="Z508" s="103"/>
      <c r="AA508" s="103"/>
      <c r="AB508" s="103"/>
      <c r="AC508" s="103"/>
      <c r="AD508" s="103"/>
      <c r="AE508" s="103"/>
      <c r="AF508" s="103"/>
      <c r="AG508" s="185"/>
      <c r="AH508" s="103"/>
      <c r="AI508" s="103"/>
      <c r="AJ508" s="103"/>
      <c r="AK508" s="185"/>
      <c r="AL508" s="103"/>
      <c r="AM508" s="103"/>
      <c r="AN508" s="103"/>
    </row>
    <row r="509" spans="1:40" x14ac:dyDescent="0.25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208"/>
      <c r="AH509" s="102"/>
      <c r="AI509" s="102"/>
      <c r="AJ509" s="102"/>
      <c r="AK509" s="208"/>
      <c r="AL509" s="102"/>
      <c r="AM509" s="102"/>
      <c r="AN509" s="102"/>
    </row>
    <row r="510" spans="1:40" x14ac:dyDescent="0.25"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Y510" s="103"/>
      <c r="Z510" s="103"/>
      <c r="AA510" s="103"/>
      <c r="AB510" s="103"/>
      <c r="AC510" s="103"/>
      <c r="AD510" s="103"/>
      <c r="AE510" s="103"/>
      <c r="AF510" s="103"/>
      <c r="AG510" s="185"/>
      <c r="AH510" s="103"/>
      <c r="AI510" s="103"/>
      <c r="AJ510" s="103"/>
      <c r="AK510" s="185"/>
      <c r="AL510" s="103"/>
      <c r="AM510" s="103"/>
      <c r="AN510" s="103"/>
    </row>
    <row r="511" spans="1:40" x14ac:dyDescent="0.25">
      <c r="A511" s="202"/>
      <c r="C511" s="154"/>
      <c r="D511" s="154"/>
      <c r="E511" s="154"/>
      <c r="T511" s="154"/>
      <c r="U511" s="154"/>
    </row>
    <row r="513" spans="1:40" x14ac:dyDescent="0.25">
      <c r="A513" s="202"/>
      <c r="C513" s="154"/>
      <c r="T513" s="154"/>
    </row>
    <row r="514" spans="1:40" x14ac:dyDescent="0.25">
      <c r="A514" s="202"/>
      <c r="C514" s="154"/>
      <c r="T514" s="154"/>
    </row>
    <row r="515" spans="1:40" x14ac:dyDescent="0.25">
      <c r="A515" s="202"/>
      <c r="C515" s="154"/>
      <c r="F515" s="252"/>
      <c r="H515" s="252"/>
      <c r="I515" s="252"/>
      <c r="J515" s="329"/>
      <c r="K515" s="329"/>
      <c r="L515" s="200"/>
      <c r="M515" s="200"/>
      <c r="N515" s="210"/>
      <c r="O515" s="210"/>
      <c r="P515" s="200"/>
      <c r="Q515" s="200"/>
      <c r="R515" s="200"/>
      <c r="T515" s="154"/>
      <c r="V515" s="200"/>
      <c r="W515" s="200"/>
      <c r="X515" s="200"/>
      <c r="Y515" s="200"/>
      <c r="Z515" s="329"/>
      <c r="AA515" s="200"/>
      <c r="AB515" s="200"/>
      <c r="AC515" s="210"/>
      <c r="AD515" s="210"/>
      <c r="AE515" s="200"/>
      <c r="AF515" s="200"/>
      <c r="AG515" s="209"/>
      <c r="AH515" s="201"/>
      <c r="AI515" s="200"/>
      <c r="AJ515" s="200"/>
      <c r="AK515" s="209"/>
      <c r="AL515" s="200"/>
      <c r="AM515" s="201"/>
      <c r="AN515" s="201"/>
    </row>
    <row r="516" spans="1:40" x14ac:dyDescent="0.25">
      <c r="A516" s="202"/>
      <c r="C516" s="154"/>
      <c r="F516" s="200"/>
      <c r="H516" s="200"/>
      <c r="I516" s="200"/>
      <c r="J516" s="334"/>
      <c r="K516" s="334"/>
      <c r="L516" s="200"/>
      <c r="M516" s="200"/>
      <c r="N516" s="210"/>
      <c r="O516" s="210"/>
      <c r="P516" s="200"/>
      <c r="Q516" s="200"/>
      <c r="R516" s="200"/>
      <c r="T516" s="154"/>
      <c r="V516" s="200"/>
      <c r="W516" s="200"/>
      <c r="X516" s="200"/>
      <c r="Y516" s="200"/>
      <c r="Z516" s="334"/>
      <c r="AA516" s="200"/>
      <c r="AB516" s="200"/>
      <c r="AC516" s="210"/>
      <c r="AD516" s="210"/>
      <c r="AE516" s="200"/>
      <c r="AF516" s="200"/>
      <c r="AG516" s="209"/>
      <c r="AH516" s="201"/>
      <c r="AI516" s="200"/>
      <c r="AJ516" s="200"/>
      <c r="AK516" s="209"/>
      <c r="AL516" s="200"/>
      <c r="AM516" s="201"/>
      <c r="AN516" s="201"/>
    </row>
    <row r="517" spans="1:40" x14ac:dyDescent="0.25">
      <c r="A517" s="202"/>
      <c r="C517" s="154"/>
      <c r="F517" s="200"/>
      <c r="H517" s="200"/>
      <c r="I517" s="200"/>
      <c r="J517" s="334"/>
      <c r="K517" s="334"/>
      <c r="L517" s="200"/>
      <c r="M517" s="200"/>
      <c r="N517" s="210"/>
      <c r="O517" s="210"/>
      <c r="P517" s="200"/>
      <c r="Q517" s="200"/>
      <c r="R517" s="200"/>
      <c r="T517" s="154"/>
      <c r="V517" s="200"/>
      <c r="W517" s="200"/>
      <c r="X517" s="200"/>
      <c r="Y517" s="200"/>
      <c r="Z517" s="334"/>
      <c r="AA517" s="200"/>
      <c r="AB517" s="200"/>
      <c r="AC517" s="210"/>
      <c r="AD517" s="210"/>
      <c r="AE517" s="200"/>
      <c r="AF517" s="200"/>
      <c r="AG517" s="209"/>
      <c r="AH517" s="201"/>
      <c r="AI517" s="200"/>
      <c r="AJ517" s="200"/>
      <c r="AK517" s="209"/>
      <c r="AL517" s="200"/>
      <c r="AM517" s="201"/>
      <c r="AN517" s="201"/>
    </row>
    <row r="518" spans="1:40" x14ac:dyDescent="0.25">
      <c r="A518" s="202"/>
      <c r="C518" s="154"/>
      <c r="F518" s="200"/>
      <c r="H518" s="200"/>
      <c r="I518" s="200"/>
      <c r="J518" s="334"/>
      <c r="K518" s="334"/>
      <c r="T518" s="154"/>
      <c r="V518" s="200"/>
      <c r="Z518" s="334"/>
    </row>
    <row r="519" spans="1:40" x14ac:dyDescent="0.25">
      <c r="A519" s="202"/>
      <c r="C519" s="154"/>
      <c r="F519" s="252"/>
      <c r="H519" s="252"/>
      <c r="I519" s="252"/>
      <c r="J519" s="329"/>
      <c r="K519" s="329"/>
      <c r="L519" s="200"/>
      <c r="M519" s="200"/>
      <c r="N519" s="210"/>
      <c r="O519" s="210"/>
      <c r="P519" s="200"/>
      <c r="Q519" s="200"/>
      <c r="R519" s="200"/>
      <c r="T519" s="154"/>
      <c r="V519" s="200"/>
      <c r="W519" s="200"/>
      <c r="X519" s="200"/>
      <c r="Y519" s="200"/>
      <c r="Z519" s="329"/>
      <c r="AA519" s="200"/>
      <c r="AB519" s="200"/>
      <c r="AC519" s="210"/>
      <c r="AD519" s="210"/>
      <c r="AE519" s="200"/>
      <c r="AF519" s="200"/>
      <c r="AG519" s="209"/>
      <c r="AH519" s="201"/>
      <c r="AI519" s="200"/>
      <c r="AJ519" s="200"/>
      <c r="AK519" s="209"/>
      <c r="AL519" s="200"/>
      <c r="AM519" s="201"/>
      <c r="AN519" s="201"/>
    </row>
    <row r="520" spans="1:40" x14ac:dyDescent="0.25">
      <c r="A520" s="202"/>
      <c r="C520" s="154"/>
      <c r="F520" s="200"/>
      <c r="H520" s="200"/>
      <c r="I520" s="200"/>
      <c r="J520" s="334"/>
      <c r="K520" s="334"/>
      <c r="T520" s="154"/>
      <c r="V520" s="200"/>
      <c r="W520" s="200"/>
      <c r="X520" s="200"/>
      <c r="Y520" s="200"/>
      <c r="Z520" s="334"/>
      <c r="AC520" s="210"/>
      <c r="AD520" s="210"/>
      <c r="AE520" s="200"/>
      <c r="AF520" s="200"/>
      <c r="AG520" s="209"/>
      <c r="AH520" s="201"/>
      <c r="AI520" s="200"/>
      <c r="AJ520" s="200"/>
      <c r="AK520" s="209"/>
      <c r="AL520" s="200"/>
      <c r="AM520" s="201"/>
      <c r="AN520" s="201"/>
    </row>
    <row r="521" spans="1:40" x14ac:dyDescent="0.25">
      <c r="A521" s="202"/>
      <c r="C521" s="154"/>
      <c r="F521" s="252"/>
      <c r="H521" s="252"/>
      <c r="I521" s="252"/>
      <c r="J521" s="329"/>
      <c r="K521" s="329"/>
      <c r="L521" s="200"/>
      <c r="M521" s="200"/>
      <c r="N521" s="210"/>
      <c r="O521" s="210"/>
      <c r="P521" s="200"/>
      <c r="Q521" s="200"/>
      <c r="R521" s="200"/>
      <c r="T521" s="154"/>
      <c r="V521" s="200"/>
      <c r="W521" s="200"/>
      <c r="X521" s="200"/>
      <c r="Y521" s="200"/>
      <c r="Z521" s="329"/>
      <c r="AA521" s="200"/>
      <c r="AB521" s="200"/>
      <c r="AC521" s="210"/>
      <c r="AD521" s="210"/>
      <c r="AE521" s="200"/>
      <c r="AF521" s="200"/>
      <c r="AG521" s="209"/>
      <c r="AH521" s="201"/>
      <c r="AI521" s="200"/>
      <c r="AJ521" s="200"/>
      <c r="AK521" s="209"/>
      <c r="AL521" s="200"/>
      <c r="AM521" s="201"/>
      <c r="AN521" s="201"/>
    </row>
    <row r="522" spans="1:40" x14ac:dyDescent="0.25">
      <c r="A522" s="202"/>
      <c r="C522" s="154"/>
      <c r="F522" s="200"/>
      <c r="H522" s="200"/>
      <c r="I522" s="200"/>
      <c r="J522" s="334"/>
      <c r="K522" s="334"/>
      <c r="L522" s="200"/>
      <c r="M522" s="200"/>
      <c r="N522" s="210"/>
      <c r="O522" s="210"/>
      <c r="P522" s="200"/>
      <c r="Q522" s="200"/>
      <c r="R522" s="200"/>
      <c r="T522" s="154"/>
      <c r="V522" s="200"/>
      <c r="W522" s="200"/>
      <c r="X522" s="200"/>
      <c r="Y522" s="200"/>
      <c r="Z522" s="334"/>
      <c r="AA522" s="200"/>
      <c r="AB522" s="200"/>
      <c r="AC522" s="210"/>
      <c r="AD522" s="210"/>
      <c r="AE522" s="200"/>
      <c r="AF522" s="200"/>
      <c r="AG522" s="209"/>
      <c r="AH522" s="201"/>
      <c r="AI522" s="200"/>
      <c r="AJ522" s="200"/>
      <c r="AK522" s="209"/>
      <c r="AL522" s="200"/>
      <c r="AM522" s="201"/>
      <c r="AN522" s="201"/>
    </row>
    <row r="523" spans="1:40" x14ac:dyDescent="0.25">
      <c r="F523" s="200"/>
      <c r="H523" s="200"/>
      <c r="I523" s="200"/>
      <c r="J523" s="334"/>
      <c r="K523" s="334"/>
      <c r="Z523" s="334"/>
    </row>
    <row r="524" spans="1:40" x14ac:dyDescent="0.25">
      <c r="A524" s="202"/>
      <c r="C524" s="154"/>
      <c r="F524" s="200"/>
      <c r="H524" s="252"/>
      <c r="I524" s="252"/>
      <c r="J524" s="329"/>
      <c r="K524" s="329"/>
      <c r="L524" s="200"/>
      <c r="M524" s="200"/>
      <c r="N524" s="210"/>
      <c r="O524" s="210"/>
      <c r="P524" s="200"/>
      <c r="Q524" s="200"/>
      <c r="R524" s="200"/>
      <c r="T524" s="154"/>
      <c r="V524" s="200"/>
      <c r="W524" s="200"/>
      <c r="X524" s="200"/>
      <c r="Y524" s="200"/>
      <c r="Z524" s="329"/>
      <c r="AA524" s="200"/>
      <c r="AB524" s="200"/>
      <c r="AC524" s="210"/>
      <c r="AD524" s="210"/>
      <c r="AE524" s="200"/>
      <c r="AF524" s="200"/>
      <c r="AG524" s="209"/>
      <c r="AH524" s="201"/>
      <c r="AI524" s="200"/>
      <c r="AJ524" s="200"/>
      <c r="AK524" s="209"/>
      <c r="AL524" s="200"/>
      <c r="AM524" s="201"/>
      <c r="AN524" s="201"/>
    </row>
    <row r="525" spans="1:40" x14ac:dyDescent="0.25">
      <c r="F525" s="211"/>
      <c r="H525" s="211"/>
      <c r="I525" s="211"/>
      <c r="J525" s="329"/>
      <c r="K525" s="329"/>
      <c r="L525" s="211"/>
      <c r="M525" s="211"/>
      <c r="N525" s="211"/>
      <c r="O525" s="211"/>
      <c r="P525" s="211"/>
      <c r="Q525" s="211"/>
      <c r="R525" s="211"/>
      <c r="V525" s="211"/>
      <c r="Y525" s="211"/>
      <c r="Z525" s="329"/>
      <c r="AA525" s="211"/>
      <c r="AB525" s="211"/>
      <c r="AC525" s="211"/>
      <c r="AD525" s="211"/>
      <c r="AE525" s="211"/>
      <c r="AF525" s="211"/>
      <c r="AI525" s="211"/>
      <c r="AJ525" s="211"/>
      <c r="AK525" s="212"/>
      <c r="AL525" s="211"/>
    </row>
    <row r="526" spans="1:40" x14ac:dyDescent="0.25">
      <c r="A526" s="202"/>
      <c r="C526" s="154"/>
      <c r="F526" s="200"/>
      <c r="H526" s="200"/>
      <c r="I526" s="200"/>
      <c r="J526" s="334"/>
      <c r="K526" s="334"/>
      <c r="L526" s="200"/>
      <c r="M526" s="200"/>
      <c r="N526" s="202"/>
      <c r="O526" s="202"/>
      <c r="P526" s="200"/>
      <c r="Q526" s="200"/>
      <c r="R526" s="200"/>
      <c r="T526" s="154"/>
      <c r="V526" s="200"/>
      <c r="Y526" s="200"/>
      <c r="Z526" s="334"/>
      <c r="AA526" s="200"/>
      <c r="AB526" s="200"/>
      <c r="AC526" s="201"/>
      <c r="AD526" s="201"/>
      <c r="AE526" s="200"/>
      <c r="AF526" s="200"/>
      <c r="AG526" s="209"/>
      <c r="AH526" s="201"/>
      <c r="AI526" s="200"/>
      <c r="AJ526" s="200"/>
      <c r="AK526" s="209"/>
      <c r="AL526" s="200"/>
      <c r="AM526" s="201"/>
      <c r="AN526" s="201"/>
    </row>
    <row r="527" spans="1:40" x14ac:dyDescent="0.25">
      <c r="F527" s="211"/>
      <c r="H527" s="211"/>
      <c r="I527" s="211"/>
      <c r="J527" s="329"/>
      <c r="K527" s="329"/>
      <c r="L527" s="211"/>
      <c r="M527" s="211"/>
      <c r="N527" s="211"/>
      <c r="O527" s="211"/>
      <c r="P527" s="211"/>
      <c r="Q527" s="211"/>
      <c r="R527" s="211"/>
      <c r="V527" s="211"/>
      <c r="Y527" s="211"/>
      <c r="Z527" s="329"/>
      <c r="AA527" s="211"/>
      <c r="AB527" s="211"/>
      <c r="AC527" s="211"/>
      <c r="AD527" s="211"/>
      <c r="AE527" s="211"/>
      <c r="AF527" s="211"/>
      <c r="AI527" s="211"/>
      <c r="AJ527" s="211"/>
      <c r="AK527" s="212"/>
      <c r="AL527" s="211"/>
    </row>
    <row r="528" spans="1:40" x14ac:dyDescent="0.25">
      <c r="J528" s="334"/>
      <c r="K528" s="334"/>
      <c r="Z528" s="334"/>
    </row>
    <row r="529" spans="1:40" x14ac:dyDescent="0.25">
      <c r="A529" s="202"/>
      <c r="C529" s="154"/>
      <c r="J529" s="334"/>
      <c r="K529" s="334"/>
      <c r="T529" s="154"/>
      <c r="Z529" s="334"/>
    </row>
    <row r="530" spans="1:40" x14ac:dyDescent="0.25">
      <c r="A530" s="202"/>
      <c r="C530" s="154"/>
      <c r="J530" s="334"/>
      <c r="K530" s="334"/>
      <c r="T530" s="154"/>
      <c r="Z530" s="334"/>
    </row>
    <row r="531" spans="1:40" x14ac:dyDescent="0.25">
      <c r="A531" s="202"/>
      <c r="C531" s="154"/>
      <c r="F531" s="252"/>
      <c r="H531" s="252"/>
      <c r="I531" s="252"/>
      <c r="J531" s="329"/>
      <c r="K531" s="329"/>
      <c r="L531" s="200"/>
      <c r="M531" s="200"/>
      <c r="N531" s="210"/>
      <c r="O531" s="210"/>
      <c r="P531" s="200"/>
      <c r="Q531" s="200"/>
      <c r="R531" s="200"/>
      <c r="T531" s="154"/>
      <c r="V531" s="200"/>
      <c r="W531" s="200"/>
      <c r="X531" s="200"/>
      <c r="Y531" s="200"/>
      <c r="Z531" s="329"/>
      <c r="AA531" s="200"/>
      <c r="AB531" s="200"/>
      <c r="AC531" s="210"/>
      <c r="AD531" s="210"/>
      <c r="AE531" s="200"/>
      <c r="AF531" s="200"/>
      <c r="AG531" s="209"/>
      <c r="AH531" s="201"/>
      <c r="AI531" s="200"/>
      <c r="AJ531" s="200"/>
      <c r="AK531" s="209"/>
      <c r="AL531" s="200"/>
      <c r="AM531" s="201"/>
      <c r="AN531" s="201"/>
    </row>
    <row r="532" spans="1:40" x14ac:dyDescent="0.25">
      <c r="A532" s="202"/>
      <c r="C532" s="154"/>
      <c r="J532" s="334"/>
      <c r="K532" s="334"/>
      <c r="T532" s="154"/>
      <c r="Z532" s="334"/>
    </row>
    <row r="533" spans="1:40" x14ac:dyDescent="0.25">
      <c r="A533" s="202"/>
      <c r="C533" s="154"/>
      <c r="F533" s="252"/>
      <c r="H533" s="252"/>
      <c r="I533" s="252"/>
      <c r="J533" s="329"/>
      <c r="K533" s="329"/>
      <c r="L533" s="200"/>
      <c r="M533" s="200"/>
      <c r="N533" s="210"/>
      <c r="O533" s="210"/>
      <c r="P533" s="200"/>
      <c r="Q533" s="200"/>
      <c r="R533" s="200"/>
      <c r="T533" s="154"/>
      <c r="V533" s="200"/>
      <c r="W533" s="200"/>
      <c r="X533" s="200"/>
      <c r="Y533" s="200"/>
      <c r="Z533" s="329"/>
      <c r="AA533" s="200"/>
      <c r="AB533" s="200"/>
      <c r="AC533" s="210"/>
      <c r="AD533" s="210"/>
      <c r="AE533" s="200"/>
      <c r="AF533" s="200"/>
      <c r="AG533" s="209"/>
      <c r="AH533" s="201"/>
      <c r="AI533" s="200"/>
      <c r="AJ533" s="200"/>
      <c r="AK533" s="209"/>
      <c r="AL533" s="200"/>
      <c r="AM533" s="201"/>
      <c r="AN533" s="201"/>
    </row>
    <row r="534" spans="1:40" x14ac:dyDescent="0.25">
      <c r="F534" s="211"/>
      <c r="H534" s="211"/>
      <c r="I534" s="211"/>
      <c r="J534" s="329"/>
      <c r="K534" s="329"/>
      <c r="L534" s="211"/>
      <c r="M534" s="211"/>
      <c r="N534" s="211"/>
      <c r="O534" s="211"/>
      <c r="P534" s="211"/>
      <c r="Q534" s="211"/>
      <c r="R534" s="211"/>
      <c r="V534" s="211"/>
      <c r="Y534" s="211"/>
      <c r="Z534" s="329"/>
      <c r="AA534" s="211"/>
      <c r="AB534" s="211"/>
      <c r="AC534" s="211"/>
      <c r="AD534" s="211"/>
      <c r="AE534" s="211"/>
      <c r="AF534" s="211"/>
      <c r="AI534" s="211"/>
      <c r="AJ534" s="211"/>
      <c r="AK534" s="212"/>
      <c r="AL534" s="211"/>
    </row>
    <row r="535" spans="1:40" x14ac:dyDescent="0.25">
      <c r="A535" s="202"/>
      <c r="C535" s="154"/>
      <c r="F535" s="200"/>
      <c r="H535" s="200"/>
      <c r="I535" s="200"/>
      <c r="J535" s="334"/>
      <c r="K535" s="334"/>
      <c r="L535" s="200"/>
      <c r="M535" s="200"/>
      <c r="N535" s="201"/>
      <c r="O535" s="201"/>
      <c r="P535" s="200"/>
      <c r="Q535" s="200"/>
      <c r="R535" s="200"/>
      <c r="T535" s="154"/>
      <c r="V535" s="200"/>
      <c r="Y535" s="200"/>
      <c r="Z535" s="334"/>
      <c r="AA535" s="200"/>
      <c r="AB535" s="200"/>
      <c r="AC535" s="201"/>
      <c r="AD535" s="201"/>
      <c r="AE535" s="200"/>
      <c r="AF535" s="200"/>
      <c r="AG535" s="209"/>
      <c r="AH535" s="201"/>
      <c r="AI535" s="200"/>
      <c r="AJ535" s="200"/>
      <c r="AK535" s="209"/>
      <c r="AL535" s="200"/>
      <c r="AM535" s="201"/>
      <c r="AN535" s="201"/>
    </row>
    <row r="536" spans="1:40" x14ac:dyDescent="0.25">
      <c r="F536" s="211"/>
      <c r="H536" s="211"/>
      <c r="I536" s="211"/>
      <c r="J536" s="329"/>
      <c r="K536" s="329"/>
      <c r="L536" s="211"/>
      <c r="M536" s="211"/>
      <c r="N536" s="211"/>
      <c r="O536" s="211"/>
      <c r="P536" s="211"/>
      <c r="Q536" s="211"/>
      <c r="R536" s="211"/>
      <c r="V536" s="211"/>
      <c r="Y536" s="211"/>
      <c r="Z536" s="305"/>
      <c r="AA536" s="211"/>
      <c r="AB536" s="211"/>
      <c r="AC536" s="211"/>
      <c r="AD536" s="211"/>
      <c r="AE536" s="211"/>
      <c r="AF536" s="211"/>
      <c r="AI536" s="211"/>
      <c r="AJ536" s="211"/>
      <c r="AK536" s="212"/>
      <c r="AL536" s="211"/>
    </row>
    <row r="537" spans="1:40" x14ac:dyDescent="0.25">
      <c r="J537" s="334"/>
      <c r="K537" s="334"/>
    </row>
    <row r="538" spans="1:40" x14ac:dyDescent="0.25">
      <c r="A538" s="202"/>
      <c r="C538" s="154"/>
      <c r="F538" s="200"/>
      <c r="H538" s="200"/>
      <c r="I538" s="200"/>
      <c r="J538" s="334"/>
      <c r="K538" s="334"/>
      <c r="L538" s="200"/>
      <c r="M538" s="200"/>
      <c r="N538" s="210"/>
      <c r="O538" s="210"/>
      <c r="P538" s="252"/>
      <c r="Q538" s="252"/>
      <c r="R538" s="200"/>
      <c r="T538" s="154"/>
      <c r="V538" s="200"/>
      <c r="Y538" s="200"/>
      <c r="AA538" s="200"/>
      <c r="AB538" s="200"/>
      <c r="AC538" s="201"/>
      <c r="AD538" s="201"/>
      <c r="AE538" s="200"/>
      <c r="AF538" s="200"/>
      <c r="AG538" s="209"/>
      <c r="AH538" s="201"/>
      <c r="AI538" s="252"/>
      <c r="AJ538" s="252"/>
      <c r="AK538" s="209"/>
      <c r="AL538" s="200"/>
      <c r="AM538" s="201"/>
      <c r="AN538" s="201"/>
    </row>
    <row r="539" spans="1:40" x14ac:dyDescent="0.25">
      <c r="H539" s="211"/>
      <c r="I539" s="211"/>
      <c r="J539" s="329"/>
      <c r="K539" s="329"/>
      <c r="L539" s="211"/>
      <c r="M539" s="211"/>
      <c r="N539" s="211"/>
      <c r="O539" s="211"/>
      <c r="P539" s="211"/>
      <c r="Q539" s="211"/>
      <c r="R539" s="211"/>
      <c r="V539" s="211"/>
      <c r="Y539" s="211"/>
      <c r="Z539" s="305"/>
      <c r="AA539" s="211"/>
      <c r="AB539" s="211"/>
      <c r="AC539" s="211"/>
      <c r="AD539" s="211"/>
      <c r="AE539" s="211"/>
      <c r="AF539" s="211"/>
      <c r="AI539" s="211"/>
      <c r="AJ539" s="211"/>
      <c r="AK539" s="212"/>
      <c r="AL539" s="211"/>
    </row>
    <row r="540" spans="1:40" x14ac:dyDescent="0.25">
      <c r="F540" s="211"/>
    </row>
    <row r="541" spans="1:40" x14ac:dyDescent="0.25">
      <c r="C541" s="202"/>
      <c r="T541" s="202"/>
    </row>
    <row r="542" spans="1:40" x14ac:dyDescent="0.25">
      <c r="A542" s="154"/>
    </row>
    <row r="543" spans="1:40" x14ac:dyDescent="0.25">
      <c r="J543" s="202"/>
      <c r="K543" s="202"/>
      <c r="Z543" s="202"/>
    </row>
    <row r="544" spans="1:40" x14ac:dyDescent="0.25">
      <c r="H544" s="154"/>
      <c r="I544" s="154"/>
      <c r="Y544" s="154"/>
    </row>
    <row r="545" spans="1:40" x14ac:dyDescent="0.25">
      <c r="J545" s="202"/>
      <c r="K545" s="202"/>
      <c r="Z545" s="202"/>
    </row>
    <row r="546" spans="1:40" x14ac:dyDescent="0.25">
      <c r="L546" s="154"/>
      <c r="M546" s="154"/>
      <c r="AA546" s="154"/>
      <c r="AB546" s="154"/>
    </row>
    <row r="547" spans="1:40" x14ac:dyDescent="0.25">
      <c r="A547" s="202"/>
      <c r="R547" s="154"/>
      <c r="AK547" s="297"/>
      <c r="AL547" s="154"/>
    </row>
    <row r="548" spans="1:40" x14ac:dyDescent="0.25">
      <c r="A548" s="202"/>
      <c r="R548" s="154"/>
      <c r="AK548" s="297"/>
      <c r="AL548" s="154"/>
    </row>
    <row r="549" spans="1:40" x14ac:dyDescent="0.25">
      <c r="A549" s="154"/>
      <c r="R549" s="154"/>
      <c r="AK549" s="297"/>
      <c r="AL549" s="154"/>
    </row>
    <row r="550" spans="1:40" x14ac:dyDescent="0.25">
      <c r="L550" s="154"/>
      <c r="M550" s="154"/>
      <c r="R550" s="202"/>
      <c r="AA550" s="154"/>
      <c r="AB550" s="154"/>
      <c r="AK550" s="209"/>
      <c r="AL550" s="202"/>
    </row>
    <row r="551" spans="1:40" x14ac:dyDescent="0.25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208"/>
      <c r="AH551" s="102"/>
      <c r="AI551" s="102"/>
      <c r="AJ551" s="102"/>
      <c r="AK551" s="208"/>
      <c r="AL551" s="102"/>
      <c r="AM551" s="102"/>
      <c r="AN551" s="102"/>
    </row>
    <row r="552" spans="1:40" x14ac:dyDescent="0.25">
      <c r="L552" s="103"/>
      <c r="M552" s="103"/>
      <c r="N552" s="103"/>
      <c r="O552" s="103"/>
      <c r="R552" s="103"/>
      <c r="AA552" s="103"/>
      <c r="AB552" s="103"/>
      <c r="AC552" s="103"/>
      <c r="AD552" s="103"/>
      <c r="AE552" s="103"/>
      <c r="AF552" s="103"/>
      <c r="AG552" s="185"/>
      <c r="AH552" s="103"/>
      <c r="AK552" s="185"/>
      <c r="AL552" s="103"/>
      <c r="AM552" s="103"/>
      <c r="AN552" s="103"/>
    </row>
    <row r="553" spans="1:40" x14ac:dyDescent="0.25">
      <c r="L553" s="103"/>
      <c r="M553" s="103"/>
      <c r="N553" s="103"/>
      <c r="O553" s="103"/>
      <c r="R553" s="103"/>
      <c r="Z553" s="103"/>
      <c r="AA553" s="103"/>
      <c r="AB553" s="103"/>
      <c r="AC553" s="103"/>
      <c r="AD553" s="103"/>
      <c r="AE553" s="103"/>
      <c r="AF553" s="103"/>
      <c r="AG553" s="185"/>
      <c r="AH553" s="103"/>
      <c r="AK553" s="185"/>
      <c r="AL553" s="103"/>
      <c r="AM553" s="103"/>
      <c r="AN553" s="103"/>
    </row>
    <row r="554" spans="1:40" x14ac:dyDescent="0.25">
      <c r="A554" s="103"/>
      <c r="C554" s="103"/>
      <c r="D554" s="103"/>
      <c r="E554" s="103"/>
      <c r="F554" s="103"/>
      <c r="J554" s="103"/>
      <c r="K554" s="103"/>
      <c r="L554" s="103"/>
      <c r="M554" s="103"/>
      <c r="N554" s="103"/>
      <c r="O554" s="103"/>
      <c r="P554" s="103"/>
      <c r="Q554" s="103"/>
      <c r="R554" s="103"/>
      <c r="T554" s="103"/>
      <c r="U554" s="103"/>
      <c r="V554" s="103"/>
      <c r="Z554" s="103"/>
      <c r="AA554" s="103"/>
      <c r="AB554" s="103"/>
      <c r="AC554" s="103"/>
      <c r="AD554" s="103"/>
      <c r="AE554" s="103"/>
      <c r="AF554" s="103"/>
      <c r="AG554" s="185"/>
      <c r="AH554" s="103"/>
      <c r="AI554" s="103"/>
      <c r="AJ554" s="103"/>
      <c r="AK554" s="185"/>
      <c r="AL554" s="103"/>
      <c r="AM554" s="103"/>
      <c r="AN554" s="103"/>
    </row>
    <row r="555" spans="1:40" x14ac:dyDescent="0.25">
      <c r="A555" s="103"/>
      <c r="C555" s="103"/>
      <c r="D555" s="103"/>
      <c r="E555" s="103"/>
      <c r="F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T555" s="103"/>
      <c r="U555" s="103"/>
      <c r="V555" s="103"/>
      <c r="Y555" s="103"/>
      <c r="Z555" s="103"/>
      <c r="AA555" s="103"/>
      <c r="AB555" s="103"/>
      <c r="AC555" s="103"/>
      <c r="AD555" s="103"/>
      <c r="AE555" s="103"/>
      <c r="AF555" s="103"/>
      <c r="AG555" s="185"/>
      <c r="AH555" s="103"/>
      <c r="AI555" s="103"/>
      <c r="AJ555" s="103"/>
      <c r="AK555" s="185"/>
      <c r="AL555" s="103"/>
      <c r="AM555" s="103"/>
      <c r="AN555" s="103"/>
    </row>
    <row r="556" spans="1:40" x14ac:dyDescent="0.25">
      <c r="C556" s="103"/>
      <c r="D556" s="103"/>
      <c r="E556" s="103"/>
      <c r="F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T556" s="103"/>
      <c r="U556" s="103"/>
      <c r="V556" s="103"/>
      <c r="Y556" s="103"/>
      <c r="Z556" s="103"/>
      <c r="AA556" s="103"/>
      <c r="AB556" s="103"/>
      <c r="AC556" s="103"/>
      <c r="AD556" s="103"/>
      <c r="AE556" s="103"/>
      <c r="AF556" s="103"/>
      <c r="AG556" s="185"/>
      <c r="AH556" s="103"/>
      <c r="AI556" s="103"/>
      <c r="AJ556" s="103"/>
      <c r="AK556" s="185"/>
      <c r="AL556" s="103"/>
      <c r="AM556" s="103"/>
      <c r="AN556" s="103"/>
    </row>
    <row r="557" spans="1:40" x14ac:dyDescent="0.25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208"/>
      <c r="AH557" s="102"/>
      <c r="AI557" s="102"/>
      <c r="AJ557" s="102"/>
      <c r="AK557" s="208"/>
      <c r="AL557" s="102"/>
      <c r="AM557" s="102"/>
      <c r="AN557" s="102"/>
    </row>
    <row r="558" spans="1:40" x14ac:dyDescent="0.25"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Y558" s="103"/>
      <c r="Z558" s="103"/>
      <c r="AA558" s="103"/>
      <c r="AB558" s="103"/>
      <c r="AC558" s="103"/>
      <c r="AD558" s="103"/>
      <c r="AE558" s="103"/>
      <c r="AF558" s="103"/>
      <c r="AG558" s="185"/>
      <c r="AH558" s="103"/>
      <c r="AI558" s="103"/>
      <c r="AJ558" s="103"/>
      <c r="AK558" s="185"/>
      <c r="AL558" s="103"/>
      <c r="AM558" s="103"/>
      <c r="AN558" s="103"/>
    </row>
    <row r="559" spans="1:40" x14ac:dyDescent="0.25">
      <c r="A559" s="202"/>
      <c r="C559" s="154"/>
      <c r="D559" s="154"/>
      <c r="E559" s="154"/>
      <c r="T559" s="154"/>
      <c r="U559" s="154"/>
    </row>
    <row r="561" spans="1:40" x14ac:dyDescent="0.25">
      <c r="A561" s="202"/>
      <c r="C561" s="154"/>
      <c r="D561" s="154"/>
      <c r="E561" s="154"/>
      <c r="T561" s="154"/>
      <c r="U561" s="154"/>
    </row>
    <row r="562" spans="1:40" x14ac:dyDescent="0.25">
      <c r="A562" s="202"/>
      <c r="C562" s="154"/>
      <c r="T562" s="154"/>
    </row>
    <row r="563" spans="1:40" x14ac:dyDescent="0.25">
      <c r="A563" s="202"/>
      <c r="C563" s="154"/>
      <c r="T563" s="154"/>
    </row>
    <row r="564" spans="1:40" x14ac:dyDescent="0.25">
      <c r="A564" s="202"/>
      <c r="C564" s="154"/>
      <c r="H564" s="252"/>
      <c r="I564" s="252"/>
      <c r="J564" s="329"/>
      <c r="K564" s="329"/>
      <c r="L564" s="200"/>
      <c r="M564" s="200"/>
      <c r="N564" s="210"/>
      <c r="O564" s="210"/>
      <c r="P564" s="200"/>
      <c r="Q564" s="200"/>
      <c r="R564" s="200"/>
      <c r="T564" s="154"/>
      <c r="V564" s="200"/>
      <c r="W564" s="200"/>
      <c r="X564" s="200"/>
      <c r="Y564" s="200"/>
      <c r="Z564" s="329"/>
      <c r="AA564" s="200"/>
      <c r="AB564" s="200"/>
      <c r="AC564" s="210"/>
      <c r="AD564" s="210"/>
      <c r="AE564" s="200"/>
      <c r="AF564" s="200"/>
      <c r="AG564" s="209"/>
      <c r="AH564" s="201"/>
      <c r="AI564" s="200"/>
      <c r="AJ564" s="200"/>
      <c r="AK564" s="209"/>
      <c r="AL564" s="200"/>
      <c r="AM564" s="210"/>
      <c r="AN564" s="210"/>
    </row>
    <row r="565" spans="1:40" x14ac:dyDescent="0.25">
      <c r="A565" s="202"/>
      <c r="C565" s="154"/>
      <c r="F565" s="252"/>
      <c r="J565" s="334"/>
      <c r="K565" s="334"/>
      <c r="T565" s="154"/>
      <c r="V565" s="200"/>
      <c r="W565" s="200"/>
      <c r="X565" s="200"/>
      <c r="Y565" s="200"/>
      <c r="Z565" s="329"/>
    </row>
    <row r="566" spans="1:40" x14ac:dyDescent="0.25">
      <c r="A566" s="202"/>
      <c r="C566" s="154"/>
      <c r="H566" s="252"/>
      <c r="I566" s="252"/>
      <c r="J566" s="329"/>
      <c r="K566" s="329"/>
      <c r="L566" s="200"/>
      <c r="M566" s="200"/>
      <c r="N566" s="210"/>
      <c r="O566" s="210"/>
      <c r="P566" s="200"/>
      <c r="Q566" s="200"/>
      <c r="R566" s="200"/>
      <c r="T566" s="154"/>
      <c r="V566" s="200"/>
      <c r="W566" s="200"/>
      <c r="X566" s="200"/>
      <c r="Y566" s="200"/>
      <c r="Z566" s="329"/>
      <c r="AA566" s="200"/>
      <c r="AB566" s="200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10"/>
      <c r="AN566" s="210"/>
    </row>
    <row r="567" spans="1:40" x14ac:dyDescent="0.25">
      <c r="A567" s="202"/>
      <c r="C567" s="154"/>
      <c r="F567" s="252"/>
      <c r="J567" s="334"/>
      <c r="K567" s="334"/>
      <c r="T567" s="154"/>
      <c r="V567" s="200"/>
      <c r="W567" s="200"/>
      <c r="X567" s="200"/>
      <c r="Y567" s="200"/>
      <c r="Z567" s="329"/>
    </row>
    <row r="568" spans="1:40" x14ac:dyDescent="0.25">
      <c r="A568" s="202"/>
      <c r="C568" s="154"/>
      <c r="H568" s="252"/>
      <c r="I568" s="252"/>
      <c r="J568" s="329"/>
      <c r="K568" s="329"/>
      <c r="L568" s="200"/>
      <c r="M568" s="200"/>
      <c r="N568" s="210"/>
      <c r="O568" s="210"/>
      <c r="P568" s="200"/>
      <c r="Q568" s="200"/>
      <c r="R568" s="200"/>
      <c r="T568" s="154"/>
      <c r="V568" s="200"/>
      <c r="W568" s="200"/>
      <c r="X568" s="200"/>
      <c r="Y568" s="200"/>
      <c r="Z568" s="329"/>
      <c r="AA568" s="200"/>
      <c r="AB568" s="200"/>
      <c r="AC568" s="210"/>
      <c r="AD568" s="210"/>
      <c r="AE568" s="200"/>
      <c r="AF568" s="200"/>
      <c r="AG568" s="209"/>
      <c r="AH568" s="201"/>
      <c r="AI568" s="200"/>
      <c r="AJ568" s="200"/>
      <c r="AK568" s="209"/>
      <c r="AL568" s="200"/>
      <c r="AM568" s="210"/>
      <c r="AN568" s="210"/>
    </row>
    <row r="569" spans="1:40" x14ac:dyDescent="0.25">
      <c r="A569" s="202"/>
      <c r="C569" s="154"/>
      <c r="F569" s="252"/>
      <c r="J569" s="334"/>
      <c r="K569" s="334"/>
      <c r="T569" s="154"/>
      <c r="V569" s="200"/>
      <c r="W569" s="200"/>
      <c r="X569" s="200"/>
      <c r="Y569" s="200"/>
      <c r="Z569" s="329"/>
    </row>
    <row r="570" spans="1:40" x14ac:dyDescent="0.25">
      <c r="A570" s="202"/>
      <c r="C570" s="154"/>
      <c r="H570" s="252"/>
      <c r="I570" s="252"/>
      <c r="J570" s="329"/>
      <c r="K570" s="329"/>
      <c r="L570" s="200"/>
      <c r="M570" s="200"/>
      <c r="N570" s="210"/>
      <c r="O570" s="210"/>
      <c r="P570" s="200"/>
      <c r="Q570" s="200"/>
      <c r="R570" s="200"/>
      <c r="T570" s="154"/>
      <c r="V570" s="200"/>
      <c r="W570" s="200"/>
      <c r="X570" s="200"/>
      <c r="Y570" s="200"/>
      <c r="Z570" s="329"/>
      <c r="AA570" s="200"/>
      <c r="AB570" s="200"/>
      <c r="AC570" s="210"/>
      <c r="AD570" s="210"/>
      <c r="AE570" s="200"/>
      <c r="AF570" s="200"/>
      <c r="AG570" s="209"/>
      <c r="AH570" s="201"/>
      <c r="AI570" s="200"/>
      <c r="AJ570" s="200"/>
      <c r="AK570" s="209"/>
      <c r="AL570" s="200"/>
      <c r="AM570" s="210"/>
      <c r="AN570" s="210"/>
    </row>
    <row r="571" spans="1:40" x14ac:dyDescent="0.25">
      <c r="A571" s="202"/>
      <c r="C571" s="154"/>
      <c r="F571" s="252"/>
      <c r="J571" s="334"/>
      <c r="K571" s="334"/>
      <c r="T571" s="154"/>
      <c r="V571" s="200"/>
      <c r="W571" s="200"/>
      <c r="X571" s="200"/>
      <c r="Y571" s="200"/>
      <c r="Z571" s="329"/>
    </row>
    <row r="572" spans="1:40" x14ac:dyDescent="0.25">
      <c r="A572" s="202"/>
      <c r="C572" s="154"/>
      <c r="H572" s="252"/>
      <c r="I572" s="252"/>
      <c r="J572" s="329"/>
      <c r="K572" s="329"/>
      <c r="L572" s="200"/>
      <c r="M572" s="200"/>
      <c r="N572" s="210"/>
      <c r="O572" s="210"/>
      <c r="P572" s="200"/>
      <c r="Q572" s="200"/>
      <c r="R572" s="200"/>
      <c r="T572" s="154"/>
      <c r="V572" s="200"/>
      <c r="W572" s="200"/>
      <c r="X572" s="200"/>
      <c r="Y572" s="200"/>
      <c r="Z572" s="329"/>
      <c r="AA572" s="200"/>
      <c r="AB572" s="200"/>
      <c r="AC572" s="210"/>
      <c r="AD572" s="210"/>
      <c r="AE572" s="200"/>
      <c r="AF572" s="200"/>
      <c r="AG572" s="209"/>
      <c r="AH572" s="201"/>
      <c r="AI572" s="200"/>
      <c r="AJ572" s="200"/>
      <c r="AK572" s="209"/>
      <c r="AL572" s="200"/>
      <c r="AM572" s="210"/>
      <c r="AN572" s="210"/>
    </row>
    <row r="573" spans="1:40" x14ac:dyDescent="0.25">
      <c r="A573" s="202"/>
      <c r="C573" s="154"/>
      <c r="F573" s="252"/>
      <c r="J573" s="334"/>
      <c r="K573" s="334"/>
      <c r="T573" s="154"/>
      <c r="V573" s="200"/>
      <c r="W573" s="200"/>
      <c r="X573" s="200"/>
      <c r="Y573" s="200"/>
      <c r="Z573" s="329"/>
    </row>
    <row r="574" spans="1:40" x14ac:dyDescent="0.25">
      <c r="A574" s="202"/>
      <c r="C574" s="154"/>
      <c r="H574" s="252"/>
      <c r="I574" s="252"/>
      <c r="J574" s="329"/>
      <c r="K574" s="329"/>
      <c r="L574" s="200"/>
      <c r="M574" s="200"/>
      <c r="N574" s="210"/>
      <c r="O574" s="210"/>
      <c r="P574" s="200"/>
      <c r="Q574" s="200"/>
      <c r="R574" s="200"/>
      <c r="T574" s="154"/>
      <c r="V574" s="200"/>
      <c r="W574" s="200"/>
      <c r="X574" s="200"/>
      <c r="Y574" s="200"/>
      <c r="Z574" s="329"/>
      <c r="AA574" s="200"/>
      <c r="AB574" s="200"/>
      <c r="AC574" s="210"/>
      <c r="AD574" s="210"/>
      <c r="AE574" s="200"/>
      <c r="AF574" s="200"/>
      <c r="AG574" s="209"/>
      <c r="AH574" s="201"/>
      <c r="AI574" s="200"/>
      <c r="AJ574" s="200"/>
      <c r="AK574" s="209"/>
      <c r="AL574" s="200"/>
      <c r="AM574" s="210"/>
      <c r="AN574" s="210"/>
    </row>
    <row r="575" spans="1:40" x14ac:dyDescent="0.25">
      <c r="F575" s="252"/>
      <c r="H575" s="211"/>
      <c r="I575" s="211"/>
      <c r="J575" s="329"/>
      <c r="K575" s="329"/>
      <c r="L575" s="211"/>
      <c r="M575" s="211"/>
      <c r="N575" s="211"/>
      <c r="O575" s="211"/>
      <c r="P575" s="211"/>
      <c r="Q575" s="211"/>
      <c r="R575" s="211"/>
      <c r="V575" s="211"/>
      <c r="Y575" s="211"/>
      <c r="Z575" s="329"/>
      <c r="AA575" s="211"/>
      <c r="AB575" s="211"/>
      <c r="AC575" s="211"/>
      <c r="AD575" s="211"/>
      <c r="AE575" s="211"/>
      <c r="AF575" s="211"/>
      <c r="AI575" s="211"/>
      <c r="AJ575" s="211"/>
      <c r="AK575" s="212"/>
      <c r="AL575" s="211"/>
      <c r="AM575" s="210"/>
      <c r="AN575" s="210"/>
    </row>
    <row r="576" spans="1:40" x14ac:dyDescent="0.25">
      <c r="A576" s="202"/>
      <c r="C576" s="154"/>
      <c r="F576" s="211"/>
      <c r="H576" s="200"/>
      <c r="I576" s="200"/>
      <c r="J576" s="334"/>
      <c r="K576" s="334"/>
      <c r="L576" s="200"/>
      <c r="M576" s="200"/>
      <c r="N576" s="210"/>
      <c r="O576" s="210"/>
      <c r="P576" s="252"/>
      <c r="Q576" s="252"/>
      <c r="R576" s="200"/>
      <c r="T576" s="154"/>
      <c r="V576" s="200"/>
      <c r="W576" s="200"/>
      <c r="X576" s="200"/>
      <c r="Y576" s="200"/>
      <c r="Z576" s="329"/>
      <c r="AA576" s="200"/>
      <c r="AB576" s="200"/>
      <c r="AC576" s="210"/>
      <c r="AD576" s="210"/>
      <c r="AE576" s="200"/>
      <c r="AF576" s="200"/>
      <c r="AG576" s="209"/>
      <c r="AH576" s="201"/>
      <c r="AI576" s="252"/>
      <c r="AJ576" s="252"/>
      <c r="AK576" s="209"/>
      <c r="AL576" s="200"/>
      <c r="AM576" s="210"/>
      <c r="AN576" s="210"/>
    </row>
    <row r="577" spans="1:40" x14ac:dyDescent="0.25">
      <c r="F577" s="200"/>
      <c r="H577" s="211"/>
      <c r="I577" s="211"/>
      <c r="J577" s="329"/>
      <c r="K577" s="329"/>
      <c r="L577" s="211"/>
      <c r="M577" s="211"/>
      <c r="N577" s="211"/>
      <c r="O577" s="211"/>
      <c r="P577" s="211"/>
      <c r="Q577" s="211"/>
      <c r="R577" s="211"/>
      <c r="V577" s="211"/>
      <c r="Y577" s="211"/>
      <c r="Z577" s="329"/>
      <c r="AA577" s="211"/>
      <c r="AB577" s="211"/>
      <c r="AC577" s="211"/>
      <c r="AD577" s="211"/>
      <c r="AE577" s="211"/>
      <c r="AF577" s="211"/>
      <c r="AI577" s="211"/>
      <c r="AJ577" s="211"/>
      <c r="AK577" s="212"/>
      <c r="AL577" s="211"/>
    </row>
    <row r="578" spans="1:40" x14ac:dyDescent="0.25">
      <c r="A578" s="202"/>
      <c r="C578" s="154"/>
      <c r="D578" s="154"/>
      <c r="E578" s="154"/>
      <c r="F578" s="211"/>
      <c r="J578" s="334"/>
      <c r="K578" s="334"/>
      <c r="T578" s="154"/>
      <c r="U578" s="154"/>
      <c r="V578" s="200"/>
      <c r="W578" s="200"/>
      <c r="X578" s="200"/>
      <c r="Y578" s="200"/>
      <c r="Z578" s="329"/>
    </row>
    <row r="579" spans="1:40" x14ac:dyDescent="0.25">
      <c r="A579" s="202"/>
      <c r="C579" s="154"/>
      <c r="J579" s="334"/>
      <c r="K579" s="334"/>
      <c r="T579" s="154"/>
      <c r="V579" s="200"/>
      <c r="W579" s="200"/>
      <c r="X579" s="200"/>
      <c r="Y579" s="200"/>
      <c r="Z579" s="329"/>
    </row>
    <row r="580" spans="1:40" x14ac:dyDescent="0.25">
      <c r="A580" s="202"/>
      <c r="C580" s="154"/>
      <c r="J580" s="334"/>
      <c r="K580" s="334"/>
      <c r="T580" s="154"/>
      <c r="V580" s="200"/>
      <c r="W580" s="200"/>
      <c r="X580" s="200"/>
      <c r="Y580" s="200"/>
      <c r="Z580" s="329"/>
    </row>
    <row r="581" spans="1:40" x14ac:dyDescent="0.25">
      <c r="A581" s="202"/>
      <c r="C581" s="154"/>
      <c r="H581" s="252"/>
      <c r="I581" s="252"/>
      <c r="J581" s="329"/>
      <c r="K581" s="329"/>
      <c r="L581" s="200"/>
      <c r="M581" s="200"/>
      <c r="N581" s="210"/>
      <c r="O581" s="210"/>
      <c r="P581" s="200"/>
      <c r="Q581" s="200"/>
      <c r="R581" s="200"/>
      <c r="T581" s="154"/>
      <c r="V581" s="200"/>
      <c r="W581" s="200"/>
      <c r="X581" s="200"/>
      <c r="Y581" s="200"/>
      <c r="Z581" s="329"/>
      <c r="AA581" s="200"/>
      <c r="AB581" s="200"/>
      <c r="AC581" s="210"/>
      <c r="AD581" s="210"/>
      <c r="AE581" s="200"/>
      <c r="AF581" s="200"/>
      <c r="AG581" s="209"/>
      <c r="AH581" s="201"/>
      <c r="AI581" s="200"/>
      <c r="AJ581" s="200"/>
      <c r="AK581" s="209"/>
      <c r="AL581" s="200"/>
      <c r="AM581" s="210"/>
      <c r="AN581" s="210"/>
    </row>
    <row r="582" spans="1:40" x14ac:dyDescent="0.25">
      <c r="A582" s="202"/>
      <c r="C582" s="154"/>
      <c r="F582" s="252"/>
      <c r="J582" s="334"/>
      <c r="K582" s="334"/>
      <c r="T582" s="154"/>
      <c r="V582" s="200"/>
      <c r="W582" s="200"/>
      <c r="X582" s="200"/>
      <c r="Y582" s="200"/>
      <c r="Z582" s="329"/>
    </row>
    <row r="583" spans="1:40" x14ac:dyDescent="0.25">
      <c r="A583" s="202"/>
      <c r="C583" s="154"/>
      <c r="H583" s="252"/>
      <c r="I583" s="252"/>
      <c r="J583" s="329"/>
      <c r="K583" s="329"/>
      <c r="L583" s="200"/>
      <c r="M583" s="200"/>
      <c r="N583" s="210"/>
      <c r="O583" s="210"/>
      <c r="P583" s="200"/>
      <c r="Q583" s="200"/>
      <c r="R583" s="200"/>
      <c r="T583" s="154"/>
      <c r="V583" s="200"/>
      <c r="W583" s="200"/>
      <c r="X583" s="200"/>
      <c r="Y583" s="200"/>
      <c r="Z583" s="329"/>
      <c r="AA583" s="200"/>
      <c r="AB583" s="200"/>
      <c r="AC583" s="210"/>
      <c r="AD583" s="210"/>
      <c r="AE583" s="200"/>
      <c r="AF583" s="200"/>
      <c r="AG583" s="209"/>
      <c r="AH583" s="201"/>
      <c r="AI583" s="200"/>
      <c r="AJ583" s="200"/>
      <c r="AK583" s="209"/>
      <c r="AL583" s="200"/>
      <c r="AM583" s="210"/>
      <c r="AN583" s="210"/>
    </row>
    <row r="584" spans="1:40" x14ac:dyDescent="0.25">
      <c r="F584" s="252"/>
      <c r="H584" s="211"/>
      <c r="I584" s="211"/>
      <c r="J584" s="329"/>
      <c r="K584" s="329"/>
      <c r="L584" s="211"/>
      <c r="M584" s="211"/>
      <c r="N584" s="211"/>
      <c r="O584" s="211"/>
      <c r="P584" s="211"/>
      <c r="Q584" s="211"/>
      <c r="R584" s="211"/>
      <c r="V584" s="211"/>
      <c r="Y584" s="211"/>
      <c r="Z584" s="305"/>
      <c r="AA584" s="211"/>
      <c r="AB584" s="211"/>
      <c r="AC584" s="211"/>
      <c r="AD584" s="211"/>
      <c r="AE584" s="211"/>
      <c r="AF584" s="211"/>
      <c r="AI584" s="211"/>
      <c r="AJ584" s="211"/>
      <c r="AK584" s="212"/>
      <c r="AL584" s="211"/>
    </row>
    <row r="585" spans="1:40" x14ac:dyDescent="0.25">
      <c r="A585" s="202"/>
      <c r="C585" s="154"/>
      <c r="F585" s="211"/>
      <c r="H585" s="200"/>
      <c r="I585" s="200"/>
      <c r="L585" s="200"/>
      <c r="M585" s="200"/>
      <c r="N585" s="210"/>
      <c r="O585" s="210"/>
      <c r="P585" s="252"/>
      <c r="Q585" s="252"/>
      <c r="R585" s="200"/>
      <c r="T585" s="154"/>
      <c r="V585" s="200"/>
      <c r="W585" s="200"/>
      <c r="X585" s="200"/>
      <c r="Y585" s="200"/>
      <c r="Z585" s="328"/>
      <c r="AA585" s="200"/>
      <c r="AB585" s="200"/>
      <c r="AC585" s="210"/>
      <c r="AD585" s="210"/>
      <c r="AE585" s="200"/>
      <c r="AF585" s="200"/>
      <c r="AG585" s="209"/>
      <c r="AH585" s="201"/>
      <c r="AI585" s="252"/>
      <c r="AJ585" s="252"/>
      <c r="AK585" s="209"/>
      <c r="AL585" s="200"/>
      <c r="AM585" s="210"/>
      <c r="AN585" s="210"/>
    </row>
    <row r="586" spans="1:40" x14ac:dyDescent="0.25">
      <c r="F586" s="200"/>
      <c r="H586" s="211"/>
      <c r="I586" s="211"/>
      <c r="J586" s="305"/>
      <c r="K586" s="305"/>
      <c r="L586" s="211"/>
      <c r="M586" s="211"/>
      <c r="N586" s="211"/>
      <c r="O586" s="211"/>
      <c r="P586" s="211"/>
      <c r="Q586" s="211"/>
      <c r="R586" s="211"/>
      <c r="V586" s="211"/>
      <c r="Y586" s="211"/>
      <c r="Z586" s="305"/>
      <c r="AA586" s="211"/>
      <c r="AB586" s="211"/>
      <c r="AC586" s="211"/>
      <c r="AD586" s="211"/>
      <c r="AE586" s="211"/>
      <c r="AF586" s="211"/>
      <c r="AI586" s="211"/>
      <c r="AJ586" s="211"/>
      <c r="AK586" s="212"/>
      <c r="AL586" s="211"/>
    </row>
    <row r="587" spans="1:40" x14ac:dyDescent="0.25">
      <c r="A587" s="202"/>
      <c r="C587" s="154"/>
      <c r="D587" s="154"/>
      <c r="E587" s="154"/>
      <c r="F587" s="211"/>
      <c r="T587" s="154"/>
      <c r="U587" s="154"/>
      <c r="V587" s="200"/>
      <c r="W587" s="200"/>
      <c r="X587" s="200"/>
      <c r="Y587" s="200"/>
      <c r="Z587" s="328"/>
    </row>
    <row r="588" spans="1:40" x14ac:dyDescent="0.25">
      <c r="A588" s="202"/>
      <c r="C588" s="154"/>
      <c r="T588" s="154"/>
      <c r="V588" s="200"/>
      <c r="W588" s="200"/>
      <c r="X588" s="200"/>
      <c r="Y588" s="200"/>
      <c r="Z588" s="328"/>
    </row>
    <row r="589" spans="1:40" x14ac:dyDescent="0.25">
      <c r="A589" s="202"/>
      <c r="C589" s="154"/>
      <c r="H589" s="252"/>
      <c r="I589" s="252"/>
      <c r="J589" s="328"/>
      <c r="K589" s="328"/>
      <c r="L589" s="200"/>
      <c r="M589" s="200"/>
      <c r="N589" s="210"/>
      <c r="O589" s="210"/>
      <c r="P589" s="200"/>
      <c r="Q589" s="200"/>
      <c r="R589" s="200"/>
      <c r="T589" s="154"/>
      <c r="V589" s="200"/>
      <c r="W589" s="200"/>
      <c r="X589" s="200"/>
      <c r="Y589" s="200"/>
      <c r="Z589" s="328"/>
      <c r="AA589" s="200"/>
      <c r="AB589" s="200"/>
      <c r="AC589" s="210"/>
      <c r="AD589" s="210"/>
      <c r="AE589" s="200"/>
      <c r="AF589" s="200"/>
      <c r="AG589" s="209"/>
      <c r="AH589" s="201"/>
      <c r="AI589" s="200"/>
      <c r="AJ589" s="200"/>
      <c r="AK589" s="209"/>
      <c r="AL589" s="200"/>
      <c r="AM589" s="210"/>
      <c r="AN589" s="210"/>
    </row>
    <row r="590" spans="1:40" x14ac:dyDescent="0.25">
      <c r="A590" s="202"/>
      <c r="C590" s="154"/>
      <c r="F590" s="252"/>
      <c r="T590" s="154"/>
      <c r="V590" s="200"/>
      <c r="W590" s="200"/>
      <c r="X590" s="200"/>
      <c r="Y590" s="200"/>
      <c r="Z590" s="328"/>
    </row>
    <row r="591" spans="1:40" x14ac:dyDescent="0.25">
      <c r="A591" s="202"/>
      <c r="C591" s="154"/>
      <c r="H591" s="252"/>
      <c r="I591" s="252"/>
      <c r="J591" s="328"/>
      <c r="K591" s="328"/>
      <c r="L591" s="200"/>
      <c r="M591" s="200"/>
      <c r="N591" s="210"/>
      <c r="O591" s="210"/>
      <c r="P591" s="200"/>
      <c r="Q591" s="200"/>
      <c r="R591" s="200"/>
      <c r="T591" s="154"/>
      <c r="V591" s="200"/>
      <c r="W591" s="200"/>
      <c r="X591" s="200"/>
      <c r="Y591" s="200"/>
      <c r="Z591" s="328"/>
      <c r="AA591" s="200"/>
      <c r="AB591" s="200"/>
      <c r="AC591" s="210"/>
      <c r="AD591" s="210"/>
      <c r="AE591" s="200"/>
      <c r="AF591" s="200"/>
      <c r="AG591" s="209"/>
      <c r="AH591" s="201"/>
      <c r="AI591" s="200"/>
      <c r="AJ591" s="200"/>
      <c r="AK591" s="209"/>
      <c r="AL591" s="200"/>
      <c r="AM591" s="210"/>
      <c r="AN591" s="210"/>
    </row>
    <row r="592" spans="1:40" x14ac:dyDescent="0.25">
      <c r="A592" s="202"/>
      <c r="C592" s="154"/>
      <c r="F592" s="252"/>
      <c r="T592" s="154"/>
      <c r="V592" s="200"/>
      <c r="W592" s="200"/>
      <c r="X592" s="200"/>
      <c r="Y592" s="200"/>
      <c r="Z592" s="328"/>
    </row>
    <row r="593" spans="1:40" x14ac:dyDescent="0.25">
      <c r="A593" s="202"/>
      <c r="C593" s="154"/>
      <c r="H593" s="252"/>
      <c r="I593" s="252"/>
      <c r="J593" s="328"/>
      <c r="K593" s="328"/>
      <c r="L593" s="200"/>
      <c r="M593" s="200"/>
      <c r="N593" s="210"/>
      <c r="O593" s="210"/>
      <c r="P593" s="200"/>
      <c r="Q593" s="200"/>
      <c r="R593" s="200"/>
      <c r="T593" s="154"/>
      <c r="V593" s="200"/>
      <c r="W593" s="200"/>
      <c r="X593" s="200"/>
      <c r="Y593" s="200"/>
      <c r="Z593" s="328"/>
      <c r="AA593" s="200"/>
      <c r="AB593" s="200"/>
      <c r="AC593" s="210"/>
      <c r="AD593" s="210"/>
      <c r="AE593" s="200"/>
      <c r="AF593" s="200"/>
      <c r="AG593" s="209"/>
      <c r="AH593" s="201"/>
      <c r="AI593" s="200"/>
      <c r="AJ593" s="200"/>
      <c r="AK593" s="209"/>
      <c r="AL593" s="200"/>
      <c r="AM593" s="210"/>
      <c r="AN593" s="210"/>
    </row>
    <row r="594" spans="1:40" x14ac:dyDescent="0.25">
      <c r="A594" s="202"/>
      <c r="C594" s="154"/>
      <c r="F594" s="252"/>
      <c r="T594" s="154"/>
      <c r="V594" s="200"/>
      <c r="W594" s="200"/>
      <c r="X594" s="200"/>
      <c r="Y594" s="200"/>
      <c r="Z594" s="328"/>
    </row>
    <row r="595" spans="1:40" x14ac:dyDescent="0.25">
      <c r="A595" s="202"/>
      <c r="C595" s="154"/>
      <c r="H595" s="252"/>
      <c r="I595" s="252"/>
      <c r="J595" s="328"/>
      <c r="K595" s="328"/>
      <c r="L595" s="200"/>
      <c r="M595" s="200"/>
      <c r="N595" s="210"/>
      <c r="O595" s="210"/>
      <c r="P595" s="200"/>
      <c r="Q595" s="200"/>
      <c r="R595" s="200"/>
      <c r="T595" s="154"/>
      <c r="V595" s="200"/>
      <c r="W595" s="200"/>
      <c r="X595" s="200"/>
      <c r="Y595" s="200"/>
      <c r="Z595" s="328"/>
      <c r="AA595" s="200"/>
      <c r="AB595" s="200"/>
      <c r="AC595" s="210"/>
      <c r="AD595" s="210"/>
      <c r="AE595" s="200"/>
      <c r="AF595" s="200"/>
      <c r="AG595" s="209"/>
      <c r="AH595" s="201"/>
      <c r="AI595" s="200"/>
      <c r="AJ595" s="200"/>
      <c r="AK595" s="209"/>
      <c r="AL595" s="200"/>
      <c r="AM595" s="210"/>
      <c r="AN595" s="210"/>
    </row>
    <row r="596" spans="1:40" x14ac:dyDescent="0.25">
      <c r="F596" s="252"/>
      <c r="H596" s="211"/>
      <c r="I596" s="211"/>
      <c r="J596" s="305"/>
      <c r="K596" s="305"/>
      <c r="L596" s="211"/>
      <c r="M596" s="211"/>
      <c r="N596" s="211"/>
      <c r="O596" s="211"/>
      <c r="P596" s="211"/>
      <c r="Q596" s="211"/>
      <c r="R596" s="211"/>
      <c r="V596" s="211"/>
      <c r="Y596" s="211"/>
      <c r="Z596" s="305"/>
      <c r="AA596" s="211"/>
      <c r="AB596" s="211"/>
      <c r="AC596" s="211"/>
      <c r="AD596" s="211"/>
      <c r="AE596" s="211"/>
      <c r="AF596" s="211"/>
      <c r="AI596" s="211"/>
      <c r="AJ596" s="211"/>
      <c r="AK596" s="212"/>
      <c r="AL596" s="211"/>
    </row>
    <row r="597" spans="1:40" x14ac:dyDescent="0.25">
      <c r="A597" s="202"/>
      <c r="C597" s="154"/>
      <c r="F597" s="211"/>
      <c r="H597" s="200"/>
      <c r="I597" s="200"/>
      <c r="L597" s="200"/>
      <c r="M597" s="200"/>
      <c r="N597" s="210"/>
      <c r="O597" s="210"/>
      <c r="P597" s="252"/>
      <c r="Q597" s="252"/>
      <c r="R597" s="200"/>
      <c r="T597" s="154"/>
      <c r="V597" s="200"/>
      <c r="W597" s="200"/>
      <c r="X597" s="200"/>
      <c r="Y597" s="200"/>
      <c r="Z597" s="328"/>
      <c r="AA597" s="200"/>
      <c r="AB597" s="200"/>
      <c r="AC597" s="210"/>
      <c r="AD597" s="210"/>
      <c r="AE597" s="200"/>
      <c r="AF597" s="200"/>
      <c r="AG597" s="209"/>
      <c r="AH597" s="201"/>
      <c r="AI597" s="252"/>
      <c r="AJ597" s="252"/>
      <c r="AK597" s="209"/>
      <c r="AL597" s="200"/>
      <c r="AM597" s="210"/>
      <c r="AN597" s="210"/>
    </row>
    <row r="598" spans="1:40" x14ac:dyDescent="0.25">
      <c r="F598" s="200"/>
      <c r="H598" s="211"/>
      <c r="I598" s="211"/>
      <c r="J598" s="305"/>
      <c r="K598" s="305"/>
      <c r="L598" s="211"/>
      <c r="M598" s="211"/>
      <c r="N598" s="211"/>
      <c r="O598" s="211"/>
      <c r="P598" s="211"/>
      <c r="Q598" s="211"/>
      <c r="R598" s="211"/>
      <c r="V598" s="211"/>
      <c r="Y598" s="211"/>
      <c r="Z598" s="305"/>
      <c r="AA598" s="211"/>
      <c r="AB598" s="211"/>
      <c r="AC598" s="211"/>
      <c r="AD598" s="211"/>
      <c r="AE598" s="211"/>
      <c r="AF598" s="211"/>
      <c r="AI598" s="211"/>
      <c r="AJ598" s="211"/>
      <c r="AK598" s="212"/>
      <c r="AL598" s="211"/>
    </row>
    <row r="599" spans="1:40" x14ac:dyDescent="0.25">
      <c r="A599" s="202"/>
      <c r="C599" s="154"/>
      <c r="F599" s="211"/>
      <c r="H599" s="200"/>
      <c r="I599" s="200"/>
      <c r="L599" s="200"/>
      <c r="M599" s="200"/>
      <c r="N599" s="210"/>
      <c r="O599" s="210"/>
      <c r="P599" s="200"/>
      <c r="Q599" s="200"/>
      <c r="R599" s="200"/>
      <c r="T599" s="154"/>
      <c r="V599" s="200"/>
      <c r="W599" s="200"/>
      <c r="X599" s="200"/>
      <c r="Y599" s="200"/>
      <c r="AA599" s="200"/>
      <c r="AB599" s="200"/>
      <c r="AC599" s="210"/>
      <c r="AD599" s="210"/>
      <c r="AE599" s="200"/>
      <c r="AF599" s="200"/>
      <c r="AG599" s="209"/>
      <c r="AH599" s="201"/>
      <c r="AI599" s="200"/>
      <c r="AJ599" s="200"/>
      <c r="AK599" s="209"/>
      <c r="AL599" s="200"/>
      <c r="AM599" s="201"/>
      <c r="AN599" s="201"/>
    </row>
    <row r="600" spans="1:40" x14ac:dyDescent="0.25">
      <c r="F600" s="200"/>
      <c r="H600" s="211"/>
      <c r="I600" s="211"/>
      <c r="J600" s="305"/>
      <c r="K600" s="305"/>
      <c r="L600" s="211"/>
      <c r="M600" s="211"/>
      <c r="N600" s="211"/>
      <c r="O600" s="211"/>
      <c r="P600" s="211"/>
      <c r="Q600" s="211"/>
      <c r="R600" s="211"/>
      <c r="V600" s="211"/>
      <c r="Y600" s="211"/>
      <c r="Z600" s="305"/>
      <c r="AA600" s="211"/>
      <c r="AB600" s="211"/>
      <c r="AC600" s="211"/>
      <c r="AD600" s="211"/>
      <c r="AE600" s="211"/>
      <c r="AF600" s="211"/>
      <c r="AI600" s="211"/>
      <c r="AJ600" s="211"/>
      <c r="AK600" s="212"/>
      <c r="AL600" s="211"/>
    </row>
    <row r="602" spans="1:40" x14ac:dyDescent="0.25">
      <c r="C602" s="202"/>
      <c r="F602" s="211"/>
      <c r="T602" s="202"/>
    </row>
    <row r="603" spans="1:40" x14ac:dyDescent="0.25">
      <c r="A603" s="154"/>
    </row>
    <row r="604" spans="1:40" x14ac:dyDescent="0.25">
      <c r="J604" s="202"/>
      <c r="K604" s="202"/>
      <c r="Z604" s="202"/>
    </row>
    <row r="605" spans="1:40" x14ac:dyDescent="0.25">
      <c r="H605" s="154"/>
      <c r="I605" s="154"/>
      <c r="Y605" s="154"/>
    </row>
    <row r="606" spans="1:40" x14ac:dyDescent="0.25">
      <c r="J606" s="202"/>
      <c r="K606" s="202"/>
      <c r="Z606" s="202"/>
    </row>
    <row r="607" spans="1:40" x14ac:dyDescent="0.25">
      <c r="L607" s="154"/>
      <c r="M607" s="154"/>
      <c r="AA607" s="154"/>
      <c r="AB607" s="154"/>
    </row>
    <row r="608" spans="1:40" x14ac:dyDescent="0.25">
      <c r="A608" s="202"/>
      <c r="R608" s="154"/>
      <c r="AK608" s="297"/>
      <c r="AL608" s="154"/>
    </row>
    <row r="609" spans="1:40" x14ac:dyDescent="0.25">
      <c r="A609" s="202"/>
      <c r="R609" s="154"/>
      <c r="AK609" s="297"/>
      <c r="AL609" s="154"/>
    </row>
    <row r="610" spans="1:40" x14ac:dyDescent="0.25">
      <c r="A610" s="154"/>
      <c r="R610" s="154"/>
      <c r="AK610" s="297"/>
      <c r="AL610" s="154"/>
    </row>
    <row r="611" spans="1:40" x14ac:dyDescent="0.25">
      <c r="L611" s="154"/>
      <c r="M611" s="154"/>
      <c r="R611" s="202"/>
      <c r="AA611" s="154"/>
      <c r="AB611" s="154"/>
      <c r="AK611" s="209"/>
      <c r="AL611" s="202"/>
    </row>
    <row r="612" spans="1:40" x14ac:dyDescent="0.25">
      <c r="A612" s="102"/>
      <c r="B612" s="102"/>
      <c r="C612" s="102"/>
      <c r="D612" s="102"/>
      <c r="E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208"/>
      <c r="AH612" s="102"/>
      <c r="AI612" s="102"/>
      <c r="AJ612" s="102"/>
      <c r="AK612" s="208"/>
      <c r="AL612" s="102"/>
      <c r="AM612" s="102"/>
      <c r="AN612" s="102"/>
    </row>
    <row r="613" spans="1:40" x14ac:dyDescent="0.25">
      <c r="F613" s="102"/>
      <c r="L613" s="103"/>
      <c r="M613" s="103"/>
      <c r="N613" s="103"/>
      <c r="O613" s="103"/>
      <c r="R613" s="103"/>
      <c r="AA613" s="103"/>
      <c r="AB613" s="103"/>
      <c r="AC613" s="103"/>
      <c r="AD613" s="103"/>
      <c r="AE613" s="103"/>
      <c r="AF613" s="103"/>
      <c r="AG613" s="185"/>
      <c r="AH613" s="103"/>
      <c r="AK613" s="185"/>
      <c r="AL613" s="103"/>
      <c r="AM613" s="103"/>
      <c r="AN613" s="103"/>
    </row>
    <row r="614" spans="1:40" x14ac:dyDescent="0.25">
      <c r="L614" s="103"/>
      <c r="M614" s="103"/>
      <c r="N614" s="103"/>
      <c r="O614" s="103"/>
      <c r="R614" s="103"/>
      <c r="Z614" s="103"/>
      <c r="AA614" s="103"/>
      <c r="AB614" s="103"/>
      <c r="AC614" s="103"/>
      <c r="AD614" s="103"/>
      <c r="AE614" s="103"/>
      <c r="AF614" s="103"/>
      <c r="AG614" s="185"/>
      <c r="AH614" s="103"/>
      <c r="AK614" s="185"/>
      <c r="AL614" s="103"/>
      <c r="AM614" s="103"/>
      <c r="AN614" s="103"/>
    </row>
    <row r="615" spans="1:40" x14ac:dyDescent="0.25">
      <c r="A615" s="103"/>
      <c r="C615" s="103"/>
      <c r="D615" s="103"/>
      <c r="E615" s="103"/>
      <c r="J615" s="103"/>
      <c r="K615" s="103"/>
      <c r="L615" s="103"/>
      <c r="M615" s="103"/>
      <c r="N615" s="103"/>
      <c r="O615" s="103"/>
      <c r="P615" s="103"/>
      <c r="Q615" s="103"/>
      <c r="R615" s="103"/>
      <c r="T615" s="103"/>
      <c r="U615" s="103"/>
      <c r="V615" s="103"/>
      <c r="Z615" s="103"/>
      <c r="AA615" s="103"/>
      <c r="AB615" s="103"/>
      <c r="AC615" s="103"/>
      <c r="AD615" s="103"/>
      <c r="AE615" s="103"/>
      <c r="AF615" s="103"/>
      <c r="AG615" s="185"/>
      <c r="AH615" s="103"/>
      <c r="AI615" s="103"/>
      <c r="AJ615" s="103"/>
      <c r="AK615" s="185"/>
      <c r="AL615" s="103"/>
      <c r="AM615" s="103"/>
      <c r="AN615" s="103"/>
    </row>
    <row r="616" spans="1:40" x14ac:dyDescent="0.25">
      <c r="A616" s="103"/>
      <c r="C616" s="103"/>
      <c r="D616" s="103"/>
      <c r="E616" s="103"/>
      <c r="F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T616" s="103"/>
      <c r="U616" s="103"/>
      <c r="V616" s="103"/>
      <c r="Y616" s="103"/>
      <c r="Z616" s="103"/>
      <c r="AA616" s="103"/>
      <c r="AB616" s="103"/>
      <c r="AC616" s="103"/>
      <c r="AD616" s="103"/>
      <c r="AE616" s="103"/>
      <c r="AF616" s="103"/>
      <c r="AG616" s="185"/>
      <c r="AH616" s="103"/>
      <c r="AI616" s="103"/>
      <c r="AJ616" s="103"/>
      <c r="AK616" s="185"/>
      <c r="AL616" s="103"/>
      <c r="AM616" s="103"/>
      <c r="AN616" s="103"/>
    </row>
    <row r="617" spans="1:40" x14ac:dyDescent="0.25">
      <c r="C617" s="103"/>
      <c r="D617" s="103"/>
      <c r="E617" s="103"/>
      <c r="F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T617" s="103"/>
      <c r="U617" s="103"/>
      <c r="V617" s="103"/>
      <c r="Y617" s="103"/>
      <c r="Z617" s="103"/>
      <c r="AA617" s="103"/>
      <c r="AB617" s="103"/>
      <c r="AC617" s="103"/>
      <c r="AD617" s="103"/>
      <c r="AE617" s="103"/>
      <c r="AF617" s="103"/>
      <c r="AG617" s="185"/>
      <c r="AH617" s="103"/>
      <c r="AI617" s="103"/>
      <c r="AJ617" s="103"/>
      <c r="AK617" s="185"/>
      <c r="AL617" s="103"/>
      <c r="AM617" s="103"/>
      <c r="AN617" s="103"/>
    </row>
    <row r="618" spans="1:40" x14ac:dyDescent="0.25">
      <c r="A618" s="102"/>
      <c r="B618" s="102"/>
      <c r="C618" s="102"/>
      <c r="D618" s="102"/>
      <c r="E618" s="102"/>
      <c r="F618" s="103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208"/>
      <c r="AH618" s="102"/>
      <c r="AI618" s="102"/>
      <c r="AJ618" s="102"/>
      <c r="AK618" s="208"/>
      <c r="AL618" s="102"/>
      <c r="AM618" s="102"/>
      <c r="AN618" s="102"/>
    </row>
    <row r="619" spans="1:40" x14ac:dyDescent="0.25">
      <c r="F619" s="102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Y619" s="103"/>
      <c r="Z619" s="103"/>
      <c r="AA619" s="103"/>
      <c r="AB619" s="103"/>
      <c r="AC619" s="103"/>
      <c r="AD619" s="103"/>
      <c r="AE619" s="103"/>
      <c r="AF619" s="103"/>
      <c r="AG619" s="185"/>
      <c r="AH619" s="103"/>
      <c r="AI619" s="103"/>
      <c r="AJ619" s="103"/>
      <c r="AK619" s="185"/>
      <c r="AL619" s="103"/>
      <c r="AM619" s="103"/>
      <c r="AN619" s="103"/>
    </row>
    <row r="620" spans="1:40" x14ac:dyDescent="0.25">
      <c r="A620" s="202"/>
      <c r="C620" s="154"/>
      <c r="D620" s="154"/>
      <c r="E620" s="154"/>
      <c r="H620" s="200"/>
      <c r="I620" s="200"/>
      <c r="J620" s="213"/>
      <c r="K620" s="213"/>
      <c r="L620" s="200"/>
      <c r="M620" s="200"/>
      <c r="N620" s="213"/>
      <c r="O620" s="213"/>
      <c r="P620" s="200"/>
      <c r="Q620" s="200"/>
      <c r="R620" s="200"/>
      <c r="T620" s="154"/>
      <c r="U620" s="154"/>
      <c r="V620" s="200"/>
      <c r="Y620" s="200"/>
      <c r="Z620" s="213"/>
      <c r="AA620" s="200"/>
      <c r="AB620" s="200"/>
      <c r="AC620" s="213"/>
      <c r="AD620" s="213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F621" s="200"/>
      <c r="H621" s="211"/>
      <c r="I621" s="211"/>
      <c r="J621" s="305"/>
      <c r="K621" s="305"/>
      <c r="L621" s="211"/>
      <c r="M621" s="211"/>
      <c r="N621" s="211"/>
      <c r="O621" s="211"/>
      <c r="P621" s="211"/>
      <c r="Q621" s="211"/>
      <c r="R621" s="211"/>
      <c r="V621" s="211"/>
      <c r="Y621" s="211"/>
      <c r="Z621" s="305"/>
      <c r="AA621" s="211"/>
      <c r="AB621" s="211"/>
      <c r="AC621" s="211"/>
      <c r="AD621" s="211"/>
      <c r="AE621" s="211"/>
      <c r="AF621" s="211"/>
      <c r="AI621" s="211"/>
      <c r="AJ621" s="211"/>
      <c r="AK621" s="212"/>
      <c r="AL621" s="211"/>
      <c r="AM621" s="210"/>
      <c r="AN621" s="210"/>
    </row>
    <row r="622" spans="1:40" x14ac:dyDescent="0.25">
      <c r="A622" s="202"/>
      <c r="C622" s="154"/>
      <c r="F622" s="211"/>
      <c r="H622" s="200"/>
      <c r="I622" s="200"/>
      <c r="J622" s="213"/>
      <c r="K622" s="213"/>
      <c r="L622" s="200"/>
      <c r="M622" s="200"/>
      <c r="N622" s="213"/>
      <c r="O622" s="213"/>
      <c r="P622" s="200"/>
      <c r="Q622" s="200"/>
      <c r="R622" s="200"/>
      <c r="T622" s="154"/>
      <c r="V622" s="200"/>
      <c r="Y622" s="200"/>
      <c r="Z622" s="213"/>
      <c r="AA622" s="200"/>
      <c r="AB622" s="200"/>
      <c r="AC622" s="213"/>
      <c r="AD622" s="213"/>
      <c r="AE622" s="200"/>
      <c r="AF622" s="200"/>
      <c r="AG622" s="209"/>
      <c r="AH622" s="201"/>
      <c r="AI622" s="200"/>
      <c r="AJ622" s="200"/>
      <c r="AK622" s="209"/>
      <c r="AL622" s="200"/>
      <c r="AM622" s="210"/>
      <c r="AN622" s="210"/>
    </row>
    <row r="623" spans="1:40" x14ac:dyDescent="0.25">
      <c r="F623" s="200"/>
      <c r="H623" s="200"/>
      <c r="I623" s="200"/>
      <c r="J623" s="213"/>
      <c r="K623" s="213"/>
      <c r="L623" s="200"/>
      <c r="M623" s="200"/>
      <c r="N623" s="213"/>
      <c r="O623" s="213"/>
      <c r="P623" s="200"/>
      <c r="Q623" s="200"/>
      <c r="R623" s="200"/>
      <c r="V623" s="200"/>
      <c r="Y623" s="200"/>
      <c r="Z623" s="213"/>
      <c r="AA623" s="200"/>
      <c r="AB623" s="200"/>
      <c r="AC623" s="213"/>
      <c r="AD623" s="213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A624" s="202"/>
      <c r="C624" s="154"/>
      <c r="D624" s="154"/>
      <c r="E624" s="154"/>
      <c r="F624" s="200"/>
      <c r="H624" s="200"/>
      <c r="I624" s="200"/>
      <c r="J624" s="213"/>
      <c r="K624" s="213"/>
      <c r="L624" s="200"/>
      <c r="M624" s="200"/>
      <c r="N624" s="213"/>
      <c r="O624" s="213"/>
      <c r="P624" s="200"/>
      <c r="Q624" s="200"/>
      <c r="R624" s="200"/>
      <c r="T624" s="154"/>
      <c r="U624" s="154"/>
      <c r="V624" s="200"/>
      <c r="Y624" s="200"/>
      <c r="Z624" s="213"/>
      <c r="AA624" s="200"/>
      <c r="AB624" s="200"/>
      <c r="AC624" s="213"/>
      <c r="AD624" s="213"/>
      <c r="AE624" s="200"/>
      <c r="AF624" s="200"/>
      <c r="AG624" s="209"/>
      <c r="AH624" s="201"/>
      <c r="AI624" s="200"/>
      <c r="AJ624" s="200"/>
      <c r="AK624" s="209"/>
      <c r="AL624" s="200"/>
      <c r="AM624" s="210"/>
      <c r="AN624" s="210"/>
    </row>
    <row r="625" spans="1:40" x14ac:dyDescent="0.25">
      <c r="A625" s="202"/>
      <c r="C625" s="154"/>
      <c r="D625" s="154"/>
      <c r="E625" s="154"/>
      <c r="F625" s="200"/>
      <c r="H625" s="200"/>
      <c r="I625" s="200"/>
      <c r="J625" s="213"/>
      <c r="K625" s="213"/>
      <c r="L625" s="200"/>
      <c r="M625" s="200"/>
      <c r="N625" s="213"/>
      <c r="O625" s="213"/>
      <c r="P625" s="200"/>
      <c r="Q625" s="200"/>
      <c r="R625" s="200"/>
      <c r="T625" s="154"/>
      <c r="U625" s="154"/>
      <c r="V625" s="200"/>
      <c r="Y625" s="200"/>
      <c r="Z625" s="213"/>
      <c r="AA625" s="200"/>
      <c r="AB625" s="200"/>
      <c r="AC625" s="213"/>
      <c r="AD625" s="213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A626" s="202"/>
      <c r="C626" s="154"/>
      <c r="D626" s="154"/>
      <c r="E626" s="154"/>
      <c r="F626" s="200"/>
      <c r="H626" s="200"/>
      <c r="I626" s="200"/>
      <c r="J626" s="213"/>
      <c r="K626" s="213"/>
      <c r="L626" s="200"/>
      <c r="M626" s="200"/>
      <c r="N626" s="213"/>
      <c r="O626" s="213"/>
      <c r="P626" s="200"/>
      <c r="Q626" s="200"/>
      <c r="R626" s="200"/>
      <c r="T626" s="154"/>
      <c r="U626" s="154"/>
      <c r="V626" s="200"/>
      <c r="Y626" s="200"/>
      <c r="Z626" s="213"/>
      <c r="AA626" s="200"/>
      <c r="AB626" s="200"/>
      <c r="AC626" s="213"/>
      <c r="AD626" s="213"/>
      <c r="AE626" s="200"/>
      <c r="AF626" s="200"/>
      <c r="AG626" s="209"/>
      <c r="AH626" s="201"/>
      <c r="AI626" s="200"/>
      <c r="AJ626" s="200"/>
      <c r="AK626" s="209"/>
      <c r="AL626" s="200"/>
      <c r="AM626" s="210"/>
      <c r="AN626" s="210"/>
    </row>
    <row r="627" spans="1:40" x14ac:dyDescent="0.25">
      <c r="A627" s="202"/>
      <c r="C627" s="154"/>
      <c r="D627" s="154"/>
      <c r="E627" s="154"/>
      <c r="F627" s="200"/>
      <c r="H627" s="200"/>
      <c r="I627" s="200"/>
      <c r="J627" s="213"/>
      <c r="K627" s="213"/>
      <c r="L627" s="200"/>
      <c r="M627" s="200"/>
      <c r="N627" s="213"/>
      <c r="O627" s="213"/>
      <c r="P627" s="200"/>
      <c r="Q627" s="200"/>
      <c r="R627" s="200"/>
      <c r="T627" s="154"/>
      <c r="U627" s="154"/>
      <c r="V627" s="200"/>
      <c r="Y627" s="200"/>
      <c r="Z627" s="213"/>
      <c r="AA627" s="200"/>
      <c r="AB627" s="200"/>
      <c r="AC627" s="213"/>
      <c r="AD627" s="213"/>
      <c r="AE627" s="200"/>
      <c r="AF627" s="200"/>
      <c r="AG627" s="209"/>
      <c r="AH627" s="201"/>
      <c r="AI627" s="200"/>
      <c r="AJ627" s="200"/>
      <c r="AK627" s="209"/>
      <c r="AL627" s="200"/>
      <c r="AM627" s="210"/>
      <c r="AN627" s="210"/>
    </row>
    <row r="628" spans="1:40" x14ac:dyDescent="0.25">
      <c r="A628" s="202"/>
      <c r="C628" s="154"/>
      <c r="D628" s="154"/>
      <c r="E628" s="154"/>
      <c r="F628" s="200"/>
      <c r="H628" s="200"/>
      <c r="I628" s="200"/>
      <c r="J628" s="213"/>
      <c r="K628" s="213"/>
      <c r="L628" s="200"/>
      <c r="M628" s="200"/>
      <c r="N628" s="213"/>
      <c r="O628" s="213"/>
      <c r="P628" s="200"/>
      <c r="Q628" s="200"/>
      <c r="R628" s="200"/>
      <c r="T628" s="154"/>
      <c r="U628" s="154"/>
      <c r="V628" s="200"/>
      <c r="Y628" s="200"/>
      <c r="Z628" s="213"/>
      <c r="AA628" s="200"/>
      <c r="AB628" s="200"/>
      <c r="AC628" s="213"/>
      <c r="AD628" s="213"/>
      <c r="AE628" s="200"/>
      <c r="AF628" s="200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A629" s="202"/>
      <c r="C629" s="154"/>
      <c r="D629" s="154"/>
      <c r="E629" s="154"/>
      <c r="F629" s="200"/>
      <c r="H629" s="200"/>
      <c r="I629" s="200"/>
      <c r="J629" s="213"/>
      <c r="K629" s="213"/>
      <c r="L629" s="200"/>
      <c r="M629" s="200"/>
      <c r="N629" s="213"/>
      <c r="O629" s="213"/>
      <c r="P629" s="200"/>
      <c r="Q629" s="200"/>
      <c r="R629" s="200"/>
      <c r="T629" s="154"/>
      <c r="U629" s="154"/>
      <c r="V629" s="200"/>
      <c r="Y629" s="200"/>
      <c r="Z629" s="213"/>
      <c r="AA629" s="200"/>
      <c r="AB629" s="200"/>
      <c r="AC629" s="213"/>
      <c r="AD629" s="213"/>
      <c r="AE629" s="200"/>
      <c r="AF629" s="200"/>
      <c r="AG629" s="209"/>
      <c r="AH629" s="201"/>
      <c r="AI629" s="200"/>
      <c r="AJ629" s="200"/>
      <c r="AK629" s="209"/>
      <c r="AL629" s="200"/>
      <c r="AM629" s="210"/>
      <c r="AN629" s="210"/>
    </row>
    <row r="630" spans="1:40" x14ac:dyDescent="0.25">
      <c r="F630" s="200"/>
      <c r="H630" s="211"/>
      <c r="I630" s="211"/>
      <c r="J630" s="305"/>
      <c r="K630" s="305"/>
      <c r="L630" s="211"/>
      <c r="M630" s="211"/>
      <c r="N630" s="211"/>
      <c r="O630" s="211"/>
      <c r="P630" s="211"/>
      <c r="Q630" s="211"/>
      <c r="R630" s="211"/>
      <c r="V630" s="211"/>
      <c r="Y630" s="211"/>
      <c r="Z630" s="305"/>
      <c r="AA630" s="211"/>
      <c r="AB630" s="211"/>
      <c r="AC630" s="211"/>
      <c r="AD630" s="211"/>
      <c r="AE630" s="211"/>
      <c r="AF630" s="211"/>
      <c r="AI630" s="211"/>
      <c r="AJ630" s="211"/>
      <c r="AK630" s="212"/>
      <c r="AL630" s="211"/>
      <c r="AM630" s="210"/>
      <c r="AN630" s="210"/>
    </row>
    <row r="631" spans="1:40" x14ac:dyDescent="0.25">
      <c r="A631" s="202"/>
      <c r="C631" s="154"/>
      <c r="F631" s="211"/>
      <c r="H631" s="200"/>
      <c r="I631" s="200"/>
      <c r="J631" s="213"/>
      <c r="K631" s="213"/>
      <c r="L631" s="200"/>
      <c r="M631" s="200"/>
      <c r="N631" s="213"/>
      <c r="O631" s="213"/>
      <c r="P631" s="200"/>
      <c r="Q631" s="200"/>
      <c r="R631" s="200"/>
      <c r="T631" s="154"/>
      <c r="V631" s="200"/>
      <c r="Y631" s="200"/>
      <c r="Z631" s="213"/>
      <c r="AA631" s="200"/>
      <c r="AB631" s="200"/>
      <c r="AC631" s="213"/>
      <c r="AD631" s="213"/>
      <c r="AE631" s="200"/>
      <c r="AF631" s="200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F632" s="200"/>
      <c r="H632" s="200"/>
      <c r="I632" s="200"/>
      <c r="J632" s="213"/>
      <c r="K632" s="213"/>
      <c r="L632" s="200"/>
      <c r="M632" s="200"/>
      <c r="N632" s="213"/>
      <c r="O632" s="213"/>
      <c r="P632" s="200"/>
      <c r="Q632" s="200"/>
      <c r="R632" s="200"/>
      <c r="V632" s="200"/>
      <c r="Y632" s="200"/>
      <c r="Z632" s="213"/>
      <c r="AA632" s="200"/>
      <c r="AB632" s="200"/>
      <c r="AC632" s="213"/>
      <c r="AD632" s="213"/>
      <c r="AG632" s="209"/>
      <c r="AH632" s="201"/>
      <c r="AI632" s="200"/>
      <c r="AJ632" s="200"/>
      <c r="AK632" s="209"/>
      <c r="AL632" s="200"/>
      <c r="AM632" s="210"/>
      <c r="AN632" s="210"/>
    </row>
    <row r="633" spans="1:40" x14ac:dyDescent="0.25">
      <c r="A633" s="202"/>
      <c r="C633" s="154"/>
      <c r="D633" s="154"/>
      <c r="E633" s="154"/>
      <c r="F633" s="200"/>
      <c r="H633" s="200"/>
      <c r="I633" s="200"/>
      <c r="J633" s="213"/>
      <c r="K633" s="213"/>
      <c r="L633" s="200"/>
      <c r="M633" s="200"/>
      <c r="N633" s="213"/>
      <c r="O633" s="213"/>
      <c r="P633" s="200"/>
      <c r="Q633" s="200"/>
      <c r="R633" s="200"/>
      <c r="T633" s="154"/>
      <c r="U633" s="154"/>
      <c r="V633" s="200"/>
      <c r="Y633" s="200"/>
      <c r="Z633" s="213"/>
      <c r="AA633" s="200"/>
      <c r="AB633" s="200"/>
      <c r="AC633" s="213"/>
      <c r="AD633" s="213"/>
      <c r="AE633" s="200"/>
      <c r="AF633" s="200"/>
      <c r="AG633" s="209"/>
      <c r="AH633" s="201"/>
      <c r="AI633" s="200"/>
      <c r="AJ633" s="200"/>
      <c r="AK633" s="209"/>
      <c r="AL633" s="200"/>
      <c r="AM633" s="210"/>
      <c r="AN633" s="210"/>
    </row>
    <row r="634" spans="1:40" x14ac:dyDescent="0.25">
      <c r="F634" s="200"/>
      <c r="H634" s="211"/>
      <c r="I634" s="211"/>
      <c r="J634" s="305"/>
      <c r="K634" s="305"/>
      <c r="L634" s="211"/>
      <c r="M634" s="211"/>
      <c r="N634" s="211"/>
      <c r="O634" s="211"/>
      <c r="P634" s="211"/>
      <c r="Q634" s="211"/>
      <c r="R634" s="211"/>
      <c r="V634" s="211"/>
      <c r="Y634" s="211"/>
      <c r="Z634" s="305"/>
      <c r="AA634" s="211"/>
      <c r="AB634" s="211"/>
      <c r="AC634" s="211"/>
      <c r="AD634" s="211"/>
      <c r="AE634" s="211"/>
      <c r="AF634" s="211"/>
      <c r="AI634" s="211"/>
      <c r="AJ634" s="211"/>
      <c r="AK634" s="212"/>
      <c r="AL634" s="211"/>
      <c r="AM634" s="210"/>
      <c r="AN634" s="210"/>
    </row>
    <row r="635" spans="1:40" x14ac:dyDescent="0.25">
      <c r="A635" s="202"/>
      <c r="C635" s="154"/>
      <c r="F635" s="211"/>
      <c r="H635" s="200"/>
      <c r="I635" s="200"/>
      <c r="J635" s="213"/>
      <c r="K635" s="213"/>
      <c r="L635" s="200"/>
      <c r="M635" s="200"/>
      <c r="N635" s="213"/>
      <c r="O635" s="213"/>
      <c r="P635" s="200"/>
      <c r="Q635" s="200"/>
      <c r="R635" s="200"/>
      <c r="T635" s="154"/>
      <c r="V635" s="200"/>
      <c r="Y635" s="200"/>
      <c r="Z635" s="213"/>
      <c r="AA635" s="200"/>
      <c r="AB635" s="200"/>
      <c r="AC635" s="213"/>
      <c r="AD635" s="213"/>
      <c r="AE635" s="200"/>
      <c r="AF635" s="200"/>
      <c r="AG635" s="209"/>
      <c r="AH635" s="201"/>
      <c r="AI635" s="200"/>
      <c r="AJ635" s="200"/>
      <c r="AK635" s="209"/>
      <c r="AL635" s="200"/>
      <c r="AM635" s="210"/>
      <c r="AN635" s="210"/>
    </row>
    <row r="636" spans="1:40" x14ac:dyDescent="0.25">
      <c r="F636" s="200"/>
      <c r="H636" s="200"/>
      <c r="I636" s="200"/>
      <c r="J636" s="213"/>
      <c r="K636" s="213"/>
      <c r="L636" s="200"/>
      <c r="M636" s="200"/>
      <c r="N636" s="213"/>
      <c r="O636" s="213"/>
      <c r="P636" s="200"/>
      <c r="Q636" s="200"/>
      <c r="R636" s="200"/>
      <c r="V636" s="200"/>
      <c r="Y636" s="200"/>
      <c r="Z636" s="213"/>
      <c r="AA636" s="200"/>
      <c r="AB636" s="200"/>
      <c r="AC636" s="213"/>
      <c r="AD636" s="213"/>
      <c r="AG636" s="209"/>
      <c r="AH636" s="201"/>
      <c r="AI636" s="200"/>
      <c r="AJ636" s="200"/>
      <c r="AK636" s="209"/>
      <c r="AL636" s="200"/>
      <c r="AM636" s="210"/>
      <c r="AN636" s="210"/>
    </row>
    <row r="637" spans="1:40" x14ac:dyDescent="0.25">
      <c r="A637" s="202"/>
      <c r="C637" s="154"/>
      <c r="D637" s="154"/>
      <c r="E637" s="154"/>
      <c r="F637" s="200"/>
      <c r="H637" s="200"/>
      <c r="I637" s="200"/>
      <c r="J637" s="213"/>
      <c r="K637" s="213"/>
      <c r="L637" s="200"/>
      <c r="M637" s="200"/>
      <c r="N637" s="213"/>
      <c r="O637" s="213"/>
      <c r="P637" s="200"/>
      <c r="Q637" s="200"/>
      <c r="R637" s="200"/>
      <c r="T637" s="154"/>
      <c r="U637" s="154"/>
      <c r="V637" s="200"/>
      <c r="Y637" s="200"/>
      <c r="Z637" s="213"/>
      <c r="AA637" s="200"/>
      <c r="AB637" s="200"/>
      <c r="AC637" s="213"/>
      <c r="AD637" s="213"/>
      <c r="AE637" s="200"/>
      <c r="AF637" s="200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A638" s="202"/>
      <c r="C638" s="154"/>
      <c r="D638" s="154"/>
      <c r="E638" s="154"/>
      <c r="F638" s="200"/>
      <c r="G638" s="200"/>
      <c r="H638" s="200"/>
      <c r="I638" s="200"/>
      <c r="J638" s="213"/>
      <c r="K638" s="213"/>
      <c r="L638" s="200"/>
      <c r="M638" s="200"/>
      <c r="N638" s="213"/>
      <c r="O638" s="213"/>
      <c r="P638" s="200"/>
      <c r="Q638" s="200"/>
      <c r="R638" s="200"/>
      <c r="T638" s="154"/>
      <c r="U638" s="154"/>
      <c r="V638" s="200"/>
      <c r="W638" s="200"/>
      <c r="X638" s="200"/>
      <c r="Y638" s="200"/>
      <c r="Z638" s="213"/>
      <c r="AA638" s="200"/>
      <c r="AB638" s="200"/>
      <c r="AC638" s="213"/>
      <c r="AD638" s="213"/>
      <c r="AE638" s="200"/>
      <c r="AF638" s="200"/>
      <c r="AG638" s="209"/>
      <c r="AH638" s="201"/>
      <c r="AI638" s="200"/>
      <c r="AJ638" s="200"/>
      <c r="AK638" s="209"/>
      <c r="AL638" s="200"/>
      <c r="AM638" s="210"/>
      <c r="AN638" s="210"/>
    </row>
    <row r="639" spans="1:40" x14ac:dyDescent="0.25">
      <c r="A639" s="202"/>
      <c r="C639" s="154"/>
      <c r="D639" s="154"/>
      <c r="E639" s="154"/>
      <c r="F639" s="200"/>
      <c r="G639" s="200"/>
      <c r="H639" s="200"/>
      <c r="I639" s="200"/>
      <c r="J639" s="213"/>
      <c r="K639" s="213"/>
      <c r="L639" s="200"/>
      <c r="M639" s="200"/>
      <c r="N639" s="213"/>
      <c r="O639" s="213"/>
      <c r="P639" s="200"/>
      <c r="Q639" s="200"/>
      <c r="R639" s="200"/>
      <c r="T639" s="154"/>
      <c r="U639" s="154"/>
      <c r="V639" s="200"/>
      <c r="W639" s="200"/>
      <c r="X639" s="200"/>
      <c r="Y639" s="200"/>
      <c r="Z639" s="213"/>
      <c r="AA639" s="200"/>
      <c r="AB639" s="200"/>
      <c r="AC639" s="213"/>
      <c r="AD639" s="213"/>
      <c r="AE639" s="200"/>
      <c r="AF639" s="200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A640" s="202"/>
      <c r="C640" s="154"/>
      <c r="D640" s="154"/>
      <c r="E640" s="154"/>
      <c r="F640" s="200"/>
      <c r="H640" s="200"/>
      <c r="I640" s="200"/>
      <c r="J640" s="213"/>
      <c r="K640" s="213"/>
      <c r="L640" s="200"/>
      <c r="M640" s="200"/>
      <c r="N640" s="213"/>
      <c r="O640" s="213"/>
      <c r="P640" s="200"/>
      <c r="Q640" s="200"/>
      <c r="R640" s="200"/>
      <c r="T640" s="154"/>
      <c r="U640" s="154"/>
      <c r="V640" s="200"/>
      <c r="Y640" s="200"/>
      <c r="Z640" s="213"/>
      <c r="AA640" s="200"/>
      <c r="AB640" s="200"/>
      <c r="AC640" s="213"/>
      <c r="AD640" s="213"/>
      <c r="AE640" s="200"/>
      <c r="AF640" s="200"/>
      <c r="AG640" s="209"/>
      <c r="AH640" s="201"/>
      <c r="AI640" s="200"/>
      <c r="AJ640" s="200"/>
      <c r="AK640" s="209"/>
      <c r="AL640" s="200"/>
      <c r="AM640" s="210"/>
      <c r="AN640" s="210"/>
    </row>
    <row r="641" spans="1:40" x14ac:dyDescent="0.25">
      <c r="A641" s="202"/>
      <c r="C641" s="154"/>
      <c r="D641" s="154"/>
      <c r="E641" s="154"/>
      <c r="F641" s="200"/>
      <c r="H641" s="200"/>
      <c r="I641" s="200"/>
      <c r="J641" s="213"/>
      <c r="K641" s="213"/>
      <c r="L641" s="200"/>
      <c r="M641" s="200"/>
      <c r="N641" s="213"/>
      <c r="O641" s="213"/>
      <c r="P641" s="200"/>
      <c r="Q641" s="200"/>
      <c r="R641" s="200"/>
      <c r="T641" s="154"/>
      <c r="U641" s="154"/>
      <c r="V641" s="200"/>
      <c r="Y641" s="200"/>
      <c r="Z641" s="213"/>
      <c r="AA641" s="200"/>
      <c r="AB641" s="200"/>
      <c r="AC641" s="213"/>
      <c r="AD641" s="213"/>
      <c r="AE641" s="200"/>
      <c r="AF641" s="200"/>
      <c r="AG641" s="209"/>
      <c r="AH641" s="201"/>
      <c r="AI641" s="200"/>
      <c r="AJ641" s="200"/>
      <c r="AK641" s="209"/>
      <c r="AL641" s="200"/>
      <c r="AM641" s="210"/>
      <c r="AN641" s="210"/>
    </row>
    <row r="642" spans="1:40" x14ac:dyDescent="0.25">
      <c r="A642" s="202"/>
      <c r="C642" s="154"/>
      <c r="D642" s="154"/>
      <c r="E642" s="154"/>
      <c r="F642" s="200"/>
      <c r="H642" s="200"/>
      <c r="I642" s="200"/>
      <c r="J642" s="213"/>
      <c r="K642" s="213"/>
      <c r="L642" s="200"/>
      <c r="M642" s="200"/>
      <c r="N642" s="213"/>
      <c r="O642" s="213"/>
      <c r="P642" s="200"/>
      <c r="Q642" s="200"/>
      <c r="R642" s="200"/>
      <c r="T642" s="154"/>
      <c r="U642" s="154"/>
      <c r="V642" s="200"/>
      <c r="Y642" s="200"/>
      <c r="Z642" s="213"/>
      <c r="AA642" s="200"/>
      <c r="AB642" s="200"/>
      <c r="AC642" s="213"/>
      <c r="AD642" s="213"/>
      <c r="AE642" s="200"/>
      <c r="AF642" s="200"/>
      <c r="AG642" s="209"/>
      <c r="AH642" s="201"/>
      <c r="AI642" s="200"/>
      <c r="AJ642" s="200"/>
      <c r="AK642" s="209"/>
      <c r="AL642" s="200"/>
      <c r="AM642" s="210"/>
      <c r="AN642" s="210"/>
    </row>
    <row r="643" spans="1:40" x14ac:dyDescent="0.25">
      <c r="A643" s="202"/>
      <c r="C643" s="154"/>
      <c r="D643" s="154"/>
      <c r="E643" s="154"/>
      <c r="F643" s="200"/>
      <c r="H643" s="200"/>
      <c r="I643" s="200"/>
      <c r="J643" s="213"/>
      <c r="K643" s="213"/>
      <c r="L643" s="200"/>
      <c r="M643" s="200"/>
      <c r="N643" s="213"/>
      <c r="O643" s="213"/>
      <c r="P643" s="200"/>
      <c r="Q643" s="200"/>
      <c r="R643" s="200"/>
      <c r="T643" s="154"/>
      <c r="U643" s="154"/>
      <c r="V643" s="200"/>
      <c r="Y643" s="200"/>
      <c r="Z643" s="213"/>
      <c r="AA643" s="200"/>
      <c r="AB643" s="200"/>
      <c r="AC643" s="213"/>
      <c r="AD643" s="213"/>
      <c r="AE643" s="200"/>
      <c r="AF643" s="200"/>
      <c r="AG643" s="209"/>
      <c r="AH643" s="201"/>
      <c r="AI643" s="200"/>
      <c r="AJ643" s="200"/>
      <c r="AK643" s="209"/>
      <c r="AL643" s="200"/>
      <c r="AM643" s="210"/>
      <c r="AN643" s="210"/>
    </row>
    <row r="644" spans="1:40" x14ac:dyDescent="0.25">
      <c r="F644" s="200"/>
      <c r="H644" s="211"/>
      <c r="I644" s="211"/>
      <c r="J644" s="305"/>
      <c r="K644" s="305"/>
      <c r="L644" s="211"/>
      <c r="M644" s="211"/>
      <c r="N644" s="211"/>
      <c r="O644" s="211"/>
      <c r="P644" s="211"/>
      <c r="Q644" s="211"/>
      <c r="R644" s="211"/>
      <c r="V644" s="211"/>
      <c r="Y644" s="211"/>
      <c r="Z644" s="305"/>
      <c r="AA644" s="211"/>
      <c r="AB644" s="211"/>
      <c r="AC644" s="211"/>
      <c r="AD644" s="211"/>
      <c r="AE644" s="211"/>
      <c r="AF644" s="211"/>
      <c r="AI644" s="211"/>
      <c r="AJ644" s="211"/>
      <c r="AK644" s="212"/>
      <c r="AL644" s="211"/>
      <c r="AM644" s="210"/>
      <c r="AN644" s="210"/>
    </row>
    <row r="645" spans="1:40" x14ac:dyDescent="0.25">
      <c r="A645" s="202"/>
      <c r="C645" s="154"/>
      <c r="F645" s="211"/>
      <c r="H645" s="200"/>
      <c r="I645" s="200"/>
      <c r="J645" s="213"/>
      <c r="K645" s="213"/>
      <c r="L645" s="200"/>
      <c r="M645" s="200"/>
      <c r="N645" s="213"/>
      <c r="O645" s="213"/>
      <c r="P645" s="200"/>
      <c r="Q645" s="200"/>
      <c r="R645" s="200"/>
      <c r="T645" s="154"/>
      <c r="V645" s="200"/>
      <c r="Y645" s="200"/>
      <c r="Z645" s="213"/>
      <c r="AA645" s="200"/>
      <c r="AB645" s="200"/>
      <c r="AC645" s="213"/>
      <c r="AD645" s="213"/>
      <c r="AE645" s="200"/>
      <c r="AF645" s="200"/>
      <c r="AG645" s="209"/>
      <c r="AH645" s="201"/>
      <c r="AI645" s="200"/>
      <c r="AJ645" s="200"/>
      <c r="AK645" s="209"/>
      <c r="AL645" s="200"/>
      <c r="AM645" s="210"/>
      <c r="AN645" s="210"/>
    </row>
    <row r="646" spans="1:40" x14ac:dyDescent="0.25">
      <c r="F646" s="200"/>
      <c r="V646" s="200"/>
      <c r="Y646" s="200"/>
      <c r="Z646" s="305"/>
      <c r="AA646" s="200"/>
      <c r="AB646" s="200"/>
      <c r="AC646" s="200"/>
      <c r="AD646" s="200"/>
      <c r="AE646" s="200"/>
      <c r="AF646" s="200"/>
      <c r="AI646" s="200"/>
      <c r="AJ646" s="200"/>
      <c r="AK646" s="209"/>
      <c r="AL646" s="200"/>
      <c r="AM646" s="210"/>
      <c r="AN646" s="210"/>
    </row>
    <row r="647" spans="1:40" x14ac:dyDescent="0.25">
      <c r="A647" s="202"/>
      <c r="C647" s="154"/>
      <c r="D647" s="154"/>
      <c r="E647" s="154"/>
      <c r="L647" s="200"/>
      <c r="M647" s="200"/>
      <c r="N647" s="213"/>
      <c r="O647" s="213"/>
      <c r="P647" s="202"/>
      <c r="Q647" s="202"/>
      <c r="R647" s="200"/>
      <c r="T647" s="154"/>
      <c r="U647" s="154"/>
      <c r="AA647" s="200"/>
      <c r="AB647" s="200"/>
      <c r="AC647" s="213"/>
      <c r="AD647" s="213"/>
      <c r="AE647" s="200"/>
      <c r="AF647" s="200"/>
      <c r="AG647" s="209"/>
      <c r="AH647" s="201"/>
      <c r="AI647" s="202"/>
      <c r="AJ647" s="202"/>
      <c r="AK647" s="209"/>
      <c r="AL647" s="200"/>
      <c r="AM647" s="210"/>
      <c r="AN647" s="210"/>
    </row>
    <row r="648" spans="1:40" x14ac:dyDescent="0.25">
      <c r="A648" s="202"/>
      <c r="D648" s="154"/>
      <c r="E648" s="154"/>
      <c r="H648" s="252"/>
      <c r="I648" s="252"/>
      <c r="J648" s="213"/>
      <c r="K648" s="213"/>
      <c r="L648" s="200"/>
      <c r="M648" s="200"/>
      <c r="N648" s="213"/>
      <c r="O648" s="213"/>
      <c r="P648" s="252"/>
      <c r="Q648" s="252"/>
      <c r="R648" s="200"/>
      <c r="U648" s="154"/>
      <c r="V648" s="200"/>
      <c r="Y648" s="200"/>
      <c r="Z648" s="213"/>
      <c r="AA648" s="200"/>
      <c r="AB648" s="200"/>
      <c r="AC648" s="213"/>
      <c r="AD648" s="213"/>
      <c r="AE648" s="200"/>
      <c r="AF648" s="200"/>
      <c r="AG648" s="209"/>
      <c r="AH648" s="201"/>
      <c r="AI648" s="200"/>
      <c r="AJ648" s="200"/>
      <c r="AK648" s="209"/>
      <c r="AL648" s="200"/>
      <c r="AM648" s="210"/>
      <c r="AN648" s="210"/>
    </row>
    <row r="649" spans="1:40" x14ac:dyDescent="0.25">
      <c r="F649" s="252"/>
      <c r="H649" s="211"/>
      <c r="I649" s="211"/>
      <c r="J649" s="305"/>
      <c r="K649" s="305"/>
      <c r="L649" s="211"/>
      <c r="M649" s="211"/>
      <c r="N649" s="211"/>
      <c r="O649" s="211"/>
      <c r="P649" s="211"/>
      <c r="Q649" s="211"/>
      <c r="R649" s="211"/>
      <c r="V649" s="211"/>
      <c r="Y649" s="211"/>
      <c r="Z649" s="305"/>
      <c r="AA649" s="211"/>
      <c r="AB649" s="211"/>
      <c r="AC649" s="211"/>
      <c r="AD649" s="211"/>
      <c r="AE649" s="211"/>
      <c r="AF649" s="211"/>
      <c r="AI649" s="211"/>
      <c r="AJ649" s="211"/>
      <c r="AK649" s="212"/>
      <c r="AL649" s="211"/>
      <c r="AM649" s="210"/>
      <c r="AN649" s="210"/>
    </row>
    <row r="650" spans="1:40" x14ac:dyDescent="0.25">
      <c r="A650" s="202"/>
      <c r="C650" s="154"/>
      <c r="F650" s="211"/>
      <c r="H650" s="200"/>
      <c r="I650" s="200"/>
      <c r="J650" s="213"/>
      <c r="K650" s="213"/>
      <c r="L650" s="200"/>
      <c r="M650" s="200"/>
      <c r="N650" s="213"/>
      <c r="O650" s="213"/>
      <c r="P650" s="200"/>
      <c r="Q650" s="200"/>
      <c r="R650" s="200"/>
      <c r="T650" s="154"/>
      <c r="V650" s="200"/>
      <c r="Y650" s="200"/>
      <c r="Z650" s="213"/>
      <c r="AA650" s="200"/>
      <c r="AB650" s="200"/>
      <c r="AC650" s="213"/>
      <c r="AD650" s="213"/>
      <c r="AE650" s="200"/>
      <c r="AF650" s="200"/>
      <c r="AG650" s="209"/>
      <c r="AH650" s="201"/>
      <c r="AI650" s="200"/>
      <c r="AJ650" s="200"/>
      <c r="AK650" s="209"/>
      <c r="AL650" s="200"/>
      <c r="AM650" s="210"/>
      <c r="AN650" s="210"/>
    </row>
    <row r="651" spans="1:40" x14ac:dyDescent="0.25">
      <c r="F651" s="200"/>
      <c r="H651" s="200"/>
      <c r="I651" s="200"/>
      <c r="J651" s="213"/>
      <c r="K651" s="213"/>
      <c r="L651" s="200"/>
      <c r="M651" s="200"/>
      <c r="N651" s="213"/>
      <c r="O651" s="213"/>
      <c r="P651" s="200"/>
      <c r="Q651" s="200"/>
      <c r="R651" s="200"/>
      <c r="V651" s="200"/>
      <c r="Y651" s="200"/>
      <c r="Z651" s="213"/>
      <c r="AA651" s="200"/>
      <c r="AB651" s="200"/>
      <c r="AC651" s="213"/>
      <c r="AD651" s="213"/>
      <c r="AG651" s="209"/>
      <c r="AH651" s="201"/>
      <c r="AI651" s="200"/>
      <c r="AJ651" s="200"/>
      <c r="AK651" s="209"/>
      <c r="AL651" s="200"/>
      <c r="AM651" s="210"/>
      <c r="AN651" s="210"/>
    </row>
    <row r="652" spans="1:40" x14ac:dyDescent="0.25">
      <c r="A652" s="202"/>
      <c r="D652" s="154"/>
      <c r="E652" s="154"/>
      <c r="F652" s="200"/>
      <c r="H652" s="200"/>
      <c r="I652" s="200"/>
      <c r="J652" s="213"/>
      <c r="K652" s="213"/>
      <c r="L652" s="252"/>
      <c r="M652" s="252"/>
      <c r="N652" s="213"/>
      <c r="O652" s="213"/>
      <c r="P652" s="200"/>
      <c r="Q652" s="200"/>
      <c r="R652" s="200"/>
      <c r="U652" s="154"/>
      <c r="V652" s="200"/>
      <c r="Y652" s="200"/>
      <c r="Z652" s="213"/>
      <c r="AA652" s="252"/>
      <c r="AB652" s="252"/>
      <c r="AC652" s="213"/>
      <c r="AD652" s="213"/>
      <c r="AE652" s="200"/>
      <c r="AF652" s="200"/>
      <c r="AG652" s="209"/>
      <c r="AH652" s="201"/>
      <c r="AI652" s="200"/>
      <c r="AJ652" s="200"/>
      <c r="AK652" s="209"/>
      <c r="AL652" s="200"/>
      <c r="AM652" s="210"/>
      <c r="AN652" s="210"/>
    </row>
    <row r="653" spans="1:40" x14ac:dyDescent="0.25">
      <c r="A653" s="202"/>
      <c r="D653" s="154"/>
      <c r="E653" s="154"/>
      <c r="F653" s="200"/>
      <c r="H653" s="200"/>
      <c r="I653" s="200"/>
      <c r="J653" s="213"/>
      <c r="K653" s="213"/>
      <c r="L653" s="252"/>
      <c r="M653" s="252"/>
      <c r="N653" s="213"/>
      <c r="O653" s="213"/>
      <c r="P653" s="200"/>
      <c r="Q653" s="200"/>
      <c r="R653" s="200"/>
      <c r="U653" s="154"/>
      <c r="V653" s="200"/>
      <c r="Y653" s="200"/>
      <c r="Z653" s="213"/>
      <c r="AA653" s="252"/>
      <c r="AB653" s="252"/>
      <c r="AC653" s="213"/>
      <c r="AD653" s="213"/>
      <c r="AE653" s="200"/>
      <c r="AF653" s="200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D654" s="154"/>
      <c r="E654" s="154"/>
      <c r="F654" s="200"/>
      <c r="H654" s="200"/>
      <c r="I654" s="200"/>
      <c r="J654" s="213"/>
      <c r="K654" s="213"/>
      <c r="L654" s="252"/>
      <c r="M654" s="252"/>
      <c r="N654" s="213"/>
      <c r="O654" s="213"/>
      <c r="P654" s="200"/>
      <c r="Q654" s="200"/>
      <c r="R654" s="200"/>
      <c r="U654" s="154"/>
      <c r="V654" s="200"/>
      <c r="Y654" s="200"/>
      <c r="Z654" s="213"/>
      <c r="AA654" s="252"/>
      <c r="AB654" s="252"/>
      <c r="AC654" s="213"/>
      <c r="AD654" s="213"/>
      <c r="AE654" s="200"/>
      <c r="AF654" s="200"/>
      <c r="AG654" s="209"/>
      <c r="AH654" s="201"/>
      <c r="AI654" s="200"/>
      <c r="AJ654" s="200"/>
      <c r="AK654" s="209"/>
      <c r="AL654" s="200"/>
      <c r="AM654" s="210"/>
      <c r="AN654" s="210"/>
    </row>
    <row r="655" spans="1:40" x14ac:dyDescent="0.25">
      <c r="F655" s="200"/>
      <c r="H655" s="211"/>
      <c r="I655" s="211"/>
      <c r="J655" s="305"/>
      <c r="K655" s="305"/>
      <c r="L655" s="211"/>
      <c r="M655" s="211"/>
      <c r="N655" s="211"/>
      <c r="O655" s="211"/>
      <c r="P655" s="211"/>
      <c r="Q655" s="211"/>
      <c r="R655" s="211"/>
      <c r="V655" s="211"/>
      <c r="Y655" s="211"/>
      <c r="Z655" s="305"/>
      <c r="AA655" s="211"/>
      <c r="AB655" s="211"/>
      <c r="AC655" s="211"/>
      <c r="AD655" s="211"/>
      <c r="AE655" s="211"/>
      <c r="AF655" s="211"/>
      <c r="AI655" s="211"/>
      <c r="AJ655" s="211"/>
      <c r="AK655" s="212"/>
      <c r="AL655" s="211"/>
      <c r="AM655" s="210"/>
      <c r="AN655" s="210"/>
    </row>
    <row r="656" spans="1:40" x14ac:dyDescent="0.25">
      <c r="A656" s="202"/>
      <c r="C656" s="154"/>
      <c r="F656" s="211"/>
      <c r="H656" s="200"/>
      <c r="I656" s="200"/>
      <c r="J656" s="213"/>
      <c r="K656" s="213"/>
      <c r="L656" s="200"/>
      <c r="M656" s="200"/>
      <c r="N656" s="213"/>
      <c r="O656" s="213"/>
      <c r="P656" s="200"/>
      <c r="Q656" s="200"/>
      <c r="R656" s="200"/>
      <c r="T656" s="154"/>
      <c r="V656" s="200"/>
      <c r="Y656" s="200"/>
      <c r="Z656" s="213"/>
      <c r="AA656" s="200"/>
      <c r="AB656" s="200"/>
      <c r="AC656" s="213"/>
      <c r="AD656" s="213"/>
      <c r="AE656" s="200"/>
      <c r="AF656" s="200"/>
      <c r="AG656" s="209"/>
      <c r="AH656" s="201"/>
      <c r="AI656" s="200"/>
      <c r="AJ656" s="200"/>
      <c r="AK656" s="209"/>
      <c r="AL656" s="200"/>
      <c r="AM656" s="210"/>
      <c r="AN656" s="210"/>
    </row>
    <row r="657" spans="1:40" x14ac:dyDescent="0.25">
      <c r="F657" s="200"/>
      <c r="H657" s="200"/>
      <c r="I657" s="200"/>
      <c r="J657" s="213"/>
      <c r="K657" s="213"/>
      <c r="L657" s="200"/>
      <c r="M657" s="200"/>
      <c r="N657" s="213"/>
      <c r="O657" s="213"/>
      <c r="P657" s="200"/>
      <c r="Q657" s="200"/>
      <c r="R657" s="200"/>
      <c r="V657" s="200"/>
      <c r="Y657" s="200"/>
      <c r="Z657" s="213"/>
      <c r="AA657" s="200"/>
      <c r="AB657" s="200"/>
      <c r="AC657" s="213"/>
      <c r="AD657" s="213"/>
      <c r="AG657" s="209"/>
      <c r="AH657" s="201"/>
      <c r="AI657" s="200"/>
      <c r="AJ657" s="200"/>
      <c r="AK657" s="209"/>
      <c r="AL657" s="200"/>
      <c r="AM657" s="210"/>
      <c r="AN657" s="210"/>
    </row>
    <row r="658" spans="1:40" x14ac:dyDescent="0.25">
      <c r="A658" s="202"/>
      <c r="C658" s="154"/>
      <c r="F658" s="200"/>
      <c r="H658" s="200"/>
      <c r="I658" s="200"/>
      <c r="J658" s="213"/>
      <c r="K658" s="213"/>
      <c r="L658" s="200"/>
      <c r="M658" s="200"/>
      <c r="N658" s="213"/>
      <c r="O658" s="213"/>
      <c r="P658" s="200"/>
      <c r="Q658" s="200"/>
      <c r="R658" s="200"/>
      <c r="T658" s="154"/>
      <c r="V658" s="200"/>
      <c r="Y658" s="200"/>
      <c r="Z658" s="213"/>
      <c r="AA658" s="200"/>
      <c r="AB658" s="200"/>
      <c r="AC658" s="213"/>
      <c r="AD658" s="213"/>
      <c r="AE658" s="200"/>
      <c r="AF658" s="200"/>
      <c r="AG658" s="209"/>
      <c r="AH658" s="201"/>
      <c r="AI658" s="200"/>
      <c r="AJ658" s="200"/>
      <c r="AK658" s="209"/>
      <c r="AL658" s="200"/>
      <c r="AM658" s="210"/>
      <c r="AN658" s="210"/>
    </row>
    <row r="659" spans="1:40" x14ac:dyDescent="0.25">
      <c r="F659" s="200"/>
      <c r="H659" s="211"/>
      <c r="I659" s="211"/>
      <c r="J659" s="305"/>
      <c r="K659" s="305"/>
      <c r="L659" s="211"/>
      <c r="M659" s="211"/>
      <c r="N659" s="211"/>
      <c r="O659" s="211"/>
      <c r="P659" s="211"/>
      <c r="Q659" s="211"/>
      <c r="R659" s="211"/>
      <c r="V659" s="211"/>
      <c r="Y659" s="211"/>
      <c r="Z659" s="305"/>
      <c r="AA659" s="211"/>
      <c r="AB659" s="211"/>
      <c r="AC659" s="211"/>
      <c r="AD659" s="211"/>
      <c r="AE659" s="211"/>
      <c r="AF659" s="211"/>
      <c r="AI659" s="211"/>
      <c r="AJ659" s="211"/>
      <c r="AK659" s="212"/>
      <c r="AL659" s="211"/>
    </row>
    <row r="661" spans="1:40" x14ac:dyDescent="0.25">
      <c r="C661" s="154"/>
      <c r="F661" s="211"/>
      <c r="L661" s="200"/>
      <c r="M661" s="200"/>
      <c r="P661" s="200"/>
      <c r="Q661" s="200"/>
      <c r="R661" s="200"/>
      <c r="T661" s="154"/>
    </row>
    <row r="662" spans="1:40" x14ac:dyDescent="0.25">
      <c r="A662" s="154"/>
      <c r="L662" s="200"/>
      <c r="M662" s="200"/>
      <c r="P662" s="200"/>
      <c r="Q662" s="200"/>
      <c r="R662" s="200"/>
    </row>
    <row r="663" spans="1:40" x14ac:dyDescent="0.25">
      <c r="L663" s="200"/>
      <c r="M663" s="200"/>
      <c r="P663" s="200"/>
      <c r="Q663" s="200"/>
      <c r="R663" s="200"/>
    </row>
    <row r="664" spans="1:40" x14ac:dyDescent="0.25">
      <c r="L664" s="200"/>
      <c r="M664" s="200"/>
      <c r="P664" s="200"/>
      <c r="Q664" s="200"/>
      <c r="R664" s="200"/>
    </row>
    <row r="665" spans="1:40" x14ac:dyDescent="0.25">
      <c r="L665" s="200"/>
      <c r="M665" s="200"/>
      <c r="P665" s="200"/>
      <c r="Q665" s="200"/>
      <c r="R665" s="200"/>
    </row>
    <row r="666" spans="1:40" x14ac:dyDescent="0.25">
      <c r="L666" s="200"/>
      <c r="M666" s="200"/>
      <c r="P666" s="200"/>
      <c r="Q666" s="200"/>
      <c r="R666" s="200"/>
    </row>
    <row r="667" spans="1:40" x14ac:dyDescent="0.25">
      <c r="L667" s="200"/>
      <c r="M667" s="200"/>
      <c r="P667" s="200"/>
      <c r="Q667" s="200"/>
      <c r="R667" s="200"/>
    </row>
    <row r="700" spans="49:49" x14ac:dyDescent="0.25">
      <c r="AW700" s="200"/>
    </row>
    <row r="701" spans="49:49" x14ac:dyDescent="0.25">
      <c r="AW701" s="200"/>
    </row>
    <row r="702" spans="49:49" x14ac:dyDescent="0.25">
      <c r="AW702" s="200"/>
    </row>
    <row r="703" spans="49:49" x14ac:dyDescent="0.25">
      <c r="AW703" s="200"/>
    </row>
    <row r="704" spans="49:49" x14ac:dyDescent="0.25">
      <c r="AW704" s="200"/>
    </row>
    <row r="705" spans="49:49" x14ac:dyDescent="0.25">
      <c r="AW705" s="200"/>
    </row>
    <row r="708" spans="49:49" x14ac:dyDescent="0.25">
      <c r="AW708" s="200"/>
    </row>
    <row r="709" spans="49:49" x14ac:dyDescent="0.25">
      <c r="AW709" s="200"/>
    </row>
    <row r="710" spans="49:49" x14ac:dyDescent="0.25">
      <c r="AW710" s="200"/>
    </row>
    <row r="711" spans="49:49" x14ac:dyDescent="0.25">
      <c r="AW711" s="200"/>
    </row>
    <row r="712" spans="49:49" x14ac:dyDescent="0.25">
      <c r="AW712" s="200"/>
    </row>
    <row r="713" spans="49:49" x14ac:dyDescent="0.25">
      <c r="AW713" s="200"/>
    </row>
    <row r="714" spans="49:49" x14ac:dyDescent="0.25">
      <c r="AW714" s="200"/>
    </row>
    <row r="715" spans="49:49" x14ac:dyDescent="0.25">
      <c r="AW715" s="200"/>
    </row>
    <row r="718" spans="49:49" x14ac:dyDescent="0.25">
      <c r="AW718" s="200"/>
    </row>
    <row r="719" spans="49:49" x14ac:dyDescent="0.25">
      <c r="AW719" s="200"/>
    </row>
    <row r="722" spans="45:56" x14ac:dyDescent="0.25">
      <c r="AW722" s="200"/>
    </row>
    <row r="723" spans="45:56" x14ac:dyDescent="0.25">
      <c r="AW723" s="200"/>
    </row>
    <row r="724" spans="45:56" x14ac:dyDescent="0.25">
      <c r="AW724" s="200"/>
    </row>
    <row r="725" spans="45:56" x14ac:dyDescent="0.25">
      <c r="AW725" s="200"/>
    </row>
    <row r="731" spans="45:56" x14ac:dyDescent="0.25">
      <c r="AY731" s="202"/>
    </row>
    <row r="732" spans="45:56" x14ac:dyDescent="0.25">
      <c r="AY732" s="202"/>
    </row>
    <row r="733" spans="45:56" x14ac:dyDescent="0.25">
      <c r="AY733" s="154"/>
    </row>
    <row r="734" spans="45:56" x14ac:dyDescent="0.25">
      <c r="AY734" s="154"/>
    </row>
    <row r="735" spans="45:56" x14ac:dyDescent="0.25">
      <c r="AS735" s="202"/>
      <c r="BD735" s="154"/>
    </row>
    <row r="736" spans="45:56" x14ac:dyDescent="0.25">
      <c r="AS736" s="202"/>
      <c r="BD736" s="154"/>
    </row>
    <row r="737" spans="45:69" x14ac:dyDescent="0.25">
      <c r="AS737" s="154"/>
      <c r="BD737" s="154"/>
    </row>
    <row r="738" spans="45:69" x14ac:dyDescent="0.25">
      <c r="BD738" s="202"/>
    </row>
    <row r="739" spans="45:69" x14ac:dyDescent="0.25"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</row>
    <row r="740" spans="45:69" x14ac:dyDescent="0.25">
      <c r="AX740" s="154"/>
    </row>
    <row r="741" spans="45:69" x14ac:dyDescent="0.25">
      <c r="AX741" s="102"/>
      <c r="AY741" s="102"/>
      <c r="AZ741" s="102"/>
      <c r="BA741" s="102"/>
      <c r="BC741" s="103"/>
      <c r="BD741" s="103"/>
    </row>
    <row r="742" spans="45:69" x14ac:dyDescent="0.25">
      <c r="AV742" s="103"/>
      <c r="AW742" s="103"/>
      <c r="AZ742" s="103"/>
      <c r="BA742" s="103"/>
      <c r="BC742" s="103"/>
      <c r="BD742" s="103"/>
      <c r="BE742" s="103"/>
      <c r="BG742" s="102"/>
      <c r="BH742" s="154"/>
      <c r="BK742" s="102"/>
      <c r="BM742" s="102"/>
      <c r="BN742" s="154"/>
      <c r="BQ742" s="102"/>
    </row>
    <row r="743" spans="45:69" x14ac:dyDescent="0.25"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H743" s="103"/>
      <c r="BI743" s="103"/>
      <c r="BJ743" s="103"/>
      <c r="BN743" s="103"/>
      <c r="BO743" s="103"/>
      <c r="BP743" s="103"/>
    </row>
    <row r="744" spans="45:69" x14ac:dyDescent="0.25">
      <c r="AS744" s="103"/>
      <c r="AU744" s="154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G744" s="103"/>
      <c r="BH744" s="103"/>
      <c r="BI744" s="103"/>
      <c r="BJ744" s="103"/>
      <c r="BK744" s="103"/>
      <c r="BM744" s="103"/>
      <c r="BN744" s="103"/>
      <c r="BO744" s="103"/>
      <c r="BP744" s="103"/>
      <c r="BQ744" s="103"/>
    </row>
    <row r="745" spans="45:69" x14ac:dyDescent="0.25">
      <c r="AS745" s="103"/>
      <c r="AU745" s="154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G745" s="103"/>
      <c r="BH745" s="103"/>
      <c r="BI745" s="103"/>
      <c r="BJ745" s="103"/>
      <c r="BK745" s="103"/>
      <c r="BM745" s="103"/>
      <c r="BN745" s="103"/>
      <c r="BO745" s="103"/>
      <c r="BP745" s="103"/>
      <c r="BQ745" s="103"/>
    </row>
    <row r="746" spans="45:69" x14ac:dyDescent="0.25"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G746" s="102"/>
      <c r="BH746" s="102"/>
      <c r="BI746" s="102"/>
      <c r="BJ746" s="102"/>
      <c r="BK746" s="102"/>
      <c r="BM746" s="102"/>
      <c r="BN746" s="102"/>
      <c r="BO746" s="102"/>
      <c r="BP746" s="102"/>
      <c r="BQ746" s="102"/>
    </row>
    <row r="747" spans="45:69" x14ac:dyDescent="0.25"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</row>
    <row r="748" spans="45:69" x14ac:dyDescent="0.25">
      <c r="AS748" s="202"/>
      <c r="AU748" s="154"/>
      <c r="AV748" s="103"/>
      <c r="AY748" s="213"/>
    </row>
    <row r="749" spans="45:69" x14ac:dyDescent="0.25">
      <c r="AS749" s="202"/>
      <c r="AV749" s="103"/>
      <c r="AW749" s="200"/>
      <c r="AX749" s="334"/>
      <c r="AY749" s="334"/>
      <c r="AZ749" s="334"/>
      <c r="BA749" s="210"/>
      <c r="BB749" s="334"/>
      <c r="BC749" s="213"/>
      <c r="BD749" s="213"/>
      <c r="BE749" s="210"/>
      <c r="BG749" s="334"/>
      <c r="BH749" s="334"/>
      <c r="BI749" s="334"/>
      <c r="BJ749" s="334"/>
      <c r="BK749" s="334"/>
      <c r="BM749" s="334"/>
      <c r="BN749" s="334"/>
      <c r="BO749" s="334"/>
      <c r="BP749" s="334"/>
      <c r="BQ749" s="334"/>
    </row>
    <row r="750" spans="45:69" x14ac:dyDescent="0.25">
      <c r="AS750" s="202"/>
      <c r="AV750" s="103"/>
      <c r="AW750" s="200"/>
      <c r="AX750" s="334"/>
      <c r="AY750" s="334"/>
      <c r="AZ750" s="334"/>
      <c r="BA750" s="210"/>
      <c r="BB750" s="334"/>
      <c r="BC750" s="213"/>
      <c r="BD750" s="213"/>
      <c r="BE750" s="210"/>
      <c r="BG750" s="334"/>
      <c r="BH750" s="334"/>
      <c r="BI750" s="334"/>
      <c r="BJ750" s="334"/>
      <c r="BK750" s="334"/>
      <c r="BM750" s="334"/>
      <c r="BN750" s="334"/>
      <c r="BO750" s="334"/>
      <c r="BP750" s="334"/>
      <c r="BQ750" s="334"/>
    </row>
    <row r="751" spans="45:69" x14ac:dyDescent="0.25">
      <c r="AS751" s="202"/>
      <c r="AV751" s="103"/>
      <c r="AW751" s="200"/>
      <c r="AX751" s="334"/>
      <c r="AY751" s="334"/>
      <c r="AZ751" s="334"/>
      <c r="BA751" s="210"/>
      <c r="BB751" s="334"/>
      <c r="BC751" s="213"/>
      <c r="BD751" s="213"/>
      <c r="BE751" s="210"/>
      <c r="BG751" s="334"/>
      <c r="BH751" s="334"/>
      <c r="BI751" s="334"/>
      <c r="BJ751" s="334"/>
      <c r="BK751" s="334"/>
      <c r="BM751" s="334"/>
      <c r="BN751" s="334"/>
      <c r="BO751" s="334"/>
      <c r="BP751" s="334"/>
      <c r="BQ751" s="334"/>
    </row>
    <row r="752" spans="45:69" x14ac:dyDescent="0.25">
      <c r="AS752" s="202"/>
      <c r="AV752" s="103"/>
      <c r="AW752" s="200"/>
      <c r="AX752" s="334"/>
      <c r="AY752" s="334"/>
      <c r="AZ752" s="334"/>
      <c r="BA752" s="210"/>
      <c r="BB752" s="334"/>
      <c r="BC752" s="213"/>
      <c r="BD752" s="213"/>
      <c r="BE752" s="210"/>
      <c r="BG752" s="334"/>
      <c r="BH752" s="334"/>
      <c r="BI752" s="334"/>
      <c r="BJ752" s="334"/>
      <c r="BK752" s="334"/>
      <c r="BM752" s="334"/>
      <c r="BN752" s="334"/>
      <c r="BO752" s="334"/>
      <c r="BP752" s="334"/>
      <c r="BQ752" s="334"/>
    </row>
    <row r="753" spans="45:69" x14ac:dyDescent="0.25">
      <c r="AS753" s="202"/>
      <c r="AV753" s="103"/>
      <c r="AW753" s="200"/>
      <c r="AX753" s="334"/>
      <c r="AY753" s="334"/>
      <c r="AZ753" s="334"/>
      <c r="BA753" s="210"/>
      <c r="BB753" s="334"/>
      <c r="BC753" s="213"/>
      <c r="BD753" s="213"/>
      <c r="BE753" s="210"/>
      <c r="BG753" s="334"/>
      <c r="BH753" s="334"/>
      <c r="BI753" s="334"/>
      <c r="BJ753" s="334"/>
      <c r="BK753" s="334"/>
      <c r="BM753" s="334"/>
      <c r="BN753" s="334"/>
      <c r="BO753" s="334"/>
      <c r="BP753" s="334"/>
      <c r="BQ753" s="334"/>
    </row>
    <row r="754" spans="45:69" x14ac:dyDescent="0.25">
      <c r="AS754" s="202"/>
      <c r="AV754" s="103"/>
      <c r="AW754" s="200"/>
      <c r="AX754" s="334"/>
      <c r="AY754" s="334"/>
      <c r="AZ754" s="334"/>
      <c r="BA754" s="210"/>
      <c r="BB754" s="334"/>
      <c r="BC754" s="213"/>
      <c r="BD754" s="213"/>
      <c r="BE754" s="210"/>
      <c r="BG754" s="334"/>
      <c r="BH754" s="334"/>
      <c r="BI754" s="334"/>
      <c r="BJ754" s="334"/>
      <c r="BK754" s="334"/>
      <c r="BM754" s="334"/>
      <c r="BN754" s="334"/>
      <c r="BO754" s="334"/>
      <c r="BP754" s="334"/>
      <c r="BQ754" s="334"/>
    </row>
    <row r="755" spans="45:69" x14ac:dyDescent="0.25">
      <c r="AS755" s="202"/>
      <c r="AV755" s="103"/>
      <c r="AW755" s="200"/>
      <c r="AX755" s="334"/>
      <c r="AY755" s="334"/>
      <c r="AZ755" s="334"/>
      <c r="BA755" s="210"/>
      <c r="BB755" s="334"/>
      <c r="BC755" s="213"/>
      <c r="BD755" s="213"/>
      <c r="BE755" s="210"/>
      <c r="BG755" s="334"/>
      <c r="BH755" s="334"/>
      <c r="BI755" s="334"/>
      <c r="BJ755" s="334"/>
      <c r="BK755" s="334"/>
      <c r="BM755" s="334"/>
      <c r="BN755" s="334"/>
      <c r="BO755" s="334"/>
      <c r="BP755" s="334"/>
      <c r="BQ755" s="334"/>
    </row>
    <row r="756" spans="45:69" x14ac:dyDescent="0.25">
      <c r="AY756" s="213"/>
      <c r="AZ756" s="334"/>
      <c r="BA756" s="210"/>
      <c r="BB756" s="334"/>
      <c r="BC756" s="213"/>
      <c r="BD756" s="213"/>
      <c r="BE756" s="210"/>
      <c r="BK756" s="334"/>
      <c r="BQ756" s="334"/>
    </row>
    <row r="757" spans="45:69" x14ac:dyDescent="0.25">
      <c r="AS757" s="202"/>
      <c r="AV757" s="103"/>
      <c r="AY757" s="213"/>
      <c r="AZ757" s="334"/>
      <c r="BA757" s="210"/>
      <c r="BB757" s="334"/>
      <c r="BC757" s="213"/>
      <c r="BD757" s="213"/>
      <c r="BE757" s="210"/>
      <c r="BK757" s="334"/>
      <c r="BQ757" s="334"/>
    </row>
    <row r="758" spans="45:69" x14ac:dyDescent="0.25">
      <c r="AS758" s="202"/>
      <c r="AV758" s="103"/>
      <c r="AW758" s="200"/>
      <c r="AX758" s="334"/>
      <c r="AY758" s="334"/>
      <c r="AZ758" s="334"/>
      <c r="BA758" s="210"/>
      <c r="BB758" s="334"/>
      <c r="BC758" s="213"/>
      <c r="BD758" s="213"/>
      <c r="BE758" s="210"/>
      <c r="BG758" s="334"/>
      <c r="BH758" s="334"/>
      <c r="BI758" s="334"/>
      <c r="BJ758" s="334"/>
      <c r="BK758" s="334"/>
      <c r="BM758" s="334"/>
      <c r="BN758" s="334"/>
      <c r="BO758" s="334"/>
      <c r="BP758" s="334"/>
      <c r="BQ758" s="334"/>
    </row>
    <row r="759" spans="45:69" x14ac:dyDescent="0.25">
      <c r="AS759" s="202"/>
      <c r="AV759" s="103"/>
      <c r="AW759" s="200"/>
      <c r="AX759" s="334"/>
      <c r="AY759" s="334"/>
      <c r="AZ759" s="334"/>
      <c r="BA759" s="210"/>
      <c r="BB759" s="334"/>
      <c r="BC759" s="213"/>
      <c r="BD759" s="213"/>
      <c r="BE759" s="210"/>
      <c r="BG759" s="334"/>
      <c r="BH759" s="334"/>
      <c r="BI759" s="334"/>
      <c r="BJ759" s="334"/>
      <c r="BK759" s="334"/>
      <c r="BM759" s="334"/>
      <c r="BN759" s="334"/>
      <c r="BO759" s="334"/>
      <c r="BP759" s="334"/>
      <c r="BQ759" s="334"/>
    </row>
    <row r="760" spans="45:69" x14ac:dyDescent="0.25">
      <c r="AS760" s="202"/>
      <c r="AV760" s="103"/>
      <c r="AW760" s="200"/>
      <c r="AX760" s="334"/>
      <c r="AY760" s="334"/>
      <c r="AZ760" s="334"/>
      <c r="BA760" s="210"/>
      <c r="BB760" s="334"/>
      <c r="BC760" s="213"/>
      <c r="BD760" s="213"/>
      <c r="BE760" s="210"/>
      <c r="BG760" s="334"/>
      <c r="BH760" s="334"/>
      <c r="BI760" s="334"/>
      <c r="BJ760" s="334"/>
      <c r="BK760" s="334"/>
      <c r="BM760" s="334"/>
      <c r="BN760" s="334"/>
      <c r="BO760" s="334"/>
      <c r="BP760" s="334"/>
      <c r="BQ760" s="334"/>
    </row>
    <row r="761" spans="45:69" x14ac:dyDescent="0.25">
      <c r="AS761" s="202"/>
      <c r="AV761" s="103"/>
      <c r="AW761" s="200"/>
      <c r="AX761" s="334"/>
      <c r="AY761" s="334"/>
      <c r="AZ761" s="334"/>
      <c r="BA761" s="210"/>
      <c r="BB761" s="334"/>
      <c r="BC761" s="213"/>
      <c r="BD761" s="213"/>
      <c r="BE761" s="210"/>
      <c r="BG761" s="334"/>
      <c r="BH761" s="334"/>
      <c r="BI761" s="334"/>
      <c r="BJ761" s="334"/>
      <c r="BK761" s="334"/>
      <c r="BM761" s="334"/>
      <c r="BN761" s="334"/>
      <c r="BO761" s="334"/>
      <c r="BP761" s="334"/>
      <c r="BQ761" s="334"/>
    </row>
    <row r="762" spans="45:69" x14ac:dyDescent="0.25">
      <c r="AS762" s="202"/>
      <c r="AV762" s="103"/>
      <c r="AW762" s="200"/>
      <c r="AX762" s="334"/>
      <c r="AY762" s="334"/>
      <c r="AZ762" s="334"/>
      <c r="BA762" s="210"/>
      <c r="BB762" s="334"/>
      <c r="BC762" s="213"/>
      <c r="BD762" s="213"/>
      <c r="BE762" s="210"/>
      <c r="BG762" s="334"/>
      <c r="BH762" s="334"/>
      <c r="BI762" s="334"/>
      <c r="BJ762" s="334"/>
      <c r="BK762" s="334"/>
      <c r="BM762" s="334"/>
      <c r="BN762" s="334"/>
      <c r="BO762" s="334"/>
      <c r="BP762" s="334"/>
      <c r="BQ762" s="334"/>
    </row>
    <row r="763" spans="45:69" x14ac:dyDescent="0.25">
      <c r="AS763" s="202"/>
      <c r="AV763" s="103"/>
      <c r="AW763" s="200"/>
      <c r="AX763" s="334"/>
      <c r="AY763" s="334"/>
      <c r="AZ763" s="334"/>
      <c r="BA763" s="210"/>
      <c r="BB763" s="334"/>
      <c r="BC763" s="213"/>
      <c r="BD763" s="213"/>
      <c r="BE763" s="210"/>
      <c r="BG763" s="334"/>
      <c r="BH763" s="334"/>
      <c r="BI763" s="334"/>
      <c r="BJ763" s="334"/>
      <c r="BK763" s="334"/>
      <c r="BM763" s="334"/>
      <c r="BN763" s="334"/>
      <c r="BO763" s="334"/>
      <c r="BP763" s="334"/>
      <c r="BQ763" s="334"/>
    </row>
    <row r="764" spans="45:69" x14ac:dyDescent="0.25">
      <c r="AS764" s="202"/>
      <c r="AV764" s="103"/>
      <c r="AW764" s="200"/>
      <c r="AX764" s="334"/>
      <c r="AY764" s="334"/>
      <c r="AZ764" s="334"/>
      <c r="BA764" s="210"/>
      <c r="BB764" s="334"/>
      <c r="BC764" s="213"/>
      <c r="BD764" s="213"/>
      <c r="BE764" s="210"/>
      <c r="BG764" s="334"/>
      <c r="BH764" s="334"/>
      <c r="BI764" s="334"/>
      <c r="BJ764" s="334"/>
      <c r="BK764" s="334"/>
      <c r="BM764" s="334"/>
      <c r="BN764" s="334"/>
      <c r="BO764" s="334"/>
      <c r="BP764" s="334"/>
      <c r="BQ764" s="334"/>
    </row>
    <row r="765" spans="45:69" x14ac:dyDescent="0.25">
      <c r="AS765" s="202"/>
      <c r="AV765" s="103"/>
      <c r="AW765" s="200"/>
      <c r="AX765" s="334"/>
      <c r="AY765" s="334"/>
      <c r="AZ765" s="334"/>
      <c r="BA765" s="210"/>
      <c r="BB765" s="334"/>
      <c r="BC765" s="213"/>
      <c r="BD765" s="213"/>
      <c r="BE765" s="210"/>
      <c r="BG765" s="334"/>
      <c r="BH765" s="334"/>
      <c r="BI765" s="334"/>
      <c r="BJ765" s="334"/>
      <c r="BK765" s="334"/>
      <c r="BM765" s="334"/>
      <c r="BN765" s="334"/>
      <c r="BO765" s="334"/>
      <c r="BP765" s="334"/>
      <c r="BQ765" s="334"/>
    </row>
    <row r="766" spans="45:69" x14ac:dyDescent="0.25">
      <c r="AY766" s="213"/>
      <c r="AZ766" s="334"/>
      <c r="BA766" s="210"/>
      <c r="BB766" s="334"/>
      <c r="BC766" s="213"/>
      <c r="BD766" s="213"/>
      <c r="BE766" s="210"/>
      <c r="BK766" s="334"/>
      <c r="BQ766" s="334"/>
    </row>
    <row r="767" spans="45:69" x14ac:dyDescent="0.25">
      <c r="AU767" s="154"/>
      <c r="AZ767" s="334"/>
      <c r="BB767" s="334"/>
      <c r="BG767" s="334"/>
      <c r="BH767" s="334"/>
      <c r="BJ767" s="334"/>
      <c r="BK767" s="334"/>
    </row>
    <row r="768" spans="45:69" x14ac:dyDescent="0.25">
      <c r="AZ768" s="334"/>
      <c r="BB768" s="334"/>
    </row>
    <row r="769" spans="45:75" x14ac:dyDescent="0.25">
      <c r="AS769" s="154"/>
      <c r="AZ769" s="334"/>
      <c r="BB769" s="334"/>
      <c r="BI769" s="334"/>
    </row>
    <row r="770" spans="45:75" x14ac:dyDescent="0.25">
      <c r="AY770" s="202"/>
      <c r="AZ770" s="334"/>
      <c r="BB770" s="334"/>
    </row>
    <row r="771" spans="45:75" x14ac:dyDescent="0.25">
      <c r="AY771" s="334"/>
      <c r="BB771" s="334"/>
    </row>
    <row r="772" spans="45:75" x14ac:dyDescent="0.25">
      <c r="AY772" s="154"/>
      <c r="AZ772" s="334"/>
      <c r="BB772" s="334"/>
    </row>
    <row r="773" spans="45:75" x14ac:dyDescent="0.25">
      <c r="AY773" s="154"/>
      <c r="AZ773" s="334"/>
      <c r="BB773" s="334"/>
    </row>
    <row r="774" spans="45:75" x14ac:dyDescent="0.25">
      <c r="AS774" s="202"/>
      <c r="AZ774" s="334"/>
      <c r="BB774" s="334"/>
      <c r="BD774" s="154"/>
    </row>
    <row r="775" spans="45:75" x14ac:dyDescent="0.25">
      <c r="AS775" s="202"/>
      <c r="AZ775" s="334"/>
      <c r="BB775" s="334"/>
      <c r="BD775" s="154"/>
    </row>
    <row r="776" spans="45:75" x14ac:dyDescent="0.25">
      <c r="AS776" s="154"/>
      <c r="AZ776" s="334"/>
      <c r="BB776" s="334"/>
      <c r="BD776" s="154"/>
    </row>
    <row r="777" spans="45:75" x14ac:dyDescent="0.25">
      <c r="AZ777" s="334"/>
      <c r="BB777" s="334"/>
      <c r="BD777" s="202"/>
    </row>
    <row r="778" spans="45:75" x14ac:dyDescent="0.25">
      <c r="AS778" s="102"/>
      <c r="AT778" s="102"/>
      <c r="AU778" s="102"/>
      <c r="AV778" s="102"/>
      <c r="AW778" s="102"/>
      <c r="AX778" s="102"/>
      <c r="AY778" s="102"/>
      <c r="AZ778" s="335"/>
      <c r="BA778" s="102"/>
      <c r="BB778" s="335"/>
      <c r="BC778" s="102"/>
      <c r="BD778" s="102"/>
      <c r="BE778" s="102"/>
    </row>
    <row r="779" spans="45:75" x14ac:dyDescent="0.25">
      <c r="AX779" s="154"/>
      <c r="AZ779" s="334"/>
      <c r="BB779" s="334"/>
    </row>
    <row r="780" spans="45:75" x14ac:dyDescent="0.25">
      <c r="AX780" s="102"/>
      <c r="AY780" s="102"/>
      <c r="AZ780" s="335"/>
      <c r="BA780" s="102"/>
      <c r="BB780" s="334"/>
      <c r="BC780" s="103"/>
      <c r="BD780" s="103"/>
    </row>
    <row r="781" spans="45:75" x14ac:dyDescent="0.25">
      <c r="AV781" s="103"/>
      <c r="AW781" s="103"/>
      <c r="AZ781" s="336"/>
      <c r="BA781" s="103"/>
      <c r="BB781" s="334"/>
      <c r="BC781" s="103"/>
      <c r="BD781" s="103"/>
      <c r="BE781" s="103"/>
      <c r="BG781" s="102"/>
      <c r="BH781" s="102"/>
      <c r="BI781" s="154"/>
      <c r="BM781" s="102"/>
      <c r="BN781" s="102"/>
      <c r="BP781" s="102"/>
      <c r="BQ781" s="102"/>
      <c r="BR781" s="154"/>
      <c r="BV781" s="102"/>
      <c r="BW781" s="102"/>
    </row>
    <row r="782" spans="45:75" x14ac:dyDescent="0.25">
      <c r="AV782" s="103"/>
      <c r="AW782" s="103"/>
      <c r="AX782" s="103"/>
      <c r="AY782" s="103"/>
      <c r="AZ782" s="336"/>
      <c r="BA782" s="103"/>
      <c r="BB782" s="336"/>
      <c r="BC782" s="103"/>
      <c r="BD782" s="103"/>
      <c r="BE782" s="103"/>
      <c r="BH782" s="103"/>
      <c r="BI782" s="103"/>
      <c r="BJ782" s="103"/>
      <c r="BK782" s="103"/>
      <c r="BL782" s="103"/>
      <c r="BM782" s="103"/>
      <c r="BQ782" s="103"/>
      <c r="BR782" s="103"/>
      <c r="BS782" s="103"/>
      <c r="BT782" s="103"/>
      <c r="BU782" s="103"/>
      <c r="BV782" s="103"/>
    </row>
    <row r="783" spans="45:75" x14ac:dyDescent="0.25">
      <c r="AS783" s="103"/>
      <c r="AU783" s="154"/>
      <c r="AV783" s="103"/>
      <c r="AW783" s="103"/>
      <c r="AX783" s="103"/>
      <c r="AY783" s="103"/>
      <c r="AZ783" s="336"/>
      <c r="BA783" s="103"/>
      <c r="BB783" s="336"/>
      <c r="BC783" s="103"/>
      <c r="BD783" s="103"/>
      <c r="BE783" s="103"/>
      <c r="BG783" s="103"/>
      <c r="BH783" s="103"/>
      <c r="BI783" s="103"/>
      <c r="BJ783" s="103"/>
      <c r="BK783" s="103"/>
      <c r="BL783" s="103"/>
      <c r="BM783" s="103"/>
      <c r="BN783" s="103"/>
      <c r="BP783" s="103"/>
      <c r="BQ783" s="103"/>
      <c r="BR783" s="103"/>
      <c r="BS783" s="103"/>
      <c r="BT783" s="103"/>
      <c r="BU783" s="103"/>
      <c r="BV783" s="103"/>
      <c r="BW783" s="103"/>
    </row>
    <row r="784" spans="45:75" x14ac:dyDescent="0.25">
      <c r="AS784" s="103"/>
      <c r="AU784" s="154"/>
      <c r="AV784" s="103"/>
      <c r="AW784" s="103"/>
      <c r="AX784" s="103"/>
      <c r="AY784" s="103"/>
      <c r="AZ784" s="336"/>
      <c r="BA784" s="103"/>
      <c r="BB784" s="336"/>
      <c r="BC784" s="103"/>
      <c r="BD784" s="103"/>
      <c r="BE784" s="103"/>
      <c r="BG784" s="103"/>
      <c r="BH784" s="103"/>
      <c r="BI784" s="103"/>
      <c r="BJ784" s="103"/>
      <c r="BK784" s="103"/>
      <c r="BL784" s="103"/>
      <c r="BM784" s="103"/>
      <c r="BN784" s="103"/>
      <c r="BP784" s="103"/>
      <c r="BQ784" s="103"/>
      <c r="BR784" s="103"/>
      <c r="BS784" s="103"/>
      <c r="BT784" s="103"/>
      <c r="BU784" s="103"/>
      <c r="BV784" s="103"/>
      <c r="BW784" s="103"/>
    </row>
    <row r="785" spans="45:75" x14ac:dyDescent="0.25">
      <c r="AS785" s="102"/>
      <c r="AT785" s="102"/>
      <c r="AU785" s="102"/>
      <c r="AV785" s="102"/>
      <c r="AW785" s="102"/>
      <c r="AX785" s="102"/>
      <c r="AY785" s="102"/>
      <c r="AZ785" s="335"/>
      <c r="BA785" s="102"/>
      <c r="BB785" s="335"/>
      <c r="BC785" s="102"/>
      <c r="BD785" s="102"/>
      <c r="BE785" s="102"/>
      <c r="BG785" s="102"/>
      <c r="BH785" s="102"/>
      <c r="BI785" s="102"/>
      <c r="BJ785" s="102"/>
      <c r="BK785" s="102"/>
      <c r="BL785" s="102"/>
      <c r="BM785" s="102"/>
      <c r="BN785" s="102"/>
      <c r="BP785" s="102"/>
      <c r="BQ785" s="102"/>
      <c r="BR785" s="102"/>
      <c r="BS785" s="102"/>
      <c r="BT785" s="102"/>
      <c r="BU785" s="102"/>
      <c r="BV785" s="102"/>
      <c r="BW785" s="102"/>
    </row>
    <row r="786" spans="45:75" x14ac:dyDescent="0.25">
      <c r="AV786" s="103"/>
      <c r="AW786" s="103"/>
      <c r="AX786" s="103"/>
      <c r="AY786" s="103"/>
      <c r="AZ786" s="336"/>
      <c r="BA786" s="103"/>
      <c r="BB786" s="336"/>
      <c r="BC786" s="103"/>
      <c r="BD786" s="103"/>
      <c r="BE786" s="103"/>
      <c r="BG786" s="334"/>
      <c r="BH786" s="334"/>
      <c r="BI786" s="334"/>
      <c r="BJ786" s="334"/>
      <c r="BK786" s="334"/>
      <c r="BL786" s="334"/>
      <c r="BM786" s="334"/>
      <c r="BN786" s="334"/>
      <c r="BO786" s="334"/>
      <c r="BP786" s="334"/>
      <c r="BQ786" s="334"/>
      <c r="BR786" s="334"/>
      <c r="BS786" s="334"/>
      <c r="BT786" s="334"/>
      <c r="BU786" s="334"/>
      <c r="BV786" s="334"/>
      <c r="BW786" s="334"/>
    </row>
    <row r="787" spans="45:75" x14ac:dyDescent="0.25">
      <c r="AS787" s="202"/>
      <c r="AU787" s="154"/>
      <c r="AV787" s="202"/>
      <c r="AW787" s="200"/>
      <c r="AX787" s="334"/>
      <c r="AY787" s="334"/>
      <c r="AZ787" s="334"/>
      <c r="BA787" s="201"/>
      <c r="BB787" s="334"/>
      <c r="BC787" s="334"/>
      <c r="BD787" s="334"/>
      <c r="BE787" s="201"/>
      <c r="BG787" s="334"/>
      <c r="BH787" s="334"/>
      <c r="BI787" s="334"/>
      <c r="BJ787" s="334"/>
      <c r="BK787" s="334"/>
      <c r="BL787" s="334"/>
      <c r="BM787" s="334"/>
      <c r="BN787" s="334"/>
      <c r="BO787" s="334"/>
      <c r="BP787" s="334"/>
      <c r="BQ787" s="334"/>
      <c r="BR787" s="334"/>
      <c r="BS787" s="334"/>
      <c r="BT787" s="334"/>
      <c r="BU787" s="334"/>
      <c r="BV787" s="334"/>
      <c r="BW787" s="334"/>
    </row>
    <row r="788" spans="45:75" x14ac:dyDescent="0.25">
      <c r="AS788" s="202"/>
      <c r="AV788" s="202"/>
      <c r="AW788" s="200"/>
      <c r="AX788" s="334"/>
      <c r="AY788" s="334"/>
      <c r="AZ788" s="334"/>
      <c r="BA788" s="201"/>
      <c r="BB788" s="334"/>
      <c r="BC788" s="334"/>
      <c r="BD788" s="334"/>
      <c r="BE788" s="201"/>
      <c r="BG788" s="334"/>
      <c r="BH788" s="334"/>
      <c r="BI788" s="334"/>
      <c r="BJ788" s="334"/>
      <c r="BK788" s="334"/>
      <c r="BL788" s="334"/>
      <c r="BM788" s="334"/>
      <c r="BN788" s="334"/>
      <c r="BO788" s="334"/>
      <c r="BP788" s="334"/>
      <c r="BQ788" s="334"/>
      <c r="BR788" s="334"/>
      <c r="BS788" s="334"/>
      <c r="BT788" s="334"/>
      <c r="BU788" s="334"/>
      <c r="BV788" s="334"/>
      <c r="BW788" s="334"/>
    </row>
    <row r="789" spans="45:75" x14ac:dyDescent="0.25">
      <c r="AS789" s="202"/>
      <c r="AV789" s="202"/>
      <c r="AW789" s="200"/>
      <c r="AX789" s="334"/>
      <c r="AY789" s="334"/>
      <c r="AZ789" s="334"/>
      <c r="BA789" s="201"/>
      <c r="BB789" s="334"/>
      <c r="BC789" s="334"/>
      <c r="BD789" s="334"/>
      <c r="BE789" s="201"/>
      <c r="BG789" s="334"/>
      <c r="BH789" s="334"/>
      <c r="BI789" s="334"/>
      <c r="BJ789" s="334"/>
      <c r="BK789" s="334"/>
      <c r="BL789" s="334"/>
      <c r="BM789" s="334"/>
      <c r="BN789" s="334"/>
      <c r="BO789" s="334"/>
      <c r="BP789" s="334"/>
      <c r="BQ789" s="334"/>
      <c r="BR789" s="334"/>
      <c r="BS789" s="334"/>
      <c r="BT789" s="334"/>
      <c r="BU789" s="334"/>
      <c r="BV789" s="334"/>
      <c r="BW789" s="334"/>
    </row>
    <row r="790" spans="45:75" x14ac:dyDescent="0.25">
      <c r="AS790" s="202"/>
      <c r="AV790" s="202"/>
      <c r="AW790" s="200"/>
      <c r="AX790" s="334"/>
      <c r="AY790" s="334"/>
      <c r="AZ790" s="334"/>
      <c r="BA790" s="201"/>
      <c r="BB790" s="334"/>
      <c r="BC790" s="334"/>
      <c r="BD790" s="334"/>
      <c r="BE790" s="201"/>
      <c r="BG790" s="334"/>
      <c r="BH790" s="334"/>
      <c r="BI790" s="334"/>
      <c r="BJ790" s="334"/>
      <c r="BK790" s="334"/>
      <c r="BL790" s="334"/>
      <c r="BM790" s="334"/>
      <c r="BN790" s="334"/>
      <c r="BO790" s="334"/>
      <c r="BP790" s="334"/>
      <c r="BQ790" s="334"/>
      <c r="BR790" s="334"/>
      <c r="BS790" s="334"/>
      <c r="BT790" s="334"/>
      <c r="BU790" s="334"/>
      <c r="BV790" s="334"/>
      <c r="BW790" s="334"/>
    </row>
    <row r="791" spans="45:75" x14ac:dyDescent="0.25">
      <c r="AS791" s="202"/>
      <c r="AV791" s="202"/>
      <c r="AW791" s="200"/>
      <c r="AX791" s="334"/>
      <c r="AY791" s="334"/>
      <c r="AZ791" s="334"/>
      <c r="BA791" s="201"/>
      <c r="BB791" s="334"/>
      <c r="BC791" s="334"/>
      <c r="BD791" s="334"/>
      <c r="BE791" s="201"/>
      <c r="BG791" s="334"/>
      <c r="BH791" s="334"/>
      <c r="BI791" s="334"/>
      <c r="BJ791" s="334"/>
      <c r="BK791" s="334"/>
      <c r="BL791" s="334"/>
      <c r="BM791" s="334"/>
      <c r="BN791" s="334"/>
      <c r="BO791" s="334"/>
      <c r="BP791" s="334"/>
      <c r="BQ791" s="334"/>
      <c r="BR791" s="334"/>
      <c r="BS791" s="334"/>
      <c r="BT791" s="334"/>
      <c r="BU791" s="334"/>
      <c r="BV791" s="334"/>
      <c r="BW791" s="334"/>
    </row>
    <row r="792" spans="45:75" x14ac:dyDescent="0.25">
      <c r="AS792" s="202"/>
      <c r="AV792" s="202"/>
      <c r="AW792" s="200"/>
      <c r="AX792" s="334"/>
      <c r="AY792" s="334"/>
      <c r="AZ792" s="334"/>
      <c r="BA792" s="201"/>
      <c r="BB792" s="334"/>
      <c r="BC792" s="334"/>
      <c r="BD792" s="334"/>
      <c r="BE792" s="201"/>
      <c r="BG792" s="334"/>
      <c r="BH792" s="334"/>
      <c r="BI792" s="334"/>
      <c r="BJ792" s="334"/>
      <c r="BK792" s="334"/>
      <c r="BL792" s="334"/>
      <c r="BM792" s="334"/>
      <c r="BN792" s="334"/>
      <c r="BO792" s="334"/>
      <c r="BP792" s="334"/>
      <c r="BQ792" s="334"/>
      <c r="BR792" s="334"/>
      <c r="BS792" s="334"/>
      <c r="BT792" s="334"/>
      <c r="BU792" s="334"/>
      <c r="BV792" s="334"/>
      <c r="BW792" s="334"/>
    </row>
    <row r="793" spans="45:75" x14ac:dyDescent="0.25">
      <c r="AS793" s="202"/>
      <c r="AV793" s="202"/>
      <c r="AW793" s="200"/>
      <c r="AX793" s="334"/>
      <c r="AY793" s="334"/>
      <c r="AZ793" s="334"/>
      <c r="BA793" s="201"/>
      <c r="BB793" s="334"/>
      <c r="BC793" s="334"/>
      <c r="BD793" s="334"/>
      <c r="BE793" s="201"/>
      <c r="BG793" s="334"/>
      <c r="BH793" s="334"/>
      <c r="BI793" s="334"/>
      <c r="BJ793" s="334"/>
      <c r="BK793" s="334"/>
      <c r="BL793" s="334"/>
      <c r="BM793" s="334"/>
      <c r="BN793" s="334"/>
      <c r="BO793" s="334"/>
      <c r="BP793" s="334"/>
      <c r="BQ793" s="334"/>
      <c r="BR793" s="334"/>
      <c r="BS793" s="334"/>
      <c r="BT793" s="334"/>
      <c r="BU793" s="334"/>
      <c r="BV793" s="334"/>
      <c r="BW793" s="334"/>
    </row>
    <row r="794" spans="45:75" x14ac:dyDescent="0.25">
      <c r="AS794" s="202"/>
      <c r="AV794" s="202"/>
      <c r="AW794" s="200"/>
      <c r="AX794" s="334"/>
      <c r="AY794" s="334"/>
      <c r="AZ794" s="334"/>
      <c r="BA794" s="201"/>
      <c r="BB794" s="334"/>
      <c r="BC794" s="334"/>
      <c r="BD794" s="334"/>
      <c r="BE794" s="201"/>
      <c r="BG794" s="334"/>
      <c r="BH794" s="334"/>
      <c r="BI794" s="334"/>
      <c r="BJ794" s="334"/>
      <c r="BK794" s="334"/>
      <c r="BL794" s="334"/>
      <c r="BM794" s="334"/>
      <c r="BN794" s="334"/>
      <c r="BO794" s="334"/>
      <c r="BP794" s="334"/>
      <c r="BQ794" s="334"/>
      <c r="BR794" s="334"/>
      <c r="BS794" s="334"/>
      <c r="BT794" s="334"/>
      <c r="BU794" s="334"/>
      <c r="BV794" s="334"/>
      <c r="BW794" s="334"/>
    </row>
    <row r="795" spans="45:75" x14ac:dyDescent="0.25">
      <c r="AS795" s="202"/>
      <c r="AV795" s="202"/>
      <c r="AW795" s="200"/>
      <c r="AX795" s="334"/>
      <c r="AY795" s="334"/>
      <c r="AZ795" s="334"/>
      <c r="BA795" s="201"/>
      <c r="BB795" s="334"/>
      <c r="BC795" s="334"/>
      <c r="BD795" s="334"/>
      <c r="BE795" s="201"/>
      <c r="BG795" s="334"/>
      <c r="BH795" s="334"/>
      <c r="BI795" s="334"/>
      <c r="BJ795" s="334"/>
      <c r="BK795" s="334"/>
      <c r="BL795" s="334"/>
      <c r="BM795" s="334"/>
      <c r="BN795" s="334"/>
      <c r="BO795" s="334"/>
      <c r="BP795" s="334"/>
      <c r="BQ795" s="334"/>
      <c r="BR795" s="334"/>
      <c r="BS795" s="334"/>
      <c r="BT795" s="334"/>
      <c r="BU795" s="334"/>
      <c r="BV795" s="334"/>
      <c r="BW795" s="334"/>
    </row>
    <row r="796" spans="45:75" x14ac:dyDescent="0.25">
      <c r="AS796" s="202"/>
      <c r="AV796" s="202"/>
      <c r="AW796" s="200"/>
      <c r="AX796" s="334"/>
      <c r="AY796" s="334"/>
      <c r="AZ796" s="334"/>
      <c r="BA796" s="201"/>
      <c r="BB796" s="334"/>
      <c r="BC796" s="334"/>
      <c r="BD796" s="334"/>
      <c r="BE796" s="201"/>
      <c r="BG796" s="334"/>
      <c r="BH796" s="334"/>
      <c r="BI796" s="334"/>
      <c r="BJ796" s="334"/>
      <c r="BK796" s="334"/>
      <c r="BL796" s="334"/>
      <c r="BM796" s="334"/>
      <c r="BN796" s="334"/>
      <c r="BO796" s="334"/>
      <c r="BP796" s="334"/>
      <c r="BQ796" s="334"/>
      <c r="BR796" s="334"/>
      <c r="BS796" s="334"/>
      <c r="BT796" s="334"/>
      <c r="BU796" s="334"/>
      <c r="BV796" s="334"/>
      <c r="BW796" s="334"/>
    </row>
    <row r="797" spans="45:75" x14ac:dyDescent="0.25">
      <c r="AS797" s="202"/>
      <c r="AV797" s="202"/>
      <c r="AW797" s="200"/>
      <c r="AX797" s="334"/>
      <c r="AY797" s="334"/>
      <c r="AZ797" s="334"/>
      <c r="BA797" s="201"/>
      <c r="BB797" s="334"/>
      <c r="BC797" s="334"/>
      <c r="BD797" s="334"/>
      <c r="BE797" s="201"/>
      <c r="BG797" s="334"/>
      <c r="BH797" s="334"/>
      <c r="BI797" s="334"/>
      <c r="BJ797" s="334"/>
      <c r="BK797" s="334"/>
      <c r="BL797" s="334"/>
      <c r="BM797" s="334"/>
      <c r="BN797" s="334"/>
      <c r="BO797" s="334"/>
      <c r="BP797" s="334"/>
      <c r="BQ797" s="334"/>
      <c r="BR797" s="334"/>
      <c r="BS797" s="334"/>
      <c r="BT797" s="334"/>
      <c r="BU797" s="334"/>
      <c r="BV797" s="334"/>
      <c r="BW797" s="334"/>
    </row>
    <row r="798" spans="45:75" x14ac:dyDescent="0.25">
      <c r="AS798" s="202"/>
      <c r="AV798" s="202"/>
      <c r="AW798" s="200"/>
      <c r="AX798" s="334"/>
      <c r="AY798" s="334"/>
      <c r="AZ798" s="334"/>
      <c r="BA798" s="201"/>
      <c r="BB798" s="334"/>
      <c r="BC798" s="334"/>
      <c r="BD798" s="334"/>
      <c r="BE798" s="201"/>
      <c r="BG798" s="334"/>
      <c r="BH798" s="334"/>
      <c r="BI798" s="334"/>
      <c r="BJ798" s="334"/>
      <c r="BK798" s="334"/>
      <c r="BL798" s="334"/>
      <c r="BM798" s="334"/>
      <c r="BN798" s="334"/>
      <c r="BO798" s="334"/>
      <c r="BP798" s="334"/>
      <c r="BQ798" s="334"/>
      <c r="BR798" s="334"/>
      <c r="BS798" s="334"/>
      <c r="BT798" s="334"/>
      <c r="BU798" s="334"/>
      <c r="BV798" s="334"/>
      <c r="BW798" s="334"/>
    </row>
    <row r="799" spans="45:75" x14ac:dyDescent="0.25">
      <c r="AS799" s="202"/>
      <c r="AV799" s="202"/>
      <c r="AW799" s="200"/>
      <c r="AX799" s="334"/>
      <c r="AY799" s="334"/>
      <c r="AZ799" s="334"/>
      <c r="BA799" s="201"/>
      <c r="BB799" s="334"/>
      <c r="BC799" s="334"/>
      <c r="BD799" s="334"/>
      <c r="BE799" s="201"/>
      <c r="BG799" s="334"/>
      <c r="BH799" s="334"/>
      <c r="BI799" s="334"/>
      <c r="BJ799" s="334"/>
      <c r="BK799" s="334"/>
      <c r="BL799" s="334"/>
      <c r="BM799" s="334"/>
      <c r="BN799" s="334"/>
      <c r="BO799" s="334"/>
      <c r="BP799" s="334"/>
      <c r="BQ799" s="334"/>
      <c r="BR799" s="334"/>
      <c r="BS799" s="334"/>
      <c r="BT799" s="334"/>
      <c r="BU799" s="334"/>
      <c r="BV799" s="334"/>
      <c r="BW799" s="334"/>
    </row>
    <row r="800" spans="45:75" x14ac:dyDescent="0.25">
      <c r="AS800" s="202"/>
      <c r="AV800" s="202"/>
      <c r="AW800" s="200"/>
      <c r="AX800" s="334"/>
      <c r="AY800" s="334"/>
      <c r="AZ800" s="334"/>
      <c r="BA800" s="201"/>
      <c r="BB800" s="334"/>
      <c r="BC800" s="334"/>
      <c r="BD800" s="334"/>
      <c r="BE800" s="201"/>
      <c r="BG800" s="334"/>
      <c r="BH800" s="334"/>
      <c r="BI800" s="334"/>
      <c r="BJ800" s="334"/>
      <c r="BK800" s="334"/>
      <c r="BL800" s="334"/>
      <c r="BM800" s="334"/>
      <c r="BN800" s="334"/>
      <c r="BO800" s="334"/>
      <c r="BP800" s="334"/>
      <c r="BQ800" s="334"/>
      <c r="BR800" s="334"/>
      <c r="BS800" s="334"/>
      <c r="BT800" s="334"/>
      <c r="BU800" s="334"/>
      <c r="BV800" s="334"/>
      <c r="BW800" s="334"/>
    </row>
    <row r="801" spans="45:75" x14ac:dyDescent="0.25">
      <c r="AS801" s="202"/>
      <c r="AV801" s="202"/>
      <c r="AW801" s="200"/>
      <c r="AX801" s="334"/>
      <c r="AY801" s="334"/>
      <c r="AZ801" s="334"/>
      <c r="BA801" s="201"/>
      <c r="BB801" s="334"/>
      <c r="BC801" s="334"/>
      <c r="BD801" s="334"/>
      <c r="BE801" s="201"/>
      <c r="BG801" s="334"/>
      <c r="BH801" s="334"/>
      <c r="BI801" s="334"/>
      <c r="BJ801" s="334"/>
      <c r="BK801" s="334"/>
      <c r="BL801" s="334"/>
      <c r="BM801" s="334"/>
      <c r="BN801" s="334"/>
      <c r="BO801" s="334"/>
      <c r="BP801" s="334"/>
      <c r="BQ801" s="334"/>
      <c r="BR801" s="334"/>
      <c r="BS801" s="334"/>
      <c r="BT801" s="334"/>
      <c r="BU801" s="334"/>
      <c r="BV801" s="334"/>
      <c r="BW801" s="334"/>
    </row>
    <row r="802" spans="45:75" x14ac:dyDescent="0.25">
      <c r="AS802" s="202"/>
      <c r="AV802" s="202"/>
      <c r="AW802" s="200"/>
      <c r="AX802" s="334"/>
      <c r="AY802" s="334"/>
      <c r="AZ802" s="334"/>
      <c r="BA802" s="201"/>
      <c r="BB802" s="334"/>
      <c r="BC802" s="334"/>
      <c r="BD802" s="334"/>
      <c r="BE802" s="201"/>
      <c r="BG802" s="334"/>
      <c r="BH802" s="334"/>
      <c r="BI802" s="334"/>
      <c r="BJ802" s="334"/>
      <c r="BK802" s="334"/>
      <c r="BL802" s="334"/>
      <c r="BM802" s="334"/>
      <c r="BN802" s="334"/>
      <c r="BO802" s="334"/>
      <c r="BP802" s="334"/>
      <c r="BQ802" s="334"/>
      <c r="BR802" s="334"/>
      <c r="BS802" s="334"/>
      <c r="BT802" s="334"/>
      <c r="BU802" s="334"/>
      <c r="BV802" s="334"/>
      <c r="BW802" s="334"/>
    </row>
    <row r="803" spans="45:75" x14ac:dyDescent="0.25">
      <c r="AS803" s="202"/>
      <c r="AV803" s="202"/>
      <c r="AW803" s="200"/>
      <c r="AX803" s="334"/>
      <c r="AY803" s="334"/>
      <c r="AZ803" s="334"/>
      <c r="BA803" s="201"/>
      <c r="BB803" s="334"/>
      <c r="BC803" s="334"/>
      <c r="BD803" s="334"/>
      <c r="BE803" s="201"/>
      <c r="BG803" s="334"/>
      <c r="BH803" s="334"/>
      <c r="BI803" s="334"/>
      <c r="BJ803" s="334"/>
      <c r="BK803" s="334"/>
      <c r="BL803" s="334"/>
      <c r="BM803" s="334"/>
      <c r="BN803" s="334"/>
      <c r="BO803" s="334"/>
      <c r="BP803" s="334"/>
      <c r="BQ803" s="334"/>
      <c r="BR803" s="334"/>
      <c r="BS803" s="334"/>
      <c r="BT803" s="334"/>
      <c r="BU803" s="334"/>
      <c r="BV803" s="334"/>
      <c r="BW803" s="334"/>
    </row>
    <row r="804" spans="45:75" x14ac:dyDescent="0.25">
      <c r="AS804" s="202"/>
      <c r="AV804" s="202"/>
      <c r="AW804" s="200"/>
      <c r="AX804" s="334"/>
      <c r="AY804" s="334"/>
      <c r="AZ804" s="334"/>
      <c r="BA804" s="201"/>
      <c r="BB804" s="334"/>
      <c r="BC804" s="334"/>
      <c r="BD804" s="334"/>
      <c r="BE804" s="201"/>
      <c r="BG804" s="334"/>
      <c r="BH804" s="334"/>
      <c r="BI804" s="334"/>
      <c r="BJ804" s="334"/>
      <c r="BK804" s="334"/>
      <c r="BL804" s="334"/>
      <c r="BM804" s="334"/>
      <c r="BN804" s="334"/>
      <c r="BO804" s="334"/>
      <c r="BP804" s="334"/>
      <c r="BQ804" s="334"/>
      <c r="BR804" s="334"/>
      <c r="BS804" s="334"/>
      <c r="BT804" s="334"/>
      <c r="BU804" s="334"/>
      <c r="BV804" s="334"/>
      <c r="BW804" s="334"/>
    </row>
    <row r="805" spans="45:75" x14ac:dyDescent="0.25">
      <c r="AS805" s="202"/>
      <c r="AV805" s="202"/>
      <c r="AW805" s="200"/>
      <c r="AX805" s="334"/>
      <c r="AY805" s="334"/>
      <c r="AZ805" s="334"/>
      <c r="BA805" s="201"/>
      <c r="BB805" s="334"/>
      <c r="BC805" s="334"/>
      <c r="BD805" s="334"/>
      <c r="BE805" s="201"/>
      <c r="BG805" s="334"/>
      <c r="BH805" s="334"/>
      <c r="BI805" s="334"/>
      <c r="BJ805" s="334"/>
      <c r="BK805" s="334"/>
      <c r="BL805" s="334"/>
      <c r="BM805" s="334"/>
      <c r="BN805" s="334"/>
      <c r="BO805" s="334"/>
      <c r="BP805" s="334"/>
      <c r="BQ805" s="334"/>
      <c r="BR805" s="334"/>
      <c r="BS805" s="334"/>
      <c r="BT805" s="334"/>
      <c r="BU805" s="334"/>
      <c r="BV805" s="334"/>
      <c r="BW805" s="334"/>
    </row>
    <row r="806" spans="45:75" x14ac:dyDescent="0.25">
      <c r="AS806" s="202"/>
      <c r="AV806" s="202"/>
      <c r="AW806" s="200"/>
      <c r="AX806" s="334"/>
      <c r="AY806" s="334"/>
      <c r="AZ806" s="334"/>
      <c r="BA806" s="201"/>
      <c r="BB806" s="334"/>
      <c r="BC806" s="334"/>
      <c r="BD806" s="334"/>
      <c r="BE806" s="201"/>
      <c r="BG806" s="334"/>
      <c r="BH806" s="334"/>
      <c r="BI806" s="334"/>
      <c r="BJ806" s="334"/>
      <c r="BK806" s="334"/>
      <c r="BL806" s="334"/>
      <c r="BM806" s="334"/>
      <c r="BN806" s="334"/>
      <c r="BO806" s="334"/>
      <c r="BP806" s="334"/>
      <c r="BQ806" s="334"/>
      <c r="BR806" s="334"/>
      <c r="BS806" s="334"/>
      <c r="BT806" s="334"/>
      <c r="BU806" s="334"/>
      <c r="BV806" s="334"/>
      <c r="BW806" s="334"/>
    </row>
    <row r="807" spans="45:75" x14ac:dyDescent="0.25">
      <c r="AS807" s="202"/>
      <c r="AV807" s="202"/>
      <c r="AW807" s="200"/>
      <c r="AX807" s="334"/>
      <c r="AY807" s="334"/>
      <c r="AZ807" s="334"/>
      <c r="BA807" s="201"/>
      <c r="BB807" s="334"/>
      <c r="BC807" s="334"/>
      <c r="BD807" s="334"/>
      <c r="BE807" s="201"/>
      <c r="BG807" s="334"/>
      <c r="BH807" s="334"/>
      <c r="BI807" s="334"/>
      <c r="BJ807" s="334"/>
      <c r="BK807" s="334"/>
      <c r="BL807" s="334"/>
      <c r="BM807" s="334"/>
      <c r="BN807" s="334"/>
      <c r="BO807" s="334"/>
      <c r="BP807" s="334"/>
      <c r="BQ807" s="334"/>
      <c r="BR807" s="334"/>
      <c r="BS807" s="334"/>
      <c r="BT807" s="334"/>
      <c r="BU807" s="334"/>
      <c r="BV807" s="334"/>
      <c r="BW807" s="334"/>
    </row>
    <row r="808" spans="45:75" x14ac:dyDescent="0.25">
      <c r="AW808" s="200"/>
      <c r="AX808" s="334"/>
      <c r="AY808" s="334"/>
      <c r="AZ808" s="334"/>
      <c r="BA808" s="201"/>
      <c r="BB808" s="334"/>
      <c r="BC808" s="334"/>
      <c r="BD808" s="334"/>
      <c r="BE808" s="201"/>
      <c r="BG808" s="102"/>
      <c r="BH808" s="102"/>
      <c r="BI808" s="154"/>
      <c r="BM808" s="102"/>
      <c r="BN808" s="102"/>
      <c r="BO808" s="334"/>
      <c r="BP808" s="102"/>
      <c r="BQ808" s="102"/>
      <c r="BR808" s="154"/>
      <c r="BV808" s="102"/>
      <c r="BW808" s="102"/>
    </row>
    <row r="809" spans="45:75" x14ac:dyDescent="0.25">
      <c r="AS809" s="202"/>
      <c r="AU809" s="154"/>
      <c r="AV809" s="103"/>
      <c r="AW809" s="200"/>
      <c r="AX809" s="334"/>
      <c r="AY809" s="334"/>
      <c r="AZ809" s="334"/>
      <c r="BA809" s="201"/>
      <c r="BB809" s="334"/>
      <c r="BC809" s="334"/>
      <c r="BD809" s="334"/>
      <c r="BE809" s="201"/>
      <c r="BG809" s="336"/>
      <c r="BH809" s="334"/>
      <c r="BI809" s="334"/>
      <c r="BJ809" s="334"/>
      <c r="BK809" s="336"/>
      <c r="BL809" s="337"/>
      <c r="BM809" s="334"/>
      <c r="BN809" s="336"/>
      <c r="BO809" s="334"/>
      <c r="BP809" s="336"/>
      <c r="BQ809" s="334"/>
      <c r="BR809" s="334"/>
      <c r="BS809" s="334"/>
      <c r="BT809" s="336"/>
      <c r="BU809" s="337"/>
      <c r="BV809" s="334"/>
      <c r="BW809" s="336"/>
    </row>
    <row r="810" spans="45:75" x14ac:dyDescent="0.25">
      <c r="AS810" s="202"/>
      <c r="AV810" s="103"/>
      <c r="AW810" s="200"/>
      <c r="AX810" s="334"/>
      <c r="AY810" s="334"/>
      <c r="AZ810" s="334"/>
      <c r="BA810" s="201"/>
      <c r="BB810" s="334"/>
      <c r="BC810" s="334"/>
      <c r="BD810" s="334"/>
      <c r="BE810" s="201"/>
      <c r="BG810" s="334"/>
      <c r="BH810" s="334"/>
      <c r="BI810" s="334"/>
      <c r="BJ810" s="334"/>
      <c r="BK810" s="334"/>
      <c r="BL810" s="337"/>
      <c r="BM810" s="334"/>
      <c r="BN810" s="334"/>
      <c r="BO810" s="334"/>
      <c r="BP810" s="334"/>
      <c r="BQ810" s="334"/>
      <c r="BR810" s="334"/>
      <c r="BS810" s="334"/>
      <c r="BT810" s="334"/>
      <c r="BU810" s="337"/>
      <c r="BV810" s="334"/>
      <c r="BW810" s="334"/>
    </row>
    <row r="811" spans="45:75" x14ac:dyDescent="0.25">
      <c r="AS811" s="202"/>
      <c r="AV811" s="103"/>
      <c r="AW811" s="200"/>
      <c r="AX811" s="334"/>
      <c r="AY811" s="334"/>
      <c r="AZ811" s="334"/>
      <c r="BA811" s="201"/>
      <c r="BB811" s="334"/>
      <c r="BC811" s="334"/>
      <c r="BD811" s="334"/>
      <c r="BE811" s="201"/>
      <c r="BG811" s="334"/>
      <c r="BH811" s="334"/>
      <c r="BI811" s="334"/>
      <c r="BJ811" s="334"/>
      <c r="BK811" s="334"/>
      <c r="BL811" s="337"/>
      <c r="BM811" s="334"/>
      <c r="BN811" s="334"/>
      <c r="BO811" s="334"/>
      <c r="BP811" s="334"/>
      <c r="BQ811" s="334"/>
      <c r="BR811" s="334"/>
      <c r="BS811" s="334"/>
      <c r="BT811" s="334"/>
      <c r="BU811" s="337"/>
      <c r="BV811" s="334"/>
      <c r="BW811" s="334"/>
    </row>
    <row r="812" spans="45:75" x14ac:dyDescent="0.25">
      <c r="AS812" s="202"/>
      <c r="AV812" s="103"/>
      <c r="AW812" s="200"/>
      <c r="AX812" s="334"/>
      <c r="AY812" s="334"/>
      <c r="AZ812" s="334"/>
      <c r="BA812" s="201"/>
      <c r="BB812" s="334"/>
      <c r="BC812" s="334"/>
      <c r="BD812" s="334"/>
      <c r="BE812" s="201"/>
      <c r="BG812" s="334"/>
      <c r="BH812" s="334"/>
      <c r="BI812" s="334"/>
      <c r="BJ812" s="334"/>
      <c r="BK812" s="334"/>
      <c r="BL812" s="337"/>
      <c r="BM812" s="334"/>
      <c r="BN812" s="334"/>
      <c r="BO812" s="334"/>
      <c r="BP812" s="334"/>
      <c r="BQ812" s="334"/>
      <c r="BR812" s="334"/>
      <c r="BS812" s="334"/>
      <c r="BT812" s="334"/>
      <c r="BU812" s="337"/>
      <c r="BV812" s="334"/>
      <c r="BW812" s="334"/>
    </row>
    <row r="813" spans="45:75" x14ac:dyDescent="0.25">
      <c r="AX813" s="334"/>
      <c r="AY813" s="334"/>
      <c r="AZ813" s="334"/>
      <c r="BA813" s="201"/>
      <c r="BB813" s="334"/>
      <c r="BC813" s="334"/>
      <c r="BD813" s="334"/>
      <c r="BE813" s="201"/>
      <c r="BG813" s="334"/>
      <c r="BH813" s="334"/>
      <c r="BI813" s="334"/>
      <c r="BJ813" s="334"/>
      <c r="BK813" s="334"/>
      <c r="BL813" s="334"/>
      <c r="BM813" s="334"/>
      <c r="BN813" s="334"/>
      <c r="BO813" s="334"/>
      <c r="BP813" s="334"/>
      <c r="BQ813" s="334"/>
      <c r="BR813" s="334"/>
      <c r="BS813" s="334"/>
      <c r="BT813" s="334"/>
      <c r="BU813" s="334"/>
      <c r="BV813" s="334"/>
    </row>
    <row r="814" spans="45:75" x14ac:dyDescent="0.25">
      <c r="AU814" s="154"/>
    </row>
    <row r="815" spans="45:75" x14ac:dyDescent="0.25">
      <c r="AU815" s="154"/>
      <c r="AZ815" s="334"/>
      <c r="BA815" s="201"/>
      <c r="BB815" s="334"/>
      <c r="BC815" s="334"/>
      <c r="BD815" s="334"/>
      <c r="BE815" s="201"/>
      <c r="BG815" s="334"/>
      <c r="BH815" s="334"/>
      <c r="BI815" s="334"/>
      <c r="BJ815" s="334"/>
      <c r="BK815" s="334"/>
      <c r="BL815" s="334"/>
      <c r="BM815" s="334"/>
      <c r="BN815" s="334"/>
      <c r="BO815" s="334"/>
      <c r="BP815" s="334"/>
      <c r="BQ815" s="334"/>
      <c r="BR815" s="334"/>
      <c r="BS815" s="334"/>
      <c r="BT815" s="334"/>
      <c r="BU815" s="334"/>
      <c r="BV815" s="334"/>
    </row>
    <row r="816" spans="45:75" x14ac:dyDescent="0.25">
      <c r="AS816" s="154"/>
      <c r="AZ816" s="334"/>
      <c r="BB816" s="334"/>
    </row>
    <row r="817" spans="45:74" x14ac:dyDescent="0.25">
      <c r="AY817" s="202"/>
      <c r="AZ817" s="334"/>
      <c r="BB817" s="334"/>
      <c r="BO817" s="334"/>
      <c r="BP817" s="334"/>
      <c r="BQ817" s="334"/>
      <c r="BR817" s="334"/>
      <c r="BS817" s="334"/>
      <c r="BT817" s="334"/>
      <c r="BU817" s="334"/>
      <c r="BV817" s="334"/>
    </row>
    <row r="818" spans="45:74" x14ac:dyDescent="0.25">
      <c r="AY818" s="334"/>
      <c r="AZ818" s="334"/>
      <c r="BB818" s="334"/>
      <c r="BO818" s="334"/>
      <c r="BP818" s="334"/>
      <c r="BQ818" s="334"/>
      <c r="BR818" s="334"/>
      <c r="BS818" s="334"/>
      <c r="BT818" s="334"/>
      <c r="BU818" s="334"/>
      <c r="BV818" s="334"/>
    </row>
    <row r="819" spans="45:74" x14ac:dyDescent="0.25">
      <c r="AY819" s="154"/>
      <c r="AZ819" s="334"/>
      <c r="BB819" s="334"/>
      <c r="BO819" s="334"/>
      <c r="BP819" s="334"/>
      <c r="BQ819" s="334"/>
      <c r="BR819" s="334"/>
      <c r="BS819" s="334"/>
      <c r="BT819" s="334"/>
      <c r="BU819" s="334"/>
      <c r="BV819" s="334"/>
    </row>
    <row r="820" spans="45:74" x14ac:dyDescent="0.25">
      <c r="AY820" s="154"/>
      <c r="AZ820" s="334"/>
      <c r="BB820" s="334"/>
      <c r="BO820" s="334"/>
      <c r="BP820" s="334"/>
      <c r="BQ820" s="334"/>
      <c r="BR820" s="334"/>
      <c r="BS820" s="334"/>
      <c r="BT820" s="334"/>
      <c r="BU820" s="334"/>
      <c r="BV820" s="334"/>
    </row>
    <row r="821" spans="45:74" x14ac:dyDescent="0.25">
      <c r="AS821" s="202"/>
      <c r="AZ821" s="334"/>
      <c r="BB821" s="334"/>
      <c r="BD821" s="154"/>
      <c r="BO821" s="334"/>
      <c r="BP821" s="334"/>
      <c r="BQ821" s="334"/>
      <c r="BR821" s="334"/>
      <c r="BS821" s="334"/>
      <c r="BT821" s="334"/>
      <c r="BU821" s="334"/>
      <c r="BV821" s="334"/>
    </row>
    <row r="822" spans="45:74" x14ac:dyDescent="0.25">
      <c r="AS822" s="202"/>
      <c r="AZ822" s="334"/>
      <c r="BB822" s="334"/>
      <c r="BD822" s="154"/>
      <c r="BO822" s="334"/>
      <c r="BP822" s="334"/>
      <c r="BQ822" s="334"/>
      <c r="BR822" s="334"/>
      <c r="BS822" s="334"/>
      <c r="BT822" s="334"/>
      <c r="BU822" s="334"/>
      <c r="BV822" s="334"/>
    </row>
    <row r="823" spans="45:74" x14ac:dyDescent="0.25">
      <c r="AS823" s="154"/>
      <c r="AZ823" s="334"/>
      <c r="BB823" s="334"/>
      <c r="BD823" s="154"/>
      <c r="BO823" s="334"/>
      <c r="BP823" s="334"/>
      <c r="BQ823" s="334"/>
      <c r="BR823" s="334"/>
      <c r="BS823" s="334"/>
      <c r="BT823" s="334"/>
      <c r="BU823" s="334"/>
      <c r="BV823" s="334"/>
    </row>
    <row r="824" spans="45:74" x14ac:dyDescent="0.25">
      <c r="AZ824" s="334"/>
      <c r="BB824" s="334"/>
      <c r="BD824" s="202"/>
      <c r="BO824" s="334"/>
      <c r="BP824" s="334"/>
      <c r="BQ824" s="334"/>
      <c r="BR824" s="334"/>
      <c r="BS824" s="334"/>
      <c r="BT824" s="334"/>
      <c r="BU824" s="334"/>
      <c r="BV824" s="334"/>
    </row>
    <row r="825" spans="45:74" x14ac:dyDescent="0.25">
      <c r="AS825" s="102"/>
      <c r="AT825" s="102"/>
      <c r="AU825" s="102"/>
      <c r="AV825" s="102"/>
      <c r="AW825" s="102"/>
      <c r="AX825" s="102"/>
      <c r="AY825" s="102"/>
      <c r="AZ825" s="335"/>
      <c r="BA825" s="102"/>
      <c r="BB825" s="335"/>
      <c r="BC825" s="102"/>
      <c r="BD825" s="102"/>
      <c r="BE825" s="102"/>
      <c r="BO825" s="334"/>
      <c r="BP825" s="334"/>
      <c r="BQ825" s="334"/>
      <c r="BR825" s="334"/>
      <c r="BS825" s="334"/>
      <c r="BT825" s="334"/>
      <c r="BU825" s="334"/>
      <c r="BV825" s="334"/>
    </row>
    <row r="826" spans="45:74" x14ac:dyDescent="0.25">
      <c r="AX826" s="154"/>
      <c r="AZ826" s="334"/>
      <c r="BB826" s="334"/>
      <c r="BO826" s="334"/>
      <c r="BP826" s="334"/>
      <c r="BQ826" s="334"/>
      <c r="BR826" s="334"/>
      <c r="BS826" s="334"/>
      <c r="BT826" s="334"/>
      <c r="BU826" s="334"/>
      <c r="BV826" s="334"/>
    </row>
    <row r="827" spans="45:74" x14ac:dyDescent="0.25">
      <c r="AX827" s="102"/>
      <c r="AY827" s="102"/>
      <c r="AZ827" s="335"/>
      <c r="BA827" s="102"/>
      <c r="BB827" s="334"/>
      <c r="BC827" s="103"/>
      <c r="BD827" s="103"/>
      <c r="BO827" s="334"/>
      <c r="BP827" s="334"/>
      <c r="BQ827" s="334"/>
      <c r="BR827" s="334"/>
      <c r="BS827" s="334"/>
      <c r="BT827" s="334"/>
      <c r="BU827" s="334"/>
      <c r="BV827" s="334"/>
    </row>
    <row r="828" spans="45:74" x14ac:dyDescent="0.25">
      <c r="AV828" s="103"/>
      <c r="AW828" s="103"/>
      <c r="AZ828" s="336"/>
      <c r="BA828" s="103"/>
      <c r="BB828" s="334"/>
      <c r="BC828" s="103"/>
      <c r="BD828" s="103"/>
      <c r="BE828" s="103"/>
      <c r="BG828" s="102"/>
      <c r="BH828" s="154"/>
      <c r="BK828" s="102"/>
      <c r="BM828" s="102"/>
      <c r="BN828" s="154"/>
      <c r="BQ828" s="102"/>
    </row>
    <row r="829" spans="45:74" x14ac:dyDescent="0.25">
      <c r="AV829" s="103"/>
      <c r="AW829" s="103"/>
      <c r="AX829" s="103"/>
      <c r="AY829" s="103"/>
      <c r="AZ829" s="336"/>
      <c r="BA829" s="103"/>
      <c r="BB829" s="336"/>
      <c r="BC829" s="103"/>
      <c r="BD829" s="103"/>
      <c r="BE829" s="103"/>
      <c r="BH829" s="103"/>
      <c r="BI829" s="103"/>
      <c r="BN829" s="103"/>
      <c r="BO829" s="103"/>
    </row>
    <row r="830" spans="45:74" x14ac:dyDescent="0.25">
      <c r="AS830" s="103"/>
      <c r="AU830" s="154"/>
      <c r="AV830" s="103"/>
      <c r="AW830" s="103"/>
      <c r="AX830" s="103"/>
      <c r="AY830" s="103"/>
      <c r="AZ830" s="336"/>
      <c r="BA830" s="103"/>
      <c r="BB830" s="336"/>
      <c r="BC830" s="103"/>
      <c r="BD830" s="103"/>
      <c r="BE830" s="103"/>
      <c r="BG830" s="103"/>
      <c r="BH830" s="103"/>
      <c r="BI830" s="103"/>
      <c r="BJ830" s="103"/>
      <c r="BK830" s="103"/>
      <c r="BM830" s="103"/>
      <c r="BN830" s="103"/>
      <c r="BO830" s="103"/>
      <c r="BP830" s="103"/>
      <c r="BQ830" s="103"/>
    </row>
    <row r="831" spans="45:74" x14ac:dyDescent="0.25">
      <c r="AS831" s="103"/>
      <c r="AU831" s="154"/>
      <c r="AV831" s="103"/>
      <c r="AW831" s="103"/>
      <c r="AX831" s="103"/>
      <c r="AY831" s="103"/>
      <c r="AZ831" s="336"/>
      <c r="BA831" s="103"/>
      <c r="BB831" s="336"/>
      <c r="BC831" s="103"/>
      <c r="BD831" s="103"/>
      <c r="BE831" s="103"/>
      <c r="BG831" s="103"/>
      <c r="BH831" s="103"/>
      <c r="BI831" s="103"/>
      <c r="BJ831" s="103"/>
      <c r="BK831" s="103"/>
      <c r="BM831" s="103"/>
      <c r="BN831" s="103"/>
      <c r="BO831" s="103"/>
      <c r="BP831" s="103"/>
      <c r="BQ831" s="103"/>
    </row>
    <row r="832" spans="45:74" x14ac:dyDescent="0.25">
      <c r="AS832" s="102"/>
      <c r="AT832" s="102"/>
      <c r="AU832" s="102"/>
      <c r="AV832" s="102"/>
      <c r="AW832" s="102"/>
      <c r="AX832" s="102"/>
      <c r="AY832" s="102"/>
      <c r="AZ832" s="335"/>
      <c r="BA832" s="102"/>
      <c r="BB832" s="335"/>
      <c r="BC832" s="102"/>
      <c r="BD832" s="102"/>
      <c r="BE832" s="102"/>
      <c r="BG832" s="102"/>
      <c r="BH832" s="102"/>
      <c r="BI832" s="102"/>
      <c r="BJ832" s="102"/>
      <c r="BK832" s="102"/>
      <c r="BM832" s="102"/>
      <c r="BN832" s="102"/>
      <c r="BO832" s="102"/>
      <c r="BP832" s="102"/>
      <c r="BQ832" s="102"/>
    </row>
    <row r="833" spans="45:71" x14ac:dyDescent="0.25">
      <c r="AV833" s="103"/>
      <c r="AW833" s="103"/>
      <c r="AX833" s="103"/>
      <c r="AY833" s="103"/>
      <c r="AZ833" s="336"/>
      <c r="BA833" s="103"/>
      <c r="BB833" s="336"/>
      <c r="BC833" s="103"/>
      <c r="BD833" s="103"/>
      <c r="BE833" s="103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</row>
    <row r="834" spans="45:71" x14ac:dyDescent="0.25">
      <c r="AS834" s="202"/>
      <c r="AT834" s="154"/>
      <c r="AV834" s="200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</row>
    <row r="835" spans="45:71" x14ac:dyDescent="0.25">
      <c r="AS835" s="202"/>
      <c r="AV835" s="200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</row>
    <row r="836" spans="45:71" x14ac:dyDescent="0.25">
      <c r="AS836" s="202"/>
      <c r="AV836" s="200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</row>
    <row r="837" spans="45:71" x14ac:dyDescent="0.25">
      <c r="AS837" s="202"/>
      <c r="AV837" s="200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</row>
    <row r="838" spans="45:71" x14ac:dyDescent="0.25">
      <c r="AS838" s="202"/>
      <c r="AV838" s="200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</row>
    <row r="839" spans="45:71" x14ac:dyDescent="0.25">
      <c r="AS839" s="202"/>
      <c r="AV839" s="200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</row>
    <row r="840" spans="45:71" x14ac:dyDescent="0.25">
      <c r="AS840" s="202"/>
      <c r="AV840" s="200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</row>
    <row r="841" spans="45:71" x14ac:dyDescent="0.25">
      <c r="AS841" s="202"/>
      <c r="AV841" s="200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</row>
    <row r="842" spans="45:71" x14ac:dyDescent="0.25">
      <c r="AS842" s="202"/>
      <c r="AV842" s="200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</row>
    <row r="843" spans="45:71" x14ac:dyDescent="0.25">
      <c r="AS843" s="202"/>
      <c r="AV843" s="200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</row>
    <row r="844" spans="45:71" x14ac:dyDescent="0.25">
      <c r="AS844" s="202"/>
      <c r="AV844" s="200"/>
      <c r="AW844" s="200"/>
      <c r="AX844" s="334"/>
      <c r="AY844" s="334"/>
      <c r="AZ844" s="334"/>
      <c r="BA844" s="201"/>
      <c r="BB844" s="334"/>
      <c r="BC844" s="334"/>
      <c r="BD844" s="334"/>
      <c r="BE844" s="201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</row>
    <row r="845" spans="45:71" x14ac:dyDescent="0.25">
      <c r="AS845" s="202"/>
      <c r="AV845" s="200"/>
      <c r="AW845" s="200"/>
      <c r="AX845" s="334"/>
      <c r="AY845" s="33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</row>
    <row r="846" spans="45:71" x14ac:dyDescent="0.25">
      <c r="AS846" s="202"/>
      <c r="AV846" s="200"/>
      <c r="AW846" s="200"/>
      <c r="AX846" s="334"/>
      <c r="AY846" s="334"/>
      <c r="AZ846" s="334"/>
      <c r="BA846" s="201"/>
      <c r="BB846" s="334"/>
      <c r="BC846" s="334"/>
      <c r="BD846" s="334"/>
      <c r="BE846" s="201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</row>
    <row r="847" spans="45:71" x14ac:dyDescent="0.25">
      <c r="AS847" s="202"/>
      <c r="AV847" s="200"/>
      <c r="AW847" s="200"/>
      <c r="AX847" s="334"/>
      <c r="AY847" s="334"/>
      <c r="AZ847" s="334"/>
      <c r="BA847" s="201"/>
      <c r="BB847" s="334"/>
      <c r="BC847" s="334"/>
      <c r="BD847" s="334"/>
      <c r="BE847" s="201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</row>
    <row r="848" spans="45:71" x14ac:dyDescent="0.25">
      <c r="AS848" s="202"/>
      <c r="AV848" s="200"/>
      <c r="AW848" s="200"/>
      <c r="AX848" s="334"/>
      <c r="AY848" s="334"/>
      <c r="AZ848" s="334"/>
      <c r="BA848" s="201"/>
      <c r="BB848" s="334"/>
      <c r="BC848" s="334"/>
      <c r="BD848" s="334"/>
      <c r="BE848" s="201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</row>
    <row r="849" spans="45:71" x14ac:dyDescent="0.25">
      <c r="AS849" s="202"/>
      <c r="AV849" s="200"/>
      <c r="AW849" s="200"/>
      <c r="AX849" s="334"/>
      <c r="AY849" s="334"/>
      <c r="AZ849" s="334"/>
      <c r="BA849" s="201"/>
      <c r="BB849" s="334"/>
      <c r="BC849" s="334"/>
      <c r="BD849" s="334"/>
      <c r="BE849" s="201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  <c r="BR849" s="334"/>
      <c r="BS849" s="334"/>
    </row>
    <row r="850" spans="45:71" x14ac:dyDescent="0.25">
      <c r="AS850" s="202"/>
      <c r="AV850" s="200"/>
      <c r="AW850" s="200"/>
      <c r="AX850" s="334"/>
      <c r="AY850" s="334"/>
      <c r="AZ850" s="334"/>
      <c r="BA850" s="201"/>
      <c r="BB850" s="334"/>
      <c r="BC850" s="334"/>
      <c r="BD850" s="334"/>
      <c r="BE850" s="201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</row>
    <row r="851" spans="45:71" x14ac:dyDescent="0.25">
      <c r="AS851" s="202"/>
      <c r="AV851" s="200"/>
      <c r="AW851" s="200"/>
      <c r="AX851" s="334"/>
      <c r="AY851" s="334"/>
      <c r="AZ851" s="334"/>
      <c r="BA851" s="201"/>
      <c r="BB851" s="334"/>
      <c r="BC851" s="334"/>
      <c r="BD851" s="334"/>
      <c r="BE851" s="201"/>
      <c r="BG851" s="334"/>
      <c r="BH851" s="334"/>
      <c r="BI851" s="334"/>
      <c r="BJ851" s="334"/>
      <c r="BK851" s="334"/>
      <c r="BL851" s="334"/>
      <c r="BM851" s="334"/>
      <c r="BN851" s="334"/>
      <c r="BO851" s="334"/>
      <c r="BP851" s="334"/>
      <c r="BQ851" s="334"/>
      <c r="BR851" s="334"/>
      <c r="BS851" s="334"/>
    </row>
    <row r="852" spans="45:71" x14ac:dyDescent="0.25">
      <c r="AZ852" s="334"/>
      <c r="BB852" s="334"/>
      <c r="BC852" s="334"/>
      <c r="BD852" s="334"/>
      <c r="BG852" s="334"/>
      <c r="BH852" s="334"/>
      <c r="BI852" s="334"/>
      <c r="BJ852" s="334"/>
      <c r="BK852" s="334"/>
      <c r="BL852" s="334"/>
      <c r="BM852" s="334"/>
      <c r="BN852" s="334"/>
      <c r="BO852" s="334"/>
      <c r="BP852" s="334"/>
      <c r="BQ852" s="334"/>
      <c r="BR852" s="334"/>
      <c r="BS852" s="334"/>
    </row>
    <row r="853" spans="45:71" x14ac:dyDescent="0.25">
      <c r="AS853" s="202"/>
      <c r="AT853" s="154"/>
      <c r="AV853" s="200"/>
      <c r="AW853" s="200"/>
      <c r="AX853" s="334"/>
      <c r="AY853" s="334"/>
      <c r="AZ853" s="334"/>
      <c r="BA853" s="201"/>
      <c r="BB853" s="334"/>
      <c r="BC853" s="334"/>
      <c r="BD853" s="334"/>
      <c r="BE853" s="201"/>
    </row>
    <row r="854" spans="45:71" x14ac:dyDescent="0.25">
      <c r="AS854" s="202"/>
      <c r="AV854" s="200"/>
      <c r="AW854" s="200"/>
      <c r="AX854" s="334"/>
      <c r="AY854" s="334"/>
      <c r="AZ854" s="334"/>
      <c r="BA854" s="201"/>
      <c r="BB854" s="334"/>
      <c r="BC854" s="334"/>
      <c r="BD854" s="334"/>
      <c r="BE854" s="201"/>
    </row>
    <row r="855" spans="45:71" x14ac:dyDescent="0.25">
      <c r="AS855" s="202"/>
      <c r="AV855" s="200"/>
      <c r="AW855" s="200"/>
      <c r="AX855" s="334"/>
      <c r="AY855" s="334"/>
      <c r="AZ855" s="334"/>
      <c r="BA855" s="201"/>
      <c r="BB855" s="334"/>
      <c r="BC855" s="334"/>
      <c r="BD855" s="334"/>
      <c r="BE855" s="201"/>
    </row>
    <row r="856" spans="45:71" x14ac:dyDescent="0.25">
      <c r="AS856" s="202"/>
      <c r="AV856" s="200"/>
      <c r="AW856" s="200"/>
      <c r="AX856" s="334"/>
      <c r="AY856" s="334"/>
      <c r="AZ856" s="334"/>
      <c r="BA856" s="201"/>
      <c r="BB856" s="334"/>
      <c r="BC856" s="334"/>
      <c r="BD856" s="334"/>
      <c r="BE856" s="201"/>
    </row>
    <row r="857" spans="45:71" x14ac:dyDescent="0.25">
      <c r="AS857" s="202"/>
      <c r="AV857" s="200"/>
      <c r="AW857" s="200"/>
      <c r="AX857" s="334"/>
      <c r="AY857" s="334"/>
      <c r="AZ857" s="334"/>
      <c r="BA857" s="201"/>
      <c r="BB857" s="334"/>
      <c r="BC857" s="334"/>
      <c r="BD857" s="334"/>
      <c r="BE857" s="201"/>
    </row>
    <row r="858" spans="45:71" x14ac:dyDescent="0.25">
      <c r="AS858" s="202"/>
      <c r="AV858" s="200"/>
      <c r="AW858" s="200"/>
      <c r="AX858" s="334"/>
      <c r="AY858" s="334"/>
      <c r="AZ858" s="334"/>
      <c r="BA858" s="201"/>
      <c r="BB858" s="334"/>
      <c r="BC858" s="334"/>
      <c r="BD858" s="334"/>
      <c r="BE858" s="201"/>
    </row>
    <row r="859" spans="45:71" x14ac:dyDescent="0.25">
      <c r="AS859" s="202"/>
      <c r="AV859" s="200"/>
      <c r="AW859" s="200"/>
      <c r="AX859" s="334"/>
      <c r="AY859" s="334"/>
      <c r="AZ859" s="334"/>
      <c r="BA859" s="201"/>
      <c r="BB859" s="334"/>
      <c r="BC859" s="334"/>
      <c r="BD859" s="334"/>
      <c r="BE859" s="201"/>
    </row>
    <row r="860" spans="45:71" x14ac:dyDescent="0.25">
      <c r="AS860" s="202"/>
      <c r="AV860" s="200"/>
      <c r="AW860" s="200"/>
      <c r="AX860" s="334"/>
      <c r="AY860" s="334"/>
      <c r="AZ860" s="334"/>
      <c r="BA860" s="201"/>
      <c r="BB860" s="334"/>
      <c r="BC860" s="334"/>
      <c r="BD860" s="334"/>
      <c r="BE860" s="201"/>
    </row>
    <row r="861" spans="45:71" x14ac:dyDescent="0.25">
      <c r="AS861" s="202"/>
      <c r="AV861" s="200"/>
      <c r="AW861" s="200"/>
      <c r="AX861" s="334"/>
      <c r="AY861" s="334"/>
      <c r="AZ861" s="334"/>
      <c r="BA861" s="201"/>
      <c r="BB861" s="334"/>
      <c r="BC861" s="334"/>
      <c r="BD861" s="334"/>
      <c r="BE861" s="201"/>
    </row>
    <row r="862" spans="45:71" x14ac:dyDescent="0.25">
      <c r="AS862" s="202"/>
      <c r="AV862" s="200"/>
      <c r="AW862" s="200"/>
      <c r="AX862" s="334"/>
      <c r="AY862" s="334"/>
      <c r="AZ862" s="334"/>
      <c r="BA862" s="201"/>
      <c r="BB862" s="334"/>
      <c r="BC862" s="334"/>
      <c r="BD862" s="334"/>
      <c r="BE862" s="201"/>
    </row>
    <row r="863" spans="45:71" x14ac:dyDescent="0.25">
      <c r="AS863" s="202"/>
      <c r="AV863" s="200"/>
      <c r="AW863" s="200"/>
      <c r="AX863" s="334"/>
      <c r="AY863" s="334"/>
      <c r="AZ863" s="334"/>
      <c r="BA863" s="201"/>
      <c r="BB863" s="334"/>
      <c r="BC863" s="334"/>
      <c r="BD863" s="334"/>
      <c r="BE863" s="201"/>
    </row>
    <row r="864" spans="45:71" x14ac:dyDescent="0.25">
      <c r="AS864" s="202"/>
      <c r="AV864" s="200"/>
      <c r="AW864" s="200"/>
      <c r="AX864" s="334"/>
      <c r="AY864" s="334"/>
      <c r="AZ864" s="334"/>
      <c r="BA864" s="201"/>
      <c r="BB864" s="334"/>
      <c r="BC864" s="334"/>
      <c r="BD864" s="334"/>
      <c r="BE864" s="201"/>
    </row>
    <row r="865" spans="45:57" x14ac:dyDescent="0.25">
      <c r="AS865" s="202"/>
      <c r="AV865" s="200"/>
      <c r="AW865" s="200"/>
      <c r="AX865" s="334"/>
      <c r="AY865" s="334"/>
      <c r="AZ865" s="334"/>
      <c r="BA865" s="201"/>
      <c r="BB865" s="334"/>
      <c r="BC865" s="334"/>
      <c r="BD865" s="334"/>
      <c r="BE865" s="201"/>
    </row>
    <row r="866" spans="45:57" x14ac:dyDescent="0.25">
      <c r="AS866" s="202"/>
      <c r="AV866" s="200"/>
      <c r="AW866" s="200"/>
      <c r="AX866" s="334"/>
      <c r="AY866" s="334"/>
      <c r="AZ866" s="334"/>
      <c r="BA866" s="201"/>
      <c r="BB866" s="334"/>
      <c r="BC866" s="334"/>
      <c r="BD866" s="334"/>
      <c r="BE866" s="201"/>
    </row>
    <row r="867" spans="45:57" x14ac:dyDescent="0.25">
      <c r="AS867" s="202"/>
      <c r="AV867" s="200"/>
      <c r="AW867" s="200"/>
      <c r="AX867" s="334"/>
      <c r="AY867" s="334"/>
      <c r="AZ867" s="334"/>
      <c r="BA867" s="201"/>
      <c r="BB867" s="334"/>
      <c r="BC867" s="334"/>
      <c r="BD867" s="334"/>
      <c r="BE867" s="201"/>
    </row>
    <row r="868" spans="45:57" x14ac:dyDescent="0.25">
      <c r="AS868" s="202"/>
      <c r="AV868" s="200"/>
      <c r="AW868" s="200"/>
      <c r="AX868" s="334"/>
      <c r="AY868" s="334"/>
      <c r="AZ868" s="334"/>
      <c r="BA868" s="201"/>
      <c r="BB868" s="334"/>
      <c r="BC868" s="334"/>
      <c r="BD868" s="334"/>
      <c r="BE868" s="201"/>
    </row>
    <row r="869" spans="45:57" x14ac:dyDescent="0.25">
      <c r="AS869" s="202"/>
      <c r="AV869" s="200"/>
      <c r="AW869" s="200"/>
      <c r="AX869" s="334"/>
      <c r="AY869" s="334"/>
      <c r="AZ869" s="334"/>
      <c r="BA869" s="201"/>
      <c r="BB869" s="334"/>
      <c r="BC869" s="334"/>
      <c r="BD869" s="334"/>
      <c r="BE869" s="201"/>
    </row>
    <row r="870" spans="45:57" x14ac:dyDescent="0.25">
      <c r="AS870" s="202"/>
      <c r="AV870" s="200"/>
      <c r="AW870" s="200"/>
      <c r="AX870" s="334"/>
      <c r="AY870" s="334"/>
      <c r="AZ870" s="334"/>
      <c r="BA870" s="201"/>
      <c r="BB870" s="334"/>
      <c r="BC870" s="334"/>
      <c r="BD870" s="334"/>
      <c r="BE870" s="201"/>
    </row>
    <row r="871" spans="45:57" x14ac:dyDescent="0.25">
      <c r="BB871" s="334"/>
    </row>
    <row r="872" spans="45:57" x14ac:dyDescent="0.25">
      <c r="AU872" s="154"/>
      <c r="BB872" s="334"/>
    </row>
    <row r="873" spans="45:57" x14ac:dyDescent="0.25">
      <c r="AU873" s="154"/>
    </row>
    <row r="874" spans="45:57" x14ac:dyDescent="0.25">
      <c r="AU874" s="154"/>
      <c r="BB874" s="334"/>
    </row>
    <row r="875" spans="45:57" x14ac:dyDescent="0.25">
      <c r="AS875" s="154"/>
      <c r="AZ875" s="334"/>
      <c r="BB875" s="334"/>
    </row>
    <row r="876" spans="45:57" x14ac:dyDescent="0.25">
      <c r="AY876" s="202"/>
      <c r="AZ876" s="334"/>
      <c r="BB876" s="334"/>
    </row>
    <row r="877" spans="45:57" x14ac:dyDescent="0.25">
      <c r="AY877" s="334"/>
      <c r="AZ877" s="334"/>
      <c r="BB877" s="334"/>
    </row>
    <row r="878" spans="45:57" x14ac:dyDescent="0.25">
      <c r="AY878" s="154"/>
      <c r="AZ878" s="334"/>
      <c r="BB878" s="334"/>
    </row>
    <row r="879" spans="45:57" x14ac:dyDescent="0.25">
      <c r="AY879" s="154"/>
      <c r="AZ879" s="334"/>
      <c r="BB879" s="334"/>
    </row>
    <row r="880" spans="45:57" x14ac:dyDescent="0.25">
      <c r="AS880" s="202"/>
      <c r="AZ880" s="334"/>
      <c r="BB880" s="334"/>
      <c r="BD880" s="154"/>
    </row>
    <row r="881" spans="45:57" x14ac:dyDescent="0.25">
      <c r="AS881" s="202"/>
      <c r="AZ881" s="334"/>
      <c r="BB881" s="334"/>
      <c r="BD881" s="154"/>
    </row>
    <row r="882" spans="45:57" x14ac:dyDescent="0.25">
      <c r="AS882" s="154"/>
      <c r="AZ882" s="334"/>
      <c r="BB882" s="334"/>
      <c r="BD882" s="154"/>
    </row>
    <row r="883" spans="45:57" x14ac:dyDescent="0.25">
      <c r="AZ883" s="334"/>
      <c r="BB883" s="334"/>
      <c r="BD883" s="202"/>
    </row>
    <row r="884" spans="45:57" x14ac:dyDescent="0.25">
      <c r="AS884" s="102"/>
      <c r="AT884" s="102"/>
      <c r="AU884" s="102"/>
      <c r="AV884" s="102"/>
      <c r="AW884" s="102"/>
      <c r="AX884" s="102"/>
      <c r="AY884" s="102"/>
      <c r="AZ884" s="335"/>
      <c r="BA884" s="102"/>
      <c r="BB884" s="335"/>
      <c r="BC884" s="102"/>
      <c r="BD884" s="102"/>
      <c r="BE884" s="102"/>
    </row>
    <row r="885" spans="45:57" x14ac:dyDescent="0.25">
      <c r="AX885" s="154"/>
      <c r="AZ885" s="334"/>
      <c r="BB885" s="334"/>
    </row>
    <row r="886" spans="45:57" x14ac:dyDescent="0.25">
      <c r="AX886" s="102"/>
      <c r="AY886" s="102"/>
      <c r="AZ886" s="335"/>
      <c r="BA886" s="102"/>
      <c r="BB886" s="334"/>
      <c r="BC886" s="103"/>
      <c r="BD886" s="103"/>
    </row>
    <row r="887" spans="45:57" x14ac:dyDescent="0.25">
      <c r="AV887" s="103"/>
      <c r="AW887" s="103"/>
      <c r="AZ887" s="336"/>
      <c r="BA887" s="103"/>
      <c r="BB887" s="334"/>
      <c r="BC887" s="103"/>
      <c r="BD887" s="103"/>
      <c r="BE887" s="103"/>
    </row>
    <row r="888" spans="45:57" x14ac:dyDescent="0.25">
      <c r="AV888" s="103"/>
      <c r="AW888" s="103"/>
      <c r="AX888" s="103"/>
      <c r="AY888" s="103"/>
      <c r="AZ888" s="336"/>
      <c r="BA888" s="103"/>
      <c r="BB888" s="336"/>
      <c r="BC888" s="103"/>
      <c r="BD888" s="103"/>
      <c r="BE888" s="103"/>
    </row>
    <row r="889" spans="45:57" x14ac:dyDescent="0.25">
      <c r="AS889" s="103"/>
      <c r="AU889" s="154"/>
      <c r="AV889" s="103"/>
      <c r="AW889" s="103"/>
      <c r="AX889" s="103"/>
      <c r="AY889" s="103"/>
      <c r="AZ889" s="336"/>
      <c r="BA889" s="103"/>
      <c r="BB889" s="336"/>
      <c r="BC889" s="103"/>
      <c r="BD889" s="103"/>
      <c r="BE889" s="103"/>
    </row>
    <row r="890" spans="45:57" x14ac:dyDescent="0.25">
      <c r="AS890" s="103"/>
      <c r="AU890" s="154"/>
      <c r="AV890" s="103"/>
      <c r="AW890" s="103"/>
      <c r="AX890" s="103"/>
      <c r="AY890" s="103"/>
      <c r="AZ890" s="336"/>
      <c r="BA890" s="103"/>
      <c r="BB890" s="336"/>
      <c r="BC890" s="103"/>
      <c r="BD890" s="103"/>
      <c r="BE890" s="103"/>
    </row>
    <row r="891" spans="45:57" x14ac:dyDescent="0.25">
      <c r="AS891" s="102"/>
      <c r="AT891" s="102"/>
      <c r="AU891" s="102"/>
      <c r="AV891" s="102"/>
      <c r="AW891" s="102"/>
      <c r="AX891" s="102"/>
      <c r="AY891" s="102"/>
      <c r="AZ891" s="335"/>
      <c r="BA891" s="102"/>
      <c r="BB891" s="335"/>
      <c r="BC891" s="102"/>
      <c r="BD891" s="102"/>
      <c r="BE891" s="102"/>
    </row>
    <row r="892" spans="45:57" x14ac:dyDescent="0.25">
      <c r="AV892" s="103"/>
      <c r="AW892" s="103"/>
      <c r="AX892" s="103"/>
      <c r="AY892" s="103"/>
      <c r="AZ892" s="336"/>
      <c r="BA892" s="103"/>
      <c r="BB892" s="336"/>
      <c r="BC892" s="103"/>
      <c r="BD892" s="103"/>
      <c r="BE892" s="103"/>
    </row>
    <row r="893" spans="45:57" x14ac:dyDescent="0.25">
      <c r="AS893" s="202"/>
      <c r="AT893" s="154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4" spans="45:57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</row>
    <row r="895" spans="45:57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</row>
    <row r="896" spans="45:57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</row>
    <row r="897" spans="45:57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</row>
    <row r="898" spans="45:57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</row>
    <row r="899" spans="45:57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</row>
    <row r="900" spans="45:57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57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</row>
    <row r="902" spans="45:57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</row>
    <row r="903" spans="45:57" x14ac:dyDescent="0.25">
      <c r="AV903" s="200"/>
      <c r="AW903" s="200"/>
      <c r="BB903" s="334"/>
    </row>
    <row r="904" spans="45:57" x14ac:dyDescent="0.25">
      <c r="AS904" s="202"/>
      <c r="AT904" s="154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</row>
    <row r="905" spans="45:57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</row>
    <row r="906" spans="45:57" x14ac:dyDescent="0.25">
      <c r="AS906" s="202"/>
      <c r="AV906" s="200"/>
      <c r="AW906" s="200"/>
      <c r="AX906" s="334"/>
      <c r="AY906" s="334"/>
      <c r="AZ906" s="334"/>
      <c r="BA906" s="201"/>
      <c r="BB906" s="334"/>
      <c r="BC906" s="334"/>
      <c r="BD906" s="334"/>
      <c r="BE906" s="201"/>
    </row>
    <row r="907" spans="45:57" x14ac:dyDescent="0.25">
      <c r="AS907" s="202"/>
      <c r="AV907" s="200"/>
      <c r="AW907" s="200"/>
      <c r="AX907" s="334"/>
      <c r="AY907" s="334"/>
      <c r="AZ907" s="334"/>
      <c r="BA907" s="201"/>
      <c r="BB907" s="334"/>
      <c r="BC907" s="334"/>
      <c r="BD907" s="334"/>
      <c r="BE907" s="201"/>
    </row>
    <row r="908" spans="45:57" x14ac:dyDescent="0.25">
      <c r="AS908" s="202"/>
      <c r="AV908" s="200"/>
      <c r="AW908" s="200"/>
      <c r="AX908" s="334"/>
      <c r="AY908" s="334"/>
      <c r="AZ908" s="334"/>
      <c r="BA908" s="201"/>
      <c r="BB908" s="334"/>
      <c r="BC908" s="334"/>
      <c r="BD908" s="334"/>
      <c r="BE908" s="201"/>
    </row>
    <row r="909" spans="45:57" x14ac:dyDescent="0.25">
      <c r="AS909" s="202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</row>
    <row r="910" spans="45:57" x14ac:dyDescent="0.25">
      <c r="AS910" s="202"/>
      <c r="AV910" s="200"/>
      <c r="AW910" s="200"/>
      <c r="AX910" s="334"/>
      <c r="AY910" s="334"/>
      <c r="AZ910" s="334"/>
      <c r="BA910" s="201"/>
      <c r="BB910" s="334"/>
      <c r="BC910" s="334"/>
      <c r="BD910" s="334"/>
      <c r="BE910" s="201"/>
    </row>
    <row r="911" spans="45:57" x14ac:dyDescent="0.25">
      <c r="AS911" s="202"/>
      <c r="AV911" s="200"/>
      <c r="AW911" s="200"/>
      <c r="AX911" s="334"/>
      <c r="AY911" s="334"/>
      <c r="AZ911" s="334"/>
      <c r="BA911" s="201"/>
      <c r="BB911" s="334"/>
      <c r="BC911" s="334"/>
      <c r="BD911" s="334"/>
      <c r="BE911" s="201"/>
    </row>
    <row r="912" spans="45:57" x14ac:dyDescent="0.25">
      <c r="AS912" s="202"/>
      <c r="AV912" s="200"/>
      <c r="AW912" s="200"/>
      <c r="AX912" s="334"/>
      <c r="AY912" s="334"/>
      <c r="AZ912" s="334"/>
      <c r="BA912" s="201"/>
      <c r="BB912" s="334"/>
      <c r="BC912" s="334"/>
      <c r="BD912" s="334"/>
      <c r="BE912" s="201"/>
    </row>
    <row r="913" spans="45:57" x14ac:dyDescent="0.25">
      <c r="AS913" s="202"/>
      <c r="AV913" s="200"/>
      <c r="AW913" s="200"/>
      <c r="AX913" s="334"/>
      <c r="AY913" s="334"/>
      <c r="AZ913" s="334"/>
      <c r="BA913" s="201"/>
      <c r="BB913" s="334"/>
      <c r="BC913" s="334"/>
      <c r="BD913" s="334"/>
      <c r="BE913" s="201"/>
    </row>
    <row r="915" spans="45:57" x14ac:dyDescent="0.25">
      <c r="AU915" s="154"/>
    </row>
    <row r="916" spans="45:57" x14ac:dyDescent="0.25">
      <c r="AU916" s="154"/>
    </row>
    <row r="917" spans="45:57" x14ac:dyDescent="0.25">
      <c r="AU917" s="154"/>
    </row>
    <row r="918" spans="45:57" x14ac:dyDescent="0.25">
      <c r="AS918" s="154"/>
    </row>
    <row r="939" spans="52:71" x14ac:dyDescent="0.25">
      <c r="AZ939" s="334"/>
      <c r="BB939" s="334"/>
      <c r="BC939" s="334"/>
      <c r="BD939" s="334"/>
      <c r="BG939" s="334"/>
      <c r="BH939" s="334"/>
      <c r="BI939" s="334"/>
      <c r="BJ939" s="334"/>
      <c r="BK939" s="334"/>
      <c r="BL939" s="334"/>
      <c r="BM939" s="334"/>
      <c r="BN939" s="334"/>
      <c r="BO939" s="334"/>
      <c r="BP939" s="334"/>
      <c r="BQ939" s="334"/>
      <c r="BR939" s="334"/>
      <c r="BS939" s="334"/>
    </row>
    <row r="940" spans="52:71" x14ac:dyDescent="0.25">
      <c r="AZ940" s="334"/>
      <c r="BB940" s="334"/>
      <c r="BC940" s="334"/>
      <c r="BD940" s="334"/>
      <c r="BG940" s="334"/>
      <c r="BH940" s="334"/>
      <c r="BI940" s="334"/>
      <c r="BJ940" s="334"/>
      <c r="BK940" s="334"/>
      <c r="BL940" s="334"/>
      <c r="BM940" s="334"/>
      <c r="BN940" s="334"/>
      <c r="BO940" s="334"/>
      <c r="BP940" s="334"/>
      <c r="BQ940" s="334"/>
      <c r="BR940" s="334"/>
      <c r="BS940" s="334"/>
    </row>
    <row r="941" spans="52:71" x14ac:dyDescent="0.25">
      <c r="AZ941" s="334"/>
      <c r="BB941" s="334"/>
      <c r="BC941" s="334"/>
      <c r="BD941" s="334"/>
      <c r="BG941" s="334"/>
      <c r="BH941" s="334"/>
      <c r="BI941" s="334"/>
      <c r="BJ941" s="334"/>
      <c r="BK941" s="334"/>
      <c r="BL941" s="334"/>
      <c r="BM941" s="334"/>
      <c r="BN941" s="334"/>
      <c r="BO941" s="334"/>
      <c r="BP941" s="334"/>
      <c r="BQ941" s="334"/>
      <c r="BR941" s="334"/>
      <c r="BS941" s="334"/>
    </row>
    <row r="942" spans="52:71" x14ac:dyDescent="0.25">
      <c r="AZ942" s="334"/>
      <c r="BB942" s="334"/>
      <c r="BC942" s="334"/>
      <c r="BD942" s="334"/>
      <c r="BG942" s="334"/>
      <c r="BH942" s="334"/>
      <c r="BI942" s="334"/>
      <c r="BJ942" s="334"/>
      <c r="BK942" s="334"/>
      <c r="BL942" s="334"/>
      <c r="BM942" s="334"/>
      <c r="BN942" s="334"/>
      <c r="BO942" s="334"/>
      <c r="BP942" s="334"/>
      <c r="BQ942" s="334"/>
      <c r="BR942" s="334"/>
      <c r="BS942" s="334"/>
    </row>
    <row r="943" spans="52:71" x14ac:dyDescent="0.25">
      <c r="AZ943" s="334"/>
      <c r="BB943" s="334"/>
      <c r="BC943" s="334"/>
      <c r="BD943" s="334"/>
      <c r="BG943" s="334"/>
      <c r="BH943" s="334"/>
      <c r="BI943" s="334"/>
      <c r="BJ943" s="334"/>
      <c r="BK943" s="334"/>
      <c r="BL943" s="334"/>
      <c r="BM943" s="334"/>
      <c r="BN943" s="334"/>
      <c r="BO943" s="334"/>
      <c r="BP943" s="334"/>
      <c r="BQ943" s="334"/>
      <c r="BR943" s="334"/>
      <c r="BS943" s="334"/>
    </row>
    <row r="944" spans="52:71" x14ac:dyDescent="0.25">
      <c r="AZ944" s="334"/>
      <c r="BB944" s="334"/>
      <c r="BC944" s="334"/>
      <c r="BD944" s="334"/>
      <c r="BG944" s="334"/>
      <c r="BH944" s="334"/>
      <c r="BI944" s="334"/>
      <c r="BJ944" s="334"/>
      <c r="BK944" s="334"/>
      <c r="BL944" s="334"/>
      <c r="BM944" s="334"/>
      <c r="BN944" s="334"/>
      <c r="BO944" s="334"/>
      <c r="BP944" s="334"/>
      <c r="BQ944" s="334"/>
      <c r="BR944" s="334"/>
      <c r="BS944" s="334"/>
    </row>
    <row r="945" spans="52:71" x14ac:dyDescent="0.25">
      <c r="AZ945" s="334"/>
      <c r="BB945" s="334"/>
      <c r="BC945" s="334"/>
      <c r="BD945" s="334"/>
      <c r="BG945" s="334"/>
      <c r="BH945" s="334"/>
      <c r="BI945" s="334"/>
      <c r="BJ945" s="334"/>
      <c r="BK945" s="334"/>
      <c r="BL945" s="334"/>
      <c r="BM945" s="334"/>
      <c r="BN945" s="334"/>
      <c r="BO945" s="334"/>
      <c r="BP945" s="334"/>
      <c r="BQ945" s="334"/>
      <c r="BR945" s="334"/>
      <c r="BS945" s="334"/>
    </row>
    <row r="946" spans="52:71" x14ac:dyDescent="0.25">
      <c r="AZ946" s="334"/>
      <c r="BB946" s="334"/>
      <c r="BC946" s="334"/>
      <c r="BD946" s="334"/>
      <c r="BG946" s="334"/>
      <c r="BH946" s="334"/>
      <c r="BI946" s="334"/>
      <c r="BJ946" s="334"/>
      <c r="BK946" s="334"/>
      <c r="BL946" s="334"/>
      <c r="BM946" s="334"/>
      <c r="BN946" s="334"/>
      <c r="BO946" s="334"/>
      <c r="BP946" s="334"/>
      <c r="BQ946" s="334"/>
      <c r="BR946" s="334"/>
      <c r="BS946" s="334"/>
    </row>
    <row r="947" spans="52:71" x14ac:dyDescent="0.25">
      <c r="AZ947" s="334"/>
      <c r="BB947" s="334"/>
      <c r="BC947" s="334"/>
      <c r="BD947" s="334"/>
      <c r="BG947" s="334"/>
      <c r="BH947" s="334"/>
      <c r="BI947" s="334"/>
      <c r="BJ947" s="334"/>
      <c r="BK947" s="334"/>
      <c r="BL947" s="334"/>
      <c r="BM947" s="334"/>
      <c r="BN947" s="334"/>
      <c r="BO947" s="334"/>
      <c r="BP947" s="334"/>
      <c r="BQ947" s="334"/>
      <c r="BR947" s="334"/>
      <c r="BS947" s="334"/>
    </row>
    <row r="948" spans="52:71" x14ac:dyDescent="0.25">
      <c r="AZ948" s="334"/>
      <c r="BB948" s="334"/>
      <c r="BC948" s="334"/>
      <c r="BD948" s="334"/>
      <c r="BG948" s="334"/>
      <c r="BH948" s="334"/>
      <c r="BI948" s="334"/>
      <c r="BJ948" s="334"/>
      <c r="BK948" s="334"/>
      <c r="BL948" s="334"/>
      <c r="BM948" s="334"/>
      <c r="BN948" s="334"/>
      <c r="BO948" s="334"/>
      <c r="BP948" s="334"/>
      <c r="BQ948" s="334"/>
      <c r="BR948" s="334"/>
      <c r="BS948" s="334"/>
    </row>
    <row r="949" spans="52:71" x14ac:dyDescent="0.25">
      <c r="AZ949" s="334"/>
      <c r="BB949" s="334"/>
      <c r="BC949" s="334"/>
      <c r="BD949" s="334"/>
      <c r="BG949" s="334"/>
      <c r="BH949" s="334"/>
      <c r="BI949" s="334"/>
      <c r="BJ949" s="334"/>
      <c r="BK949" s="334"/>
      <c r="BL949" s="334"/>
      <c r="BM949" s="334"/>
      <c r="BN949" s="334"/>
      <c r="BO949" s="334"/>
      <c r="BP949" s="334"/>
      <c r="BQ949" s="334"/>
      <c r="BR949" s="334"/>
      <c r="BS949" s="334"/>
    </row>
    <row r="950" spans="52:71" x14ac:dyDescent="0.25">
      <c r="AZ950" s="334"/>
      <c r="BB950" s="334"/>
      <c r="BC950" s="334"/>
      <c r="BD950" s="334"/>
      <c r="BG950" s="334"/>
      <c r="BH950" s="334"/>
      <c r="BI950" s="334"/>
      <c r="BJ950" s="334"/>
      <c r="BK950" s="334"/>
      <c r="BL950" s="334"/>
      <c r="BM950" s="334"/>
      <c r="BN950" s="334"/>
      <c r="BO950" s="334"/>
      <c r="BP950" s="334"/>
      <c r="BQ950" s="334"/>
      <c r="BR950" s="334"/>
      <c r="BS950" s="334"/>
    </row>
    <row r="951" spans="52:71" x14ac:dyDescent="0.25">
      <c r="AZ951" s="334"/>
      <c r="BG951" s="334"/>
      <c r="BH951" s="334"/>
      <c r="BI951" s="334"/>
      <c r="BJ951" s="334"/>
      <c r="BK951" s="334"/>
      <c r="BL951" s="334"/>
      <c r="BM951" s="334"/>
      <c r="BN951" s="334"/>
      <c r="BO951" s="334"/>
      <c r="BP951" s="334"/>
      <c r="BQ951" s="334"/>
      <c r="BR951" s="334"/>
      <c r="BS951" s="334"/>
    </row>
    <row r="952" spans="52:71" x14ac:dyDescent="0.25">
      <c r="AZ952" s="334"/>
      <c r="BG952" s="334"/>
      <c r="BH952" s="334"/>
      <c r="BI952" s="334"/>
      <c r="BJ952" s="334"/>
      <c r="BK952" s="334"/>
      <c r="BL952" s="334"/>
      <c r="BM952" s="334"/>
      <c r="BN952" s="334"/>
      <c r="BO952" s="334"/>
      <c r="BP952" s="334"/>
      <c r="BQ952" s="334"/>
      <c r="BR952" s="334"/>
      <c r="BS952" s="334"/>
    </row>
    <row r="953" spans="52:71" x14ac:dyDescent="0.25">
      <c r="AZ953" s="334"/>
      <c r="BG953" s="334"/>
      <c r="BH953" s="334"/>
      <c r="BI953" s="334"/>
      <c r="BJ953" s="334"/>
      <c r="BK953" s="334"/>
      <c r="BL953" s="334"/>
      <c r="BM953" s="334"/>
      <c r="BN953" s="334"/>
      <c r="BO953" s="334"/>
      <c r="BP953" s="334"/>
      <c r="BQ953" s="334"/>
      <c r="BR953" s="334"/>
      <c r="BS953" s="334"/>
    </row>
    <row r="954" spans="52:71" x14ac:dyDescent="0.25">
      <c r="AZ954" s="334"/>
      <c r="BG954" s="334"/>
      <c r="BH954" s="334"/>
      <c r="BI954" s="334"/>
      <c r="BJ954" s="334"/>
      <c r="BK954" s="334"/>
      <c r="BL954" s="334"/>
      <c r="BM954" s="334"/>
      <c r="BN954" s="334"/>
      <c r="BO954" s="334"/>
      <c r="BP954" s="334"/>
      <c r="BQ954" s="334"/>
      <c r="BR954" s="334"/>
      <c r="BS954" s="334"/>
    </row>
    <row r="955" spans="52:71" x14ac:dyDescent="0.25">
      <c r="AZ955" s="334"/>
      <c r="BG955" s="334"/>
      <c r="BH955" s="334"/>
      <c r="BI955" s="334"/>
      <c r="BJ955" s="334"/>
      <c r="BK955" s="334"/>
      <c r="BL955" s="334"/>
      <c r="BM955" s="334"/>
      <c r="BN955" s="334"/>
      <c r="BO955" s="334"/>
      <c r="BP955" s="334"/>
      <c r="BQ955" s="334"/>
      <c r="BR955" s="334"/>
      <c r="BS955" s="334"/>
    </row>
    <row r="956" spans="52:71" x14ac:dyDescent="0.25">
      <c r="AZ956" s="334"/>
      <c r="BG956" s="334"/>
      <c r="BH956" s="334"/>
      <c r="BI956" s="334"/>
      <c r="BJ956" s="334"/>
      <c r="BK956" s="334"/>
      <c r="BL956" s="334"/>
      <c r="BM956" s="334"/>
      <c r="BN956" s="334"/>
      <c r="BO956" s="334"/>
      <c r="BP956" s="334"/>
      <c r="BQ956" s="334"/>
      <c r="BR956" s="334"/>
      <c r="BS956" s="334"/>
    </row>
    <row r="957" spans="52:71" x14ac:dyDescent="0.25">
      <c r="AZ957" s="334"/>
      <c r="BG957" s="334"/>
      <c r="BH957" s="334"/>
      <c r="BI957" s="334"/>
      <c r="BJ957" s="334"/>
      <c r="BK957" s="334"/>
      <c r="BL957" s="334"/>
      <c r="BM957" s="334"/>
      <c r="BN957" s="334"/>
      <c r="BO957" s="334"/>
      <c r="BP957" s="334"/>
      <c r="BQ957" s="334"/>
      <c r="BR957" s="334"/>
      <c r="BS957" s="334"/>
    </row>
    <row r="958" spans="52:71" x14ac:dyDescent="0.25">
      <c r="AZ958" s="334"/>
    </row>
    <row r="959" spans="52:71" x14ac:dyDescent="0.25">
      <c r="AZ959" s="334"/>
    </row>
    <row r="973" spans="1:25" x14ac:dyDescent="0.25">
      <c r="A973" s="154"/>
    </row>
    <row r="976" spans="1:25" x14ac:dyDescent="0.25">
      <c r="Y976" s="154"/>
    </row>
    <row r="977" spans="1:28" x14ac:dyDescent="0.25">
      <c r="A977" s="154"/>
      <c r="H977" s="154"/>
      <c r="I977" s="154"/>
    </row>
    <row r="978" spans="1:28" x14ac:dyDescent="0.25">
      <c r="A978" s="154"/>
      <c r="V978" s="103"/>
      <c r="AA978" s="103"/>
      <c r="AB978" s="103"/>
    </row>
    <row r="979" spans="1:28" x14ac:dyDescent="0.25">
      <c r="A979" s="154"/>
      <c r="V979" s="102"/>
      <c r="AA979" s="102"/>
      <c r="AB979" s="102"/>
    </row>
    <row r="980" spans="1:28" x14ac:dyDescent="0.25">
      <c r="A980" s="154"/>
      <c r="U980" s="154"/>
      <c r="AA980" s="103"/>
      <c r="AB980" s="103"/>
    </row>
    <row r="981" spans="1:28" x14ac:dyDescent="0.25">
      <c r="A981" s="154"/>
    </row>
    <row r="982" spans="1:28" x14ac:dyDescent="0.25">
      <c r="A982" s="154"/>
      <c r="U982" s="154"/>
      <c r="AA982" s="103"/>
      <c r="AB982" s="103"/>
    </row>
    <row r="983" spans="1:28" x14ac:dyDescent="0.25">
      <c r="A983" s="154"/>
    </row>
    <row r="984" spans="1:28" x14ac:dyDescent="0.25">
      <c r="A984" s="154"/>
      <c r="U984" s="154"/>
      <c r="V984" s="338"/>
      <c r="AA984" s="103"/>
      <c r="AB984" s="103"/>
    </row>
    <row r="985" spans="1:28" x14ac:dyDescent="0.25">
      <c r="A985" s="154"/>
    </row>
    <row r="986" spans="1:28" x14ac:dyDescent="0.25">
      <c r="A986" s="154"/>
      <c r="U986" s="154"/>
      <c r="AA986" s="103"/>
      <c r="AB986" s="103"/>
    </row>
    <row r="987" spans="1:28" x14ac:dyDescent="0.25">
      <c r="A987" s="154"/>
    </row>
    <row r="988" spans="1:28" x14ac:dyDescent="0.25">
      <c r="A988" s="154"/>
      <c r="U988" s="154"/>
      <c r="AA988" s="103"/>
      <c r="AB988" s="103"/>
    </row>
    <row r="989" spans="1:28" x14ac:dyDescent="0.25">
      <c r="A989" s="154"/>
    </row>
    <row r="990" spans="1:28" x14ac:dyDescent="0.25">
      <c r="A990" s="154"/>
    </row>
    <row r="991" spans="1:28" x14ac:dyDescent="0.25">
      <c r="A991" s="154"/>
    </row>
    <row r="992" spans="1:28" x14ac:dyDescent="0.25">
      <c r="A992" s="154"/>
    </row>
    <row r="993" spans="1:9" x14ac:dyDescent="0.25">
      <c r="A993" s="154"/>
    </row>
    <row r="994" spans="1:9" x14ac:dyDescent="0.25">
      <c r="A994" s="154"/>
    </row>
    <row r="995" spans="1:9" x14ac:dyDescent="0.25">
      <c r="A995" s="154"/>
    </row>
    <row r="996" spans="1:9" x14ac:dyDescent="0.25">
      <c r="A996" s="154"/>
    </row>
    <row r="997" spans="1:9" x14ac:dyDescent="0.25">
      <c r="A997" s="154"/>
    </row>
    <row r="998" spans="1:9" x14ac:dyDescent="0.25">
      <c r="A998" s="154"/>
    </row>
    <row r="999" spans="1:9" x14ac:dyDescent="0.25">
      <c r="A999" s="154"/>
      <c r="H999" s="154"/>
      <c r="I999" s="154"/>
    </row>
    <row r="1002" spans="1:9" x14ac:dyDescent="0.25">
      <c r="A1002" s="154"/>
    </row>
    <row r="1005" spans="1:9" x14ac:dyDescent="0.25">
      <c r="A1005" s="154"/>
    </row>
    <row r="1008" spans="1:9" x14ac:dyDescent="0.25">
      <c r="A1008" s="154"/>
    </row>
    <row r="1009" spans="1:1" x14ac:dyDescent="0.25">
      <c r="A1009" s="154"/>
    </row>
    <row r="1010" spans="1:1" x14ac:dyDescent="0.25">
      <c r="A1010" s="154"/>
    </row>
    <row r="1011" spans="1:1" x14ac:dyDescent="0.25">
      <c r="A1011" s="154"/>
    </row>
    <row r="1012" spans="1:1" x14ac:dyDescent="0.25">
      <c r="A1012" s="154"/>
    </row>
    <row r="1013" spans="1:1" x14ac:dyDescent="0.25">
      <c r="A1013" s="154"/>
    </row>
    <row r="1014" spans="1:1" x14ac:dyDescent="0.25">
      <c r="A1014" s="154"/>
    </row>
    <row r="1015" spans="1:1" x14ac:dyDescent="0.25">
      <c r="A1015" s="154"/>
    </row>
    <row r="1016" spans="1:1" x14ac:dyDescent="0.25">
      <c r="A1016" s="154"/>
    </row>
    <row r="1017" spans="1:1" x14ac:dyDescent="0.25">
      <c r="A1017" s="154"/>
    </row>
    <row r="1018" spans="1:1" x14ac:dyDescent="0.25">
      <c r="A1018" s="154"/>
    </row>
    <row r="1019" spans="1:1" x14ac:dyDescent="0.25">
      <c r="A1019" s="154"/>
    </row>
    <row r="1020" spans="1:1" x14ac:dyDescent="0.25">
      <c r="A1020" s="154"/>
    </row>
    <row r="1021" spans="1:1" x14ac:dyDescent="0.25">
      <c r="A1021" s="154"/>
    </row>
    <row r="1022" spans="1:1" x14ac:dyDescent="0.25">
      <c r="A1022" s="154"/>
    </row>
    <row r="1023" spans="1:1" x14ac:dyDescent="0.25">
      <c r="A1023" s="154"/>
    </row>
    <row r="1024" spans="1:1" x14ac:dyDescent="0.25">
      <c r="A1024" s="154"/>
    </row>
    <row r="1025" spans="1:1" x14ac:dyDescent="0.25">
      <c r="A1025" s="154"/>
    </row>
    <row r="1026" spans="1:1" x14ac:dyDescent="0.25">
      <c r="A1026" s="154"/>
    </row>
    <row r="1027" spans="1:1" x14ac:dyDescent="0.25">
      <c r="A1027" s="154"/>
    </row>
    <row r="1028" spans="1:1" x14ac:dyDescent="0.25">
      <c r="A1028" s="154"/>
    </row>
    <row r="1029" spans="1:1" x14ac:dyDescent="0.25">
      <c r="A1029" s="154"/>
    </row>
    <row r="1030" spans="1:1" x14ac:dyDescent="0.25">
      <c r="A1030" s="154"/>
    </row>
    <row r="1031" spans="1:1" x14ac:dyDescent="0.25">
      <c r="A1031" s="154"/>
    </row>
    <row r="1032" spans="1:1" x14ac:dyDescent="0.25">
      <c r="A1032" s="154"/>
    </row>
    <row r="1033" spans="1:1" x14ac:dyDescent="0.25">
      <c r="A1033" s="154"/>
    </row>
    <row r="1034" spans="1:1" x14ac:dyDescent="0.25">
      <c r="A1034" s="154"/>
    </row>
    <row r="1035" spans="1:1" x14ac:dyDescent="0.25">
      <c r="A1035" s="154"/>
    </row>
    <row r="1036" spans="1:1" x14ac:dyDescent="0.25">
      <c r="A1036" s="154"/>
    </row>
    <row r="1037" spans="1:1" x14ac:dyDescent="0.25">
      <c r="A1037" s="154"/>
    </row>
    <row r="1038" spans="1:1" x14ac:dyDescent="0.25">
      <c r="A1038" s="154"/>
    </row>
    <row r="1039" spans="1:1" x14ac:dyDescent="0.25">
      <c r="A1039" s="154"/>
    </row>
    <row r="1040" spans="1:1" x14ac:dyDescent="0.25">
      <c r="A1040" s="154"/>
    </row>
    <row r="1041" spans="1:1" x14ac:dyDescent="0.25">
      <c r="A1041" s="154"/>
    </row>
    <row r="1042" spans="1:1" x14ac:dyDescent="0.25">
      <c r="A1042" s="154"/>
    </row>
    <row r="1047" spans="1:1" x14ac:dyDescent="0.25">
      <c r="A1047" s="154"/>
    </row>
    <row r="1048" spans="1:1" x14ac:dyDescent="0.25">
      <c r="A1048" s="154"/>
    </row>
    <row r="1051" spans="1:1" x14ac:dyDescent="0.25">
      <c r="A1051" s="154"/>
    </row>
    <row r="1053" spans="1:1" x14ac:dyDescent="0.25">
      <c r="A1053" s="154"/>
    </row>
    <row r="1055" spans="1:1" x14ac:dyDescent="0.25">
      <c r="A1055" s="154"/>
    </row>
    <row r="1057" spans="1:1" x14ac:dyDescent="0.25">
      <c r="A1057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16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3" transitionEvaluation="1" transitionEntry="1" codeName="Sheet18"/>
  <dimension ref="A1:BX1063"/>
  <sheetViews>
    <sheetView tabSelected="1" view="pageLayout" topLeftCell="A13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6.77734375" style="101" customWidth="1"/>
    <col min="4" max="4" width="44.44140625" style="101" customWidth="1"/>
    <col min="5" max="5" width="0.554687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0.777343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20.5546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7.6640625" style="101" customWidth="1"/>
    <col min="23" max="23" width="38.6640625" style="101" customWidth="1"/>
    <col min="24" max="24" width="0.55468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1.3320312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50"/>
      <c r="K1" s="187"/>
      <c r="L1" s="187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50"/>
      <c r="K2" s="187"/>
      <c r="L2" s="187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50"/>
      <c r="K4" s="187"/>
      <c r="L4" s="187"/>
      <c r="M4" s="150"/>
      <c r="N4" s="150"/>
      <c r="O4" s="150"/>
      <c r="P4" s="150"/>
      <c r="Q4" s="150"/>
      <c r="R4" s="150"/>
      <c r="V4" s="211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87"/>
      <c r="N5" s="187"/>
      <c r="O5" s="150"/>
      <c r="P5" s="150"/>
      <c r="Q5" s="150"/>
      <c r="R5" s="150"/>
      <c r="V5" s="211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V6" s="329"/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770</v>
      </c>
      <c r="V7" s="329"/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V8" s="329"/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N9" s="82"/>
      <c r="O9" s="80"/>
      <c r="P9" s="80"/>
      <c r="Q9" s="80"/>
      <c r="R9" s="159" t="str">
        <f>WIT</f>
        <v>B. L. SAILERS</v>
      </c>
      <c r="V9" s="329"/>
      <c r="W9" s="100"/>
      <c r="AK9" s="297"/>
      <c r="AL9" s="154"/>
    </row>
    <row r="10" spans="1:40" x14ac:dyDescent="0.25">
      <c r="A10" s="187" t="s">
        <v>151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87"/>
      <c r="N10" s="187"/>
      <c r="O10" s="150"/>
      <c r="P10" s="150"/>
      <c r="Q10" s="150"/>
      <c r="R10" s="150"/>
      <c r="V10" s="329"/>
      <c r="W10" s="273"/>
      <c r="AA10" s="154"/>
      <c r="AB10" s="154"/>
      <c r="AK10" s="209"/>
      <c r="AL10" s="202"/>
    </row>
    <row r="11" spans="1:40" x14ac:dyDescent="0.25">
      <c r="A11" s="151"/>
      <c r="B11" s="151"/>
      <c r="C11" s="151"/>
      <c r="D11" s="151"/>
      <c r="E11" s="151"/>
      <c r="F11" s="151"/>
      <c r="G11" s="80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T11" s="102"/>
      <c r="U11" s="102"/>
      <c r="V11" s="329"/>
      <c r="W11" s="100"/>
      <c r="X11" s="102"/>
      <c r="Y11" s="102"/>
      <c r="Z11" s="102"/>
      <c r="AA11" s="102"/>
      <c r="AB11" s="102"/>
      <c r="AC11" s="102"/>
      <c r="AD11" s="102"/>
      <c r="AE11" s="102"/>
      <c r="AF11" s="102"/>
      <c r="AG11" s="208"/>
      <c r="AH11" s="102"/>
      <c r="AI11" s="102"/>
      <c r="AJ11" s="102"/>
      <c r="AK11" s="208"/>
      <c r="AL11" s="102"/>
      <c r="AM11" s="102"/>
      <c r="AN11" s="102"/>
    </row>
    <row r="12" spans="1:40" ht="18" customHeight="1" x14ac:dyDescent="0.25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93" t="s">
        <v>6</v>
      </c>
      <c r="M12" s="193"/>
      <c r="N12" s="193" t="s">
        <v>7</v>
      </c>
      <c r="O12" s="193"/>
      <c r="P12" s="152"/>
      <c r="Q12" s="152"/>
      <c r="R12" s="193" t="s">
        <v>6</v>
      </c>
      <c r="V12" s="329"/>
      <c r="W12" s="273"/>
      <c r="AA12" s="103"/>
      <c r="AB12" s="103"/>
      <c r="AC12" s="103"/>
      <c r="AD12" s="103"/>
      <c r="AE12" s="103"/>
      <c r="AF12" s="103"/>
      <c r="AG12" s="185"/>
      <c r="AH12" s="103"/>
      <c r="AK12" s="185"/>
      <c r="AL12" s="103"/>
      <c r="AM12" s="103"/>
      <c r="AN12" s="103"/>
    </row>
    <row r="13" spans="1:40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12</v>
      </c>
      <c r="M13" s="83"/>
      <c r="N13" s="83" t="s">
        <v>13</v>
      </c>
      <c r="O13" s="83"/>
      <c r="P13" s="80"/>
      <c r="Q13" s="80"/>
      <c r="R13" s="83" t="s">
        <v>11</v>
      </c>
      <c r="Z13" s="103"/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3" t="s">
        <v>17</v>
      </c>
      <c r="B14" s="80"/>
      <c r="C14" s="83" t="s">
        <v>18</v>
      </c>
      <c r="D14" s="83" t="s">
        <v>19</v>
      </c>
      <c r="E14" s="83"/>
      <c r="F14" s="83" t="s">
        <v>20</v>
      </c>
      <c r="G14" s="80"/>
      <c r="H14" s="80"/>
      <c r="I14" s="80"/>
      <c r="J14" s="83" t="s">
        <v>6</v>
      </c>
      <c r="K14" s="83"/>
      <c r="L14" s="83" t="s">
        <v>21</v>
      </c>
      <c r="M14" s="83"/>
      <c r="N14" s="83" t="s">
        <v>21</v>
      </c>
      <c r="O14" s="83"/>
      <c r="P14" s="83" t="s">
        <v>21</v>
      </c>
      <c r="Q14" s="83"/>
      <c r="R14" s="83" t="s">
        <v>9</v>
      </c>
      <c r="T14" s="103"/>
      <c r="U14" s="103"/>
      <c r="V14" s="103"/>
      <c r="Z14" s="103"/>
      <c r="AA14" s="103"/>
      <c r="AB14" s="103"/>
      <c r="AC14" s="103"/>
      <c r="AD14" s="103"/>
      <c r="AE14" s="103"/>
      <c r="AF14" s="103"/>
      <c r="AG14" s="185"/>
      <c r="AH14" s="103"/>
      <c r="AI14" s="103"/>
      <c r="AJ14" s="103"/>
      <c r="AK14" s="185"/>
      <c r="AL14" s="103"/>
      <c r="AM14" s="103"/>
      <c r="AN14" s="103"/>
    </row>
    <row r="15" spans="1:40" x14ac:dyDescent="0.25">
      <c r="A15" s="83" t="s">
        <v>24</v>
      </c>
      <c r="B15" s="80"/>
      <c r="C15" s="83" t="s">
        <v>25</v>
      </c>
      <c r="D15" s="83" t="s">
        <v>26</v>
      </c>
      <c r="E15" s="83"/>
      <c r="F15" s="83" t="s">
        <v>27</v>
      </c>
      <c r="G15" s="80"/>
      <c r="H15" s="83" t="s">
        <v>28</v>
      </c>
      <c r="I15" s="83"/>
      <c r="J15" s="196" t="s">
        <v>431</v>
      </c>
      <c r="K15" s="83"/>
      <c r="L15" s="83" t="s">
        <v>9</v>
      </c>
      <c r="M15" s="83"/>
      <c r="N15" s="83" t="s">
        <v>9</v>
      </c>
      <c r="O15" s="83"/>
      <c r="P15" s="83" t="s">
        <v>430</v>
      </c>
      <c r="Q15" s="83"/>
      <c r="R15" s="256" t="s">
        <v>30</v>
      </c>
      <c r="T15" s="103"/>
      <c r="U15" s="103"/>
      <c r="V15" s="103"/>
      <c r="Y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0"/>
      <c r="B16" s="80"/>
      <c r="C16" s="256" t="s">
        <v>35</v>
      </c>
      <c r="D16" s="256" t="s">
        <v>36</v>
      </c>
      <c r="E16" s="256"/>
      <c r="F16" s="256" t="s">
        <v>37</v>
      </c>
      <c r="G16" s="258"/>
      <c r="H16" s="256" t="s">
        <v>38</v>
      </c>
      <c r="I16" s="256"/>
      <c r="J16" s="256" t="s">
        <v>39</v>
      </c>
      <c r="K16" s="256"/>
      <c r="L16" s="256" t="s">
        <v>40</v>
      </c>
      <c r="M16" s="256"/>
      <c r="N16" s="256" t="s">
        <v>41</v>
      </c>
      <c r="O16" s="256"/>
      <c r="P16" s="256" t="s">
        <v>42</v>
      </c>
      <c r="Q16" s="256"/>
      <c r="R16" s="256" t="s">
        <v>43</v>
      </c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208"/>
      <c r="AH16" s="102"/>
      <c r="AI16" s="102"/>
      <c r="AJ16" s="102"/>
      <c r="AK16" s="208"/>
      <c r="AL16" s="102"/>
      <c r="AM16" s="102"/>
      <c r="AN16" s="102"/>
    </row>
    <row r="17" spans="1:76" ht="17.100000000000001" customHeight="1" x14ac:dyDescent="0.25">
      <c r="A17" s="152"/>
      <c r="B17" s="152"/>
      <c r="C17" s="152"/>
      <c r="D17" s="152"/>
      <c r="E17" s="152"/>
      <c r="F17" s="152"/>
      <c r="G17" s="152"/>
      <c r="H17" s="376" t="s">
        <v>51</v>
      </c>
      <c r="I17" s="376"/>
      <c r="J17" s="375" t="s">
        <v>71</v>
      </c>
      <c r="K17" s="376"/>
      <c r="L17" s="376" t="s">
        <v>52</v>
      </c>
      <c r="M17" s="376"/>
      <c r="N17" s="376" t="s">
        <v>53</v>
      </c>
      <c r="O17" s="376"/>
      <c r="P17" s="376" t="s">
        <v>52</v>
      </c>
      <c r="Q17" s="376"/>
      <c r="R17" s="376" t="s">
        <v>52</v>
      </c>
      <c r="Y17" s="104" t="s">
        <v>521</v>
      </c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76" x14ac:dyDescent="0.25">
      <c r="A18" s="159">
        <v>1</v>
      </c>
      <c r="B18" s="80"/>
      <c r="C18" s="253" t="s">
        <v>101</v>
      </c>
      <c r="D18" s="265"/>
      <c r="E18" s="82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154"/>
      <c r="U18" s="154"/>
      <c r="Y18" s="104" t="s">
        <v>522</v>
      </c>
    </row>
    <row r="19" spans="1:76" x14ac:dyDescent="0.25">
      <c r="A19" s="80"/>
      <c r="B19" s="80"/>
      <c r="C19" s="80"/>
      <c r="D19" s="80"/>
      <c r="E19" s="8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154"/>
      <c r="Y19" s="104" t="s">
        <v>523</v>
      </c>
    </row>
    <row r="20" spans="1:76" x14ac:dyDescent="0.25">
      <c r="A20" s="159">
        <v>2</v>
      </c>
      <c r="B20" s="80"/>
      <c r="C20" s="417" t="s">
        <v>102</v>
      </c>
      <c r="D20" s="265" t="s">
        <v>277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85"/>
      <c r="Q20" s="70"/>
      <c r="R20" s="70"/>
    </row>
    <row r="21" spans="1:76" x14ac:dyDescent="0.25">
      <c r="A21" s="159">
        <v>3</v>
      </c>
      <c r="B21" s="80"/>
      <c r="C21" s="82" t="s">
        <v>275</v>
      </c>
      <c r="D21" s="81"/>
      <c r="E21" s="82"/>
      <c r="F21" s="225">
        <v>73</v>
      </c>
      <c r="G21" s="70"/>
      <c r="H21" s="225">
        <f>ROUND(F21*478/12,0)</f>
        <v>2908</v>
      </c>
      <c r="I21" s="78"/>
      <c r="J21" s="349">
        <f>ROUND(AC86+(AC86*LT_COS_RATE),2)</f>
        <v>8.7200000000000006</v>
      </c>
      <c r="K21" s="352"/>
      <c r="L21" s="79">
        <f>ROUND((F21*J21),0)</f>
        <v>637</v>
      </c>
      <c r="M21" s="79"/>
      <c r="N21" s="156">
        <f>ROUND((L21/L$58)*100,1)</f>
        <v>39.299999999999997</v>
      </c>
      <c r="O21" s="156"/>
      <c r="P21" s="163">
        <f>ROUND($P$58/$H$58*H21,0)+1</f>
        <v>4</v>
      </c>
      <c r="Q21" s="79"/>
      <c r="R21" s="79">
        <f>L21+P21</f>
        <v>641</v>
      </c>
      <c r="Y21" s="394">
        <f>J21-AY86</f>
        <v>8.7200000000000006</v>
      </c>
    </row>
    <row r="22" spans="1:76" x14ac:dyDescent="0.25">
      <c r="A22" s="159">
        <v>4</v>
      </c>
      <c r="B22" s="80"/>
      <c r="C22" s="81" t="s">
        <v>276</v>
      </c>
      <c r="D22" s="81"/>
      <c r="E22" s="82"/>
      <c r="F22" s="225">
        <v>11</v>
      </c>
      <c r="G22" s="70"/>
      <c r="H22" s="225">
        <f>ROUND(F22*478/12,0)</f>
        <v>438</v>
      </c>
      <c r="I22" s="78"/>
      <c r="J22" s="349">
        <f>ROUND(AC87+(AC87*LT_COS_RATE),2)</f>
        <v>11.93</v>
      </c>
      <c r="K22" s="352"/>
      <c r="L22" s="79">
        <f>ROUND((F22*J22),0)</f>
        <v>131</v>
      </c>
      <c r="M22" s="79"/>
      <c r="N22" s="341">
        <f>ROUND((L22/L$58)*100,1)</f>
        <v>8.1</v>
      </c>
      <c r="O22" s="156"/>
      <c r="P22" s="167">
        <f>ROUND($P$58/$H$58*H22,0)</f>
        <v>0</v>
      </c>
      <c r="Q22" s="79"/>
      <c r="R22" s="79">
        <f>L22+P22</f>
        <v>131</v>
      </c>
      <c r="Y22" s="394">
        <f>J22-AY87</f>
        <v>11.93</v>
      </c>
    </row>
    <row r="23" spans="1:76" ht="20.100000000000001" customHeight="1" x14ac:dyDescent="0.25">
      <c r="A23" s="159">
        <v>5</v>
      </c>
      <c r="B23" s="80"/>
      <c r="C23" s="253" t="s">
        <v>103</v>
      </c>
      <c r="D23" s="80"/>
      <c r="E23" s="80"/>
      <c r="F23" s="169">
        <f>SUM(F21:F22)</f>
        <v>84</v>
      </c>
      <c r="G23" s="70"/>
      <c r="H23" s="169">
        <f>SUM(H21:H22)</f>
        <v>3346</v>
      </c>
      <c r="I23" s="79"/>
      <c r="J23" s="399"/>
      <c r="K23" s="162"/>
      <c r="L23" s="169">
        <f>SUM(L21:L22)</f>
        <v>768</v>
      </c>
      <c r="M23" s="79"/>
      <c r="N23" s="303">
        <f>ROUND((L23/L$58)*100,1)+0.1</f>
        <v>47.4</v>
      </c>
      <c r="O23" s="156"/>
      <c r="P23" s="169">
        <f>ROUND($P$58/$H$58*H23,0)</f>
        <v>4</v>
      </c>
      <c r="Q23" s="78"/>
      <c r="R23" s="169">
        <f>SUM(R21:R22)</f>
        <v>772</v>
      </c>
      <c r="T23" s="202"/>
      <c r="AO23" s="154"/>
      <c r="AP23" s="154"/>
    </row>
    <row r="24" spans="1:76" x14ac:dyDescent="0.25">
      <c r="A24" s="159"/>
      <c r="B24" s="80"/>
      <c r="C24" s="82"/>
      <c r="D24" s="81"/>
      <c r="E24" s="82"/>
      <c r="F24" s="70"/>
      <c r="G24" s="70"/>
      <c r="H24" s="70"/>
      <c r="I24" s="70"/>
      <c r="J24" s="80"/>
      <c r="K24" s="70"/>
      <c r="L24" s="70"/>
      <c r="M24" s="70"/>
      <c r="N24" s="70"/>
      <c r="O24" s="70"/>
      <c r="P24" s="70"/>
      <c r="Q24" s="70"/>
      <c r="R24" s="70"/>
    </row>
    <row r="25" spans="1:76" x14ac:dyDescent="0.25">
      <c r="A25" s="159">
        <v>6</v>
      </c>
      <c r="B25" s="80"/>
      <c r="C25" s="417" t="s">
        <v>104</v>
      </c>
      <c r="D25" s="265" t="s">
        <v>278</v>
      </c>
      <c r="E25" s="82"/>
      <c r="F25" s="70"/>
      <c r="G25" s="70"/>
      <c r="H25" s="70"/>
      <c r="I25" s="70"/>
      <c r="J25" s="80"/>
      <c r="K25" s="70"/>
      <c r="L25" s="70"/>
      <c r="M25" s="70"/>
      <c r="N25" s="70"/>
      <c r="O25" s="70"/>
      <c r="P25" s="70"/>
      <c r="Q25" s="70"/>
      <c r="R25" s="70"/>
    </row>
    <row r="26" spans="1:76" x14ac:dyDescent="0.25">
      <c r="A26" s="159">
        <v>7</v>
      </c>
      <c r="B26" s="80"/>
      <c r="C26" s="417"/>
      <c r="D26" s="265" t="s">
        <v>279</v>
      </c>
      <c r="E26" s="82"/>
      <c r="F26" s="70"/>
      <c r="G26" s="70"/>
      <c r="H26" s="70"/>
      <c r="I26" s="70"/>
      <c r="J26" s="80"/>
      <c r="K26" s="70"/>
      <c r="L26" s="70"/>
      <c r="M26" s="70"/>
      <c r="N26" s="70"/>
      <c r="O26" s="70"/>
      <c r="P26" s="70"/>
      <c r="Q26" s="70"/>
      <c r="R26" s="70"/>
    </row>
    <row r="27" spans="1:76" x14ac:dyDescent="0.25">
      <c r="A27" s="159">
        <v>8</v>
      </c>
      <c r="B27" s="80"/>
      <c r="C27" s="253" t="s">
        <v>76</v>
      </c>
      <c r="D27" s="265"/>
      <c r="E27" s="82"/>
      <c r="F27" s="70"/>
      <c r="G27" s="70"/>
      <c r="H27" s="70"/>
      <c r="I27" s="70"/>
      <c r="J27" s="80"/>
      <c r="K27" s="70"/>
      <c r="L27" s="70"/>
      <c r="M27" s="70"/>
      <c r="N27" s="70"/>
      <c r="O27" s="70"/>
      <c r="P27" s="70"/>
      <c r="Q27" s="70"/>
      <c r="R27" s="70"/>
    </row>
    <row r="28" spans="1:76" x14ac:dyDescent="0.25">
      <c r="A28" s="159">
        <v>9</v>
      </c>
      <c r="B28" s="80"/>
      <c r="C28" s="82" t="s">
        <v>105</v>
      </c>
      <c r="D28" s="80"/>
      <c r="E28" s="80"/>
      <c r="F28" s="70"/>
      <c r="G28" s="70"/>
      <c r="H28" s="70"/>
      <c r="I28" s="70"/>
      <c r="J28" s="399"/>
      <c r="K28" s="162"/>
      <c r="L28" s="70"/>
      <c r="M28" s="70"/>
      <c r="N28" s="70"/>
      <c r="O28" s="70"/>
      <c r="P28" s="85"/>
      <c r="Q28" s="70"/>
      <c r="R28" s="70"/>
      <c r="AC28" s="103"/>
      <c r="AD28" s="103"/>
      <c r="AE28" s="103"/>
      <c r="AF28" s="103"/>
      <c r="AG28" s="185"/>
      <c r="AH28" s="103"/>
      <c r="AI28" s="103"/>
      <c r="AJ28" s="103"/>
      <c r="AK28" s="185"/>
      <c r="AL28" s="103"/>
      <c r="AO28" s="103"/>
      <c r="AP28" s="103"/>
      <c r="AQ28" s="185"/>
    </row>
    <row r="29" spans="1:76" x14ac:dyDescent="0.25">
      <c r="A29" s="159">
        <v>10</v>
      </c>
      <c r="B29" s="80"/>
      <c r="C29" s="81" t="s">
        <v>280</v>
      </c>
      <c r="D29" s="80"/>
      <c r="E29" s="80"/>
      <c r="F29" s="225">
        <v>0</v>
      </c>
      <c r="G29" s="70"/>
      <c r="H29" s="225">
        <f>ROUND(F29*853/12,0)</f>
        <v>0</v>
      </c>
      <c r="I29" s="78"/>
      <c r="J29" s="349">
        <f>ROUND(AC94+(AC94*LT_COS_RATE),2)</f>
        <v>16.27</v>
      </c>
      <c r="K29" s="352"/>
      <c r="L29" s="79">
        <f>ROUND((F29*J29),0)</f>
        <v>0</v>
      </c>
      <c r="M29" s="79"/>
      <c r="N29" s="156">
        <f>ROUND((L29/L$58)*100,1)</f>
        <v>0</v>
      </c>
      <c r="O29" s="156"/>
      <c r="P29" s="163">
        <f>ROUND($P$58/$H$58*H29,0)</f>
        <v>0</v>
      </c>
      <c r="Q29" s="79"/>
      <c r="R29" s="79">
        <f>L29+P29</f>
        <v>0</v>
      </c>
      <c r="V29" s="103"/>
      <c r="W29" s="103"/>
      <c r="X29" s="103"/>
      <c r="Y29" s="394">
        <f>J29-AY94</f>
        <v>16.27</v>
      </c>
      <c r="AA29" s="103"/>
      <c r="AB29" s="103"/>
      <c r="AC29" s="103"/>
      <c r="AD29" s="103"/>
      <c r="AE29" s="103"/>
      <c r="AF29" s="103"/>
      <c r="AG29" s="185"/>
      <c r="AH29" s="103"/>
      <c r="AI29" s="103"/>
      <c r="AJ29" s="103"/>
      <c r="AK29" s="185"/>
      <c r="AL29" s="103"/>
      <c r="AM29" s="103"/>
      <c r="AN29" s="103"/>
      <c r="AO29" s="103"/>
      <c r="AP29" s="103"/>
      <c r="AQ29" s="185"/>
      <c r="AS29" s="200"/>
      <c r="AT29" s="200"/>
      <c r="AU29" s="210"/>
      <c r="BX29" s="317"/>
    </row>
    <row r="30" spans="1:76" x14ac:dyDescent="0.25">
      <c r="A30" s="159">
        <v>11</v>
      </c>
      <c r="B30" s="80"/>
      <c r="C30" s="82" t="s">
        <v>105</v>
      </c>
      <c r="D30" s="80"/>
      <c r="E30" s="80"/>
      <c r="F30" s="80"/>
      <c r="G30" s="70"/>
      <c r="H30" s="70"/>
      <c r="I30" s="70"/>
      <c r="J30" s="399"/>
      <c r="K30" s="162"/>
      <c r="L30" s="70"/>
      <c r="M30" s="70"/>
      <c r="N30" s="70"/>
      <c r="O30" s="70"/>
      <c r="P30" s="85"/>
      <c r="Q30" s="70"/>
      <c r="R30" s="70"/>
      <c r="V30" s="103"/>
      <c r="W30" s="103"/>
      <c r="X30" s="103"/>
      <c r="Y30" s="103"/>
      <c r="AA30" s="103"/>
      <c r="AB30" s="103"/>
      <c r="AC30" s="103"/>
      <c r="AD30" s="103"/>
      <c r="AE30" s="103"/>
      <c r="AF30" s="103"/>
      <c r="AG30" s="185"/>
      <c r="AH30" s="103"/>
      <c r="AI30" s="103"/>
      <c r="AJ30" s="103"/>
      <c r="AK30" s="185"/>
      <c r="AL30" s="103"/>
      <c r="AM30" s="103"/>
      <c r="AN30" s="103"/>
      <c r="AO30" s="103"/>
      <c r="AP30" s="103"/>
      <c r="AQ30" s="185"/>
      <c r="AS30" s="200"/>
      <c r="AT30" s="200"/>
      <c r="AU30" s="210"/>
    </row>
    <row r="31" spans="1:76" x14ac:dyDescent="0.25">
      <c r="A31" s="159">
        <v>12</v>
      </c>
      <c r="B31" s="80"/>
      <c r="C31" s="81" t="s">
        <v>106</v>
      </c>
      <c r="D31" s="80"/>
      <c r="E31" s="80"/>
      <c r="F31" s="225">
        <v>20</v>
      </c>
      <c r="G31" s="70"/>
      <c r="H31" s="225">
        <f>ROUND(F31*853/12,0)</f>
        <v>1422</v>
      </c>
      <c r="I31" s="78"/>
      <c r="J31" s="349">
        <f>ROUND(AC96+(AC96*LT_COS_RATE),2)</f>
        <v>16.27</v>
      </c>
      <c r="K31" s="352"/>
      <c r="L31" s="79">
        <f>ROUND((F31*J31),0)</f>
        <v>325</v>
      </c>
      <c r="M31" s="79"/>
      <c r="N31" s="156">
        <f>ROUND((L31/L$58)*100,1)</f>
        <v>20</v>
      </c>
      <c r="O31" s="156"/>
      <c r="P31" s="163">
        <f>ROUND($P$58/$H$58*H31,0)</f>
        <v>1</v>
      </c>
      <c r="Q31" s="79"/>
      <c r="R31" s="79">
        <f>L31+P31</f>
        <v>326</v>
      </c>
      <c r="Y31" s="394">
        <f>J31-AY96</f>
        <v>16.27</v>
      </c>
      <c r="AA31" s="103"/>
      <c r="AB31" s="103"/>
      <c r="AC31" s="103"/>
      <c r="AD31" s="103"/>
      <c r="AE31" s="103"/>
      <c r="AF31" s="103"/>
      <c r="AG31" s="185"/>
      <c r="AH31" s="103"/>
      <c r="AI31" s="103"/>
      <c r="AJ31" s="103"/>
      <c r="AK31" s="185"/>
      <c r="AL31" s="103"/>
      <c r="AM31" s="103"/>
      <c r="AN31" s="103"/>
      <c r="AO31" s="103"/>
      <c r="AP31" s="103"/>
      <c r="AQ31" s="185"/>
      <c r="AS31" s="200"/>
      <c r="AT31" s="200"/>
      <c r="AU31" s="327"/>
    </row>
    <row r="32" spans="1:76" x14ac:dyDescent="0.25">
      <c r="A32" s="159">
        <v>13</v>
      </c>
      <c r="B32" s="80"/>
      <c r="C32" s="82" t="s">
        <v>105</v>
      </c>
      <c r="D32" s="80"/>
      <c r="E32" s="80"/>
      <c r="F32" s="80"/>
      <c r="G32" s="70"/>
      <c r="H32" s="70"/>
      <c r="I32" s="70"/>
      <c r="J32" s="399"/>
      <c r="K32" s="162"/>
      <c r="L32" s="70"/>
      <c r="M32" s="70"/>
      <c r="N32" s="70"/>
      <c r="O32" s="70"/>
      <c r="P32" s="85"/>
      <c r="Q32" s="70"/>
      <c r="R32" s="70"/>
      <c r="V32" s="103"/>
      <c r="W32" s="103"/>
      <c r="X32" s="103"/>
      <c r="Y32" s="103"/>
      <c r="AA32" s="103"/>
      <c r="AB32" s="103"/>
      <c r="AC32" s="103"/>
      <c r="AD32" s="103"/>
      <c r="AE32" s="103"/>
      <c r="AF32" s="103"/>
      <c r="AG32" s="185"/>
      <c r="AH32" s="103"/>
      <c r="AI32" s="103"/>
      <c r="AJ32" s="103"/>
      <c r="AK32" s="185"/>
      <c r="AL32" s="103"/>
      <c r="AM32" s="103"/>
      <c r="AN32" s="103"/>
      <c r="AO32" s="103"/>
      <c r="AP32" s="103"/>
      <c r="AQ32" s="185"/>
      <c r="AS32" s="200"/>
      <c r="AT32" s="200"/>
      <c r="AU32" s="210"/>
    </row>
    <row r="33" spans="1:47" x14ac:dyDescent="0.25">
      <c r="A33" s="159">
        <v>14</v>
      </c>
      <c r="B33" s="80"/>
      <c r="C33" s="82" t="s">
        <v>107</v>
      </c>
      <c r="D33" s="80"/>
      <c r="E33" s="80"/>
      <c r="F33" s="225">
        <v>1</v>
      </c>
      <c r="G33" s="70"/>
      <c r="H33" s="225">
        <f>ROUND(F33*853/12,0)</f>
        <v>71</v>
      </c>
      <c r="I33" s="78"/>
      <c r="J33" s="349">
        <f>ROUND(AC98+(AC98*LT_COS_RATE),2)</f>
        <v>15.04</v>
      </c>
      <c r="K33" s="352"/>
      <c r="L33" s="79">
        <f>ROUND((F33*J33),0)</f>
        <v>15</v>
      </c>
      <c r="M33" s="79"/>
      <c r="N33" s="156">
        <f>ROUND((L33/L$58)*100,1)</f>
        <v>0.9</v>
      </c>
      <c r="O33" s="156"/>
      <c r="P33" s="163">
        <f>ROUND($P$58/$H$58*H33,0)</f>
        <v>0</v>
      </c>
      <c r="Q33" s="79"/>
      <c r="R33" s="79">
        <f>L33+P33</f>
        <v>15</v>
      </c>
      <c r="Y33" s="394">
        <f>J33-AY98</f>
        <v>15.04</v>
      </c>
      <c r="AA33" s="103"/>
      <c r="AB33" s="103"/>
      <c r="AC33" s="103"/>
      <c r="AD33" s="103"/>
      <c r="AE33" s="103"/>
      <c r="AF33" s="103"/>
      <c r="AG33" s="185"/>
      <c r="AH33" s="103"/>
      <c r="AI33" s="103"/>
      <c r="AJ33" s="103"/>
      <c r="AK33" s="185"/>
      <c r="AL33" s="103"/>
      <c r="AM33" s="103"/>
      <c r="AN33" s="103"/>
      <c r="AO33" s="103"/>
      <c r="AP33" s="103"/>
      <c r="AQ33" s="185"/>
      <c r="AS33" s="200"/>
      <c r="AT33" s="200"/>
      <c r="AU33" s="327"/>
    </row>
    <row r="34" spans="1:47" x14ac:dyDescent="0.25">
      <c r="A34" s="159"/>
      <c r="B34" s="80"/>
      <c r="C34" s="82"/>
      <c r="D34" s="80"/>
      <c r="E34" s="80"/>
      <c r="F34" s="225"/>
      <c r="G34" s="70"/>
      <c r="H34" s="78"/>
      <c r="I34" s="78"/>
      <c r="J34" s="349"/>
      <c r="K34" s="352"/>
      <c r="L34" s="79"/>
      <c r="M34" s="79"/>
      <c r="N34" s="156"/>
      <c r="O34" s="156"/>
      <c r="P34" s="163"/>
      <c r="Q34" s="79"/>
      <c r="R34" s="79"/>
      <c r="AA34" s="103"/>
      <c r="AB34" s="103"/>
      <c r="AC34" s="103"/>
      <c r="AD34" s="103"/>
      <c r="AE34" s="103"/>
      <c r="AF34" s="103"/>
      <c r="AG34" s="185"/>
      <c r="AH34" s="103"/>
      <c r="AI34" s="103"/>
      <c r="AJ34" s="103"/>
      <c r="AK34" s="185"/>
      <c r="AL34" s="103"/>
      <c r="AM34" s="103"/>
      <c r="AN34" s="103"/>
      <c r="AO34" s="103"/>
      <c r="AP34" s="103"/>
      <c r="AQ34" s="185"/>
      <c r="AS34" s="200"/>
      <c r="AT34" s="200"/>
      <c r="AU34" s="327"/>
    </row>
    <row r="35" spans="1:47" x14ac:dyDescent="0.25">
      <c r="A35" s="159">
        <v>15</v>
      </c>
      <c r="B35" s="80"/>
      <c r="C35" s="253" t="s">
        <v>75</v>
      </c>
      <c r="D35" s="80"/>
      <c r="E35" s="80"/>
      <c r="F35" s="225"/>
      <c r="G35" s="70"/>
      <c r="H35" s="78"/>
      <c r="I35" s="78"/>
      <c r="J35" s="349"/>
      <c r="K35" s="352"/>
      <c r="L35" s="79"/>
      <c r="M35" s="79"/>
      <c r="N35" s="156"/>
      <c r="O35" s="156"/>
      <c r="P35" s="163"/>
      <c r="Q35" s="79"/>
      <c r="R35" s="79"/>
      <c r="AA35" s="103"/>
      <c r="AB35" s="103"/>
      <c r="AC35" s="103"/>
      <c r="AD35" s="103"/>
      <c r="AE35" s="103"/>
      <c r="AF35" s="103"/>
      <c r="AG35" s="185"/>
      <c r="AH35" s="103"/>
      <c r="AI35" s="103"/>
      <c r="AJ35" s="103"/>
      <c r="AK35" s="185"/>
      <c r="AL35" s="103"/>
      <c r="AM35" s="103"/>
      <c r="AN35" s="103"/>
      <c r="AO35" s="103"/>
      <c r="AP35" s="103"/>
      <c r="AQ35" s="185"/>
      <c r="AS35" s="200"/>
      <c r="AT35" s="200"/>
      <c r="AU35" s="327"/>
    </row>
    <row r="36" spans="1:47" x14ac:dyDescent="0.25">
      <c r="A36" s="159">
        <v>16</v>
      </c>
      <c r="B36" s="80"/>
      <c r="C36" s="81" t="s">
        <v>281</v>
      </c>
      <c r="D36" s="80"/>
      <c r="E36" s="80"/>
      <c r="F36" s="225">
        <v>20</v>
      </c>
      <c r="G36" s="70"/>
      <c r="H36" s="225">
        <f>ROUND(F36*487/12,0)</f>
        <v>812</v>
      </c>
      <c r="I36" s="78"/>
      <c r="J36" s="349">
        <f>ROUND(AC101+(AC101*LT_COS_RATE),2)</f>
        <v>12.55</v>
      </c>
      <c r="K36" s="352"/>
      <c r="L36" s="79">
        <f>ROUND((F36*J36),0)</f>
        <v>251</v>
      </c>
      <c r="M36" s="79"/>
      <c r="N36" s="156">
        <f>ROUND((L36/L$58)*100,1)</f>
        <v>15.5</v>
      </c>
      <c r="O36" s="156"/>
      <c r="P36" s="167">
        <f>ROUND($P$58/$H$58*H36,0)</f>
        <v>1</v>
      </c>
      <c r="Q36" s="79"/>
      <c r="R36" s="79">
        <f>L36+P36</f>
        <v>252</v>
      </c>
      <c r="Y36" s="394">
        <f>J36-AY101</f>
        <v>12.55</v>
      </c>
      <c r="AA36" s="103"/>
      <c r="AB36" s="103"/>
      <c r="AC36" s="103"/>
      <c r="AD36" s="103"/>
      <c r="AE36" s="103"/>
      <c r="AF36" s="103"/>
      <c r="AG36" s="185"/>
      <c r="AH36" s="103"/>
      <c r="AI36" s="103"/>
      <c r="AJ36" s="103"/>
      <c r="AK36" s="185"/>
      <c r="AL36" s="103"/>
      <c r="AM36" s="103"/>
      <c r="AN36" s="103"/>
      <c r="AO36" s="103"/>
      <c r="AP36" s="103"/>
      <c r="AQ36" s="185"/>
      <c r="AS36" s="200"/>
      <c r="AT36" s="200"/>
      <c r="AU36" s="327"/>
    </row>
    <row r="37" spans="1:47" ht="20.100000000000001" customHeight="1" x14ac:dyDescent="0.25">
      <c r="A37" s="159">
        <v>17</v>
      </c>
      <c r="B37" s="80"/>
      <c r="C37" s="253" t="s">
        <v>108</v>
      </c>
      <c r="D37" s="80"/>
      <c r="E37" s="80"/>
      <c r="F37" s="169">
        <f>SUM(F29:F36)</f>
        <v>41</v>
      </c>
      <c r="G37" s="70"/>
      <c r="H37" s="169">
        <f>SUM(H29:H36)</f>
        <v>2305</v>
      </c>
      <c r="I37" s="79"/>
      <c r="J37" s="80"/>
      <c r="K37" s="70"/>
      <c r="L37" s="169">
        <f>SUM(L29:L36)</f>
        <v>591</v>
      </c>
      <c r="M37" s="79"/>
      <c r="N37" s="303">
        <f>ROUND((L37/L$58)*100,1)</f>
        <v>36.4</v>
      </c>
      <c r="O37" s="156"/>
      <c r="P37" s="169">
        <f>ROUND($P$58/$H$58*H37,0)</f>
        <v>2</v>
      </c>
      <c r="Q37" s="78"/>
      <c r="R37" s="169">
        <f>SUM(R29:R36)</f>
        <v>593</v>
      </c>
      <c r="T37" s="202"/>
      <c r="W37" s="154"/>
      <c r="X37" s="154"/>
      <c r="AS37" s="200"/>
      <c r="AT37" s="200"/>
      <c r="AU37" s="210"/>
    </row>
    <row r="38" spans="1:47" x14ac:dyDescent="0.25">
      <c r="A38" s="159"/>
      <c r="B38" s="80"/>
      <c r="C38" s="82"/>
      <c r="D38" s="80"/>
      <c r="E38" s="80"/>
      <c r="F38" s="163"/>
      <c r="G38" s="70"/>
      <c r="H38" s="163"/>
      <c r="I38" s="79"/>
      <c r="J38" s="80"/>
      <c r="K38" s="70"/>
      <c r="L38" s="163"/>
      <c r="M38" s="79"/>
      <c r="N38" s="198"/>
      <c r="O38" s="156"/>
      <c r="P38" s="163"/>
      <c r="Q38" s="78"/>
      <c r="R38" s="163"/>
      <c r="T38" s="202"/>
      <c r="W38" s="154"/>
      <c r="X38" s="154"/>
      <c r="AS38" s="200"/>
      <c r="AT38" s="200"/>
      <c r="AU38" s="210"/>
    </row>
    <row r="39" spans="1:47" x14ac:dyDescent="0.25">
      <c r="A39" s="159">
        <v>18</v>
      </c>
      <c r="B39" s="80"/>
      <c r="C39" s="253" t="s">
        <v>109</v>
      </c>
      <c r="D39" s="265" t="s">
        <v>340</v>
      </c>
      <c r="E39" s="82"/>
      <c r="F39" s="70"/>
      <c r="G39" s="70"/>
      <c r="H39" s="70"/>
      <c r="I39" s="70"/>
      <c r="J39" s="80"/>
      <c r="K39" s="70"/>
      <c r="L39" s="70"/>
      <c r="M39" s="70"/>
      <c r="N39" s="70"/>
      <c r="O39" s="70"/>
      <c r="P39" s="70"/>
      <c r="Q39" s="70"/>
      <c r="R39" s="70"/>
      <c r="T39" s="202"/>
      <c r="V39" s="154"/>
      <c r="Y39" s="200"/>
      <c r="AC39" s="215"/>
      <c r="AD39" s="215"/>
      <c r="AE39" s="200"/>
      <c r="AF39" s="200"/>
      <c r="AO39" s="200"/>
      <c r="AP39" s="200"/>
      <c r="AS39" s="200"/>
      <c r="AT39" s="200"/>
      <c r="AU39" s="210"/>
    </row>
    <row r="40" spans="1:47" x14ac:dyDescent="0.25">
      <c r="A40" s="159">
        <v>19</v>
      </c>
      <c r="B40" s="80"/>
      <c r="C40" s="253" t="s">
        <v>76</v>
      </c>
      <c r="D40" s="80"/>
      <c r="E40" s="80"/>
      <c r="F40" s="70"/>
      <c r="G40" s="70"/>
      <c r="H40" s="70"/>
      <c r="I40" s="70"/>
      <c r="J40" s="80"/>
      <c r="K40" s="70"/>
      <c r="L40" s="70"/>
      <c r="M40" s="70"/>
      <c r="N40" s="70"/>
      <c r="O40" s="70"/>
      <c r="P40" s="70"/>
      <c r="Q40" s="70"/>
      <c r="R40" s="70"/>
      <c r="Y40" s="200"/>
      <c r="AO40" s="200"/>
      <c r="AP40" s="200"/>
      <c r="AR40" s="202"/>
      <c r="AS40" s="200"/>
      <c r="AT40" s="200"/>
      <c r="AU40" s="210"/>
    </row>
    <row r="41" spans="1:47" x14ac:dyDescent="0.25">
      <c r="A41" s="159">
        <v>20</v>
      </c>
      <c r="B41" s="80"/>
      <c r="C41" s="81" t="s">
        <v>282</v>
      </c>
      <c r="D41" s="80"/>
      <c r="E41" s="80"/>
      <c r="F41" s="70"/>
      <c r="G41" s="70"/>
      <c r="H41" s="70"/>
      <c r="I41" s="70"/>
      <c r="J41" s="80"/>
      <c r="K41" s="70"/>
      <c r="L41" s="70"/>
      <c r="M41" s="70"/>
      <c r="N41" s="70"/>
      <c r="O41" s="70"/>
      <c r="P41" s="85"/>
      <c r="Q41" s="70"/>
      <c r="R41" s="70"/>
      <c r="T41" s="100"/>
      <c r="U41" s="100"/>
      <c r="V41" s="100"/>
      <c r="W41" s="100"/>
      <c r="X41" s="100"/>
      <c r="Y41" s="100"/>
      <c r="Z41" s="100"/>
      <c r="AA41" s="100"/>
      <c r="AB41" s="100"/>
      <c r="AC41" s="312"/>
      <c r="AD41" s="312"/>
      <c r="AE41" s="100"/>
      <c r="AF41" s="100"/>
      <c r="AG41" s="380"/>
      <c r="AH41" s="100"/>
      <c r="AI41" s="100"/>
      <c r="AJ41" s="100"/>
      <c r="AK41" s="380"/>
      <c r="AR41" s="200"/>
      <c r="AS41" s="200"/>
      <c r="AT41" s="200"/>
      <c r="AU41" s="210"/>
    </row>
    <row r="42" spans="1:47" x14ac:dyDescent="0.25">
      <c r="A42" s="159">
        <v>21</v>
      </c>
      <c r="B42" s="80"/>
      <c r="C42" s="82" t="s">
        <v>110</v>
      </c>
      <c r="D42" s="80"/>
      <c r="E42" s="80"/>
      <c r="F42" s="225">
        <v>0</v>
      </c>
      <c r="G42" s="70"/>
      <c r="H42" s="225">
        <v>0</v>
      </c>
      <c r="I42" s="78"/>
      <c r="J42" s="349">
        <f>ROUND(AC107+(AC107*LT_COS_RATE),2)</f>
        <v>31.94</v>
      </c>
      <c r="K42" s="339"/>
      <c r="L42" s="79">
        <f>ROUND((F42*J42),0)</f>
        <v>0</v>
      </c>
      <c r="M42" s="79"/>
      <c r="N42" s="156">
        <f>ROUND((L42/L$58)*100,1)</f>
        <v>0</v>
      </c>
      <c r="O42" s="156"/>
      <c r="P42" s="163">
        <f>ROUND($P$58/$H$58*H42,0)</f>
        <v>0</v>
      </c>
      <c r="Q42" s="79"/>
      <c r="R42" s="79">
        <f>L42+P42</f>
        <v>0</v>
      </c>
      <c r="U42" s="100"/>
      <c r="V42" s="100"/>
      <c r="W42" s="100"/>
      <c r="X42" s="100"/>
      <c r="Y42" s="394">
        <f>J42-AY107</f>
        <v>31.94</v>
      </c>
      <c r="Z42" s="100"/>
      <c r="AA42" s="100"/>
      <c r="AB42" s="100"/>
      <c r="AC42" s="100"/>
      <c r="AD42" s="100"/>
      <c r="AE42" s="100"/>
      <c r="AF42" s="100"/>
      <c r="AG42" s="380"/>
      <c r="AH42" s="100"/>
      <c r="AI42" s="100"/>
      <c r="AJ42" s="100"/>
      <c r="AK42" s="380"/>
      <c r="AR42" s="200"/>
    </row>
    <row r="43" spans="1:47" x14ac:dyDescent="0.25">
      <c r="A43" s="159">
        <v>22</v>
      </c>
      <c r="B43" s="80"/>
      <c r="C43" s="81" t="s">
        <v>282</v>
      </c>
      <c r="D43" s="80"/>
      <c r="E43" s="80"/>
      <c r="F43" s="80"/>
      <c r="G43" s="70"/>
      <c r="H43" s="70"/>
      <c r="I43" s="70"/>
      <c r="J43" s="182"/>
      <c r="K43" s="70"/>
      <c r="L43" s="70"/>
      <c r="M43" s="70"/>
      <c r="N43" s="70"/>
      <c r="O43" s="70"/>
      <c r="P43" s="85"/>
      <c r="Q43" s="70"/>
      <c r="R43" s="70"/>
      <c r="T43" s="100"/>
      <c r="U43" s="100"/>
      <c r="V43" s="100"/>
      <c r="W43" s="100"/>
      <c r="X43" s="100"/>
      <c r="Y43" s="100"/>
      <c r="Z43" s="100"/>
      <c r="AA43" s="100"/>
      <c r="AB43" s="100"/>
      <c r="AC43" s="312"/>
      <c r="AD43" s="312"/>
      <c r="AE43" s="100"/>
      <c r="AF43" s="100"/>
      <c r="AG43" s="380"/>
      <c r="AH43" s="100"/>
      <c r="AI43" s="100"/>
      <c r="AJ43" s="100"/>
      <c r="AK43" s="380"/>
      <c r="AR43" s="252"/>
    </row>
    <row r="44" spans="1:47" x14ac:dyDescent="0.25">
      <c r="A44" s="159">
        <v>23</v>
      </c>
      <c r="B44" s="80"/>
      <c r="C44" s="82" t="s">
        <v>111</v>
      </c>
      <c r="D44" s="80"/>
      <c r="E44" s="80"/>
      <c r="F44" s="225">
        <v>0</v>
      </c>
      <c r="G44" s="70"/>
      <c r="H44" s="225">
        <v>0</v>
      </c>
      <c r="I44" s="78"/>
      <c r="J44" s="349">
        <f>ROUND(AC109+(AC109*LT_COS_RATE),2)</f>
        <v>35.979999999999997</v>
      </c>
      <c r="K44" s="339"/>
      <c r="L44" s="79">
        <f>ROUND((F44*J44),0)</f>
        <v>0</v>
      </c>
      <c r="M44" s="79"/>
      <c r="N44" s="156">
        <f>ROUND((L44/L$58)*100,1)</f>
        <v>0</v>
      </c>
      <c r="O44" s="156"/>
      <c r="P44" s="163">
        <f>ROUND($P$58/$H$58*H44,0)</f>
        <v>0</v>
      </c>
      <c r="Q44" s="79"/>
      <c r="R44" s="79">
        <f>L44+P44</f>
        <v>0</v>
      </c>
      <c r="U44" s="100"/>
      <c r="V44" s="100"/>
      <c r="W44" s="100"/>
      <c r="X44" s="100"/>
      <c r="Y44" s="394">
        <f>J44-AY109</f>
        <v>35.979999999999997</v>
      </c>
      <c r="Z44" s="100"/>
      <c r="AA44" s="100"/>
      <c r="AB44" s="100"/>
      <c r="AC44" s="100"/>
      <c r="AD44" s="100"/>
      <c r="AE44" s="312"/>
      <c r="AF44" s="312"/>
      <c r="AG44" s="380"/>
      <c r="AH44" s="100"/>
      <c r="AI44" s="100"/>
      <c r="AJ44" s="100"/>
      <c r="AK44" s="380"/>
      <c r="AR44" s="252"/>
    </row>
    <row r="45" spans="1:47" x14ac:dyDescent="0.25">
      <c r="A45" s="159"/>
      <c r="B45" s="80"/>
      <c r="C45" s="82"/>
      <c r="D45" s="80"/>
      <c r="E45" s="80"/>
      <c r="F45" s="225"/>
      <c r="G45" s="70"/>
      <c r="H45" s="78"/>
      <c r="I45" s="78"/>
      <c r="J45" s="349"/>
      <c r="K45" s="339"/>
      <c r="L45" s="79"/>
      <c r="M45" s="79"/>
      <c r="N45" s="156"/>
      <c r="O45" s="156"/>
      <c r="P45" s="163"/>
      <c r="Q45" s="79"/>
      <c r="R45" s="79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312"/>
      <c r="AF45" s="312"/>
      <c r="AG45" s="380"/>
      <c r="AH45" s="100"/>
      <c r="AI45" s="100"/>
      <c r="AJ45" s="100"/>
      <c r="AK45" s="380"/>
      <c r="AR45" s="252"/>
    </row>
    <row r="46" spans="1:47" x14ac:dyDescent="0.25">
      <c r="A46" s="159">
        <v>24</v>
      </c>
      <c r="B46" s="80"/>
      <c r="C46" s="253" t="s">
        <v>75</v>
      </c>
      <c r="D46" s="80"/>
      <c r="E46" s="80"/>
      <c r="F46" s="80"/>
      <c r="G46" s="70"/>
      <c r="H46" s="70"/>
      <c r="I46" s="70"/>
      <c r="J46" s="182"/>
      <c r="K46" s="70"/>
      <c r="L46" s="70"/>
      <c r="M46" s="70"/>
      <c r="N46" s="70"/>
      <c r="O46" s="70"/>
      <c r="P46" s="85"/>
      <c r="Q46" s="70"/>
      <c r="R46" s="70"/>
      <c r="T46" s="202"/>
      <c r="AK46" s="297"/>
      <c r="AO46" s="154"/>
      <c r="AP46" s="154"/>
      <c r="AR46" s="200"/>
    </row>
    <row r="47" spans="1:47" x14ac:dyDescent="0.25">
      <c r="A47" s="159">
        <v>25</v>
      </c>
      <c r="B47" s="80"/>
      <c r="C47" s="82" t="s">
        <v>95</v>
      </c>
      <c r="D47" s="80"/>
      <c r="E47" s="80"/>
      <c r="F47" s="225">
        <v>12</v>
      </c>
      <c r="G47" s="70"/>
      <c r="H47" s="287">
        <f>ROUND(F47*1959/12,0)</f>
        <v>1959</v>
      </c>
      <c r="I47" s="78"/>
      <c r="J47" s="349">
        <f>ROUND(AC112+(AC112*LT_COS_RATE),2)</f>
        <v>22.14</v>
      </c>
      <c r="K47" s="339"/>
      <c r="L47" s="79">
        <f>ROUND((F47*J47),0)</f>
        <v>266</v>
      </c>
      <c r="M47" s="79"/>
      <c r="N47" s="156">
        <f>ROUND((L47/L$58)*100,1)</f>
        <v>16.399999999999999</v>
      </c>
      <c r="O47" s="156"/>
      <c r="P47" s="167">
        <f>ROUND($P$58/$H$58*H47,0)</f>
        <v>2</v>
      </c>
      <c r="Q47" s="79"/>
      <c r="R47" s="79">
        <f>L47+P47</f>
        <v>268</v>
      </c>
      <c r="Y47" s="394">
        <f>J47-AY112</f>
        <v>22.14</v>
      </c>
      <c r="AK47" s="297"/>
      <c r="AO47" s="154"/>
      <c r="AP47" s="154"/>
      <c r="AR47" s="200"/>
    </row>
    <row r="48" spans="1:47" ht="20.100000000000001" customHeight="1" x14ac:dyDescent="0.25">
      <c r="A48" s="159">
        <v>26</v>
      </c>
      <c r="B48" s="80"/>
      <c r="C48" s="253" t="s">
        <v>112</v>
      </c>
      <c r="D48" s="80"/>
      <c r="E48" s="80"/>
      <c r="F48" s="169">
        <f>SUM(F42:F47)</f>
        <v>12</v>
      </c>
      <c r="G48" s="70"/>
      <c r="H48" s="169">
        <f>SUM(H42:H47)</f>
        <v>1959</v>
      </c>
      <c r="I48" s="79"/>
      <c r="J48" s="70"/>
      <c r="K48" s="70"/>
      <c r="L48" s="169">
        <f>SUM(L42:L47)</f>
        <v>266</v>
      </c>
      <c r="M48" s="79"/>
      <c r="N48" s="303">
        <f>ROUND((L48/L$58)*100,1)</f>
        <v>16.399999999999999</v>
      </c>
      <c r="O48" s="156"/>
      <c r="P48" s="169">
        <f>ROUND($P$58/$H$58*H48,0)</f>
        <v>2</v>
      </c>
      <c r="Q48" s="169">
        <f>SUM(Q42:Q47)</f>
        <v>0</v>
      </c>
      <c r="R48" s="169">
        <f>SUM(R42:R47)</f>
        <v>268</v>
      </c>
      <c r="AE48" s="154"/>
      <c r="AF48" s="154"/>
      <c r="AO48" s="202"/>
      <c r="AP48" s="202"/>
    </row>
    <row r="49" spans="1:43" ht="20.100000000000001" customHeight="1" x14ac:dyDescent="0.25">
      <c r="A49" s="159">
        <v>27</v>
      </c>
      <c r="B49" s="80"/>
      <c r="C49" s="265" t="s">
        <v>594</v>
      </c>
      <c r="D49" s="80"/>
      <c r="E49" s="80"/>
      <c r="F49" s="169">
        <f>F23+F37+F48</f>
        <v>137</v>
      </c>
      <c r="G49" s="70"/>
      <c r="H49" s="169">
        <f>H23+H37+H48</f>
        <v>7610</v>
      </c>
      <c r="I49" s="79"/>
      <c r="J49" s="70"/>
      <c r="K49" s="70"/>
      <c r="L49" s="169">
        <f>L23+L37+L48</f>
        <v>1625</v>
      </c>
      <c r="M49" s="79"/>
      <c r="N49" s="303">
        <f>ROUND((L49/L$58)*100,1)</f>
        <v>100.2</v>
      </c>
      <c r="O49" s="156"/>
      <c r="P49" s="169">
        <f>P23+P37+P48</f>
        <v>8</v>
      </c>
      <c r="Q49" s="163"/>
      <c r="R49" s="169">
        <f>R23+R37+R48</f>
        <v>1633</v>
      </c>
      <c r="AE49" s="154"/>
      <c r="AF49" s="154"/>
      <c r="AO49" s="202"/>
      <c r="AP49" s="202"/>
    </row>
    <row r="50" spans="1:43" ht="15.75" customHeight="1" x14ac:dyDescent="0.25">
      <c r="A50" s="159"/>
      <c r="B50" s="80"/>
      <c r="C50" s="265"/>
      <c r="D50" s="80"/>
      <c r="E50" s="80"/>
      <c r="F50" s="163"/>
      <c r="G50" s="70"/>
      <c r="H50" s="163"/>
      <c r="I50" s="79"/>
      <c r="J50" s="70"/>
      <c r="K50" s="70"/>
      <c r="L50" s="163"/>
      <c r="M50" s="79"/>
      <c r="N50" s="198"/>
      <c r="O50" s="156"/>
      <c r="P50" s="163"/>
      <c r="Q50" s="163"/>
      <c r="R50" s="163"/>
      <c r="AE50" s="154"/>
      <c r="AF50" s="154"/>
      <c r="AO50" s="202"/>
      <c r="AP50" s="202"/>
    </row>
    <row r="51" spans="1:43" ht="15.75" customHeight="1" x14ac:dyDescent="0.25">
      <c r="A51" s="159">
        <v>28</v>
      </c>
      <c r="B51" s="80"/>
      <c r="C51" s="253" t="s">
        <v>591</v>
      </c>
      <c r="D51" s="80"/>
      <c r="E51" s="80"/>
      <c r="F51" s="163"/>
      <c r="G51" s="70"/>
      <c r="H51" s="163"/>
      <c r="I51" s="79"/>
      <c r="J51" s="70"/>
      <c r="K51" s="70"/>
      <c r="L51" s="163"/>
      <c r="M51" s="79"/>
      <c r="N51" s="198"/>
      <c r="O51" s="156"/>
      <c r="P51" s="163"/>
      <c r="Q51" s="163"/>
      <c r="R51" s="163"/>
      <c r="AE51" s="154"/>
      <c r="AF51" s="154"/>
      <c r="AO51" s="202"/>
      <c r="AP51" s="202"/>
    </row>
    <row r="52" spans="1:43" ht="15.75" customHeight="1" x14ac:dyDescent="0.25">
      <c r="A52" s="159">
        <v>29</v>
      </c>
      <c r="B52" s="80"/>
      <c r="C52" s="153" t="str">
        <f>ESM_Name</f>
        <v>ENVIRONMENTAL SURCHARGE MECHANISM RIDER (ESM)</v>
      </c>
      <c r="D52" s="80"/>
      <c r="E52" s="80"/>
      <c r="F52" s="163"/>
      <c r="G52" s="70"/>
      <c r="H52" s="163"/>
      <c r="I52" s="79"/>
      <c r="J52" s="430">
        <f>PRO_ESM</f>
        <v>0</v>
      </c>
      <c r="K52" s="70"/>
      <c r="L52" s="163">
        <f t="shared" ref="L52:L54" si="0">ROUND($H$49*J52,0)</f>
        <v>0</v>
      </c>
      <c r="M52" s="79"/>
      <c r="N52" s="198">
        <f t="shared" ref="N52:N54" si="1">ROUND((L52/L$58)*100,1)</f>
        <v>0</v>
      </c>
      <c r="O52" s="156"/>
      <c r="P52" s="163"/>
      <c r="Q52" s="163"/>
      <c r="R52" s="163">
        <f t="shared" ref="R52:R54" si="2">L52+P52</f>
        <v>0</v>
      </c>
      <c r="AE52" s="154"/>
      <c r="AF52" s="154"/>
      <c r="AO52" s="202"/>
      <c r="AP52" s="202"/>
    </row>
    <row r="53" spans="1:43" ht="15.75" customHeight="1" x14ac:dyDescent="0.25">
      <c r="A53" s="159">
        <v>30</v>
      </c>
      <c r="B53" s="80"/>
      <c r="C53" s="153" t="str">
        <f>DCI_Name</f>
        <v>DISTRIBUTION CAPITAL INVESTMENT RIDER (DCI)</v>
      </c>
      <c r="D53" s="80"/>
      <c r="E53" s="80"/>
      <c r="F53" s="163"/>
      <c r="G53" s="70"/>
      <c r="H53" s="163"/>
      <c r="I53" s="79"/>
      <c r="J53" s="430">
        <f>PRO_DCI_SL</f>
        <v>0</v>
      </c>
      <c r="K53" s="70"/>
      <c r="L53" s="163">
        <f t="shared" si="0"/>
        <v>0</v>
      </c>
      <c r="M53" s="79"/>
      <c r="N53" s="198">
        <f t="shared" si="1"/>
        <v>0</v>
      </c>
      <c r="O53" s="156"/>
      <c r="P53" s="163"/>
      <c r="Q53" s="163"/>
      <c r="R53" s="163">
        <f t="shared" si="2"/>
        <v>0</v>
      </c>
      <c r="AE53" s="154"/>
      <c r="AF53" s="154"/>
      <c r="AO53" s="202"/>
      <c r="AP53" s="202"/>
    </row>
    <row r="54" spans="1:43" ht="15.75" customHeight="1" x14ac:dyDescent="0.25">
      <c r="A54" s="159">
        <v>31</v>
      </c>
      <c r="B54" s="80"/>
      <c r="C54" s="153" t="str">
        <f>FTR_Name</f>
        <v>FERC TRANSMISSION COST RECOVERY RECONCILIATION (FTR)</v>
      </c>
      <c r="D54" s="80"/>
      <c r="E54" s="80"/>
      <c r="F54" s="163"/>
      <c r="G54" s="70"/>
      <c r="H54" s="163"/>
      <c r="I54" s="79"/>
      <c r="J54" s="430">
        <f>PRO_FTR_SL</f>
        <v>0</v>
      </c>
      <c r="K54" s="70"/>
      <c r="L54" s="163">
        <f t="shared" si="0"/>
        <v>0</v>
      </c>
      <c r="M54" s="79"/>
      <c r="N54" s="198">
        <f t="shared" si="1"/>
        <v>0</v>
      </c>
      <c r="O54" s="156"/>
      <c r="P54" s="163"/>
      <c r="Q54" s="163"/>
      <c r="R54" s="163">
        <f t="shared" si="2"/>
        <v>0</v>
      </c>
      <c r="AE54" s="154"/>
      <c r="AF54" s="154"/>
      <c r="AO54" s="202"/>
      <c r="AP54" s="202"/>
    </row>
    <row r="55" spans="1:43" ht="15.75" customHeight="1" x14ac:dyDescent="0.25">
      <c r="A55" s="159">
        <v>32</v>
      </c>
      <c r="B55" s="80"/>
      <c r="C55" s="153" t="str">
        <f>PSM_Name</f>
        <v>PROFIT SHARING MECHANISM (PSM)</v>
      </c>
      <c r="D55" s="80"/>
      <c r="E55" s="80"/>
      <c r="F55" s="163"/>
      <c r="G55" s="70"/>
      <c r="H55" s="163"/>
      <c r="I55" s="79"/>
      <c r="J55" s="438">
        <f>PRO_PSM</f>
        <v>-4.5600000000000003E-4</v>
      </c>
      <c r="K55" s="70"/>
      <c r="L55" s="167">
        <f>ROUND($H$49*J55,0)</f>
        <v>-3</v>
      </c>
      <c r="M55" s="79"/>
      <c r="N55" s="166">
        <f>ROUND((L55/L$58)*100,1)</f>
        <v>-0.2</v>
      </c>
      <c r="O55" s="156"/>
      <c r="P55" s="167"/>
      <c r="Q55" s="163"/>
      <c r="R55" s="167">
        <f t="shared" ref="R55" si="3">L55+P55</f>
        <v>-3</v>
      </c>
      <c r="AE55" s="154"/>
      <c r="AF55" s="154"/>
      <c r="AO55" s="202"/>
      <c r="AP55" s="202"/>
    </row>
    <row r="56" spans="1:43" ht="20.100000000000001" customHeight="1" x14ac:dyDescent="0.25">
      <c r="A56" s="159">
        <v>33</v>
      </c>
      <c r="B56" s="80"/>
      <c r="C56" s="253" t="s">
        <v>585</v>
      </c>
      <c r="D56" s="80"/>
      <c r="E56" s="80"/>
      <c r="F56" s="167"/>
      <c r="G56" s="70"/>
      <c r="H56" s="167"/>
      <c r="I56" s="79"/>
      <c r="J56" s="70"/>
      <c r="K56" s="70"/>
      <c r="L56" s="167">
        <f>SUM(L52:L55)</f>
        <v>-3</v>
      </c>
      <c r="M56" s="79"/>
      <c r="N56" s="170">
        <f>ROUND((L56/L$58)*100,1)</f>
        <v>-0.2</v>
      </c>
      <c r="O56" s="156"/>
      <c r="P56" s="169"/>
      <c r="Q56" s="163"/>
      <c r="R56" s="169">
        <f>SUM(R52:R55)</f>
        <v>-3</v>
      </c>
      <c r="AE56" s="154"/>
      <c r="AF56" s="154"/>
      <c r="AO56" s="202"/>
      <c r="AP56" s="202"/>
    </row>
    <row r="57" spans="1:43" ht="15.75" customHeight="1" x14ac:dyDescent="0.25">
      <c r="A57" s="159"/>
      <c r="B57" s="80"/>
      <c r="C57" s="253"/>
      <c r="D57" s="80"/>
      <c r="E57" s="80"/>
      <c r="F57" s="163"/>
      <c r="G57" s="70"/>
      <c r="H57" s="163"/>
      <c r="I57" s="79"/>
      <c r="J57" s="70"/>
      <c r="K57" s="70"/>
      <c r="L57" s="163"/>
      <c r="M57" s="79"/>
      <c r="N57" s="198"/>
      <c r="O57" s="156"/>
      <c r="P57" s="163"/>
      <c r="Q57" s="163"/>
      <c r="R57" s="163"/>
      <c r="AE57" s="154"/>
      <c r="AF57" s="154"/>
      <c r="AO57" s="202"/>
      <c r="AP57" s="202"/>
    </row>
    <row r="58" spans="1:43" ht="20.100000000000001" customHeight="1" thickBot="1" x14ac:dyDescent="0.3">
      <c r="A58" s="159">
        <v>34</v>
      </c>
      <c r="B58" s="80"/>
      <c r="C58" s="253" t="s">
        <v>595</v>
      </c>
      <c r="D58" s="80"/>
      <c r="E58" s="80"/>
      <c r="F58" s="275">
        <f>F49</f>
        <v>137</v>
      </c>
      <c r="G58" s="70"/>
      <c r="H58" s="275">
        <f>H49</f>
        <v>7610</v>
      </c>
      <c r="I58" s="79"/>
      <c r="J58" s="70"/>
      <c r="K58" s="70"/>
      <c r="L58" s="275">
        <f>L56+L49</f>
        <v>1622</v>
      </c>
      <c r="M58" s="79"/>
      <c r="N58" s="309">
        <v>100</v>
      </c>
      <c r="O58" s="156"/>
      <c r="P58" s="435">
        <f>ROUND(H58*CUR_FAC,0)</f>
        <v>8</v>
      </c>
      <c r="Q58" s="79"/>
      <c r="R58" s="275">
        <f>R56+R49</f>
        <v>1630</v>
      </c>
      <c r="AE58" s="103"/>
      <c r="AF58" s="103"/>
      <c r="AG58" s="185"/>
      <c r="AH58" s="103"/>
      <c r="AI58" s="103"/>
      <c r="AJ58" s="103"/>
      <c r="AK58" s="185"/>
      <c r="AL58" s="103"/>
      <c r="AO58" s="103"/>
      <c r="AP58" s="103"/>
      <c r="AQ58" s="185"/>
    </row>
    <row r="59" spans="1:43" ht="16.5" thickTop="1" x14ac:dyDescent="0.25">
      <c r="A59" s="80"/>
      <c r="B59" s="80"/>
      <c r="C59" s="80"/>
      <c r="D59" s="80"/>
      <c r="E59" s="8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T59" s="103"/>
      <c r="V59" s="103"/>
      <c r="W59" s="103"/>
      <c r="X59" s="103"/>
      <c r="Y59" s="103"/>
      <c r="AC59" s="103"/>
      <c r="AD59" s="103"/>
      <c r="AE59" s="103"/>
      <c r="AF59" s="103"/>
      <c r="AG59" s="185"/>
      <c r="AH59" s="103"/>
      <c r="AI59" s="103"/>
      <c r="AJ59" s="103"/>
      <c r="AK59" s="185"/>
      <c r="AL59" s="103"/>
      <c r="AM59" s="103"/>
      <c r="AN59" s="103"/>
      <c r="AO59" s="103"/>
      <c r="AP59" s="103"/>
      <c r="AQ59" s="185"/>
    </row>
    <row r="60" spans="1:43" x14ac:dyDescent="0.25">
      <c r="A60" s="80"/>
      <c r="B60" s="80"/>
      <c r="C60" s="173" t="s">
        <v>80</v>
      </c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T60" s="103"/>
      <c r="V60" s="103"/>
      <c r="W60" s="103"/>
      <c r="X60" s="103"/>
      <c r="Y60" s="103"/>
      <c r="AA60" s="103"/>
      <c r="AB60" s="103"/>
      <c r="AC60" s="103"/>
      <c r="AD60" s="103"/>
      <c r="AE60" s="103"/>
      <c r="AF60" s="103"/>
      <c r="AG60" s="185"/>
      <c r="AH60" s="103"/>
      <c r="AI60" s="103"/>
      <c r="AJ60" s="103"/>
      <c r="AK60" s="185"/>
      <c r="AL60" s="103"/>
      <c r="AM60" s="103"/>
      <c r="AN60" s="103"/>
      <c r="AO60" s="103"/>
      <c r="AP60" s="103"/>
      <c r="AQ60" s="185"/>
    </row>
    <row r="61" spans="1:43" x14ac:dyDescent="0.25">
      <c r="A61" s="80"/>
      <c r="B61" s="80"/>
      <c r="C61" s="173" t="str">
        <f>"(2) REFLECTS FUEL COMPONENT OF "&amp;TEXT(CUR_FAC,"$0.000000;($0.000000)")&amp;" PER KWH."</f>
        <v>(2) REFLECTS FUEL COMPONENT OF $0.001028 PER KWH.</v>
      </c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T61" s="103"/>
      <c r="V61" s="103"/>
      <c r="W61" s="103"/>
      <c r="X61" s="103"/>
      <c r="Y61" s="103"/>
      <c r="AA61" s="103"/>
      <c r="AB61" s="103"/>
      <c r="AC61" s="103"/>
      <c r="AD61" s="103"/>
      <c r="AE61" s="103"/>
      <c r="AF61" s="103"/>
      <c r="AG61" s="185"/>
      <c r="AH61" s="103"/>
      <c r="AI61" s="103"/>
      <c r="AJ61" s="103"/>
      <c r="AK61" s="185"/>
      <c r="AL61" s="103"/>
      <c r="AM61" s="103"/>
      <c r="AN61" s="103"/>
      <c r="AO61" s="103"/>
      <c r="AP61" s="103"/>
      <c r="AQ61" s="185"/>
    </row>
    <row r="62" spans="1:43" x14ac:dyDescent="0.25">
      <c r="A62" s="82"/>
      <c r="B62" s="80"/>
      <c r="C62" s="173" t="str">
        <f>"(3) REFLECTS FUEL COST RECOVERY INCLUDED IN BASE RATES OF "&amp;TEXT(PRO_BASE_FUEL,"$0.000000;($0.000000)")&amp;"  PER KWH."</f>
        <v>(3) REFLECTS FUEL COST RECOVERY INCLUDED IN BASE RATES OF $0.023837  PER KWH.</v>
      </c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V62" s="103"/>
      <c r="W62" s="103"/>
      <c r="X62" s="103"/>
      <c r="Y62" s="103"/>
      <c r="AA62" s="103"/>
      <c r="AB62" s="103"/>
      <c r="AC62" s="103"/>
      <c r="AD62" s="103"/>
      <c r="AE62" s="103"/>
      <c r="AF62" s="103"/>
      <c r="AG62" s="185"/>
      <c r="AH62" s="103"/>
      <c r="AI62" s="103"/>
      <c r="AJ62" s="103"/>
      <c r="AK62" s="185"/>
      <c r="AL62" s="103"/>
      <c r="AM62" s="103"/>
      <c r="AN62" s="103"/>
      <c r="AO62" s="103"/>
      <c r="AP62" s="103"/>
      <c r="AQ62" s="185"/>
    </row>
    <row r="63" spans="1:43" x14ac:dyDescent="0.25">
      <c r="A63" s="202"/>
      <c r="C63" s="154"/>
      <c r="F63" s="252"/>
      <c r="H63" s="252"/>
      <c r="I63" s="252"/>
      <c r="J63" s="300"/>
      <c r="K63" s="300"/>
      <c r="L63" s="200"/>
      <c r="M63" s="200"/>
      <c r="N63" s="210"/>
      <c r="O63" s="210"/>
      <c r="P63" s="202"/>
      <c r="Q63" s="202"/>
      <c r="R63" s="200"/>
      <c r="AA63" s="103"/>
      <c r="AB63" s="103"/>
      <c r="AC63" s="103"/>
      <c r="AD63" s="103"/>
      <c r="AE63" s="103"/>
      <c r="AF63" s="103"/>
      <c r="AG63" s="185"/>
      <c r="AH63" s="103"/>
      <c r="AI63" s="103"/>
      <c r="AJ63" s="103"/>
      <c r="AK63" s="185"/>
      <c r="AL63" s="103"/>
      <c r="AM63" s="103"/>
      <c r="AN63" s="103"/>
      <c r="AO63" s="103"/>
      <c r="AP63" s="103"/>
      <c r="AQ63" s="185"/>
    </row>
    <row r="64" spans="1:43" x14ac:dyDescent="0.25">
      <c r="A64" s="202"/>
      <c r="C64" s="154"/>
      <c r="F64" s="252"/>
      <c r="H64" s="252"/>
      <c r="I64" s="252"/>
      <c r="J64" s="300"/>
      <c r="K64" s="300"/>
      <c r="L64" s="200"/>
      <c r="M64" s="200"/>
      <c r="N64" s="210"/>
      <c r="O64" s="210"/>
      <c r="P64" s="202"/>
      <c r="Q64" s="202"/>
      <c r="R64" s="200"/>
      <c r="T64" s="202"/>
      <c r="V64" s="154"/>
      <c r="W64" s="154"/>
      <c r="X64" s="154"/>
    </row>
    <row r="65" spans="1:47" x14ac:dyDescent="0.25">
      <c r="A65" s="202"/>
      <c r="C65" s="154"/>
      <c r="F65" s="252"/>
      <c r="H65" s="252"/>
      <c r="I65" s="252"/>
      <c r="J65" s="317"/>
      <c r="K65" s="317"/>
      <c r="L65" s="200"/>
      <c r="M65" s="200"/>
      <c r="N65" s="210"/>
      <c r="O65" s="210"/>
      <c r="P65" s="200"/>
      <c r="Q65" s="200"/>
      <c r="R65" s="200"/>
      <c r="T65" s="202"/>
      <c r="V65" s="154"/>
    </row>
    <row r="66" spans="1:47" x14ac:dyDescent="0.25">
      <c r="F66" s="211"/>
      <c r="H66" s="200"/>
      <c r="I66" s="200"/>
      <c r="J66" s="305"/>
      <c r="K66" s="305"/>
      <c r="L66" s="211"/>
      <c r="M66" s="211"/>
      <c r="N66" s="211"/>
      <c r="O66" s="211"/>
      <c r="P66" s="211"/>
      <c r="Q66" s="211"/>
      <c r="R66" s="211"/>
      <c r="T66" s="150" t="str">
        <f>NAME</f>
        <v>DUKE ENERGY KENTUCKY, INC.</v>
      </c>
      <c r="U66" s="150"/>
      <c r="V66" s="150"/>
      <c r="W66" s="150"/>
      <c r="X66" s="150"/>
      <c r="Y66" s="150"/>
      <c r="Z66" s="150"/>
      <c r="AA66" s="150"/>
      <c r="AB66" s="150"/>
      <c r="AC66" s="150"/>
      <c r="AD66" s="187"/>
      <c r="AE66" s="187"/>
      <c r="AF66" s="150"/>
      <c r="AG66" s="380"/>
      <c r="AH66" s="150"/>
      <c r="AI66" s="100"/>
      <c r="AJ66" s="150"/>
      <c r="AK66" s="190"/>
      <c r="AL66" s="150"/>
      <c r="AM66" s="150"/>
      <c r="AN66" s="150"/>
      <c r="AO66" s="100"/>
      <c r="AP66" s="150"/>
      <c r="AQ66" s="190"/>
    </row>
    <row r="67" spans="1:47" x14ac:dyDescent="0.25">
      <c r="F67" s="211"/>
      <c r="H67" s="109"/>
      <c r="I67" s="200"/>
      <c r="J67" s="305"/>
      <c r="K67" s="305"/>
      <c r="L67" s="109"/>
      <c r="M67" s="211"/>
      <c r="N67" s="211"/>
      <c r="O67" s="211"/>
      <c r="P67" s="109"/>
      <c r="Q67" s="211"/>
      <c r="R67" s="109"/>
      <c r="T67" s="150" t="str">
        <f>CASE_NO</f>
        <v>CASE NO.   2017-00321</v>
      </c>
      <c r="U67" s="150"/>
      <c r="V67" s="150"/>
      <c r="W67" s="150"/>
      <c r="X67" s="150"/>
      <c r="Y67" s="150"/>
      <c r="Z67" s="150"/>
      <c r="AA67" s="150"/>
      <c r="AB67" s="150"/>
      <c r="AC67" s="150"/>
      <c r="AD67" s="187"/>
      <c r="AE67" s="187"/>
      <c r="AF67" s="150"/>
      <c r="AG67" s="380"/>
      <c r="AH67" s="150"/>
      <c r="AI67" s="100"/>
      <c r="AJ67" s="150"/>
      <c r="AK67" s="190"/>
      <c r="AL67" s="150"/>
      <c r="AM67" s="150"/>
      <c r="AN67" s="150"/>
      <c r="AO67" s="100"/>
      <c r="AP67" s="150"/>
      <c r="AQ67" s="190"/>
    </row>
    <row r="68" spans="1:47" x14ac:dyDescent="0.25">
      <c r="A68" s="202"/>
      <c r="C68" s="154"/>
      <c r="F68" s="200"/>
      <c r="H68" s="200"/>
      <c r="I68" s="200"/>
      <c r="J68" s="305"/>
      <c r="K68" s="305"/>
      <c r="L68" s="200"/>
      <c r="M68" s="200"/>
      <c r="N68" s="210"/>
      <c r="O68" s="210"/>
      <c r="P68" s="200"/>
      <c r="Q68" s="200"/>
      <c r="R68" s="200"/>
      <c r="T68" s="187" t="str">
        <f>TITLE</f>
        <v>ANNUALIZED BASE YEAR REVENUES AT PROPOSED VS. MOST CURRENT RATES</v>
      </c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380"/>
      <c r="AH68" s="150"/>
      <c r="AI68" s="100"/>
      <c r="AJ68" s="150"/>
      <c r="AK68" s="190"/>
      <c r="AL68" s="150"/>
      <c r="AM68" s="150"/>
      <c r="AN68" s="150"/>
      <c r="AO68" s="100"/>
      <c r="AP68" s="150"/>
      <c r="AQ68" s="190"/>
    </row>
    <row r="69" spans="1:47" x14ac:dyDescent="0.25">
      <c r="A69" s="202"/>
      <c r="C69" s="154"/>
      <c r="F69" s="252"/>
      <c r="H69" s="252"/>
      <c r="I69" s="252"/>
      <c r="J69" s="328"/>
      <c r="K69" s="328"/>
      <c r="L69" s="200"/>
      <c r="M69" s="200"/>
      <c r="N69" s="210"/>
      <c r="O69" s="210"/>
      <c r="P69" s="200"/>
      <c r="Q69" s="200"/>
      <c r="R69" s="200"/>
      <c r="S69" s="200"/>
      <c r="T69" s="150" t="str">
        <f>DATE</f>
        <v>FOR THE TWELVE MONTHS ENDED November 30, 2017</v>
      </c>
      <c r="U69" s="150"/>
      <c r="V69" s="150"/>
      <c r="W69" s="150"/>
      <c r="X69" s="150"/>
      <c r="Y69" s="150"/>
      <c r="Z69" s="150"/>
      <c r="AA69" s="150"/>
      <c r="AB69" s="150"/>
      <c r="AC69" s="150"/>
      <c r="AD69" s="187"/>
      <c r="AE69" s="187"/>
      <c r="AF69" s="150"/>
      <c r="AG69" s="380"/>
      <c r="AH69" s="150"/>
      <c r="AI69" s="100"/>
      <c r="AJ69" s="150"/>
      <c r="AK69" s="190"/>
      <c r="AL69" s="150"/>
      <c r="AM69" s="150"/>
      <c r="AN69" s="150"/>
      <c r="AO69" s="100"/>
      <c r="AP69" s="150"/>
      <c r="AQ69" s="190"/>
    </row>
    <row r="70" spans="1:47" x14ac:dyDescent="0.25">
      <c r="A70" s="202"/>
      <c r="C70" s="154"/>
      <c r="F70" s="252"/>
      <c r="H70" s="252"/>
      <c r="I70" s="252"/>
      <c r="J70" s="300"/>
      <c r="K70" s="300"/>
      <c r="L70" s="200"/>
      <c r="M70" s="200"/>
      <c r="N70" s="210"/>
      <c r="O70" s="210"/>
      <c r="P70" s="200"/>
      <c r="Q70" s="200"/>
      <c r="R70" s="200"/>
      <c r="T70" s="150" t="str">
        <f>SERVICE</f>
        <v>(ELECTRIC SERVICE)</v>
      </c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87"/>
      <c r="AG70" s="424"/>
      <c r="AH70" s="150"/>
      <c r="AI70" s="100"/>
      <c r="AJ70" s="150"/>
      <c r="AK70" s="190"/>
      <c r="AL70" s="150"/>
      <c r="AM70" s="150"/>
      <c r="AN70" s="150"/>
      <c r="AO70" s="100"/>
      <c r="AP70" s="150"/>
      <c r="AQ70" s="190"/>
    </row>
    <row r="71" spans="1:47" x14ac:dyDescent="0.25">
      <c r="A71" s="202"/>
      <c r="C71" s="154"/>
      <c r="F71" s="252"/>
      <c r="H71" s="252"/>
      <c r="I71" s="252"/>
      <c r="J71" s="300"/>
      <c r="K71" s="300"/>
      <c r="L71" s="200"/>
      <c r="M71" s="200"/>
      <c r="N71" s="210"/>
      <c r="O71" s="210"/>
      <c r="P71" s="200"/>
      <c r="Q71" s="200"/>
      <c r="R71" s="200"/>
      <c r="T71" s="159" t="str">
        <f>DATA_PERIOD</f>
        <v>DATA: __X__ BASE PERIOD   ____FORECASTED PERIOD</v>
      </c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H71" s="80"/>
      <c r="AJ71" s="80"/>
      <c r="AK71" s="188"/>
      <c r="AL71" s="80"/>
      <c r="AM71" s="80"/>
      <c r="AN71" s="80"/>
      <c r="AO71" s="82" t="s">
        <v>179</v>
      </c>
      <c r="AQ71" s="440"/>
    </row>
    <row r="72" spans="1:47" x14ac:dyDescent="0.25">
      <c r="A72" s="202"/>
      <c r="C72" s="154"/>
      <c r="F72" s="200"/>
      <c r="H72" s="200"/>
      <c r="I72" s="200"/>
      <c r="J72" s="305"/>
      <c r="K72" s="305"/>
      <c r="L72" s="200"/>
      <c r="M72" s="200"/>
      <c r="N72" s="210"/>
      <c r="O72" s="210"/>
      <c r="P72" s="200"/>
      <c r="Q72" s="200"/>
      <c r="R72" s="200"/>
      <c r="T72" s="159" t="str">
        <f>TYPE</f>
        <v>TYPE OF FILING: _X_ ORIGINAL   ___UPDATED  ___ REVISED</v>
      </c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H72" s="80"/>
      <c r="AJ72" s="80"/>
      <c r="AK72" s="188"/>
      <c r="AL72" s="80"/>
      <c r="AM72" s="80"/>
      <c r="AN72" s="80"/>
      <c r="AO72" s="81" t="str">
        <f>R7</f>
        <v>PAGE  20  OF  22</v>
      </c>
      <c r="AQ72" s="440"/>
    </row>
    <row r="73" spans="1:47" x14ac:dyDescent="0.25">
      <c r="A73" s="202"/>
      <c r="C73" s="154"/>
      <c r="F73" s="200"/>
      <c r="H73" s="200"/>
      <c r="I73" s="200"/>
      <c r="J73" s="305"/>
      <c r="K73" s="305"/>
      <c r="L73" s="200"/>
      <c r="M73" s="200"/>
      <c r="N73" s="200"/>
      <c r="O73" s="200"/>
      <c r="P73" s="200"/>
      <c r="Q73" s="200"/>
      <c r="R73" s="200"/>
      <c r="T73" s="82" t="s">
        <v>192</v>
      </c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188"/>
      <c r="AH73" s="80"/>
      <c r="AI73" s="80"/>
      <c r="AJ73" s="80"/>
      <c r="AK73" s="188"/>
      <c r="AL73" s="80"/>
      <c r="AM73" s="80"/>
      <c r="AN73" s="80"/>
      <c r="AO73" s="82" t="s">
        <v>3</v>
      </c>
      <c r="AQ73" s="440"/>
    </row>
    <row r="74" spans="1:47" x14ac:dyDescent="0.25">
      <c r="A74" s="202"/>
      <c r="C74" s="154"/>
      <c r="F74" s="200"/>
      <c r="H74" s="252"/>
      <c r="I74" s="252"/>
      <c r="J74" s="329"/>
      <c r="K74" s="329"/>
      <c r="L74" s="200"/>
      <c r="M74" s="200"/>
      <c r="N74" s="210"/>
      <c r="O74" s="210"/>
      <c r="P74" s="200"/>
      <c r="Q74" s="200"/>
      <c r="R74" s="200"/>
      <c r="T74" s="258" t="str">
        <f>TIME</f>
        <v>6 Months Actual and 6 Months Projected</v>
      </c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G74" s="440"/>
      <c r="AH74" s="80"/>
      <c r="AI74" s="80"/>
      <c r="AJ74" s="80"/>
      <c r="AK74" s="188"/>
      <c r="AL74" s="80"/>
      <c r="AM74" s="80"/>
      <c r="AN74" s="80"/>
      <c r="AO74" s="159" t="str">
        <f>WIT</f>
        <v>B. L. SAILERS</v>
      </c>
    </row>
    <row r="75" spans="1:47" x14ac:dyDescent="0.25">
      <c r="F75" s="200"/>
      <c r="H75" s="200"/>
      <c r="I75" s="200"/>
      <c r="J75" s="305"/>
      <c r="K75" s="305"/>
      <c r="L75" s="211"/>
      <c r="M75" s="211"/>
      <c r="N75" s="211"/>
      <c r="O75" s="211"/>
      <c r="P75" s="211"/>
      <c r="Q75" s="211"/>
      <c r="R75" s="211"/>
      <c r="T75" s="187" t="s">
        <v>152</v>
      </c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87"/>
      <c r="AG75" s="450"/>
      <c r="AH75" s="150"/>
      <c r="AI75" s="150"/>
      <c r="AJ75" s="150"/>
      <c r="AK75" s="190"/>
      <c r="AL75" s="150"/>
      <c r="AM75" s="150"/>
      <c r="AN75" s="150"/>
      <c r="AO75" s="150"/>
      <c r="AP75" s="187"/>
      <c r="AQ75" s="450"/>
    </row>
    <row r="76" spans="1:47" x14ac:dyDescent="0.25">
      <c r="A76" s="202"/>
      <c r="C76" s="154"/>
      <c r="F76" s="200"/>
      <c r="H76" s="200"/>
      <c r="I76" s="200"/>
      <c r="J76" s="213"/>
      <c r="K76" s="213"/>
      <c r="L76" s="200"/>
      <c r="M76" s="200"/>
      <c r="N76" s="210"/>
      <c r="O76" s="210"/>
      <c r="P76" s="200"/>
      <c r="Q76" s="200"/>
      <c r="R76" s="200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91"/>
      <c r="AH76" s="151"/>
      <c r="AI76" s="151"/>
      <c r="AJ76" s="151"/>
      <c r="AK76" s="191"/>
      <c r="AL76" s="151"/>
      <c r="AM76" s="151"/>
      <c r="AN76" s="151"/>
      <c r="AO76" s="151"/>
      <c r="AP76" s="151"/>
      <c r="AQ76" s="191"/>
    </row>
    <row r="77" spans="1:47" ht="18" customHeight="1" x14ac:dyDescent="0.25">
      <c r="A77" s="202"/>
      <c r="C77" s="154"/>
      <c r="F77" s="200"/>
      <c r="H77" s="200"/>
      <c r="I77" s="200"/>
      <c r="J77" s="213"/>
      <c r="K77" s="213"/>
      <c r="L77" s="200"/>
      <c r="M77" s="200"/>
      <c r="N77" s="210"/>
      <c r="O77" s="210"/>
      <c r="P77" s="200"/>
      <c r="Q77" s="200"/>
      <c r="R77" s="200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93" t="s">
        <v>8</v>
      </c>
      <c r="AF77" s="193"/>
      <c r="AG77" s="194" t="s">
        <v>7</v>
      </c>
      <c r="AH77" s="193"/>
      <c r="AI77" s="193" t="s">
        <v>9</v>
      </c>
      <c r="AJ77" s="193"/>
      <c r="AK77" s="194" t="s">
        <v>10</v>
      </c>
      <c r="AL77" s="193"/>
      <c r="AM77" s="152"/>
      <c r="AN77" s="152"/>
      <c r="AO77" s="193" t="s">
        <v>8</v>
      </c>
      <c r="AP77" s="193"/>
      <c r="AQ77" s="194" t="s">
        <v>11</v>
      </c>
    </row>
    <row r="78" spans="1:47" x14ac:dyDescent="0.25">
      <c r="A78" s="202"/>
      <c r="C78" s="154"/>
      <c r="F78" s="200"/>
      <c r="H78" s="252"/>
      <c r="I78" s="252"/>
      <c r="J78" s="320"/>
      <c r="K78" s="320"/>
      <c r="L78" s="200"/>
      <c r="M78" s="200"/>
      <c r="N78" s="210"/>
      <c r="O78" s="210"/>
      <c r="P78" s="200"/>
      <c r="Q78" s="200"/>
      <c r="R78" s="200"/>
      <c r="T78" s="80"/>
      <c r="U78" s="80"/>
      <c r="V78" s="80"/>
      <c r="W78" s="80"/>
      <c r="X78" s="80"/>
      <c r="Y78" s="80"/>
      <c r="Z78" s="80"/>
      <c r="AA78" s="80"/>
      <c r="AB78" s="80"/>
      <c r="AC78" s="83" t="s">
        <v>14</v>
      </c>
      <c r="AD78" s="83"/>
      <c r="AE78" s="83" t="s">
        <v>12</v>
      </c>
      <c r="AF78" s="83"/>
      <c r="AG78" s="195" t="s">
        <v>13</v>
      </c>
      <c r="AH78" s="83"/>
      <c r="AI78" s="83" t="s">
        <v>15</v>
      </c>
      <c r="AJ78" s="83"/>
      <c r="AK78" s="195" t="s">
        <v>16</v>
      </c>
      <c r="AL78" s="83"/>
      <c r="AM78" s="80"/>
      <c r="AN78" s="80"/>
      <c r="AO78" s="83" t="s">
        <v>11</v>
      </c>
      <c r="AP78" s="83"/>
      <c r="AQ78" s="195" t="s">
        <v>9</v>
      </c>
    </row>
    <row r="79" spans="1:47" x14ac:dyDescent="0.25">
      <c r="F79" s="211"/>
      <c r="H79" s="211"/>
      <c r="I79" s="211"/>
      <c r="J79" s="305"/>
      <c r="K79" s="305"/>
      <c r="L79" s="211"/>
      <c r="M79" s="211"/>
      <c r="N79" s="211"/>
      <c r="O79" s="211"/>
      <c r="P79" s="211"/>
      <c r="Q79" s="211"/>
      <c r="R79" s="211"/>
      <c r="T79" s="83" t="s">
        <v>17</v>
      </c>
      <c r="U79" s="80"/>
      <c r="V79" s="83" t="s">
        <v>18</v>
      </c>
      <c r="W79" s="83" t="s">
        <v>19</v>
      </c>
      <c r="X79" s="83"/>
      <c r="Y79" s="83" t="s">
        <v>20</v>
      </c>
      <c r="Z79" s="80"/>
      <c r="AA79" s="80"/>
      <c r="AB79" s="80"/>
      <c r="AC79" s="83" t="s">
        <v>8</v>
      </c>
      <c r="AD79" s="83"/>
      <c r="AE79" s="83" t="s">
        <v>21</v>
      </c>
      <c r="AF79" s="83"/>
      <c r="AG79" s="195" t="s">
        <v>21</v>
      </c>
      <c r="AH79" s="83"/>
      <c r="AI79" s="83" t="s">
        <v>22</v>
      </c>
      <c r="AJ79" s="83"/>
      <c r="AK79" s="195" t="s">
        <v>22</v>
      </c>
      <c r="AL79" s="83"/>
      <c r="AM79" s="83" t="s">
        <v>21</v>
      </c>
      <c r="AN79" s="83"/>
      <c r="AO79" s="83" t="s">
        <v>9</v>
      </c>
      <c r="AP79" s="83"/>
      <c r="AQ79" s="195" t="s">
        <v>23</v>
      </c>
    </row>
    <row r="80" spans="1:47" x14ac:dyDescent="0.25">
      <c r="F80" s="211"/>
      <c r="H80" s="211"/>
      <c r="I80" s="211"/>
      <c r="J80" s="305"/>
      <c r="K80" s="305"/>
      <c r="L80" s="211"/>
      <c r="M80" s="211"/>
      <c r="N80" s="211"/>
      <c r="O80" s="211"/>
      <c r="P80" s="211"/>
      <c r="Q80" s="211"/>
      <c r="R80" s="211"/>
      <c r="S80" s="200"/>
      <c r="T80" s="83" t="s">
        <v>24</v>
      </c>
      <c r="U80" s="80"/>
      <c r="V80" s="83" t="s">
        <v>25</v>
      </c>
      <c r="W80" s="83" t="s">
        <v>26</v>
      </c>
      <c r="X80" s="83"/>
      <c r="Y80" s="83" t="s">
        <v>27</v>
      </c>
      <c r="Z80" s="80"/>
      <c r="AA80" s="83" t="s">
        <v>28</v>
      </c>
      <c r="AB80" s="83"/>
      <c r="AC80" s="196" t="s">
        <v>431</v>
      </c>
      <c r="AD80" s="83"/>
      <c r="AE80" s="83" t="s">
        <v>9</v>
      </c>
      <c r="AF80" s="83"/>
      <c r="AG80" s="195" t="s">
        <v>9</v>
      </c>
      <c r="AH80" s="83"/>
      <c r="AI80" s="256" t="s">
        <v>31</v>
      </c>
      <c r="AJ80" s="256"/>
      <c r="AK80" s="257" t="s">
        <v>32</v>
      </c>
      <c r="AL80" s="83"/>
      <c r="AM80" s="83" t="s">
        <v>430</v>
      </c>
      <c r="AN80" s="83"/>
      <c r="AO80" s="256" t="s">
        <v>33</v>
      </c>
      <c r="AP80" s="256"/>
      <c r="AQ80" s="257" t="s">
        <v>34</v>
      </c>
      <c r="AU80" s="104"/>
    </row>
    <row r="81" spans="1:51" x14ac:dyDescent="0.25">
      <c r="A81" s="202"/>
      <c r="C81" s="154"/>
      <c r="F81" s="252"/>
      <c r="H81" s="330"/>
      <c r="I81" s="330"/>
      <c r="J81" s="305"/>
      <c r="K81" s="305"/>
      <c r="L81" s="200"/>
      <c r="M81" s="200"/>
      <c r="N81" s="210"/>
      <c r="O81" s="210"/>
      <c r="P81" s="200"/>
      <c r="Q81" s="200"/>
      <c r="R81" s="200"/>
      <c r="S81" s="200"/>
      <c r="T81" s="80"/>
      <c r="U81" s="80"/>
      <c r="V81" s="256" t="s">
        <v>35</v>
      </c>
      <c r="W81" s="256" t="s">
        <v>36</v>
      </c>
      <c r="X81" s="256"/>
      <c r="Y81" s="256" t="s">
        <v>37</v>
      </c>
      <c r="Z81" s="258"/>
      <c r="AA81" s="256" t="s">
        <v>38</v>
      </c>
      <c r="AB81" s="256"/>
      <c r="AC81" s="256" t="s">
        <v>44</v>
      </c>
      <c r="AD81" s="256"/>
      <c r="AE81" s="256" t="s">
        <v>45</v>
      </c>
      <c r="AF81" s="256"/>
      <c r="AG81" s="257" t="s">
        <v>46</v>
      </c>
      <c r="AH81" s="256"/>
      <c r="AI81" s="256" t="s">
        <v>47</v>
      </c>
      <c r="AJ81" s="256"/>
      <c r="AK81" s="257" t="s">
        <v>48</v>
      </c>
      <c r="AL81" s="256"/>
      <c r="AM81" s="256" t="s">
        <v>42</v>
      </c>
      <c r="AN81" s="256"/>
      <c r="AO81" s="256" t="s">
        <v>49</v>
      </c>
      <c r="AP81" s="256"/>
      <c r="AQ81" s="257" t="s">
        <v>50</v>
      </c>
      <c r="AU81" s="104"/>
      <c r="AW81" s="101" t="s">
        <v>403</v>
      </c>
    </row>
    <row r="82" spans="1:51" ht="17.100000000000001" customHeight="1" x14ac:dyDescent="0.25">
      <c r="T82" s="152"/>
      <c r="U82" s="152"/>
      <c r="V82" s="152"/>
      <c r="W82" s="152"/>
      <c r="X82" s="152"/>
      <c r="Y82" s="152"/>
      <c r="Z82" s="152"/>
      <c r="AA82" s="376" t="s">
        <v>51</v>
      </c>
      <c r="AB82" s="376"/>
      <c r="AC82" s="375" t="s">
        <v>71</v>
      </c>
      <c r="AD82" s="376"/>
      <c r="AE82" s="376" t="s">
        <v>52</v>
      </c>
      <c r="AF82" s="376"/>
      <c r="AG82" s="381" t="s">
        <v>53</v>
      </c>
      <c r="AH82" s="376"/>
      <c r="AI82" s="376" t="s">
        <v>52</v>
      </c>
      <c r="AJ82" s="376"/>
      <c r="AK82" s="381" t="s">
        <v>53</v>
      </c>
      <c r="AL82" s="376"/>
      <c r="AM82" s="376" t="s">
        <v>52</v>
      </c>
      <c r="AN82" s="376"/>
      <c r="AO82" s="376" t="s">
        <v>52</v>
      </c>
      <c r="AP82" s="376"/>
      <c r="AQ82" s="381" t="s">
        <v>53</v>
      </c>
      <c r="AU82" s="104"/>
    </row>
    <row r="83" spans="1:51" x14ac:dyDescent="0.25">
      <c r="A83" s="202"/>
      <c r="C83" s="154"/>
      <c r="F83" s="252"/>
      <c r="H83" s="252"/>
      <c r="I83" s="252"/>
      <c r="J83" s="300"/>
      <c r="K83" s="300"/>
      <c r="L83" s="200"/>
      <c r="M83" s="200"/>
      <c r="N83" s="210"/>
      <c r="O83" s="210"/>
      <c r="P83" s="202"/>
      <c r="Q83" s="202"/>
      <c r="R83" s="200"/>
      <c r="T83" s="159">
        <v>1</v>
      </c>
      <c r="U83" s="80"/>
      <c r="V83" s="253" t="s">
        <v>101</v>
      </c>
      <c r="W83" s="265" t="s">
        <v>274</v>
      </c>
      <c r="X83" s="82"/>
      <c r="Y83" s="70"/>
      <c r="Z83" s="70"/>
      <c r="AA83" s="70"/>
      <c r="AB83" s="70"/>
      <c r="AC83" s="70"/>
      <c r="AD83" s="70"/>
      <c r="AE83" s="70"/>
      <c r="AF83" s="70"/>
      <c r="AG83" s="164"/>
      <c r="AH83" s="70"/>
      <c r="AI83" s="70"/>
      <c r="AJ83" s="70"/>
      <c r="AK83" s="164"/>
      <c r="AL83" s="70"/>
      <c r="AM83" s="70"/>
      <c r="AN83" s="70"/>
      <c r="AO83" s="70"/>
      <c r="AP83" s="70"/>
      <c r="AQ83" s="164"/>
    </row>
    <row r="84" spans="1:51" x14ac:dyDescent="0.25">
      <c r="A84" s="202"/>
      <c r="C84" s="154"/>
      <c r="F84" s="252"/>
      <c r="H84" s="252"/>
      <c r="I84" s="252"/>
      <c r="J84" s="300"/>
      <c r="K84" s="300"/>
      <c r="L84" s="200"/>
      <c r="M84" s="200"/>
      <c r="N84" s="210"/>
      <c r="O84" s="210"/>
      <c r="P84" s="202"/>
      <c r="Q84" s="202"/>
      <c r="R84" s="200"/>
      <c r="T84" s="80"/>
      <c r="U84" s="80"/>
      <c r="V84" s="258"/>
      <c r="W84" s="258"/>
      <c r="X84" s="80"/>
      <c r="Y84" s="70"/>
      <c r="Z84" s="70"/>
      <c r="AA84" s="70"/>
      <c r="AB84" s="70"/>
      <c r="AC84" s="70"/>
      <c r="AD84" s="70"/>
      <c r="AE84" s="70"/>
      <c r="AF84" s="70"/>
      <c r="AG84" s="164"/>
      <c r="AH84" s="70"/>
      <c r="AI84" s="70"/>
      <c r="AJ84" s="70"/>
      <c r="AK84" s="164"/>
      <c r="AL84" s="70"/>
      <c r="AM84" s="70"/>
      <c r="AN84" s="70"/>
      <c r="AO84" s="70"/>
      <c r="AP84" s="70"/>
      <c r="AQ84" s="164"/>
    </row>
    <row r="85" spans="1:51" x14ac:dyDescent="0.25">
      <c r="F85" s="211"/>
      <c r="H85" s="200"/>
      <c r="I85" s="200"/>
      <c r="J85" s="305"/>
      <c r="K85" s="305"/>
      <c r="L85" s="211"/>
      <c r="M85" s="211"/>
      <c r="N85" s="211"/>
      <c r="O85" s="211"/>
      <c r="P85" s="211"/>
      <c r="Q85" s="211"/>
      <c r="R85" s="211"/>
      <c r="T85" s="159">
        <v>2</v>
      </c>
      <c r="U85" s="80"/>
      <c r="V85" s="417" t="s">
        <v>102</v>
      </c>
      <c r="W85" s="265" t="s">
        <v>277</v>
      </c>
      <c r="X85" s="82"/>
      <c r="Y85" s="70"/>
      <c r="Z85" s="70"/>
      <c r="AA85" s="70"/>
      <c r="AB85" s="70"/>
      <c r="AC85" s="70"/>
      <c r="AD85" s="70"/>
      <c r="AE85" s="70"/>
      <c r="AF85" s="70"/>
      <c r="AG85" s="164"/>
      <c r="AH85" s="70"/>
      <c r="AI85" s="70"/>
      <c r="AJ85" s="70"/>
      <c r="AK85" s="164"/>
      <c r="AL85" s="70"/>
      <c r="AM85" s="70"/>
      <c r="AN85" s="70"/>
      <c r="AO85" s="70"/>
      <c r="AP85" s="70"/>
      <c r="AQ85" s="164"/>
    </row>
    <row r="86" spans="1:51" x14ac:dyDescent="0.25">
      <c r="F86" s="211"/>
      <c r="H86" s="200"/>
      <c r="I86" s="200"/>
      <c r="J86" s="305"/>
      <c r="K86" s="305"/>
      <c r="L86" s="211"/>
      <c r="M86" s="211"/>
      <c r="N86" s="211"/>
      <c r="O86" s="211"/>
      <c r="P86" s="211"/>
      <c r="Q86" s="211"/>
      <c r="R86" s="211"/>
      <c r="T86" s="159">
        <v>3</v>
      </c>
      <c r="U86" s="80"/>
      <c r="V86" s="82" t="s">
        <v>275</v>
      </c>
      <c r="W86" s="81"/>
      <c r="X86" s="80"/>
      <c r="Y86" s="161">
        <f>F21</f>
        <v>73</v>
      </c>
      <c r="Z86" s="70"/>
      <c r="AA86" s="161">
        <f>H21</f>
        <v>2908</v>
      </c>
      <c r="AB86" s="70"/>
      <c r="AC86" s="349">
        <v>7.79</v>
      </c>
      <c r="AD86" s="70"/>
      <c r="AE86" s="79">
        <f>ROUND((Y86*AC86),0)</f>
        <v>569</v>
      </c>
      <c r="AF86" s="70"/>
      <c r="AG86" s="155">
        <f>ROUND((AE86/$AE$123)*100,1)-0.1</f>
        <v>39.199999999999996</v>
      </c>
      <c r="AH86" s="70"/>
      <c r="AI86" s="161">
        <f>L21-AE86</f>
        <v>68</v>
      </c>
      <c r="AJ86" s="70"/>
      <c r="AK86" s="155">
        <f>ROUND((AI86/AE86)*100,1)</f>
        <v>12</v>
      </c>
      <c r="AL86" s="70"/>
      <c r="AM86" s="163">
        <f>ROUND($AM$123/$AA$123*AA86,0)+1</f>
        <v>4</v>
      </c>
      <c r="AN86" s="70"/>
      <c r="AO86" s="79">
        <f>AE86+AM86</f>
        <v>573</v>
      </c>
      <c r="AP86" s="70"/>
      <c r="AQ86" s="155">
        <f>ROUND((AI86/AO86)*100,1)</f>
        <v>11.9</v>
      </c>
      <c r="AU86" s="394"/>
      <c r="AW86" s="225">
        <v>478</v>
      </c>
      <c r="AX86" s="402"/>
      <c r="AY86" s="402"/>
    </row>
    <row r="87" spans="1:51" x14ac:dyDescent="0.25">
      <c r="A87" s="202"/>
      <c r="C87" s="154"/>
      <c r="F87" s="252"/>
      <c r="H87" s="252"/>
      <c r="I87" s="252"/>
      <c r="J87" s="328"/>
      <c r="K87" s="328"/>
      <c r="L87" s="200"/>
      <c r="M87" s="200"/>
      <c r="N87" s="210"/>
      <c r="O87" s="210"/>
      <c r="P87" s="200"/>
      <c r="Q87" s="200"/>
      <c r="R87" s="200"/>
      <c r="S87" s="200"/>
      <c r="T87" s="159">
        <v>4</v>
      </c>
      <c r="U87" s="80"/>
      <c r="V87" s="81" t="s">
        <v>276</v>
      </c>
      <c r="W87" s="81"/>
      <c r="X87" s="80"/>
      <c r="Y87" s="203">
        <f>F22</f>
        <v>11</v>
      </c>
      <c r="Z87" s="70"/>
      <c r="AA87" s="203">
        <f>H22</f>
        <v>438</v>
      </c>
      <c r="AB87" s="84"/>
      <c r="AC87" s="349">
        <v>10.66</v>
      </c>
      <c r="AD87" s="85"/>
      <c r="AE87" s="167">
        <f>ROUND((Y87*AC87),0)</f>
        <v>117</v>
      </c>
      <c r="AF87" s="84"/>
      <c r="AG87" s="155">
        <f>ROUND((AE87/$AE$123)*100,1)</f>
        <v>8.1</v>
      </c>
      <c r="AH87" s="84"/>
      <c r="AI87" s="203">
        <f>L22-AE87</f>
        <v>14</v>
      </c>
      <c r="AJ87" s="84"/>
      <c r="AK87" s="166">
        <f>ROUND((AI87/AE87)*100,1)</f>
        <v>12</v>
      </c>
      <c r="AL87" s="84"/>
      <c r="AM87" s="167">
        <f>ROUND($AM$123/$AA$123*AA87,0)</f>
        <v>0</v>
      </c>
      <c r="AN87" s="84"/>
      <c r="AO87" s="79">
        <f>AE87+AM87</f>
        <v>117</v>
      </c>
      <c r="AP87" s="70"/>
      <c r="AQ87" s="155">
        <f>ROUND((AI87/AO87)*100,1)</f>
        <v>12</v>
      </c>
      <c r="AU87" s="394"/>
      <c r="AW87" s="225">
        <v>478</v>
      </c>
      <c r="AX87" s="402"/>
      <c r="AY87" s="402"/>
    </row>
    <row r="88" spans="1:51" ht="20.100000000000001" customHeight="1" x14ac:dyDescent="0.25">
      <c r="A88" s="202"/>
      <c r="C88" s="154"/>
      <c r="F88" s="252"/>
      <c r="H88" s="252"/>
      <c r="I88" s="252"/>
      <c r="J88" s="300"/>
      <c r="K88" s="300"/>
      <c r="L88" s="200"/>
      <c r="M88" s="200"/>
      <c r="N88" s="210"/>
      <c r="O88" s="210"/>
      <c r="P88" s="200"/>
      <c r="Q88" s="200"/>
      <c r="R88" s="200"/>
      <c r="T88" s="159">
        <v>5</v>
      </c>
      <c r="U88" s="80"/>
      <c r="V88" s="253" t="s">
        <v>103</v>
      </c>
      <c r="W88" s="80"/>
      <c r="X88" s="80"/>
      <c r="Y88" s="169">
        <f>SUM(Y86:Y87)</f>
        <v>84</v>
      </c>
      <c r="Z88" s="79"/>
      <c r="AA88" s="169">
        <f>SUM(AA86:AA87)</f>
        <v>3346</v>
      </c>
      <c r="AB88" s="79"/>
      <c r="AC88" s="399"/>
      <c r="AD88" s="352"/>
      <c r="AE88" s="169">
        <f>SUM(AE86:AE87)</f>
        <v>686</v>
      </c>
      <c r="AF88" s="79"/>
      <c r="AG88" s="170">
        <f>ROUND((AE88/$AE$123)*100,1)-0.1</f>
        <v>47.3</v>
      </c>
      <c r="AH88" s="156"/>
      <c r="AI88" s="169">
        <f>SUM(AI86:AI87)</f>
        <v>82</v>
      </c>
      <c r="AJ88" s="79"/>
      <c r="AK88" s="170">
        <f>ROUND((AI88/AE88)*100,1)</f>
        <v>12</v>
      </c>
      <c r="AL88" s="158"/>
      <c r="AM88" s="169">
        <f>ROUND($AM$123/$AA$123*AA88,0)</f>
        <v>4</v>
      </c>
      <c r="AN88" s="79"/>
      <c r="AO88" s="169">
        <f>SUM(AO86:AO87)</f>
        <v>690</v>
      </c>
      <c r="AP88" s="79"/>
      <c r="AQ88" s="155">
        <f>ROUND((AI88/AO88)*100,1)</f>
        <v>11.9</v>
      </c>
      <c r="AW88" s="200"/>
      <c r="AX88" s="446"/>
      <c r="AY88" s="446"/>
    </row>
    <row r="89" spans="1:51" x14ac:dyDescent="0.25">
      <c r="F89" s="200"/>
      <c r="H89" s="211"/>
      <c r="I89" s="211"/>
      <c r="J89" s="305"/>
      <c r="K89" s="305"/>
      <c r="L89" s="211"/>
      <c r="M89" s="211"/>
      <c r="N89" s="211"/>
      <c r="O89" s="211"/>
      <c r="P89" s="211"/>
      <c r="Q89" s="211"/>
      <c r="R89" s="211"/>
      <c r="T89" s="159"/>
      <c r="U89" s="80"/>
      <c r="V89" s="82"/>
      <c r="W89" s="81"/>
      <c r="X89" s="80"/>
      <c r="Y89" s="79"/>
      <c r="Z89" s="79"/>
      <c r="AA89" s="79"/>
      <c r="AB89" s="79"/>
      <c r="AC89" s="80"/>
      <c r="AD89" s="352"/>
      <c r="AE89" s="70"/>
      <c r="AF89" s="70"/>
      <c r="AG89" s="164"/>
      <c r="AH89" s="70"/>
      <c r="AI89" s="70"/>
      <c r="AJ89" s="70"/>
      <c r="AK89" s="164"/>
      <c r="AL89" s="70"/>
      <c r="AM89" s="70"/>
      <c r="AN89" s="70"/>
      <c r="AO89" s="70"/>
      <c r="AP89" s="70"/>
      <c r="AQ89" s="164"/>
      <c r="AW89" s="80"/>
      <c r="AX89" s="446"/>
      <c r="AY89" s="446"/>
    </row>
    <row r="90" spans="1:51" x14ac:dyDescent="0.25">
      <c r="F90" s="200"/>
      <c r="H90" s="211"/>
      <c r="I90" s="211"/>
      <c r="J90" s="305"/>
      <c r="K90" s="305"/>
      <c r="L90" s="211"/>
      <c r="M90" s="211"/>
      <c r="N90" s="211"/>
      <c r="O90" s="211"/>
      <c r="P90" s="211"/>
      <c r="Q90" s="211"/>
      <c r="R90" s="211"/>
      <c r="T90" s="159">
        <v>6</v>
      </c>
      <c r="U90" s="80"/>
      <c r="V90" s="417" t="s">
        <v>104</v>
      </c>
      <c r="W90" s="265" t="s">
        <v>278</v>
      </c>
      <c r="X90" s="80"/>
      <c r="Y90" s="79"/>
      <c r="Z90" s="79"/>
      <c r="AA90" s="79"/>
      <c r="AB90" s="79"/>
      <c r="AC90" s="80"/>
      <c r="AD90" s="352"/>
      <c r="AE90" s="79"/>
      <c r="AF90" s="79"/>
      <c r="AG90" s="155"/>
      <c r="AH90" s="156"/>
      <c r="AI90" s="79"/>
      <c r="AJ90" s="79"/>
      <c r="AK90" s="155"/>
      <c r="AL90" s="158"/>
      <c r="AM90" s="79"/>
      <c r="AN90" s="79"/>
      <c r="AO90" s="79"/>
      <c r="AP90" s="79"/>
      <c r="AQ90" s="155"/>
      <c r="AW90" s="80"/>
      <c r="AX90" s="446"/>
      <c r="AY90" s="446"/>
    </row>
    <row r="91" spans="1:51" x14ac:dyDescent="0.25">
      <c r="A91" s="202"/>
      <c r="C91" s="154"/>
      <c r="F91" s="200"/>
      <c r="H91" s="200"/>
      <c r="I91" s="200"/>
      <c r="J91" s="305"/>
      <c r="K91" s="305"/>
      <c r="L91" s="200"/>
      <c r="M91" s="200"/>
      <c r="N91" s="200"/>
      <c r="O91" s="200"/>
      <c r="P91" s="200"/>
      <c r="Q91" s="200"/>
      <c r="R91" s="200"/>
      <c r="T91" s="159">
        <v>7</v>
      </c>
      <c r="U91" s="80"/>
      <c r="V91" s="417"/>
      <c r="W91" s="265" t="s">
        <v>279</v>
      </c>
      <c r="X91" s="80"/>
      <c r="Y91" s="79"/>
      <c r="Z91" s="79"/>
      <c r="AA91" s="79"/>
      <c r="AB91" s="79"/>
      <c r="AC91" s="80"/>
      <c r="AD91" s="352"/>
      <c r="AE91" s="70"/>
      <c r="AF91" s="70"/>
      <c r="AG91" s="164"/>
      <c r="AH91" s="70"/>
      <c r="AI91" s="70"/>
      <c r="AJ91" s="70"/>
      <c r="AK91" s="164"/>
      <c r="AL91" s="70"/>
      <c r="AM91" s="70"/>
      <c r="AN91" s="70"/>
      <c r="AO91" s="70"/>
      <c r="AP91" s="70"/>
      <c r="AQ91" s="164"/>
      <c r="AW91" s="80"/>
      <c r="AX91" s="446"/>
      <c r="AY91" s="446"/>
    </row>
    <row r="92" spans="1:51" x14ac:dyDescent="0.25">
      <c r="A92" s="202"/>
      <c r="C92" s="154"/>
      <c r="F92" s="200"/>
      <c r="H92" s="252"/>
      <c r="I92" s="252"/>
      <c r="J92" s="329"/>
      <c r="K92" s="329"/>
      <c r="L92" s="200"/>
      <c r="M92" s="200"/>
      <c r="N92" s="210"/>
      <c r="O92" s="210"/>
      <c r="P92" s="200"/>
      <c r="Q92" s="200"/>
      <c r="R92" s="200"/>
      <c r="T92" s="159">
        <v>8</v>
      </c>
      <c r="U92" s="80"/>
      <c r="V92" s="253" t="s">
        <v>76</v>
      </c>
      <c r="W92" s="265"/>
      <c r="X92" s="80"/>
      <c r="Y92" s="79"/>
      <c r="Z92" s="79"/>
      <c r="AA92" s="79"/>
      <c r="AB92" s="79"/>
      <c r="AC92" s="80"/>
      <c r="AD92" s="352"/>
      <c r="AE92" s="79"/>
      <c r="AF92" s="79"/>
      <c r="AG92" s="155"/>
      <c r="AH92" s="156"/>
      <c r="AI92" s="79"/>
      <c r="AJ92" s="79"/>
      <c r="AK92" s="155"/>
      <c r="AL92" s="158"/>
      <c r="AM92" s="79"/>
      <c r="AN92" s="79"/>
      <c r="AO92" s="79"/>
      <c r="AP92" s="79"/>
      <c r="AQ92" s="155"/>
      <c r="AW92" s="80"/>
      <c r="AX92" s="446"/>
      <c r="AY92" s="446"/>
    </row>
    <row r="93" spans="1:51" x14ac:dyDescent="0.25">
      <c r="A93" s="202"/>
      <c r="C93" s="154"/>
      <c r="H93" s="252"/>
      <c r="I93" s="252"/>
      <c r="J93" s="329"/>
      <c r="K93" s="329"/>
      <c r="L93" s="200"/>
      <c r="M93" s="200"/>
      <c r="N93" s="210"/>
      <c r="O93" s="210"/>
      <c r="P93" s="200"/>
      <c r="Q93" s="200"/>
      <c r="R93" s="200"/>
      <c r="T93" s="159">
        <v>9</v>
      </c>
      <c r="U93" s="80"/>
      <c r="V93" s="82" t="s">
        <v>105</v>
      </c>
      <c r="W93" s="80"/>
      <c r="X93" s="80"/>
      <c r="Y93" s="79"/>
      <c r="Z93" s="79"/>
      <c r="AA93" s="79"/>
      <c r="AB93" s="79"/>
      <c r="AC93" s="399"/>
      <c r="AD93" s="352"/>
      <c r="AE93" s="70"/>
      <c r="AF93" s="70"/>
      <c r="AG93" s="164"/>
      <c r="AH93" s="70"/>
      <c r="AI93" s="70"/>
      <c r="AJ93" s="70"/>
      <c r="AK93" s="164"/>
      <c r="AL93" s="70"/>
      <c r="AM93" s="70"/>
      <c r="AN93" s="70"/>
      <c r="AO93" s="70"/>
      <c r="AP93" s="70"/>
      <c r="AQ93" s="164"/>
      <c r="AW93" s="80"/>
      <c r="AX93" s="446"/>
      <c r="AY93" s="446"/>
    </row>
    <row r="94" spans="1:51" x14ac:dyDescent="0.25">
      <c r="F94" s="200"/>
      <c r="H94" s="200"/>
      <c r="I94" s="200"/>
      <c r="J94" s="305"/>
      <c r="K94" s="305"/>
      <c r="L94" s="211"/>
      <c r="M94" s="211"/>
      <c r="N94" s="211"/>
      <c r="O94" s="211"/>
      <c r="P94" s="211"/>
      <c r="Q94" s="211"/>
      <c r="R94" s="211"/>
      <c r="T94" s="159">
        <v>10</v>
      </c>
      <c r="U94" s="80"/>
      <c r="V94" s="81" t="s">
        <v>280</v>
      </c>
      <c r="W94" s="80"/>
      <c r="X94" s="80"/>
      <c r="Y94" s="110">
        <f>F29</f>
        <v>0</v>
      </c>
      <c r="Z94" s="79"/>
      <c r="AA94" s="161">
        <f>H29</f>
        <v>0</v>
      </c>
      <c r="AB94" s="79"/>
      <c r="AC94" s="349">
        <v>14.54</v>
      </c>
      <c r="AD94" s="352"/>
      <c r="AE94" s="79">
        <f>ROUND((Y94*AC94),0)</f>
        <v>0</v>
      </c>
      <c r="AF94" s="79"/>
      <c r="AG94" s="155">
        <f>ROUND((AE94/$AE$123)*100,1)</f>
        <v>0</v>
      </c>
      <c r="AH94" s="156"/>
      <c r="AI94" s="161">
        <f>L29-AE94</f>
        <v>0</v>
      </c>
      <c r="AJ94" s="79"/>
      <c r="AK94" s="157" t="str">
        <f>IF(AE94=0,"0.0 ",ROUND((AI94/AE94)*100,1))</f>
        <v xml:space="preserve">0.0 </v>
      </c>
      <c r="AL94" s="158"/>
      <c r="AM94" s="163">
        <f>ROUND($AM$123/$AA$123*AA94,0)</f>
        <v>0</v>
      </c>
      <c r="AN94" s="79"/>
      <c r="AO94" s="79">
        <f>AE94+AM94</f>
        <v>0</v>
      </c>
      <c r="AP94" s="79"/>
      <c r="AQ94" s="157" t="str">
        <f>IF(AO94=0,"0.0 ",ROUND((AI94/AO94)*100,1))</f>
        <v xml:space="preserve">0.0 </v>
      </c>
      <c r="AU94" s="394"/>
      <c r="AW94" s="225">
        <v>853</v>
      </c>
      <c r="AX94" s="402"/>
      <c r="AY94" s="402"/>
    </row>
    <row r="95" spans="1:51" x14ac:dyDescent="0.25">
      <c r="A95" s="202"/>
      <c r="C95" s="154"/>
      <c r="F95" s="200"/>
      <c r="H95" s="200"/>
      <c r="I95" s="200"/>
      <c r="J95" s="213"/>
      <c r="K95" s="213"/>
      <c r="L95" s="200"/>
      <c r="M95" s="200"/>
      <c r="N95" s="210"/>
      <c r="O95" s="210"/>
      <c r="P95" s="200"/>
      <c r="Q95" s="200"/>
      <c r="R95" s="200"/>
      <c r="T95" s="159">
        <v>11</v>
      </c>
      <c r="U95" s="80"/>
      <c r="V95" s="82" t="s">
        <v>105</v>
      </c>
      <c r="W95" s="80"/>
      <c r="X95" s="80"/>
      <c r="Y95" s="163"/>
      <c r="Z95" s="79"/>
      <c r="AA95" s="79"/>
      <c r="AB95" s="79"/>
      <c r="AC95" s="399"/>
      <c r="AD95" s="352"/>
      <c r="AE95" s="70"/>
      <c r="AF95" s="70"/>
      <c r="AG95" s="164"/>
      <c r="AH95" s="70"/>
      <c r="AI95" s="70"/>
      <c r="AJ95" s="70"/>
      <c r="AK95" s="164"/>
      <c r="AL95" s="70"/>
      <c r="AM95" s="70"/>
      <c r="AN95" s="70"/>
      <c r="AO95" s="70"/>
      <c r="AP95" s="70"/>
      <c r="AQ95" s="164"/>
      <c r="AW95" s="80"/>
      <c r="AX95" s="446"/>
      <c r="AY95" s="446"/>
    </row>
    <row r="96" spans="1:51" x14ac:dyDescent="0.25">
      <c r="F96" s="200"/>
      <c r="H96" s="200"/>
      <c r="I96" s="200"/>
      <c r="J96" s="305"/>
      <c r="K96" s="305"/>
      <c r="L96" s="211"/>
      <c r="M96" s="211"/>
      <c r="N96" s="211"/>
      <c r="O96" s="211"/>
      <c r="P96" s="211"/>
      <c r="Q96" s="211"/>
      <c r="R96" s="211"/>
      <c r="T96" s="159">
        <v>12</v>
      </c>
      <c r="U96" s="80"/>
      <c r="V96" s="81" t="s">
        <v>106</v>
      </c>
      <c r="W96" s="80"/>
      <c r="X96" s="80"/>
      <c r="Y96" s="110">
        <f>F31</f>
        <v>20</v>
      </c>
      <c r="Z96" s="79"/>
      <c r="AA96" s="161">
        <f>H31</f>
        <v>1422</v>
      </c>
      <c r="AB96" s="79"/>
      <c r="AC96" s="349">
        <v>14.54</v>
      </c>
      <c r="AD96" s="352"/>
      <c r="AE96" s="79">
        <f>ROUND((Y96*AC96),0)</f>
        <v>291</v>
      </c>
      <c r="AF96" s="79"/>
      <c r="AG96" s="155">
        <f>ROUND((AE96/$AE$123)*100,1)</f>
        <v>20.100000000000001</v>
      </c>
      <c r="AH96" s="156"/>
      <c r="AI96" s="161">
        <f>L31-AE96</f>
        <v>34</v>
      </c>
      <c r="AJ96" s="79"/>
      <c r="AK96" s="155">
        <f>ROUND((AI96/AE96)*100,1)</f>
        <v>11.7</v>
      </c>
      <c r="AL96" s="158"/>
      <c r="AM96" s="163">
        <f>ROUND($AM$123/$AA$123*AA96,0)</f>
        <v>1</v>
      </c>
      <c r="AN96" s="79"/>
      <c r="AO96" s="79">
        <f>AE96+AM96</f>
        <v>292</v>
      </c>
      <c r="AP96" s="79"/>
      <c r="AQ96" s="155">
        <f>ROUND((AI96/AO96)*100,1)</f>
        <v>11.6</v>
      </c>
      <c r="AU96" s="394"/>
      <c r="AW96" s="225">
        <v>853</v>
      </c>
      <c r="AX96" s="402"/>
      <c r="AY96" s="402"/>
    </row>
    <row r="97" spans="1:51" x14ac:dyDescent="0.25">
      <c r="A97" s="202"/>
      <c r="C97" s="154"/>
      <c r="F97" s="200"/>
      <c r="H97" s="200"/>
      <c r="I97" s="200"/>
      <c r="J97" s="213"/>
      <c r="K97" s="213"/>
      <c r="L97" s="200"/>
      <c r="M97" s="200"/>
      <c r="N97" s="210"/>
      <c r="O97" s="210"/>
      <c r="P97" s="200"/>
      <c r="Q97" s="200"/>
      <c r="R97" s="200"/>
      <c r="T97" s="159">
        <v>13</v>
      </c>
      <c r="U97" s="80"/>
      <c r="V97" s="82" t="s">
        <v>105</v>
      </c>
      <c r="W97" s="80"/>
      <c r="X97" s="80"/>
      <c r="Y97" s="163"/>
      <c r="Z97" s="79"/>
      <c r="AA97" s="79"/>
      <c r="AB97" s="79"/>
      <c r="AC97" s="399"/>
      <c r="AD97" s="352"/>
      <c r="AE97" s="70"/>
      <c r="AF97" s="70"/>
      <c r="AG97" s="164"/>
      <c r="AH97" s="70"/>
      <c r="AI97" s="70"/>
      <c r="AJ97" s="70"/>
      <c r="AK97" s="164"/>
      <c r="AL97" s="70"/>
      <c r="AM97" s="70"/>
      <c r="AN97" s="70"/>
      <c r="AO97" s="70"/>
      <c r="AP97" s="70"/>
      <c r="AQ97" s="164"/>
      <c r="AW97" s="80"/>
      <c r="AX97" s="446"/>
      <c r="AY97" s="446"/>
    </row>
    <row r="98" spans="1:51" x14ac:dyDescent="0.25">
      <c r="A98" s="202"/>
      <c r="C98" s="154"/>
      <c r="F98" s="252"/>
      <c r="H98" s="252"/>
      <c r="I98" s="252"/>
      <c r="J98" s="320"/>
      <c r="K98" s="320"/>
      <c r="L98" s="200"/>
      <c r="M98" s="200"/>
      <c r="N98" s="210"/>
      <c r="O98" s="210"/>
      <c r="P98" s="200"/>
      <c r="Q98" s="200"/>
      <c r="R98" s="200"/>
      <c r="T98" s="159">
        <v>14</v>
      </c>
      <c r="U98" s="80"/>
      <c r="V98" s="82" t="s">
        <v>107</v>
      </c>
      <c r="W98" s="80"/>
      <c r="X98" s="80"/>
      <c r="Y98" s="110">
        <f>F33</f>
        <v>1</v>
      </c>
      <c r="Z98" s="79"/>
      <c r="AA98" s="161">
        <f>H33</f>
        <v>71</v>
      </c>
      <c r="AB98" s="79"/>
      <c r="AC98" s="349">
        <v>13.44</v>
      </c>
      <c r="AD98" s="352"/>
      <c r="AE98" s="79">
        <f>ROUND((Y98*AC98),0)</f>
        <v>13</v>
      </c>
      <c r="AF98" s="79"/>
      <c r="AG98" s="155">
        <f>ROUND((AE98/$AE$123)*100,1)</f>
        <v>0.9</v>
      </c>
      <c r="AH98" s="156"/>
      <c r="AI98" s="161">
        <f>L33-AE98</f>
        <v>2</v>
      </c>
      <c r="AJ98" s="79"/>
      <c r="AK98" s="155">
        <f>ROUND((AI98/AE98)*100,1)</f>
        <v>15.4</v>
      </c>
      <c r="AL98" s="158"/>
      <c r="AM98" s="163">
        <f>ROUND($AM$123/$AA$123*AA98,0)</f>
        <v>0</v>
      </c>
      <c r="AN98" s="79"/>
      <c r="AO98" s="79">
        <f>AE98+AM98</f>
        <v>13</v>
      </c>
      <c r="AP98" s="79"/>
      <c r="AQ98" s="155">
        <f>ROUND((AI98/AO98)*100,1)</f>
        <v>15.4</v>
      </c>
      <c r="AU98" s="394"/>
      <c r="AW98" s="225">
        <v>853</v>
      </c>
      <c r="AX98" s="402"/>
      <c r="AY98" s="402"/>
    </row>
    <row r="99" spans="1:51" x14ac:dyDescent="0.25">
      <c r="A99" s="202"/>
      <c r="C99" s="154"/>
      <c r="F99" s="252"/>
      <c r="H99" s="252"/>
      <c r="I99" s="252"/>
      <c r="J99" s="320"/>
      <c r="K99" s="320"/>
      <c r="L99" s="200"/>
      <c r="M99" s="200"/>
      <c r="N99" s="210"/>
      <c r="O99" s="210"/>
      <c r="P99" s="200"/>
      <c r="Q99" s="200"/>
      <c r="R99" s="200"/>
      <c r="T99" s="159"/>
      <c r="U99" s="80"/>
      <c r="V99" s="82"/>
      <c r="W99" s="80"/>
      <c r="X99" s="80"/>
      <c r="Y99" s="110"/>
      <c r="Z99" s="79"/>
      <c r="AA99" s="161"/>
      <c r="AB99" s="79"/>
      <c r="AC99" s="349"/>
      <c r="AD99" s="352"/>
      <c r="AE99" s="79"/>
      <c r="AF99" s="79"/>
      <c r="AG99" s="155"/>
      <c r="AH99" s="156"/>
      <c r="AI99" s="161"/>
      <c r="AJ99" s="79"/>
      <c r="AK99" s="155"/>
      <c r="AL99" s="158"/>
      <c r="AM99" s="161"/>
      <c r="AN99" s="79"/>
      <c r="AO99" s="79"/>
      <c r="AP99" s="79"/>
      <c r="AQ99" s="155"/>
      <c r="AW99" s="225"/>
      <c r="AX99" s="446"/>
      <c r="AY99" s="446"/>
    </row>
    <row r="100" spans="1:51" x14ac:dyDescent="0.25">
      <c r="A100" s="202"/>
      <c r="C100" s="154"/>
      <c r="F100" s="200"/>
      <c r="H100" s="200"/>
      <c r="I100" s="200"/>
      <c r="J100" s="305"/>
      <c r="K100" s="305"/>
      <c r="L100" s="200"/>
      <c r="M100" s="200"/>
      <c r="N100" s="210"/>
      <c r="O100" s="210"/>
      <c r="P100" s="200"/>
      <c r="Q100" s="200"/>
      <c r="R100" s="200"/>
      <c r="S100" s="200"/>
      <c r="T100" s="159">
        <v>15</v>
      </c>
      <c r="U100" s="80"/>
      <c r="V100" s="253" t="s">
        <v>75</v>
      </c>
      <c r="W100" s="80"/>
      <c r="X100" s="80"/>
      <c r="Y100" s="163"/>
      <c r="Z100" s="163"/>
      <c r="AA100" s="163"/>
      <c r="AB100" s="163"/>
      <c r="AC100" s="349"/>
      <c r="AD100" s="433"/>
      <c r="AE100" s="163"/>
      <c r="AF100" s="163"/>
      <c r="AG100" s="197"/>
      <c r="AH100" s="198"/>
      <c r="AI100" s="163"/>
      <c r="AJ100" s="163"/>
      <c r="AK100" s="197"/>
      <c r="AL100" s="199"/>
      <c r="AM100" s="230"/>
      <c r="AN100" s="230"/>
      <c r="AO100" s="163"/>
      <c r="AP100" s="163"/>
      <c r="AQ100" s="197"/>
      <c r="AW100" s="225"/>
      <c r="AX100" s="446"/>
      <c r="AY100" s="446"/>
    </row>
    <row r="101" spans="1:51" x14ac:dyDescent="0.25">
      <c r="A101" s="202"/>
      <c r="C101" s="154"/>
      <c r="T101" s="159">
        <v>16</v>
      </c>
      <c r="U101" s="80"/>
      <c r="V101" s="81" t="s">
        <v>281</v>
      </c>
      <c r="W101" s="80"/>
      <c r="X101" s="82"/>
      <c r="Y101" s="203">
        <f>F36</f>
        <v>20</v>
      </c>
      <c r="Z101" s="79"/>
      <c r="AA101" s="203">
        <f>H36</f>
        <v>812</v>
      </c>
      <c r="AB101" s="79"/>
      <c r="AC101" s="349">
        <v>11.22</v>
      </c>
      <c r="AD101" s="352"/>
      <c r="AE101" s="79">
        <f>ROUND((Y101*AC101),0)</f>
        <v>224</v>
      </c>
      <c r="AF101" s="70"/>
      <c r="AG101" s="166">
        <f>ROUND((AE101/$AE$123)*100,1)</f>
        <v>15.5</v>
      </c>
      <c r="AH101" s="70"/>
      <c r="AI101" s="161">
        <f>L36-AE101</f>
        <v>27</v>
      </c>
      <c r="AJ101" s="70"/>
      <c r="AK101" s="166">
        <f>ROUND((AI101/AE101)*100,1)</f>
        <v>12.1</v>
      </c>
      <c r="AL101" s="70"/>
      <c r="AM101" s="167">
        <f>ROUND($AM$123/$AA$123*AA101,0)</f>
        <v>1</v>
      </c>
      <c r="AN101" s="70"/>
      <c r="AO101" s="79">
        <f>AE101+AM101</f>
        <v>225</v>
      </c>
      <c r="AP101" s="70"/>
      <c r="AQ101" s="155">
        <f>ROUND((AI101/AO101)*100,1)</f>
        <v>12</v>
      </c>
      <c r="AU101" s="394"/>
      <c r="AW101" s="225">
        <v>487</v>
      </c>
      <c r="AX101" s="402"/>
      <c r="AY101" s="402"/>
    </row>
    <row r="102" spans="1:51" ht="20.100000000000001" customHeight="1" x14ac:dyDescent="0.25">
      <c r="A102" s="202"/>
      <c r="C102" s="154"/>
      <c r="F102" s="200"/>
      <c r="H102" s="200"/>
      <c r="I102" s="200"/>
      <c r="L102" s="200"/>
      <c r="M102" s="200"/>
      <c r="N102" s="210"/>
      <c r="O102" s="210"/>
      <c r="P102" s="252"/>
      <c r="Q102" s="252"/>
      <c r="R102" s="200"/>
      <c r="T102" s="159">
        <v>17</v>
      </c>
      <c r="U102" s="80"/>
      <c r="V102" s="253" t="s">
        <v>108</v>
      </c>
      <c r="W102" s="80"/>
      <c r="X102" s="80"/>
      <c r="Y102" s="169">
        <f>SUM(Y94:Y101)</f>
        <v>41</v>
      </c>
      <c r="Z102" s="79"/>
      <c r="AA102" s="169">
        <f>SUM(AA94:AA101)</f>
        <v>2305</v>
      </c>
      <c r="AB102" s="79"/>
      <c r="AC102" s="80"/>
      <c r="AD102" s="352"/>
      <c r="AE102" s="169">
        <f>SUM(AE94:AE101)</f>
        <v>528</v>
      </c>
      <c r="AF102" s="70"/>
      <c r="AG102" s="170">
        <f>ROUND((AE102/$AE$123)*100,1)</f>
        <v>36.5</v>
      </c>
      <c r="AH102" s="70"/>
      <c r="AI102" s="169">
        <f>SUM(AI94:AI101)</f>
        <v>63</v>
      </c>
      <c r="AJ102" s="70"/>
      <c r="AK102" s="170">
        <f>ROUND((AI102/AE102)*100,1)</f>
        <v>11.9</v>
      </c>
      <c r="AL102" s="70"/>
      <c r="AM102" s="169">
        <f>ROUND($AM$123/$AA$123*AA102,0)</f>
        <v>2</v>
      </c>
      <c r="AN102" s="70"/>
      <c r="AO102" s="169">
        <f>SUM(AO94:AO101)</f>
        <v>530</v>
      </c>
      <c r="AP102" s="70"/>
      <c r="AQ102" s="155">
        <f>ROUND((AI102/AO102)*100,1)</f>
        <v>11.9</v>
      </c>
      <c r="AV102" s="163"/>
      <c r="AX102" s="446"/>
      <c r="AY102" s="446"/>
    </row>
    <row r="103" spans="1:51" x14ac:dyDescent="0.25">
      <c r="A103" s="202"/>
      <c r="C103" s="154"/>
      <c r="F103" s="200"/>
      <c r="H103" s="200"/>
      <c r="I103" s="200"/>
      <c r="L103" s="200"/>
      <c r="M103" s="200"/>
      <c r="N103" s="210"/>
      <c r="O103" s="210"/>
      <c r="P103" s="252"/>
      <c r="Q103" s="252"/>
      <c r="R103" s="200"/>
      <c r="T103" s="159"/>
      <c r="U103" s="80"/>
      <c r="V103" s="82"/>
      <c r="W103" s="80"/>
      <c r="X103" s="80"/>
      <c r="Y103" s="163"/>
      <c r="Z103" s="79"/>
      <c r="AA103" s="163"/>
      <c r="AB103" s="79"/>
      <c r="AC103" s="80"/>
      <c r="AD103" s="352"/>
      <c r="AE103" s="163"/>
      <c r="AF103" s="70"/>
      <c r="AG103" s="197"/>
      <c r="AH103" s="70"/>
      <c r="AI103" s="163"/>
      <c r="AJ103" s="70"/>
      <c r="AK103" s="197"/>
      <c r="AL103" s="70"/>
      <c r="AM103" s="110"/>
      <c r="AN103" s="70"/>
      <c r="AO103" s="163"/>
      <c r="AP103" s="70"/>
      <c r="AQ103" s="155"/>
      <c r="AV103" s="163"/>
      <c r="AX103" s="446"/>
      <c r="AY103" s="446"/>
    </row>
    <row r="104" spans="1:51" x14ac:dyDescent="0.25">
      <c r="F104" s="211"/>
      <c r="H104" s="211"/>
      <c r="I104" s="211"/>
      <c r="J104" s="305"/>
      <c r="K104" s="305"/>
      <c r="L104" s="211"/>
      <c r="M104" s="211"/>
      <c r="N104" s="211"/>
      <c r="O104" s="211"/>
      <c r="P104" s="211"/>
      <c r="Q104" s="211"/>
      <c r="R104" s="211"/>
      <c r="T104" s="159">
        <v>18</v>
      </c>
      <c r="U104" s="80"/>
      <c r="V104" s="253" t="s">
        <v>109</v>
      </c>
      <c r="W104" s="265" t="s">
        <v>340</v>
      </c>
      <c r="X104" s="80"/>
      <c r="Y104" s="79"/>
      <c r="Z104" s="79"/>
      <c r="AA104" s="79"/>
      <c r="AB104" s="79"/>
      <c r="AC104" s="80"/>
      <c r="AD104" s="352"/>
      <c r="AE104" s="70"/>
      <c r="AF104" s="70"/>
      <c r="AG104" s="164"/>
      <c r="AH104" s="70"/>
      <c r="AI104" s="70"/>
      <c r="AJ104" s="70"/>
      <c r="AK104" s="164"/>
      <c r="AL104" s="70"/>
      <c r="AM104" s="70"/>
      <c r="AN104" s="70"/>
      <c r="AO104" s="70"/>
      <c r="AP104" s="70"/>
      <c r="AQ104" s="164"/>
      <c r="AV104" s="70"/>
      <c r="AX104" s="446"/>
      <c r="AY104" s="446"/>
    </row>
    <row r="105" spans="1:51" x14ac:dyDescent="0.25">
      <c r="T105" s="159">
        <v>19</v>
      </c>
      <c r="U105" s="80"/>
      <c r="V105" s="253" t="s">
        <v>76</v>
      </c>
      <c r="W105" s="80"/>
      <c r="X105" s="80"/>
      <c r="Y105" s="163"/>
      <c r="Z105" s="163"/>
      <c r="AA105" s="163"/>
      <c r="AB105" s="79"/>
      <c r="AC105" s="80"/>
      <c r="AD105" s="352"/>
      <c r="AE105" s="79"/>
      <c r="AF105" s="79"/>
      <c r="AG105" s="155"/>
      <c r="AH105" s="156"/>
      <c r="AI105" s="79"/>
      <c r="AJ105" s="79"/>
      <c r="AK105" s="155"/>
      <c r="AL105" s="158"/>
      <c r="AM105" s="79"/>
      <c r="AN105" s="79"/>
      <c r="AO105" s="79"/>
      <c r="AP105" s="79"/>
      <c r="AQ105" s="155"/>
      <c r="AV105" s="70"/>
      <c r="AX105" s="446"/>
      <c r="AY105" s="446"/>
    </row>
    <row r="106" spans="1:51" x14ac:dyDescent="0.25">
      <c r="C106" s="154"/>
      <c r="L106" s="200"/>
      <c r="M106" s="200"/>
      <c r="N106" s="200"/>
      <c r="O106" s="200"/>
      <c r="P106" s="200"/>
      <c r="Q106" s="200"/>
      <c r="R106" s="200"/>
      <c r="S106" s="200"/>
      <c r="T106" s="159">
        <v>20</v>
      </c>
      <c r="U106" s="80"/>
      <c r="V106" s="81" t="s">
        <v>282</v>
      </c>
      <c r="W106" s="80"/>
      <c r="X106" s="80"/>
      <c r="Y106" s="163"/>
      <c r="Z106" s="163"/>
      <c r="AA106" s="163"/>
      <c r="AB106" s="79"/>
      <c r="AC106" s="80"/>
      <c r="AD106" s="352"/>
      <c r="AE106" s="70"/>
      <c r="AF106" s="70"/>
      <c r="AG106" s="164"/>
      <c r="AH106" s="70"/>
      <c r="AI106" s="70"/>
      <c r="AJ106" s="70"/>
      <c r="AK106" s="164"/>
      <c r="AL106" s="70"/>
      <c r="AM106" s="70"/>
      <c r="AN106" s="70"/>
      <c r="AO106" s="70"/>
      <c r="AP106" s="70"/>
      <c r="AQ106" s="164"/>
      <c r="AV106" s="70"/>
      <c r="AX106" s="446"/>
      <c r="AY106" s="446"/>
    </row>
    <row r="107" spans="1:51" x14ac:dyDescent="0.25">
      <c r="A107" s="154"/>
      <c r="T107" s="159">
        <v>21</v>
      </c>
      <c r="U107" s="80"/>
      <c r="V107" s="82" t="s">
        <v>110</v>
      </c>
      <c r="W107" s="80"/>
      <c r="X107" s="80"/>
      <c r="Y107" s="110">
        <f>F42</f>
        <v>0</v>
      </c>
      <c r="Z107" s="163"/>
      <c r="AA107" s="161">
        <f>H42</f>
        <v>0</v>
      </c>
      <c r="AB107" s="79"/>
      <c r="AC107" s="349">
        <v>28.55</v>
      </c>
      <c r="AD107" s="352"/>
      <c r="AE107" s="79">
        <f>ROUND((Y107*AC107),0)</f>
        <v>0</v>
      </c>
      <c r="AF107" s="79"/>
      <c r="AG107" s="155">
        <f>ROUND((AE107/$AE$123)*100,1)</f>
        <v>0</v>
      </c>
      <c r="AH107" s="156"/>
      <c r="AI107" s="161">
        <f>L42-AE107</f>
        <v>0</v>
      </c>
      <c r="AJ107" s="79"/>
      <c r="AK107" s="157" t="str">
        <f>IF(AE107=0,"0.0 ",ROUND((AI107/AE107)*100,1))</f>
        <v xml:space="preserve">0.0 </v>
      </c>
      <c r="AL107" s="158"/>
      <c r="AM107" s="163">
        <f>ROUND($AM$123/$AA$123*AA107,0)</f>
        <v>0</v>
      </c>
      <c r="AN107" s="79"/>
      <c r="AO107" s="79">
        <f>AE107+AM107</f>
        <v>0</v>
      </c>
      <c r="AP107" s="79"/>
      <c r="AQ107" s="157" t="str">
        <f>IF(AO107=0,"0.0 ",ROUND((AI107/AO107)*100,1))</f>
        <v xml:space="preserve">0.0 </v>
      </c>
      <c r="AU107" s="394"/>
      <c r="AW107" s="225">
        <v>4584</v>
      </c>
      <c r="AX107" s="402"/>
      <c r="AY107" s="402"/>
    </row>
    <row r="108" spans="1:51" x14ac:dyDescent="0.25">
      <c r="H108" s="154"/>
      <c r="I108" s="154"/>
      <c r="T108" s="159">
        <v>22</v>
      </c>
      <c r="U108" s="80"/>
      <c r="V108" s="81" t="s">
        <v>282</v>
      </c>
      <c r="W108" s="80"/>
      <c r="X108" s="80"/>
      <c r="Y108" s="163"/>
      <c r="Z108" s="163"/>
      <c r="AA108" s="163"/>
      <c r="AB108" s="79"/>
      <c r="AC108" s="182"/>
      <c r="AD108" s="339"/>
      <c r="AE108" s="163"/>
      <c r="AF108" s="163"/>
      <c r="AG108" s="197"/>
      <c r="AH108" s="198"/>
      <c r="AI108" s="163"/>
      <c r="AJ108" s="163"/>
      <c r="AK108" s="197"/>
      <c r="AL108" s="199"/>
      <c r="AM108" s="230"/>
      <c r="AN108" s="230"/>
      <c r="AO108" s="163"/>
      <c r="AP108" s="163"/>
      <c r="AQ108" s="197"/>
      <c r="AW108" s="80"/>
      <c r="AX108" s="446"/>
      <c r="AY108" s="446"/>
    </row>
    <row r="109" spans="1:51" x14ac:dyDescent="0.25">
      <c r="L109" s="154"/>
      <c r="M109" s="154"/>
      <c r="T109" s="159">
        <v>23</v>
      </c>
      <c r="U109" s="80"/>
      <c r="V109" s="82" t="s">
        <v>111</v>
      </c>
      <c r="W109" s="80"/>
      <c r="X109" s="82"/>
      <c r="Y109" s="110">
        <f>F44</f>
        <v>0</v>
      </c>
      <c r="Z109" s="163"/>
      <c r="AA109" s="161">
        <f>H44</f>
        <v>0</v>
      </c>
      <c r="AB109" s="79"/>
      <c r="AC109" s="349">
        <v>32.159999999999997</v>
      </c>
      <c r="AD109" s="339"/>
      <c r="AE109" s="79">
        <f>ROUND((Y109*AC109),0)</f>
        <v>0</v>
      </c>
      <c r="AF109" s="70"/>
      <c r="AG109" s="155">
        <f>ROUND((AE109/$AE$123)*100,1)</f>
        <v>0</v>
      </c>
      <c r="AH109" s="70"/>
      <c r="AI109" s="161">
        <f>L44-AE109</f>
        <v>0</v>
      </c>
      <c r="AJ109" s="70"/>
      <c r="AK109" s="157" t="str">
        <f>IF(AE109=0,"0.0 ",ROUND((AI109/AE109)*100,1))</f>
        <v xml:space="preserve">0.0 </v>
      </c>
      <c r="AL109" s="70"/>
      <c r="AM109" s="163">
        <f>ROUND($AM$123/$AA$123*AA109,0)</f>
        <v>0</v>
      </c>
      <c r="AN109" s="70"/>
      <c r="AO109" s="79">
        <f>AE109+AM109</f>
        <v>0</v>
      </c>
      <c r="AP109" s="70"/>
      <c r="AQ109" s="157" t="str">
        <f>IF(AO109=0,"0.0 ",ROUND((AI109/AO109)*100,1))</f>
        <v xml:space="preserve">0.0 </v>
      </c>
      <c r="AU109" s="394"/>
      <c r="AW109" s="225">
        <v>4584</v>
      </c>
      <c r="AX109" s="402"/>
      <c r="AY109" s="402"/>
    </row>
    <row r="110" spans="1:51" x14ac:dyDescent="0.25">
      <c r="L110" s="154"/>
      <c r="M110" s="154"/>
      <c r="T110" s="159"/>
      <c r="U110" s="80"/>
      <c r="V110" s="82"/>
      <c r="W110" s="80"/>
      <c r="X110" s="82"/>
      <c r="Y110" s="110"/>
      <c r="Z110" s="163"/>
      <c r="AA110" s="161"/>
      <c r="AB110" s="79"/>
      <c r="AC110" s="349"/>
      <c r="AD110" s="339"/>
      <c r="AE110" s="79"/>
      <c r="AF110" s="70"/>
      <c r="AG110" s="155"/>
      <c r="AH110" s="70"/>
      <c r="AI110" s="161"/>
      <c r="AJ110" s="70"/>
      <c r="AK110" s="155"/>
      <c r="AL110" s="70"/>
      <c r="AM110" s="161"/>
      <c r="AN110" s="70"/>
      <c r="AO110" s="79"/>
      <c r="AP110" s="70"/>
      <c r="AQ110" s="155"/>
      <c r="AW110" s="225"/>
      <c r="AX110" s="446"/>
      <c r="AY110" s="446"/>
    </row>
    <row r="111" spans="1:51" x14ac:dyDescent="0.25">
      <c r="A111" s="202"/>
      <c r="R111" s="154"/>
      <c r="T111" s="159">
        <v>24</v>
      </c>
      <c r="U111" s="80"/>
      <c r="V111" s="253" t="s">
        <v>75</v>
      </c>
      <c r="W111" s="80"/>
      <c r="X111" s="80"/>
      <c r="Y111" s="163"/>
      <c r="Z111" s="163"/>
      <c r="AA111" s="163"/>
      <c r="AB111" s="79"/>
      <c r="AC111" s="182"/>
      <c r="AD111" s="339"/>
      <c r="AE111" s="70"/>
      <c r="AF111" s="70"/>
      <c r="AG111" s="164"/>
      <c r="AH111" s="70"/>
      <c r="AI111" s="70"/>
      <c r="AJ111" s="70"/>
      <c r="AK111" s="164"/>
      <c r="AL111" s="70"/>
      <c r="AM111" s="70"/>
      <c r="AN111" s="70"/>
      <c r="AO111" s="70"/>
      <c r="AP111" s="70"/>
      <c r="AQ111" s="164"/>
      <c r="AW111" s="80"/>
      <c r="AX111" s="446"/>
      <c r="AY111" s="446"/>
    </row>
    <row r="112" spans="1:51" x14ac:dyDescent="0.25">
      <c r="A112" s="202"/>
      <c r="R112" s="154"/>
      <c r="T112" s="159">
        <v>25</v>
      </c>
      <c r="U112" s="80"/>
      <c r="V112" s="82" t="s">
        <v>95</v>
      </c>
      <c r="W112" s="80"/>
      <c r="X112" s="80"/>
      <c r="Y112" s="203">
        <f>F47</f>
        <v>12</v>
      </c>
      <c r="Z112" s="163"/>
      <c r="AA112" s="161">
        <f>H47</f>
        <v>1959</v>
      </c>
      <c r="AB112" s="79"/>
      <c r="AC112" s="349">
        <v>19.79</v>
      </c>
      <c r="AD112" s="339"/>
      <c r="AE112" s="79">
        <f>ROUND((Y112*AC112),0)</f>
        <v>237</v>
      </c>
      <c r="AF112" s="79"/>
      <c r="AG112" s="166">
        <f>ROUND((AE112/$AE$123)*100,1)</f>
        <v>16.399999999999999</v>
      </c>
      <c r="AH112" s="156"/>
      <c r="AI112" s="161">
        <f>L47-AE112</f>
        <v>29</v>
      </c>
      <c r="AJ112" s="79"/>
      <c r="AK112" s="166">
        <f>ROUND((AI112/AE112)*100,1)</f>
        <v>12.2</v>
      </c>
      <c r="AL112" s="158"/>
      <c r="AM112" s="167">
        <f>ROUND($AM$123/$AA$123*AA112,0)</f>
        <v>2</v>
      </c>
      <c r="AN112" s="79"/>
      <c r="AO112" s="79">
        <f>AE112+AM112</f>
        <v>239</v>
      </c>
      <c r="AP112" s="79"/>
      <c r="AQ112" s="155">
        <f>ROUND((AI112/AO112)*100,1)</f>
        <v>12.1</v>
      </c>
      <c r="AU112" s="394"/>
      <c r="AW112" s="252">
        <v>1959</v>
      </c>
      <c r="AX112" s="402"/>
      <c r="AY112" s="402"/>
    </row>
    <row r="113" spans="1:43" ht="19.5" customHeight="1" x14ac:dyDescent="0.25">
      <c r="A113" s="154"/>
      <c r="R113" s="154"/>
      <c r="T113" s="159">
        <v>26</v>
      </c>
      <c r="U113" s="80"/>
      <c r="V113" s="253" t="s">
        <v>112</v>
      </c>
      <c r="W113" s="80"/>
      <c r="X113" s="80"/>
      <c r="Y113" s="169">
        <f>SUM(Y107:Y112)</f>
        <v>12</v>
      </c>
      <c r="Z113" s="163"/>
      <c r="AA113" s="169">
        <f>SUM(AA107:AA112)</f>
        <v>1959</v>
      </c>
      <c r="AB113" s="79"/>
      <c r="AC113" s="339"/>
      <c r="AD113" s="339"/>
      <c r="AE113" s="169">
        <f>SUM(AE107:AE112)</f>
        <v>237</v>
      </c>
      <c r="AF113" s="70"/>
      <c r="AG113" s="155">
        <f>ROUND((AE113/$AE$123)*100,1)</f>
        <v>16.399999999999999</v>
      </c>
      <c r="AH113" s="70"/>
      <c r="AI113" s="169">
        <f>SUM(AI107:AI112)</f>
        <v>29</v>
      </c>
      <c r="AJ113" s="70"/>
      <c r="AK113" s="166">
        <f>ROUND((AI113/AE113)*100,1)</f>
        <v>12.2</v>
      </c>
      <c r="AL113" s="70"/>
      <c r="AM113" s="169">
        <f>ROUND($AM$123/$AA$123*AA113,0)</f>
        <v>2</v>
      </c>
      <c r="AN113" s="70"/>
      <c r="AO113" s="169">
        <f>SUM(AO107:AO112)</f>
        <v>239</v>
      </c>
      <c r="AP113" s="70"/>
      <c r="AQ113" s="155">
        <f t="shared" ref="AQ113:AQ114" si="4">ROUND((AI113/AO113)*100,1)</f>
        <v>12.1</v>
      </c>
    </row>
    <row r="114" spans="1:43" ht="20.100000000000001" customHeight="1" x14ac:dyDescent="0.25">
      <c r="A114" s="154"/>
      <c r="R114" s="154"/>
      <c r="T114" s="159">
        <v>27</v>
      </c>
      <c r="U114" s="80"/>
      <c r="V114" s="265" t="s">
        <v>594</v>
      </c>
      <c r="W114" s="80"/>
      <c r="X114" s="80"/>
      <c r="Y114" s="169">
        <f>Y113+Y102+Y88</f>
        <v>137</v>
      </c>
      <c r="Z114" s="163"/>
      <c r="AA114" s="169">
        <f>AA113+AA102+AA88</f>
        <v>7610</v>
      </c>
      <c r="AB114" s="79"/>
      <c r="AC114" s="339"/>
      <c r="AD114" s="339"/>
      <c r="AE114" s="169">
        <f>AE113+AE102+AE88</f>
        <v>1451</v>
      </c>
      <c r="AF114" s="70"/>
      <c r="AG114" s="170">
        <f>ROUND((AE114/$AE$123)*100,1)</f>
        <v>100.2</v>
      </c>
      <c r="AH114" s="70"/>
      <c r="AI114" s="169">
        <f>AI113+AI102+AI88</f>
        <v>174</v>
      </c>
      <c r="AJ114" s="70"/>
      <c r="AK114" s="170">
        <f>ROUND((AI114/AE114)*100,1)</f>
        <v>12</v>
      </c>
      <c r="AL114" s="70"/>
      <c r="AM114" s="169">
        <f>AM113+AM102+AM88</f>
        <v>8</v>
      </c>
      <c r="AN114" s="70"/>
      <c r="AO114" s="169">
        <f>AO113+AO102+AO88</f>
        <v>1459</v>
      </c>
      <c r="AP114" s="70"/>
      <c r="AQ114" s="155">
        <f t="shared" si="4"/>
        <v>11.9</v>
      </c>
    </row>
    <row r="115" spans="1:43" ht="15.75" customHeight="1" x14ac:dyDescent="0.25">
      <c r="A115" s="154"/>
      <c r="R115" s="154"/>
      <c r="T115" s="159"/>
      <c r="U115" s="80"/>
      <c r="V115" s="265"/>
      <c r="W115" s="80"/>
      <c r="X115" s="80"/>
      <c r="Y115" s="163"/>
      <c r="Z115" s="163"/>
      <c r="AA115" s="163"/>
      <c r="AB115" s="79"/>
      <c r="AC115" s="339"/>
      <c r="AD115" s="339"/>
      <c r="AE115" s="163"/>
      <c r="AF115" s="70"/>
      <c r="AG115" s="197"/>
      <c r="AH115" s="70"/>
      <c r="AI115" s="163"/>
      <c r="AJ115" s="70"/>
      <c r="AK115" s="197"/>
      <c r="AL115" s="70"/>
      <c r="AM115" s="163"/>
      <c r="AN115" s="70"/>
      <c r="AO115" s="163"/>
      <c r="AP115" s="70"/>
      <c r="AQ115" s="164"/>
    </row>
    <row r="116" spans="1:43" ht="15.75" customHeight="1" x14ac:dyDescent="0.25">
      <c r="A116" s="154"/>
      <c r="R116" s="154"/>
      <c r="T116" s="159">
        <f>A51</f>
        <v>28</v>
      </c>
      <c r="U116" s="80"/>
      <c r="V116" s="253" t="s">
        <v>591</v>
      </c>
      <c r="W116" s="80"/>
      <c r="X116" s="80"/>
      <c r="Y116" s="163"/>
      <c r="Z116" s="163"/>
      <c r="AA116" s="163"/>
      <c r="AB116" s="79"/>
      <c r="AC116" s="339"/>
      <c r="AD116" s="339"/>
      <c r="AE116" s="163"/>
      <c r="AF116" s="70"/>
      <c r="AG116" s="197"/>
      <c r="AH116" s="70"/>
      <c r="AI116" s="163"/>
      <c r="AJ116" s="70"/>
      <c r="AK116" s="197"/>
      <c r="AL116" s="70"/>
      <c r="AM116" s="163"/>
      <c r="AN116" s="70"/>
      <c r="AO116" s="163"/>
      <c r="AP116" s="70"/>
      <c r="AQ116" s="164"/>
    </row>
    <row r="117" spans="1:43" ht="15.75" customHeight="1" x14ac:dyDescent="0.25">
      <c r="A117" s="154"/>
      <c r="R117" s="154"/>
      <c r="T117" s="159">
        <f t="shared" ref="T117:T121" si="5">A52</f>
        <v>29</v>
      </c>
      <c r="U117" s="80"/>
      <c r="V117" s="153" t="str">
        <f t="shared" ref="V117:V119" si="6">C52</f>
        <v>ENVIRONMENTAL SURCHARGE MECHANISM RIDER (ESM)</v>
      </c>
      <c r="W117" s="80"/>
      <c r="X117" s="80"/>
      <c r="Y117" s="163"/>
      <c r="Z117" s="163"/>
      <c r="AA117" s="163"/>
      <c r="AB117" s="79"/>
      <c r="AC117" s="401">
        <f>CUR_ESM</f>
        <v>0</v>
      </c>
      <c r="AD117" s="339"/>
      <c r="AE117" s="163">
        <f t="shared" ref="AE117:AE119" si="7">ROUND($AA$114*AC117,0)</f>
        <v>0</v>
      </c>
      <c r="AF117" s="70"/>
      <c r="AG117" s="197">
        <f t="shared" ref="AG117:AG119" si="8">ROUND((AE117/$AE$123)*100,1)</f>
        <v>0</v>
      </c>
      <c r="AH117" s="70"/>
      <c r="AI117" s="163">
        <f t="shared" ref="AI117:AI119" si="9">L52-AE117</f>
        <v>0</v>
      </c>
      <c r="AJ117" s="70"/>
      <c r="AK117" s="197">
        <f>IF(AE117=0,0,ROUND((AI117/AE117)*100,1))</f>
        <v>0</v>
      </c>
      <c r="AL117" s="70"/>
      <c r="AM117" s="163"/>
      <c r="AN117" s="70"/>
      <c r="AO117" s="163">
        <f t="shared" ref="AO117:AO119" si="10">AE117+AM117</f>
        <v>0</v>
      </c>
      <c r="AP117" s="70"/>
      <c r="AQ117" s="155">
        <f>IF(AO117=0,0,ROUND((AI117/AO117)*100,1))</f>
        <v>0</v>
      </c>
    </row>
    <row r="118" spans="1:43" ht="15.75" customHeight="1" x14ac:dyDescent="0.25">
      <c r="A118" s="154"/>
      <c r="R118" s="154"/>
      <c r="T118" s="159">
        <f t="shared" si="5"/>
        <v>30</v>
      </c>
      <c r="U118" s="80"/>
      <c r="V118" s="153" t="str">
        <f t="shared" si="6"/>
        <v>DISTRIBUTION CAPITAL INVESTMENT RIDER (DCI)</v>
      </c>
      <c r="W118" s="80"/>
      <c r="X118" s="80"/>
      <c r="Y118" s="163"/>
      <c r="Z118" s="163"/>
      <c r="AA118" s="163"/>
      <c r="AB118" s="79"/>
      <c r="AC118" s="401">
        <f>CUR_DCI_SL</f>
        <v>0</v>
      </c>
      <c r="AD118" s="339"/>
      <c r="AE118" s="163">
        <f t="shared" si="7"/>
        <v>0</v>
      </c>
      <c r="AF118" s="70"/>
      <c r="AG118" s="197">
        <f t="shared" si="8"/>
        <v>0</v>
      </c>
      <c r="AH118" s="70"/>
      <c r="AI118" s="163">
        <f t="shared" si="9"/>
        <v>0</v>
      </c>
      <c r="AJ118" s="70"/>
      <c r="AK118" s="197">
        <f t="shared" ref="AK118:AK119" si="11">IF(AE118=0,0,ROUND((AI118/AE118)*100,1))</f>
        <v>0</v>
      </c>
      <c r="AL118" s="70"/>
      <c r="AM118" s="163"/>
      <c r="AN118" s="70"/>
      <c r="AO118" s="163">
        <f t="shared" si="10"/>
        <v>0</v>
      </c>
      <c r="AP118" s="70"/>
      <c r="AQ118" s="155">
        <f t="shared" ref="AQ118:AQ119" si="12">IF(AO118=0,0,ROUND((AI118/AO118)*100,1))</f>
        <v>0</v>
      </c>
    </row>
    <row r="119" spans="1:43" ht="15.75" customHeight="1" x14ac:dyDescent="0.25">
      <c r="A119" s="154"/>
      <c r="R119" s="154"/>
      <c r="T119" s="159">
        <f t="shared" si="5"/>
        <v>31</v>
      </c>
      <c r="U119" s="80"/>
      <c r="V119" s="153" t="str">
        <f t="shared" si="6"/>
        <v>FERC TRANSMISSION COST RECOVERY RECONCILIATION (FTR)</v>
      </c>
      <c r="W119" s="80"/>
      <c r="X119" s="80"/>
      <c r="Y119" s="163"/>
      <c r="Z119" s="163"/>
      <c r="AA119" s="163"/>
      <c r="AB119" s="79"/>
      <c r="AC119" s="401">
        <f>CUR_FTR_SL</f>
        <v>0</v>
      </c>
      <c r="AD119" s="339"/>
      <c r="AE119" s="163">
        <f t="shared" si="7"/>
        <v>0</v>
      </c>
      <c r="AF119" s="70"/>
      <c r="AG119" s="197">
        <f t="shared" si="8"/>
        <v>0</v>
      </c>
      <c r="AH119" s="70"/>
      <c r="AI119" s="163">
        <f t="shared" si="9"/>
        <v>0</v>
      </c>
      <c r="AJ119" s="70"/>
      <c r="AK119" s="197">
        <f t="shared" si="11"/>
        <v>0</v>
      </c>
      <c r="AL119" s="70"/>
      <c r="AM119" s="163"/>
      <c r="AN119" s="70"/>
      <c r="AO119" s="163">
        <f t="shared" si="10"/>
        <v>0</v>
      </c>
      <c r="AP119" s="70"/>
      <c r="AQ119" s="155">
        <f t="shared" si="12"/>
        <v>0</v>
      </c>
    </row>
    <row r="120" spans="1:43" ht="15.75" customHeight="1" x14ac:dyDescent="0.25">
      <c r="A120" s="154"/>
      <c r="R120" s="154"/>
      <c r="T120" s="159">
        <f t="shared" si="5"/>
        <v>32</v>
      </c>
      <c r="U120" s="80"/>
      <c r="V120" s="153" t="str">
        <f>C55</f>
        <v>PROFIT SHARING MECHANISM (PSM)</v>
      </c>
      <c r="W120" s="80"/>
      <c r="X120" s="80"/>
      <c r="Y120" s="163"/>
      <c r="Z120" s="163"/>
      <c r="AA120" s="163"/>
      <c r="AB120" s="79"/>
      <c r="AC120" s="288">
        <f>RS_PSM</f>
        <v>-4.5600000000000003E-4</v>
      </c>
      <c r="AD120" s="339"/>
      <c r="AE120" s="163">
        <f>ROUND($AA$114*AC120,0)</f>
        <v>-3</v>
      </c>
      <c r="AF120" s="70"/>
      <c r="AG120" s="166">
        <f>ROUND((AE120/$AE$123)*100,1)</f>
        <v>-0.2</v>
      </c>
      <c r="AH120" s="70"/>
      <c r="AI120" s="161">
        <f>L55-AE120</f>
        <v>0</v>
      </c>
      <c r="AJ120" s="70"/>
      <c r="AK120" s="166">
        <f t="shared" ref="AK120:AK121" si="13">ROUND((AI120/AE120)*100,1)</f>
        <v>0</v>
      </c>
      <c r="AL120" s="70"/>
      <c r="AM120" s="167"/>
      <c r="AN120" s="70"/>
      <c r="AO120" s="167">
        <f t="shared" ref="AO120" si="14">AE120+AM120</f>
        <v>-3</v>
      </c>
      <c r="AP120" s="70"/>
      <c r="AQ120" s="155">
        <f t="shared" ref="AQ120:AQ121" si="15">ROUND((AI120/AO120)*100,1)</f>
        <v>0</v>
      </c>
    </row>
    <row r="121" spans="1:43" ht="15.75" customHeight="1" x14ac:dyDescent="0.25">
      <c r="A121" s="154"/>
      <c r="R121" s="154"/>
      <c r="T121" s="159">
        <f t="shared" si="5"/>
        <v>33</v>
      </c>
      <c r="U121" s="80"/>
      <c r="V121" s="253" t="s">
        <v>585</v>
      </c>
      <c r="W121" s="80"/>
      <c r="X121" s="80"/>
      <c r="Y121" s="167"/>
      <c r="Z121" s="163"/>
      <c r="AA121" s="167"/>
      <c r="AB121" s="79"/>
      <c r="AC121" s="339"/>
      <c r="AD121" s="339"/>
      <c r="AE121" s="169">
        <f>SUM(AE117:AE120)</f>
        <v>-3</v>
      </c>
      <c r="AF121" s="70"/>
      <c r="AG121" s="170">
        <f>ROUND((AE121/$AE$123)*100,1)</f>
        <v>-0.2</v>
      </c>
      <c r="AH121" s="70"/>
      <c r="AI121" s="169">
        <f>SUM(AI117:AI120)</f>
        <v>0</v>
      </c>
      <c r="AJ121" s="70"/>
      <c r="AK121" s="170">
        <f t="shared" si="13"/>
        <v>0</v>
      </c>
      <c r="AL121" s="70"/>
      <c r="AM121" s="169"/>
      <c r="AN121" s="70"/>
      <c r="AO121" s="169">
        <f>SUM(AO117:AO120)</f>
        <v>-3</v>
      </c>
      <c r="AP121" s="70"/>
      <c r="AQ121" s="155">
        <f t="shared" si="15"/>
        <v>0</v>
      </c>
    </row>
    <row r="122" spans="1:43" ht="15.75" customHeight="1" x14ac:dyDescent="0.25">
      <c r="A122" s="154"/>
      <c r="R122" s="154"/>
      <c r="T122" s="159"/>
      <c r="U122" s="80"/>
      <c r="V122" s="253"/>
      <c r="W122" s="80"/>
      <c r="X122" s="80"/>
      <c r="Y122" s="163"/>
      <c r="Z122" s="163"/>
      <c r="AA122" s="163"/>
      <c r="AB122" s="79"/>
      <c r="AC122" s="339"/>
      <c r="AD122" s="339"/>
      <c r="AE122" s="163"/>
      <c r="AF122" s="70"/>
      <c r="AG122" s="197"/>
      <c r="AH122" s="70"/>
      <c r="AI122" s="163"/>
      <c r="AJ122" s="70"/>
      <c r="AK122" s="197"/>
      <c r="AL122" s="70"/>
      <c r="AM122" s="163"/>
      <c r="AN122" s="70"/>
      <c r="AO122" s="163"/>
      <c r="AP122" s="70"/>
      <c r="AQ122" s="164"/>
    </row>
    <row r="123" spans="1:43" ht="20.100000000000001" customHeight="1" thickBot="1" x14ac:dyDescent="0.3">
      <c r="L123" s="154"/>
      <c r="M123" s="154"/>
      <c r="R123" s="202"/>
      <c r="T123" s="159">
        <f>A58</f>
        <v>34</v>
      </c>
      <c r="U123" s="80"/>
      <c r="V123" s="253" t="s">
        <v>595</v>
      </c>
      <c r="W123" s="80"/>
      <c r="X123" s="80"/>
      <c r="Y123" s="275">
        <f>Y114</f>
        <v>137</v>
      </c>
      <c r="Z123" s="163"/>
      <c r="AA123" s="275">
        <f>AA114</f>
        <v>7610</v>
      </c>
      <c r="AB123" s="79"/>
      <c r="AC123" s="339"/>
      <c r="AD123" s="339"/>
      <c r="AE123" s="275">
        <f>AE121+AE114</f>
        <v>1448</v>
      </c>
      <c r="AF123" s="79"/>
      <c r="AG123" s="291">
        <v>100</v>
      </c>
      <c r="AH123" s="156"/>
      <c r="AI123" s="275">
        <f>AI121+AI114</f>
        <v>174</v>
      </c>
      <c r="AJ123" s="79"/>
      <c r="AK123" s="291">
        <f>ROUND((AI123/AE123)*100,1)</f>
        <v>12</v>
      </c>
      <c r="AL123" s="158"/>
      <c r="AM123" s="403">
        <f>ROUND(AA123*CUR_FAC,0)</f>
        <v>8</v>
      </c>
      <c r="AN123" s="79"/>
      <c r="AO123" s="275">
        <f>AO121+AO114</f>
        <v>1456</v>
      </c>
      <c r="AP123" s="79"/>
      <c r="AQ123" s="155">
        <f>ROUND((AI123/AO123)*100,1)</f>
        <v>12</v>
      </c>
    </row>
    <row r="124" spans="1:43" ht="16.5" thickTop="1" x14ac:dyDescent="0.25">
      <c r="A124" s="202"/>
      <c r="D124" s="154"/>
      <c r="E124" s="154"/>
      <c r="T124" s="80"/>
      <c r="U124" s="80"/>
      <c r="V124" s="80"/>
      <c r="W124" s="80"/>
      <c r="X124" s="80"/>
      <c r="Y124" s="70"/>
      <c r="Z124" s="70"/>
      <c r="AA124" s="70"/>
      <c r="AB124" s="70"/>
      <c r="AC124" s="70"/>
      <c r="AD124" s="70"/>
      <c r="AE124" s="70"/>
      <c r="AF124" s="70"/>
      <c r="AG124" s="164"/>
      <c r="AH124" s="70"/>
      <c r="AI124" s="70"/>
      <c r="AJ124" s="70"/>
      <c r="AK124" s="164"/>
      <c r="AL124" s="70"/>
      <c r="AM124" s="70"/>
      <c r="AN124" s="70"/>
      <c r="AO124" s="70"/>
      <c r="AP124" s="70"/>
      <c r="AQ124" s="164"/>
    </row>
    <row r="125" spans="1:43" x14ac:dyDescent="0.25">
      <c r="T125" s="80"/>
      <c r="U125" s="80"/>
      <c r="V125" s="173" t="s">
        <v>80</v>
      </c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188"/>
      <c r="AH125" s="80"/>
      <c r="AI125" s="80"/>
      <c r="AJ125" s="80"/>
      <c r="AK125" s="188"/>
      <c r="AL125" s="80"/>
      <c r="AM125" s="80"/>
      <c r="AN125" s="80"/>
      <c r="AO125" s="80"/>
      <c r="AP125" s="80"/>
      <c r="AQ125" s="188"/>
    </row>
    <row r="126" spans="1:43" x14ac:dyDescent="0.25">
      <c r="T126" s="80"/>
      <c r="U126" s="80"/>
      <c r="V126" s="173" t="str">
        <f>"(2) REFLECTS FUEL COMPONENT OF "&amp;TEXT(PRO_FAC,"$0.000000;($0.000000)")&amp;" PER KWH."</f>
        <v>(2) REFLECTS FUEL COMPONENT OF $0.001028 PER KWH.</v>
      </c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188"/>
      <c r="AH126" s="80"/>
      <c r="AI126" s="80"/>
      <c r="AJ126" s="80"/>
      <c r="AK126" s="188"/>
      <c r="AL126" s="80"/>
      <c r="AM126" s="80"/>
      <c r="AN126" s="80"/>
      <c r="AO126" s="80"/>
      <c r="AP126" s="80"/>
      <c r="AQ126" s="188"/>
    </row>
    <row r="127" spans="1:43" x14ac:dyDescent="0.25">
      <c r="A127" s="202"/>
      <c r="C127" s="154"/>
      <c r="F127" s="252"/>
      <c r="H127" s="252"/>
      <c r="I127" s="252"/>
      <c r="J127" s="300"/>
      <c r="K127" s="300"/>
      <c r="L127" s="200"/>
      <c r="M127" s="200"/>
      <c r="N127" s="210"/>
      <c r="O127" s="210"/>
      <c r="R127" s="200"/>
      <c r="T127" s="82"/>
      <c r="U127" s="80"/>
      <c r="V127" s="173" t="str">
        <f>"(3) REFLECTS FUEL COST RECOVERY INCLUDED IN BASE RATES OF "&amp;TEXT(CUR_BASE_FUEL,"$0.000000;($0.000000)")&amp;"  PER KWH."</f>
        <v>(3) REFLECTS FUEL COST RECOVERY INCLUDED IN BASE RATES OF $0.023837  PER KWH.</v>
      </c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188"/>
      <c r="AH127" s="80"/>
      <c r="AI127" s="80"/>
      <c r="AJ127" s="80"/>
      <c r="AK127" s="188"/>
      <c r="AL127" s="80"/>
      <c r="AM127" s="80"/>
      <c r="AN127" s="80"/>
      <c r="AO127" s="80"/>
      <c r="AP127" s="80"/>
      <c r="AQ127" s="188"/>
    </row>
    <row r="128" spans="1:43" x14ac:dyDescent="0.25">
      <c r="A128" s="202"/>
      <c r="C128" s="154"/>
      <c r="F128" s="252"/>
      <c r="H128" s="252"/>
      <c r="I128" s="252"/>
      <c r="J128" s="300"/>
      <c r="K128" s="300"/>
      <c r="L128" s="200"/>
      <c r="M128" s="200"/>
      <c r="N128" s="210"/>
      <c r="O128" s="210"/>
      <c r="P128" s="202"/>
      <c r="Q128" s="202"/>
      <c r="R128" s="200"/>
      <c r="T128" s="154"/>
      <c r="V128" s="200"/>
      <c r="Y128" s="252"/>
      <c r="Z128" s="300"/>
      <c r="AA128" s="200"/>
      <c r="AB128" s="200"/>
      <c r="AC128" s="210"/>
      <c r="AD128" s="210"/>
      <c r="AE128" s="200"/>
      <c r="AF128" s="200"/>
      <c r="AG128" s="209"/>
      <c r="AH128" s="201"/>
      <c r="AI128" s="202"/>
      <c r="AJ128" s="202"/>
      <c r="AK128" s="209"/>
      <c r="AL128" s="200"/>
      <c r="AM128" s="210"/>
      <c r="AN128" s="210"/>
    </row>
    <row r="129" spans="1:40" x14ac:dyDescent="0.25">
      <c r="F129" s="211"/>
      <c r="H129" s="200"/>
      <c r="I129" s="200"/>
      <c r="J129" s="305"/>
      <c r="K129" s="305"/>
      <c r="L129" s="211"/>
      <c r="M129" s="211"/>
      <c r="N129" s="211"/>
      <c r="O129" s="211"/>
      <c r="P129" s="211"/>
      <c r="Q129" s="211"/>
      <c r="R129" s="211"/>
      <c r="V129" s="211"/>
      <c r="Y129" s="200"/>
      <c r="Z129" s="305"/>
      <c r="AA129" s="211"/>
      <c r="AB129" s="211"/>
      <c r="AC129" s="211"/>
      <c r="AD129" s="211"/>
      <c r="AE129" s="211"/>
      <c r="AF129" s="211"/>
      <c r="AI129" s="211"/>
      <c r="AJ129" s="211"/>
      <c r="AK129" s="212"/>
      <c r="AL129" s="211"/>
      <c r="AM129" s="210"/>
      <c r="AN129" s="210"/>
    </row>
    <row r="130" spans="1:40" x14ac:dyDescent="0.25">
      <c r="A130" s="202"/>
      <c r="C130" s="154"/>
      <c r="F130" s="200"/>
      <c r="H130" s="200"/>
      <c r="I130" s="200"/>
      <c r="J130" s="305"/>
      <c r="K130" s="305"/>
      <c r="L130" s="200"/>
      <c r="M130" s="200"/>
      <c r="N130" s="210"/>
      <c r="O130" s="210"/>
      <c r="P130" s="200"/>
      <c r="Q130" s="200"/>
      <c r="R130" s="200"/>
      <c r="T130" s="154"/>
      <c r="V130" s="200"/>
      <c r="Y130" s="200"/>
      <c r="Z130" s="213"/>
      <c r="AA130" s="200"/>
      <c r="AB130" s="200"/>
      <c r="AC130" s="210"/>
      <c r="AD130" s="210"/>
      <c r="AE130" s="200"/>
      <c r="AF130" s="200"/>
      <c r="AG130" s="209"/>
      <c r="AH130" s="201"/>
      <c r="AI130" s="200"/>
      <c r="AJ130" s="200"/>
      <c r="AK130" s="209"/>
      <c r="AL130" s="200"/>
      <c r="AM130" s="210"/>
      <c r="AN130" s="210"/>
    </row>
    <row r="131" spans="1:40" x14ac:dyDescent="0.25">
      <c r="F131" s="211"/>
      <c r="H131" s="200"/>
      <c r="I131" s="200"/>
      <c r="J131" s="305"/>
      <c r="K131" s="305"/>
      <c r="L131" s="211"/>
      <c r="M131" s="211"/>
      <c r="N131" s="211"/>
      <c r="O131" s="211"/>
      <c r="P131" s="211"/>
      <c r="Q131" s="211"/>
      <c r="R131" s="211"/>
      <c r="V131" s="211"/>
      <c r="Y131" s="200"/>
      <c r="Z131" s="305"/>
      <c r="AA131" s="211"/>
      <c r="AB131" s="211"/>
      <c r="AC131" s="211"/>
      <c r="AD131" s="211"/>
      <c r="AE131" s="211"/>
      <c r="AF131" s="211"/>
      <c r="AI131" s="211"/>
      <c r="AJ131" s="211"/>
      <c r="AK131" s="212"/>
      <c r="AL131" s="211"/>
      <c r="AM131" s="210"/>
      <c r="AN131" s="210"/>
    </row>
    <row r="132" spans="1:40" x14ac:dyDescent="0.25">
      <c r="F132" s="200"/>
      <c r="H132" s="200"/>
      <c r="I132" s="200"/>
      <c r="J132" s="305"/>
      <c r="K132" s="305"/>
      <c r="L132" s="200"/>
      <c r="M132" s="200"/>
      <c r="N132" s="210"/>
      <c r="O132" s="210"/>
      <c r="P132" s="200"/>
      <c r="Q132" s="200"/>
      <c r="R132" s="200"/>
      <c r="V132" s="200"/>
      <c r="Y132" s="200"/>
      <c r="Z132" s="213"/>
      <c r="AA132" s="200"/>
      <c r="AB132" s="200"/>
      <c r="AC132" s="210"/>
      <c r="AD132" s="210"/>
      <c r="AE132" s="200"/>
      <c r="AF132" s="200"/>
      <c r="AG132" s="209"/>
      <c r="AH132" s="201"/>
      <c r="AI132" s="200"/>
      <c r="AJ132" s="200"/>
      <c r="AK132" s="209"/>
      <c r="AL132" s="200"/>
      <c r="AM132" s="210"/>
      <c r="AN132" s="210"/>
    </row>
    <row r="133" spans="1:40" x14ac:dyDescent="0.25">
      <c r="A133" s="202"/>
      <c r="C133" s="154"/>
      <c r="F133" s="252"/>
      <c r="H133" s="252"/>
      <c r="I133" s="252"/>
      <c r="J133" s="300"/>
      <c r="K133" s="300"/>
      <c r="L133" s="200"/>
      <c r="M133" s="200"/>
      <c r="N133" s="210"/>
      <c r="O133" s="210"/>
      <c r="P133" s="200"/>
      <c r="Q133" s="200"/>
      <c r="R133" s="200"/>
      <c r="T133" s="154"/>
      <c r="V133" s="252"/>
      <c r="Y133" s="200"/>
      <c r="Z133" s="300"/>
      <c r="AA133" s="200"/>
      <c r="AB133" s="200"/>
      <c r="AC133" s="210"/>
      <c r="AD133" s="210"/>
      <c r="AE133" s="200"/>
      <c r="AF133" s="200"/>
      <c r="AG133" s="325"/>
      <c r="AH133" s="326"/>
      <c r="AI133" s="200"/>
      <c r="AJ133" s="200"/>
      <c r="AK133" s="209"/>
      <c r="AL133" s="200"/>
      <c r="AM133" s="327"/>
      <c r="AN133" s="327"/>
    </row>
    <row r="134" spans="1:40" x14ac:dyDescent="0.25">
      <c r="A134" s="202"/>
      <c r="C134" s="154"/>
      <c r="F134" s="252"/>
      <c r="H134" s="252"/>
      <c r="I134" s="252"/>
      <c r="J134" s="300"/>
      <c r="K134" s="300"/>
      <c r="L134" s="200"/>
      <c r="M134" s="200"/>
      <c r="N134" s="210"/>
      <c r="O134" s="210"/>
      <c r="P134" s="200"/>
      <c r="Q134" s="200"/>
      <c r="R134" s="200"/>
      <c r="T134" s="154"/>
      <c r="V134" s="252"/>
      <c r="Y134" s="200"/>
      <c r="Z134" s="300"/>
      <c r="AA134" s="200"/>
      <c r="AB134" s="200"/>
      <c r="AC134" s="210"/>
      <c r="AD134" s="210"/>
      <c r="AE134" s="200"/>
      <c r="AF134" s="200"/>
      <c r="AG134" s="209"/>
      <c r="AH134" s="201"/>
      <c r="AI134" s="200"/>
      <c r="AJ134" s="200"/>
      <c r="AK134" s="209"/>
      <c r="AL134" s="200"/>
      <c r="AM134" s="210"/>
      <c r="AN134" s="210"/>
    </row>
    <row r="135" spans="1:40" x14ac:dyDescent="0.25">
      <c r="F135" s="200"/>
      <c r="H135" s="211"/>
      <c r="I135" s="211"/>
      <c r="J135" s="305"/>
      <c r="K135" s="305"/>
      <c r="L135" s="211"/>
      <c r="M135" s="211"/>
      <c r="N135" s="211"/>
      <c r="O135" s="211"/>
      <c r="P135" s="211"/>
      <c r="Q135" s="211"/>
      <c r="R135" s="211"/>
      <c r="V135" s="200"/>
      <c r="Y135" s="211"/>
      <c r="Z135" s="305"/>
      <c r="AA135" s="211"/>
      <c r="AB135" s="211"/>
      <c r="AC135" s="211"/>
      <c r="AD135" s="211"/>
      <c r="AE135" s="211"/>
      <c r="AF135" s="211"/>
      <c r="AI135" s="211"/>
      <c r="AJ135" s="211"/>
      <c r="AK135" s="212"/>
      <c r="AL135" s="211"/>
      <c r="AM135" s="210"/>
      <c r="AN135" s="210"/>
    </row>
    <row r="136" spans="1:40" x14ac:dyDescent="0.25">
      <c r="A136" s="202"/>
      <c r="C136" s="154"/>
      <c r="F136" s="200"/>
      <c r="H136" s="200"/>
      <c r="I136" s="200"/>
      <c r="J136" s="305"/>
      <c r="K136" s="305"/>
      <c r="L136" s="200"/>
      <c r="M136" s="200"/>
      <c r="N136" s="210"/>
      <c r="O136" s="210"/>
      <c r="P136" s="200"/>
      <c r="Q136" s="200"/>
      <c r="R136" s="200"/>
      <c r="T136" s="154"/>
      <c r="V136" s="200"/>
      <c r="Y136" s="200"/>
      <c r="Z136" s="305"/>
      <c r="AA136" s="200"/>
      <c r="AB136" s="200"/>
      <c r="AC136" s="210"/>
      <c r="AD136" s="210"/>
      <c r="AE136" s="200"/>
      <c r="AF136" s="200"/>
      <c r="AG136" s="209"/>
      <c r="AH136" s="201"/>
      <c r="AI136" s="200"/>
      <c r="AJ136" s="200"/>
      <c r="AK136" s="209"/>
      <c r="AL136" s="200"/>
      <c r="AM136" s="210"/>
      <c r="AN136" s="210"/>
    </row>
    <row r="137" spans="1:40" x14ac:dyDescent="0.25">
      <c r="F137" s="200"/>
      <c r="H137" s="211"/>
      <c r="I137" s="211"/>
      <c r="J137" s="305"/>
      <c r="K137" s="305"/>
      <c r="L137" s="211"/>
      <c r="M137" s="211"/>
      <c r="N137" s="211"/>
      <c r="O137" s="211"/>
      <c r="P137" s="211"/>
      <c r="Q137" s="211"/>
      <c r="R137" s="211"/>
      <c r="V137" s="200"/>
      <c r="Y137" s="211"/>
      <c r="Z137" s="305"/>
      <c r="AA137" s="211"/>
      <c r="AB137" s="211"/>
      <c r="AC137" s="211"/>
      <c r="AD137" s="211"/>
      <c r="AE137" s="211"/>
      <c r="AF137" s="211"/>
      <c r="AI137" s="211"/>
      <c r="AJ137" s="211"/>
      <c r="AK137" s="212"/>
      <c r="AL137" s="211"/>
      <c r="AM137" s="210"/>
      <c r="AN137" s="210"/>
    </row>
    <row r="138" spans="1:40" x14ac:dyDescent="0.25">
      <c r="F138" s="200"/>
      <c r="H138" s="200"/>
      <c r="I138" s="200"/>
      <c r="J138" s="305"/>
      <c r="K138" s="305"/>
      <c r="L138" s="200"/>
      <c r="M138" s="200"/>
      <c r="N138" s="200"/>
      <c r="O138" s="200"/>
      <c r="P138" s="200"/>
      <c r="Q138" s="200"/>
      <c r="R138" s="200"/>
      <c r="V138" s="200"/>
      <c r="Y138" s="200"/>
      <c r="Z138" s="305"/>
      <c r="AA138" s="200"/>
      <c r="AB138" s="200"/>
      <c r="AC138" s="200"/>
      <c r="AD138" s="200"/>
      <c r="AE138" s="200"/>
      <c r="AF138" s="200"/>
      <c r="AG138" s="209"/>
      <c r="AH138" s="201"/>
      <c r="AI138" s="200"/>
      <c r="AJ138" s="200"/>
      <c r="AK138" s="209"/>
      <c r="AL138" s="200"/>
      <c r="AM138" s="210"/>
      <c r="AN138" s="210"/>
    </row>
    <row r="139" spans="1:40" x14ac:dyDescent="0.25">
      <c r="A139" s="202"/>
      <c r="C139" s="154"/>
      <c r="F139" s="252"/>
      <c r="H139" s="252"/>
      <c r="I139" s="252"/>
      <c r="J139" s="320"/>
      <c r="K139" s="320"/>
      <c r="L139" s="200"/>
      <c r="M139" s="200"/>
      <c r="N139" s="210"/>
      <c r="O139" s="210"/>
      <c r="P139" s="252"/>
      <c r="Q139" s="252"/>
      <c r="R139" s="200"/>
      <c r="T139" s="154"/>
      <c r="V139" s="252"/>
      <c r="Y139" s="252"/>
      <c r="Z139" s="328"/>
      <c r="AA139" s="200"/>
      <c r="AB139" s="200"/>
      <c r="AC139" s="210"/>
      <c r="AD139" s="210"/>
      <c r="AE139" s="200"/>
      <c r="AF139" s="200"/>
      <c r="AG139" s="209"/>
      <c r="AH139" s="201"/>
      <c r="AI139" s="252"/>
      <c r="AJ139" s="252"/>
      <c r="AK139" s="209"/>
      <c r="AL139" s="200"/>
      <c r="AM139" s="210"/>
      <c r="AN139" s="210"/>
    </row>
    <row r="140" spans="1:40" x14ac:dyDescent="0.25">
      <c r="A140" s="202"/>
      <c r="C140" s="154"/>
      <c r="F140" s="252"/>
      <c r="H140" s="252"/>
      <c r="I140" s="252"/>
      <c r="J140" s="320"/>
      <c r="K140" s="320"/>
      <c r="L140" s="200"/>
      <c r="M140" s="200"/>
      <c r="N140" s="210"/>
      <c r="O140" s="210"/>
      <c r="P140" s="252"/>
      <c r="Q140" s="252"/>
      <c r="R140" s="200"/>
      <c r="T140" s="154"/>
      <c r="V140" s="252"/>
      <c r="Y140" s="200"/>
      <c r="Z140" s="304"/>
      <c r="AA140" s="200"/>
      <c r="AB140" s="200"/>
      <c r="AC140" s="210"/>
      <c r="AD140" s="210"/>
      <c r="AE140" s="200"/>
      <c r="AF140" s="200"/>
      <c r="AG140" s="209"/>
      <c r="AH140" s="201"/>
      <c r="AI140" s="252"/>
      <c r="AJ140" s="252"/>
      <c r="AK140" s="209"/>
      <c r="AL140" s="200"/>
      <c r="AM140" s="210"/>
      <c r="AN140" s="210"/>
    </row>
    <row r="141" spans="1:40" x14ac:dyDescent="0.25">
      <c r="A141" s="202"/>
      <c r="C141" s="154"/>
      <c r="F141" s="252"/>
      <c r="H141" s="252"/>
      <c r="I141" s="252"/>
      <c r="J141" s="320"/>
      <c r="K141" s="320"/>
      <c r="L141" s="200"/>
      <c r="M141" s="200"/>
      <c r="N141" s="210"/>
      <c r="O141" s="210"/>
      <c r="P141" s="252"/>
      <c r="Q141" s="252"/>
      <c r="R141" s="200"/>
      <c r="T141" s="154"/>
      <c r="V141" s="252"/>
      <c r="Y141" s="200"/>
      <c r="Z141" s="304"/>
      <c r="AA141" s="200"/>
      <c r="AB141" s="200"/>
      <c r="AC141" s="210"/>
      <c r="AD141" s="210"/>
      <c r="AE141" s="200"/>
      <c r="AF141" s="200"/>
      <c r="AG141" s="209"/>
      <c r="AH141" s="201"/>
      <c r="AI141" s="252"/>
      <c r="AJ141" s="252"/>
      <c r="AK141" s="209"/>
      <c r="AL141" s="200"/>
      <c r="AM141" s="210"/>
      <c r="AN141" s="210"/>
    </row>
    <row r="142" spans="1:40" x14ac:dyDescent="0.25">
      <c r="F142" s="211"/>
      <c r="H142" s="211"/>
      <c r="I142" s="211"/>
      <c r="J142" s="305"/>
      <c r="K142" s="305"/>
      <c r="L142" s="211"/>
      <c r="M142" s="211"/>
      <c r="N142" s="211"/>
      <c r="O142" s="211"/>
      <c r="P142" s="211"/>
      <c r="Q142" s="211"/>
      <c r="R142" s="211"/>
      <c r="V142" s="211"/>
      <c r="Y142" s="211"/>
      <c r="Z142" s="305"/>
      <c r="AA142" s="211"/>
      <c r="AB142" s="211"/>
      <c r="AC142" s="211"/>
      <c r="AD142" s="211"/>
      <c r="AE142" s="211"/>
      <c r="AF142" s="211"/>
      <c r="AI142" s="211"/>
      <c r="AJ142" s="211"/>
      <c r="AK142" s="212"/>
      <c r="AL142" s="211"/>
      <c r="AM142" s="210"/>
      <c r="AN142" s="210"/>
    </row>
    <row r="143" spans="1:40" x14ac:dyDescent="0.25">
      <c r="A143" s="202"/>
      <c r="C143" s="154"/>
      <c r="F143" s="200"/>
      <c r="H143" s="200"/>
      <c r="I143" s="200"/>
      <c r="J143" s="213"/>
      <c r="K143" s="213"/>
      <c r="L143" s="200"/>
      <c r="M143" s="200"/>
      <c r="N143" s="210"/>
      <c r="O143" s="210"/>
      <c r="P143" s="200"/>
      <c r="Q143" s="200"/>
      <c r="R143" s="200"/>
      <c r="T143" s="154"/>
      <c r="V143" s="200"/>
      <c r="Y143" s="200"/>
      <c r="Z143" s="213"/>
      <c r="AA143" s="200"/>
      <c r="AB143" s="200"/>
      <c r="AC143" s="210"/>
      <c r="AD143" s="210"/>
      <c r="AE143" s="200"/>
      <c r="AF143" s="200"/>
      <c r="AG143" s="209"/>
      <c r="AH143" s="201"/>
      <c r="AI143" s="200"/>
      <c r="AJ143" s="200"/>
      <c r="AK143" s="209"/>
      <c r="AL143" s="200"/>
      <c r="AM143" s="210"/>
      <c r="AN143" s="210"/>
    </row>
    <row r="144" spans="1:40" x14ac:dyDescent="0.25">
      <c r="F144" s="211"/>
      <c r="H144" s="211"/>
      <c r="I144" s="211"/>
      <c r="J144" s="305"/>
      <c r="K144" s="305"/>
      <c r="L144" s="211"/>
      <c r="M144" s="211"/>
      <c r="N144" s="211"/>
      <c r="O144" s="211"/>
      <c r="P144" s="211"/>
      <c r="Q144" s="211"/>
      <c r="R144" s="211"/>
      <c r="V144" s="211"/>
      <c r="Y144" s="211"/>
      <c r="Z144" s="305"/>
      <c r="AA144" s="211"/>
      <c r="AB144" s="211"/>
      <c r="AC144" s="211"/>
      <c r="AD144" s="211"/>
      <c r="AE144" s="211"/>
      <c r="AF144" s="211"/>
      <c r="AI144" s="211"/>
      <c r="AJ144" s="211"/>
      <c r="AK144" s="212"/>
      <c r="AL144" s="211"/>
      <c r="AM144" s="210"/>
      <c r="AN144" s="210"/>
    </row>
    <row r="145" spans="1:40" x14ac:dyDescent="0.25">
      <c r="A145" s="202"/>
      <c r="C145" s="154"/>
      <c r="F145" s="200"/>
      <c r="H145" s="200"/>
      <c r="I145" s="200"/>
      <c r="J145" s="213"/>
      <c r="K145" s="213"/>
      <c r="L145" s="200"/>
      <c r="M145" s="200"/>
      <c r="N145" s="210"/>
      <c r="O145" s="210"/>
      <c r="P145" s="200"/>
      <c r="Q145" s="200"/>
      <c r="R145" s="200"/>
      <c r="T145" s="154"/>
      <c r="V145" s="200"/>
      <c r="Y145" s="200"/>
      <c r="Z145" s="213"/>
      <c r="AA145" s="200"/>
      <c r="AB145" s="200"/>
      <c r="AC145" s="210"/>
      <c r="AD145" s="210"/>
      <c r="AE145" s="200"/>
      <c r="AF145" s="200"/>
      <c r="AG145" s="209"/>
      <c r="AH145" s="201"/>
      <c r="AI145" s="200"/>
      <c r="AJ145" s="200"/>
      <c r="AK145" s="209"/>
      <c r="AL145" s="200"/>
      <c r="AM145" s="210"/>
      <c r="AN145" s="210"/>
    </row>
    <row r="146" spans="1:40" x14ac:dyDescent="0.25">
      <c r="A146" s="202"/>
      <c r="C146" s="154"/>
      <c r="F146" s="200"/>
      <c r="H146" s="200"/>
      <c r="I146" s="200"/>
      <c r="J146" s="213"/>
      <c r="K146" s="213"/>
      <c r="L146" s="200"/>
      <c r="M146" s="200"/>
      <c r="N146" s="210"/>
      <c r="O146" s="210"/>
      <c r="P146" s="200"/>
      <c r="Q146" s="200"/>
      <c r="R146" s="200"/>
      <c r="T146" s="154"/>
      <c r="V146" s="200"/>
      <c r="Y146" s="200"/>
      <c r="Z146" s="213"/>
      <c r="AA146" s="200"/>
      <c r="AB146" s="200"/>
      <c r="AC146" s="210"/>
      <c r="AD146" s="210"/>
      <c r="AE146" s="200"/>
      <c r="AF146" s="200"/>
      <c r="AG146" s="209"/>
      <c r="AH146" s="201"/>
      <c r="AI146" s="200"/>
      <c r="AJ146" s="200"/>
      <c r="AK146" s="209"/>
      <c r="AL146" s="200"/>
      <c r="AM146" s="210"/>
      <c r="AN146" s="210"/>
    </row>
    <row r="147" spans="1:40" x14ac:dyDescent="0.25">
      <c r="F147" s="211"/>
      <c r="H147" s="211"/>
      <c r="I147" s="211"/>
      <c r="J147" s="305"/>
      <c r="K147" s="305"/>
      <c r="L147" s="211"/>
      <c r="M147" s="211"/>
      <c r="N147" s="211"/>
      <c r="O147" s="211"/>
      <c r="P147" s="211"/>
      <c r="Q147" s="211"/>
      <c r="R147" s="211"/>
      <c r="V147" s="211"/>
      <c r="Y147" s="211"/>
      <c r="Z147" s="305"/>
      <c r="AA147" s="211"/>
      <c r="AB147" s="211"/>
      <c r="AC147" s="211"/>
      <c r="AD147" s="211"/>
      <c r="AE147" s="211"/>
      <c r="AF147" s="211"/>
      <c r="AI147" s="211"/>
      <c r="AJ147" s="211"/>
      <c r="AK147" s="212"/>
      <c r="AL147" s="211"/>
      <c r="AM147" s="200"/>
      <c r="AN147" s="200"/>
    </row>
    <row r="148" spans="1:40" x14ac:dyDescent="0.25">
      <c r="F148" s="200"/>
      <c r="H148" s="200"/>
      <c r="I148" s="200"/>
      <c r="J148" s="213"/>
      <c r="K148" s="213"/>
      <c r="L148" s="200"/>
      <c r="M148" s="200"/>
      <c r="N148" s="200"/>
      <c r="O148" s="200"/>
      <c r="P148" s="200"/>
      <c r="Q148" s="200"/>
      <c r="R148" s="200"/>
      <c r="V148" s="200"/>
      <c r="Y148" s="200"/>
      <c r="Z148" s="213"/>
      <c r="AA148" s="200"/>
      <c r="AB148" s="200"/>
      <c r="AC148" s="200"/>
      <c r="AD148" s="200"/>
    </row>
    <row r="149" spans="1:40" x14ac:dyDescent="0.25">
      <c r="C149" s="154"/>
      <c r="F149" s="200"/>
      <c r="H149" s="200"/>
      <c r="I149" s="200"/>
      <c r="J149" s="213"/>
      <c r="K149" s="213"/>
      <c r="L149" s="200"/>
      <c r="M149" s="200"/>
      <c r="N149" s="200"/>
      <c r="O149" s="200"/>
      <c r="P149" s="200"/>
      <c r="Q149" s="200"/>
      <c r="R149" s="200"/>
      <c r="T149" s="154"/>
      <c r="V149" s="200"/>
      <c r="Y149" s="200"/>
      <c r="Z149" s="213"/>
      <c r="AA149" s="200"/>
      <c r="AB149" s="200"/>
      <c r="AC149" s="200"/>
      <c r="AD149" s="200"/>
    </row>
    <row r="150" spans="1:40" x14ac:dyDescent="0.25">
      <c r="A150" s="154"/>
    </row>
    <row r="151" spans="1:40" x14ac:dyDescent="0.25">
      <c r="J151" s="202"/>
      <c r="K151" s="202"/>
      <c r="Z151" s="202"/>
    </row>
    <row r="152" spans="1:40" x14ac:dyDescent="0.25">
      <c r="H152" s="154"/>
      <c r="I152" s="154"/>
      <c r="Y152" s="154"/>
    </row>
    <row r="153" spans="1:40" x14ac:dyDescent="0.25">
      <c r="J153" s="202"/>
      <c r="K153" s="202"/>
      <c r="Z153" s="202"/>
    </row>
    <row r="154" spans="1:40" x14ac:dyDescent="0.25">
      <c r="L154" s="154"/>
      <c r="M154" s="154"/>
      <c r="AA154" s="154"/>
      <c r="AB154" s="154"/>
    </row>
    <row r="155" spans="1:40" x14ac:dyDescent="0.25">
      <c r="A155" s="202"/>
      <c r="R155" s="154"/>
      <c r="AK155" s="297"/>
      <c r="AL155" s="154"/>
    </row>
    <row r="156" spans="1:40" x14ac:dyDescent="0.25">
      <c r="A156" s="202"/>
      <c r="R156" s="154"/>
      <c r="AK156" s="297"/>
      <c r="AL156" s="154"/>
    </row>
    <row r="157" spans="1:40" x14ac:dyDescent="0.25">
      <c r="A157" s="154"/>
      <c r="R157" s="154"/>
      <c r="AK157" s="297"/>
      <c r="AL157" s="154"/>
    </row>
    <row r="158" spans="1:40" x14ac:dyDescent="0.25">
      <c r="L158" s="154"/>
      <c r="M158" s="154"/>
      <c r="R158" s="202"/>
      <c r="AA158" s="154"/>
      <c r="AB158" s="154"/>
      <c r="AK158" s="209"/>
      <c r="AL158" s="202"/>
    </row>
    <row r="159" spans="1:40" x14ac:dyDescent="0.25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208"/>
      <c r="AH159" s="102"/>
      <c r="AI159" s="102"/>
      <c r="AJ159" s="102"/>
      <c r="AK159" s="208"/>
      <c r="AL159" s="102"/>
      <c r="AM159" s="102"/>
      <c r="AN159" s="102"/>
    </row>
    <row r="160" spans="1:40" x14ac:dyDescent="0.25">
      <c r="L160" s="103"/>
      <c r="M160" s="103"/>
      <c r="N160" s="103"/>
      <c r="O160" s="103"/>
      <c r="R160" s="103"/>
      <c r="AA160" s="103"/>
      <c r="AB160" s="103"/>
      <c r="AC160" s="103"/>
      <c r="AD160" s="103"/>
      <c r="AE160" s="103"/>
      <c r="AF160" s="103"/>
      <c r="AG160" s="185"/>
      <c r="AH160" s="103"/>
      <c r="AK160" s="185"/>
      <c r="AL160" s="103"/>
      <c r="AM160" s="103"/>
      <c r="AN160" s="103"/>
    </row>
    <row r="161" spans="1:40" x14ac:dyDescent="0.25">
      <c r="L161" s="103"/>
      <c r="M161" s="103"/>
      <c r="N161" s="103"/>
      <c r="O161" s="103"/>
      <c r="R161" s="103"/>
      <c r="Z161" s="103"/>
      <c r="AA161" s="103"/>
      <c r="AB161" s="103"/>
      <c r="AC161" s="103"/>
      <c r="AD161" s="103"/>
      <c r="AE161" s="103"/>
      <c r="AF161" s="103"/>
      <c r="AG161" s="185"/>
      <c r="AH161" s="103"/>
      <c r="AK161" s="185"/>
      <c r="AL161" s="103"/>
      <c r="AM161" s="103"/>
      <c r="AN161" s="103"/>
    </row>
    <row r="162" spans="1:40" x14ac:dyDescent="0.25">
      <c r="A162" s="103"/>
      <c r="C162" s="103"/>
      <c r="D162" s="103"/>
      <c r="E162" s="103"/>
      <c r="F162" s="103"/>
      <c r="J162" s="103"/>
      <c r="K162" s="103"/>
      <c r="L162" s="103"/>
      <c r="M162" s="103"/>
      <c r="N162" s="103"/>
      <c r="O162" s="103"/>
      <c r="P162" s="103"/>
      <c r="Q162" s="103"/>
      <c r="R162" s="103"/>
      <c r="T162" s="103"/>
      <c r="U162" s="103"/>
      <c r="V162" s="103"/>
      <c r="Z162" s="103"/>
      <c r="AA162" s="103"/>
      <c r="AB162" s="103"/>
      <c r="AC162" s="103"/>
      <c r="AD162" s="103"/>
      <c r="AE162" s="103"/>
      <c r="AF162" s="103"/>
      <c r="AG162" s="185"/>
      <c r="AH162" s="103"/>
      <c r="AI162" s="103"/>
      <c r="AJ162" s="103"/>
      <c r="AK162" s="185"/>
      <c r="AL162" s="103"/>
      <c r="AM162" s="103"/>
      <c r="AN162" s="103"/>
    </row>
    <row r="163" spans="1:40" x14ac:dyDescent="0.25">
      <c r="A163" s="103"/>
      <c r="C163" s="103"/>
      <c r="D163" s="103"/>
      <c r="E163" s="103"/>
      <c r="F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T163" s="103"/>
      <c r="U163" s="103"/>
      <c r="V163" s="103"/>
      <c r="Y163" s="103"/>
      <c r="Z163" s="103"/>
      <c r="AA163" s="103"/>
      <c r="AB163" s="103"/>
      <c r="AC163" s="103"/>
      <c r="AD163" s="103"/>
      <c r="AE163" s="103"/>
      <c r="AF163" s="103"/>
      <c r="AG163" s="185"/>
      <c r="AH163" s="103"/>
      <c r="AI163" s="103"/>
      <c r="AJ163" s="103"/>
      <c r="AK163" s="185"/>
      <c r="AL163" s="103"/>
      <c r="AM163" s="103"/>
      <c r="AN163" s="103"/>
    </row>
    <row r="164" spans="1:40" x14ac:dyDescent="0.25">
      <c r="C164" s="103"/>
      <c r="D164" s="103"/>
      <c r="E164" s="103"/>
      <c r="F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T164" s="103"/>
      <c r="U164" s="103"/>
      <c r="V164" s="103"/>
      <c r="Y164" s="103"/>
      <c r="Z164" s="103"/>
      <c r="AA164" s="103"/>
      <c r="AB164" s="103"/>
      <c r="AC164" s="103"/>
      <c r="AD164" s="103"/>
      <c r="AE164" s="103"/>
      <c r="AF164" s="103"/>
      <c r="AG164" s="185"/>
      <c r="AH164" s="103"/>
      <c r="AI164" s="103"/>
      <c r="AJ164" s="103"/>
      <c r="AK164" s="185"/>
      <c r="AL164" s="103"/>
      <c r="AM164" s="103"/>
      <c r="AN164" s="103"/>
    </row>
    <row r="165" spans="1:40" x14ac:dyDescent="0.25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208"/>
      <c r="AH165" s="102"/>
      <c r="AI165" s="102"/>
      <c r="AJ165" s="102"/>
      <c r="AK165" s="208"/>
      <c r="AL165" s="102"/>
      <c r="AM165" s="102"/>
      <c r="AN165" s="102"/>
    </row>
    <row r="166" spans="1:40" x14ac:dyDescent="0.25"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Y166" s="103"/>
      <c r="Z166" s="103"/>
      <c r="AA166" s="103"/>
      <c r="AB166" s="103"/>
      <c r="AC166" s="103"/>
      <c r="AD166" s="103"/>
      <c r="AE166" s="103"/>
      <c r="AF166" s="103"/>
      <c r="AG166" s="185"/>
      <c r="AH166" s="103"/>
      <c r="AI166" s="103"/>
      <c r="AJ166" s="103"/>
      <c r="AK166" s="185"/>
      <c r="AL166" s="103"/>
      <c r="AM166" s="103"/>
      <c r="AN166" s="103"/>
    </row>
    <row r="167" spans="1:40" x14ac:dyDescent="0.25">
      <c r="A167" s="202"/>
      <c r="C167" s="154"/>
      <c r="D167" s="154"/>
      <c r="E167" s="154"/>
      <c r="T167" s="154"/>
      <c r="U167" s="154"/>
    </row>
    <row r="169" spans="1:40" x14ac:dyDescent="0.25">
      <c r="A169" s="202"/>
      <c r="C169" s="154"/>
      <c r="F169" s="252"/>
      <c r="H169" s="317"/>
      <c r="I169" s="317"/>
      <c r="J169" s="300"/>
      <c r="K169" s="300"/>
      <c r="L169" s="200"/>
      <c r="M169" s="200"/>
      <c r="N169" s="202"/>
      <c r="O169" s="202"/>
      <c r="P169" s="202"/>
      <c r="Q169" s="202"/>
      <c r="R169" s="200"/>
      <c r="T169" s="154"/>
      <c r="V169" s="200"/>
      <c r="Y169" s="202"/>
      <c r="Z169" s="300"/>
      <c r="AA169" s="200"/>
      <c r="AB169" s="200"/>
      <c r="AC169" s="202"/>
      <c r="AD169" s="202"/>
      <c r="AE169" s="200"/>
      <c r="AF169" s="200"/>
      <c r="AG169" s="325"/>
      <c r="AH169" s="326"/>
      <c r="AI169" s="200"/>
      <c r="AJ169" s="200"/>
      <c r="AK169" s="209"/>
      <c r="AL169" s="200"/>
      <c r="AM169" s="327"/>
      <c r="AN169" s="327"/>
    </row>
    <row r="170" spans="1:40" x14ac:dyDescent="0.25">
      <c r="F170" s="252"/>
      <c r="H170" s="317"/>
      <c r="I170" s="317"/>
      <c r="J170" s="317"/>
      <c r="K170" s="317"/>
      <c r="R170" s="200"/>
      <c r="V170" s="200"/>
      <c r="Z170" s="317"/>
    </row>
    <row r="171" spans="1:40" x14ac:dyDescent="0.25">
      <c r="A171" s="202"/>
      <c r="C171" s="154"/>
      <c r="F171" s="252"/>
      <c r="H171" s="252"/>
      <c r="I171" s="252"/>
      <c r="J171" s="320"/>
      <c r="K171" s="320"/>
      <c r="L171" s="200"/>
      <c r="M171" s="200"/>
      <c r="N171" s="210"/>
      <c r="O171" s="210"/>
      <c r="P171" s="252"/>
      <c r="Q171" s="252"/>
      <c r="R171" s="200"/>
      <c r="T171" s="154"/>
      <c r="V171" s="200"/>
      <c r="Y171" s="200"/>
      <c r="Z171" s="304"/>
      <c r="AA171" s="200"/>
      <c r="AB171" s="200"/>
      <c r="AC171" s="210"/>
      <c r="AD171" s="210"/>
      <c r="AE171" s="200"/>
      <c r="AF171" s="200"/>
      <c r="AG171" s="209"/>
      <c r="AH171" s="201"/>
      <c r="AI171" s="252"/>
      <c r="AJ171" s="252"/>
      <c r="AK171" s="209"/>
      <c r="AL171" s="200"/>
      <c r="AM171" s="210"/>
      <c r="AN171" s="210"/>
    </row>
    <row r="172" spans="1:40" x14ac:dyDescent="0.25">
      <c r="F172" s="211"/>
      <c r="H172" s="211"/>
      <c r="I172" s="211"/>
      <c r="J172" s="305"/>
      <c r="K172" s="305"/>
      <c r="L172" s="211"/>
      <c r="M172" s="211"/>
      <c r="N172" s="211"/>
      <c r="O172" s="211"/>
      <c r="P172" s="211"/>
      <c r="Q172" s="211"/>
      <c r="R172" s="211"/>
      <c r="V172" s="211"/>
      <c r="Y172" s="211"/>
      <c r="Z172" s="305"/>
      <c r="AA172" s="211"/>
      <c r="AB172" s="211"/>
      <c r="AC172" s="211"/>
      <c r="AD172" s="211"/>
      <c r="AE172" s="211"/>
      <c r="AF172" s="211"/>
      <c r="AI172" s="211"/>
      <c r="AJ172" s="211"/>
      <c r="AK172" s="212"/>
      <c r="AL172" s="211"/>
    </row>
    <row r="173" spans="1:40" x14ac:dyDescent="0.25">
      <c r="A173" s="202"/>
      <c r="D173" s="154"/>
      <c r="E173" s="154"/>
      <c r="F173" s="200"/>
      <c r="H173" s="200"/>
      <c r="I173" s="200"/>
      <c r="J173" s="213"/>
      <c r="K173" s="213"/>
      <c r="L173" s="200"/>
      <c r="M173" s="200"/>
      <c r="N173" s="210"/>
      <c r="O173" s="210"/>
      <c r="P173" s="200"/>
      <c r="Q173" s="200"/>
      <c r="R173" s="200"/>
      <c r="U173" s="154"/>
      <c r="V173" s="200"/>
      <c r="Y173" s="200"/>
      <c r="Z173" s="213"/>
      <c r="AA173" s="200"/>
      <c r="AB173" s="200"/>
      <c r="AC173" s="210"/>
      <c r="AD173" s="210"/>
      <c r="AE173" s="200"/>
      <c r="AF173" s="200"/>
      <c r="AG173" s="209"/>
      <c r="AH173" s="201"/>
      <c r="AI173" s="200"/>
      <c r="AJ173" s="200"/>
      <c r="AK173" s="209"/>
      <c r="AL173" s="200"/>
      <c r="AM173" s="210"/>
      <c r="AN173" s="210"/>
    </row>
    <row r="174" spans="1:40" x14ac:dyDescent="0.25">
      <c r="F174" s="211"/>
      <c r="H174" s="211"/>
      <c r="I174" s="211"/>
      <c r="J174" s="305"/>
      <c r="K174" s="305"/>
      <c r="L174" s="211"/>
      <c r="M174" s="211"/>
      <c r="N174" s="211"/>
      <c r="O174" s="211"/>
      <c r="P174" s="211"/>
      <c r="Q174" s="211"/>
      <c r="R174" s="211"/>
      <c r="V174" s="211"/>
      <c r="Y174" s="211"/>
      <c r="Z174" s="305"/>
      <c r="AA174" s="211"/>
      <c r="AB174" s="211"/>
      <c r="AC174" s="211"/>
      <c r="AD174" s="211"/>
      <c r="AE174" s="211"/>
      <c r="AF174" s="211"/>
      <c r="AI174" s="211"/>
      <c r="AJ174" s="211"/>
      <c r="AK174" s="212"/>
      <c r="AL174" s="211"/>
    </row>
    <row r="175" spans="1:40" x14ac:dyDescent="0.25">
      <c r="R175" s="200"/>
    </row>
    <row r="176" spans="1:40" x14ac:dyDescent="0.25">
      <c r="R176" s="200"/>
    </row>
    <row r="177" spans="1:40" x14ac:dyDescent="0.25">
      <c r="R177" s="200"/>
    </row>
    <row r="178" spans="1:40" x14ac:dyDescent="0.25">
      <c r="A178" s="202"/>
      <c r="C178" s="154"/>
      <c r="D178" s="154"/>
      <c r="E178" s="154"/>
      <c r="H178" s="200"/>
      <c r="I178" s="200"/>
      <c r="J178" s="213"/>
      <c r="K178" s="213"/>
      <c r="L178" s="200"/>
      <c r="M178" s="200"/>
      <c r="N178" s="210"/>
      <c r="O178" s="210"/>
      <c r="P178" s="200"/>
      <c r="Q178" s="200"/>
      <c r="R178" s="200"/>
      <c r="T178" s="154"/>
      <c r="U178" s="154"/>
      <c r="Y178" s="200"/>
      <c r="Z178" s="213"/>
      <c r="AA178" s="200"/>
      <c r="AB178" s="200"/>
      <c r="AC178" s="210"/>
      <c r="AD178" s="210"/>
    </row>
    <row r="179" spans="1:40" x14ac:dyDescent="0.25">
      <c r="H179" s="200"/>
      <c r="I179" s="200"/>
      <c r="J179" s="213"/>
      <c r="K179" s="213"/>
      <c r="L179" s="200"/>
      <c r="M179" s="200"/>
      <c r="N179" s="210"/>
      <c r="O179" s="210"/>
      <c r="P179" s="200"/>
      <c r="Q179" s="200"/>
      <c r="R179" s="200"/>
      <c r="Y179" s="200"/>
      <c r="Z179" s="213"/>
      <c r="AA179" s="200"/>
      <c r="AB179" s="200"/>
      <c r="AC179" s="210"/>
      <c r="AD179" s="210"/>
    </row>
    <row r="180" spans="1:40" x14ac:dyDescent="0.25">
      <c r="A180" s="202"/>
      <c r="C180" s="154"/>
      <c r="F180" s="252"/>
      <c r="H180" s="252"/>
      <c r="I180" s="252"/>
      <c r="J180" s="214"/>
      <c r="K180" s="214"/>
      <c r="L180" s="252"/>
      <c r="M180" s="252"/>
      <c r="N180" s="210"/>
      <c r="O180" s="210"/>
      <c r="P180" s="200"/>
      <c r="Q180" s="200"/>
      <c r="R180" s="200"/>
      <c r="T180" s="154"/>
      <c r="V180" s="200"/>
      <c r="Y180" s="200"/>
      <c r="Z180" s="214"/>
      <c r="AA180" s="200"/>
      <c r="AB180" s="200"/>
      <c r="AC180" s="210"/>
      <c r="AD180" s="210"/>
      <c r="AE180" s="200"/>
      <c r="AF180" s="200"/>
      <c r="AG180" s="209"/>
      <c r="AH180" s="201"/>
      <c r="AI180" s="200"/>
      <c r="AJ180" s="200"/>
      <c r="AK180" s="209"/>
      <c r="AL180" s="200"/>
      <c r="AM180" s="210"/>
      <c r="AN180" s="210"/>
    </row>
    <row r="181" spans="1:40" x14ac:dyDescent="0.25">
      <c r="F181" s="252"/>
      <c r="H181" s="317"/>
      <c r="I181" s="317"/>
      <c r="J181" s="317"/>
      <c r="K181" s="317"/>
      <c r="R181" s="200"/>
      <c r="V181" s="200"/>
      <c r="Z181" s="317"/>
    </row>
    <row r="182" spans="1:40" x14ac:dyDescent="0.25">
      <c r="A182" s="202"/>
      <c r="C182" s="154"/>
      <c r="F182" s="252"/>
      <c r="H182" s="252"/>
      <c r="I182" s="252"/>
      <c r="J182" s="300"/>
      <c r="K182" s="300"/>
      <c r="L182" s="200"/>
      <c r="M182" s="200"/>
      <c r="N182" s="210"/>
      <c r="O182" s="210"/>
      <c r="P182" s="200"/>
      <c r="Q182" s="200"/>
      <c r="R182" s="200"/>
      <c r="T182" s="154"/>
      <c r="V182" s="200"/>
      <c r="Y182" s="200"/>
      <c r="Z182" s="300"/>
      <c r="AA182" s="200"/>
      <c r="AB182" s="200"/>
      <c r="AC182" s="210"/>
      <c r="AD182" s="210"/>
      <c r="AE182" s="200"/>
      <c r="AF182" s="200"/>
      <c r="AG182" s="209"/>
      <c r="AH182" s="201"/>
      <c r="AI182" s="200"/>
      <c r="AJ182" s="200"/>
      <c r="AK182" s="209"/>
      <c r="AL182" s="200"/>
      <c r="AM182" s="210"/>
      <c r="AN182" s="210"/>
    </row>
    <row r="183" spans="1:40" x14ac:dyDescent="0.25">
      <c r="F183" s="252"/>
      <c r="H183" s="317"/>
      <c r="I183" s="317"/>
      <c r="J183" s="317"/>
      <c r="K183" s="317"/>
      <c r="R183" s="200"/>
      <c r="V183" s="200"/>
      <c r="Z183" s="317"/>
    </row>
    <row r="184" spans="1:40" x14ac:dyDescent="0.25">
      <c r="A184" s="202"/>
      <c r="C184" s="154"/>
      <c r="F184" s="252"/>
      <c r="H184" s="252"/>
      <c r="I184" s="252"/>
      <c r="J184" s="320"/>
      <c r="K184" s="320"/>
      <c r="L184" s="200"/>
      <c r="M184" s="200"/>
      <c r="N184" s="210"/>
      <c r="O184" s="210"/>
      <c r="P184" s="200"/>
      <c r="Q184" s="200"/>
      <c r="R184" s="200"/>
      <c r="T184" s="154"/>
      <c r="V184" s="200"/>
      <c r="Y184" s="200"/>
      <c r="Z184" s="304"/>
      <c r="AA184" s="200"/>
      <c r="AB184" s="200"/>
      <c r="AC184" s="210"/>
      <c r="AD184" s="210"/>
      <c r="AE184" s="200"/>
      <c r="AF184" s="200"/>
      <c r="AG184" s="209"/>
      <c r="AH184" s="201"/>
      <c r="AI184" s="200"/>
      <c r="AJ184" s="200"/>
      <c r="AK184" s="209"/>
      <c r="AL184" s="200"/>
      <c r="AM184" s="210"/>
      <c r="AN184" s="210"/>
    </row>
    <row r="185" spans="1:40" x14ac:dyDescent="0.25">
      <c r="F185" s="211"/>
      <c r="H185" s="211"/>
      <c r="I185" s="211"/>
      <c r="J185" s="305"/>
      <c r="K185" s="305"/>
      <c r="L185" s="211"/>
      <c r="M185" s="211"/>
      <c r="N185" s="211"/>
      <c r="O185" s="211"/>
      <c r="P185" s="211"/>
      <c r="Q185" s="211"/>
      <c r="R185" s="211"/>
      <c r="S185" s="200"/>
      <c r="V185" s="211"/>
      <c r="Y185" s="211"/>
      <c r="Z185" s="305"/>
      <c r="AA185" s="211"/>
      <c r="AB185" s="211"/>
      <c r="AC185" s="211"/>
      <c r="AD185" s="211"/>
      <c r="AE185" s="211"/>
      <c r="AF185" s="211"/>
      <c r="AI185" s="211"/>
      <c r="AJ185" s="211"/>
      <c r="AK185" s="212"/>
      <c r="AL185" s="211"/>
    </row>
    <row r="186" spans="1:40" x14ac:dyDescent="0.25">
      <c r="A186" s="202"/>
      <c r="D186" s="154"/>
      <c r="E186" s="154"/>
      <c r="F186" s="200"/>
      <c r="H186" s="200"/>
      <c r="I186" s="200"/>
      <c r="J186" s="213"/>
      <c r="K186" s="213"/>
      <c r="L186" s="200"/>
      <c r="M186" s="200"/>
      <c r="N186" s="210"/>
      <c r="O186" s="210"/>
      <c r="P186" s="252"/>
      <c r="Q186" s="252"/>
      <c r="R186" s="200"/>
      <c r="S186" s="200"/>
      <c r="U186" s="154"/>
      <c r="V186" s="200"/>
      <c r="Y186" s="200"/>
      <c r="Z186" s="213"/>
      <c r="AA186" s="200"/>
      <c r="AB186" s="200"/>
      <c r="AC186" s="210"/>
      <c r="AD186" s="210"/>
      <c r="AE186" s="200"/>
      <c r="AF186" s="200"/>
      <c r="AG186" s="209"/>
      <c r="AH186" s="201"/>
      <c r="AI186" s="252"/>
      <c r="AJ186" s="252"/>
      <c r="AK186" s="209"/>
      <c r="AL186" s="200"/>
      <c r="AM186" s="210"/>
      <c r="AN186" s="210"/>
    </row>
    <row r="187" spans="1:40" x14ac:dyDescent="0.25">
      <c r="F187" s="211"/>
      <c r="H187" s="211"/>
      <c r="I187" s="211"/>
      <c r="J187" s="305"/>
      <c r="K187" s="305"/>
      <c r="L187" s="211"/>
      <c r="M187" s="211"/>
      <c r="N187" s="211"/>
      <c r="O187" s="211"/>
      <c r="P187" s="211"/>
      <c r="Q187" s="211"/>
      <c r="R187" s="211"/>
      <c r="S187" s="200"/>
      <c r="V187" s="211"/>
      <c r="Y187" s="211"/>
      <c r="Z187" s="305"/>
      <c r="AA187" s="211"/>
      <c r="AB187" s="211"/>
      <c r="AC187" s="211"/>
      <c r="AD187" s="211"/>
      <c r="AE187" s="211"/>
      <c r="AF187" s="211"/>
      <c r="AI187" s="211"/>
      <c r="AJ187" s="211"/>
      <c r="AK187" s="212"/>
      <c r="AL187" s="211"/>
    </row>
    <row r="188" spans="1:40" x14ac:dyDescent="0.25">
      <c r="R188" s="200"/>
    </row>
    <row r="189" spans="1:40" x14ac:dyDescent="0.25">
      <c r="F189" s="200"/>
      <c r="H189" s="200"/>
      <c r="I189" s="200"/>
      <c r="J189" s="213"/>
      <c r="K189" s="213"/>
      <c r="L189" s="200"/>
      <c r="M189" s="200"/>
      <c r="N189" s="200"/>
      <c r="O189" s="200"/>
      <c r="P189" s="200"/>
      <c r="Q189" s="200"/>
      <c r="R189" s="200"/>
      <c r="V189" s="200"/>
      <c r="Y189" s="200"/>
      <c r="Z189" s="213"/>
      <c r="AA189" s="200"/>
      <c r="AB189" s="200"/>
      <c r="AC189" s="200"/>
      <c r="AD189" s="200"/>
    </row>
    <row r="190" spans="1:40" x14ac:dyDescent="0.25">
      <c r="C190" s="154"/>
      <c r="F190" s="200"/>
      <c r="H190" s="200"/>
      <c r="I190" s="200"/>
      <c r="J190" s="213"/>
      <c r="K190" s="213"/>
      <c r="L190" s="200"/>
      <c r="M190" s="200"/>
      <c r="N190" s="200"/>
      <c r="O190" s="200"/>
      <c r="P190" s="200"/>
      <c r="Q190" s="200"/>
      <c r="R190" s="200"/>
      <c r="T190" s="154"/>
      <c r="V190" s="200"/>
      <c r="Y190" s="200"/>
      <c r="Z190" s="213"/>
      <c r="AA190" s="200"/>
      <c r="AB190" s="200"/>
      <c r="AC190" s="200"/>
      <c r="AD190" s="200"/>
    </row>
    <row r="191" spans="1:40" x14ac:dyDescent="0.25">
      <c r="C191" s="154"/>
      <c r="T191" s="154"/>
    </row>
    <row r="192" spans="1:40" x14ac:dyDescent="0.25">
      <c r="A192" s="154"/>
    </row>
    <row r="194" spans="1:40" x14ac:dyDescent="0.25">
      <c r="J194" s="202"/>
      <c r="K194" s="202"/>
      <c r="Z194" s="202"/>
    </row>
    <row r="195" spans="1:40" x14ac:dyDescent="0.25">
      <c r="H195" s="154"/>
      <c r="I195" s="154"/>
      <c r="Y195" s="154"/>
    </row>
    <row r="196" spans="1:40" x14ac:dyDescent="0.25">
      <c r="J196" s="202"/>
      <c r="K196" s="202"/>
      <c r="Z196" s="202"/>
    </row>
    <row r="197" spans="1:40" x14ac:dyDescent="0.25">
      <c r="L197" s="154"/>
      <c r="M197" s="154"/>
      <c r="AA197" s="154"/>
      <c r="AB197" s="154"/>
    </row>
    <row r="198" spans="1:40" x14ac:dyDescent="0.25">
      <c r="A198" s="202"/>
      <c r="R198" s="154"/>
      <c r="AK198" s="297"/>
      <c r="AL198" s="154"/>
    </row>
    <row r="199" spans="1:40" x14ac:dyDescent="0.25">
      <c r="A199" s="202"/>
      <c r="R199" s="154"/>
      <c r="AK199" s="297"/>
      <c r="AL199" s="154"/>
    </row>
    <row r="200" spans="1:40" x14ac:dyDescent="0.25">
      <c r="A200" s="154"/>
      <c r="R200" s="154"/>
      <c r="AK200" s="297"/>
      <c r="AL200" s="154"/>
    </row>
    <row r="201" spans="1:40" x14ac:dyDescent="0.25">
      <c r="L201" s="154"/>
      <c r="M201" s="154"/>
      <c r="R201" s="202"/>
      <c r="AA201" s="154"/>
      <c r="AB201" s="154"/>
      <c r="AK201" s="209"/>
      <c r="AL201" s="202"/>
    </row>
    <row r="202" spans="1:40" x14ac:dyDescent="0.25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208"/>
      <c r="AH202" s="102"/>
      <c r="AI202" s="102"/>
      <c r="AJ202" s="102"/>
      <c r="AK202" s="208"/>
      <c r="AL202" s="102"/>
      <c r="AM202" s="102"/>
      <c r="AN202" s="102"/>
    </row>
    <row r="203" spans="1:40" x14ac:dyDescent="0.25">
      <c r="L203" s="103"/>
      <c r="M203" s="103"/>
      <c r="N203" s="103"/>
      <c r="O203" s="103"/>
      <c r="R203" s="103"/>
      <c r="AA203" s="103"/>
      <c r="AB203" s="103"/>
      <c r="AC203" s="103"/>
      <c r="AD203" s="103"/>
      <c r="AE203" s="103"/>
      <c r="AF203" s="103"/>
      <c r="AG203" s="185"/>
      <c r="AH203" s="103"/>
      <c r="AK203" s="185"/>
      <c r="AL203" s="103"/>
      <c r="AM203" s="103"/>
      <c r="AN203" s="103"/>
    </row>
    <row r="204" spans="1:40" x14ac:dyDescent="0.25">
      <c r="L204" s="103"/>
      <c r="M204" s="103"/>
      <c r="N204" s="103"/>
      <c r="O204" s="103"/>
      <c r="R204" s="103"/>
      <c r="Z204" s="103"/>
      <c r="AA204" s="103"/>
      <c r="AB204" s="103"/>
      <c r="AC204" s="103"/>
      <c r="AD204" s="103"/>
      <c r="AE204" s="103"/>
      <c r="AF204" s="103"/>
      <c r="AG204" s="185"/>
      <c r="AH204" s="103"/>
      <c r="AK204" s="185"/>
      <c r="AL204" s="103"/>
      <c r="AM204" s="103"/>
      <c r="AN204" s="103"/>
    </row>
    <row r="205" spans="1:40" x14ac:dyDescent="0.25">
      <c r="A205" s="103"/>
      <c r="C205" s="103"/>
      <c r="D205" s="103"/>
      <c r="E205" s="103"/>
      <c r="F205" s="103"/>
      <c r="J205" s="103"/>
      <c r="K205" s="103"/>
      <c r="L205" s="103"/>
      <c r="M205" s="103"/>
      <c r="N205" s="103"/>
      <c r="O205" s="103"/>
      <c r="P205" s="103"/>
      <c r="Q205" s="103"/>
      <c r="R205" s="103"/>
      <c r="T205" s="103"/>
      <c r="U205" s="103"/>
      <c r="V205" s="103"/>
      <c r="Z205" s="103"/>
      <c r="AA205" s="103"/>
      <c r="AB205" s="103"/>
      <c r="AC205" s="103"/>
      <c r="AD205" s="103"/>
      <c r="AE205" s="103"/>
      <c r="AF205" s="103"/>
      <c r="AG205" s="185"/>
      <c r="AH205" s="103"/>
      <c r="AI205" s="103"/>
      <c r="AJ205" s="103"/>
      <c r="AK205" s="185"/>
      <c r="AL205" s="103"/>
      <c r="AM205" s="103"/>
      <c r="AN205" s="103"/>
    </row>
    <row r="206" spans="1:40" x14ac:dyDescent="0.25">
      <c r="A206" s="103"/>
      <c r="C206" s="103"/>
      <c r="D206" s="103"/>
      <c r="E206" s="103"/>
      <c r="F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T206" s="103"/>
      <c r="U206" s="103"/>
      <c r="V206" s="103"/>
      <c r="Y206" s="103"/>
      <c r="Z206" s="103"/>
      <c r="AA206" s="103"/>
      <c r="AB206" s="103"/>
      <c r="AC206" s="103"/>
      <c r="AD206" s="103"/>
      <c r="AE206" s="103"/>
      <c r="AF206" s="103"/>
      <c r="AG206" s="185"/>
      <c r="AH206" s="103"/>
      <c r="AI206" s="103"/>
      <c r="AJ206" s="103"/>
      <c r="AK206" s="185"/>
      <c r="AL206" s="103"/>
      <c r="AM206" s="103"/>
      <c r="AN206" s="103"/>
    </row>
    <row r="207" spans="1:40" x14ac:dyDescent="0.25">
      <c r="C207" s="103"/>
      <c r="D207" s="103"/>
      <c r="E207" s="103"/>
      <c r="F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T207" s="103"/>
      <c r="U207" s="103"/>
      <c r="V207" s="103"/>
      <c r="Y207" s="103"/>
      <c r="Z207" s="103"/>
      <c r="AA207" s="103"/>
      <c r="AB207" s="103"/>
      <c r="AC207" s="103"/>
      <c r="AD207" s="103"/>
      <c r="AE207" s="103"/>
      <c r="AF207" s="103"/>
      <c r="AG207" s="185"/>
      <c r="AH207" s="103"/>
      <c r="AI207" s="103"/>
      <c r="AJ207" s="103"/>
      <c r="AK207" s="185"/>
      <c r="AL207" s="103"/>
      <c r="AM207" s="103"/>
      <c r="AN207" s="103"/>
    </row>
    <row r="208" spans="1:40" x14ac:dyDescent="0.25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208"/>
      <c r="AH208" s="102"/>
      <c r="AI208" s="102"/>
      <c r="AJ208" s="102"/>
      <c r="AK208" s="208"/>
      <c r="AL208" s="102"/>
      <c r="AM208" s="102"/>
      <c r="AN208" s="102"/>
    </row>
    <row r="209" spans="1:40" x14ac:dyDescent="0.25"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Y209" s="103"/>
      <c r="Z209" s="103"/>
      <c r="AA209" s="103"/>
      <c r="AB209" s="103"/>
      <c r="AC209" s="103"/>
      <c r="AD209" s="103"/>
      <c r="AE209" s="103"/>
      <c r="AF209" s="103"/>
      <c r="AG209" s="185"/>
      <c r="AH209" s="103"/>
      <c r="AI209" s="103"/>
      <c r="AJ209" s="103"/>
      <c r="AK209" s="185"/>
      <c r="AL209" s="103"/>
      <c r="AM209" s="103"/>
      <c r="AN209" s="103"/>
    </row>
    <row r="210" spans="1:40" x14ac:dyDescent="0.25">
      <c r="A210" s="202"/>
      <c r="C210" s="154"/>
      <c r="D210" s="154"/>
      <c r="E210" s="154"/>
      <c r="T210" s="154"/>
      <c r="U210" s="154"/>
    </row>
    <row r="211" spans="1:40" x14ac:dyDescent="0.25">
      <c r="A211" s="202"/>
      <c r="D211" s="154"/>
      <c r="E211" s="154"/>
      <c r="U211" s="154"/>
    </row>
    <row r="213" spans="1:40" x14ac:dyDescent="0.25">
      <c r="A213" s="202"/>
      <c r="C213" s="154"/>
      <c r="F213" s="200"/>
      <c r="J213" s="215"/>
      <c r="K213" s="215"/>
      <c r="L213" s="200"/>
      <c r="M213" s="200"/>
      <c r="R213" s="200"/>
      <c r="T213" s="154"/>
      <c r="V213" s="200"/>
      <c r="Z213" s="215"/>
      <c r="AA213" s="200"/>
      <c r="AB213" s="200"/>
      <c r="AK213" s="209"/>
      <c r="AL213" s="200"/>
    </row>
    <row r="214" spans="1:40" x14ac:dyDescent="0.25">
      <c r="F214" s="200"/>
      <c r="R214" s="200"/>
      <c r="V214" s="200"/>
      <c r="AK214" s="209"/>
      <c r="AL214" s="200"/>
    </row>
    <row r="215" spans="1:40" x14ac:dyDescent="0.25">
      <c r="A215" s="202"/>
      <c r="C215" s="154"/>
      <c r="F215" s="252"/>
      <c r="H215" s="252"/>
      <c r="I215" s="252"/>
      <c r="J215" s="300"/>
      <c r="K215" s="300"/>
      <c r="L215" s="200"/>
      <c r="M215" s="200"/>
      <c r="N215" s="210"/>
      <c r="O215" s="210"/>
      <c r="P215" s="200"/>
      <c r="Q215" s="200"/>
      <c r="R215" s="200"/>
      <c r="T215" s="154"/>
      <c r="V215" s="200"/>
      <c r="Y215" s="200"/>
      <c r="Z215" s="300"/>
      <c r="AA215" s="200"/>
      <c r="AB215" s="200"/>
      <c r="AC215" s="210"/>
      <c r="AD215" s="210"/>
      <c r="AE215" s="200"/>
      <c r="AF215" s="200"/>
      <c r="AG215" s="209"/>
      <c r="AH215" s="201"/>
      <c r="AI215" s="200"/>
      <c r="AJ215" s="200"/>
      <c r="AK215" s="209"/>
      <c r="AL215" s="200"/>
      <c r="AM215" s="210"/>
      <c r="AN215" s="210"/>
    </row>
    <row r="216" spans="1:40" x14ac:dyDescent="0.25">
      <c r="A216" s="202"/>
      <c r="C216" s="154"/>
      <c r="F216" s="252"/>
      <c r="H216" s="317"/>
      <c r="I216" s="317"/>
      <c r="J216" s="300"/>
      <c r="K216" s="300"/>
      <c r="L216" s="200"/>
      <c r="M216" s="200"/>
      <c r="N216" s="210"/>
      <c r="O216" s="210"/>
      <c r="P216" s="200"/>
      <c r="Q216" s="200"/>
      <c r="R216" s="200"/>
      <c r="T216" s="154"/>
      <c r="V216" s="200"/>
      <c r="Y216" s="200"/>
      <c r="Z216" s="300"/>
      <c r="AA216" s="200"/>
      <c r="AB216" s="200"/>
      <c r="AC216" s="210"/>
      <c r="AD216" s="210"/>
      <c r="AE216" s="200"/>
      <c r="AF216" s="200"/>
      <c r="AG216" s="209"/>
      <c r="AH216" s="201"/>
      <c r="AI216" s="200"/>
      <c r="AJ216" s="200"/>
      <c r="AK216" s="209"/>
      <c r="AL216" s="200"/>
      <c r="AM216" s="210"/>
      <c r="AN216" s="210"/>
    </row>
    <row r="217" spans="1:40" x14ac:dyDescent="0.25">
      <c r="F217" s="211"/>
      <c r="H217" s="200"/>
      <c r="I217" s="200"/>
      <c r="J217" s="305"/>
      <c r="K217" s="305"/>
      <c r="L217" s="211"/>
      <c r="M217" s="211"/>
      <c r="N217" s="211"/>
      <c r="O217" s="211"/>
      <c r="P217" s="211"/>
      <c r="Q217" s="211"/>
      <c r="R217" s="211"/>
      <c r="V217" s="211"/>
      <c r="Y217" s="200"/>
      <c r="Z217" s="305"/>
      <c r="AA217" s="211"/>
      <c r="AB217" s="211"/>
      <c r="AC217" s="211"/>
      <c r="AD217" s="211"/>
      <c r="AE217" s="211"/>
      <c r="AF217" s="211"/>
      <c r="AI217" s="211"/>
      <c r="AJ217" s="211"/>
      <c r="AK217" s="212"/>
      <c r="AL217" s="211"/>
    </row>
    <row r="218" spans="1:40" x14ac:dyDescent="0.25">
      <c r="A218" s="202"/>
      <c r="C218" s="154"/>
      <c r="F218" s="200"/>
      <c r="H218" s="200"/>
      <c r="I218" s="200"/>
      <c r="J218" s="213"/>
      <c r="K218" s="213"/>
      <c r="L218" s="200"/>
      <c r="M218" s="200"/>
      <c r="N218" s="210"/>
      <c r="O218" s="210"/>
      <c r="P218" s="200"/>
      <c r="Q218" s="200"/>
      <c r="R218" s="200"/>
      <c r="T218" s="154"/>
      <c r="V218" s="200"/>
      <c r="Y218" s="200"/>
      <c r="Z218" s="213"/>
      <c r="AA218" s="200"/>
      <c r="AB218" s="200"/>
      <c r="AC218" s="210"/>
      <c r="AD218" s="210"/>
      <c r="AE218" s="200"/>
      <c r="AF218" s="200"/>
      <c r="AG218" s="209"/>
      <c r="AH218" s="201"/>
      <c r="AI218" s="200"/>
      <c r="AJ218" s="200"/>
      <c r="AK218" s="209"/>
      <c r="AL218" s="200"/>
      <c r="AM218" s="210"/>
      <c r="AN218" s="210"/>
    </row>
    <row r="219" spans="1:40" x14ac:dyDescent="0.25">
      <c r="F219" s="211"/>
      <c r="H219" s="200"/>
      <c r="I219" s="200"/>
      <c r="J219" s="305"/>
      <c r="K219" s="305"/>
      <c r="L219" s="211"/>
      <c r="M219" s="211"/>
      <c r="N219" s="211"/>
      <c r="O219" s="211"/>
      <c r="P219" s="211"/>
      <c r="Q219" s="211"/>
      <c r="R219" s="211"/>
      <c r="V219" s="211"/>
      <c r="Y219" s="200"/>
      <c r="Z219" s="305"/>
      <c r="AA219" s="211"/>
      <c r="AB219" s="211"/>
      <c r="AC219" s="211"/>
      <c r="AD219" s="211"/>
      <c r="AE219" s="211"/>
      <c r="AF219" s="211"/>
      <c r="AI219" s="211"/>
      <c r="AJ219" s="211"/>
      <c r="AK219" s="212"/>
      <c r="AL219" s="211"/>
    </row>
    <row r="220" spans="1:40" x14ac:dyDescent="0.25">
      <c r="F220" s="200"/>
      <c r="R220" s="200"/>
      <c r="V220" s="200"/>
      <c r="AK220" s="209"/>
      <c r="AL220" s="200"/>
    </row>
    <row r="221" spans="1:40" x14ac:dyDescent="0.25">
      <c r="A221" s="202"/>
      <c r="C221" s="154"/>
      <c r="F221" s="200"/>
      <c r="R221" s="200"/>
      <c r="T221" s="154"/>
      <c r="V221" s="200"/>
      <c r="AK221" s="209"/>
      <c r="AL221" s="200"/>
    </row>
    <row r="222" spans="1:40" x14ac:dyDescent="0.25">
      <c r="F222" s="200"/>
      <c r="R222" s="200"/>
      <c r="V222" s="200"/>
      <c r="AK222" s="209"/>
      <c r="AL222" s="200"/>
    </row>
    <row r="223" spans="1:40" x14ac:dyDescent="0.25">
      <c r="A223" s="202"/>
      <c r="C223" s="154"/>
      <c r="F223" s="200"/>
      <c r="H223" s="252"/>
      <c r="I223" s="252"/>
      <c r="J223" s="320"/>
      <c r="K223" s="320"/>
      <c r="L223" s="200"/>
      <c r="M223" s="200"/>
      <c r="N223" s="210"/>
      <c r="O223" s="210"/>
      <c r="P223" s="252"/>
      <c r="Q223" s="252"/>
      <c r="R223" s="200"/>
      <c r="T223" s="154"/>
      <c r="V223" s="200"/>
      <c r="Y223" s="200"/>
      <c r="Z223" s="304"/>
      <c r="AA223" s="200"/>
      <c r="AB223" s="200"/>
      <c r="AC223" s="210"/>
      <c r="AD223" s="210"/>
      <c r="AE223" s="200"/>
      <c r="AF223" s="200"/>
      <c r="AG223" s="209"/>
      <c r="AH223" s="201"/>
      <c r="AI223" s="252"/>
      <c r="AJ223" s="252"/>
      <c r="AK223" s="209"/>
      <c r="AL223" s="200"/>
      <c r="AM223" s="210"/>
      <c r="AN223" s="210"/>
    </row>
    <row r="224" spans="1:40" x14ac:dyDescent="0.25">
      <c r="H224" s="211"/>
      <c r="I224" s="211"/>
      <c r="J224" s="305"/>
      <c r="K224" s="305"/>
      <c r="L224" s="211"/>
      <c r="M224" s="211"/>
      <c r="N224" s="211"/>
      <c r="O224" s="211"/>
      <c r="P224" s="211"/>
      <c r="Q224" s="211"/>
      <c r="R224" s="211"/>
      <c r="V224" s="211"/>
      <c r="Y224" s="211"/>
      <c r="Z224" s="305"/>
      <c r="AA224" s="211"/>
      <c r="AB224" s="211"/>
      <c r="AC224" s="211"/>
      <c r="AD224" s="211"/>
      <c r="AE224" s="211"/>
      <c r="AF224" s="211"/>
      <c r="AI224" s="211"/>
      <c r="AJ224" s="211"/>
      <c r="AK224" s="212"/>
      <c r="AL224" s="211"/>
    </row>
    <row r="225" spans="1:40" x14ac:dyDescent="0.25">
      <c r="F225" s="211"/>
    </row>
    <row r="226" spans="1:40" x14ac:dyDescent="0.25">
      <c r="A226" s="202"/>
      <c r="C226" s="154"/>
      <c r="F226" s="200"/>
      <c r="H226" s="200"/>
      <c r="I226" s="200"/>
      <c r="J226" s="215"/>
      <c r="K226" s="215"/>
      <c r="L226" s="200"/>
      <c r="M226" s="200"/>
      <c r="N226" s="210"/>
      <c r="O226" s="210"/>
      <c r="P226" s="200"/>
      <c r="Q226" s="200"/>
      <c r="R226" s="200"/>
      <c r="T226" s="154"/>
      <c r="V226" s="200"/>
      <c r="Y226" s="200"/>
      <c r="Z226" s="215"/>
      <c r="AA226" s="200"/>
      <c r="AB226" s="200"/>
      <c r="AC226" s="210"/>
      <c r="AD226" s="210"/>
      <c r="AE226" s="200"/>
      <c r="AF226" s="200"/>
      <c r="AG226" s="209"/>
      <c r="AH226" s="201"/>
      <c r="AI226" s="200"/>
      <c r="AJ226" s="200"/>
      <c r="AK226" s="209"/>
      <c r="AL226" s="200"/>
      <c r="AM226" s="210"/>
      <c r="AN226" s="210"/>
    </row>
    <row r="227" spans="1:40" x14ac:dyDescent="0.25">
      <c r="F227" s="211"/>
      <c r="H227" s="211"/>
      <c r="I227" s="211"/>
      <c r="J227" s="305"/>
      <c r="K227" s="305"/>
      <c r="L227" s="211"/>
      <c r="M227" s="211"/>
      <c r="N227" s="211"/>
      <c r="O227" s="211"/>
      <c r="P227" s="211"/>
      <c r="Q227" s="211"/>
      <c r="R227" s="211"/>
      <c r="V227" s="211"/>
      <c r="Y227" s="211"/>
      <c r="Z227" s="305"/>
      <c r="AA227" s="211"/>
      <c r="AB227" s="211"/>
      <c r="AC227" s="211"/>
      <c r="AD227" s="211"/>
      <c r="AE227" s="211"/>
      <c r="AF227" s="211"/>
      <c r="AI227" s="211"/>
      <c r="AJ227" s="211"/>
      <c r="AK227" s="212"/>
      <c r="AL227" s="211"/>
    </row>
    <row r="228" spans="1:40" x14ac:dyDescent="0.25">
      <c r="R228" s="200"/>
      <c r="AG228" s="209"/>
      <c r="AH228" s="200"/>
    </row>
    <row r="229" spans="1:40" x14ac:dyDescent="0.25">
      <c r="F229" s="200"/>
      <c r="H229" s="200"/>
      <c r="I229" s="200"/>
      <c r="J229" s="213"/>
      <c r="K229" s="213"/>
      <c r="L229" s="200"/>
      <c r="M229" s="200"/>
      <c r="N229" s="200"/>
      <c r="O229" s="200"/>
      <c r="P229" s="200"/>
      <c r="Q229" s="200"/>
      <c r="R229" s="200"/>
      <c r="V229" s="200"/>
      <c r="Y229" s="200"/>
      <c r="Z229" s="213"/>
      <c r="AA229" s="200"/>
      <c r="AB229" s="200"/>
      <c r="AC229" s="200"/>
      <c r="AD229" s="200"/>
      <c r="AE229" s="200"/>
      <c r="AF229" s="200"/>
      <c r="AG229" s="209"/>
      <c r="AH229" s="200"/>
    </row>
    <row r="230" spans="1:40" x14ac:dyDescent="0.25">
      <c r="C230" s="154"/>
      <c r="F230" s="200"/>
      <c r="H230" s="200"/>
      <c r="I230" s="200"/>
      <c r="J230" s="213"/>
      <c r="K230" s="213"/>
      <c r="L230" s="200"/>
      <c r="M230" s="200"/>
      <c r="N230" s="200"/>
      <c r="O230" s="200"/>
      <c r="P230" s="200"/>
      <c r="Q230" s="200"/>
      <c r="R230" s="200"/>
      <c r="T230" s="154"/>
      <c r="V230" s="200"/>
      <c r="Y230" s="200"/>
      <c r="Z230" s="213"/>
      <c r="AA230" s="200"/>
      <c r="AB230" s="200"/>
      <c r="AC230" s="200"/>
      <c r="AD230" s="200"/>
      <c r="AE230" s="200"/>
      <c r="AF230" s="200"/>
      <c r="AG230" s="209"/>
      <c r="AH230" s="200"/>
    </row>
    <row r="231" spans="1:40" x14ac:dyDescent="0.25">
      <c r="A231" s="154"/>
    </row>
    <row r="233" spans="1:40" x14ac:dyDescent="0.25">
      <c r="J233" s="202"/>
      <c r="K233" s="202"/>
      <c r="Z233" s="202"/>
    </row>
    <row r="234" spans="1:40" x14ac:dyDescent="0.25">
      <c r="H234" s="154"/>
      <c r="I234" s="154"/>
      <c r="Y234" s="154"/>
    </row>
    <row r="235" spans="1:40" x14ac:dyDescent="0.25">
      <c r="J235" s="202"/>
      <c r="K235" s="202"/>
      <c r="Z235" s="202"/>
    </row>
    <row r="236" spans="1:40" x14ac:dyDescent="0.25">
      <c r="L236" s="154"/>
      <c r="M236" s="154"/>
      <c r="AA236" s="154"/>
      <c r="AB236" s="154"/>
    </row>
    <row r="237" spans="1:40" x14ac:dyDescent="0.25">
      <c r="A237" s="202"/>
      <c r="R237" s="154"/>
      <c r="AK237" s="297"/>
      <c r="AL237" s="154"/>
    </row>
    <row r="238" spans="1:40" x14ac:dyDescent="0.25">
      <c r="A238" s="202"/>
      <c r="R238" s="154"/>
      <c r="AK238" s="297"/>
      <c r="AL238" s="154"/>
    </row>
    <row r="239" spans="1:40" x14ac:dyDescent="0.25">
      <c r="A239" s="154"/>
      <c r="R239" s="154"/>
      <c r="AK239" s="297"/>
      <c r="AL239" s="154"/>
    </row>
    <row r="240" spans="1:40" x14ac:dyDescent="0.25">
      <c r="L240" s="154"/>
      <c r="M240" s="154"/>
      <c r="R240" s="202"/>
      <c r="AA240" s="154"/>
      <c r="AB240" s="154"/>
      <c r="AK240" s="209"/>
      <c r="AL240" s="202"/>
    </row>
    <row r="241" spans="1:40" x14ac:dyDescent="0.2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208"/>
      <c r="AH241" s="102"/>
      <c r="AI241" s="102"/>
      <c r="AJ241" s="102"/>
      <c r="AK241" s="208"/>
      <c r="AL241" s="102"/>
      <c r="AM241" s="102"/>
      <c r="AN241" s="102"/>
    </row>
    <row r="242" spans="1:40" x14ac:dyDescent="0.25">
      <c r="L242" s="103"/>
      <c r="M242" s="103"/>
      <c r="N242" s="103"/>
      <c r="O242" s="103"/>
      <c r="R242" s="103"/>
      <c r="AA242" s="103"/>
      <c r="AB242" s="103"/>
      <c r="AC242" s="103"/>
      <c r="AD242" s="103"/>
      <c r="AE242" s="103"/>
      <c r="AF242" s="103"/>
      <c r="AG242" s="185"/>
      <c r="AH242" s="103"/>
      <c r="AK242" s="185"/>
      <c r="AL242" s="103"/>
      <c r="AM242" s="103"/>
      <c r="AN242" s="103"/>
    </row>
    <row r="243" spans="1:40" x14ac:dyDescent="0.25">
      <c r="L243" s="103"/>
      <c r="M243" s="103"/>
      <c r="N243" s="103"/>
      <c r="O243" s="103"/>
      <c r="R243" s="103"/>
      <c r="Z243" s="103"/>
      <c r="AA243" s="103"/>
      <c r="AB243" s="103"/>
      <c r="AC243" s="103"/>
      <c r="AD243" s="103"/>
      <c r="AE243" s="103"/>
      <c r="AF243" s="103"/>
      <c r="AG243" s="185"/>
      <c r="AH243" s="103"/>
      <c r="AK243" s="185"/>
      <c r="AL243" s="103"/>
      <c r="AM243" s="103"/>
      <c r="AN243" s="103"/>
    </row>
    <row r="244" spans="1:40" x14ac:dyDescent="0.25">
      <c r="A244" s="103"/>
      <c r="C244" s="103"/>
      <c r="D244" s="103"/>
      <c r="E244" s="103"/>
      <c r="F244" s="103"/>
      <c r="J244" s="103"/>
      <c r="K244" s="103"/>
      <c r="L244" s="103"/>
      <c r="M244" s="103"/>
      <c r="N244" s="103"/>
      <c r="O244" s="103"/>
      <c r="P244" s="103"/>
      <c r="Q244" s="103"/>
      <c r="R244" s="103"/>
      <c r="T244" s="103"/>
      <c r="U244" s="103"/>
      <c r="V244" s="103"/>
      <c r="Z244" s="103"/>
      <c r="AA244" s="103"/>
      <c r="AB244" s="103"/>
      <c r="AC244" s="103"/>
      <c r="AD244" s="103"/>
      <c r="AE244" s="103"/>
      <c r="AF244" s="103"/>
      <c r="AG244" s="185"/>
      <c r="AH244" s="103"/>
      <c r="AI244" s="103"/>
      <c r="AJ244" s="103"/>
      <c r="AK244" s="185"/>
      <c r="AL244" s="103"/>
      <c r="AM244" s="103"/>
      <c r="AN244" s="103"/>
    </row>
    <row r="245" spans="1:40" x14ac:dyDescent="0.25">
      <c r="A245" s="103"/>
      <c r="C245" s="103"/>
      <c r="D245" s="103"/>
      <c r="E245" s="103"/>
      <c r="F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T245" s="103"/>
      <c r="U245" s="103"/>
      <c r="V245" s="103"/>
      <c r="Y245" s="103"/>
      <c r="Z245" s="103"/>
      <c r="AA245" s="103"/>
      <c r="AB245" s="103"/>
      <c r="AC245" s="103"/>
      <c r="AD245" s="103"/>
      <c r="AE245" s="103"/>
      <c r="AF245" s="103"/>
      <c r="AG245" s="185"/>
      <c r="AH245" s="103"/>
      <c r="AI245" s="103"/>
      <c r="AJ245" s="103"/>
      <c r="AK245" s="185"/>
      <c r="AL245" s="103"/>
      <c r="AM245" s="103"/>
      <c r="AN245" s="103"/>
    </row>
    <row r="246" spans="1:40" x14ac:dyDescent="0.25">
      <c r="C246" s="103"/>
      <c r="D246" s="103"/>
      <c r="E246" s="103"/>
      <c r="F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T246" s="103"/>
      <c r="U246" s="103"/>
      <c r="V246" s="103"/>
      <c r="Y246" s="103"/>
      <c r="Z246" s="103"/>
      <c r="AA246" s="103"/>
      <c r="AB246" s="103"/>
      <c r="AC246" s="103"/>
      <c r="AD246" s="103"/>
      <c r="AE246" s="103"/>
      <c r="AF246" s="103"/>
      <c r="AG246" s="185"/>
      <c r="AH246" s="103"/>
      <c r="AI246" s="103"/>
      <c r="AJ246" s="103"/>
      <c r="AK246" s="185"/>
      <c r="AL246" s="103"/>
      <c r="AM246" s="103"/>
      <c r="AN246" s="103"/>
    </row>
    <row r="247" spans="1:40" x14ac:dyDescent="0.2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208"/>
      <c r="AH247" s="102"/>
      <c r="AI247" s="102"/>
      <c r="AJ247" s="102"/>
      <c r="AK247" s="208"/>
      <c r="AL247" s="102"/>
      <c r="AM247" s="102"/>
      <c r="AN247" s="102"/>
    </row>
    <row r="248" spans="1:40" x14ac:dyDescent="0.25"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Y248" s="103"/>
      <c r="Z248" s="103"/>
      <c r="AA248" s="103"/>
      <c r="AB248" s="103"/>
      <c r="AC248" s="103"/>
      <c r="AD248" s="103"/>
      <c r="AE248" s="103"/>
      <c r="AF248" s="103"/>
      <c r="AG248" s="185"/>
      <c r="AH248" s="103"/>
      <c r="AI248" s="103"/>
      <c r="AJ248" s="103"/>
      <c r="AK248" s="185"/>
      <c r="AL248" s="103"/>
      <c r="AM248" s="103"/>
      <c r="AN248" s="103"/>
    </row>
    <row r="249" spans="1:40" x14ac:dyDescent="0.25">
      <c r="A249" s="202"/>
      <c r="C249" s="154"/>
      <c r="D249" s="154"/>
      <c r="E249" s="154"/>
      <c r="T249" s="154"/>
      <c r="U249" s="154"/>
    </row>
    <row r="250" spans="1:40" x14ac:dyDescent="0.25">
      <c r="A250" s="202"/>
      <c r="C250" s="154"/>
      <c r="T250" s="154"/>
    </row>
    <row r="252" spans="1:40" x14ac:dyDescent="0.25">
      <c r="A252" s="202"/>
      <c r="C252" s="154"/>
      <c r="F252" s="252"/>
      <c r="H252" s="252"/>
      <c r="I252" s="252"/>
      <c r="J252" s="300"/>
      <c r="K252" s="300"/>
      <c r="L252" s="200"/>
      <c r="M252" s="200"/>
      <c r="N252" s="210"/>
      <c r="O252" s="210"/>
      <c r="P252" s="202"/>
      <c r="Q252" s="202"/>
      <c r="R252" s="200"/>
      <c r="T252" s="154"/>
      <c r="V252" s="200"/>
      <c r="Y252" s="252"/>
      <c r="Z252" s="300"/>
      <c r="AA252" s="200"/>
      <c r="AB252" s="200"/>
      <c r="AC252" s="210"/>
      <c r="AD252" s="210"/>
      <c r="AE252" s="200"/>
      <c r="AF252" s="200"/>
      <c r="AG252" s="209"/>
      <c r="AH252" s="201"/>
      <c r="AI252" s="202"/>
      <c r="AJ252" s="202"/>
      <c r="AK252" s="209"/>
      <c r="AL252" s="200"/>
      <c r="AM252" s="210"/>
      <c r="AN252" s="210"/>
    </row>
    <row r="253" spans="1:40" x14ac:dyDescent="0.25">
      <c r="F253" s="211"/>
      <c r="H253" s="200"/>
      <c r="I253" s="200"/>
      <c r="J253" s="305"/>
      <c r="K253" s="305"/>
      <c r="L253" s="211"/>
      <c r="M253" s="211"/>
      <c r="N253" s="211"/>
      <c r="O253" s="211"/>
      <c r="P253" s="211"/>
      <c r="Q253" s="211"/>
      <c r="R253" s="211"/>
      <c r="V253" s="211"/>
      <c r="Y253" s="200"/>
      <c r="Z253" s="305"/>
      <c r="AA253" s="211"/>
      <c r="AB253" s="211"/>
      <c r="AC253" s="211"/>
      <c r="AD253" s="211"/>
      <c r="AE253" s="211"/>
      <c r="AF253" s="211"/>
      <c r="AI253" s="211"/>
      <c r="AJ253" s="211"/>
      <c r="AK253" s="212"/>
      <c r="AL253" s="211"/>
      <c r="AM253" s="210"/>
      <c r="AN253" s="210"/>
    </row>
    <row r="254" spans="1:40" x14ac:dyDescent="0.25">
      <c r="A254" s="202"/>
      <c r="C254" s="154"/>
      <c r="F254" s="252"/>
      <c r="H254" s="252"/>
      <c r="I254" s="252"/>
      <c r="J254" s="328"/>
      <c r="K254" s="328"/>
      <c r="L254" s="200"/>
      <c r="M254" s="200"/>
      <c r="N254" s="210"/>
      <c r="O254" s="210"/>
      <c r="P254" s="200"/>
      <c r="Q254" s="200"/>
      <c r="R254" s="200"/>
      <c r="S254" s="200"/>
      <c r="T254" s="154"/>
      <c r="V254" s="252"/>
      <c r="Y254" s="252"/>
      <c r="Z254" s="328"/>
      <c r="AA254" s="200"/>
      <c r="AB254" s="200"/>
      <c r="AC254" s="210"/>
      <c r="AD254" s="210"/>
      <c r="AE254" s="200"/>
      <c r="AF254" s="200"/>
      <c r="AG254" s="209"/>
      <c r="AH254" s="210"/>
      <c r="AI254" s="200"/>
      <c r="AJ254" s="200"/>
      <c r="AK254" s="209"/>
      <c r="AL254" s="200"/>
      <c r="AM254" s="210"/>
      <c r="AN254" s="210"/>
    </row>
    <row r="255" spans="1:40" x14ac:dyDescent="0.25">
      <c r="A255" s="202"/>
      <c r="C255" s="154"/>
      <c r="F255" s="252"/>
      <c r="H255" s="252"/>
      <c r="I255" s="252"/>
      <c r="J255" s="300"/>
      <c r="K255" s="300"/>
      <c r="L255" s="200"/>
      <c r="M255" s="200"/>
      <c r="N255" s="210"/>
      <c r="O255" s="210"/>
      <c r="P255" s="200"/>
      <c r="Q255" s="200"/>
      <c r="R255" s="200"/>
      <c r="T255" s="154"/>
      <c r="V255" s="252"/>
      <c r="Y255" s="200"/>
      <c r="Z255" s="300"/>
      <c r="AA255" s="200"/>
      <c r="AB255" s="200"/>
      <c r="AC255" s="210"/>
      <c r="AD255" s="210"/>
      <c r="AE255" s="200"/>
      <c r="AF255" s="200"/>
      <c r="AG255" s="209"/>
      <c r="AH255" s="201"/>
      <c r="AI255" s="200"/>
      <c r="AJ255" s="200"/>
      <c r="AK255" s="209"/>
      <c r="AL255" s="200"/>
      <c r="AM255" s="210"/>
      <c r="AN255" s="210"/>
    </row>
    <row r="256" spans="1:40" x14ac:dyDescent="0.25">
      <c r="A256" s="202"/>
      <c r="C256" s="154"/>
      <c r="F256" s="252"/>
      <c r="H256" s="252"/>
      <c r="I256" s="252"/>
      <c r="J256" s="300"/>
      <c r="K256" s="300"/>
      <c r="L256" s="200"/>
      <c r="M256" s="200"/>
      <c r="N256" s="210"/>
      <c r="O256" s="210"/>
      <c r="P256" s="200"/>
      <c r="Q256" s="200"/>
      <c r="R256" s="200"/>
      <c r="T256" s="154"/>
      <c r="V256" s="252"/>
      <c r="Y256" s="200"/>
      <c r="Z256" s="300"/>
      <c r="AA256" s="200"/>
      <c r="AB256" s="200"/>
      <c r="AC256" s="210"/>
      <c r="AD256" s="210"/>
      <c r="AE256" s="200"/>
      <c r="AF256" s="200"/>
      <c r="AG256" s="209"/>
      <c r="AH256" s="201"/>
      <c r="AI256" s="200"/>
      <c r="AJ256" s="200"/>
      <c r="AK256" s="209"/>
      <c r="AL256" s="200"/>
      <c r="AM256" s="210"/>
      <c r="AN256" s="210"/>
    </row>
    <row r="257" spans="1:40" x14ac:dyDescent="0.25">
      <c r="F257" s="211"/>
      <c r="H257" s="211"/>
      <c r="I257" s="211"/>
      <c r="J257" s="305"/>
      <c r="K257" s="305"/>
      <c r="L257" s="211"/>
      <c r="M257" s="211"/>
      <c r="N257" s="211"/>
      <c r="O257" s="211"/>
      <c r="P257" s="211"/>
      <c r="Q257" s="211"/>
      <c r="R257" s="211"/>
      <c r="V257" s="211"/>
      <c r="Y257" s="211"/>
      <c r="Z257" s="305"/>
      <c r="AA257" s="211"/>
      <c r="AB257" s="211"/>
      <c r="AC257" s="211"/>
      <c r="AD257" s="211"/>
      <c r="AE257" s="211"/>
      <c r="AF257" s="211"/>
      <c r="AI257" s="211"/>
      <c r="AJ257" s="211"/>
      <c r="AK257" s="212"/>
      <c r="AL257" s="211"/>
      <c r="AM257" s="210"/>
      <c r="AN257" s="210"/>
    </row>
    <row r="258" spans="1:40" x14ac:dyDescent="0.25">
      <c r="A258" s="202"/>
      <c r="C258" s="154"/>
      <c r="F258" s="200"/>
      <c r="H258" s="200"/>
      <c r="I258" s="200"/>
      <c r="J258" s="213"/>
      <c r="K258" s="213"/>
      <c r="L258" s="200"/>
      <c r="M258" s="200"/>
      <c r="N258" s="210"/>
      <c r="O258" s="210"/>
      <c r="P258" s="200"/>
      <c r="Q258" s="200"/>
      <c r="R258" s="200"/>
      <c r="T258" s="154"/>
      <c r="V258" s="200"/>
      <c r="Y258" s="200"/>
      <c r="Z258" s="213"/>
      <c r="AA258" s="200"/>
      <c r="AB258" s="200"/>
      <c r="AC258" s="210"/>
      <c r="AD258" s="210"/>
      <c r="AE258" s="200"/>
      <c r="AF258" s="200"/>
      <c r="AG258" s="209"/>
      <c r="AH258" s="201"/>
      <c r="AI258" s="200"/>
      <c r="AJ258" s="200"/>
      <c r="AK258" s="209"/>
      <c r="AL258" s="200"/>
      <c r="AM258" s="210"/>
      <c r="AN258" s="210"/>
    </row>
    <row r="259" spans="1:40" x14ac:dyDescent="0.25">
      <c r="F259" s="211"/>
      <c r="H259" s="211"/>
      <c r="I259" s="211"/>
      <c r="J259" s="305"/>
      <c r="K259" s="305"/>
      <c r="L259" s="211"/>
      <c r="M259" s="211"/>
      <c r="N259" s="211"/>
      <c r="O259" s="211"/>
      <c r="P259" s="211"/>
      <c r="Q259" s="211"/>
      <c r="R259" s="211"/>
      <c r="V259" s="211"/>
      <c r="Y259" s="211"/>
      <c r="Z259" s="305"/>
      <c r="AA259" s="211"/>
      <c r="AB259" s="211"/>
      <c r="AC259" s="211"/>
      <c r="AD259" s="211"/>
      <c r="AE259" s="211"/>
      <c r="AF259" s="211"/>
      <c r="AI259" s="211"/>
      <c r="AJ259" s="211"/>
      <c r="AK259" s="212"/>
      <c r="AL259" s="211"/>
      <c r="AM259" s="210"/>
      <c r="AN259" s="210"/>
    </row>
    <row r="260" spans="1:40" x14ac:dyDescent="0.25">
      <c r="A260" s="202"/>
      <c r="C260" s="154"/>
      <c r="F260" s="200"/>
      <c r="H260" s="200"/>
      <c r="I260" s="200"/>
      <c r="J260" s="213"/>
      <c r="K260" s="213"/>
      <c r="L260" s="200"/>
      <c r="M260" s="200"/>
      <c r="N260" s="210"/>
      <c r="O260" s="210"/>
      <c r="P260" s="200"/>
      <c r="Q260" s="200"/>
      <c r="R260" s="200"/>
      <c r="T260" s="154"/>
      <c r="V260" s="200"/>
      <c r="Y260" s="200"/>
      <c r="Z260" s="213"/>
      <c r="AA260" s="200"/>
      <c r="AB260" s="200"/>
      <c r="AC260" s="210"/>
      <c r="AD260" s="210"/>
      <c r="AE260" s="200"/>
      <c r="AF260" s="200"/>
      <c r="AG260" s="209"/>
      <c r="AH260" s="201"/>
      <c r="AI260" s="200"/>
      <c r="AJ260" s="200"/>
      <c r="AK260" s="209"/>
      <c r="AL260" s="200"/>
      <c r="AM260" s="210"/>
      <c r="AN260" s="210"/>
    </row>
    <row r="261" spans="1:40" x14ac:dyDescent="0.25">
      <c r="A261" s="202"/>
      <c r="C261" s="154"/>
      <c r="F261" s="200"/>
      <c r="H261" s="252"/>
      <c r="I261" s="252"/>
      <c r="J261" s="320"/>
      <c r="K261" s="320"/>
      <c r="L261" s="200"/>
      <c r="M261" s="200"/>
      <c r="N261" s="210"/>
      <c r="O261" s="210"/>
      <c r="P261" s="200"/>
      <c r="Q261" s="200"/>
      <c r="R261" s="200"/>
      <c r="T261" s="154"/>
      <c r="V261" s="200"/>
      <c r="Y261" s="200"/>
      <c r="Z261" s="304"/>
      <c r="AA261" s="200"/>
      <c r="AB261" s="200"/>
      <c r="AC261" s="210"/>
      <c r="AD261" s="210"/>
      <c r="AE261" s="200"/>
      <c r="AF261" s="200"/>
      <c r="AG261" s="209"/>
      <c r="AH261" s="201"/>
      <c r="AI261" s="200"/>
      <c r="AJ261" s="200"/>
      <c r="AK261" s="209"/>
      <c r="AL261" s="200"/>
      <c r="AM261" s="210"/>
      <c r="AN261" s="210"/>
    </row>
    <row r="262" spans="1:40" x14ac:dyDescent="0.25">
      <c r="H262" s="211"/>
      <c r="I262" s="211"/>
      <c r="J262" s="305"/>
      <c r="K262" s="305"/>
      <c r="L262" s="211"/>
      <c r="M262" s="211"/>
      <c r="N262" s="211"/>
      <c r="O262" s="211"/>
      <c r="P262" s="211"/>
      <c r="Q262" s="211"/>
      <c r="R262" s="211"/>
      <c r="V262" s="211"/>
      <c r="Y262" s="211"/>
      <c r="Z262" s="305"/>
      <c r="AA262" s="211"/>
      <c r="AB262" s="211"/>
      <c r="AC262" s="211"/>
      <c r="AD262" s="211"/>
      <c r="AE262" s="211"/>
      <c r="AF262" s="211"/>
      <c r="AI262" s="211"/>
      <c r="AJ262" s="211"/>
      <c r="AK262" s="212"/>
      <c r="AL262" s="211"/>
      <c r="AM262" s="210"/>
      <c r="AN262" s="210"/>
    </row>
    <row r="263" spans="1:40" x14ac:dyDescent="0.25">
      <c r="F263" s="211"/>
    </row>
    <row r="264" spans="1:40" x14ac:dyDescent="0.25">
      <c r="A264" s="202"/>
      <c r="C264" s="154"/>
      <c r="F264" s="200"/>
      <c r="H264" s="200"/>
      <c r="I264" s="200"/>
      <c r="J264" s="305"/>
      <c r="K264" s="305"/>
      <c r="L264" s="200"/>
      <c r="M264" s="200"/>
      <c r="N264" s="210"/>
      <c r="O264" s="210"/>
      <c r="P264" s="200"/>
      <c r="Q264" s="200"/>
      <c r="R264" s="200"/>
      <c r="S264" s="200"/>
      <c r="T264" s="154"/>
      <c r="V264" s="200"/>
      <c r="Y264" s="200"/>
      <c r="Z264" s="305"/>
      <c r="AA264" s="200"/>
      <c r="AB264" s="200"/>
      <c r="AC264" s="210"/>
      <c r="AD264" s="210"/>
      <c r="AE264" s="200"/>
      <c r="AF264" s="200"/>
      <c r="AG264" s="209"/>
      <c r="AH264" s="210"/>
      <c r="AI264" s="200"/>
      <c r="AJ264" s="200"/>
      <c r="AK264" s="209"/>
      <c r="AL264" s="200"/>
      <c r="AM264" s="210"/>
      <c r="AN264" s="210"/>
    </row>
    <row r="265" spans="1:40" x14ac:dyDescent="0.25">
      <c r="F265" s="211"/>
      <c r="H265" s="211"/>
      <c r="I265" s="211"/>
      <c r="J265" s="305"/>
      <c r="K265" s="305"/>
      <c r="L265" s="211"/>
      <c r="M265" s="211"/>
      <c r="N265" s="211"/>
      <c r="O265" s="211"/>
      <c r="P265" s="211"/>
      <c r="Q265" s="211"/>
      <c r="R265" s="211"/>
      <c r="S265" s="200"/>
      <c r="V265" s="211"/>
      <c r="Y265" s="211"/>
      <c r="Z265" s="305"/>
      <c r="AA265" s="211"/>
      <c r="AB265" s="211"/>
      <c r="AC265" s="211"/>
      <c r="AD265" s="211"/>
      <c r="AE265" s="211"/>
      <c r="AF265" s="211"/>
      <c r="AI265" s="211"/>
      <c r="AJ265" s="211"/>
      <c r="AK265" s="212"/>
      <c r="AL265" s="211"/>
      <c r="AM265" s="210"/>
      <c r="AN265" s="210"/>
    </row>
    <row r="266" spans="1:40" x14ac:dyDescent="0.25">
      <c r="A266" s="202"/>
      <c r="C266" s="154"/>
      <c r="H266" s="252"/>
      <c r="I266" s="252"/>
      <c r="J266" s="305"/>
      <c r="K266" s="305"/>
      <c r="L266" s="200"/>
      <c r="M266" s="200"/>
      <c r="N266" s="210"/>
      <c r="O266" s="210"/>
      <c r="P266" s="200"/>
      <c r="Q266" s="200"/>
      <c r="R266" s="200"/>
      <c r="S266" s="200"/>
      <c r="T266" s="154"/>
      <c r="V266" s="252"/>
      <c r="Y266" s="252"/>
      <c r="Z266" s="305"/>
      <c r="AA266" s="200"/>
      <c r="AB266" s="200"/>
      <c r="AC266" s="210"/>
      <c r="AD266" s="210"/>
      <c r="AE266" s="200"/>
      <c r="AF266" s="200"/>
      <c r="AI266" s="200"/>
      <c r="AJ266" s="200"/>
      <c r="AK266" s="209"/>
      <c r="AL266" s="200"/>
      <c r="AM266" s="210"/>
      <c r="AN266" s="210"/>
    </row>
    <row r="267" spans="1:40" x14ac:dyDescent="0.25">
      <c r="F267" s="252"/>
    </row>
    <row r="268" spans="1:40" x14ac:dyDescent="0.25">
      <c r="A268" s="202"/>
      <c r="C268" s="154"/>
      <c r="F268" s="252"/>
      <c r="H268" s="252"/>
      <c r="I268" s="252"/>
      <c r="J268" s="300"/>
      <c r="K268" s="300"/>
      <c r="L268" s="200"/>
      <c r="M268" s="200"/>
      <c r="N268" s="210"/>
      <c r="O268" s="210"/>
      <c r="P268" s="202"/>
      <c r="Q268" s="202"/>
      <c r="R268" s="200"/>
      <c r="T268" s="154"/>
      <c r="V268" s="200"/>
      <c r="Y268" s="252"/>
      <c r="Z268" s="300"/>
      <c r="AA268" s="200"/>
      <c r="AB268" s="200"/>
      <c r="AC268" s="210"/>
      <c r="AD268" s="210"/>
      <c r="AE268" s="200"/>
      <c r="AF268" s="200"/>
      <c r="AG268" s="209"/>
      <c r="AH268" s="201"/>
      <c r="AI268" s="202"/>
      <c r="AJ268" s="202"/>
      <c r="AK268" s="209"/>
      <c r="AL268" s="200"/>
      <c r="AM268" s="210"/>
      <c r="AN268" s="210"/>
    </row>
    <row r="269" spans="1:40" x14ac:dyDescent="0.25">
      <c r="F269" s="211"/>
      <c r="H269" s="200"/>
      <c r="I269" s="200"/>
      <c r="J269" s="305"/>
      <c r="K269" s="305"/>
      <c r="L269" s="211"/>
      <c r="M269" s="211"/>
      <c r="N269" s="211"/>
      <c r="O269" s="211"/>
      <c r="P269" s="211"/>
      <c r="Q269" s="211"/>
      <c r="R269" s="211"/>
      <c r="V269" s="211"/>
      <c r="Y269" s="200"/>
      <c r="Z269" s="305"/>
      <c r="AA269" s="211"/>
      <c r="AB269" s="211"/>
      <c r="AC269" s="211"/>
      <c r="AD269" s="211"/>
      <c r="AE269" s="211"/>
      <c r="AF269" s="211"/>
      <c r="AI269" s="211"/>
      <c r="AJ269" s="211"/>
      <c r="AK269" s="212"/>
      <c r="AL269" s="211"/>
      <c r="AM269" s="210"/>
      <c r="AN269" s="210"/>
    </row>
    <row r="270" spans="1:40" x14ac:dyDescent="0.25">
      <c r="A270" s="202"/>
      <c r="C270" s="154"/>
      <c r="F270" s="252"/>
      <c r="H270" s="252"/>
      <c r="I270" s="252"/>
      <c r="J270" s="328"/>
      <c r="K270" s="328"/>
      <c r="L270" s="200"/>
      <c r="M270" s="200"/>
      <c r="N270" s="210"/>
      <c r="O270" s="210"/>
      <c r="P270" s="200"/>
      <c r="Q270" s="200"/>
      <c r="R270" s="200"/>
      <c r="S270" s="200"/>
      <c r="T270" s="154"/>
      <c r="V270" s="252"/>
      <c r="Y270" s="252"/>
      <c r="Z270" s="328"/>
      <c r="AA270" s="200"/>
      <c r="AB270" s="200"/>
      <c r="AC270" s="210"/>
      <c r="AD270" s="210"/>
      <c r="AE270" s="200"/>
      <c r="AF270" s="200"/>
      <c r="AG270" s="209"/>
      <c r="AH270" s="210"/>
      <c r="AI270" s="200"/>
      <c r="AJ270" s="200"/>
      <c r="AK270" s="209"/>
      <c r="AL270" s="200"/>
      <c r="AM270" s="210"/>
      <c r="AN270" s="210"/>
    </row>
    <row r="271" spans="1:40" x14ac:dyDescent="0.25">
      <c r="A271" s="202"/>
      <c r="C271" s="154"/>
      <c r="F271" s="252"/>
      <c r="H271" s="252"/>
      <c r="I271" s="252"/>
      <c r="J271" s="300"/>
      <c r="K271" s="300"/>
      <c r="L271" s="200"/>
      <c r="M271" s="200"/>
      <c r="N271" s="210"/>
      <c r="O271" s="210"/>
      <c r="P271" s="200"/>
      <c r="Q271" s="200"/>
      <c r="R271" s="200"/>
      <c r="T271" s="154"/>
      <c r="V271" s="252"/>
      <c r="Y271" s="200"/>
      <c r="Z271" s="300"/>
      <c r="AA271" s="200"/>
      <c r="AB271" s="200"/>
      <c r="AC271" s="210"/>
      <c r="AD271" s="210"/>
      <c r="AE271" s="200"/>
      <c r="AF271" s="200"/>
      <c r="AG271" s="209"/>
      <c r="AH271" s="201"/>
      <c r="AI271" s="200"/>
      <c r="AJ271" s="200"/>
      <c r="AK271" s="209"/>
      <c r="AL271" s="200"/>
      <c r="AM271" s="210"/>
      <c r="AN271" s="210"/>
    </row>
    <row r="272" spans="1:40" x14ac:dyDescent="0.25">
      <c r="A272" s="202"/>
      <c r="C272" s="154"/>
      <c r="F272" s="252"/>
      <c r="H272" s="252"/>
      <c r="I272" s="252"/>
      <c r="J272" s="300"/>
      <c r="K272" s="300"/>
      <c r="L272" s="200"/>
      <c r="M272" s="200"/>
      <c r="N272" s="210"/>
      <c r="O272" s="210"/>
      <c r="P272" s="200"/>
      <c r="Q272" s="200"/>
      <c r="R272" s="200"/>
      <c r="T272" s="154"/>
      <c r="V272" s="252"/>
      <c r="Y272" s="200"/>
      <c r="Z272" s="300"/>
      <c r="AA272" s="200"/>
      <c r="AB272" s="200"/>
      <c r="AC272" s="210"/>
      <c r="AD272" s="210"/>
      <c r="AE272" s="200"/>
      <c r="AF272" s="200"/>
      <c r="AG272" s="209"/>
      <c r="AH272" s="201"/>
      <c r="AI272" s="200"/>
      <c r="AJ272" s="200"/>
      <c r="AK272" s="209"/>
      <c r="AL272" s="200"/>
      <c r="AM272" s="210"/>
      <c r="AN272" s="210"/>
    </row>
    <row r="273" spans="1:40" x14ac:dyDescent="0.25">
      <c r="F273" s="211"/>
      <c r="H273" s="211"/>
      <c r="I273" s="211"/>
      <c r="J273" s="305"/>
      <c r="K273" s="305"/>
      <c r="L273" s="211"/>
      <c r="M273" s="211"/>
      <c r="N273" s="211"/>
      <c r="O273" s="211"/>
      <c r="P273" s="211"/>
      <c r="Q273" s="211"/>
      <c r="R273" s="211"/>
      <c r="V273" s="211"/>
      <c r="Y273" s="211"/>
      <c r="Z273" s="305"/>
      <c r="AA273" s="211"/>
      <c r="AB273" s="211"/>
      <c r="AC273" s="211"/>
      <c r="AD273" s="211"/>
      <c r="AE273" s="211"/>
      <c r="AF273" s="211"/>
      <c r="AI273" s="211"/>
      <c r="AJ273" s="211"/>
      <c r="AK273" s="212"/>
      <c r="AL273" s="211"/>
      <c r="AM273" s="210"/>
      <c r="AN273" s="210"/>
    </row>
    <row r="274" spans="1:40" x14ac:dyDescent="0.25">
      <c r="A274" s="202"/>
      <c r="C274" s="154"/>
      <c r="F274" s="200"/>
      <c r="H274" s="200"/>
      <c r="I274" s="200"/>
      <c r="J274" s="213"/>
      <c r="K274" s="213"/>
      <c r="L274" s="200"/>
      <c r="M274" s="200"/>
      <c r="N274" s="210"/>
      <c r="O274" s="210"/>
      <c r="P274" s="200"/>
      <c r="Q274" s="200"/>
      <c r="R274" s="200"/>
      <c r="T274" s="154"/>
      <c r="V274" s="200"/>
      <c r="Y274" s="200"/>
      <c r="Z274" s="213"/>
      <c r="AA274" s="200"/>
      <c r="AB274" s="200"/>
      <c r="AC274" s="210"/>
      <c r="AD274" s="210"/>
      <c r="AE274" s="200"/>
      <c r="AF274" s="200"/>
      <c r="AG274" s="209"/>
      <c r="AH274" s="201"/>
      <c r="AI274" s="200"/>
      <c r="AJ274" s="200"/>
      <c r="AK274" s="209"/>
      <c r="AL274" s="200"/>
      <c r="AM274" s="210"/>
      <c r="AN274" s="210"/>
    </row>
    <row r="275" spans="1:40" x14ac:dyDescent="0.25">
      <c r="F275" s="211"/>
      <c r="H275" s="211"/>
      <c r="I275" s="211"/>
      <c r="J275" s="305"/>
      <c r="K275" s="305"/>
      <c r="L275" s="211"/>
      <c r="M275" s="211"/>
      <c r="N275" s="211"/>
      <c r="O275" s="211"/>
      <c r="P275" s="211"/>
      <c r="Q275" s="211"/>
      <c r="R275" s="211"/>
      <c r="V275" s="211"/>
      <c r="Y275" s="211"/>
      <c r="Z275" s="305"/>
      <c r="AA275" s="211"/>
      <c r="AB275" s="211"/>
      <c r="AC275" s="211"/>
      <c r="AD275" s="211"/>
      <c r="AE275" s="211"/>
      <c r="AF275" s="211"/>
      <c r="AI275" s="211"/>
      <c r="AJ275" s="211"/>
      <c r="AK275" s="212"/>
      <c r="AL275" s="211"/>
      <c r="AM275" s="210"/>
      <c r="AN275" s="210"/>
    </row>
    <row r="276" spans="1:40" x14ac:dyDescent="0.25">
      <c r="A276" s="202"/>
      <c r="C276" s="154"/>
      <c r="F276" s="200"/>
      <c r="H276" s="200"/>
      <c r="I276" s="200"/>
      <c r="J276" s="213"/>
      <c r="K276" s="213"/>
      <c r="L276" s="200"/>
      <c r="M276" s="200"/>
      <c r="N276" s="210"/>
      <c r="O276" s="210"/>
      <c r="P276" s="200"/>
      <c r="Q276" s="200"/>
      <c r="R276" s="200"/>
      <c r="T276" s="154"/>
      <c r="V276" s="200"/>
      <c r="Y276" s="200"/>
      <c r="Z276" s="213"/>
      <c r="AA276" s="200"/>
      <c r="AB276" s="200"/>
      <c r="AC276" s="210"/>
      <c r="AD276" s="210"/>
      <c r="AE276" s="200"/>
      <c r="AF276" s="200"/>
      <c r="AG276" s="209"/>
      <c r="AH276" s="201"/>
      <c r="AI276" s="200"/>
      <c r="AJ276" s="200"/>
      <c r="AK276" s="209"/>
      <c r="AL276" s="200"/>
      <c r="AM276" s="210"/>
      <c r="AN276" s="210"/>
    </row>
    <row r="277" spans="1:40" x14ac:dyDescent="0.25">
      <c r="A277" s="202"/>
      <c r="C277" s="154"/>
      <c r="F277" s="200"/>
      <c r="H277" s="252"/>
      <c r="I277" s="252"/>
      <c r="J277" s="320"/>
      <c r="K277" s="320"/>
      <c r="L277" s="200"/>
      <c r="M277" s="200"/>
      <c r="N277" s="210"/>
      <c r="O277" s="210"/>
      <c r="P277" s="200"/>
      <c r="Q277" s="200"/>
      <c r="R277" s="200"/>
      <c r="T277" s="154"/>
      <c r="V277" s="200"/>
      <c r="Y277" s="200"/>
      <c r="Z277" s="304"/>
      <c r="AA277" s="200"/>
      <c r="AB277" s="200"/>
      <c r="AC277" s="210"/>
      <c r="AD277" s="210"/>
      <c r="AE277" s="200"/>
      <c r="AF277" s="200"/>
      <c r="AG277" s="209"/>
      <c r="AH277" s="201"/>
      <c r="AI277" s="200"/>
      <c r="AJ277" s="200"/>
      <c r="AK277" s="209"/>
      <c r="AL277" s="200"/>
      <c r="AM277" s="210"/>
      <c r="AN277" s="210"/>
    </row>
    <row r="278" spans="1:40" x14ac:dyDescent="0.25">
      <c r="H278" s="211"/>
      <c r="I278" s="211"/>
      <c r="J278" s="305"/>
      <c r="K278" s="305"/>
      <c r="L278" s="211"/>
      <c r="M278" s="211"/>
      <c r="N278" s="211"/>
      <c r="O278" s="211"/>
      <c r="P278" s="211"/>
      <c r="Q278" s="211"/>
      <c r="R278" s="211"/>
      <c r="V278" s="211"/>
      <c r="Y278" s="211"/>
      <c r="Z278" s="305"/>
      <c r="AA278" s="211"/>
      <c r="AB278" s="211"/>
      <c r="AC278" s="211"/>
      <c r="AD278" s="211"/>
      <c r="AE278" s="211"/>
      <c r="AF278" s="211"/>
      <c r="AI278" s="211"/>
      <c r="AJ278" s="211"/>
      <c r="AK278" s="212"/>
      <c r="AL278" s="211"/>
      <c r="AM278" s="210"/>
      <c r="AN278" s="210"/>
    </row>
    <row r="279" spans="1:40" x14ac:dyDescent="0.25">
      <c r="F279" s="211"/>
    </row>
    <row r="280" spans="1:40" x14ac:dyDescent="0.25">
      <c r="A280" s="202"/>
      <c r="C280" s="154"/>
      <c r="F280" s="200"/>
      <c r="H280" s="200"/>
      <c r="I280" s="200"/>
      <c r="J280" s="305"/>
      <c r="K280" s="305"/>
      <c r="L280" s="200"/>
      <c r="M280" s="200"/>
      <c r="N280" s="210"/>
      <c r="O280" s="210"/>
      <c r="P280" s="200"/>
      <c r="Q280" s="200"/>
      <c r="R280" s="200"/>
      <c r="S280" s="200"/>
      <c r="T280" s="154"/>
      <c r="V280" s="200"/>
      <c r="Y280" s="200"/>
      <c r="Z280" s="305"/>
      <c r="AA280" s="200"/>
      <c r="AB280" s="200"/>
      <c r="AC280" s="210"/>
      <c r="AD280" s="210"/>
      <c r="AE280" s="200"/>
      <c r="AF280" s="200"/>
      <c r="AG280" s="209"/>
      <c r="AH280" s="210"/>
      <c r="AI280" s="200"/>
      <c r="AJ280" s="200"/>
      <c r="AK280" s="209"/>
      <c r="AL280" s="200"/>
      <c r="AM280" s="210"/>
      <c r="AN280" s="210"/>
    </row>
    <row r="281" spans="1:40" x14ac:dyDescent="0.25">
      <c r="F281" s="211"/>
      <c r="H281" s="211"/>
      <c r="I281" s="211"/>
      <c r="J281" s="305"/>
      <c r="K281" s="305"/>
      <c r="L281" s="211"/>
      <c r="M281" s="211"/>
      <c r="N281" s="211"/>
      <c r="O281" s="211"/>
      <c r="P281" s="211"/>
      <c r="Q281" s="211"/>
      <c r="R281" s="211"/>
      <c r="S281" s="200"/>
      <c r="V281" s="211"/>
      <c r="Y281" s="211"/>
      <c r="Z281" s="305"/>
      <c r="AA281" s="211"/>
      <c r="AB281" s="211"/>
      <c r="AC281" s="211"/>
      <c r="AD281" s="211"/>
      <c r="AE281" s="211"/>
      <c r="AF281" s="211"/>
      <c r="AI281" s="211"/>
      <c r="AJ281" s="211"/>
      <c r="AK281" s="212"/>
      <c r="AL281" s="211"/>
      <c r="AM281" s="210"/>
      <c r="AN281" s="210"/>
    </row>
    <row r="282" spans="1:40" x14ac:dyDescent="0.25">
      <c r="A282" s="202"/>
      <c r="C282" s="154"/>
      <c r="T282" s="154"/>
    </row>
    <row r="283" spans="1:40" x14ac:dyDescent="0.25">
      <c r="A283" s="202"/>
      <c r="C283" s="154"/>
      <c r="F283" s="200"/>
      <c r="H283" s="200"/>
      <c r="I283" s="200"/>
      <c r="L283" s="200"/>
      <c r="M283" s="200"/>
      <c r="N283" s="210"/>
      <c r="O283" s="210"/>
      <c r="P283" s="252"/>
      <c r="Q283" s="252"/>
      <c r="R283" s="200"/>
      <c r="T283" s="154"/>
      <c r="V283" s="200"/>
      <c r="Y283" s="200"/>
      <c r="AA283" s="200"/>
      <c r="AB283" s="200"/>
      <c r="AC283" s="210"/>
      <c r="AD283" s="210"/>
      <c r="AE283" s="200"/>
      <c r="AF283" s="200"/>
      <c r="AG283" s="209"/>
      <c r="AH283" s="210"/>
      <c r="AI283" s="252"/>
      <c r="AJ283" s="252"/>
      <c r="AK283" s="209"/>
      <c r="AL283" s="200"/>
      <c r="AM283" s="210"/>
      <c r="AN283" s="210"/>
    </row>
    <row r="284" spans="1:40" x14ac:dyDescent="0.25">
      <c r="H284" s="211"/>
      <c r="I284" s="211"/>
      <c r="J284" s="305"/>
      <c r="K284" s="305"/>
      <c r="L284" s="211"/>
      <c r="M284" s="211"/>
      <c r="N284" s="211"/>
      <c r="O284" s="211"/>
      <c r="P284" s="211"/>
      <c r="Q284" s="211"/>
      <c r="R284" s="211"/>
      <c r="V284" s="211"/>
      <c r="Y284" s="211"/>
      <c r="Z284" s="305"/>
      <c r="AA284" s="211"/>
      <c r="AB284" s="211"/>
      <c r="AC284" s="211"/>
      <c r="AD284" s="211"/>
      <c r="AE284" s="211"/>
      <c r="AF284" s="211"/>
      <c r="AI284" s="211"/>
      <c r="AJ284" s="211"/>
      <c r="AK284" s="212"/>
      <c r="AL284" s="211"/>
    </row>
    <row r="285" spans="1:40" x14ac:dyDescent="0.25">
      <c r="F285" s="211"/>
    </row>
    <row r="286" spans="1:40" x14ac:dyDescent="0.25">
      <c r="C286" s="154"/>
      <c r="L286" s="200"/>
      <c r="M286" s="200"/>
      <c r="N286" s="200"/>
      <c r="O286" s="200"/>
      <c r="P286" s="200"/>
      <c r="Q286" s="200"/>
      <c r="R286" s="200"/>
      <c r="S286" s="200"/>
      <c r="T286" s="154"/>
      <c r="AA286" s="200"/>
      <c r="AB286" s="200"/>
      <c r="AC286" s="200"/>
      <c r="AD286" s="200"/>
      <c r="AI286" s="200"/>
      <c r="AJ286" s="200"/>
      <c r="AK286" s="209"/>
      <c r="AL286" s="200"/>
    </row>
    <row r="287" spans="1:40" x14ac:dyDescent="0.25">
      <c r="A287" s="154"/>
    </row>
    <row r="288" spans="1:40" x14ac:dyDescent="0.25">
      <c r="J288" s="202"/>
      <c r="K288" s="202"/>
      <c r="Z288" s="202"/>
    </row>
    <row r="289" spans="1:40" x14ac:dyDescent="0.25">
      <c r="H289" s="154"/>
      <c r="I289" s="154"/>
      <c r="Y289" s="154"/>
    </row>
    <row r="290" spans="1:40" x14ac:dyDescent="0.25">
      <c r="J290" s="202"/>
      <c r="K290" s="202"/>
      <c r="Z290" s="202"/>
    </row>
    <row r="291" spans="1:40" x14ac:dyDescent="0.25">
      <c r="L291" s="154"/>
      <c r="M291" s="154"/>
      <c r="AA291" s="154"/>
      <c r="AB291" s="154"/>
    </row>
    <row r="292" spans="1:40" x14ac:dyDescent="0.25">
      <c r="A292" s="202"/>
      <c r="R292" s="154"/>
      <c r="AK292" s="297"/>
      <c r="AL292" s="154"/>
    </row>
    <row r="293" spans="1:40" x14ac:dyDescent="0.25">
      <c r="A293" s="202"/>
      <c r="R293" s="154"/>
      <c r="AK293" s="297"/>
      <c r="AL293" s="154"/>
    </row>
    <row r="294" spans="1:40" x14ac:dyDescent="0.25">
      <c r="A294" s="154"/>
      <c r="R294" s="154"/>
      <c r="AK294" s="297"/>
      <c r="AL294" s="154"/>
    </row>
    <row r="295" spans="1:40" x14ac:dyDescent="0.25">
      <c r="L295" s="154"/>
      <c r="M295" s="154"/>
      <c r="R295" s="202"/>
      <c r="AA295" s="154"/>
      <c r="AB295" s="154"/>
      <c r="AK295" s="209"/>
      <c r="AL295" s="202"/>
    </row>
    <row r="296" spans="1:40" x14ac:dyDescent="0.25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208"/>
      <c r="AH296" s="102"/>
      <c r="AI296" s="102"/>
      <c r="AJ296" s="102"/>
      <c r="AK296" s="208"/>
      <c r="AL296" s="102"/>
      <c r="AM296" s="102"/>
      <c r="AN296" s="102"/>
    </row>
    <row r="297" spans="1:40" x14ac:dyDescent="0.25">
      <c r="L297" s="103"/>
      <c r="M297" s="103"/>
      <c r="N297" s="103"/>
      <c r="O297" s="103"/>
      <c r="R297" s="103"/>
      <c r="AA297" s="103"/>
      <c r="AB297" s="103"/>
      <c r="AC297" s="103"/>
      <c r="AD297" s="103"/>
      <c r="AE297" s="103"/>
      <c r="AF297" s="103"/>
      <c r="AG297" s="185"/>
      <c r="AH297" s="103"/>
      <c r="AK297" s="185"/>
      <c r="AL297" s="103"/>
      <c r="AM297" s="103"/>
      <c r="AN297" s="103"/>
    </row>
    <row r="298" spans="1:40" x14ac:dyDescent="0.25">
      <c r="L298" s="103"/>
      <c r="M298" s="103"/>
      <c r="N298" s="103"/>
      <c r="O298" s="103"/>
      <c r="R298" s="103"/>
      <c r="Z298" s="103"/>
      <c r="AA298" s="103"/>
      <c r="AB298" s="103"/>
      <c r="AC298" s="103"/>
      <c r="AD298" s="103"/>
      <c r="AE298" s="103"/>
      <c r="AF298" s="103"/>
      <c r="AG298" s="185"/>
      <c r="AH298" s="103"/>
      <c r="AK298" s="185"/>
      <c r="AL298" s="103"/>
      <c r="AM298" s="103"/>
      <c r="AN298" s="103"/>
    </row>
    <row r="299" spans="1:40" x14ac:dyDescent="0.25">
      <c r="A299" s="103"/>
      <c r="C299" s="103"/>
      <c r="D299" s="103"/>
      <c r="E299" s="103"/>
      <c r="F299" s="103"/>
      <c r="J299" s="103"/>
      <c r="K299" s="103"/>
      <c r="L299" s="103"/>
      <c r="M299" s="103"/>
      <c r="N299" s="103"/>
      <c r="O299" s="103"/>
      <c r="P299" s="103"/>
      <c r="Q299" s="103"/>
      <c r="R299" s="103"/>
      <c r="T299" s="103"/>
      <c r="U299" s="103"/>
      <c r="V299" s="103"/>
      <c r="Z299" s="103"/>
      <c r="AA299" s="103"/>
      <c r="AB299" s="103"/>
      <c r="AC299" s="103"/>
      <c r="AD299" s="103"/>
      <c r="AE299" s="103"/>
      <c r="AF299" s="103"/>
      <c r="AG299" s="185"/>
      <c r="AH299" s="103"/>
      <c r="AI299" s="103"/>
      <c r="AJ299" s="103"/>
      <c r="AK299" s="185"/>
      <c r="AL299" s="103"/>
      <c r="AM299" s="103"/>
      <c r="AN299" s="103"/>
    </row>
    <row r="300" spans="1:40" x14ac:dyDescent="0.25">
      <c r="A300" s="103"/>
      <c r="C300" s="103"/>
      <c r="D300" s="103"/>
      <c r="E300" s="103"/>
      <c r="F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T300" s="103"/>
      <c r="U300" s="103"/>
      <c r="V300" s="103"/>
      <c r="Y300" s="103"/>
      <c r="Z300" s="103"/>
      <c r="AA300" s="103"/>
      <c r="AB300" s="103"/>
      <c r="AC300" s="103"/>
      <c r="AD300" s="103"/>
      <c r="AE300" s="103"/>
      <c r="AF300" s="103"/>
      <c r="AG300" s="185"/>
      <c r="AH300" s="103"/>
      <c r="AI300" s="103"/>
      <c r="AJ300" s="103"/>
      <c r="AK300" s="185"/>
      <c r="AL300" s="103"/>
      <c r="AM300" s="103"/>
      <c r="AN300" s="103"/>
    </row>
    <row r="301" spans="1:40" x14ac:dyDescent="0.25">
      <c r="C301" s="103"/>
      <c r="D301" s="103"/>
      <c r="E301" s="103"/>
      <c r="F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T301" s="103"/>
      <c r="U301" s="103"/>
      <c r="V301" s="103"/>
      <c r="Y301" s="103"/>
      <c r="Z301" s="103"/>
      <c r="AA301" s="103"/>
      <c r="AB301" s="103"/>
      <c r="AC301" s="103"/>
      <c r="AD301" s="103"/>
      <c r="AE301" s="103"/>
      <c r="AF301" s="103"/>
      <c r="AG301" s="185"/>
      <c r="AH301" s="103"/>
      <c r="AI301" s="103"/>
      <c r="AJ301" s="103"/>
      <c r="AK301" s="185"/>
      <c r="AL301" s="103"/>
      <c r="AM301" s="103"/>
      <c r="AN301" s="103"/>
    </row>
    <row r="302" spans="1:40" x14ac:dyDescent="0.25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208"/>
      <c r="AH302" s="102"/>
      <c r="AI302" s="102"/>
      <c r="AJ302" s="102"/>
      <c r="AK302" s="208"/>
      <c r="AL302" s="102"/>
      <c r="AM302" s="102"/>
      <c r="AN302" s="102"/>
    </row>
    <row r="303" spans="1:40" x14ac:dyDescent="0.25"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Y303" s="103"/>
      <c r="Z303" s="103"/>
      <c r="AA303" s="103"/>
      <c r="AB303" s="103"/>
      <c r="AC303" s="103"/>
      <c r="AD303" s="103"/>
      <c r="AE303" s="103"/>
      <c r="AF303" s="103"/>
      <c r="AG303" s="185"/>
      <c r="AH303" s="103"/>
      <c r="AI303" s="103"/>
      <c r="AJ303" s="103"/>
      <c r="AK303" s="185"/>
      <c r="AL303" s="103"/>
      <c r="AM303" s="103"/>
      <c r="AN303" s="103"/>
    </row>
    <row r="304" spans="1:40" x14ac:dyDescent="0.25">
      <c r="A304" s="202"/>
      <c r="C304" s="154"/>
      <c r="D304" s="154"/>
      <c r="E304" s="154"/>
      <c r="T304" s="154"/>
      <c r="U304" s="154"/>
    </row>
    <row r="305" spans="1:40" x14ac:dyDescent="0.25">
      <c r="D305" s="154"/>
      <c r="E305" s="154"/>
      <c r="U305" s="154"/>
    </row>
    <row r="307" spans="1:40" x14ac:dyDescent="0.25">
      <c r="A307" s="202"/>
      <c r="C307" s="154"/>
      <c r="T307" s="154"/>
    </row>
    <row r="308" spans="1:40" x14ac:dyDescent="0.25">
      <c r="A308" s="202"/>
      <c r="C308" s="154"/>
      <c r="F308" s="252"/>
      <c r="H308" s="252"/>
      <c r="I308" s="252"/>
      <c r="J308" s="329"/>
      <c r="K308" s="329"/>
      <c r="L308" s="200"/>
      <c r="M308" s="200"/>
      <c r="N308" s="210"/>
      <c r="O308" s="210"/>
      <c r="P308" s="200"/>
      <c r="Q308" s="200"/>
      <c r="R308" s="200"/>
      <c r="T308" s="154"/>
      <c r="V308" s="252"/>
      <c r="W308" s="200"/>
      <c r="X308" s="200"/>
      <c r="Y308" s="252"/>
      <c r="Z308" s="329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A309" s="202"/>
      <c r="C309" s="154"/>
      <c r="F309" s="200"/>
      <c r="H309" s="200"/>
      <c r="I309" s="200"/>
      <c r="J309" s="305"/>
      <c r="K309" s="305"/>
      <c r="L309" s="200"/>
      <c r="M309" s="200"/>
      <c r="N309" s="210"/>
      <c r="O309" s="210"/>
      <c r="P309" s="200"/>
      <c r="Q309" s="200"/>
      <c r="R309" s="200"/>
      <c r="T309" s="154"/>
      <c r="V309" s="252"/>
      <c r="W309" s="200"/>
      <c r="X309" s="200"/>
      <c r="Y309" s="252"/>
      <c r="Z309" s="305"/>
      <c r="AA309" s="200"/>
      <c r="AB309" s="200"/>
      <c r="AC309" s="210"/>
      <c r="AD309" s="210"/>
      <c r="AE309" s="200"/>
      <c r="AF309" s="200"/>
      <c r="AG309" s="209"/>
      <c r="AH309" s="201"/>
      <c r="AI309" s="200"/>
      <c r="AJ309" s="200"/>
      <c r="AK309" s="209"/>
      <c r="AL309" s="200"/>
      <c r="AM309" s="210"/>
      <c r="AN309" s="210"/>
    </row>
    <row r="310" spans="1:40" x14ac:dyDescent="0.25">
      <c r="A310" s="202"/>
      <c r="C310" s="154"/>
      <c r="F310" s="252"/>
      <c r="H310" s="252"/>
      <c r="I310" s="252"/>
      <c r="J310" s="329"/>
      <c r="K310" s="329"/>
      <c r="L310" s="200"/>
      <c r="M310" s="200"/>
      <c r="N310" s="210"/>
      <c r="O310" s="210"/>
      <c r="P310" s="200"/>
      <c r="Q310" s="200"/>
      <c r="R310" s="200"/>
      <c r="T310" s="154"/>
      <c r="V310" s="252"/>
      <c r="W310" s="200"/>
      <c r="X310" s="200"/>
      <c r="Y310" s="252"/>
      <c r="Z310" s="329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A311" s="202"/>
      <c r="C311" s="154"/>
      <c r="F311" s="252"/>
      <c r="H311" s="252"/>
      <c r="I311" s="252"/>
      <c r="J311" s="329"/>
      <c r="K311" s="329"/>
      <c r="L311" s="200"/>
      <c r="M311" s="200"/>
      <c r="N311" s="210"/>
      <c r="O311" s="210"/>
      <c r="P311" s="200"/>
      <c r="Q311" s="200"/>
      <c r="R311" s="200"/>
      <c r="T311" s="154"/>
      <c r="V311" s="252"/>
      <c r="W311" s="200"/>
      <c r="X311" s="200"/>
      <c r="Y311" s="252"/>
      <c r="Z311" s="329"/>
      <c r="AA311" s="200"/>
      <c r="AB311" s="200"/>
      <c r="AC311" s="210"/>
      <c r="AD311" s="210"/>
      <c r="AE311" s="200"/>
      <c r="AF311" s="200"/>
      <c r="AG311" s="209"/>
      <c r="AH311" s="201"/>
      <c r="AI311" s="200"/>
      <c r="AJ311" s="200"/>
      <c r="AK311" s="209"/>
      <c r="AL311" s="200"/>
      <c r="AM311" s="210"/>
      <c r="AN311" s="210"/>
    </row>
    <row r="312" spans="1:40" x14ac:dyDescent="0.25">
      <c r="A312" s="202"/>
      <c r="C312" s="154"/>
      <c r="F312" s="252"/>
      <c r="H312" s="252"/>
      <c r="I312" s="252"/>
      <c r="J312" s="329"/>
      <c r="K312" s="329"/>
      <c r="L312" s="200"/>
      <c r="M312" s="200"/>
      <c r="N312" s="210"/>
      <c r="O312" s="210"/>
      <c r="P312" s="200"/>
      <c r="Q312" s="200"/>
      <c r="R312" s="200"/>
      <c r="T312" s="154"/>
      <c r="V312" s="252"/>
      <c r="W312" s="200"/>
      <c r="X312" s="200"/>
      <c r="Y312" s="252"/>
      <c r="Z312" s="329"/>
      <c r="AA312" s="200"/>
      <c r="AB312" s="200"/>
      <c r="AC312" s="210"/>
      <c r="AD312" s="210"/>
      <c r="AE312" s="200"/>
      <c r="AF312" s="200"/>
      <c r="AG312" s="209"/>
      <c r="AH312" s="201"/>
      <c r="AI312" s="200"/>
      <c r="AJ312" s="200"/>
      <c r="AK312" s="209"/>
      <c r="AL312" s="200"/>
      <c r="AM312" s="210"/>
      <c r="AN312" s="210"/>
    </row>
    <row r="313" spans="1:40" x14ac:dyDescent="0.25">
      <c r="A313" s="202"/>
      <c r="C313" s="154"/>
      <c r="F313" s="200"/>
      <c r="H313" s="200"/>
      <c r="I313" s="200"/>
      <c r="J313" s="329"/>
      <c r="K313" s="329"/>
      <c r="L313" s="200"/>
      <c r="M313" s="200"/>
      <c r="N313" s="210"/>
      <c r="O313" s="210"/>
      <c r="P313" s="200"/>
      <c r="Q313" s="200"/>
      <c r="R313" s="200"/>
      <c r="T313" s="154"/>
      <c r="V313" s="252"/>
      <c r="W313" s="200"/>
      <c r="X313" s="200"/>
      <c r="Y313" s="252"/>
      <c r="Z313" s="329"/>
      <c r="AA313" s="200"/>
      <c r="AB313" s="200"/>
      <c r="AC313" s="210"/>
      <c r="AD313" s="210"/>
      <c r="AE313" s="200"/>
      <c r="AF313" s="200"/>
      <c r="AG313" s="209"/>
      <c r="AH313" s="201"/>
      <c r="AI313" s="200"/>
      <c r="AJ313" s="200"/>
      <c r="AK313" s="209"/>
      <c r="AL313" s="200"/>
      <c r="AM313" s="210"/>
      <c r="AN313" s="210"/>
    </row>
    <row r="314" spans="1:40" x14ac:dyDescent="0.25">
      <c r="A314" s="202"/>
      <c r="C314" s="154"/>
      <c r="F314" s="200"/>
      <c r="H314" s="200"/>
      <c r="I314" s="200"/>
      <c r="J314" s="329"/>
      <c r="K314" s="329"/>
      <c r="L314" s="200"/>
      <c r="M314" s="200"/>
      <c r="N314" s="210"/>
      <c r="O314" s="210"/>
      <c r="P314" s="200"/>
      <c r="Q314" s="200"/>
      <c r="R314" s="200"/>
      <c r="T314" s="154"/>
      <c r="V314" s="252"/>
      <c r="W314" s="200"/>
      <c r="X314" s="200"/>
      <c r="Y314" s="252"/>
      <c r="Z314" s="329"/>
      <c r="AA314" s="200"/>
      <c r="AB314" s="200"/>
      <c r="AC314" s="210"/>
      <c r="AD314" s="210"/>
      <c r="AE314" s="200"/>
      <c r="AF314" s="200"/>
      <c r="AG314" s="209"/>
      <c r="AH314" s="201"/>
      <c r="AI314" s="200"/>
      <c r="AJ314" s="200"/>
      <c r="AK314" s="209"/>
      <c r="AL314" s="200"/>
      <c r="AM314" s="210"/>
      <c r="AN314" s="210"/>
    </row>
    <row r="315" spans="1:40" x14ac:dyDescent="0.25">
      <c r="F315" s="331"/>
      <c r="H315" s="332"/>
      <c r="I315" s="332"/>
      <c r="J315" s="329"/>
      <c r="K315" s="329"/>
      <c r="L315" s="331"/>
      <c r="M315" s="331"/>
      <c r="N315" s="211"/>
      <c r="O315" s="211"/>
      <c r="P315" s="331"/>
      <c r="Q315" s="331"/>
      <c r="R315" s="331"/>
      <c r="V315" s="331"/>
      <c r="W315" s="200"/>
      <c r="X315" s="200"/>
      <c r="Y315" s="331"/>
      <c r="Z315" s="329"/>
      <c r="AA315" s="331"/>
      <c r="AB315" s="331"/>
      <c r="AC315" s="333"/>
      <c r="AD315" s="333"/>
      <c r="AE315" s="331"/>
      <c r="AF315" s="331"/>
      <c r="AG315" s="209"/>
      <c r="AH315" s="201"/>
      <c r="AI315" s="331"/>
      <c r="AJ315" s="331"/>
      <c r="AK315" s="208"/>
      <c r="AL315" s="331"/>
      <c r="AM315" s="210"/>
      <c r="AN315" s="210"/>
    </row>
    <row r="316" spans="1:40" x14ac:dyDescent="0.25">
      <c r="A316" s="202"/>
      <c r="C316" s="154"/>
      <c r="F316" s="200"/>
      <c r="H316" s="200"/>
      <c r="I316" s="200"/>
      <c r="J316" s="329"/>
      <c r="K316" s="329"/>
      <c r="L316" s="200"/>
      <c r="M316" s="200"/>
      <c r="N316" s="201"/>
      <c r="O316" s="201"/>
      <c r="P316" s="200"/>
      <c r="Q316" s="200"/>
      <c r="R316" s="200"/>
      <c r="T316" s="103"/>
      <c r="V316" s="200"/>
      <c r="W316" s="200"/>
      <c r="X316" s="200"/>
      <c r="Y316" s="200"/>
      <c r="Z316" s="329"/>
      <c r="AA316" s="200"/>
      <c r="AB316" s="200"/>
      <c r="AC316" s="201"/>
      <c r="AD316" s="201"/>
      <c r="AE316" s="200"/>
      <c r="AF316" s="200"/>
      <c r="AG316" s="209"/>
      <c r="AH316" s="201"/>
      <c r="AI316" s="200"/>
      <c r="AJ316" s="200"/>
      <c r="AK316" s="209"/>
      <c r="AL316" s="200"/>
      <c r="AM316" s="210"/>
      <c r="AN316" s="210"/>
    </row>
    <row r="317" spans="1:40" x14ac:dyDescent="0.25">
      <c r="F317" s="102"/>
      <c r="H317" s="102"/>
      <c r="I317" s="102"/>
      <c r="L317" s="102"/>
      <c r="M317" s="102"/>
      <c r="N317" s="333"/>
      <c r="O317" s="333"/>
      <c r="P317" s="331"/>
      <c r="Q317" s="331"/>
      <c r="R317" s="331"/>
      <c r="V317" s="331"/>
      <c r="Y317" s="331"/>
      <c r="Z317" s="305"/>
      <c r="AA317" s="331"/>
      <c r="AB317" s="331"/>
      <c r="AC317" s="331"/>
      <c r="AD317" s="331"/>
      <c r="AE317" s="331"/>
      <c r="AF317" s="331"/>
      <c r="AI317" s="331"/>
      <c r="AJ317" s="331"/>
      <c r="AK317" s="208"/>
      <c r="AL317" s="331"/>
      <c r="AM317" s="333"/>
      <c r="AN317" s="333"/>
    </row>
    <row r="318" spans="1:40" x14ac:dyDescent="0.25">
      <c r="AI318" s="202"/>
      <c r="AJ318" s="202"/>
    </row>
    <row r="322" spans="1:40" x14ac:dyDescent="0.25">
      <c r="N322" s="200"/>
      <c r="O322" s="200"/>
      <c r="P322" s="200"/>
      <c r="Q322" s="200"/>
      <c r="R322" s="200"/>
      <c r="V322" s="200"/>
      <c r="Y322" s="200"/>
      <c r="Z322" s="213"/>
      <c r="AA322" s="200"/>
      <c r="AB322" s="200"/>
      <c r="AC322" s="210"/>
      <c r="AD322" s="210"/>
      <c r="AE322" s="200"/>
      <c r="AF322" s="200"/>
      <c r="AG322" s="209"/>
      <c r="AH322" s="201"/>
      <c r="AI322" s="200"/>
      <c r="AJ322" s="200"/>
      <c r="AK322" s="209"/>
      <c r="AL322" s="200"/>
      <c r="AM322" s="210"/>
      <c r="AN322" s="210"/>
    </row>
    <row r="323" spans="1:40" x14ac:dyDescent="0.25">
      <c r="A323" s="202"/>
      <c r="C323" s="154"/>
      <c r="D323" s="154"/>
      <c r="E323" s="154"/>
      <c r="J323" s="334"/>
      <c r="K323" s="334"/>
      <c r="T323" s="154"/>
      <c r="U323" s="154"/>
      <c r="Z323" s="334"/>
      <c r="AE323" s="200"/>
      <c r="AF323" s="200"/>
      <c r="AI323" s="200"/>
      <c r="AJ323" s="200"/>
      <c r="AK323" s="209"/>
      <c r="AL323" s="200"/>
      <c r="AM323" s="210"/>
      <c r="AN323" s="210"/>
    </row>
    <row r="324" spans="1:40" x14ac:dyDescent="0.25">
      <c r="D324" s="154"/>
      <c r="E324" s="154"/>
      <c r="F324" s="200"/>
      <c r="H324" s="200"/>
      <c r="I324" s="200"/>
      <c r="J324" s="329"/>
      <c r="K324" s="329"/>
      <c r="L324" s="200"/>
      <c r="M324" s="200"/>
      <c r="N324" s="210"/>
      <c r="O324" s="210"/>
      <c r="P324" s="200"/>
      <c r="Q324" s="200"/>
      <c r="R324" s="200"/>
      <c r="U324" s="154"/>
      <c r="V324" s="200"/>
      <c r="Y324" s="200"/>
      <c r="Z324" s="329"/>
      <c r="AA324" s="200"/>
      <c r="AB324" s="200"/>
      <c r="AC324" s="210"/>
      <c r="AD324" s="210"/>
      <c r="AE324" s="200"/>
      <c r="AF324" s="200"/>
      <c r="AG324" s="209"/>
      <c r="AH324" s="201"/>
      <c r="AI324" s="200"/>
      <c r="AJ324" s="200"/>
      <c r="AK324" s="209"/>
      <c r="AL324" s="200"/>
      <c r="AM324" s="210"/>
      <c r="AN324" s="210"/>
    </row>
    <row r="325" spans="1:40" x14ac:dyDescent="0.25">
      <c r="F325" s="200"/>
      <c r="H325" s="200"/>
      <c r="I325" s="200"/>
      <c r="J325" s="305"/>
      <c r="K325" s="305"/>
      <c r="L325" s="200"/>
      <c r="M325" s="200"/>
      <c r="N325" s="200"/>
      <c r="O325" s="200"/>
      <c r="P325" s="200"/>
      <c r="Q325" s="200"/>
      <c r="R325" s="200"/>
      <c r="V325" s="200"/>
      <c r="Y325" s="200"/>
      <c r="Z325" s="305"/>
      <c r="AA325" s="200"/>
      <c r="AB325" s="200"/>
      <c r="AC325" s="200"/>
      <c r="AD325" s="200"/>
      <c r="AE325" s="200"/>
      <c r="AF325" s="200"/>
      <c r="AG325" s="209"/>
      <c r="AH325" s="201"/>
      <c r="AI325" s="252"/>
      <c r="AJ325" s="252"/>
      <c r="AK325" s="209"/>
      <c r="AL325" s="200"/>
      <c r="AM325" s="210"/>
      <c r="AN325" s="210"/>
    </row>
    <row r="326" spans="1:40" x14ac:dyDescent="0.25">
      <c r="A326" s="202"/>
      <c r="C326" s="154"/>
      <c r="F326" s="252"/>
      <c r="H326" s="252"/>
      <c r="I326" s="252"/>
      <c r="J326" s="304"/>
      <c r="K326" s="304"/>
      <c r="L326" s="200"/>
      <c r="M326" s="200"/>
      <c r="N326" s="210"/>
      <c r="O326" s="210"/>
      <c r="P326" s="200"/>
      <c r="Q326" s="200"/>
      <c r="R326" s="200"/>
      <c r="T326" s="154"/>
      <c r="V326" s="252"/>
      <c r="Y326" s="252"/>
      <c r="Z326" s="304"/>
      <c r="AA326" s="200"/>
      <c r="AB326" s="200"/>
      <c r="AC326" s="210"/>
      <c r="AD326" s="210"/>
      <c r="AE326" s="200"/>
      <c r="AF326" s="200"/>
      <c r="AG326" s="209"/>
      <c r="AH326" s="201"/>
      <c r="AI326" s="200"/>
      <c r="AJ326" s="200"/>
      <c r="AK326" s="209"/>
      <c r="AL326" s="200"/>
      <c r="AM326" s="210"/>
      <c r="AN326" s="210"/>
    </row>
    <row r="327" spans="1:40" x14ac:dyDescent="0.25">
      <c r="F327" s="102"/>
      <c r="H327" s="102"/>
      <c r="I327" s="102"/>
      <c r="L327" s="102"/>
      <c r="M327" s="102"/>
      <c r="N327" s="102"/>
      <c r="O327" s="102"/>
      <c r="P327" s="102"/>
      <c r="Q327" s="102"/>
      <c r="R327" s="102"/>
      <c r="V327" s="102"/>
      <c r="Y327" s="102"/>
      <c r="AA327" s="102"/>
      <c r="AB327" s="102"/>
      <c r="AC327" s="102"/>
      <c r="AD327" s="102"/>
      <c r="AE327" s="102"/>
      <c r="AF327" s="102"/>
      <c r="AG327" s="208"/>
      <c r="AH327" s="102"/>
      <c r="AI327" s="102"/>
      <c r="AJ327" s="102"/>
      <c r="AK327" s="208"/>
      <c r="AL327" s="102"/>
      <c r="AM327" s="102"/>
      <c r="AN327" s="102"/>
    </row>
    <row r="328" spans="1:40" x14ac:dyDescent="0.25">
      <c r="A328" s="202"/>
      <c r="C328" s="103"/>
      <c r="F328" s="252"/>
      <c r="H328" s="252"/>
      <c r="I328" s="252"/>
      <c r="J328" s="300"/>
      <c r="K328" s="300"/>
      <c r="L328" s="252"/>
      <c r="M328" s="252"/>
      <c r="N328" s="210"/>
      <c r="O328" s="210"/>
      <c r="P328" s="252"/>
      <c r="Q328" s="252"/>
      <c r="R328" s="252"/>
      <c r="T328" s="103"/>
      <c r="V328" s="200"/>
      <c r="Y328" s="200"/>
      <c r="Z328" s="213"/>
      <c r="AA328" s="200"/>
      <c r="AB328" s="200"/>
      <c r="AC328" s="210"/>
      <c r="AD328" s="210"/>
      <c r="AE328" s="202"/>
      <c r="AF328" s="202"/>
      <c r="AG328" s="209"/>
      <c r="AH328" s="201"/>
      <c r="AI328" s="200"/>
      <c r="AJ328" s="200"/>
      <c r="AK328" s="209"/>
      <c r="AL328" s="200"/>
      <c r="AM328" s="210"/>
      <c r="AN328" s="210"/>
    </row>
    <row r="329" spans="1:40" x14ac:dyDescent="0.25">
      <c r="F329" s="331"/>
      <c r="H329" s="331"/>
      <c r="I329" s="331"/>
      <c r="J329" s="305"/>
      <c r="K329" s="305"/>
      <c r="L329" s="331"/>
      <c r="M329" s="331"/>
      <c r="N329" s="331"/>
      <c r="O329" s="331"/>
      <c r="P329" s="331"/>
      <c r="Q329" s="331"/>
      <c r="R329" s="331"/>
      <c r="V329" s="102"/>
      <c r="Y329" s="102"/>
      <c r="AA329" s="102"/>
      <c r="AB329" s="102"/>
      <c r="AC329" s="102"/>
      <c r="AD329" s="102"/>
      <c r="AE329" s="102"/>
      <c r="AF329" s="102"/>
      <c r="AG329" s="208"/>
      <c r="AH329" s="102"/>
      <c r="AI329" s="102"/>
      <c r="AJ329" s="102"/>
      <c r="AK329" s="208"/>
      <c r="AL329" s="102"/>
      <c r="AM329" s="102"/>
      <c r="AN329" s="102"/>
    </row>
    <row r="330" spans="1:40" x14ac:dyDescent="0.25">
      <c r="F330" s="252"/>
      <c r="H330" s="252"/>
      <c r="I330" s="252"/>
      <c r="J330" s="328"/>
      <c r="K330" s="328"/>
      <c r="L330" s="200"/>
      <c r="M330" s="200"/>
      <c r="N330" s="210"/>
      <c r="O330" s="210"/>
      <c r="P330" s="200"/>
      <c r="Q330" s="200"/>
      <c r="R330" s="200"/>
    </row>
    <row r="331" spans="1:40" x14ac:dyDescent="0.25">
      <c r="A331" s="154"/>
      <c r="F331" s="252"/>
      <c r="H331" s="252"/>
      <c r="I331" s="252"/>
      <c r="J331" s="300"/>
      <c r="K331" s="300"/>
      <c r="L331" s="200"/>
      <c r="M331" s="200"/>
      <c r="N331" s="210"/>
      <c r="O331" s="210"/>
      <c r="P331" s="200"/>
      <c r="Q331" s="200"/>
      <c r="R331" s="200"/>
    </row>
    <row r="332" spans="1:40" x14ac:dyDescent="0.25">
      <c r="F332" s="252"/>
      <c r="H332" s="252"/>
      <c r="I332" s="252"/>
      <c r="J332" s="300"/>
      <c r="K332" s="300"/>
      <c r="L332" s="200"/>
      <c r="M332" s="200"/>
      <c r="N332" s="210"/>
      <c r="O332" s="210"/>
      <c r="P332" s="200"/>
      <c r="Q332" s="200"/>
      <c r="R332" s="200"/>
    </row>
    <row r="333" spans="1:40" x14ac:dyDescent="0.25">
      <c r="A333" s="154"/>
    </row>
    <row r="335" spans="1:40" x14ac:dyDescent="0.25">
      <c r="J335" s="202"/>
      <c r="K335" s="202"/>
      <c r="Z335" s="202"/>
    </row>
    <row r="336" spans="1:40" x14ac:dyDescent="0.25">
      <c r="H336" s="154"/>
      <c r="I336" s="154"/>
      <c r="Y336" s="154"/>
    </row>
    <row r="337" spans="1:40" x14ac:dyDescent="0.25">
      <c r="J337" s="202"/>
      <c r="K337" s="202"/>
      <c r="Z337" s="202"/>
    </row>
    <row r="338" spans="1:40" x14ac:dyDescent="0.25">
      <c r="L338" s="154"/>
      <c r="M338" s="154"/>
      <c r="AA338" s="154"/>
      <c r="AB338" s="154"/>
    </row>
    <row r="339" spans="1:40" x14ac:dyDescent="0.25">
      <c r="A339" s="202"/>
      <c r="R339" s="154"/>
      <c r="AK339" s="297"/>
      <c r="AL339" s="154"/>
    </row>
    <row r="340" spans="1:40" x14ac:dyDescent="0.25">
      <c r="A340" s="202"/>
      <c r="R340" s="154"/>
      <c r="AK340" s="297"/>
      <c r="AL340" s="154"/>
    </row>
    <row r="341" spans="1:40" x14ac:dyDescent="0.25">
      <c r="A341" s="154"/>
      <c r="R341" s="154"/>
      <c r="AK341" s="297"/>
      <c r="AL341" s="154"/>
    </row>
    <row r="342" spans="1:40" x14ac:dyDescent="0.25">
      <c r="L342" s="154"/>
      <c r="M342" s="154"/>
      <c r="R342" s="202"/>
      <c r="AA342" s="154"/>
      <c r="AB342" s="154"/>
      <c r="AK342" s="209"/>
      <c r="AL342" s="202"/>
    </row>
    <row r="343" spans="1:40" x14ac:dyDescent="0.25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208"/>
      <c r="AH343" s="102"/>
      <c r="AI343" s="102"/>
      <c r="AJ343" s="102"/>
      <c r="AK343" s="208"/>
      <c r="AL343" s="102"/>
      <c r="AM343" s="102"/>
      <c r="AN343" s="102"/>
    </row>
    <row r="344" spans="1:40" x14ac:dyDescent="0.25">
      <c r="L344" s="103"/>
      <c r="M344" s="103"/>
      <c r="N344" s="103"/>
      <c r="O344" s="103"/>
      <c r="R344" s="103"/>
      <c r="AA344" s="103"/>
      <c r="AB344" s="103"/>
      <c r="AC344" s="103"/>
      <c r="AD344" s="103"/>
      <c r="AE344" s="103"/>
      <c r="AF344" s="103"/>
      <c r="AG344" s="185"/>
      <c r="AH344" s="103"/>
      <c r="AK344" s="185"/>
      <c r="AL344" s="103"/>
      <c r="AM344" s="103"/>
      <c r="AN344" s="103"/>
    </row>
    <row r="345" spans="1:40" x14ac:dyDescent="0.25">
      <c r="L345" s="103"/>
      <c r="M345" s="103"/>
      <c r="N345" s="103"/>
      <c r="O345" s="103"/>
      <c r="R345" s="103"/>
      <c r="Z345" s="103"/>
      <c r="AA345" s="103"/>
      <c r="AB345" s="103"/>
      <c r="AC345" s="103"/>
      <c r="AD345" s="103"/>
      <c r="AE345" s="103"/>
      <c r="AF345" s="103"/>
      <c r="AG345" s="185"/>
      <c r="AH345" s="103"/>
      <c r="AK345" s="185"/>
      <c r="AL345" s="103"/>
      <c r="AM345" s="103"/>
      <c r="AN345" s="103"/>
    </row>
    <row r="346" spans="1:40" x14ac:dyDescent="0.25">
      <c r="A346" s="103"/>
      <c r="C346" s="103"/>
      <c r="D346" s="103"/>
      <c r="E346" s="103"/>
      <c r="F346" s="103"/>
      <c r="J346" s="103"/>
      <c r="K346" s="103"/>
      <c r="L346" s="103"/>
      <c r="M346" s="103"/>
      <c r="N346" s="103"/>
      <c r="O346" s="103"/>
      <c r="P346" s="103"/>
      <c r="Q346" s="103"/>
      <c r="R346" s="103"/>
      <c r="T346" s="103"/>
      <c r="U346" s="103"/>
      <c r="V346" s="103"/>
      <c r="Z346" s="103"/>
      <c r="AA346" s="103"/>
      <c r="AB346" s="103"/>
      <c r="AC346" s="103"/>
      <c r="AD346" s="103"/>
      <c r="AE346" s="103"/>
      <c r="AF346" s="103"/>
      <c r="AG346" s="185"/>
      <c r="AH346" s="103"/>
      <c r="AI346" s="103"/>
      <c r="AJ346" s="103"/>
      <c r="AK346" s="185"/>
      <c r="AL346" s="103"/>
      <c r="AM346" s="103"/>
      <c r="AN346" s="103"/>
    </row>
    <row r="347" spans="1:40" x14ac:dyDescent="0.25">
      <c r="A347" s="103"/>
      <c r="C347" s="103"/>
      <c r="D347" s="103"/>
      <c r="E347" s="103"/>
      <c r="F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T347" s="103"/>
      <c r="U347" s="103"/>
      <c r="V347" s="103"/>
      <c r="Y347" s="103"/>
      <c r="Z347" s="103"/>
      <c r="AA347" s="103"/>
      <c r="AB347" s="103"/>
      <c r="AC347" s="103"/>
      <c r="AD347" s="103"/>
      <c r="AE347" s="103"/>
      <c r="AF347" s="103"/>
      <c r="AG347" s="185"/>
      <c r="AH347" s="103"/>
      <c r="AI347" s="103"/>
      <c r="AJ347" s="103"/>
      <c r="AK347" s="185"/>
      <c r="AL347" s="103"/>
      <c r="AM347" s="103"/>
      <c r="AN347" s="103"/>
    </row>
    <row r="348" spans="1:40" x14ac:dyDescent="0.25">
      <c r="C348" s="103"/>
      <c r="D348" s="103"/>
      <c r="E348" s="103"/>
      <c r="F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T348" s="103"/>
      <c r="U348" s="103"/>
      <c r="V348" s="103"/>
      <c r="Y348" s="103"/>
      <c r="Z348" s="103"/>
      <c r="AA348" s="103"/>
      <c r="AB348" s="103"/>
      <c r="AC348" s="103"/>
      <c r="AD348" s="103"/>
      <c r="AE348" s="103"/>
      <c r="AF348" s="103"/>
      <c r="AG348" s="185"/>
      <c r="AH348" s="103"/>
      <c r="AI348" s="103"/>
      <c r="AJ348" s="103"/>
      <c r="AK348" s="185"/>
      <c r="AL348" s="103"/>
      <c r="AM348" s="103"/>
      <c r="AN348" s="103"/>
    </row>
    <row r="349" spans="1:40" x14ac:dyDescent="0.25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208"/>
      <c r="AH349" s="102"/>
      <c r="AI349" s="102"/>
      <c r="AJ349" s="102"/>
      <c r="AK349" s="208"/>
      <c r="AL349" s="102"/>
      <c r="AM349" s="102"/>
      <c r="AN349" s="102"/>
    </row>
    <row r="350" spans="1:40" x14ac:dyDescent="0.25"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Y350" s="103"/>
      <c r="Z350" s="103"/>
      <c r="AA350" s="103"/>
      <c r="AB350" s="103"/>
      <c r="AC350" s="103"/>
      <c r="AD350" s="103"/>
      <c r="AE350" s="103"/>
      <c r="AF350" s="103"/>
      <c r="AG350" s="185"/>
      <c r="AH350" s="103"/>
      <c r="AI350" s="103"/>
      <c r="AJ350" s="103"/>
      <c r="AK350" s="185"/>
      <c r="AL350" s="103"/>
      <c r="AM350" s="103"/>
      <c r="AN350" s="103"/>
    </row>
    <row r="351" spans="1:40" x14ac:dyDescent="0.25">
      <c r="A351" s="202"/>
      <c r="C351" s="154"/>
      <c r="D351" s="154"/>
      <c r="E351" s="154"/>
      <c r="T351" s="154"/>
      <c r="U351" s="154"/>
    </row>
    <row r="353" spans="1:40" x14ac:dyDescent="0.25">
      <c r="A353" s="202"/>
      <c r="C353" s="154"/>
      <c r="T353" s="154"/>
    </row>
    <row r="354" spans="1:40" x14ac:dyDescent="0.25">
      <c r="A354" s="202"/>
      <c r="C354" s="154"/>
      <c r="F354" s="252"/>
      <c r="H354" s="252"/>
      <c r="I354" s="252"/>
      <c r="J354" s="305"/>
      <c r="K354" s="305"/>
      <c r="L354" s="200"/>
      <c r="M354" s="200"/>
      <c r="N354" s="210"/>
      <c r="O354" s="210"/>
      <c r="P354" s="200"/>
      <c r="Q354" s="200"/>
      <c r="R354" s="200"/>
      <c r="T354" s="154"/>
      <c r="V354" s="252"/>
      <c r="Y354" s="252"/>
      <c r="Z354" s="305"/>
      <c r="AA354" s="200"/>
      <c r="AB354" s="200"/>
      <c r="AC354" s="210"/>
      <c r="AD354" s="210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A355" s="202"/>
      <c r="C355" s="154"/>
      <c r="T355" s="154"/>
    </row>
    <row r="356" spans="1:40" x14ac:dyDescent="0.25">
      <c r="A356" s="202"/>
      <c r="C356" s="154"/>
      <c r="F356" s="252"/>
      <c r="H356" s="252"/>
      <c r="I356" s="252"/>
      <c r="J356" s="329"/>
      <c r="K356" s="329"/>
      <c r="L356" s="200"/>
      <c r="M356" s="200"/>
      <c r="N356" s="210"/>
      <c r="O356" s="210"/>
      <c r="P356" s="200"/>
      <c r="Q356" s="200"/>
      <c r="R356" s="200"/>
      <c r="T356" s="154"/>
      <c r="V356" s="200"/>
      <c r="Y356" s="200"/>
      <c r="Z356" s="329"/>
      <c r="AA356" s="200"/>
      <c r="AB356" s="200"/>
      <c r="AC356" s="210"/>
      <c r="AD356" s="21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A357" s="202"/>
      <c r="C357" s="154"/>
      <c r="F357" s="252"/>
      <c r="H357" s="252"/>
      <c r="I357" s="252"/>
      <c r="J357" s="329"/>
      <c r="K357" s="329"/>
      <c r="L357" s="200"/>
      <c r="M357" s="200"/>
      <c r="N357" s="210"/>
      <c r="O357" s="210"/>
      <c r="P357" s="200"/>
      <c r="Q357" s="200"/>
      <c r="R357" s="200"/>
      <c r="T357" s="154"/>
      <c r="V357" s="200"/>
      <c r="Y357" s="200"/>
      <c r="Z357" s="329"/>
      <c r="AA357" s="200"/>
      <c r="AB357" s="200"/>
      <c r="AC357" s="210"/>
      <c r="AD357" s="210"/>
      <c r="AE357" s="200"/>
      <c r="AF357" s="200"/>
      <c r="AG357" s="209"/>
      <c r="AH357" s="201"/>
      <c r="AI357" s="200"/>
      <c r="AJ357" s="200"/>
      <c r="AK357" s="209"/>
      <c r="AL357" s="200"/>
      <c r="AM357" s="210"/>
      <c r="AN357" s="210"/>
    </row>
    <row r="358" spans="1:40" x14ac:dyDescent="0.25">
      <c r="A358" s="202"/>
      <c r="C358" s="154"/>
      <c r="F358" s="252"/>
      <c r="H358" s="252"/>
      <c r="I358" s="252"/>
      <c r="J358" s="329"/>
      <c r="K358" s="329"/>
      <c r="L358" s="200"/>
      <c r="M358" s="200"/>
      <c r="N358" s="210"/>
      <c r="O358" s="210"/>
      <c r="P358" s="200"/>
      <c r="Q358" s="200"/>
      <c r="R358" s="200"/>
      <c r="T358" s="154"/>
      <c r="V358" s="200"/>
      <c r="Y358" s="200"/>
      <c r="Z358" s="329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A359" s="202"/>
      <c r="C359" s="154"/>
      <c r="F359" s="252"/>
      <c r="H359" s="252"/>
      <c r="I359" s="252"/>
      <c r="J359" s="329"/>
      <c r="K359" s="329"/>
      <c r="L359" s="200"/>
      <c r="M359" s="200"/>
      <c r="N359" s="210"/>
      <c r="O359" s="210"/>
      <c r="P359" s="200"/>
      <c r="Q359" s="200"/>
      <c r="R359" s="200"/>
      <c r="T359" s="154"/>
      <c r="V359" s="200"/>
      <c r="Y359" s="200"/>
      <c r="Z359" s="329"/>
      <c r="AA359" s="200"/>
      <c r="AB359" s="200"/>
      <c r="AC359" s="210"/>
      <c r="AD359" s="210"/>
      <c r="AE359" s="200"/>
      <c r="AF359" s="200"/>
      <c r="AG359" s="209"/>
      <c r="AH359" s="201"/>
      <c r="AI359" s="200"/>
      <c r="AJ359" s="200"/>
      <c r="AK359" s="209"/>
      <c r="AL359" s="200"/>
      <c r="AM359" s="210"/>
      <c r="AN359" s="210"/>
    </row>
    <row r="360" spans="1:40" x14ac:dyDescent="0.25">
      <c r="A360" s="202"/>
      <c r="C360" s="154"/>
      <c r="J360" s="334"/>
      <c r="K360" s="334"/>
      <c r="T360" s="154"/>
      <c r="Z360" s="334"/>
    </row>
    <row r="361" spans="1:40" x14ac:dyDescent="0.25">
      <c r="A361" s="202"/>
      <c r="C361" s="154"/>
      <c r="F361" s="252"/>
      <c r="H361" s="252"/>
      <c r="I361" s="252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00"/>
      <c r="Y361" s="200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00"/>
      <c r="Y362" s="200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52"/>
      <c r="H363" s="252"/>
      <c r="I363" s="252"/>
      <c r="J363" s="329"/>
      <c r="K363" s="329"/>
      <c r="L363" s="200"/>
      <c r="M363" s="200"/>
      <c r="N363" s="210"/>
      <c r="O363" s="210"/>
      <c r="P363" s="200"/>
      <c r="Q363" s="200"/>
      <c r="R363" s="200"/>
      <c r="T363" s="154"/>
      <c r="V363" s="200"/>
      <c r="Y363" s="200"/>
      <c r="Z363" s="329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A364" s="202"/>
      <c r="C364" s="154"/>
      <c r="J364" s="334"/>
      <c r="K364" s="334"/>
      <c r="T364" s="154"/>
      <c r="Z364" s="334"/>
    </row>
    <row r="365" spans="1:40" x14ac:dyDescent="0.25">
      <c r="A365" s="202"/>
      <c r="C365" s="154"/>
      <c r="F365" s="252"/>
      <c r="H365" s="252"/>
      <c r="I365" s="252"/>
      <c r="J365" s="329"/>
      <c r="K365" s="329"/>
      <c r="L365" s="200"/>
      <c r="M365" s="200"/>
      <c r="N365" s="210"/>
      <c r="O365" s="210"/>
      <c r="P365" s="200"/>
      <c r="Q365" s="200"/>
      <c r="R365" s="200"/>
      <c r="T365" s="154"/>
      <c r="V365" s="200"/>
      <c r="Y365" s="200"/>
      <c r="Z365" s="329"/>
      <c r="AA365" s="200"/>
      <c r="AB365" s="200"/>
      <c r="AC365" s="210"/>
      <c r="AD365" s="210"/>
      <c r="AE365" s="200"/>
      <c r="AF365" s="200"/>
      <c r="AG365" s="209"/>
      <c r="AH365" s="201"/>
      <c r="AI365" s="200"/>
      <c r="AJ365" s="200"/>
      <c r="AK365" s="209"/>
      <c r="AL365" s="200"/>
      <c r="AM365" s="210"/>
      <c r="AN365" s="210"/>
    </row>
    <row r="366" spans="1:40" x14ac:dyDescent="0.25">
      <c r="A366" s="202"/>
      <c r="C366" s="154"/>
      <c r="F366" s="252"/>
      <c r="H366" s="252"/>
      <c r="I366" s="252"/>
      <c r="J366" s="329"/>
      <c r="K366" s="329"/>
      <c r="L366" s="200"/>
      <c r="M366" s="200"/>
      <c r="N366" s="210"/>
      <c r="O366" s="210"/>
      <c r="P366" s="200"/>
      <c r="Q366" s="200"/>
      <c r="R366" s="200"/>
      <c r="T366" s="154"/>
      <c r="V366" s="200"/>
      <c r="Y366" s="200"/>
      <c r="Z366" s="329"/>
      <c r="AA366" s="200"/>
      <c r="AB366" s="200"/>
      <c r="AC366" s="210"/>
      <c r="AD366" s="210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A367" s="202"/>
      <c r="C367" s="154"/>
      <c r="J367" s="334"/>
      <c r="K367" s="334"/>
      <c r="T367" s="154"/>
      <c r="Z367" s="334"/>
    </row>
    <row r="368" spans="1:40" x14ac:dyDescent="0.25">
      <c r="A368" s="202"/>
      <c r="C368" s="154"/>
      <c r="F368" s="252"/>
      <c r="H368" s="252"/>
      <c r="I368" s="252"/>
      <c r="J368" s="329"/>
      <c r="K368" s="329"/>
      <c r="L368" s="200"/>
      <c r="M368" s="200"/>
      <c r="N368" s="210"/>
      <c r="O368" s="210"/>
      <c r="P368" s="200"/>
      <c r="Q368" s="200"/>
      <c r="R368" s="200"/>
      <c r="T368" s="154"/>
      <c r="V368" s="200"/>
      <c r="Y368" s="200"/>
      <c r="Z368" s="329"/>
      <c r="AA368" s="200"/>
      <c r="AB368" s="200"/>
      <c r="AC368" s="210"/>
      <c r="AD368" s="21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A369" s="202"/>
      <c r="C369" s="154"/>
      <c r="F369" s="252"/>
      <c r="H369" s="252"/>
      <c r="I369" s="252"/>
      <c r="J369" s="329"/>
      <c r="K369" s="329"/>
      <c r="L369" s="200"/>
      <c r="M369" s="200"/>
      <c r="N369" s="210"/>
      <c r="O369" s="210"/>
      <c r="P369" s="200"/>
      <c r="Q369" s="200"/>
      <c r="R369" s="200"/>
      <c r="T369" s="154"/>
      <c r="V369" s="200"/>
      <c r="Y369" s="200"/>
      <c r="Z369" s="329"/>
      <c r="AA369" s="200"/>
      <c r="AB369" s="200"/>
      <c r="AC369" s="210"/>
      <c r="AD369" s="210"/>
      <c r="AE369" s="200"/>
      <c r="AF369" s="200"/>
      <c r="AG369" s="209"/>
      <c r="AH369" s="201"/>
      <c r="AI369" s="200"/>
      <c r="AJ369" s="200"/>
      <c r="AK369" s="209"/>
      <c r="AL369" s="200"/>
      <c r="AM369" s="210"/>
      <c r="AN369" s="210"/>
    </row>
    <row r="370" spans="1:40" x14ac:dyDescent="0.25">
      <c r="A370" s="202"/>
      <c r="C370" s="154"/>
      <c r="F370" s="252"/>
      <c r="H370" s="252"/>
      <c r="I370" s="252"/>
      <c r="J370" s="329"/>
      <c r="K370" s="329"/>
      <c r="L370" s="200"/>
      <c r="M370" s="200"/>
      <c r="N370" s="210"/>
      <c r="O370" s="210"/>
      <c r="P370" s="200"/>
      <c r="Q370" s="200"/>
      <c r="R370" s="200"/>
      <c r="T370" s="154"/>
      <c r="V370" s="200"/>
      <c r="Y370" s="200"/>
      <c r="Z370" s="329"/>
      <c r="AA370" s="200"/>
      <c r="AB370" s="200"/>
      <c r="AC370" s="210"/>
      <c r="AD370" s="210"/>
      <c r="AE370" s="200"/>
      <c r="AF370" s="200"/>
      <c r="AG370" s="209"/>
      <c r="AH370" s="201"/>
      <c r="AI370" s="200"/>
      <c r="AJ370" s="200"/>
      <c r="AK370" s="209"/>
      <c r="AL370" s="200"/>
      <c r="AM370" s="210"/>
      <c r="AN370" s="210"/>
    </row>
    <row r="371" spans="1:40" x14ac:dyDescent="0.25">
      <c r="F371" s="211"/>
      <c r="H371" s="211"/>
      <c r="I371" s="211"/>
      <c r="J371" s="329"/>
      <c r="K371" s="329"/>
      <c r="L371" s="211"/>
      <c r="M371" s="211"/>
      <c r="N371" s="211"/>
      <c r="O371" s="211"/>
      <c r="P371" s="211"/>
      <c r="Q371" s="211"/>
      <c r="R371" s="211"/>
      <c r="V371" s="211"/>
      <c r="Y371" s="211"/>
      <c r="Z371" s="329"/>
      <c r="AA371" s="211"/>
      <c r="AB371" s="211"/>
      <c r="AC371" s="211"/>
      <c r="AD371" s="211"/>
      <c r="AE371" s="211"/>
      <c r="AF371" s="211"/>
      <c r="AI371" s="211"/>
      <c r="AJ371" s="211"/>
      <c r="AK371" s="212"/>
      <c r="AL371" s="211"/>
    </row>
    <row r="372" spans="1:40" x14ac:dyDescent="0.25">
      <c r="A372" s="202"/>
      <c r="C372" s="103"/>
      <c r="F372" s="200"/>
      <c r="H372" s="200"/>
      <c r="I372" s="200"/>
      <c r="J372" s="334"/>
      <c r="K372" s="334"/>
      <c r="L372" s="200"/>
      <c r="M372" s="200"/>
      <c r="N372" s="201"/>
      <c r="O372" s="201"/>
      <c r="P372" s="200"/>
      <c r="Q372" s="200"/>
      <c r="R372" s="200"/>
      <c r="T372" s="103"/>
      <c r="V372" s="200"/>
      <c r="Y372" s="200"/>
      <c r="Z372" s="334"/>
      <c r="AA372" s="200"/>
      <c r="AB372" s="200"/>
      <c r="AC372" s="200"/>
      <c r="AD372" s="200"/>
      <c r="AE372" s="200"/>
      <c r="AF372" s="200"/>
      <c r="AG372" s="209"/>
      <c r="AH372" s="201"/>
      <c r="AI372" s="200"/>
      <c r="AJ372" s="200"/>
      <c r="AK372" s="209"/>
      <c r="AL372" s="200"/>
      <c r="AM372" s="210"/>
      <c r="AN372" s="210"/>
    </row>
    <row r="373" spans="1:40" x14ac:dyDescent="0.25">
      <c r="F373" s="211"/>
      <c r="H373" s="211"/>
      <c r="I373" s="211"/>
      <c r="J373" s="329"/>
      <c r="K373" s="329"/>
      <c r="L373" s="211"/>
      <c r="M373" s="211"/>
      <c r="N373" s="211"/>
      <c r="O373" s="211"/>
      <c r="P373" s="211"/>
      <c r="Q373" s="211"/>
      <c r="R373" s="211"/>
      <c r="V373" s="211"/>
      <c r="Y373" s="211"/>
      <c r="Z373" s="329"/>
      <c r="AA373" s="211"/>
      <c r="AB373" s="211"/>
      <c r="AC373" s="211"/>
      <c r="AD373" s="211"/>
      <c r="AE373" s="211"/>
      <c r="AF373" s="211"/>
      <c r="AI373" s="211"/>
      <c r="AJ373" s="211"/>
      <c r="AK373" s="212"/>
      <c r="AL373" s="211"/>
    </row>
    <row r="374" spans="1:40" x14ac:dyDescent="0.25">
      <c r="A374" s="202"/>
      <c r="C374" s="154"/>
      <c r="J374" s="334"/>
      <c r="K374" s="334"/>
      <c r="T374" s="154"/>
      <c r="Z374" s="334"/>
    </row>
    <row r="375" spans="1:40" x14ac:dyDescent="0.25">
      <c r="A375" s="202"/>
      <c r="C375" s="154"/>
      <c r="J375" s="334"/>
      <c r="K375" s="334"/>
      <c r="T375" s="154"/>
      <c r="Z375" s="334"/>
    </row>
    <row r="376" spans="1:40" x14ac:dyDescent="0.25">
      <c r="A376" s="202"/>
      <c r="C376" s="154"/>
      <c r="F376" s="252"/>
      <c r="H376" s="252"/>
      <c r="I376" s="252"/>
      <c r="J376" s="329"/>
      <c r="K376" s="329"/>
      <c r="L376" s="200"/>
      <c r="M376" s="200"/>
      <c r="N376" s="210"/>
      <c r="O376" s="210"/>
      <c r="P376" s="200"/>
      <c r="Q376" s="200"/>
      <c r="R376" s="200"/>
      <c r="T376" s="154"/>
      <c r="V376" s="200"/>
      <c r="Y376" s="200"/>
      <c r="Z376" s="329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A377" s="202"/>
      <c r="C377" s="154"/>
      <c r="F377" s="252"/>
      <c r="H377" s="252"/>
      <c r="I377" s="252"/>
      <c r="J377" s="329"/>
      <c r="K377" s="329"/>
      <c r="L377" s="200"/>
      <c r="M377" s="200"/>
      <c r="N377" s="210"/>
      <c r="O377" s="210"/>
      <c r="P377" s="200"/>
      <c r="Q377" s="200"/>
      <c r="R377" s="200"/>
      <c r="T377" s="154"/>
      <c r="V377" s="200"/>
      <c r="Y377" s="200"/>
      <c r="Z377" s="329"/>
      <c r="AA377" s="200"/>
      <c r="AB377" s="200"/>
      <c r="AC377" s="210"/>
      <c r="AD377" s="210"/>
      <c r="AE377" s="200"/>
      <c r="AF377" s="200"/>
      <c r="AG377" s="209"/>
      <c r="AH377" s="201"/>
      <c r="AI377" s="200"/>
      <c r="AJ377" s="200"/>
      <c r="AK377" s="209"/>
      <c r="AL377" s="200"/>
      <c r="AM377" s="210"/>
      <c r="AN377" s="210"/>
    </row>
    <row r="378" spans="1:40" x14ac:dyDescent="0.25">
      <c r="A378" s="202"/>
      <c r="C378" s="154"/>
      <c r="F378" s="252"/>
      <c r="H378" s="252"/>
      <c r="I378" s="252"/>
      <c r="J378" s="329"/>
      <c r="K378" s="329"/>
      <c r="L378" s="200"/>
      <c r="M378" s="200"/>
      <c r="N378" s="210"/>
      <c r="O378" s="210"/>
      <c r="P378" s="200"/>
      <c r="Q378" s="200"/>
      <c r="R378" s="200"/>
      <c r="T378" s="154"/>
      <c r="V378" s="200"/>
      <c r="Y378" s="200"/>
      <c r="Z378" s="329"/>
      <c r="AA378" s="200"/>
      <c r="AB378" s="200"/>
      <c r="AC378" s="210"/>
      <c r="AD378" s="210"/>
      <c r="AE378" s="200"/>
      <c r="AF378" s="200"/>
      <c r="AG378" s="209"/>
      <c r="AH378" s="201"/>
      <c r="AI378" s="200"/>
      <c r="AJ378" s="200"/>
      <c r="AK378" s="209"/>
      <c r="AL378" s="200"/>
      <c r="AM378" s="210"/>
      <c r="AN378" s="210"/>
    </row>
    <row r="379" spans="1:40" x14ac:dyDescent="0.25">
      <c r="A379" s="202"/>
      <c r="C379" s="154"/>
      <c r="F379" s="252"/>
      <c r="H379" s="252"/>
      <c r="I379" s="252"/>
      <c r="J379" s="329"/>
      <c r="K379" s="329"/>
      <c r="L379" s="200"/>
      <c r="M379" s="200"/>
      <c r="N379" s="210"/>
      <c r="O379" s="210"/>
      <c r="P379" s="200"/>
      <c r="Q379" s="200"/>
      <c r="R379" s="200"/>
      <c r="T379" s="154"/>
      <c r="V379" s="200"/>
      <c r="Y379" s="200"/>
      <c r="Z379" s="329"/>
      <c r="AA379" s="200"/>
      <c r="AB379" s="200"/>
      <c r="AC379" s="210"/>
      <c r="AD379" s="210"/>
      <c r="AE379" s="200"/>
      <c r="AF379" s="200"/>
      <c r="AG379" s="209"/>
      <c r="AH379" s="201"/>
      <c r="AI379" s="200"/>
      <c r="AJ379" s="200"/>
      <c r="AK379" s="209"/>
      <c r="AL379" s="200"/>
      <c r="AM379" s="210"/>
      <c r="AN379" s="210"/>
    </row>
    <row r="380" spans="1:40" x14ac:dyDescent="0.25">
      <c r="A380" s="202"/>
      <c r="C380" s="154"/>
      <c r="F380" s="252"/>
      <c r="H380" s="252"/>
      <c r="I380" s="252"/>
      <c r="J380" s="329"/>
      <c r="K380" s="329"/>
      <c r="L380" s="200"/>
      <c r="M380" s="200"/>
      <c r="N380" s="210"/>
      <c r="O380" s="210"/>
      <c r="P380" s="200"/>
      <c r="Q380" s="200"/>
      <c r="R380" s="200"/>
      <c r="T380" s="154"/>
      <c r="V380" s="200"/>
      <c r="Y380" s="200"/>
      <c r="Z380" s="329"/>
      <c r="AA380" s="200"/>
      <c r="AB380" s="200"/>
      <c r="AC380" s="210"/>
      <c r="AD380" s="210"/>
      <c r="AE380" s="200"/>
      <c r="AF380" s="200"/>
      <c r="AG380" s="209"/>
      <c r="AH380" s="201"/>
      <c r="AI380" s="200"/>
      <c r="AJ380" s="200"/>
      <c r="AK380" s="209"/>
      <c r="AL380" s="200"/>
      <c r="AM380" s="210"/>
      <c r="AN380" s="210"/>
    </row>
    <row r="381" spans="1:40" x14ac:dyDescent="0.25">
      <c r="A381" s="202"/>
      <c r="C381" s="154"/>
      <c r="F381" s="252"/>
      <c r="H381" s="252"/>
      <c r="I381" s="252"/>
      <c r="J381" s="329"/>
      <c r="K381" s="329"/>
      <c r="L381" s="200"/>
      <c r="M381" s="200"/>
      <c r="N381" s="210"/>
      <c r="O381" s="210"/>
      <c r="P381" s="200"/>
      <c r="Q381" s="200"/>
      <c r="R381" s="200"/>
      <c r="T381" s="154"/>
      <c r="V381" s="200"/>
      <c r="Y381" s="200"/>
      <c r="Z381" s="329"/>
      <c r="AA381" s="200"/>
      <c r="AB381" s="200"/>
      <c r="AC381" s="210"/>
      <c r="AD381" s="210"/>
      <c r="AE381" s="200"/>
      <c r="AF381" s="200"/>
      <c r="AG381" s="209"/>
      <c r="AH381" s="201"/>
      <c r="AI381" s="200"/>
      <c r="AJ381" s="200"/>
      <c r="AK381" s="209"/>
      <c r="AL381" s="200"/>
      <c r="AM381" s="210"/>
      <c r="AN381" s="210"/>
    </row>
    <row r="382" spans="1:40" x14ac:dyDescent="0.25">
      <c r="A382" s="202"/>
      <c r="C382" s="154"/>
      <c r="F382" s="252"/>
      <c r="H382" s="252"/>
      <c r="I382" s="252"/>
      <c r="J382" s="329"/>
      <c r="K382" s="329"/>
      <c r="L382" s="200"/>
      <c r="M382" s="200"/>
      <c r="N382" s="210"/>
      <c r="O382" s="210"/>
      <c r="P382" s="200"/>
      <c r="Q382" s="200"/>
      <c r="R382" s="200"/>
      <c r="T382" s="154"/>
      <c r="V382" s="200"/>
      <c r="Y382" s="200"/>
      <c r="Z382" s="329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A383" s="202"/>
      <c r="C383" s="154"/>
      <c r="J383" s="334"/>
      <c r="K383" s="334"/>
      <c r="T383" s="154"/>
      <c r="Z383" s="334"/>
    </row>
    <row r="384" spans="1:40" x14ac:dyDescent="0.25">
      <c r="A384" s="202"/>
      <c r="C384" s="154"/>
      <c r="F384" s="252"/>
      <c r="H384" s="252"/>
      <c r="I384" s="252"/>
      <c r="J384" s="329"/>
      <c r="K384" s="329"/>
      <c r="L384" s="200"/>
      <c r="M384" s="200"/>
      <c r="N384" s="210"/>
      <c r="O384" s="210"/>
      <c r="P384" s="200"/>
      <c r="Q384" s="200"/>
      <c r="R384" s="200"/>
      <c r="T384" s="154"/>
      <c r="V384" s="200"/>
      <c r="Y384" s="200"/>
      <c r="Z384" s="329"/>
      <c r="AA384" s="200"/>
      <c r="AB384" s="200"/>
      <c r="AC384" s="210"/>
      <c r="AD384" s="210"/>
      <c r="AE384" s="200"/>
      <c r="AF384" s="200"/>
      <c r="AG384" s="209"/>
      <c r="AH384" s="201"/>
      <c r="AI384" s="200"/>
      <c r="AJ384" s="200"/>
      <c r="AK384" s="209"/>
      <c r="AL384" s="200"/>
      <c r="AM384" s="210"/>
      <c r="AN384" s="210"/>
    </row>
    <row r="385" spans="1:40" x14ac:dyDescent="0.25">
      <c r="A385" s="202"/>
      <c r="C385" s="154"/>
      <c r="F385" s="252"/>
      <c r="H385" s="252"/>
      <c r="I385" s="252"/>
      <c r="J385" s="329"/>
      <c r="K385" s="329"/>
      <c r="L385" s="200"/>
      <c r="M385" s="200"/>
      <c r="N385" s="210"/>
      <c r="O385" s="210"/>
      <c r="P385" s="200"/>
      <c r="Q385" s="200"/>
      <c r="R385" s="200"/>
      <c r="T385" s="154"/>
      <c r="V385" s="200"/>
      <c r="Y385" s="200"/>
      <c r="Z385" s="329"/>
      <c r="AA385" s="200"/>
      <c r="AB385" s="200"/>
      <c r="AC385" s="210"/>
      <c r="AD385" s="210"/>
      <c r="AE385" s="200"/>
      <c r="AF385" s="200"/>
      <c r="AG385" s="209"/>
      <c r="AH385" s="201"/>
      <c r="AI385" s="200"/>
      <c r="AJ385" s="200"/>
      <c r="AK385" s="209"/>
      <c r="AL385" s="200"/>
      <c r="AM385" s="210"/>
      <c r="AN385" s="210"/>
    </row>
    <row r="386" spans="1:40" x14ac:dyDescent="0.25">
      <c r="A386" s="202"/>
      <c r="C386" s="154"/>
      <c r="F386" s="252"/>
      <c r="H386" s="252"/>
      <c r="I386" s="252"/>
      <c r="J386" s="329"/>
      <c r="K386" s="329"/>
      <c r="L386" s="200"/>
      <c r="M386" s="200"/>
      <c r="N386" s="210"/>
      <c r="O386" s="210"/>
      <c r="P386" s="200"/>
      <c r="Q386" s="200"/>
      <c r="R386" s="200"/>
      <c r="T386" s="154"/>
      <c r="V386" s="200"/>
      <c r="Y386" s="200"/>
      <c r="Z386" s="329"/>
      <c r="AA386" s="200"/>
      <c r="AB386" s="200"/>
      <c r="AC386" s="210"/>
      <c r="AD386" s="210"/>
      <c r="AE386" s="200"/>
      <c r="AF386" s="200"/>
      <c r="AG386" s="209"/>
      <c r="AH386" s="201"/>
      <c r="AI386" s="200"/>
      <c r="AJ386" s="200"/>
      <c r="AK386" s="209"/>
      <c r="AL386" s="200"/>
      <c r="AM386" s="210"/>
      <c r="AN386" s="210"/>
    </row>
    <row r="387" spans="1:40" x14ac:dyDescent="0.25">
      <c r="A387" s="202"/>
      <c r="C387" s="154"/>
      <c r="F387" s="252"/>
      <c r="H387" s="252"/>
      <c r="I387" s="252"/>
      <c r="J387" s="329"/>
      <c r="K387" s="329"/>
      <c r="L387" s="200"/>
      <c r="M387" s="200"/>
      <c r="N387" s="210"/>
      <c r="O387" s="210"/>
      <c r="P387" s="200"/>
      <c r="Q387" s="200"/>
      <c r="R387" s="200"/>
      <c r="T387" s="154"/>
      <c r="V387" s="200"/>
      <c r="Y387" s="200"/>
      <c r="Z387" s="329"/>
      <c r="AA387" s="200"/>
      <c r="AB387" s="200"/>
      <c r="AC387" s="210"/>
      <c r="AD387" s="210"/>
      <c r="AE387" s="200"/>
      <c r="AF387" s="200"/>
      <c r="AG387" s="209"/>
      <c r="AH387" s="201"/>
      <c r="AI387" s="200"/>
      <c r="AJ387" s="200"/>
      <c r="AK387" s="209"/>
      <c r="AL387" s="200"/>
      <c r="AM387" s="210"/>
      <c r="AN387" s="210"/>
    </row>
    <row r="388" spans="1:40" x14ac:dyDescent="0.25">
      <c r="A388" s="202"/>
      <c r="C388" s="154"/>
      <c r="J388" s="334"/>
      <c r="K388" s="334"/>
      <c r="T388" s="154"/>
      <c r="Z388" s="334"/>
    </row>
    <row r="389" spans="1:40" x14ac:dyDescent="0.25">
      <c r="A389" s="202"/>
      <c r="C389" s="154"/>
      <c r="F389" s="252"/>
      <c r="H389" s="252"/>
      <c r="I389" s="252"/>
      <c r="J389" s="329"/>
      <c r="K389" s="329"/>
      <c r="L389" s="200"/>
      <c r="M389" s="200"/>
      <c r="N389" s="210"/>
      <c r="O389" s="210"/>
      <c r="P389" s="200"/>
      <c r="Q389" s="200"/>
      <c r="R389" s="200"/>
      <c r="T389" s="154"/>
      <c r="V389" s="200"/>
      <c r="Y389" s="200"/>
      <c r="Z389" s="329"/>
      <c r="AA389" s="200"/>
      <c r="AB389" s="200"/>
      <c r="AC389" s="210"/>
      <c r="AD389" s="210"/>
      <c r="AE389" s="200"/>
      <c r="AF389" s="200"/>
      <c r="AG389" s="209"/>
      <c r="AH389" s="201"/>
      <c r="AI389" s="200"/>
      <c r="AJ389" s="200"/>
      <c r="AK389" s="209"/>
      <c r="AL389" s="200"/>
      <c r="AM389" s="210"/>
      <c r="AN389" s="210"/>
    </row>
    <row r="390" spans="1:40" x14ac:dyDescent="0.25">
      <c r="A390" s="202"/>
      <c r="C390" s="154"/>
      <c r="F390" s="252"/>
      <c r="H390" s="252"/>
      <c r="I390" s="252"/>
      <c r="J390" s="329"/>
      <c r="K390" s="329"/>
      <c r="L390" s="200"/>
      <c r="M390" s="200"/>
      <c r="N390" s="210"/>
      <c r="O390" s="210"/>
      <c r="P390" s="200"/>
      <c r="Q390" s="200"/>
      <c r="R390" s="200"/>
      <c r="T390" s="154"/>
      <c r="V390" s="200"/>
      <c r="Y390" s="200"/>
      <c r="Z390" s="329"/>
      <c r="AA390" s="200"/>
      <c r="AB390" s="200"/>
      <c r="AC390" s="210"/>
      <c r="AD390" s="210"/>
      <c r="AE390" s="200"/>
      <c r="AF390" s="200"/>
      <c r="AG390" s="209"/>
      <c r="AH390" s="201"/>
      <c r="AI390" s="200"/>
      <c r="AJ390" s="200"/>
      <c r="AK390" s="209"/>
      <c r="AL390" s="200"/>
      <c r="AM390" s="210"/>
      <c r="AN390" s="210"/>
    </row>
    <row r="391" spans="1:40" x14ac:dyDescent="0.25">
      <c r="A391" s="202"/>
      <c r="C391" s="154"/>
      <c r="F391" s="252"/>
      <c r="H391" s="252"/>
      <c r="I391" s="252"/>
      <c r="J391" s="329"/>
      <c r="K391" s="329"/>
      <c r="L391" s="200"/>
      <c r="M391" s="200"/>
      <c r="N391" s="210"/>
      <c r="O391" s="210"/>
      <c r="P391" s="200"/>
      <c r="Q391" s="200"/>
      <c r="R391" s="200"/>
      <c r="T391" s="154"/>
      <c r="V391" s="200"/>
      <c r="Y391" s="200"/>
      <c r="Z391" s="329"/>
      <c r="AA391" s="200"/>
      <c r="AB391" s="200"/>
      <c r="AC391" s="210"/>
      <c r="AD391" s="210"/>
      <c r="AE391" s="200"/>
      <c r="AF391" s="200"/>
      <c r="AG391" s="209"/>
      <c r="AH391" s="201"/>
      <c r="AI391" s="200"/>
      <c r="AJ391" s="200"/>
      <c r="AK391" s="209"/>
      <c r="AL391" s="200"/>
      <c r="AM391" s="210"/>
      <c r="AN391" s="210"/>
    </row>
    <row r="392" spans="1:40" x14ac:dyDescent="0.25">
      <c r="A392" s="202"/>
      <c r="C392" s="154"/>
      <c r="F392" s="252"/>
      <c r="H392" s="252"/>
      <c r="I392" s="252"/>
      <c r="J392" s="329"/>
      <c r="K392" s="329"/>
      <c r="L392" s="200"/>
      <c r="M392" s="200"/>
      <c r="N392" s="210"/>
      <c r="O392" s="210"/>
      <c r="P392" s="200"/>
      <c r="Q392" s="200"/>
      <c r="R392" s="200"/>
      <c r="T392" s="154"/>
      <c r="V392" s="200"/>
      <c r="Y392" s="200"/>
      <c r="Z392" s="329"/>
      <c r="AA392" s="200"/>
      <c r="AB392" s="200"/>
      <c r="AC392" s="210"/>
      <c r="AD392" s="21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A393" s="202"/>
      <c r="C393" s="154"/>
      <c r="F393" s="252"/>
      <c r="H393" s="252"/>
      <c r="I393" s="252"/>
      <c r="J393" s="329"/>
      <c r="K393" s="329"/>
      <c r="L393" s="200"/>
      <c r="M393" s="200"/>
      <c r="N393" s="210"/>
      <c r="O393" s="210"/>
      <c r="P393" s="200"/>
      <c r="Q393" s="200"/>
      <c r="R393" s="200"/>
      <c r="T393" s="154"/>
      <c r="V393" s="200"/>
      <c r="Y393" s="200"/>
      <c r="Z393" s="329"/>
      <c r="AA393" s="200"/>
      <c r="AB393" s="200"/>
      <c r="AC393" s="210"/>
      <c r="AD393" s="210"/>
      <c r="AE393" s="200"/>
      <c r="AF393" s="200"/>
      <c r="AG393" s="209"/>
      <c r="AH393" s="201"/>
      <c r="AI393" s="200"/>
      <c r="AJ393" s="200"/>
      <c r="AK393" s="209"/>
      <c r="AL393" s="200"/>
      <c r="AM393" s="210"/>
      <c r="AN393" s="210"/>
    </row>
    <row r="394" spans="1:40" x14ac:dyDescent="0.25">
      <c r="F394" s="211"/>
      <c r="H394" s="211"/>
      <c r="I394" s="211"/>
      <c r="J394" s="305"/>
      <c r="K394" s="305"/>
      <c r="L394" s="211"/>
      <c r="M394" s="211"/>
      <c r="N394" s="211"/>
      <c r="O394" s="211"/>
      <c r="P394" s="211"/>
      <c r="Q394" s="211"/>
      <c r="R394" s="211"/>
      <c r="V394" s="211"/>
      <c r="Y394" s="211"/>
      <c r="Z394" s="329"/>
      <c r="AA394" s="211"/>
      <c r="AB394" s="211"/>
      <c r="AC394" s="211"/>
      <c r="AD394" s="211"/>
      <c r="AE394" s="211"/>
      <c r="AF394" s="211"/>
      <c r="AI394" s="211"/>
      <c r="AJ394" s="211"/>
      <c r="AK394" s="212"/>
      <c r="AL394" s="211"/>
    </row>
    <row r="395" spans="1:40" x14ac:dyDescent="0.25">
      <c r="A395" s="202"/>
      <c r="C395" s="154"/>
      <c r="F395" s="200"/>
      <c r="H395" s="200"/>
      <c r="I395" s="200"/>
      <c r="L395" s="200"/>
      <c r="M395" s="200"/>
      <c r="N395" s="201"/>
      <c r="O395" s="201"/>
      <c r="P395" s="200"/>
      <c r="Q395" s="200"/>
      <c r="R395" s="200"/>
      <c r="T395" s="154"/>
      <c r="V395" s="200"/>
      <c r="Y395" s="200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F396" s="211"/>
      <c r="H396" s="211"/>
      <c r="I396" s="211"/>
      <c r="J396" s="305"/>
      <c r="K396" s="305"/>
      <c r="L396" s="211"/>
      <c r="M396" s="211"/>
      <c r="N396" s="211"/>
      <c r="O396" s="211"/>
      <c r="P396" s="211"/>
      <c r="Q396" s="211"/>
      <c r="R396" s="211"/>
      <c r="V396" s="211"/>
      <c r="Y396" s="211"/>
      <c r="Z396" s="305"/>
      <c r="AA396" s="211"/>
      <c r="AB396" s="211"/>
      <c r="AC396" s="211"/>
      <c r="AD396" s="211"/>
      <c r="AE396" s="211"/>
      <c r="AF396" s="211"/>
      <c r="AI396" s="211"/>
      <c r="AJ396" s="211"/>
      <c r="AK396" s="212"/>
      <c r="AL396" s="211"/>
    </row>
    <row r="397" spans="1:40" x14ac:dyDescent="0.25">
      <c r="A397" s="202"/>
      <c r="C397" s="154"/>
      <c r="T397" s="154"/>
    </row>
    <row r="398" spans="1:40" x14ac:dyDescent="0.25">
      <c r="A398" s="202"/>
      <c r="C398" s="154"/>
      <c r="F398" s="252"/>
      <c r="H398" s="252"/>
      <c r="I398" s="252"/>
      <c r="J398" s="300"/>
      <c r="K398" s="300"/>
      <c r="L398" s="200"/>
      <c r="M398" s="200"/>
      <c r="N398" s="210"/>
      <c r="O398" s="210"/>
      <c r="P398" s="200"/>
      <c r="Q398" s="200"/>
      <c r="R398" s="200"/>
      <c r="T398" s="154"/>
      <c r="V398" s="200"/>
      <c r="Y398" s="200"/>
      <c r="Z398" s="300"/>
      <c r="AA398" s="200"/>
      <c r="AB398" s="200"/>
      <c r="AC398" s="210"/>
      <c r="AD398" s="210"/>
      <c r="AE398" s="200"/>
      <c r="AF398" s="200"/>
      <c r="AG398" s="209"/>
      <c r="AH398" s="201"/>
      <c r="AI398" s="200"/>
      <c r="AJ398" s="200"/>
      <c r="AK398" s="209"/>
      <c r="AL398" s="200"/>
      <c r="AM398" s="210"/>
      <c r="AN398" s="210"/>
    </row>
    <row r="399" spans="1:40" x14ac:dyDescent="0.25">
      <c r="A399" s="202"/>
      <c r="C399" s="154"/>
      <c r="F399" s="252"/>
      <c r="H399" s="252"/>
      <c r="I399" s="252"/>
      <c r="J399" s="300"/>
      <c r="K399" s="300"/>
      <c r="L399" s="200"/>
      <c r="M399" s="200"/>
      <c r="N399" s="210"/>
      <c r="O399" s="210"/>
      <c r="P399" s="200"/>
      <c r="Q399" s="200"/>
      <c r="R399" s="200"/>
      <c r="T399" s="154"/>
      <c r="V399" s="200"/>
      <c r="Y399" s="200"/>
      <c r="Z399" s="300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F400" s="211"/>
      <c r="H400" s="200"/>
      <c r="I400" s="200"/>
      <c r="J400" s="305"/>
      <c r="K400" s="305"/>
      <c r="L400" s="211"/>
      <c r="M400" s="211"/>
      <c r="N400" s="211"/>
      <c r="O400" s="211"/>
      <c r="P400" s="211"/>
      <c r="Q400" s="211"/>
      <c r="R400" s="211"/>
      <c r="V400" s="211"/>
      <c r="Y400" s="200"/>
      <c r="Z400" s="305"/>
      <c r="AA400" s="211"/>
      <c r="AB400" s="211"/>
      <c r="AC400" s="211"/>
      <c r="AD400" s="211"/>
      <c r="AE400" s="211"/>
      <c r="AF400" s="211"/>
      <c r="AI400" s="211"/>
      <c r="AJ400" s="211"/>
      <c r="AK400" s="212"/>
      <c r="AL400" s="211"/>
    </row>
    <row r="401" spans="1:40" x14ac:dyDescent="0.25">
      <c r="F401" s="200"/>
      <c r="H401" s="200"/>
      <c r="I401" s="200"/>
      <c r="J401" s="305"/>
      <c r="K401" s="305"/>
      <c r="L401" s="200"/>
      <c r="M401" s="200"/>
      <c r="N401" s="200"/>
      <c r="O401" s="200"/>
      <c r="P401" s="200"/>
      <c r="Q401" s="200"/>
      <c r="R401" s="200"/>
      <c r="V401" s="200"/>
      <c r="Y401" s="200"/>
      <c r="Z401" s="305"/>
      <c r="AA401" s="200"/>
      <c r="AB401" s="200"/>
      <c r="AC401" s="200"/>
      <c r="AD401" s="200"/>
      <c r="AE401" s="200"/>
      <c r="AF401" s="200"/>
      <c r="AI401" s="200"/>
      <c r="AJ401" s="200"/>
      <c r="AK401" s="209"/>
      <c r="AL401" s="200"/>
    </row>
    <row r="402" spans="1:40" x14ac:dyDescent="0.25">
      <c r="A402" s="202"/>
      <c r="C402" s="154"/>
      <c r="F402" s="200"/>
      <c r="H402" s="200"/>
      <c r="I402" s="200"/>
      <c r="L402" s="200"/>
      <c r="M402" s="200"/>
      <c r="N402" s="210"/>
      <c r="O402" s="210"/>
      <c r="P402" s="200"/>
      <c r="Q402" s="200"/>
      <c r="R402" s="200"/>
      <c r="T402" s="154"/>
      <c r="V402" s="200"/>
      <c r="Y402" s="200"/>
      <c r="AA402" s="200"/>
      <c r="AB402" s="200"/>
      <c r="AC402" s="210"/>
      <c r="AD402" s="210"/>
      <c r="AE402" s="200"/>
      <c r="AF402" s="200"/>
      <c r="AG402" s="209"/>
      <c r="AH402" s="201"/>
      <c r="AI402" s="252"/>
      <c r="AJ402" s="252"/>
      <c r="AK402" s="209"/>
      <c r="AL402" s="200"/>
      <c r="AM402" s="210"/>
      <c r="AN402" s="210"/>
    </row>
    <row r="403" spans="1:40" x14ac:dyDescent="0.25">
      <c r="H403" s="211"/>
      <c r="I403" s="211"/>
      <c r="J403" s="305"/>
      <c r="K403" s="305"/>
      <c r="L403" s="211"/>
      <c r="M403" s="211"/>
      <c r="N403" s="211"/>
      <c r="O403" s="211"/>
      <c r="P403" s="211"/>
      <c r="Q403" s="211"/>
      <c r="R403" s="211"/>
      <c r="V403" s="211"/>
      <c r="Y403" s="211"/>
      <c r="Z403" s="305"/>
      <c r="AA403" s="211"/>
      <c r="AB403" s="211"/>
      <c r="AC403" s="211"/>
      <c r="AD403" s="211"/>
      <c r="AE403" s="211"/>
      <c r="AF403" s="211"/>
      <c r="AI403" s="211"/>
      <c r="AJ403" s="211"/>
      <c r="AK403" s="212"/>
      <c r="AL403" s="211"/>
    </row>
    <row r="404" spans="1:40" x14ac:dyDescent="0.25">
      <c r="F404" s="211"/>
    </row>
    <row r="405" spans="1:40" x14ac:dyDescent="0.25">
      <c r="A405" s="154"/>
      <c r="T405" s="154"/>
    </row>
    <row r="406" spans="1:40" x14ac:dyDescent="0.25">
      <c r="A406" s="154"/>
      <c r="T406" s="154"/>
    </row>
    <row r="407" spans="1:40" x14ac:dyDescent="0.25">
      <c r="A407" s="154"/>
      <c r="T407" s="154"/>
    </row>
    <row r="408" spans="1:40" x14ac:dyDescent="0.25">
      <c r="A408" s="154"/>
      <c r="T408" s="154"/>
    </row>
    <row r="409" spans="1:40" x14ac:dyDescent="0.25">
      <c r="A409" s="154"/>
      <c r="T409" s="154"/>
    </row>
    <row r="410" spans="1:40" x14ac:dyDescent="0.25">
      <c r="A410" s="154"/>
      <c r="T410" s="154"/>
    </row>
    <row r="411" spans="1:40" x14ac:dyDescent="0.25">
      <c r="A411" s="154"/>
      <c r="T411" s="154"/>
    </row>
    <row r="412" spans="1:40" x14ac:dyDescent="0.25">
      <c r="A412" s="154"/>
      <c r="T412" s="154"/>
    </row>
    <row r="413" spans="1:40" x14ac:dyDescent="0.25">
      <c r="A413" s="154"/>
      <c r="T413" s="154"/>
    </row>
    <row r="415" spans="1:40" x14ac:dyDescent="0.25">
      <c r="A415" s="154"/>
    </row>
    <row r="416" spans="1:40" x14ac:dyDescent="0.25">
      <c r="J416" s="202"/>
      <c r="K416" s="202"/>
      <c r="Z416" s="202"/>
    </row>
    <row r="417" spans="1:40" x14ac:dyDescent="0.25">
      <c r="H417" s="154"/>
      <c r="I417" s="154"/>
      <c r="Y417" s="154"/>
    </row>
    <row r="418" spans="1:40" x14ac:dyDescent="0.25">
      <c r="J418" s="202"/>
      <c r="K418" s="202"/>
      <c r="Z418" s="202"/>
    </row>
    <row r="419" spans="1:40" x14ac:dyDescent="0.25">
      <c r="L419" s="154"/>
      <c r="M419" s="154"/>
      <c r="AA419" s="154"/>
      <c r="AB419" s="154"/>
    </row>
    <row r="420" spans="1:40" x14ac:dyDescent="0.25">
      <c r="A420" s="202"/>
      <c r="R420" s="154"/>
      <c r="AK420" s="297"/>
      <c r="AL420" s="154"/>
    </row>
    <row r="421" spans="1:40" x14ac:dyDescent="0.25">
      <c r="A421" s="202"/>
      <c r="R421" s="154"/>
      <c r="AK421" s="297"/>
      <c r="AL421" s="154"/>
    </row>
    <row r="422" spans="1:40" x14ac:dyDescent="0.25">
      <c r="A422" s="154"/>
      <c r="R422" s="154"/>
      <c r="AK422" s="297"/>
      <c r="AL422" s="154"/>
    </row>
    <row r="423" spans="1:40" x14ac:dyDescent="0.25">
      <c r="L423" s="154"/>
      <c r="M423" s="154"/>
      <c r="R423" s="202"/>
      <c r="AA423" s="154"/>
      <c r="AB423" s="154"/>
      <c r="AK423" s="209"/>
      <c r="AL423" s="202"/>
    </row>
    <row r="424" spans="1:40" x14ac:dyDescent="0.25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208"/>
      <c r="AH424" s="102"/>
      <c r="AI424" s="102"/>
      <c r="AJ424" s="102"/>
      <c r="AK424" s="208"/>
      <c r="AL424" s="102"/>
      <c r="AM424" s="102"/>
      <c r="AN424" s="102"/>
    </row>
    <row r="425" spans="1:40" x14ac:dyDescent="0.25">
      <c r="L425" s="103"/>
      <c r="M425" s="103"/>
      <c r="N425" s="103"/>
      <c r="O425" s="103"/>
      <c r="R425" s="103"/>
      <c r="AA425" s="103"/>
      <c r="AB425" s="103"/>
      <c r="AC425" s="103"/>
      <c r="AD425" s="103"/>
      <c r="AE425" s="103"/>
      <c r="AF425" s="103"/>
      <c r="AG425" s="185"/>
      <c r="AH425" s="103"/>
      <c r="AK425" s="185"/>
      <c r="AL425" s="103"/>
      <c r="AM425" s="103"/>
      <c r="AN425" s="103"/>
    </row>
    <row r="426" spans="1:40" x14ac:dyDescent="0.25">
      <c r="L426" s="103"/>
      <c r="M426" s="103"/>
      <c r="N426" s="103"/>
      <c r="O426" s="103"/>
      <c r="R426" s="103"/>
      <c r="Z426" s="103"/>
      <c r="AA426" s="103"/>
      <c r="AB426" s="103"/>
      <c r="AC426" s="103"/>
      <c r="AD426" s="103"/>
      <c r="AE426" s="103"/>
      <c r="AF426" s="103"/>
      <c r="AG426" s="185"/>
      <c r="AH426" s="103"/>
      <c r="AK426" s="185"/>
      <c r="AL426" s="103"/>
      <c r="AM426" s="103"/>
      <c r="AN426" s="103"/>
    </row>
    <row r="427" spans="1:40" x14ac:dyDescent="0.25">
      <c r="A427" s="103"/>
      <c r="C427" s="103"/>
      <c r="D427" s="103"/>
      <c r="E427" s="103"/>
      <c r="F427" s="103"/>
      <c r="J427" s="103"/>
      <c r="K427" s="103"/>
      <c r="L427" s="103"/>
      <c r="M427" s="103"/>
      <c r="N427" s="103"/>
      <c r="O427" s="103"/>
      <c r="P427" s="103"/>
      <c r="Q427" s="103"/>
      <c r="R427" s="103"/>
      <c r="T427" s="103"/>
      <c r="U427" s="103"/>
      <c r="V427" s="103"/>
      <c r="Z427" s="103"/>
      <c r="AA427" s="103"/>
      <c r="AB427" s="103"/>
      <c r="AC427" s="103"/>
      <c r="AD427" s="103"/>
      <c r="AE427" s="103"/>
      <c r="AF427" s="103"/>
      <c r="AG427" s="185"/>
      <c r="AH427" s="103"/>
      <c r="AI427" s="103"/>
      <c r="AJ427" s="103"/>
      <c r="AK427" s="185"/>
      <c r="AL427" s="103"/>
      <c r="AM427" s="103"/>
      <c r="AN427" s="103"/>
    </row>
    <row r="428" spans="1:40" x14ac:dyDescent="0.25">
      <c r="A428" s="103"/>
      <c r="C428" s="103"/>
      <c r="D428" s="103"/>
      <c r="E428" s="103"/>
      <c r="F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T428" s="103"/>
      <c r="U428" s="103"/>
      <c r="V428" s="103"/>
      <c r="Y428" s="103"/>
      <c r="Z428" s="103"/>
      <c r="AA428" s="103"/>
      <c r="AB428" s="103"/>
      <c r="AC428" s="103"/>
      <c r="AD428" s="103"/>
      <c r="AE428" s="103"/>
      <c r="AF428" s="103"/>
      <c r="AG428" s="185"/>
      <c r="AH428" s="103"/>
      <c r="AI428" s="103"/>
      <c r="AJ428" s="103"/>
      <c r="AK428" s="185"/>
      <c r="AL428" s="103"/>
      <c r="AM428" s="103"/>
      <c r="AN428" s="103"/>
    </row>
    <row r="429" spans="1:40" x14ac:dyDescent="0.25">
      <c r="C429" s="103"/>
      <c r="D429" s="103"/>
      <c r="E429" s="103"/>
      <c r="F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T429" s="103"/>
      <c r="U429" s="103"/>
      <c r="V429" s="103"/>
      <c r="Y429" s="103"/>
      <c r="Z429" s="103"/>
      <c r="AA429" s="103"/>
      <c r="AB429" s="103"/>
      <c r="AC429" s="103"/>
      <c r="AD429" s="103"/>
      <c r="AE429" s="103"/>
      <c r="AF429" s="103"/>
      <c r="AG429" s="185"/>
      <c r="AH429" s="103"/>
      <c r="AI429" s="103"/>
      <c r="AJ429" s="103"/>
      <c r="AK429" s="185"/>
      <c r="AL429" s="103"/>
      <c r="AM429" s="103"/>
      <c r="AN429" s="103"/>
    </row>
    <row r="430" spans="1:40" x14ac:dyDescent="0.25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208"/>
      <c r="AH430" s="102"/>
      <c r="AI430" s="102"/>
      <c r="AJ430" s="102"/>
      <c r="AK430" s="208"/>
      <c r="AL430" s="102"/>
      <c r="AM430" s="102"/>
      <c r="AN430" s="102"/>
    </row>
    <row r="431" spans="1:40" x14ac:dyDescent="0.25"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Y431" s="103"/>
      <c r="Z431" s="103"/>
      <c r="AA431" s="103"/>
      <c r="AB431" s="103"/>
      <c r="AC431" s="103"/>
      <c r="AD431" s="103"/>
      <c r="AE431" s="103"/>
      <c r="AF431" s="103"/>
      <c r="AG431" s="185"/>
      <c r="AH431" s="103"/>
      <c r="AI431" s="103"/>
      <c r="AJ431" s="103"/>
      <c r="AK431" s="185"/>
      <c r="AL431" s="103"/>
      <c r="AM431" s="103"/>
      <c r="AN431" s="103"/>
    </row>
    <row r="432" spans="1:40" x14ac:dyDescent="0.25">
      <c r="A432" s="202"/>
      <c r="C432" s="154"/>
      <c r="D432" s="154"/>
      <c r="E432" s="154"/>
      <c r="T432" s="154"/>
      <c r="U432" s="154"/>
    </row>
    <row r="433" spans="1:40" x14ac:dyDescent="0.25">
      <c r="A433" s="202"/>
      <c r="D433" s="154"/>
      <c r="E433" s="154"/>
      <c r="U433" s="154"/>
    </row>
    <row r="435" spans="1:40" x14ac:dyDescent="0.25">
      <c r="A435" s="202"/>
      <c r="C435" s="154"/>
      <c r="F435" s="200"/>
      <c r="J435" s="215"/>
      <c r="K435" s="215"/>
      <c r="L435" s="200"/>
      <c r="M435" s="200"/>
      <c r="R435" s="200"/>
      <c r="T435" s="154"/>
      <c r="V435" s="200"/>
      <c r="Z435" s="215"/>
      <c r="AA435" s="200"/>
      <c r="AB435" s="200"/>
      <c r="AG435" s="209"/>
      <c r="AH435" s="200"/>
      <c r="AK435" s="209"/>
      <c r="AL435" s="200"/>
    </row>
    <row r="436" spans="1:40" x14ac:dyDescent="0.25">
      <c r="A436" s="202"/>
      <c r="C436" s="154"/>
      <c r="F436" s="200"/>
      <c r="R436" s="200"/>
      <c r="T436" s="154"/>
      <c r="V436" s="200"/>
      <c r="AG436" s="209"/>
      <c r="AH436" s="200"/>
      <c r="AK436" s="209"/>
      <c r="AL436" s="200"/>
    </row>
    <row r="437" spans="1:40" x14ac:dyDescent="0.25">
      <c r="AI437" s="200"/>
      <c r="AJ437" s="200"/>
      <c r="AK437" s="209"/>
      <c r="AL437" s="200"/>
      <c r="AM437" s="210"/>
      <c r="AN437" s="210"/>
    </row>
    <row r="438" spans="1:40" x14ac:dyDescent="0.25">
      <c r="A438" s="202"/>
      <c r="C438" s="154"/>
      <c r="F438" s="252"/>
      <c r="H438" s="252"/>
      <c r="I438" s="252"/>
      <c r="J438" s="328"/>
      <c r="K438" s="328"/>
      <c r="L438" s="200"/>
      <c r="M438" s="200"/>
      <c r="N438" s="210"/>
      <c r="O438" s="210"/>
      <c r="P438" s="200"/>
      <c r="Q438" s="200"/>
      <c r="R438" s="200"/>
      <c r="T438" s="154"/>
      <c r="V438" s="200"/>
      <c r="Y438" s="200"/>
      <c r="Z438" s="328"/>
      <c r="AA438" s="200"/>
      <c r="AB438" s="200"/>
      <c r="AC438" s="210"/>
      <c r="AD438" s="210"/>
      <c r="AE438" s="200"/>
      <c r="AF438" s="200"/>
      <c r="AG438" s="209"/>
      <c r="AH438" s="201"/>
      <c r="AI438" s="200"/>
      <c r="AJ438" s="200"/>
      <c r="AK438" s="209"/>
      <c r="AL438" s="200"/>
      <c r="AM438" s="210"/>
      <c r="AN438" s="210"/>
    </row>
    <row r="439" spans="1:40" x14ac:dyDescent="0.25">
      <c r="F439" s="200"/>
      <c r="H439" s="200"/>
      <c r="I439" s="200"/>
      <c r="J439" s="213"/>
      <c r="K439" s="213"/>
      <c r="L439" s="200"/>
      <c r="M439" s="200"/>
      <c r="P439" s="200"/>
      <c r="Q439" s="200"/>
      <c r="R439" s="200"/>
      <c r="V439" s="200"/>
      <c r="Y439" s="200"/>
      <c r="Z439" s="213"/>
      <c r="AA439" s="200"/>
      <c r="AB439" s="200"/>
      <c r="AI439" s="200"/>
      <c r="AJ439" s="200"/>
      <c r="AK439" s="209"/>
      <c r="AL439" s="200"/>
      <c r="AM439" s="210"/>
      <c r="AN439" s="210"/>
    </row>
    <row r="440" spans="1:40" x14ac:dyDescent="0.25">
      <c r="F440" s="200"/>
      <c r="R440" s="200"/>
      <c r="V440" s="200"/>
      <c r="AK440" s="209"/>
      <c r="AL440" s="200"/>
      <c r="AM440" s="210"/>
      <c r="AN440" s="210"/>
    </row>
    <row r="441" spans="1:40" x14ac:dyDescent="0.25">
      <c r="A441" s="202"/>
      <c r="C441" s="154"/>
      <c r="F441" s="200"/>
      <c r="J441" s="215"/>
      <c r="K441" s="215"/>
      <c r="L441" s="200"/>
      <c r="M441" s="200"/>
      <c r="N441" s="210"/>
      <c r="O441" s="210"/>
      <c r="R441" s="200"/>
      <c r="T441" s="154"/>
      <c r="V441" s="200"/>
      <c r="Z441" s="215"/>
      <c r="AA441" s="200"/>
      <c r="AB441" s="200"/>
      <c r="AC441" s="210"/>
      <c r="AD441" s="210"/>
      <c r="AK441" s="209"/>
      <c r="AL441" s="200"/>
      <c r="AM441" s="210"/>
      <c r="AN441" s="210"/>
    </row>
    <row r="442" spans="1:40" x14ac:dyDescent="0.25">
      <c r="A442" s="202"/>
      <c r="C442" s="154"/>
      <c r="F442" s="200"/>
      <c r="H442" s="200"/>
      <c r="I442" s="200"/>
      <c r="J442" s="215"/>
      <c r="K442" s="215"/>
      <c r="L442" s="200"/>
      <c r="M442" s="200"/>
      <c r="N442" s="210"/>
      <c r="O442" s="210"/>
      <c r="P442" s="200"/>
      <c r="Q442" s="200"/>
      <c r="R442" s="200"/>
      <c r="T442" s="154"/>
      <c r="V442" s="200"/>
      <c r="Y442" s="200"/>
      <c r="Z442" s="215"/>
      <c r="AA442" s="200"/>
      <c r="AB442" s="200"/>
      <c r="AC442" s="210"/>
      <c r="AD442" s="210"/>
      <c r="AI442" s="200"/>
      <c r="AJ442" s="200"/>
      <c r="AK442" s="209"/>
      <c r="AL442" s="200"/>
      <c r="AM442" s="210"/>
      <c r="AN442" s="210"/>
    </row>
    <row r="443" spans="1:40" x14ac:dyDescent="0.25">
      <c r="A443" s="202"/>
      <c r="C443" s="154"/>
      <c r="T443" s="154"/>
      <c r="AM443" s="210"/>
      <c r="AN443" s="210"/>
    </row>
    <row r="444" spans="1:40" x14ac:dyDescent="0.25">
      <c r="A444" s="202"/>
      <c r="C444" s="154"/>
      <c r="T444" s="154"/>
      <c r="AM444" s="210"/>
      <c r="AN444" s="210"/>
    </row>
    <row r="445" spans="1:40" x14ac:dyDescent="0.25">
      <c r="AM445" s="210"/>
      <c r="AN445" s="210"/>
    </row>
    <row r="446" spans="1:40" x14ac:dyDescent="0.25">
      <c r="A446" s="202"/>
      <c r="C446" s="154"/>
      <c r="F446" s="252"/>
      <c r="H446" s="252"/>
      <c r="I446" s="252"/>
      <c r="J446" s="328"/>
      <c r="K446" s="328"/>
      <c r="L446" s="200"/>
      <c r="M446" s="200"/>
      <c r="N446" s="210"/>
      <c r="O446" s="210"/>
      <c r="P446" s="200"/>
      <c r="Q446" s="200"/>
      <c r="R446" s="200"/>
      <c r="T446" s="154"/>
      <c r="V446" s="200"/>
      <c r="Y446" s="200"/>
      <c r="Z446" s="328"/>
      <c r="AA446" s="200"/>
      <c r="AB446" s="200"/>
      <c r="AC446" s="210"/>
      <c r="AD446" s="210"/>
      <c r="AE446" s="200"/>
      <c r="AF446" s="200"/>
      <c r="AG446" s="209"/>
      <c r="AH446" s="201"/>
      <c r="AI446" s="200"/>
      <c r="AJ446" s="200"/>
      <c r="AK446" s="209"/>
      <c r="AL446" s="200"/>
      <c r="AM446" s="210"/>
      <c r="AN446" s="210"/>
    </row>
    <row r="447" spans="1:40" x14ac:dyDescent="0.25">
      <c r="F447" s="211"/>
      <c r="H447" s="211"/>
      <c r="I447" s="211"/>
      <c r="J447" s="305"/>
      <c r="K447" s="305"/>
      <c r="L447" s="211"/>
      <c r="M447" s="211"/>
      <c r="N447" s="211"/>
      <c r="O447" s="211"/>
      <c r="P447" s="211"/>
      <c r="Q447" s="211"/>
      <c r="R447" s="211"/>
      <c r="V447" s="211"/>
      <c r="Y447" s="211"/>
      <c r="Z447" s="305"/>
      <c r="AA447" s="211"/>
      <c r="AB447" s="211"/>
      <c r="AC447" s="211"/>
      <c r="AD447" s="211"/>
      <c r="AE447" s="211"/>
      <c r="AF447" s="211"/>
      <c r="AI447" s="211"/>
      <c r="AJ447" s="211"/>
      <c r="AK447" s="212"/>
      <c r="AL447" s="211"/>
      <c r="AM447" s="210"/>
      <c r="AN447" s="210"/>
    </row>
    <row r="448" spans="1:40" x14ac:dyDescent="0.25">
      <c r="H448" s="200"/>
      <c r="I448" s="200"/>
      <c r="Y448" s="200"/>
      <c r="AM448" s="210"/>
      <c r="AN448" s="210"/>
    </row>
    <row r="449" spans="1:40" x14ac:dyDescent="0.25">
      <c r="A449" s="202"/>
      <c r="C449" s="154"/>
      <c r="F449" s="200"/>
      <c r="H449" s="200"/>
      <c r="I449" s="200"/>
      <c r="L449" s="200"/>
      <c r="M449" s="200"/>
      <c r="N449" s="210"/>
      <c r="O449" s="210"/>
      <c r="P449" s="252"/>
      <c r="Q449" s="252"/>
      <c r="R449" s="200"/>
      <c r="T449" s="154"/>
      <c r="V449" s="200"/>
      <c r="Y449" s="200"/>
      <c r="AA449" s="200"/>
      <c r="AB449" s="200"/>
      <c r="AC449" s="210"/>
      <c r="AD449" s="210"/>
      <c r="AE449" s="200"/>
      <c r="AF449" s="200"/>
      <c r="AG449" s="209"/>
      <c r="AH449" s="201"/>
      <c r="AI449" s="252"/>
      <c r="AJ449" s="252"/>
      <c r="AK449" s="209"/>
      <c r="AL449" s="200"/>
      <c r="AM449" s="210"/>
      <c r="AN449" s="210"/>
    </row>
    <row r="450" spans="1:40" x14ac:dyDescent="0.25">
      <c r="H450" s="211"/>
      <c r="I450" s="211"/>
      <c r="J450" s="305"/>
      <c r="K450" s="305"/>
      <c r="L450" s="211"/>
      <c r="M450" s="211"/>
      <c r="N450" s="211"/>
      <c r="O450" s="211"/>
      <c r="P450" s="211"/>
      <c r="Q450" s="211"/>
      <c r="R450" s="211"/>
      <c r="V450" s="211"/>
      <c r="Y450" s="211"/>
      <c r="Z450" s="305"/>
      <c r="AA450" s="211"/>
      <c r="AB450" s="211"/>
      <c r="AC450" s="211"/>
      <c r="AD450" s="211"/>
      <c r="AE450" s="211"/>
      <c r="AF450" s="211"/>
      <c r="AI450" s="211"/>
      <c r="AJ450" s="211"/>
      <c r="AK450" s="212"/>
      <c r="AL450" s="211"/>
      <c r="AM450" s="210"/>
      <c r="AN450" s="210"/>
    </row>
    <row r="451" spans="1:40" x14ac:dyDescent="0.25">
      <c r="F451" s="211"/>
    </row>
    <row r="452" spans="1:40" x14ac:dyDescent="0.25">
      <c r="F452" s="200"/>
      <c r="H452" s="200"/>
      <c r="I452" s="200"/>
      <c r="J452" s="213"/>
      <c r="K452" s="213"/>
      <c r="L452" s="200"/>
      <c r="M452" s="200"/>
      <c r="N452" s="200"/>
      <c r="O452" s="200"/>
      <c r="P452" s="200"/>
      <c r="Q452" s="200"/>
      <c r="R452" s="200"/>
      <c r="V452" s="200"/>
      <c r="Y452" s="200"/>
      <c r="Z452" s="213"/>
      <c r="AA452" s="200"/>
      <c r="AB452" s="200"/>
      <c r="AC452" s="200"/>
      <c r="AD452" s="200"/>
      <c r="AE452" s="200"/>
      <c r="AF452" s="200"/>
      <c r="AG452" s="209"/>
      <c r="AH452" s="200"/>
      <c r="AI452" s="200"/>
      <c r="AJ452" s="200"/>
      <c r="AK452" s="209"/>
      <c r="AL452" s="200"/>
    </row>
    <row r="453" spans="1:40" x14ac:dyDescent="0.25">
      <c r="A453" s="154"/>
    </row>
    <row r="454" spans="1:40" x14ac:dyDescent="0.25">
      <c r="J454" s="202"/>
      <c r="K454" s="202"/>
      <c r="Z454" s="202"/>
    </row>
    <row r="455" spans="1:40" x14ac:dyDescent="0.25">
      <c r="H455" s="154"/>
      <c r="I455" s="154"/>
      <c r="Y455" s="154"/>
    </row>
    <row r="456" spans="1:40" x14ac:dyDescent="0.25">
      <c r="J456" s="202"/>
      <c r="K456" s="202"/>
      <c r="Z456" s="202"/>
    </row>
    <row r="457" spans="1:40" x14ac:dyDescent="0.25">
      <c r="L457" s="154"/>
      <c r="M457" s="154"/>
      <c r="AA457" s="154"/>
      <c r="AB457" s="154"/>
    </row>
    <row r="458" spans="1:40" x14ac:dyDescent="0.25">
      <c r="A458" s="202"/>
      <c r="R458" s="154"/>
      <c r="AK458" s="297"/>
      <c r="AL458" s="154"/>
    </row>
    <row r="459" spans="1:40" x14ac:dyDescent="0.25">
      <c r="A459" s="202"/>
      <c r="R459" s="154"/>
      <c r="AK459" s="297"/>
      <c r="AL459" s="154"/>
    </row>
    <row r="460" spans="1:40" x14ac:dyDescent="0.25">
      <c r="A460" s="154"/>
      <c r="R460" s="154"/>
      <c r="AK460" s="297"/>
      <c r="AL460" s="154"/>
    </row>
    <row r="461" spans="1:40" x14ac:dyDescent="0.25">
      <c r="L461" s="154"/>
      <c r="M461" s="154"/>
      <c r="R461" s="202"/>
      <c r="AA461" s="154"/>
      <c r="AB461" s="154"/>
      <c r="AK461" s="209"/>
      <c r="AL461" s="202"/>
    </row>
    <row r="462" spans="1:40" x14ac:dyDescent="0.2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208"/>
      <c r="AH462" s="102"/>
      <c r="AI462" s="102"/>
      <c r="AJ462" s="102"/>
      <c r="AK462" s="208"/>
      <c r="AL462" s="102"/>
      <c r="AM462" s="102"/>
      <c r="AN462" s="102"/>
    </row>
    <row r="463" spans="1:40" x14ac:dyDescent="0.25">
      <c r="L463" s="103"/>
      <c r="M463" s="103"/>
      <c r="N463" s="103"/>
      <c r="O463" s="103"/>
      <c r="R463" s="103"/>
      <c r="AA463" s="103"/>
      <c r="AB463" s="103"/>
      <c r="AC463" s="103"/>
      <c r="AD463" s="103"/>
      <c r="AE463" s="103"/>
      <c r="AF463" s="103"/>
      <c r="AG463" s="185"/>
      <c r="AH463" s="103"/>
      <c r="AK463" s="185"/>
      <c r="AL463" s="103"/>
      <c r="AM463" s="103"/>
      <c r="AN463" s="103"/>
    </row>
    <row r="464" spans="1:40" x14ac:dyDescent="0.25">
      <c r="L464" s="103"/>
      <c r="M464" s="103"/>
      <c r="N464" s="103"/>
      <c r="O464" s="103"/>
      <c r="R464" s="103"/>
      <c r="Z464" s="103"/>
      <c r="AA464" s="103"/>
      <c r="AB464" s="103"/>
      <c r="AC464" s="103"/>
      <c r="AD464" s="103"/>
      <c r="AE464" s="103"/>
      <c r="AF464" s="103"/>
      <c r="AG464" s="185"/>
      <c r="AH464" s="103"/>
      <c r="AK464" s="185"/>
      <c r="AL464" s="103"/>
      <c r="AM464" s="103"/>
      <c r="AN464" s="103"/>
    </row>
    <row r="465" spans="1:40" x14ac:dyDescent="0.25">
      <c r="A465" s="103"/>
      <c r="C465" s="103"/>
      <c r="D465" s="103"/>
      <c r="E465" s="103"/>
      <c r="F465" s="103"/>
      <c r="J465" s="103"/>
      <c r="K465" s="103"/>
      <c r="L465" s="103"/>
      <c r="M465" s="103"/>
      <c r="N465" s="103"/>
      <c r="O465" s="103"/>
      <c r="P465" s="103"/>
      <c r="Q465" s="103"/>
      <c r="R465" s="103"/>
      <c r="T465" s="103"/>
      <c r="U465" s="103"/>
      <c r="V465" s="103"/>
      <c r="Z465" s="103"/>
      <c r="AA465" s="103"/>
      <c r="AB465" s="103"/>
      <c r="AC465" s="103"/>
      <c r="AD465" s="103"/>
      <c r="AE465" s="103"/>
      <c r="AF465" s="103"/>
      <c r="AG465" s="185"/>
      <c r="AH465" s="103"/>
      <c r="AI465" s="103"/>
      <c r="AJ465" s="103"/>
      <c r="AK465" s="185"/>
      <c r="AL465" s="103"/>
      <c r="AM465" s="103"/>
      <c r="AN465" s="103"/>
    </row>
    <row r="466" spans="1:40" x14ac:dyDescent="0.25">
      <c r="A466" s="103"/>
      <c r="C466" s="103"/>
      <c r="D466" s="103"/>
      <c r="E466" s="103"/>
      <c r="F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T466" s="103"/>
      <c r="U466" s="103"/>
      <c r="V466" s="103"/>
      <c r="Y466" s="103"/>
      <c r="Z466" s="103"/>
      <c r="AA466" s="103"/>
      <c r="AB466" s="103"/>
      <c r="AC466" s="103"/>
      <c r="AD466" s="103"/>
      <c r="AE466" s="103"/>
      <c r="AF466" s="103"/>
      <c r="AG466" s="185"/>
      <c r="AH466" s="103"/>
      <c r="AI466" s="103"/>
      <c r="AJ466" s="103"/>
      <c r="AK466" s="185"/>
      <c r="AL466" s="103"/>
      <c r="AM466" s="103"/>
      <c r="AN466" s="103"/>
    </row>
    <row r="467" spans="1:40" x14ac:dyDescent="0.25">
      <c r="C467" s="103"/>
      <c r="D467" s="103"/>
      <c r="E467" s="103"/>
      <c r="F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T467" s="103"/>
      <c r="U467" s="103"/>
      <c r="V467" s="103"/>
      <c r="Y467" s="103"/>
      <c r="Z467" s="103"/>
      <c r="AA467" s="103"/>
      <c r="AB467" s="103"/>
      <c r="AC467" s="103"/>
      <c r="AD467" s="103"/>
      <c r="AE467" s="103"/>
      <c r="AF467" s="103"/>
      <c r="AG467" s="185"/>
      <c r="AH467" s="103"/>
      <c r="AI467" s="103"/>
      <c r="AJ467" s="103"/>
      <c r="AK467" s="185"/>
      <c r="AL467" s="103"/>
      <c r="AM467" s="103"/>
      <c r="AN467" s="103"/>
    </row>
    <row r="468" spans="1:40" x14ac:dyDescent="0.2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208"/>
      <c r="AH468" s="102"/>
      <c r="AI468" s="102"/>
      <c r="AJ468" s="102"/>
      <c r="AK468" s="208"/>
      <c r="AL468" s="102"/>
      <c r="AM468" s="102"/>
      <c r="AN468" s="102"/>
    </row>
    <row r="469" spans="1:40" x14ac:dyDescent="0.25"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Y469" s="103"/>
      <c r="Z469" s="103"/>
      <c r="AA469" s="103"/>
      <c r="AB469" s="103"/>
      <c r="AC469" s="103"/>
      <c r="AD469" s="103"/>
      <c r="AE469" s="103"/>
      <c r="AF469" s="103"/>
      <c r="AG469" s="185"/>
      <c r="AH469" s="103"/>
      <c r="AI469" s="103"/>
      <c r="AJ469" s="103"/>
      <c r="AK469" s="185"/>
      <c r="AL469" s="103"/>
      <c r="AM469" s="103"/>
      <c r="AN469" s="103"/>
    </row>
    <row r="470" spans="1:40" x14ac:dyDescent="0.25">
      <c r="A470" s="202"/>
      <c r="C470" s="154"/>
      <c r="D470" s="154"/>
      <c r="E470" s="154"/>
      <c r="T470" s="154"/>
      <c r="U470" s="154"/>
      <c r="V470" s="200"/>
      <c r="W470" s="200"/>
      <c r="X470" s="200"/>
      <c r="Y470" s="200"/>
      <c r="Z470" s="328"/>
    </row>
    <row r="472" spans="1:40" x14ac:dyDescent="0.25">
      <c r="A472" s="202"/>
      <c r="C472" s="154"/>
      <c r="T472" s="154"/>
      <c r="V472" s="200"/>
      <c r="W472" s="200"/>
      <c r="X472" s="200"/>
      <c r="Y472" s="200"/>
      <c r="Z472" s="328"/>
    </row>
    <row r="473" spans="1:40" x14ac:dyDescent="0.25">
      <c r="A473" s="202"/>
      <c r="C473" s="154"/>
      <c r="F473" s="252"/>
      <c r="H473" s="252"/>
      <c r="I473" s="252"/>
      <c r="J473" s="329"/>
      <c r="K473" s="329"/>
      <c r="L473" s="200"/>
      <c r="M473" s="200"/>
      <c r="N473" s="210"/>
      <c r="O473" s="210"/>
      <c r="P473" s="200"/>
      <c r="Q473" s="200"/>
      <c r="R473" s="200"/>
      <c r="T473" s="154"/>
      <c r="V473" s="200"/>
      <c r="W473" s="200"/>
      <c r="X473" s="200"/>
      <c r="Y473" s="200"/>
      <c r="Z473" s="329"/>
      <c r="AA473" s="200"/>
      <c r="AB473" s="200"/>
      <c r="AC473" s="210"/>
      <c r="AD473" s="210"/>
      <c r="AE473" s="200"/>
      <c r="AF473" s="200"/>
      <c r="AG473" s="209"/>
      <c r="AH473" s="201"/>
      <c r="AI473" s="200"/>
      <c r="AJ473" s="200"/>
      <c r="AK473" s="209"/>
      <c r="AL473" s="200"/>
      <c r="AM473" s="210"/>
      <c r="AN473" s="210"/>
    </row>
    <row r="474" spans="1:40" x14ac:dyDescent="0.25">
      <c r="A474" s="202"/>
      <c r="C474" s="154"/>
      <c r="F474" s="252"/>
      <c r="H474" s="252"/>
      <c r="I474" s="252"/>
      <c r="J474" s="329"/>
      <c r="K474" s="329"/>
      <c r="L474" s="200"/>
      <c r="M474" s="200"/>
      <c r="N474" s="210"/>
      <c r="O474" s="210"/>
      <c r="P474" s="200"/>
      <c r="Q474" s="200"/>
      <c r="R474" s="200"/>
      <c r="T474" s="154"/>
      <c r="V474" s="200"/>
      <c r="W474" s="200"/>
      <c r="X474" s="200"/>
      <c r="Y474" s="200"/>
      <c r="Z474" s="329"/>
      <c r="AA474" s="200"/>
      <c r="AB474" s="200"/>
      <c r="AC474" s="210"/>
      <c r="AD474" s="210"/>
      <c r="AE474" s="200"/>
      <c r="AF474" s="200"/>
      <c r="AG474" s="209"/>
      <c r="AH474" s="201"/>
      <c r="AI474" s="200"/>
      <c r="AJ474" s="200"/>
      <c r="AK474" s="209"/>
      <c r="AL474" s="200"/>
      <c r="AM474" s="210"/>
      <c r="AN474" s="210"/>
    </row>
    <row r="475" spans="1:40" x14ac:dyDescent="0.25">
      <c r="A475" s="202"/>
      <c r="C475" s="154"/>
      <c r="F475" s="252"/>
      <c r="H475" s="252"/>
      <c r="I475" s="252"/>
      <c r="J475" s="329"/>
      <c r="K475" s="329"/>
      <c r="L475" s="200"/>
      <c r="M475" s="200"/>
      <c r="N475" s="210"/>
      <c r="O475" s="210"/>
      <c r="P475" s="200"/>
      <c r="Q475" s="200"/>
      <c r="R475" s="200"/>
      <c r="T475" s="154"/>
      <c r="V475" s="200"/>
      <c r="W475" s="200"/>
      <c r="X475" s="200"/>
      <c r="Y475" s="200"/>
      <c r="Z475" s="329"/>
      <c r="AA475" s="200"/>
      <c r="AB475" s="200"/>
      <c r="AC475" s="210"/>
      <c r="AD475" s="210"/>
      <c r="AE475" s="200"/>
      <c r="AF475" s="200"/>
      <c r="AG475" s="209"/>
      <c r="AH475" s="201"/>
      <c r="AI475" s="200"/>
      <c r="AJ475" s="200"/>
      <c r="AK475" s="209"/>
      <c r="AL475" s="200"/>
      <c r="AM475" s="210"/>
      <c r="AN475" s="210"/>
    </row>
    <row r="476" spans="1:40" x14ac:dyDescent="0.25">
      <c r="A476" s="202"/>
      <c r="C476" s="154"/>
      <c r="F476" s="252"/>
      <c r="H476" s="252"/>
      <c r="I476" s="252"/>
      <c r="J476" s="329"/>
      <c r="K476" s="329"/>
      <c r="L476" s="200"/>
      <c r="M476" s="200"/>
      <c r="N476" s="210"/>
      <c r="O476" s="210"/>
      <c r="P476" s="200"/>
      <c r="Q476" s="200"/>
      <c r="R476" s="200"/>
      <c r="T476" s="154"/>
      <c r="V476" s="200"/>
      <c r="W476" s="200"/>
      <c r="X476" s="200"/>
      <c r="Y476" s="200"/>
      <c r="Z476" s="329"/>
      <c r="AA476" s="200"/>
      <c r="AB476" s="200"/>
      <c r="AC476" s="210"/>
      <c r="AD476" s="210"/>
      <c r="AE476" s="200"/>
      <c r="AF476" s="200"/>
      <c r="AG476" s="209"/>
      <c r="AH476" s="201"/>
      <c r="AI476" s="200"/>
      <c r="AJ476" s="200"/>
      <c r="AK476" s="209"/>
      <c r="AL476" s="200"/>
      <c r="AM476" s="210"/>
      <c r="AN476" s="210"/>
    </row>
    <row r="477" spans="1:40" x14ac:dyDescent="0.25">
      <c r="J477" s="334"/>
      <c r="K477" s="334"/>
      <c r="V477" s="200"/>
      <c r="W477" s="200"/>
      <c r="X477" s="200"/>
      <c r="Y477" s="200"/>
      <c r="Z477" s="329"/>
    </row>
    <row r="478" spans="1:40" x14ac:dyDescent="0.25">
      <c r="A478" s="202"/>
      <c r="C478" s="154"/>
      <c r="F478" s="252"/>
      <c r="H478" s="252"/>
      <c r="I478" s="252"/>
      <c r="J478" s="329"/>
      <c r="K478" s="329"/>
      <c r="L478" s="200"/>
      <c r="M478" s="200"/>
      <c r="N478" s="210"/>
      <c r="O478" s="210"/>
      <c r="P478" s="200"/>
      <c r="Q478" s="200"/>
      <c r="R478" s="200"/>
      <c r="T478" s="154"/>
      <c r="V478" s="200"/>
      <c r="W478" s="200"/>
      <c r="X478" s="200"/>
      <c r="Y478" s="200"/>
      <c r="Z478" s="329"/>
      <c r="AA478" s="200"/>
      <c r="AB478" s="200"/>
      <c r="AC478" s="210"/>
      <c r="AD478" s="210"/>
      <c r="AE478" s="200"/>
      <c r="AF478" s="200"/>
      <c r="AG478" s="209"/>
      <c r="AH478" s="201"/>
      <c r="AI478" s="200"/>
      <c r="AJ478" s="200"/>
      <c r="AK478" s="209"/>
      <c r="AL478" s="200"/>
      <c r="AM478" s="201"/>
      <c r="AN478" s="201"/>
    </row>
    <row r="479" spans="1:40" x14ac:dyDescent="0.25">
      <c r="A479" s="202"/>
      <c r="C479" s="154"/>
      <c r="J479" s="334"/>
      <c r="K479" s="334"/>
      <c r="T479" s="154"/>
      <c r="V479" s="200"/>
      <c r="W479" s="200"/>
      <c r="X479" s="200"/>
      <c r="Y479" s="200"/>
      <c r="Z479" s="329"/>
    </row>
    <row r="480" spans="1:40" x14ac:dyDescent="0.25">
      <c r="A480" s="202"/>
      <c r="C480" s="154"/>
      <c r="F480" s="252"/>
      <c r="H480" s="252"/>
      <c r="I480" s="252"/>
      <c r="J480" s="329"/>
      <c r="K480" s="329"/>
      <c r="L480" s="200"/>
      <c r="M480" s="200"/>
      <c r="N480" s="210"/>
      <c r="O480" s="210"/>
      <c r="P480" s="200"/>
      <c r="Q480" s="200"/>
      <c r="R480" s="200"/>
      <c r="T480" s="154"/>
      <c r="V480" s="200"/>
      <c r="W480" s="200"/>
      <c r="X480" s="200"/>
      <c r="Y480" s="200"/>
      <c r="Z480" s="329"/>
      <c r="AA480" s="200"/>
      <c r="AB480" s="200"/>
      <c r="AC480" s="210"/>
      <c r="AD480" s="210"/>
      <c r="AE480" s="200"/>
      <c r="AF480" s="200"/>
      <c r="AG480" s="209"/>
      <c r="AH480" s="201"/>
      <c r="AI480" s="200"/>
      <c r="AJ480" s="200"/>
      <c r="AK480" s="209"/>
      <c r="AL480" s="200"/>
      <c r="AM480" s="201"/>
      <c r="AN480" s="201"/>
    </row>
    <row r="481" spans="1:40" x14ac:dyDescent="0.25">
      <c r="J481" s="334"/>
      <c r="K481" s="334"/>
      <c r="Z481" s="334"/>
    </row>
    <row r="482" spans="1:40" x14ac:dyDescent="0.25">
      <c r="A482" s="202"/>
      <c r="C482" s="154"/>
      <c r="J482" s="334"/>
      <c r="K482" s="334"/>
      <c r="T482" s="154"/>
      <c r="V482" s="200"/>
      <c r="W482" s="200"/>
      <c r="X482" s="200"/>
      <c r="Y482" s="200"/>
      <c r="Z482" s="329"/>
    </row>
    <row r="483" spans="1:40" x14ac:dyDescent="0.25">
      <c r="A483" s="202"/>
      <c r="C483" s="154"/>
      <c r="F483" s="252"/>
      <c r="H483" s="252"/>
      <c r="I483" s="252"/>
      <c r="J483" s="329"/>
      <c r="K483" s="329"/>
      <c r="L483" s="200"/>
      <c r="M483" s="200"/>
      <c r="N483" s="210"/>
      <c r="O483" s="210"/>
      <c r="P483" s="200"/>
      <c r="Q483" s="200"/>
      <c r="R483" s="200"/>
      <c r="T483" s="154"/>
      <c r="V483" s="200"/>
      <c r="W483" s="200"/>
      <c r="X483" s="200"/>
      <c r="Y483" s="200"/>
      <c r="Z483" s="329"/>
      <c r="AA483" s="200"/>
      <c r="AB483" s="200"/>
      <c r="AC483" s="210"/>
      <c r="AD483" s="210"/>
      <c r="AE483" s="200"/>
      <c r="AF483" s="200"/>
      <c r="AG483" s="209"/>
      <c r="AH483" s="201"/>
      <c r="AI483" s="200"/>
      <c r="AJ483" s="200"/>
      <c r="AK483" s="209"/>
      <c r="AL483" s="200"/>
      <c r="AM483" s="201"/>
      <c r="AN483" s="201"/>
    </row>
    <row r="484" spans="1:40" x14ac:dyDescent="0.25">
      <c r="A484" s="202"/>
      <c r="C484" s="154"/>
      <c r="F484" s="252"/>
      <c r="H484" s="252"/>
      <c r="I484" s="252"/>
      <c r="J484" s="329"/>
      <c r="K484" s="329"/>
      <c r="L484" s="200"/>
      <c r="M484" s="200"/>
      <c r="N484" s="210"/>
      <c r="O484" s="210"/>
      <c r="P484" s="200"/>
      <c r="Q484" s="200"/>
      <c r="R484" s="200"/>
      <c r="T484" s="154"/>
      <c r="V484" s="200"/>
      <c r="W484" s="200"/>
      <c r="X484" s="200"/>
      <c r="Y484" s="200"/>
      <c r="Z484" s="329"/>
      <c r="AA484" s="200"/>
      <c r="AB484" s="200"/>
      <c r="AC484" s="210"/>
      <c r="AD484" s="210"/>
      <c r="AE484" s="200"/>
      <c r="AF484" s="200"/>
      <c r="AG484" s="209"/>
      <c r="AH484" s="201"/>
      <c r="AI484" s="200"/>
      <c r="AJ484" s="200"/>
      <c r="AK484" s="209"/>
      <c r="AL484" s="200"/>
      <c r="AM484" s="201"/>
      <c r="AN484" s="201"/>
    </row>
    <row r="485" spans="1:40" x14ac:dyDescent="0.25">
      <c r="F485" s="211"/>
      <c r="H485" s="211"/>
      <c r="I485" s="211"/>
      <c r="J485" s="329"/>
      <c r="K485" s="329"/>
      <c r="L485" s="211"/>
      <c r="M485" s="211"/>
      <c r="N485" s="211"/>
      <c r="O485" s="211"/>
      <c r="P485" s="211"/>
      <c r="Q485" s="211"/>
      <c r="R485" s="211"/>
      <c r="V485" s="211"/>
      <c r="Y485" s="211"/>
      <c r="Z485" s="305"/>
      <c r="AA485" s="211"/>
      <c r="AB485" s="211"/>
      <c r="AC485" s="211"/>
      <c r="AD485" s="211"/>
      <c r="AE485" s="211"/>
      <c r="AF485" s="211"/>
      <c r="AI485" s="211"/>
      <c r="AJ485" s="211"/>
      <c r="AK485" s="212"/>
      <c r="AL485" s="211"/>
    </row>
    <row r="486" spans="1:40" x14ac:dyDescent="0.25">
      <c r="A486" s="202"/>
      <c r="C486" s="154"/>
      <c r="F486" s="200"/>
      <c r="H486" s="200"/>
      <c r="I486" s="200"/>
      <c r="L486" s="200"/>
      <c r="M486" s="200"/>
      <c r="N486" s="210"/>
      <c r="O486" s="210"/>
      <c r="P486" s="252"/>
      <c r="Q486" s="252"/>
      <c r="R486" s="200"/>
      <c r="T486" s="154"/>
      <c r="V486" s="200"/>
      <c r="W486" s="200"/>
      <c r="X486" s="200"/>
      <c r="Y486" s="200"/>
      <c r="Z486" s="328"/>
      <c r="AA486" s="200"/>
      <c r="AB486" s="200"/>
      <c r="AC486" s="210"/>
      <c r="AD486" s="210"/>
      <c r="AE486" s="200"/>
      <c r="AF486" s="200"/>
      <c r="AG486" s="209"/>
      <c r="AH486" s="201"/>
      <c r="AI486" s="252"/>
      <c r="AJ486" s="252"/>
      <c r="AK486" s="209"/>
      <c r="AL486" s="200"/>
      <c r="AM486" s="201"/>
      <c r="AN486" s="201"/>
    </row>
    <row r="487" spans="1:40" x14ac:dyDescent="0.25">
      <c r="H487" s="211"/>
      <c r="I487" s="211"/>
      <c r="J487" s="305"/>
      <c r="K487" s="305"/>
      <c r="L487" s="211"/>
      <c r="M487" s="211"/>
      <c r="N487" s="211"/>
      <c r="O487" s="211"/>
      <c r="P487" s="211"/>
      <c r="Q487" s="211"/>
      <c r="R487" s="211"/>
      <c r="V487" s="211"/>
      <c r="Y487" s="211"/>
      <c r="Z487" s="305"/>
      <c r="AA487" s="211"/>
      <c r="AB487" s="211"/>
      <c r="AC487" s="211"/>
      <c r="AD487" s="211"/>
      <c r="AE487" s="211"/>
      <c r="AF487" s="211"/>
      <c r="AI487" s="211"/>
      <c r="AJ487" s="211"/>
      <c r="AK487" s="212"/>
      <c r="AL487" s="211"/>
    </row>
    <row r="488" spans="1:40" x14ac:dyDescent="0.25">
      <c r="F488" s="211"/>
    </row>
    <row r="489" spans="1:40" x14ac:dyDescent="0.25">
      <c r="C489" s="202"/>
      <c r="T489" s="202"/>
    </row>
    <row r="490" spans="1:40" x14ac:dyDescent="0.25">
      <c r="A490" s="154"/>
    </row>
    <row r="491" spans="1:40" x14ac:dyDescent="0.25">
      <c r="J491" s="202"/>
      <c r="K491" s="202"/>
      <c r="Z491" s="202"/>
    </row>
    <row r="492" spans="1:40" x14ac:dyDescent="0.25">
      <c r="H492" s="154"/>
      <c r="I492" s="154"/>
      <c r="Y492" s="154"/>
    </row>
    <row r="493" spans="1:40" x14ac:dyDescent="0.25">
      <c r="J493" s="202"/>
      <c r="K493" s="202"/>
      <c r="Z493" s="202"/>
    </row>
    <row r="494" spans="1:40" x14ac:dyDescent="0.25">
      <c r="L494" s="154"/>
      <c r="M494" s="154"/>
      <c r="AA494" s="154"/>
      <c r="AB494" s="154"/>
    </row>
    <row r="495" spans="1:40" x14ac:dyDescent="0.25">
      <c r="A495" s="202"/>
      <c r="R495" s="154"/>
      <c r="AK495" s="297"/>
      <c r="AL495" s="154"/>
    </row>
    <row r="496" spans="1:40" x14ac:dyDescent="0.25">
      <c r="A496" s="202"/>
      <c r="R496" s="154"/>
      <c r="AK496" s="297"/>
      <c r="AL496" s="154"/>
    </row>
    <row r="497" spans="1:40" x14ac:dyDescent="0.25">
      <c r="A497" s="154"/>
      <c r="R497" s="154"/>
      <c r="AK497" s="297"/>
      <c r="AL497" s="154"/>
    </row>
    <row r="498" spans="1:40" x14ac:dyDescent="0.25">
      <c r="L498" s="154"/>
      <c r="M498" s="154"/>
      <c r="R498" s="202"/>
      <c r="AA498" s="154"/>
      <c r="AB498" s="154"/>
      <c r="AK498" s="209"/>
      <c r="AL498" s="202"/>
    </row>
    <row r="499" spans="1:40" x14ac:dyDescent="0.25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208"/>
      <c r="AH499" s="102"/>
      <c r="AI499" s="102"/>
      <c r="AJ499" s="102"/>
      <c r="AK499" s="208"/>
      <c r="AL499" s="102"/>
      <c r="AM499" s="102"/>
      <c r="AN499" s="102"/>
    </row>
    <row r="500" spans="1:40" x14ac:dyDescent="0.25">
      <c r="L500" s="103"/>
      <c r="M500" s="103"/>
      <c r="N500" s="103"/>
      <c r="O500" s="103"/>
      <c r="R500" s="103"/>
      <c r="AA500" s="103"/>
      <c r="AB500" s="103"/>
      <c r="AC500" s="103"/>
      <c r="AD500" s="103"/>
      <c r="AE500" s="103"/>
      <c r="AF500" s="103"/>
      <c r="AG500" s="185"/>
      <c r="AH500" s="103"/>
      <c r="AK500" s="185"/>
      <c r="AL500" s="103"/>
      <c r="AM500" s="103"/>
      <c r="AN500" s="103"/>
    </row>
    <row r="501" spans="1:40" x14ac:dyDescent="0.25">
      <c r="L501" s="103"/>
      <c r="M501" s="103"/>
      <c r="N501" s="103"/>
      <c r="O501" s="103"/>
      <c r="R501" s="103"/>
      <c r="Z501" s="103"/>
      <c r="AA501" s="103"/>
      <c r="AB501" s="103"/>
      <c r="AC501" s="103"/>
      <c r="AD501" s="103"/>
      <c r="AE501" s="103"/>
      <c r="AF501" s="103"/>
      <c r="AG501" s="185"/>
      <c r="AH501" s="103"/>
      <c r="AK501" s="185"/>
      <c r="AL501" s="103"/>
      <c r="AM501" s="103"/>
      <c r="AN501" s="103"/>
    </row>
    <row r="502" spans="1:40" x14ac:dyDescent="0.25">
      <c r="A502" s="103"/>
      <c r="C502" s="103"/>
      <c r="D502" s="103"/>
      <c r="E502" s="103"/>
      <c r="F502" s="103"/>
      <c r="J502" s="103"/>
      <c r="K502" s="103"/>
      <c r="L502" s="103"/>
      <c r="M502" s="103"/>
      <c r="N502" s="103"/>
      <c r="O502" s="103"/>
      <c r="P502" s="103"/>
      <c r="Q502" s="103"/>
      <c r="R502" s="103"/>
      <c r="T502" s="103"/>
      <c r="U502" s="103"/>
      <c r="V502" s="103"/>
      <c r="Z502" s="103"/>
      <c r="AA502" s="103"/>
      <c r="AB502" s="103"/>
      <c r="AC502" s="103"/>
      <c r="AD502" s="103"/>
      <c r="AE502" s="103"/>
      <c r="AF502" s="103"/>
      <c r="AG502" s="185"/>
      <c r="AH502" s="103"/>
      <c r="AI502" s="103"/>
      <c r="AJ502" s="103"/>
      <c r="AK502" s="185"/>
      <c r="AL502" s="103"/>
      <c r="AM502" s="103"/>
      <c r="AN502" s="103"/>
    </row>
    <row r="503" spans="1:40" x14ac:dyDescent="0.25">
      <c r="A503" s="103"/>
      <c r="C503" s="103"/>
      <c r="D503" s="103"/>
      <c r="E503" s="103"/>
      <c r="F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T503" s="103"/>
      <c r="U503" s="103"/>
      <c r="V503" s="103"/>
      <c r="Y503" s="103"/>
      <c r="Z503" s="103"/>
      <c r="AA503" s="103"/>
      <c r="AB503" s="103"/>
      <c r="AC503" s="103"/>
      <c r="AD503" s="103"/>
      <c r="AE503" s="103"/>
      <c r="AF503" s="103"/>
      <c r="AG503" s="185"/>
      <c r="AH503" s="103"/>
      <c r="AI503" s="103"/>
      <c r="AJ503" s="103"/>
      <c r="AK503" s="185"/>
      <c r="AL503" s="103"/>
      <c r="AM503" s="103"/>
      <c r="AN503" s="103"/>
    </row>
    <row r="504" spans="1:40" x14ac:dyDescent="0.25">
      <c r="C504" s="103"/>
      <c r="D504" s="103"/>
      <c r="E504" s="103"/>
      <c r="F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T504" s="103"/>
      <c r="U504" s="103"/>
      <c r="V504" s="103"/>
      <c r="Y504" s="103"/>
      <c r="Z504" s="103"/>
      <c r="AA504" s="103"/>
      <c r="AB504" s="103"/>
      <c r="AC504" s="103"/>
      <c r="AD504" s="103"/>
      <c r="AE504" s="103"/>
      <c r="AF504" s="103"/>
      <c r="AG504" s="185"/>
      <c r="AH504" s="103"/>
      <c r="AI504" s="103"/>
      <c r="AJ504" s="103"/>
      <c r="AK504" s="185"/>
      <c r="AL504" s="103"/>
      <c r="AM504" s="103"/>
      <c r="AN504" s="103"/>
    </row>
    <row r="505" spans="1:40" x14ac:dyDescent="0.25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208"/>
      <c r="AH505" s="102"/>
      <c r="AI505" s="102"/>
      <c r="AJ505" s="102"/>
      <c r="AK505" s="208"/>
      <c r="AL505" s="102"/>
      <c r="AM505" s="102"/>
      <c r="AN505" s="102"/>
    </row>
    <row r="506" spans="1:40" x14ac:dyDescent="0.25"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Y506" s="103"/>
      <c r="Z506" s="103"/>
      <c r="AA506" s="103"/>
      <c r="AB506" s="103"/>
      <c r="AC506" s="103"/>
      <c r="AD506" s="103"/>
      <c r="AE506" s="103"/>
      <c r="AF506" s="103"/>
      <c r="AG506" s="185"/>
      <c r="AH506" s="103"/>
      <c r="AI506" s="103"/>
      <c r="AJ506" s="103"/>
      <c r="AK506" s="185"/>
      <c r="AL506" s="103"/>
      <c r="AM506" s="103"/>
      <c r="AN506" s="103"/>
    </row>
    <row r="507" spans="1:40" x14ac:dyDescent="0.25">
      <c r="A507" s="202"/>
      <c r="C507" s="154"/>
      <c r="D507" s="154"/>
      <c r="E507" s="154"/>
      <c r="T507" s="154"/>
      <c r="U507" s="154"/>
    </row>
    <row r="509" spans="1:40" x14ac:dyDescent="0.25">
      <c r="A509" s="202"/>
      <c r="C509" s="154"/>
      <c r="T509" s="154"/>
    </row>
    <row r="510" spans="1:40" x14ac:dyDescent="0.25">
      <c r="A510" s="202"/>
      <c r="C510" s="154"/>
      <c r="T510" s="154"/>
    </row>
    <row r="511" spans="1:40" x14ac:dyDescent="0.25">
      <c r="A511" s="202"/>
      <c r="C511" s="154"/>
      <c r="F511" s="252"/>
      <c r="H511" s="252"/>
      <c r="I511" s="252"/>
      <c r="J511" s="329"/>
      <c r="K511" s="329"/>
      <c r="L511" s="200"/>
      <c r="M511" s="200"/>
      <c r="N511" s="210"/>
      <c r="O511" s="210"/>
      <c r="P511" s="200"/>
      <c r="Q511" s="200"/>
      <c r="R511" s="200"/>
      <c r="T511" s="154"/>
      <c r="V511" s="200"/>
      <c r="W511" s="200"/>
      <c r="X511" s="200"/>
      <c r="Y511" s="200"/>
      <c r="Z511" s="329"/>
      <c r="AA511" s="200"/>
      <c r="AB511" s="200"/>
      <c r="AC511" s="210"/>
      <c r="AD511" s="210"/>
      <c r="AE511" s="200"/>
      <c r="AF511" s="200"/>
      <c r="AG511" s="209"/>
      <c r="AH511" s="201"/>
      <c r="AI511" s="200"/>
      <c r="AJ511" s="200"/>
      <c r="AK511" s="209"/>
      <c r="AL511" s="200"/>
      <c r="AM511" s="201"/>
      <c r="AN511" s="201"/>
    </row>
    <row r="512" spans="1:40" x14ac:dyDescent="0.25">
      <c r="A512" s="202"/>
      <c r="C512" s="154"/>
      <c r="F512" s="200"/>
      <c r="H512" s="200"/>
      <c r="I512" s="200"/>
      <c r="J512" s="334"/>
      <c r="K512" s="334"/>
      <c r="L512" s="200"/>
      <c r="M512" s="200"/>
      <c r="N512" s="210"/>
      <c r="O512" s="210"/>
      <c r="P512" s="200"/>
      <c r="Q512" s="200"/>
      <c r="R512" s="200"/>
      <c r="T512" s="154"/>
      <c r="V512" s="200"/>
      <c r="W512" s="200"/>
      <c r="X512" s="200"/>
      <c r="Y512" s="200"/>
      <c r="Z512" s="334"/>
      <c r="AA512" s="200"/>
      <c r="AB512" s="200"/>
      <c r="AC512" s="210"/>
      <c r="AD512" s="210"/>
      <c r="AE512" s="200"/>
      <c r="AF512" s="200"/>
      <c r="AG512" s="209"/>
      <c r="AH512" s="201"/>
      <c r="AI512" s="200"/>
      <c r="AJ512" s="200"/>
      <c r="AK512" s="209"/>
      <c r="AL512" s="200"/>
      <c r="AM512" s="201"/>
      <c r="AN512" s="201"/>
    </row>
    <row r="513" spans="1:40" x14ac:dyDescent="0.25">
      <c r="A513" s="202"/>
      <c r="C513" s="154"/>
      <c r="F513" s="200"/>
      <c r="H513" s="200"/>
      <c r="I513" s="200"/>
      <c r="J513" s="334"/>
      <c r="K513" s="334"/>
      <c r="L513" s="200"/>
      <c r="M513" s="200"/>
      <c r="N513" s="210"/>
      <c r="O513" s="210"/>
      <c r="P513" s="200"/>
      <c r="Q513" s="200"/>
      <c r="R513" s="200"/>
      <c r="T513" s="154"/>
      <c r="V513" s="200"/>
      <c r="W513" s="200"/>
      <c r="X513" s="200"/>
      <c r="Y513" s="200"/>
      <c r="Z513" s="334"/>
      <c r="AA513" s="200"/>
      <c r="AB513" s="200"/>
      <c r="AC513" s="210"/>
      <c r="AD513" s="210"/>
      <c r="AE513" s="200"/>
      <c r="AF513" s="200"/>
      <c r="AG513" s="209"/>
      <c r="AH513" s="201"/>
      <c r="AI513" s="200"/>
      <c r="AJ513" s="200"/>
      <c r="AK513" s="209"/>
      <c r="AL513" s="200"/>
      <c r="AM513" s="201"/>
      <c r="AN513" s="201"/>
    </row>
    <row r="514" spans="1:40" x14ac:dyDescent="0.25">
      <c r="A514" s="202"/>
      <c r="C514" s="154"/>
      <c r="F514" s="200"/>
      <c r="H514" s="200"/>
      <c r="I514" s="200"/>
      <c r="J514" s="334"/>
      <c r="K514" s="334"/>
      <c r="T514" s="154"/>
      <c r="V514" s="200"/>
      <c r="Z514" s="334"/>
    </row>
    <row r="515" spans="1:40" x14ac:dyDescent="0.25">
      <c r="A515" s="202"/>
      <c r="C515" s="154"/>
      <c r="F515" s="252"/>
      <c r="H515" s="252"/>
      <c r="I515" s="252"/>
      <c r="J515" s="329"/>
      <c r="K515" s="329"/>
      <c r="L515" s="200"/>
      <c r="M515" s="200"/>
      <c r="N515" s="210"/>
      <c r="O515" s="210"/>
      <c r="P515" s="200"/>
      <c r="Q515" s="200"/>
      <c r="R515" s="200"/>
      <c r="T515" s="154"/>
      <c r="V515" s="200"/>
      <c r="W515" s="200"/>
      <c r="X515" s="200"/>
      <c r="Y515" s="200"/>
      <c r="Z515" s="329"/>
      <c r="AA515" s="200"/>
      <c r="AB515" s="200"/>
      <c r="AC515" s="210"/>
      <c r="AD515" s="210"/>
      <c r="AE515" s="200"/>
      <c r="AF515" s="200"/>
      <c r="AG515" s="209"/>
      <c r="AH515" s="201"/>
      <c r="AI515" s="200"/>
      <c r="AJ515" s="200"/>
      <c r="AK515" s="209"/>
      <c r="AL515" s="200"/>
      <c r="AM515" s="201"/>
      <c r="AN515" s="201"/>
    </row>
    <row r="516" spans="1:40" x14ac:dyDescent="0.25">
      <c r="A516" s="202"/>
      <c r="C516" s="154"/>
      <c r="F516" s="200"/>
      <c r="H516" s="200"/>
      <c r="I516" s="200"/>
      <c r="J516" s="334"/>
      <c r="K516" s="334"/>
      <c r="T516" s="154"/>
      <c r="V516" s="200"/>
      <c r="W516" s="200"/>
      <c r="X516" s="200"/>
      <c r="Y516" s="200"/>
      <c r="Z516" s="334"/>
      <c r="AC516" s="210"/>
      <c r="AD516" s="210"/>
      <c r="AE516" s="200"/>
      <c r="AF516" s="200"/>
      <c r="AG516" s="209"/>
      <c r="AH516" s="201"/>
      <c r="AI516" s="200"/>
      <c r="AJ516" s="200"/>
      <c r="AK516" s="209"/>
      <c r="AL516" s="200"/>
      <c r="AM516" s="201"/>
      <c r="AN516" s="201"/>
    </row>
    <row r="517" spans="1:40" x14ac:dyDescent="0.25">
      <c r="A517" s="202"/>
      <c r="C517" s="154"/>
      <c r="F517" s="252"/>
      <c r="H517" s="252"/>
      <c r="I517" s="252"/>
      <c r="J517" s="329"/>
      <c r="K517" s="329"/>
      <c r="L517" s="200"/>
      <c r="M517" s="200"/>
      <c r="N517" s="210"/>
      <c r="O517" s="210"/>
      <c r="P517" s="200"/>
      <c r="Q517" s="200"/>
      <c r="R517" s="200"/>
      <c r="T517" s="154"/>
      <c r="V517" s="200"/>
      <c r="W517" s="200"/>
      <c r="X517" s="200"/>
      <c r="Y517" s="200"/>
      <c r="Z517" s="329"/>
      <c r="AA517" s="200"/>
      <c r="AB517" s="200"/>
      <c r="AC517" s="210"/>
      <c r="AD517" s="210"/>
      <c r="AE517" s="200"/>
      <c r="AF517" s="200"/>
      <c r="AG517" s="209"/>
      <c r="AH517" s="201"/>
      <c r="AI517" s="200"/>
      <c r="AJ517" s="200"/>
      <c r="AK517" s="209"/>
      <c r="AL517" s="200"/>
      <c r="AM517" s="201"/>
      <c r="AN517" s="201"/>
    </row>
    <row r="518" spans="1:40" x14ac:dyDescent="0.25">
      <c r="A518" s="202"/>
      <c r="C518" s="154"/>
      <c r="F518" s="200"/>
      <c r="H518" s="200"/>
      <c r="I518" s="200"/>
      <c r="J518" s="334"/>
      <c r="K518" s="334"/>
      <c r="L518" s="200"/>
      <c r="M518" s="200"/>
      <c r="N518" s="210"/>
      <c r="O518" s="210"/>
      <c r="P518" s="200"/>
      <c r="Q518" s="200"/>
      <c r="R518" s="200"/>
      <c r="T518" s="154"/>
      <c r="V518" s="200"/>
      <c r="W518" s="200"/>
      <c r="X518" s="200"/>
      <c r="Y518" s="200"/>
      <c r="Z518" s="334"/>
      <c r="AA518" s="200"/>
      <c r="AB518" s="200"/>
      <c r="AC518" s="210"/>
      <c r="AD518" s="210"/>
      <c r="AE518" s="200"/>
      <c r="AF518" s="200"/>
      <c r="AG518" s="209"/>
      <c r="AH518" s="201"/>
      <c r="AI518" s="200"/>
      <c r="AJ518" s="200"/>
      <c r="AK518" s="209"/>
      <c r="AL518" s="200"/>
      <c r="AM518" s="201"/>
      <c r="AN518" s="201"/>
    </row>
    <row r="519" spans="1:40" x14ac:dyDescent="0.25">
      <c r="F519" s="200"/>
      <c r="H519" s="200"/>
      <c r="I519" s="200"/>
      <c r="J519" s="334"/>
      <c r="K519" s="334"/>
      <c r="Z519" s="334"/>
    </row>
    <row r="520" spans="1:40" x14ac:dyDescent="0.25">
      <c r="A520" s="202"/>
      <c r="C520" s="154"/>
      <c r="F520" s="200"/>
      <c r="H520" s="252"/>
      <c r="I520" s="252"/>
      <c r="J520" s="329"/>
      <c r="K520" s="329"/>
      <c r="L520" s="200"/>
      <c r="M520" s="200"/>
      <c r="N520" s="210"/>
      <c r="O520" s="210"/>
      <c r="P520" s="200"/>
      <c r="Q520" s="200"/>
      <c r="R520" s="200"/>
      <c r="T520" s="154"/>
      <c r="V520" s="200"/>
      <c r="W520" s="200"/>
      <c r="X520" s="200"/>
      <c r="Y520" s="200"/>
      <c r="Z520" s="329"/>
      <c r="AA520" s="200"/>
      <c r="AB520" s="200"/>
      <c r="AC520" s="210"/>
      <c r="AD520" s="210"/>
      <c r="AE520" s="200"/>
      <c r="AF520" s="200"/>
      <c r="AG520" s="209"/>
      <c r="AH520" s="201"/>
      <c r="AI520" s="200"/>
      <c r="AJ520" s="200"/>
      <c r="AK520" s="209"/>
      <c r="AL520" s="200"/>
      <c r="AM520" s="201"/>
      <c r="AN520" s="201"/>
    </row>
    <row r="521" spans="1:40" x14ac:dyDescent="0.25">
      <c r="F521" s="211"/>
      <c r="H521" s="211"/>
      <c r="I521" s="211"/>
      <c r="J521" s="329"/>
      <c r="K521" s="329"/>
      <c r="L521" s="211"/>
      <c r="M521" s="211"/>
      <c r="N521" s="211"/>
      <c r="O521" s="211"/>
      <c r="P521" s="211"/>
      <c r="Q521" s="211"/>
      <c r="R521" s="211"/>
      <c r="V521" s="211"/>
      <c r="Y521" s="211"/>
      <c r="Z521" s="329"/>
      <c r="AA521" s="211"/>
      <c r="AB521" s="211"/>
      <c r="AC521" s="211"/>
      <c r="AD521" s="211"/>
      <c r="AE521" s="211"/>
      <c r="AF521" s="211"/>
      <c r="AI521" s="211"/>
      <c r="AJ521" s="211"/>
      <c r="AK521" s="212"/>
      <c r="AL521" s="211"/>
    </row>
    <row r="522" spans="1:40" x14ac:dyDescent="0.25">
      <c r="A522" s="202"/>
      <c r="C522" s="154"/>
      <c r="F522" s="200"/>
      <c r="H522" s="200"/>
      <c r="I522" s="200"/>
      <c r="J522" s="334"/>
      <c r="K522" s="334"/>
      <c r="L522" s="200"/>
      <c r="M522" s="200"/>
      <c r="N522" s="202"/>
      <c r="O522" s="202"/>
      <c r="P522" s="200"/>
      <c r="Q522" s="200"/>
      <c r="R522" s="200"/>
      <c r="T522" s="154"/>
      <c r="V522" s="200"/>
      <c r="Y522" s="200"/>
      <c r="Z522" s="334"/>
      <c r="AA522" s="200"/>
      <c r="AB522" s="200"/>
      <c r="AC522" s="201"/>
      <c r="AD522" s="201"/>
      <c r="AE522" s="200"/>
      <c r="AF522" s="200"/>
      <c r="AG522" s="209"/>
      <c r="AH522" s="201"/>
      <c r="AI522" s="200"/>
      <c r="AJ522" s="200"/>
      <c r="AK522" s="209"/>
      <c r="AL522" s="200"/>
      <c r="AM522" s="201"/>
      <c r="AN522" s="201"/>
    </row>
    <row r="523" spans="1:40" x14ac:dyDescent="0.25">
      <c r="F523" s="211"/>
      <c r="H523" s="211"/>
      <c r="I523" s="211"/>
      <c r="J523" s="329"/>
      <c r="K523" s="329"/>
      <c r="L523" s="211"/>
      <c r="M523" s="211"/>
      <c r="N523" s="211"/>
      <c r="O523" s="211"/>
      <c r="P523" s="211"/>
      <c r="Q523" s="211"/>
      <c r="R523" s="211"/>
      <c r="V523" s="211"/>
      <c r="Y523" s="211"/>
      <c r="Z523" s="329"/>
      <c r="AA523" s="211"/>
      <c r="AB523" s="211"/>
      <c r="AC523" s="211"/>
      <c r="AD523" s="211"/>
      <c r="AE523" s="211"/>
      <c r="AF523" s="211"/>
      <c r="AI523" s="211"/>
      <c r="AJ523" s="211"/>
      <c r="AK523" s="212"/>
      <c r="AL523" s="211"/>
    </row>
    <row r="524" spans="1:40" x14ac:dyDescent="0.25">
      <c r="J524" s="334"/>
      <c r="K524" s="334"/>
      <c r="Z524" s="334"/>
    </row>
    <row r="525" spans="1:40" x14ac:dyDescent="0.25">
      <c r="A525" s="202"/>
      <c r="C525" s="154"/>
      <c r="J525" s="334"/>
      <c r="K525" s="334"/>
      <c r="T525" s="154"/>
      <c r="Z525" s="334"/>
    </row>
    <row r="526" spans="1:40" x14ac:dyDescent="0.25">
      <c r="A526" s="202"/>
      <c r="C526" s="154"/>
      <c r="J526" s="334"/>
      <c r="K526" s="334"/>
      <c r="T526" s="154"/>
      <c r="Z526" s="334"/>
    </row>
    <row r="527" spans="1:40" x14ac:dyDescent="0.25">
      <c r="A527" s="202"/>
      <c r="C527" s="154"/>
      <c r="F527" s="252"/>
      <c r="H527" s="252"/>
      <c r="I527" s="252"/>
      <c r="J527" s="329"/>
      <c r="K527" s="329"/>
      <c r="L527" s="200"/>
      <c r="M527" s="200"/>
      <c r="N527" s="210"/>
      <c r="O527" s="210"/>
      <c r="P527" s="200"/>
      <c r="Q527" s="200"/>
      <c r="R527" s="200"/>
      <c r="T527" s="154"/>
      <c r="V527" s="200"/>
      <c r="W527" s="200"/>
      <c r="X527" s="200"/>
      <c r="Y527" s="200"/>
      <c r="Z527" s="329"/>
      <c r="AA527" s="200"/>
      <c r="AB527" s="200"/>
      <c r="AC527" s="210"/>
      <c r="AD527" s="210"/>
      <c r="AE527" s="200"/>
      <c r="AF527" s="200"/>
      <c r="AG527" s="209"/>
      <c r="AH527" s="201"/>
      <c r="AI527" s="200"/>
      <c r="AJ527" s="200"/>
      <c r="AK527" s="209"/>
      <c r="AL527" s="200"/>
      <c r="AM527" s="201"/>
      <c r="AN527" s="201"/>
    </row>
    <row r="528" spans="1:40" x14ac:dyDescent="0.25">
      <c r="A528" s="202"/>
      <c r="C528" s="154"/>
      <c r="J528" s="334"/>
      <c r="K528" s="334"/>
      <c r="T528" s="154"/>
      <c r="Z528" s="334"/>
    </row>
    <row r="529" spans="1:40" x14ac:dyDescent="0.25">
      <c r="A529" s="202"/>
      <c r="C529" s="154"/>
      <c r="F529" s="252"/>
      <c r="H529" s="252"/>
      <c r="I529" s="252"/>
      <c r="J529" s="329"/>
      <c r="K529" s="329"/>
      <c r="L529" s="200"/>
      <c r="M529" s="200"/>
      <c r="N529" s="210"/>
      <c r="O529" s="210"/>
      <c r="P529" s="200"/>
      <c r="Q529" s="200"/>
      <c r="R529" s="200"/>
      <c r="T529" s="154"/>
      <c r="V529" s="200"/>
      <c r="W529" s="200"/>
      <c r="X529" s="200"/>
      <c r="Y529" s="200"/>
      <c r="Z529" s="329"/>
      <c r="AA529" s="200"/>
      <c r="AB529" s="200"/>
      <c r="AC529" s="210"/>
      <c r="AD529" s="210"/>
      <c r="AE529" s="200"/>
      <c r="AF529" s="200"/>
      <c r="AG529" s="209"/>
      <c r="AH529" s="201"/>
      <c r="AI529" s="200"/>
      <c r="AJ529" s="200"/>
      <c r="AK529" s="209"/>
      <c r="AL529" s="200"/>
      <c r="AM529" s="201"/>
      <c r="AN529" s="201"/>
    </row>
    <row r="530" spans="1:40" x14ac:dyDescent="0.25">
      <c r="F530" s="211"/>
      <c r="H530" s="211"/>
      <c r="I530" s="211"/>
      <c r="J530" s="329"/>
      <c r="K530" s="329"/>
      <c r="L530" s="211"/>
      <c r="M530" s="211"/>
      <c r="N530" s="211"/>
      <c r="O530" s="211"/>
      <c r="P530" s="211"/>
      <c r="Q530" s="211"/>
      <c r="R530" s="211"/>
      <c r="V530" s="211"/>
      <c r="Y530" s="211"/>
      <c r="Z530" s="329"/>
      <c r="AA530" s="211"/>
      <c r="AB530" s="211"/>
      <c r="AC530" s="211"/>
      <c r="AD530" s="211"/>
      <c r="AE530" s="211"/>
      <c r="AF530" s="211"/>
      <c r="AI530" s="211"/>
      <c r="AJ530" s="211"/>
      <c r="AK530" s="212"/>
      <c r="AL530" s="211"/>
    </row>
    <row r="531" spans="1:40" x14ac:dyDescent="0.25">
      <c r="A531" s="202"/>
      <c r="C531" s="154"/>
      <c r="F531" s="200"/>
      <c r="H531" s="200"/>
      <c r="I531" s="200"/>
      <c r="J531" s="334"/>
      <c r="K531" s="334"/>
      <c r="L531" s="200"/>
      <c r="M531" s="200"/>
      <c r="N531" s="201"/>
      <c r="O531" s="201"/>
      <c r="P531" s="200"/>
      <c r="Q531" s="200"/>
      <c r="R531" s="200"/>
      <c r="T531" s="154"/>
      <c r="V531" s="200"/>
      <c r="Y531" s="200"/>
      <c r="Z531" s="334"/>
      <c r="AA531" s="200"/>
      <c r="AB531" s="200"/>
      <c r="AC531" s="201"/>
      <c r="AD531" s="201"/>
      <c r="AE531" s="200"/>
      <c r="AF531" s="200"/>
      <c r="AG531" s="209"/>
      <c r="AH531" s="201"/>
      <c r="AI531" s="200"/>
      <c r="AJ531" s="200"/>
      <c r="AK531" s="209"/>
      <c r="AL531" s="200"/>
      <c r="AM531" s="201"/>
      <c r="AN531" s="201"/>
    </row>
    <row r="532" spans="1:40" x14ac:dyDescent="0.25">
      <c r="F532" s="211"/>
      <c r="H532" s="211"/>
      <c r="I532" s="211"/>
      <c r="J532" s="329"/>
      <c r="K532" s="329"/>
      <c r="L532" s="211"/>
      <c r="M532" s="211"/>
      <c r="N532" s="211"/>
      <c r="O532" s="211"/>
      <c r="P532" s="211"/>
      <c r="Q532" s="211"/>
      <c r="R532" s="211"/>
      <c r="V532" s="211"/>
      <c r="Y532" s="211"/>
      <c r="Z532" s="305"/>
      <c r="AA532" s="211"/>
      <c r="AB532" s="211"/>
      <c r="AC532" s="211"/>
      <c r="AD532" s="211"/>
      <c r="AE532" s="211"/>
      <c r="AF532" s="211"/>
      <c r="AI532" s="211"/>
      <c r="AJ532" s="211"/>
      <c r="AK532" s="212"/>
      <c r="AL532" s="211"/>
    </row>
    <row r="533" spans="1:40" x14ac:dyDescent="0.25">
      <c r="J533" s="334"/>
      <c r="K533" s="334"/>
    </row>
    <row r="534" spans="1:40" x14ac:dyDescent="0.25">
      <c r="A534" s="202"/>
      <c r="C534" s="154"/>
      <c r="F534" s="200"/>
      <c r="H534" s="200"/>
      <c r="I534" s="200"/>
      <c r="J534" s="334"/>
      <c r="K534" s="334"/>
      <c r="L534" s="200"/>
      <c r="M534" s="200"/>
      <c r="N534" s="210"/>
      <c r="O534" s="210"/>
      <c r="P534" s="252"/>
      <c r="Q534" s="252"/>
      <c r="R534" s="200"/>
      <c r="T534" s="154"/>
      <c r="V534" s="200"/>
      <c r="Y534" s="200"/>
      <c r="AA534" s="200"/>
      <c r="AB534" s="200"/>
      <c r="AC534" s="201"/>
      <c r="AD534" s="201"/>
      <c r="AE534" s="200"/>
      <c r="AF534" s="200"/>
      <c r="AG534" s="209"/>
      <c r="AH534" s="201"/>
      <c r="AI534" s="252"/>
      <c r="AJ534" s="252"/>
      <c r="AK534" s="209"/>
      <c r="AL534" s="200"/>
      <c r="AM534" s="201"/>
      <c r="AN534" s="201"/>
    </row>
    <row r="535" spans="1:40" x14ac:dyDescent="0.25">
      <c r="H535" s="211"/>
      <c r="I535" s="211"/>
      <c r="J535" s="329"/>
      <c r="K535" s="329"/>
      <c r="L535" s="211"/>
      <c r="M535" s="211"/>
      <c r="N535" s="211"/>
      <c r="O535" s="211"/>
      <c r="P535" s="211"/>
      <c r="Q535" s="211"/>
      <c r="R535" s="211"/>
      <c r="V535" s="211"/>
      <c r="Y535" s="211"/>
      <c r="Z535" s="305"/>
      <c r="AA535" s="211"/>
      <c r="AB535" s="211"/>
      <c r="AC535" s="211"/>
      <c r="AD535" s="211"/>
      <c r="AE535" s="211"/>
      <c r="AF535" s="211"/>
      <c r="AI535" s="211"/>
      <c r="AJ535" s="211"/>
      <c r="AK535" s="212"/>
      <c r="AL535" s="211"/>
    </row>
    <row r="536" spans="1:40" x14ac:dyDescent="0.25">
      <c r="F536" s="211"/>
    </row>
    <row r="537" spans="1:40" x14ac:dyDescent="0.25">
      <c r="C537" s="202"/>
      <c r="T537" s="202"/>
    </row>
    <row r="538" spans="1:40" x14ac:dyDescent="0.25">
      <c r="A538" s="154"/>
    </row>
    <row r="539" spans="1:40" x14ac:dyDescent="0.25">
      <c r="J539" s="202"/>
      <c r="K539" s="202"/>
      <c r="Z539" s="202"/>
    </row>
    <row r="540" spans="1:40" x14ac:dyDescent="0.25">
      <c r="H540" s="154"/>
      <c r="I540" s="154"/>
      <c r="Y540" s="154"/>
    </row>
    <row r="541" spans="1:40" x14ac:dyDescent="0.25">
      <c r="J541" s="202"/>
      <c r="K541" s="202"/>
      <c r="Z541" s="202"/>
    </row>
    <row r="542" spans="1:40" x14ac:dyDescent="0.25">
      <c r="L542" s="154"/>
      <c r="M542" s="154"/>
      <c r="AA542" s="154"/>
      <c r="AB542" s="154"/>
    </row>
    <row r="543" spans="1:40" x14ac:dyDescent="0.25">
      <c r="A543" s="202"/>
      <c r="R543" s="154"/>
      <c r="AK543" s="297"/>
      <c r="AL543" s="154"/>
    </row>
    <row r="544" spans="1:40" x14ac:dyDescent="0.25">
      <c r="A544" s="202"/>
      <c r="R544" s="154"/>
      <c r="AK544" s="297"/>
      <c r="AL544" s="154"/>
    </row>
    <row r="545" spans="1:40" x14ac:dyDescent="0.25">
      <c r="A545" s="154"/>
      <c r="R545" s="154"/>
      <c r="AK545" s="297"/>
      <c r="AL545" s="154"/>
    </row>
    <row r="546" spans="1:40" x14ac:dyDescent="0.25">
      <c r="L546" s="154"/>
      <c r="M546" s="154"/>
      <c r="R546" s="202"/>
      <c r="AA546" s="154"/>
      <c r="AB546" s="154"/>
      <c r="AK546" s="209"/>
      <c r="AL546" s="202"/>
    </row>
    <row r="547" spans="1:40" x14ac:dyDescent="0.2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208"/>
      <c r="AH547" s="102"/>
      <c r="AI547" s="102"/>
      <c r="AJ547" s="102"/>
      <c r="AK547" s="208"/>
      <c r="AL547" s="102"/>
      <c r="AM547" s="102"/>
      <c r="AN547" s="102"/>
    </row>
    <row r="548" spans="1:40" x14ac:dyDescent="0.25">
      <c r="L548" s="103"/>
      <c r="M548" s="103"/>
      <c r="N548" s="103"/>
      <c r="O548" s="103"/>
      <c r="R548" s="103"/>
      <c r="AA548" s="103"/>
      <c r="AB548" s="103"/>
      <c r="AC548" s="103"/>
      <c r="AD548" s="103"/>
      <c r="AE548" s="103"/>
      <c r="AF548" s="103"/>
      <c r="AG548" s="185"/>
      <c r="AH548" s="103"/>
      <c r="AK548" s="185"/>
      <c r="AL548" s="103"/>
      <c r="AM548" s="103"/>
      <c r="AN548" s="103"/>
    </row>
    <row r="549" spans="1:40" x14ac:dyDescent="0.25">
      <c r="L549" s="103"/>
      <c r="M549" s="103"/>
      <c r="N549" s="103"/>
      <c r="O549" s="103"/>
      <c r="R549" s="103"/>
      <c r="Z549" s="103"/>
      <c r="AA549" s="103"/>
      <c r="AB549" s="103"/>
      <c r="AC549" s="103"/>
      <c r="AD549" s="103"/>
      <c r="AE549" s="103"/>
      <c r="AF549" s="103"/>
      <c r="AG549" s="185"/>
      <c r="AH549" s="103"/>
      <c r="AK549" s="185"/>
      <c r="AL549" s="103"/>
      <c r="AM549" s="103"/>
      <c r="AN549" s="103"/>
    </row>
    <row r="550" spans="1:40" x14ac:dyDescent="0.25">
      <c r="A550" s="103"/>
      <c r="C550" s="103"/>
      <c r="D550" s="103"/>
      <c r="E550" s="103"/>
      <c r="F550" s="103"/>
      <c r="J550" s="103"/>
      <c r="K550" s="103"/>
      <c r="L550" s="103"/>
      <c r="M550" s="103"/>
      <c r="N550" s="103"/>
      <c r="O550" s="103"/>
      <c r="P550" s="103"/>
      <c r="Q550" s="103"/>
      <c r="R550" s="103"/>
      <c r="T550" s="103"/>
      <c r="U550" s="103"/>
      <c r="V550" s="103"/>
      <c r="Z550" s="103"/>
      <c r="AA550" s="103"/>
      <c r="AB550" s="103"/>
      <c r="AC550" s="103"/>
      <c r="AD550" s="103"/>
      <c r="AE550" s="103"/>
      <c r="AF550" s="103"/>
      <c r="AG550" s="185"/>
      <c r="AH550" s="103"/>
      <c r="AI550" s="103"/>
      <c r="AJ550" s="103"/>
      <c r="AK550" s="185"/>
      <c r="AL550" s="103"/>
      <c r="AM550" s="103"/>
      <c r="AN550" s="103"/>
    </row>
    <row r="551" spans="1:40" x14ac:dyDescent="0.25">
      <c r="A551" s="103"/>
      <c r="C551" s="103"/>
      <c r="D551" s="103"/>
      <c r="E551" s="103"/>
      <c r="F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T551" s="103"/>
      <c r="U551" s="103"/>
      <c r="V551" s="103"/>
      <c r="Y551" s="103"/>
      <c r="Z551" s="103"/>
      <c r="AA551" s="103"/>
      <c r="AB551" s="103"/>
      <c r="AC551" s="103"/>
      <c r="AD551" s="103"/>
      <c r="AE551" s="103"/>
      <c r="AF551" s="103"/>
      <c r="AG551" s="185"/>
      <c r="AH551" s="103"/>
      <c r="AI551" s="103"/>
      <c r="AJ551" s="103"/>
      <c r="AK551" s="185"/>
      <c r="AL551" s="103"/>
      <c r="AM551" s="103"/>
      <c r="AN551" s="103"/>
    </row>
    <row r="552" spans="1:40" x14ac:dyDescent="0.25">
      <c r="C552" s="103"/>
      <c r="D552" s="103"/>
      <c r="E552" s="103"/>
      <c r="F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T552" s="103"/>
      <c r="U552" s="103"/>
      <c r="V552" s="103"/>
      <c r="Y552" s="103"/>
      <c r="Z552" s="103"/>
      <c r="AA552" s="103"/>
      <c r="AB552" s="103"/>
      <c r="AC552" s="103"/>
      <c r="AD552" s="103"/>
      <c r="AE552" s="103"/>
      <c r="AF552" s="103"/>
      <c r="AG552" s="185"/>
      <c r="AH552" s="103"/>
      <c r="AI552" s="103"/>
      <c r="AJ552" s="103"/>
      <c r="AK552" s="185"/>
      <c r="AL552" s="103"/>
      <c r="AM552" s="103"/>
      <c r="AN552" s="103"/>
    </row>
    <row r="553" spans="1:40" x14ac:dyDescent="0.2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208"/>
      <c r="AH553" s="102"/>
      <c r="AI553" s="102"/>
      <c r="AJ553" s="102"/>
      <c r="AK553" s="208"/>
      <c r="AL553" s="102"/>
      <c r="AM553" s="102"/>
      <c r="AN553" s="102"/>
    </row>
    <row r="554" spans="1:40" x14ac:dyDescent="0.25"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Y554" s="103"/>
      <c r="Z554" s="103"/>
      <c r="AA554" s="103"/>
      <c r="AB554" s="103"/>
      <c r="AC554" s="103"/>
      <c r="AD554" s="103"/>
      <c r="AE554" s="103"/>
      <c r="AF554" s="103"/>
      <c r="AG554" s="185"/>
      <c r="AH554" s="103"/>
      <c r="AI554" s="103"/>
      <c r="AJ554" s="103"/>
      <c r="AK554" s="185"/>
      <c r="AL554" s="103"/>
      <c r="AM554" s="103"/>
      <c r="AN554" s="103"/>
    </row>
    <row r="555" spans="1:40" x14ac:dyDescent="0.25">
      <c r="A555" s="202"/>
      <c r="C555" s="154"/>
      <c r="D555" s="154"/>
      <c r="E555" s="154"/>
      <c r="T555" s="154"/>
      <c r="U555" s="154"/>
    </row>
    <row r="557" spans="1:40" x14ac:dyDescent="0.25">
      <c r="A557" s="202"/>
      <c r="C557" s="154"/>
      <c r="D557" s="154"/>
      <c r="E557" s="154"/>
      <c r="T557" s="154"/>
      <c r="U557" s="154"/>
    </row>
    <row r="558" spans="1:40" x14ac:dyDescent="0.25">
      <c r="A558" s="202"/>
      <c r="C558" s="154"/>
      <c r="T558" s="154"/>
    </row>
    <row r="559" spans="1:40" x14ac:dyDescent="0.25">
      <c r="A559" s="202"/>
      <c r="C559" s="154"/>
      <c r="T559" s="154"/>
    </row>
    <row r="560" spans="1:40" x14ac:dyDescent="0.25">
      <c r="A560" s="202"/>
      <c r="C560" s="154"/>
      <c r="H560" s="252"/>
      <c r="I560" s="252"/>
      <c r="J560" s="329"/>
      <c r="K560" s="329"/>
      <c r="L560" s="200"/>
      <c r="M560" s="200"/>
      <c r="N560" s="210"/>
      <c r="O560" s="210"/>
      <c r="P560" s="200"/>
      <c r="Q560" s="200"/>
      <c r="R560" s="200"/>
      <c r="T560" s="154"/>
      <c r="V560" s="200"/>
      <c r="W560" s="200"/>
      <c r="X560" s="200"/>
      <c r="Y560" s="200"/>
      <c r="Z560" s="329"/>
      <c r="AA560" s="200"/>
      <c r="AB560" s="200"/>
      <c r="AC560" s="210"/>
      <c r="AD560" s="210"/>
      <c r="AE560" s="200"/>
      <c r="AF560" s="200"/>
      <c r="AG560" s="209"/>
      <c r="AH560" s="201"/>
      <c r="AI560" s="200"/>
      <c r="AJ560" s="200"/>
      <c r="AK560" s="209"/>
      <c r="AL560" s="200"/>
      <c r="AM560" s="210"/>
      <c r="AN560" s="210"/>
    </row>
    <row r="561" spans="1:40" x14ac:dyDescent="0.25">
      <c r="A561" s="202"/>
      <c r="C561" s="154"/>
      <c r="F561" s="252"/>
      <c r="J561" s="334"/>
      <c r="K561" s="334"/>
      <c r="T561" s="154"/>
      <c r="V561" s="200"/>
      <c r="W561" s="200"/>
      <c r="X561" s="200"/>
      <c r="Y561" s="200"/>
      <c r="Z561" s="329"/>
    </row>
    <row r="562" spans="1:40" x14ac:dyDescent="0.25">
      <c r="A562" s="202"/>
      <c r="C562" s="154"/>
      <c r="H562" s="252"/>
      <c r="I562" s="252"/>
      <c r="J562" s="329"/>
      <c r="K562" s="329"/>
      <c r="L562" s="200"/>
      <c r="M562" s="200"/>
      <c r="N562" s="210"/>
      <c r="O562" s="210"/>
      <c r="P562" s="200"/>
      <c r="Q562" s="200"/>
      <c r="R562" s="200"/>
      <c r="T562" s="154"/>
      <c r="V562" s="200"/>
      <c r="W562" s="200"/>
      <c r="X562" s="200"/>
      <c r="Y562" s="200"/>
      <c r="Z562" s="329"/>
      <c r="AA562" s="200"/>
      <c r="AB562" s="200"/>
      <c r="AC562" s="210"/>
      <c r="AD562" s="210"/>
      <c r="AE562" s="200"/>
      <c r="AF562" s="200"/>
      <c r="AG562" s="209"/>
      <c r="AH562" s="201"/>
      <c r="AI562" s="200"/>
      <c r="AJ562" s="200"/>
      <c r="AK562" s="209"/>
      <c r="AL562" s="200"/>
      <c r="AM562" s="210"/>
      <c r="AN562" s="210"/>
    </row>
    <row r="563" spans="1:40" x14ac:dyDescent="0.25">
      <c r="A563" s="202"/>
      <c r="C563" s="154"/>
      <c r="F563" s="252"/>
      <c r="J563" s="334"/>
      <c r="K563" s="334"/>
      <c r="T563" s="154"/>
      <c r="V563" s="200"/>
      <c r="W563" s="200"/>
      <c r="X563" s="200"/>
      <c r="Y563" s="200"/>
      <c r="Z563" s="329"/>
    </row>
    <row r="564" spans="1:40" x14ac:dyDescent="0.25">
      <c r="A564" s="202"/>
      <c r="C564" s="154"/>
      <c r="H564" s="252"/>
      <c r="I564" s="252"/>
      <c r="J564" s="329"/>
      <c r="K564" s="329"/>
      <c r="L564" s="200"/>
      <c r="M564" s="200"/>
      <c r="N564" s="210"/>
      <c r="O564" s="210"/>
      <c r="P564" s="200"/>
      <c r="Q564" s="200"/>
      <c r="R564" s="200"/>
      <c r="T564" s="154"/>
      <c r="V564" s="200"/>
      <c r="W564" s="200"/>
      <c r="X564" s="200"/>
      <c r="Y564" s="200"/>
      <c r="Z564" s="329"/>
      <c r="AA564" s="200"/>
      <c r="AB564" s="200"/>
      <c r="AC564" s="210"/>
      <c r="AD564" s="210"/>
      <c r="AE564" s="200"/>
      <c r="AF564" s="200"/>
      <c r="AG564" s="209"/>
      <c r="AH564" s="201"/>
      <c r="AI564" s="200"/>
      <c r="AJ564" s="200"/>
      <c r="AK564" s="209"/>
      <c r="AL564" s="200"/>
      <c r="AM564" s="210"/>
      <c r="AN564" s="210"/>
    </row>
    <row r="565" spans="1:40" x14ac:dyDescent="0.25">
      <c r="A565" s="202"/>
      <c r="C565" s="154"/>
      <c r="F565" s="252"/>
      <c r="J565" s="334"/>
      <c r="K565" s="334"/>
      <c r="T565" s="154"/>
      <c r="V565" s="200"/>
      <c r="W565" s="200"/>
      <c r="X565" s="200"/>
      <c r="Y565" s="200"/>
      <c r="Z565" s="329"/>
    </row>
    <row r="566" spans="1:40" x14ac:dyDescent="0.25">
      <c r="A566" s="202"/>
      <c r="C566" s="154"/>
      <c r="H566" s="252"/>
      <c r="I566" s="252"/>
      <c r="J566" s="329"/>
      <c r="K566" s="329"/>
      <c r="L566" s="200"/>
      <c r="M566" s="200"/>
      <c r="N566" s="210"/>
      <c r="O566" s="210"/>
      <c r="P566" s="200"/>
      <c r="Q566" s="200"/>
      <c r="R566" s="200"/>
      <c r="T566" s="154"/>
      <c r="V566" s="200"/>
      <c r="W566" s="200"/>
      <c r="X566" s="200"/>
      <c r="Y566" s="200"/>
      <c r="Z566" s="329"/>
      <c r="AA566" s="200"/>
      <c r="AB566" s="200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10"/>
      <c r="AN566" s="210"/>
    </row>
    <row r="567" spans="1:40" x14ac:dyDescent="0.25">
      <c r="A567" s="202"/>
      <c r="C567" s="154"/>
      <c r="F567" s="252"/>
      <c r="J567" s="334"/>
      <c r="K567" s="334"/>
      <c r="T567" s="154"/>
      <c r="V567" s="200"/>
      <c r="W567" s="200"/>
      <c r="X567" s="200"/>
      <c r="Y567" s="200"/>
      <c r="Z567" s="329"/>
    </row>
    <row r="568" spans="1:40" x14ac:dyDescent="0.25">
      <c r="A568" s="202"/>
      <c r="C568" s="154"/>
      <c r="H568" s="252"/>
      <c r="I568" s="252"/>
      <c r="J568" s="329"/>
      <c r="K568" s="329"/>
      <c r="L568" s="200"/>
      <c r="M568" s="200"/>
      <c r="N568" s="210"/>
      <c r="O568" s="210"/>
      <c r="P568" s="200"/>
      <c r="Q568" s="200"/>
      <c r="R568" s="200"/>
      <c r="T568" s="154"/>
      <c r="V568" s="200"/>
      <c r="W568" s="200"/>
      <c r="X568" s="200"/>
      <c r="Y568" s="200"/>
      <c r="Z568" s="329"/>
      <c r="AA568" s="200"/>
      <c r="AB568" s="200"/>
      <c r="AC568" s="210"/>
      <c r="AD568" s="210"/>
      <c r="AE568" s="200"/>
      <c r="AF568" s="200"/>
      <c r="AG568" s="209"/>
      <c r="AH568" s="201"/>
      <c r="AI568" s="200"/>
      <c r="AJ568" s="200"/>
      <c r="AK568" s="209"/>
      <c r="AL568" s="200"/>
      <c r="AM568" s="210"/>
      <c r="AN568" s="210"/>
    </row>
    <row r="569" spans="1:40" x14ac:dyDescent="0.25">
      <c r="A569" s="202"/>
      <c r="C569" s="154"/>
      <c r="F569" s="252"/>
      <c r="J569" s="334"/>
      <c r="K569" s="334"/>
      <c r="T569" s="154"/>
      <c r="V569" s="200"/>
      <c r="W569" s="200"/>
      <c r="X569" s="200"/>
      <c r="Y569" s="200"/>
      <c r="Z569" s="329"/>
    </row>
    <row r="570" spans="1:40" x14ac:dyDescent="0.25">
      <c r="A570" s="202"/>
      <c r="C570" s="154"/>
      <c r="H570" s="252"/>
      <c r="I570" s="252"/>
      <c r="J570" s="329"/>
      <c r="K570" s="329"/>
      <c r="L570" s="200"/>
      <c r="M570" s="200"/>
      <c r="N570" s="210"/>
      <c r="O570" s="210"/>
      <c r="P570" s="200"/>
      <c r="Q570" s="200"/>
      <c r="R570" s="200"/>
      <c r="T570" s="154"/>
      <c r="V570" s="200"/>
      <c r="W570" s="200"/>
      <c r="X570" s="200"/>
      <c r="Y570" s="200"/>
      <c r="Z570" s="329"/>
      <c r="AA570" s="200"/>
      <c r="AB570" s="200"/>
      <c r="AC570" s="210"/>
      <c r="AD570" s="210"/>
      <c r="AE570" s="200"/>
      <c r="AF570" s="200"/>
      <c r="AG570" s="209"/>
      <c r="AH570" s="201"/>
      <c r="AI570" s="200"/>
      <c r="AJ570" s="200"/>
      <c r="AK570" s="209"/>
      <c r="AL570" s="200"/>
      <c r="AM570" s="210"/>
      <c r="AN570" s="210"/>
    </row>
    <row r="571" spans="1:40" x14ac:dyDescent="0.25">
      <c r="F571" s="252"/>
      <c r="H571" s="211"/>
      <c r="I571" s="211"/>
      <c r="J571" s="329"/>
      <c r="K571" s="329"/>
      <c r="L571" s="211"/>
      <c r="M571" s="211"/>
      <c r="N571" s="211"/>
      <c r="O571" s="211"/>
      <c r="P571" s="211"/>
      <c r="Q571" s="211"/>
      <c r="R571" s="211"/>
      <c r="V571" s="211"/>
      <c r="Y571" s="211"/>
      <c r="Z571" s="329"/>
      <c r="AA571" s="211"/>
      <c r="AB571" s="211"/>
      <c r="AC571" s="211"/>
      <c r="AD571" s="211"/>
      <c r="AE571" s="211"/>
      <c r="AF571" s="211"/>
      <c r="AI571" s="211"/>
      <c r="AJ571" s="211"/>
      <c r="AK571" s="212"/>
      <c r="AL571" s="211"/>
      <c r="AM571" s="210"/>
      <c r="AN571" s="210"/>
    </row>
    <row r="572" spans="1:40" x14ac:dyDescent="0.25">
      <c r="A572" s="202"/>
      <c r="C572" s="154"/>
      <c r="F572" s="211"/>
      <c r="H572" s="200"/>
      <c r="I572" s="200"/>
      <c r="J572" s="334"/>
      <c r="K572" s="334"/>
      <c r="L572" s="200"/>
      <c r="M572" s="200"/>
      <c r="N572" s="210"/>
      <c r="O572" s="210"/>
      <c r="P572" s="252"/>
      <c r="Q572" s="252"/>
      <c r="R572" s="200"/>
      <c r="T572" s="154"/>
      <c r="V572" s="200"/>
      <c r="W572" s="200"/>
      <c r="X572" s="200"/>
      <c r="Y572" s="200"/>
      <c r="Z572" s="329"/>
      <c r="AA572" s="200"/>
      <c r="AB572" s="200"/>
      <c r="AC572" s="210"/>
      <c r="AD572" s="210"/>
      <c r="AE572" s="200"/>
      <c r="AF572" s="200"/>
      <c r="AG572" s="209"/>
      <c r="AH572" s="201"/>
      <c r="AI572" s="252"/>
      <c r="AJ572" s="252"/>
      <c r="AK572" s="209"/>
      <c r="AL572" s="200"/>
      <c r="AM572" s="210"/>
      <c r="AN572" s="210"/>
    </row>
    <row r="573" spans="1:40" x14ac:dyDescent="0.25">
      <c r="F573" s="200"/>
      <c r="H573" s="211"/>
      <c r="I573" s="211"/>
      <c r="J573" s="329"/>
      <c r="K573" s="329"/>
      <c r="L573" s="211"/>
      <c r="M573" s="211"/>
      <c r="N573" s="211"/>
      <c r="O573" s="211"/>
      <c r="P573" s="211"/>
      <c r="Q573" s="211"/>
      <c r="R573" s="211"/>
      <c r="V573" s="211"/>
      <c r="Y573" s="211"/>
      <c r="Z573" s="329"/>
      <c r="AA573" s="211"/>
      <c r="AB573" s="211"/>
      <c r="AC573" s="211"/>
      <c r="AD573" s="211"/>
      <c r="AE573" s="211"/>
      <c r="AF573" s="211"/>
      <c r="AI573" s="211"/>
      <c r="AJ573" s="211"/>
      <c r="AK573" s="212"/>
      <c r="AL573" s="211"/>
    </row>
    <row r="574" spans="1:40" x14ac:dyDescent="0.25">
      <c r="A574" s="202"/>
      <c r="C574" s="154"/>
      <c r="D574" s="154"/>
      <c r="E574" s="154"/>
      <c r="F574" s="211"/>
      <c r="J574" s="334"/>
      <c r="K574" s="334"/>
      <c r="T574" s="154"/>
      <c r="U574" s="154"/>
      <c r="V574" s="200"/>
      <c r="W574" s="200"/>
      <c r="X574" s="200"/>
      <c r="Y574" s="200"/>
      <c r="Z574" s="329"/>
    </row>
    <row r="575" spans="1:40" x14ac:dyDescent="0.25">
      <c r="A575" s="202"/>
      <c r="C575" s="154"/>
      <c r="J575" s="334"/>
      <c r="K575" s="334"/>
      <c r="T575" s="154"/>
      <c r="V575" s="200"/>
      <c r="W575" s="200"/>
      <c r="X575" s="200"/>
      <c r="Y575" s="200"/>
      <c r="Z575" s="329"/>
    </row>
    <row r="576" spans="1:40" x14ac:dyDescent="0.25">
      <c r="A576" s="202"/>
      <c r="C576" s="154"/>
      <c r="J576" s="334"/>
      <c r="K576" s="334"/>
      <c r="T576" s="154"/>
      <c r="V576" s="200"/>
      <c r="W576" s="200"/>
      <c r="X576" s="200"/>
      <c r="Y576" s="200"/>
      <c r="Z576" s="329"/>
    </row>
    <row r="577" spans="1:40" x14ac:dyDescent="0.25">
      <c r="A577" s="202"/>
      <c r="C577" s="154"/>
      <c r="H577" s="252"/>
      <c r="I577" s="252"/>
      <c r="J577" s="329"/>
      <c r="K577" s="329"/>
      <c r="L577" s="200"/>
      <c r="M577" s="200"/>
      <c r="N577" s="210"/>
      <c r="O577" s="210"/>
      <c r="P577" s="200"/>
      <c r="Q577" s="200"/>
      <c r="R577" s="200"/>
      <c r="T577" s="154"/>
      <c r="V577" s="200"/>
      <c r="W577" s="200"/>
      <c r="X577" s="200"/>
      <c r="Y577" s="200"/>
      <c r="Z577" s="329"/>
      <c r="AA577" s="200"/>
      <c r="AB577" s="200"/>
      <c r="AC577" s="210"/>
      <c r="AD577" s="210"/>
      <c r="AE577" s="200"/>
      <c r="AF577" s="200"/>
      <c r="AG577" s="209"/>
      <c r="AH577" s="201"/>
      <c r="AI577" s="200"/>
      <c r="AJ577" s="200"/>
      <c r="AK577" s="209"/>
      <c r="AL577" s="200"/>
      <c r="AM577" s="210"/>
      <c r="AN577" s="210"/>
    </row>
    <row r="578" spans="1:40" x14ac:dyDescent="0.25">
      <c r="A578" s="202"/>
      <c r="C578" s="154"/>
      <c r="F578" s="252"/>
      <c r="J578" s="334"/>
      <c r="K578" s="334"/>
      <c r="T578" s="154"/>
      <c r="V578" s="200"/>
      <c r="W578" s="200"/>
      <c r="X578" s="200"/>
      <c r="Y578" s="200"/>
      <c r="Z578" s="329"/>
    </row>
    <row r="579" spans="1:40" x14ac:dyDescent="0.25">
      <c r="A579" s="202"/>
      <c r="C579" s="154"/>
      <c r="H579" s="252"/>
      <c r="I579" s="252"/>
      <c r="J579" s="329"/>
      <c r="K579" s="329"/>
      <c r="L579" s="200"/>
      <c r="M579" s="200"/>
      <c r="N579" s="210"/>
      <c r="O579" s="210"/>
      <c r="P579" s="200"/>
      <c r="Q579" s="200"/>
      <c r="R579" s="200"/>
      <c r="T579" s="154"/>
      <c r="V579" s="200"/>
      <c r="W579" s="200"/>
      <c r="X579" s="200"/>
      <c r="Y579" s="200"/>
      <c r="Z579" s="329"/>
      <c r="AA579" s="200"/>
      <c r="AB579" s="200"/>
      <c r="AC579" s="210"/>
      <c r="AD579" s="210"/>
      <c r="AE579" s="200"/>
      <c r="AF579" s="200"/>
      <c r="AG579" s="209"/>
      <c r="AH579" s="201"/>
      <c r="AI579" s="200"/>
      <c r="AJ579" s="200"/>
      <c r="AK579" s="209"/>
      <c r="AL579" s="200"/>
      <c r="AM579" s="210"/>
      <c r="AN579" s="210"/>
    </row>
    <row r="580" spans="1:40" x14ac:dyDescent="0.25">
      <c r="F580" s="252"/>
      <c r="H580" s="211"/>
      <c r="I580" s="211"/>
      <c r="J580" s="329"/>
      <c r="K580" s="329"/>
      <c r="L580" s="211"/>
      <c r="M580" s="211"/>
      <c r="N580" s="211"/>
      <c r="O580" s="211"/>
      <c r="P580" s="211"/>
      <c r="Q580" s="211"/>
      <c r="R580" s="211"/>
      <c r="V580" s="211"/>
      <c r="Y580" s="211"/>
      <c r="Z580" s="305"/>
      <c r="AA580" s="211"/>
      <c r="AB580" s="211"/>
      <c r="AC580" s="211"/>
      <c r="AD580" s="211"/>
      <c r="AE580" s="211"/>
      <c r="AF580" s="211"/>
      <c r="AI580" s="211"/>
      <c r="AJ580" s="211"/>
      <c r="AK580" s="212"/>
      <c r="AL580" s="211"/>
    </row>
    <row r="581" spans="1:40" x14ac:dyDescent="0.25">
      <c r="A581" s="202"/>
      <c r="C581" s="154"/>
      <c r="F581" s="211"/>
      <c r="H581" s="200"/>
      <c r="I581" s="200"/>
      <c r="L581" s="200"/>
      <c r="M581" s="200"/>
      <c r="N581" s="210"/>
      <c r="O581" s="210"/>
      <c r="P581" s="252"/>
      <c r="Q581" s="252"/>
      <c r="R581" s="200"/>
      <c r="T581" s="154"/>
      <c r="V581" s="200"/>
      <c r="W581" s="200"/>
      <c r="X581" s="200"/>
      <c r="Y581" s="200"/>
      <c r="Z581" s="328"/>
      <c r="AA581" s="200"/>
      <c r="AB581" s="200"/>
      <c r="AC581" s="210"/>
      <c r="AD581" s="210"/>
      <c r="AE581" s="200"/>
      <c r="AF581" s="200"/>
      <c r="AG581" s="209"/>
      <c r="AH581" s="201"/>
      <c r="AI581" s="252"/>
      <c r="AJ581" s="252"/>
      <c r="AK581" s="209"/>
      <c r="AL581" s="200"/>
      <c r="AM581" s="210"/>
      <c r="AN581" s="210"/>
    </row>
    <row r="582" spans="1:40" x14ac:dyDescent="0.25">
      <c r="F582" s="200"/>
      <c r="H582" s="211"/>
      <c r="I582" s="211"/>
      <c r="J582" s="305"/>
      <c r="K582" s="305"/>
      <c r="L582" s="211"/>
      <c r="M582" s="211"/>
      <c r="N582" s="211"/>
      <c r="O582" s="211"/>
      <c r="P582" s="211"/>
      <c r="Q582" s="211"/>
      <c r="R582" s="211"/>
      <c r="V582" s="211"/>
      <c r="Y582" s="211"/>
      <c r="Z582" s="305"/>
      <c r="AA582" s="211"/>
      <c r="AB582" s="211"/>
      <c r="AC582" s="211"/>
      <c r="AD582" s="211"/>
      <c r="AE582" s="211"/>
      <c r="AF582" s="211"/>
      <c r="AI582" s="211"/>
      <c r="AJ582" s="211"/>
      <c r="AK582" s="212"/>
      <c r="AL582" s="211"/>
    </row>
    <row r="583" spans="1:40" x14ac:dyDescent="0.25">
      <c r="A583" s="202"/>
      <c r="C583" s="154"/>
      <c r="D583" s="154"/>
      <c r="E583" s="154"/>
      <c r="F583" s="211"/>
      <c r="T583" s="154"/>
      <c r="U583" s="154"/>
      <c r="V583" s="200"/>
      <c r="W583" s="200"/>
      <c r="X583" s="200"/>
      <c r="Y583" s="200"/>
      <c r="Z583" s="328"/>
    </row>
    <row r="584" spans="1:40" x14ac:dyDescent="0.25">
      <c r="A584" s="202"/>
      <c r="C584" s="154"/>
      <c r="T584" s="154"/>
      <c r="V584" s="200"/>
      <c r="W584" s="200"/>
      <c r="X584" s="200"/>
      <c r="Y584" s="200"/>
      <c r="Z584" s="328"/>
    </row>
    <row r="585" spans="1:40" x14ac:dyDescent="0.25">
      <c r="A585" s="202"/>
      <c r="C585" s="154"/>
      <c r="H585" s="252"/>
      <c r="I585" s="252"/>
      <c r="J585" s="328"/>
      <c r="K585" s="328"/>
      <c r="L585" s="200"/>
      <c r="M585" s="200"/>
      <c r="N585" s="210"/>
      <c r="O585" s="210"/>
      <c r="P585" s="200"/>
      <c r="Q585" s="200"/>
      <c r="R585" s="200"/>
      <c r="T585" s="154"/>
      <c r="V585" s="200"/>
      <c r="W585" s="200"/>
      <c r="X585" s="200"/>
      <c r="Y585" s="200"/>
      <c r="Z585" s="328"/>
      <c r="AA585" s="200"/>
      <c r="AB585" s="200"/>
      <c r="AC585" s="210"/>
      <c r="AD585" s="210"/>
      <c r="AE585" s="200"/>
      <c r="AF585" s="200"/>
      <c r="AG585" s="209"/>
      <c r="AH585" s="201"/>
      <c r="AI585" s="200"/>
      <c r="AJ585" s="200"/>
      <c r="AK585" s="209"/>
      <c r="AL585" s="200"/>
      <c r="AM585" s="210"/>
      <c r="AN585" s="210"/>
    </row>
    <row r="586" spans="1:40" x14ac:dyDescent="0.25">
      <c r="A586" s="202"/>
      <c r="C586" s="154"/>
      <c r="F586" s="252"/>
      <c r="T586" s="154"/>
      <c r="V586" s="200"/>
      <c r="W586" s="200"/>
      <c r="X586" s="200"/>
      <c r="Y586" s="200"/>
      <c r="Z586" s="328"/>
    </row>
    <row r="587" spans="1:40" x14ac:dyDescent="0.25">
      <c r="A587" s="202"/>
      <c r="C587" s="154"/>
      <c r="H587" s="252"/>
      <c r="I587" s="252"/>
      <c r="J587" s="328"/>
      <c r="K587" s="328"/>
      <c r="L587" s="200"/>
      <c r="M587" s="200"/>
      <c r="N587" s="210"/>
      <c r="O587" s="210"/>
      <c r="P587" s="200"/>
      <c r="Q587" s="200"/>
      <c r="R587" s="200"/>
      <c r="T587" s="154"/>
      <c r="V587" s="200"/>
      <c r="W587" s="200"/>
      <c r="X587" s="200"/>
      <c r="Y587" s="200"/>
      <c r="Z587" s="328"/>
      <c r="AA587" s="200"/>
      <c r="AB587" s="200"/>
      <c r="AC587" s="210"/>
      <c r="AD587" s="210"/>
      <c r="AE587" s="200"/>
      <c r="AF587" s="200"/>
      <c r="AG587" s="209"/>
      <c r="AH587" s="201"/>
      <c r="AI587" s="200"/>
      <c r="AJ587" s="200"/>
      <c r="AK587" s="209"/>
      <c r="AL587" s="200"/>
      <c r="AM587" s="210"/>
      <c r="AN587" s="210"/>
    </row>
    <row r="588" spans="1:40" x14ac:dyDescent="0.25">
      <c r="A588" s="202"/>
      <c r="C588" s="154"/>
      <c r="F588" s="252"/>
      <c r="T588" s="154"/>
      <c r="V588" s="200"/>
      <c r="W588" s="200"/>
      <c r="X588" s="200"/>
      <c r="Y588" s="200"/>
      <c r="Z588" s="328"/>
    </row>
    <row r="589" spans="1:40" x14ac:dyDescent="0.25">
      <c r="A589" s="202"/>
      <c r="C589" s="154"/>
      <c r="H589" s="252"/>
      <c r="I589" s="252"/>
      <c r="J589" s="328"/>
      <c r="K589" s="328"/>
      <c r="L589" s="200"/>
      <c r="M589" s="200"/>
      <c r="N589" s="210"/>
      <c r="O589" s="210"/>
      <c r="P589" s="200"/>
      <c r="Q589" s="200"/>
      <c r="R589" s="200"/>
      <c r="T589" s="154"/>
      <c r="V589" s="200"/>
      <c r="W589" s="200"/>
      <c r="X589" s="200"/>
      <c r="Y589" s="200"/>
      <c r="Z589" s="328"/>
      <c r="AA589" s="200"/>
      <c r="AB589" s="200"/>
      <c r="AC589" s="210"/>
      <c r="AD589" s="210"/>
      <c r="AE589" s="200"/>
      <c r="AF589" s="200"/>
      <c r="AG589" s="209"/>
      <c r="AH589" s="201"/>
      <c r="AI589" s="200"/>
      <c r="AJ589" s="200"/>
      <c r="AK589" s="209"/>
      <c r="AL589" s="200"/>
      <c r="AM589" s="210"/>
      <c r="AN589" s="210"/>
    </row>
    <row r="590" spans="1:40" x14ac:dyDescent="0.25">
      <c r="A590" s="202"/>
      <c r="C590" s="154"/>
      <c r="F590" s="252"/>
      <c r="T590" s="154"/>
      <c r="V590" s="200"/>
      <c r="W590" s="200"/>
      <c r="X590" s="200"/>
      <c r="Y590" s="200"/>
      <c r="Z590" s="328"/>
    </row>
    <row r="591" spans="1:40" x14ac:dyDescent="0.25">
      <c r="A591" s="202"/>
      <c r="C591" s="154"/>
      <c r="H591" s="252"/>
      <c r="I591" s="252"/>
      <c r="J591" s="328"/>
      <c r="K591" s="328"/>
      <c r="L591" s="200"/>
      <c r="M591" s="200"/>
      <c r="N591" s="210"/>
      <c r="O591" s="210"/>
      <c r="P591" s="200"/>
      <c r="Q591" s="200"/>
      <c r="R591" s="200"/>
      <c r="T591" s="154"/>
      <c r="V591" s="200"/>
      <c r="W591" s="200"/>
      <c r="X591" s="200"/>
      <c r="Y591" s="200"/>
      <c r="Z591" s="328"/>
      <c r="AA591" s="200"/>
      <c r="AB591" s="200"/>
      <c r="AC591" s="210"/>
      <c r="AD591" s="210"/>
      <c r="AE591" s="200"/>
      <c r="AF591" s="200"/>
      <c r="AG591" s="209"/>
      <c r="AH591" s="201"/>
      <c r="AI591" s="200"/>
      <c r="AJ591" s="200"/>
      <c r="AK591" s="209"/>
      <c r="AL591" s="200"/>
      <c r="AM591" s="210"/>
      <c r="AN591" s="210"/>
    </row>
    <row r="592" spans="1:40" x14ac:dyDescent="0.25">
      <c r="F592" s="252"/>
      <c r="H592" s="211"/>
      <c r="I592" s="211"/>
      <c r="J592" s="305"/>
      <c r="K592" s="305"/>
      <c r="L592" s="211"/>
      <c r="M592" s="211"/>
      <c r="N592" s="211"/>
      <c r="O592" s="211"/>
      <c r="P592" s="211"/>
      <c r="Q592" s="211"/>
      <c r="R592" s="211"/>
      <c r="V592" s="211"/>
      <c r="Y592" s="211"/>
      <c r="Z592" s="305"/>
      <c r="AA592" s="211"/>
      <c r="AB592" s="211"/>
      <c r="AC592" s="211"/>
      <c r="AD592" s="211"/>
      <c r="AE592" s="211"/>
      <c r="AF592" s="211"/>
      <c r="AI592" s="211"/>
      <c r="AJ592" s="211"/>
      <c r="AK592" s="212"/>
      <c r="AL592" s="211"/>
    </row>
    <row r="593" spans="1:40" x14ac:dyDescent="0.25">
      <c r="A593" s="202"/>
      <c r="C593" s="154"/>
      <c r="F593" s="211"/>
      <c r="H593" s="200"/>
      <c r="I593" s="200"/>
      <c r="L593" s="200"/>
      <c r="M593" s="200"/>
      <c r="N593" s="210"/>
      <c r="O593" s="210"/>
      <c r="P593" s="252"/>
      <c r="Q593" s="252"/>
      <c r="R593" s="200"/>
      <c r="T593" s="154"/>
      <c r="V593" s="200"/>
      <c r="W593" s="200"/>
      <c r="X593" s="200"/>
      <c r="Y593" s="200"/>
      <c r="Z593" s="328"/>
      <c r="AA593" s="200"/>
      <c r="AB593" s="200"/>
      <c r="AC593" s="210"/>
      <c r="AD593" s="210"/>
      <c r="AE593" s="200"/>
      <c r="AF593" s="200"/>
      <c r="AG593" s="209"/>
      <c r="AH593" s="201"/>
      <c r="AI593" s="252"/>
      <c r="AJ593" s="252"/>
      <c r="AK593" s="209"/>
      <c r="AL593" s="200"/>
      <c r="AM593" s="210"/>
      <c r="AN593" s="210"/>
    </row>
    <row r="594" spans="1:40" x14ac:dyDescent="0.25">
      <c r="F594" s="200"/>
      <c r="H594" s="211"/>
      <c r="I594" s="211"/>
      <c r="J594" s="305"/>
      <c r="K594" s="305"/>
      <c r="L594" s="211"/>
      <c r="M594" s="211"/>
      <c r="N594" s="211"/>
      <c r="O594" s="211"/>
      <c r="P594" s="211"/>
      <c r="Q594" s="211"/>
      <c r="R594" s="211"/>
      <c r="V594" s="211"/>
      <c r="Y594" s="211"/>
      <c r="Z594" s="305"/>
      <c r="AA594" s="211"/>
      <c r="AB594" s="211"/>
      <c r="AC594" s="211"/>
      <c r="AD594" s="211"/>
      <c r="AE594" s="211"/>
      <c r="AF594" s="211"/>
      <c r="AI594" s="211"/>
      <c r="AJ594" s="211"/>
      <c r="AK594" s="212"/>
      <c r="AL594" s="211"/>
    </row>
    <row r="595" spans="1:40" x14ac:dyDescent="0.25">
      <c r="A595" s="202"/>
      <c r="C595" s="154"/>
      <c r="F595" s="211"/>
      <c r="H595" s="200"/>
      <c r="I595" s="200"/>
      <c r="L595" s="200"/>
      <c r="M595" s="200"/>
      <c r="N595" s="210"/>
      <c r="O595" s="210"/>
      <c r="P595" s="200"/>
      <c r="Q595" s="200"/>
      <c r="R595" s="200"/>
      <c r="T595" s="154"/>
      <c r="V595" s="200"/>
      <c r="W595" s="200"/>
      <c r="X595" s="200"/>
      <c r="Y595" s="200"/>
      <c r="AA595" s="200"/>
      <c r="AB595" s="200"/>
      <c r="AC595" s="210"/>
      <c r="AD595" s="210"/>
      <c r="AE595" s="200"/>
      <c r="AF595" s="200"/>
      <c r="AG595" s="209"/>
      <c r="AH595" s="201"/>
      <c r="AI595" s="200"/>
      <c r="AJ595" s="200"/>
      <c r="AK595" s="209"/>
      <c r="AL595" s="200"/>
      <c r="AM595" s="201"/>
      <c r="AN595" s="201"/>
    </row>
    <row r="596" spans="1:40" x14ac:dyDescent="0.25">
      <c r="F596" s="200"/>
      <c r="H596" s="211"/>
      <c r="I596" s="211"/>
      <c r="J596" s="305"/>
      <c r="K596" s="305"/>
      <c r="L596" s="211"/>
      <c r="M596" s="211"/>
      <c r="N596" s="211"/>
      <c r="O596" s="211"/>
      <c r="P596" s="211"/>
      <c r="Q596" s="211"/>
      <c r="R596" s="211"/>
      <c r="V596" s="211"/>
      <c r="Y596" s="211"/>
      <c r="Z596" s="305"/>
      <c r="AA596" s="211"/>
      <c r="AB596" s="211"/>
      <c r="AC596" s="211"/>
      <c r="AD596" s="211"/>
      <c r="AE596" s="211"/>
      <c r="AF596" s="211"/>
      <c r="AI596" s="211"/>
      <c r="AJ596" s="211"/>
      <c r="AK596" s="212"/>
      <c r="AL596" s="211"/>
    </row>
    <row r="598" spans="1:40" x14ac:dyDescent="0.25">
      <c r="C598" s="202"/>
      <c r="F598" s="211"/>
      <c r="T598" s="202"/>
    </row>
    <row r="599" spans="1:40" x14ac:dyDescent="0.25">
      <c r="A599" s="154"/>
    </row>
    <row r="600" spans="1:40" x14ac:dyDescent="0.25">
      <c r="J600" s="202"/>
      <c r="K600" s="202"/>
      <c r="Z600" s="202"/>
    </row>
    <row r="601" spans="1:40" x14ac:dyDescent="0.25">
      <c r="H601" s="154"/>
      <c r="I601" s="154"/>
      <c r="Y601" s="154"/>
    </row>
    <row r="602" spans="1:40" x14ac:dyDescent="0.25">
      <c r="J602" s="202"/>
      <c r="K602" s="202"/>
      <c r="Z602" s="202"/>
    </row>
    <row r="603" spans="1:40" x14ac:dyDescent="0.25">
      <c r="L603" s="154"/>
      <c r="M603" s="154"/>
      <c r="AA603" s="154"/>
      <c r="AB603" s="154"/>
    </row>
    <row r="604" spans="1:40" x14ac:dyDescent="0.25">
      <c r="A604" s="202"/>
      <c r="R604" s="154"/>
      <c r="AK604" s="297"/>
      <c r="AL604" s="154"/>
    </row>
    <row r="605" spans="1:40" x14ac:dyDescent="0.25">
      <c r="A605" s="202"/>
      <c r="R605" s="154"/>
      <c r="AK605" s="297"/>
      <c r="AL605" s="154"/>
    </row>
    <row r="606" spans="1:40" x14ac:dyDescent="0.25">
      <c r="A606" s="154"/>
      <c r="R606" s="154"/>
      <c r="AK606" s="297"/>
      <c r="AL606" s="154"/>
    </row>
    <row r="607" spans="1:40" x14ac:dyDescent="0.25">
      <c r="L607" s="154"/>
      <c r="M607" s="154"/>
      <c r="R607" s="202"/>
      <c r="AA607" s="154"/>
      <c r="AB607" s="154"/>
      <c r="AK607" s="209"/>
      <c r="AL607" s="202"/>
    </row>
    <row r="608" spans="1:40" x14ac:dyDescent="0.25">
      <c r="A608" s="102"/>
      <c r="B608" s="102"/>
      <c r="C608" s="102"/>
      <c r="D608" s="102"/>
      <c r="E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208"/>
      <c r="AH608" s="102"/>
      <c r="AI608" s="102"/>
      <c r="AJ608" s="102"/>
      <c r="AK608" s="208"/>
      <c r="AL608" s="102"/>
      <c r="AM608" s="102"/>
      <c r="AN608" s="102"/>
    </row>
    <row r="609" spans="1:40" x14ac:dyDescent="0.25">
      <c r="F609" s="102"/>
      <c r="L609" s="103"/>
      <c r="M609" s="103"/>
      <c r="N609" s="103"/>
      <c r="O609" s="103"/>
      <c r="R609" s="103"/>
      <c r="AA609" s="103"/>
      <c r="AB609" s="103"/>
      <c r="AC609" s="103"/>
      <c r="AD609" s="103"/>
      <c r="AE609" s="103"/>
      <c r="AF609" s="103"/>
      <c r="AG609" s="185"/>
      <c r="AH609" s="103"/>
      <c r="AK609" s="185"/>
      <c r="AL609" s="103"/>
      <c r="AM609" s="103"/>
      <c r="AN609" s="103"/>
    </row>
    <row r="610" spans="1:40" x14ac:dyDescent="0.25">
      <c r="L610" s="103"/>
      <c r="M610" s="103"/>
      <c r="N610" s="103"/>
      <c r="O610" s="103"/>
      <c r="R610" s="103"/>
      <c r="Z610" s="103"/>
      <c r="AA610" s="103"/>
      <c r="AB610" s="103"/>
      <c r="AC610" s="103"/>
      <c r="AD610" s="103"/>
      <c r="AE610" s="103"/>
      <c r="AF610" s="103"/>
      <c r="AG610" s="185"/>
      <c r="AH610" s="103"/>
      <c r="AK610" s="185"/>
      <c r="AL610" s="103"/>
      <c r="AM610" s="103"/>
      <c r="AN610" s="103"/>
    </row>
    <row r="611" spans="1:40" x14ac:dyDescent="0.25">
      <c r="A611" s="103"/>
      <c r="C611" s="103"/>
      <c r="D611" s="103"/>
      <c r="E611" s="103"/>
      <c r="J611" s="103"/>
      <c r="K611" s="103"/>
      <c r="L611" s="103"/>
      <c r="M611" s="103"/>
      <c r="N611" s="103"/>
      <c r="O611" s="103"/>
      <c r="P611" s="103"/>
      <c r="Q611" s="103"/>
      <c r="R611" s="103"/>
      <c r="T611" s="103"/>
      <c r="U611" s="103"/>
      <c r="V611" s="103"/>
      <c r="Z611" s="103"/>
      <c r="AA611" s="103"/>
      <c r="AB611" s="103"/>
      <c r="AC611" s="103"/>
      <c r="AD611" s="103"/>
      <c r="AE611" s="103"/>
      <c r="AF611" s="103"/>
      <c r="AG611" s="185"/>
      <c r="AH611" s="103"/>
      <c r="AI611" s="103"/>
      <c r="AJ611" s="103"/>
      <c r="AK611" s="185"/>
      <c r="AL611" s="103"/>
      <c r="AM611" s="103"/>
      <c r="AN611" s="103"/>
    </row>
    <row r="612" spans="1:40" x14ac:dyDescent="0.25">
      <c r="A612" s="103"/>
      <c r="C612" s="103"/>
      <c r="D612" s="103"/>
      <c r="E612" s="103"/>
      <c r="F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T612" s="103"/>
      <c r="U612" s="103"/>
      <c r="V612" s="103"/>
      <c r="Y612" s="103"/>
      <c r="Z612" s="103"/>
      <c r="AA612" s="103"/>
      <c r="AB612" s="103"/>
      <c r="AC612" s="103"/>
      <c r="AD612" s="103"/>
      <c r="AE612" s="103"/>
      <c r="AF612" s="103"/>
      <c r="AG612" s="185"/>
      <c r="AH612" s="103"/>
      <c r="AI612" s="103"/>
      <c r="AJ612" s="103"/>
      <c r="AK612" s="185"/>
      <c r="AL612" s="103"/>
      <c r="AM612" s="103"/>
      <c r="AN612" s="103"/>
    </row>
    <row r="613" spans="1:40" x14ac:dyDescent="0.25">
      <c r="C613" s="103"/>
      <c r="D613" s="103"/>
      <c r="E613" s="103"/>
      <c r="F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T613" s="103"/>
      <c r="U613" s="103"/>
      <c r="V613" s="103"/>
      <c r="Y613" s="103"/>
      <c r="Z613" s="103"/>
      <c r="AA613" s="103"/>
      <c r="AB613" s="103"/>
      <c r="AC613" s="103"/>
      <c r="AD613" s="103"/>
      <c r="AE613" s="103"/>
      <c r="AF613" s="103"/>
      <c r="AG613" s="185"/>
      <c r="AH613" s="103"/>
      <c r="AI613" s="103"/>
      <c r="AJ613" s="103"/>
      <c r="AK613" s="185"/>
      <c r="AL613" s="103"/>
      <c r="AM613" s="103"/>
      <c r="AN613" s="103"/>
    </row>
    <row r="614" spans="1:40" x14ac:dyDescent="0.25">
      <c r="A614" s="102"/>
      <c r="B614" s="102"/>
      <c r="C614" s="102"/>
      <c r="D614" s="102"/>
      <c r="E614" s="102"/>
      <c r="F614" s="103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208"/>
      <c r="AH614" s="102"/>
      <c r="AI614" s="102"/>
      <c r="AJ614" s="102"/>
      <c r="AK614" s="208"/>
      <c r="AL614" s="102"/>
      <c r="AM614" s="102"/>
      <c r="AN614" s="102"/>
    </row>
    <row r="615" spans="1:40" x14ac:dyDescent="0.25">
      <c r="F615" s="102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Y615" s="103"/>
      <c r="Z615" s="103"/>
      <c r="AA615" s="103"/>
      <c r="AB615" s="103"/>
      <c r="AC615" s="103"/>
      <c r="AD615" s="103"/>
      <c r="AE615" s="103"/>
      <c r="AF615" s="103"/>
      <c r="AG615" s="185"/>
      <c r="AH615" s="103"/>
      <c r="AI615" s="103"/>
      <c r="AJ615" s="103"/>
      <c r="AK615" s="185"/>
      <c r="AL615" s="103"/>
      <c r="AM615" s="103"/>
      <c r="AN615" s="103"/>
    </row>
    <row r="616" spans="1:40" x14ac:dyDescent="0.25">
      <c r="A616" s="202"/>
      <c r="C616" s="154"/>
      <c r="D616" s="154"/>
      <c r="E616" s="154"/>
      <c r="H616" s="200"/>
      <c r="I616" s="200"/>
      <c r="J616" s="213"/>
      <c r="K616" s="213"/>
      <c r="L616" s="200"/>
      <c r="M616" s="200"/>
      <c r="N616" s="213"/>
      <c r="O616" s="213"/>
      <c r="P616" s="200"/>
      <c r="Q616" s="200"/>
      <c r="R616" s="200"/>
      <c r="T616" s="154"/>
      <c r="U616" s="154"/>
      <c r="V616" s="200"/>
      <c r="Y616" s="200"/>
      <c r="Z616" s="213"/>
      <c r="AA616" s="200"/>
      <c r="AB616" s="200"/>
      <c r="AC616" s="213"/>
      <c r="AD616" s="213"/>
      <c r="AE616" s="200"/>
      <c r="AF616" s="200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F617" s="200"/>
      <c r="H617" s="211"/>
      <c r="I617" s="211"/>
      <c r="J617" s="305"/>
      <c r="K617" s="305"/>
      <c r="L617" s="211"/>
      <c r="M617" s="211"/>
      <c r="N617" s="211"/>
      <c r="O617" s="211"/>
      <c r="P617" s="211"/>
      <c r="Q617" s="211"/>
      <c r="R617" s="211"/>
      <c r="V617" s="211"/>
      <c r="Y617" s="211"/>
      <c r="Z617" s="305"/>
      <c r="AA617" s="211"/>
      <c r="AB617" s="211"/>
      <c r="AC617" s="211"/>
      <c r="AD617" s="211"/>
      <c r="AE617" s="211"/>
      <c r="AF617" s="211"/>
      <c r="AI617" s="211"/>
      <c r="AJ617" s="211"/>
      <c r="AK617" s="212"/>
      <c r="AL617" s="211"/>
      <c r="AM617" s="210"/>
      <c r="AN617" s="210"/>
    </row>
    <row r="618" spans="1:40" x14ac:dyDescent="0.25">
      <c r="A618" s="202"/>
      <c r="C618" s="154"/>
      <c r="F618" s="211"/>
      <c r="H618" s="200"/>
      <c r="I618" s="200"/>
      <c r="J618" s="213"/>
      <c r="K618" s="213"/>
      <c r="L618" s="200"/>
      <c r="M618" s="200"/>
      <c r="N618" s="213"/>
      <c r="O618" s="213"/>
      <c r="P618" s="200"/>
      <c r="Q618" s="200"/>
      <c r="R618" s="200"/>
      <c r="T618" s="154"/>
      <c r="V618" s="200"/>
      <c r="Y618" s="200"/>
      <c r="Z618" s="213"/>
      <c r="AA618" s="200"/>
      <c r="AB618" s="200"/>
      <c r="AC618" s="213"/>
      <c r="AD618" s="213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F619" s="200"/>
      <c r="H619" s="200"/>
      <c r="I619" s="200"/>
      <c r="J619" s="213"/>
      <c r="K619" s="213"/>
      <c r="L619" s="200"/>
      <c r="M619" s="200"/>
      <c r="N619" s="213"/>
      <c r="O619" s="213"/>
      <c r="P619" s="200"/>
      <c r="Q619" s="200"/>
      <c r="R619" s="200"/>
      <c r="V619" s="200"/>
      <c r="Y619" s="200"/>
      <c r="Z619" s="213"/>
      <c r="AA619" s="200"/>
      <c r="AB619" s="200"/>
      <c r="AC619" s="213"/>
      <c r="AD619" s="213"/>
      <c r="AG619" s="209"/>
      <c r="AH619" s="201"/>
      <c r="AI619" s="200"/>
      <c r="AJ619" s="200"/>
      <c r="AK619" s="209"/>
      <c r="AL619" s="200"/>
      <c r="AM619" s="210"/>
      <c r="AN619" s="210"/>
    </row>
    <row r="620" spans="1:40" x14ac:dyDescent="0.25">
      <c r="A620" s="202"/>
      <c r="C620" s="154"/>
      <c r="D620" s="154"/>
      <c r="E620" s="154"/>
      <c r="F620" s="200"/>
      <c r="H620" s="200"/>
      <c r="I620" s="200"/>
      <c r="J620" s="213"/>
      <c r="K620" s="213"/>
      <c r="L620" s="200"/>
      <c r="M620" s="200"/>
      <c r="N620" s="213"/>
      <c r="O620" s="213"/>
      <c r="P620" s="200"/>
      <c r="Q620" s="200"/>
      <c r="R620" s="200"/>
      <c r="T620" s="154"/>
      <c r="U620" s="154"/>
      <c r="V620" s="200"/>
      <c r="Y620" s="200"/>
      <c r="Z620" s="213"/>
      <c r="AA620" s="200"/>
      <c r="AB620" s="200"/>
      <c r="AC620" s="213"/>
      <c r="AD620" s="213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A621" s="202"/>
      <c r="C621" s="154"/>
      <c r="D621" s="154"/>
      <c r="E621" s="154"/>
      <c r="F621" s="200"/>
      <c r="H621" s="200"/>
      <c r="I621" s="200"/>
      <c r="J621" s="213"/>
      <c r="K621" s="213"/>
      <c r="L621" s="200"/>
      <c r="M621" s="200"/>
      <c r="N621" s="213"/>
      <c r="O621" s="213"/>
      <c r="P621" s="200"/>
      <c r="Q621" s="200"/>
      <c r="R621" s="200"/>
      <c r="T621" s="154"/>
      <c r="U621" s="154"/>
      <c r="V621" s="200"/>
      <c r="Y621" s="200"/>
      <c r="Z621" s="213"/>
      <c r="AA621" s="200"/>
      <c r="AB621" s="200"/>
      <c r="AC621" s="213"/>
      <c r="AD621" s="213"/>
      <c r="AE621" s="200"/>
      <c r="AF621" s="200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A622" s="202"/>
      <c r="C622" s="154"/>
      <c r="D622" s="154"/>
      <c r="E622" s="154"/>
      <c r="F622" s="200"/>
      <c r="H622" s="200"/>
      <c r="I622" s="200"/>
      <c r="J622" s="213"/>
      <c r="K622" s="213"/>
      <c r="L622" s="200"/>
      <c r="M622" s="200"/>
      <c r="N622" s="213"/>
      <c r="O622" s="213"/>
      <c r="P622" s="200"/>
      <c r="Q622" s="200"/>
      <c r="R622" s="200"/>
      <c r="T622" s="154"/>
      <c r="U622" s="154"/>
      <c r="V622" s="200"/>
      <c r="Y622" s="200"/>
      <c r="Z622" s="213"/>
      <c r="AA622" s="200"/>
      <c r="AB622" s="200"/>
      <c r="AC622" s="213"/>
      <c r="AD622" s="213"/>
      <c r="AE622" s="200"/>
      <c r="AF622" s="200"/>
      <c r="AG622" s="209"/>
      <c r="AH622" s="201"/>
      <c r="AI622" s="200"/>
      <c r="AJ622" s="200"/>
      <c r="AK622" s="209"/>
      <c r="AL622" s="200"/>
      <c r="AM622" s="210"/>
      <c r="AN622" s="210"/>
    </row>
    <row r="623" spans="1:40" x14ac:dyDescent="0.25">
      <c r="A623" s="202"/>
      <c r="C623" s="154"/>
      <c r="D623" s="154"/>
      <c r="E623" s="154"/>
      <c r="F623" s="200"/>
      <c r="H623" s="200"/>
      <c r="I623" s="200"/>
      <c r="J623" s="213"/>
      <c r="K623" s="213"/>
      <c r="L623" s="200"/>
      <c r="M623" s="200"/>
      <c r="N623" s="213"/>
      <c r="O623" s="213"/>
      <c r="P623" s="200"/>
      <c r="Q623" s="200"/>
      <c r="R623" s="200"/>
      <c r="T623" s="154"/>
      <c r="U623" s="154"/>
      <c r="V623" s="200"/>
      <c r="Y623" s="200"/>
      <c r="Z623" s="213"/>
      <c r="AA623" s="200"/>
      <c r="AB623" s="200"/>
      <c r="AC623" s="213"/>
      <c r="AD623" s="213"/>
      <c r="AE623" s="200"/>
      <c r="AF623" s="200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A624" s="202"/>
      <c r="C624" s="154"/>
      <c r="D624" s="154"/>
      <c r="E624" s="154"/>
      <c r="F624" s="200"/>
      <c r="H624" s="200"/>
      <c r="I624" s="200"/>
      <c r="J624" s="213"/>
      <c r="K624" s="213"/>
      <c r="L624" s="200"/>
      <c r="M624" s="200"/>
      <c r="N624" s="213"/>
      <c r="O624" s="213"/>
      <c r="P624" s="200"/>
      <c r="Q624" s="200"/>
      <c r="R624" s="200"/>
      <c r="T624" s="154"/>
      <c r="U624" s="154"/>
      <c r="V624" s="200"/>
      <c r="Y624" s="200"/>
      <c r="Z624" s="213"/>
      <c r="AA624" s="200"/>
      <c r="AB624" s="200"/>
      <c r="AC624" s="213"/>
      <c r="AD624" s="213"/>
      <c r="AE624" s="200"/>
      <c r="AF624" s="200"/>
      <c r="AG624" s="209"/>
      <c r="AH624" s="201"/>
      <c r="AI624" s="200"/>
      <c r="AJ624" s="200"/>
      <c r="AK624" s="209"/>
      <c r="AL624" s="200"/>
      <c r="AM624" s="210"/>
      <c r="AN624" s="210"/>
    </row>
    <row r="625" spans="1:40" x14ac:dyDescent="0.25">
      <c r="A625" s="202"/>
      <c r="C625" s="154"/>
      <c r="D625" s="154"/>
      <c r="E625" s="154"/>
      <c r="F625" s="200"/>
      <c r="H625" s="200"/>
      <c r="I625" s="200"/>
      <c r="J625" s="213"/>
      <c r="K625" s="213"/>
      <c r="L625" s="200"/>
      <c r="M625" s="200"/>
      <c r="N625" s="213"/>
      <c r="O625" s="213"/>
      <c r="P625" s="200"/>
      <c r="Q625" s="200"/>
      <c r="R625" s="200"/>
      <c r="T625" s="154"/>
      <c r="U625" s="154"/>
      <c r="V625" s="200"/>
      <c r="Y625" s="200"/>
      <c r="Z625" s="213"/>
      <c r="AA625" s="200"/>
      <c r="AB625" s="200"/>
      <c r="AC625" s="213"/>
      <c r="AD625" s="213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F626" s="200"/>
      <c r="H626" s="211"/>
      <c r="I626" s="211"/>
      <c r="J626" s="305"/>
      <c r="K626" s="305"/>
      <c r="L626" s="211"/>
      <c r="M626" s="211"/>
      <c r="N626" s="211"/>
      <c r="O626" s="211"/>
      <c r="P626" s="211"/>
      <c r="Q626" s="211"/>
      <c r="R626" s="211"/>
      <c r="V626" s="211"/>
      <c r="Y626" s="211"/>
      <c r="Z626" s="305"/>
      <c r="AA626" s="211"/>
      <c r="AB626" s="211"/>
      <c r="AC626" s="211"/>
      <c r="AD626" s="211"/>
      <c r="AE626" s="211"/>
      <c r="AF626" s="211"/>
      <c r="AI626" s="211"/>
      <c r="AJ626" s="211"/>
      <c r="AK626" s="212"/>
      <c r="AL626" s="211"/>
      <c r="AM626" s="210"/>
      <c r="AN626" s="210"/>
    </row>
    <row r="627" spans="1:40" x14ac:dyDescent="0.25">
      <c r="A627" s="202"/>
      <c r="C627" s="154"/>
      <c r="F627" s="211"/>
      <c r="H627" s="200"/>
      <c r="I627" s="200"/>
      <c r="J627" s="213"/>
      <c r="K627" s="213"/>
      <c r="L627" s="200"/>
      <c r="M627" s="200"/>
      <c r="N627" s="213"/>
      <c r="O627" s="213"/>
      <c r="P627" s="200"/>
      <c r="Q627" s="200"/>
      <c r="R627" s="200"/>
      <c r="T627" s="154"/>
      <c r="V627" s="200"/>
      <c r="Y627" s="200"/>
      <c r="Z627" s="213"/>
      <c r="AA627" s="200"/>
      <c r="AB627" s="200"/>
      <c r="AC627" s="213"/>
      <c r="AD627" s="213"/>
      <c r="AE627" s="200"/>
      <c r="AF627" s="200"/>
      <c r="AG627" s="209"/>
      <c r="AH627" s="201"/>
      <c r="AI627" s="200"/>
      <c r="AJ627" s="200"/>
      <c r="AK627" s="209"/>
      <c r="AL627" s="200"/>
      <c r="AM627" s="210"/>
      <c r="AN627" s="210"/>
    </row>
    <row r="628" spans="1:40" x14ac:dyDescent="0.25">
      <c r="F628" s="200"/>
      <c r="H628" s="200"/>
      <c r="I628" s="200"/>
      <c r="J628" s="213"/>
      <c r="K628" s="213"/>
      <c r="L628" s="200"/>
      <c r="M628" s="200"/>
      <c r="N628" s="213"/>
      <c r="O628" s="213"/>
      <c r="P628" s="200"/>
      <c r="Q628" s="200"/>
      <c r="R628" s="200"/>
      <c r="V628" s="200"/>
      <c r="Y628" s="200"/>
      <c r="Z628" s="213"/>
      <c r="AA628" s="200"/>
      <c r="AB628" s="200"/>
      <c r="AC628" s="213"/>
      <c r="AD628" s="213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A629" s="202"/>
      <c r="C629" s="154"/>
      <c r="D629" s="154"/>
      <c r="E629" s="154"/>
      <c r="F629" s="200"/>
      <c r="H629" s="200"/>
      <c r="I629" s="200"/>
      <c r="J629" s="213"/>
      <c r="K629" s="213"/>
      <c r="L629" s="200"/>
      <c r="M629" s="200"/>
      <c r="N629" s="213"/>
      <c r="O629" s="213"/>
      <c r="P629" s="200"/>
      <c r="Q629" s="200"/>
      <c r="R629" s="200"/>
      <c r="T629" s="154"/>
      <c r="U629" s="154"/>
      <c r="V629" s="200"/>
      <c r="Y629" s="200"/>
      <c r="Z629" s="213"/>
      <c r="AA629" s="200"/>
      <c r="AB629" s="200"/>
      <c r="AC629" s="213"/>
      <c r="AD629" s="213"/>
      <c r="AE629" s="200"/>
      <c r="AF629" s="200"/>
      <c r="AG629" s="209"/>
      <c r="AH629" s="201"/>
      <c r="AI629" s="200"/>
      <c r="AJ629" s="200"/>
      <c r="AK629" s="209"/>
      <c r="AL629" s="200"/>
      <c r="AM629" s="210"/>
      <c r="AN629" s="210"/>
    </row>
    <row r="630" spans="1:40" x14ac:dyDescent="0.25">
      <c r="F630" s="200"/>
      <c r="H630" s="211"/>
      <c r="I630" s="211"/>
      <c r="J630" s="305"/>
      <c r="K630" s="305"/>
      <c r="L630" s="211"/>
      <c r="M630" s="211"/>
      <c r="N630" s="211"/>
      <c r="O630" s="211"/>
      <c r="P630" s="211"/>
      <c r="Q630" s="211"/>
      <c r="R630" s="211"/>
      <c r="V630" s="211"/>
      <c r="Y630" s="211"/>
      <c r="Z630" s="305"/>
      <c r="AA630" s="211"/>
      <c r="AB630" s="211"/>
      <c r="AC630" s="211"/>
      <c r="AD630" s="211"/>
      <c r="AE630" s="211"/>
      <c r="AF630" s="211"/>
      <c r="AI630" s="211"/>
      <c r="AJ630" s="211"/>
      <c r="AK630" s="212"/>
      <c r="AL630" s="211"/>
      <c r="AM630" s="210"/>
      <c r="AN630" s="210"/>
    </row>
    <row r="631" spans="1:40" x14ac:dyDescent="0.25">
      <c r="A631" s="202"/>
      <c r="C631" s="154"/>
      <c r="F631" s="211"/>
      <c r="H631" s="200"/>
      <c r="I631" s="200"/>
      <c r="J631" s="213"/>
      <c r="K631" s="213"/>
      <c r="L631" s="200"/>
      <c r="M631" s="200"/>
      <c r="N631" s="213"/>
      <c r="O631" s="213"/>
      <c r="P631" s="200"/>
      <c r="Q631" s="200"/>
      <c r="R631" s="200"/>
      <c r="T631" s="154"/>
      <c r="V631" s="200"/>
      <c r="Y631" s="200"/>
      <c r="Z631" s="213"/>
      <c r="AA631" s="200"/>
      <c r="AB631" s="200"/>
      <c r="AC631" s="213"/>
      <c r="AD631" s="213"/>
      <c r="AE631" s="200"/>
      <c r="AF631" s="200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F632" s="200"/>
      <c r="H632" s="200"/>
      <c r="I632" s="200"/>
      <c r="J632" s="213"/>
      <c r="K632" s="213"/>
      <c r="L632" s="200"/>
      <c r="M632" s="200"/>
      <c r="N632" s="213"/>
      <c r="O632" s="213"/>
      <c r="P632" s="200"/>
      <c r="Q632" s="200"/>
      <c r="R632" s="200"/>
      <c r="V632" s="200"/>
      <c r="Y632" s="200"/>
      <c r="Z632" s="213"/>
      <c r="AA632" s="200"/>
      <c r="AB632" s="200"/>
      <c r="AC632" s="213"/>
      <c r="AD632" s="213"/>
      <c r="AG632" s="209"/>
      <c r="AH632" s="201"/>
      <c r="AI632" s="200"/>
      <c r="AJ632" s="200"/>
      <c r="AK632" s="209"/>
      <c r="AL632" s="200"/>
      <c r="AM632" s="210"/>
      <c r="AN632" s="210"/>
    </row>
    <row r="633" spans="1:40" x14ac:dyDescent="0.25">
      <c r="A633" s="202"/>
      <c r="C633" s="154"/>
      <c r="D633" s="154"/>
      <c r="E633" s="154"/>
      <c r="F633" s="200"/>
      <c r="H633" s="200"/>
      <c r="I633" s="200"/>
      <c r="J633" s="213"/>
      <c r="K633" s="213"/>
      <c r="L633" s="200"/>
      <c r="M633" s="200"/>
      <c r="N633" s="213"/>
      <c r="O633" s="213"/>
      <c r="P633" s="200"/>
      <c r="Q633" s="200"/>
      <c r="R633" s="200"/>
      <c r="T633" s="154"/>
      <c r="U633" s="154"/>
      <c r="V633" s="200"/>
      <c r="Y633" s="200"/>
      <c r="Z633" s="213"/>
      <c r="AA633" s="200"/>
      <c r="AB633" s="200"/>
      <c r="AC633" s="213"/>
      <c r="AD633" s="213"/>
      <c r="AE633" s="200"/>
      <c r="AF633" s="200"/>
      <c r="AG633" s="209"/>
      <c r="AH633" s="201"/>
      <c r="AI633" s="200"/>
      <c r="AJ633" s="200"/>
      <c r="AK633" s="209"/>
      <c r="AL633" s="200"/>
      <c r="AM633" s="210"/>
      <c r="AN633" s="210"/>
    </row>
    <row r="634" spans="1:40" x14ac:dyDescent="0.25">
      <c r="A634" s="202"/>
      <c r="C634" s="154"/>
      <c r="D634" s="154"/>
      <c r="E634" s="154"/>
      <c r="F634" s="200"/>
      <c r="G634" s="200"/>
      <c r="H634" s="200"/>
      <c r="I634" s="200"/>
      <c r="J634" s="213"/>
      <c r="K634" s="213"/>
      <c r="L634" s="200"/>
      <c r="M634" s="200"/>
      <c r="N634" s="213"/>
      <c r="O634" s="213"/>
      <c r="P634" s="200"/>
      <c r="Q634" s="200"/>
      <c r="R634" s="200"/>
      <c r="T634" s="154"/>
      <c r="U634" s="154"/>
      <c r="V634" s="200"/>
      <c r="W634" s="200"/>
      <c r="X634" s="200"/>
      <c r="Y634" s="200"/>
      <c r="Z634" s="213"/>
      <c r="AA634" s="200"/>
      <c r="AB634" s="200"/>
      <c r="AC634" s="213"/>
      <c r="AD634" s="213"/>
      <c r="AE634" s="200"/>
      <c r="AF634" s="200"/>
      <c r="AG634" s="209"/>
      <c r="AH634" s="201"/>
      <c r="AI634" s="200"/>
      <c r="AJ634" s="200"/>
      <c r="AK634" s="209"/>
      <c r="AL634" s="200"/>
      <c r="AM634" s="210"/>
      <c r="AN634" s="210"/>
    </row>
    <row r="635" spans="1:40" x14ac:dyDescent="0.25">
      <c r="A635" s="202"/>
      <c r="C635" s="154"/>
      <c r="D635" s="154"/>
      <c r="E635" s="154"/>
      <c r="F635" s="200"/>
      <c r="G635" s="200"/>
      <c r="H635" s="200"/>
      <c r="I635" s="200"/>
      <c r="J635" s="213"/>
      <c r="K635" s="213"/>
      <c r="L635" s="200"/>
      <c r="M635" s="200"/>
      <c r="N635" s="213"/>
      <c r="O635" s="213"/>
      <c r="P635" s="200"/>
      <c r="Q635" s="200"/>
      <c r="R635" s="200"/>
      <c r="T635" s="154"/>
      <c r="U635" s="154"/>
      <c r="V635" s="200"/>
      <c r="W635" s="200"/>
      <c r="X635" s="200"/>
      <c r="Y635" s="200"/>
      <c r="Z635" s="213"/>
      <c r="AA635" s="200"/>
      <c r="AB635" s="200"/>
      <c r="AC635" s="213"/>
      <c r="AD635" s="213"/>
      <c r="AE635" s="200"/>
      <c r="AF635" s="200"/>
      <c r="AG635" s="209"/>
      <c r="AH635" s="201"/>
      <c r="AI635" s="200"/>
      <c r="AJ635" s="200"/>
      <c r="AK635" s="209"/>
      <c r="AL635" s="200"/>
      <c r="AM635" s="210"/>
      <c r="AN635" s="210"/>
    </row>
    <row r="636" spans="1:40" x14ac:dyDescent="0.25">
      <c r="A636" s="202"/>
      <c r="C636" s="154"/>
      <c r="D636" s="154"/>
      <c r="E636" s="154"/>
      <c r="F636" s="200"/>
      <c r="H636" s="200"/>
      <c r="I636" s="200"/>
      <c r="J636" s="213"/>
      <c r="K636" s="213"/>
      <c r="L636" s="200"/>
      <c r="M636" s="200"/>
      <c r="N636" s="213"/>
      <c r="O636" s="213"/>
      <c r="P636" s="200"/>
      <c r="Q636" s="200"/>
      <c r="R636" s="200"/>
      <c r="T636" s="154"/>
      <c r="U636" s="154"/>
      <c r="V636" s="200"/>
      <c r="Y636" s="200"/>
      <c r="Z636" s="213"/>
      <c r="AA636" s="200"/>
      <c r="AB636" s="200"/>
      <c r="AC636" s="213"/>
      <c r="AD636" s="213"/>
      <c r="AE636" s="200"/>
      <c r="AF636" s="200"/>
      <c r="AG636" s="209"/>
      <c r="AH636" s="201"/>
      <c r="AI636" s="200"/>
      <c r="AJ636" s="200"/>
      <c r="AK636" s="209"/>
      <c r="AL636" s="200"/>
      <c r="AM636" s="210"/>
      <c r="AN636" s="210"/>
    </row>
    <row r="637" spans="1:40" x14ac:dyDescent="0.25">
      <c r="A637" s="202"/>
      <c r="C637" s="154"/>
      <c r="D637" s="154"/>
      <c r="E637" s="154"/>
      <c r="F637" s="200"/>
      <c r="H637" s="200"/>
      <c r="I637" s="200"/>
      <c r="J637" s="213"/>
      <c r="K637" s="213"/>
      <c r="L637" s="200"/>
      <c r="M637" s="200"/>
      <c r="N637" s="213"/>
      <c r="O637" s="213"/>
      <c r="P637" s="200"/>
      <c r="Q637" s="200"/>
      <c r="R637" s="200"/>
      <c r="T637" s="154"/>
      <c r="U637" s="154"/>
      <c r="V637" s="200"/>
      <c r="Y637" s="200"/>
      <c r="Z637" s="213"/>
      <c r="AA637" s="200"/>
      <c r="AB637" s="200"/>
      <c r="AC637" s="213"/>
      <c r="AD637" s="213"/>
      <c r="AE637" s="200"/>
      <c r="AF637" s="200"/>
      <c r="AG637" s="209"/>
      <c r="AH637" s="201"/>
      <c r="AI637" s="200"/>
      <c r="AJ637" s="200"/>
      <c r="AK637" s="209"/>
      <c r="AL637" s="200"/>
      <c r="AM637" s="210"/>
      <c r="AN637" s="210"/>
    </row>
    <row r="638" spans="1:40" x14ac:dyDescent="0.25">
      <c r="A638" s="202"/>
      <c r="C638" s="154"/>
      <c r="D638" s="154"/>
      <c r="E638" s="154"/>
      <c r="F638" s="200"/>
      <c r="H638" s="200"/>
      <c r="I638" s="200"/>
      <c r="J638" s="213"/>
      <c r="K638" s="213"/>
      <c r="L638" s="200"/>
      <c r="M638" s="200"/>
      <c r="N638" s="213"/>
      <c r="O638" s="213"/>
      <c r="P638" s="200"/>
      <c r="Q638" s="200"/>
      <c r="R638" s="200"/>
      <c r="T638" s="154"/>
      <c r="U638" s="154"/>
      <c r="V638" s="200"/>
      <c r="Y638" s="200"/>
      <c r="Z638" s="213"/>
      <c r="AA638" s="200"/>
      <c r="AB638" s="200"/>
      <c r="AC638" s="213"/>
      <c r="AD638" s="213"/>
      <c r="AE638" s="200"/>
      <c r="AF638" s="200"/>
      <c r="AG638" s="209"/>
      <c r="AH638" s="201"/>
      <c r="AI638" s="200"/>
      <c r="AJ638" s="200"/>
      <c r="AK638" s="209"/>
      <c r="AL638" s="200"/>
      <c r="AM638" s="210"/>
      <c r="AN638" s="210"/>
    </row>
    <row r="639" spans="1:40" x14ac:dyDescent="0.25">
      <c r="A639" s="202"/>
      <c r="C639" s="154"/>
      <c r="D639" s="154"/>
      <c r="E639" s="154"/>
      <c r="F639" s="200"/>
      <c r="H639" s="200"/>
      <c r="I639" s="200"/>
      <c r="J639" s="213"/>
      <c r="K639" s="213"/>
      <c r="L639" s="200"/>
      <c r="M639" s="200"/>
      <c r="N639" s="213"/>
      <c r="O639" s="213"/>
      <c r="P639" s="200"/>
      <c r="Q639" s="200"/>
      <c r="R639" s="200"/>
      <c r="T639" s="154"/>
      <c r="U639" s="154"/>
      <c r="V639" s="200"/>
      <c r="Y639" s="200"/>
      <c r="Z639" s="213"/>
      <c r="AA639" s="200"/>
      <c r="AB639" s="200"/>
      <c r="AC639" s="213"/>
      <c r="AD639" s="213"/>
      <c r="AE639" s="200"/>
      <c r="AF639" s="200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F640" s="200"/>
      <c r="H640" s="211"/>
      <c r="I640" s="211"/>
      <c r="J640" s="305"/>
      <c r="K640" s="305"/>
      <c r="L640" s="211"/>
      <c r="M640" s="211"/>
      <c r="N640" s="211"/>
      <c r="O640" s="211"/>
      <c r="P640" s="211"/>
      <c r="Q640" s="211"/>
      <c r="R640" s="211"/>
      <c r="V640" s="211"/>
      <c r="Y640" s="211"/>
      <c r="Z640" s="305"/>
      <c r="AA640" s="211"/>
      <c r="AB640" s="211"/>
      <c r="AC640" s="211"/>
      <c r="AD640" s="211"/>
      <c r="AE640" s="211"/>
      <c r="AF640" s="211"/>
      <c r="AI640" s="211"/>
      <c r="AJ640" s="211"/>
      <c r="AK640" s="212"/>
      <c r="AL640" s="211"/>
      <c r="AM640" s="210"/>
      <c r="AN640" s="210"/>
    </row>
    <row r="641" spans="1:40" x14ac:dyDescent="0.25">
      <c r="A641" s="202"/>
      <c r="C641" s="154"/>
      <c r="F641" s="211"/>
      <c r="H641" s="200"/>
      <c r="I641" s="200"/>
      <c r="J641" s="213"/>
      <c r="K641" s="213"/>
      <c r="L641" s="200"/>
      <c r="M641" s="200"/>
      <c r="N641" s="213"/>
      <c r="O641" s="213"/>
      <c r="P641" s="200"/>
      <c r="Q641" s="200"/>
      <c r="R641" s="200"/>
      <c r="T641" s="154"/>
      <c r="V641" s="200"/>
      <c r="Y641" s="200"/>
      <c r="Z641" s="213"/>
      <c r="AA641" s="200"/>
      <c r="AB641" s="200"/>
      <c r="AC641" s="213"/>
      <c r="AD641" s="213"/>
      <c r="AE641" s="200"/>
      <c r="AF641" s="200"/>
      <c r="AG641" s="209"/>
      <c r="AH641" s="201"/>
      <c r="AI641" s="200"/>
      <c r="AJ641" s="200"/>
      <c r="AK641" s="209"/>
      <c r="AL641" s="200"/>
      <c r="AM641" s="210"/>
      <c r="AN641" s="210"/>
    </row>
    <row r="642" spans="1:40" x14ac:dyDescent="0.25">
      <c r="F642" s="200"/>
      <c r="V642" s="200"/>
      <c r="Y642" s="200"/>
      <c r="Z642" s="305"/>
      <c r="AA642" s="200"/>
      <c r="AB642" s="200"/>
      <c r="AC642" s="200"/>
      <c r="AD642" s="200"/>
      <c r="AE642" s="200"/>
      <c r="AF642" s="200"/>
      <c r="AI642" s="200"/>
      <c r="AJ642" s="200"/>
      <c r="AK642" s="209"/>
      <c r="AL642" s="200"/>
      <c r="AM642" s="210"/>
      <c r="AN642" s="210"/>
    </row>
    <row r="643" spans="1:40" x14ac:dyDescent="0.25">
      <c r="A643" s="202"/>
      <c r="C643" s="154"/>
      <c r="D643" s="154"/>
      <c r="E643" s="154"/>
      <c r="L643" s="200"/>
      <c r="M643" s="200"/>
      <c r="N643" s="213"/>
      <c r="O643" s="213"/>
      <c r="P643" s="202"/>
      <c r="Q643" s="202"/>
      <c r="R643" s="200"/>
      <c r="T643" s="154"/>
      <c r="U643" s="154"/>
      <c r="AA643" s="200"/>
      <c r="AB643" s="200"/>
      <c r="AC643" s="213"/>
      <c r="AD643" s="213"/>
      <c r="AE643" s="200"/>
      <c r="AF643" s="200"/>
      <c r="AG643" s="209"/>
      <c r="AH643" s="201"/>
      <c r="AI643" s="202"/>
      <c r="AJ643" s="202"/>
      <c r="AK643" s="209"/>
      <c r="AL643" s="200"/>
      <c r="AM643" s="210"/>
      <c r="AN643" s="210"/>
    </row>
    <row r="644" spans="1:40" x14ac:dyDescent="0.25">
      <c r="A644" s="202"/>
      <c r="D644" s="154"/>
      <c r="E644" s="154"/>
      <c r="H644" s="252"/>
      <c r="I644" s="252"/>
      <c r="J644" s="213"/>
      <c r="K644" s="213"/>
      <c r="L644" s="200"/>
      <c r="M644" s="200"/>
      <c r="N644" s="213"/>
      <c r="O644" s="213"/>
      <c r="P644" s="252"/>
      <c r="Q644" s="252"/>
      <c r="R644" s="200"/>
      <c r="U644" s="154"/>
      <c r="V644" s="200"/>
      <c r="Y644" s="200"/>
      <c r="Z644" s="213"/>
      <c r="AA644" s="200"/>
      <c r="AB644" s="200"/>
      <c r="AC644" s="213"/>
      <c r="AD644" s="213"/>
      <c r="AE644" s="200"/>
      <c r="AF644" s="200"/>
      <c r="AG644" s="209"/>
      <c r="AH644" s="201"/>
      <c r="AI644" s="200"/>
      <c r="AJ644" s="200"/>
      <c r="AK644" s="209"/>
      <c r="AL644" s="200"/>
      <c r="AM644" s="210"/>
      <c r="AN644" s="210"/>
    </row>
    <row r="645" spans="1:40" x14ac:dyDescent="0.25">
      <c r="F645" s="252"/>
      <c r="H645" s="211"/>
      <c r="I645" s="211"/>
      <c r="J645" s="305"/>
      <c r="K645" s="305"/>
      <c r="L645" s="211"/>
      <c r="M645" s="211"/>
      <c r="N645" s="211"/>
      <c r="O645" s="211"/>
      <c r="P645" s="211"/>
      <c r="Q645" s="211"/>
      <c r="R645" s="211"/>
      <c r="V645" s="211"/>
      <c r="Y645" s="211"/>
      <c r="Z645" s="305"/>
      <c r="AA645" s="211"/>
      <c r="AB645" s="211"/>
      <c r="AC645" s="211"/>
      <c r="AD645" s="211"/>
      <c r="AE645" s="211"/>
      <c r="AF645" s="211"/>
      <c r="AI645" s="211"/>
      <c r="AJ645" s="211"/>
      <c r="AK645" s="212"/>
      <c r="AL645" s="211"/>
      <c r="AM645" s="210"/>
      <c r="AN645" s="210"/>
    </row>
    <row r="646" spans="1:40" x14ac:dyDescent="0.25">
      <c r="A646" s="202"/>
      <c r="C646" s="154"/>
      <c r="F646" s="211"/>
      <c r="H646" s="200"/>
      <c r="I646" s="200"/>
      <c r="J646" s="213"/>
      <c r="K646" s="213"/>
      <c r="L646" s="200"/>
      <c r="M646" s="200"/>
      <c r="N646" s="213"/>
      <c r="O646" s="213"/>
      <c r="P646" s="200"/>
      <c r="Q646" s="200"/>
      <c r="R646" s="200"/>
      <c r="T646" s="154"/>
      <c r="V646" s="200"/>
      <c r="Y646" s="200"/>
      <c r="Z646" s="213"/>
      <c r="AA646" s="200"/>
      <c r="AB646" s="200"/>
      <c r="AC646" s="213"/>
      <c r="AD646" s="213"/>
      <c r="AE646" s="200"/>
      <c r="AF646" s="200"/>
      <c r="AG646" s="209"/>
      <c r="AH646" s="201"/>
      <c r="AI646" s="200"/>
      <c r="AJ646" s="200"/>
      <c r="AK646" s="209"/>
      <c r="AL646" s="200"/>
      <c r="AM646" s="210"/>
      <c r="AN646" s="210"/>
    </row>
    <row r="647" spans="1:40" x14ac:dyDescent="0.25">
      <c r="F647" s="200"/>
      <c r="H647" s="200"/>
      <c r="I647" s="200"/>
      <c r="J647" s="213"/>
      <c r="K647" s="213"/>
      <c r="L647" s="200"/>
      <c r="M647" s="200"/>
      <c r="N647" s="213"/>
      <c r="O647" s="213"/>
      <c r="P647" s="200"/>
      <c r="Q647" s="200"/>
      <c r="R647" s="200"/>
      <c r="V647" s="200"/>
      <c r="Y647" s="200"/>
      <c r="Z647" s="213"/>
      <c r="AA647" s="200"/>
      <c r="AB647" s="200"/>
      <c r="AC647" s="213"/>
      <c r="AD647" s="213"/>
      <c r="AG647" s="209"/>
      <c r="AH647" s="201"/>
      <c r="AI647" s="200"/>
      <c r="AJ647" s="200"/>
      <c r="AK647" s="209"/>
      <c r="AL647" s="200"/>
      <c r="AM647" s="210"/>
      <c r="AN647" s="210"/>
    </row>
    <row r="648" spans="1:40" x14ac:dyDescent="0.25">
      <c r="A648" s="202"/>
      <c r="D648" s="154"/>
      <c r="E648" s="154"/>
      <c r="F648" s="200"/>
      <c r="H648" s="200"/>
      <c r="I648" s="200"/>
      <c r="J648" s="213"/>
      <c r="K648" s="213"/>
      <c r="L648" s="252"/>
      <c r="M648" s="252"/>
      <c r="N648" s="213"/>
      <c r="O648" s="213"/>
      <c r="P648" s="200"/>
      <c r="Q648" s="200"/>
      <c r="R648" s="200"/>
      <c r="U648" s="154"/>
      <c r="V648" s="200"/>
      <c r="Y648" s="200"/>
      <c r="Z648" s="213"/>
      <c r="AA648" s="252"/>
      <c r="AB648" s="252"/>
      <c r="AC648" s="213"/>
      <c r="AD648" s="213"/>
      <c r="AE648" s="200"/>
      <c r="AF648" s="200"/>
      <c r="AG648" s="209"/>
      <c r="AH648" s="201"/>
      <c r="AI648" s="200"/>
      <c r="AJ648" s="200"/>
      <c r="AK648" s="209"/>
      <c r="AL648" s="200"/>
      <c r="AM648" s="210"/>
      <c r="AN648" s="210"/>
    </row>
    <row r="649" spans="1:40" x14ac:dyDescent="0.25">
      <c r="A649" s="202"/>
      <c r="D649" s="154"/>
      <c r="E649" s="154"/>
      <c r="F649" s="200"/>
      <c r="H649" s="200"/>
      <c r="I649" s="200"/>
      <c r="J649" s="213"/>
      <c r="K649" s="213"/>
      <c r="L649" s="252"/>
      <c r="M649" s="252"/>
      <c r="N649" s="213"/>
      <c r="O649" s="213"/>
      <c r="P649" s="200"/>
      <c r="Q649" s="200"/>
      <c r="R649" s="200"/>
      <c r="U649" s="154"/>
      <c r="V649" s="200"/>
      <c r="Y649" s="200"/>
      <c r="Z649" s="213"/>
      <c r="AA649" s="252"/>
      <c r="AB649" s="252"/>
      <c r="AC649" s="213"/>
      <c r="AD649" s="213"/>
      <c r="AE649" s="200"/>
      <c r="AF649" s="200"/>
      <c r="AG649" s="209"/>
      <c r="AH649" s="201"/>
      <c r="AI649" s="200"/>
      <c r="AJ649" s="200"/>
      <c r="AK649" s="209"/>
      <c r="AL649" s="200"/>
      <c r="AM649" s="210"/>
      <c r="AN649" s="210"/>
    </row>
    <row r="650" spans="1:40" x14ac:dyDescent="0.25">
      <c r="A650" s="202"/>
      <c r="D650" s="154"/>
      <c r="E650" s="154"/>
      <c r="F650" s="200"/>
      <c r="H650" s="200"/>
      <c r="I650" s="200"/>
      <c r="J650" s="213"/>
      <c r="K650" s="213"/>
      <c r="L650" s="252"/>
      <c r="M650" s="252"/>
      <c r="N650" s="213"/>
      <c r="O650" s="213"/>
      <c r="P650" s="200"/>
      <c r="Q650" s="200"/>
      <c r="R650" s="200"/>
      <c r="U650" s="154"/>
      <c r="V650" s="200"/>
      <c r="Y650" s="200"/>
      <c r="Z650" s="213"/>
      <c r="AA650" s="252"/>
      <c r="AB650" s="252"/>
      <c r="AC650" s="213"/>
      <c r="AD650" s="213"/>
      <c r="AE650" s="200"/>
      <c r="AF650" s="200"/>
      <c r="AG650" s="209"/>
      <c r="AH650" s="201"/>
      <c r="AI650" s="200"/>
      <c r="AJ650" s="200"/>
      <c r="AK650" s="209"/>
      <c r="AL650" s="200"/>
      <c r="AM650" s="210"/>
      <c r="AN650" s="210"/>
    </row>
    <row r="651" spans="1:40" x14ac:dyDescent="0.25">
      <c r="F651" s="200"/>
      <c r="H651" s="211"/>
      <c r="I651" s="211"/>
      <c r="J651" s="305"/>
      <c r="K651" s="305"/>
      <c r="L651" s="211"/>
      <c r="M651" s="211"/>
      <c r="N651" s="211"/>
      <c r="O651" s="211"/>
      <c r="P651" s="211"/>
      <c r="Q651" s="211"/>
      <c r="R651" s="211"/>
      <c r="V651" s="211"/>
      <c r="Y651" s="211"/>
      <c r="Z651" s="305"/>
      <c r="AA651" s="211"/>
      <c r="AB651" s="211"/>
      <c r="AC651" s="211"/>
      <c r="AD651" s="211"/>
      <c r="AE651" s="211"/>
      <c r="AF651" s="211"/>
      <c r="AI651" s="211"/>
      <c r="AJ651" s="211"/>
      <c r="AK651" s="212"/>
      <c r="AL651" s="211"/>
      <c r="AM651" s="210"/>
      <c r="AN651" s="210"/>
    </row>
    <row r="652" spans="1:40" x14ac:dyDescent="0.25">
      <c r="A652" s="202"/>
      <c r="C652" s="154"/>
      <c r="F652" s="211"/>
      <c r="H652" s="200"/>
      <c r="I652" s="200"/>
      <c r="J652" s="213"/>
      <c r="K652" s="213"/>
      <c r="L652" s="200"/>
      <c r="M652" s="200"/>
      <c r="N652" s="213"/>
      <c r="O652" s="213"/>
      <c r="P652" s="200"/>
      <c r="Q652" s="200"/>
      <c r="R652" s="200"/>
      <c r="T652" s="154"/>
      <c r="V652" s="200"/>
      <c r="Y652" s="200"/>
      <c r="Z652" s="213"/>
      <c r="AA652" s="200"/>
      <c r="AB652" s="200"/>
      <c r="AC652" s="213"/>
      <c r="AD652" s="213"/>
      <c r="AE652" s="200"/>
      <c r="AF652" s="200"/>
      <c r="AG652" s="209"/>
      <c r="AH652" s="201"/>
      <c r="AI652" s="200"/>
      <c r="AJ652" s="200"/>
      <c r="AK652" s="209"/>
      <c r="AL652" s="200"/>
      <c r="AM652" s="210"/>
      <c r="AN652" s="210"/>
    </row>
    <row r="653" spans="1:40" x14ac:dyDescent="0.25">
      <c r="F653" s="200"/>
      <c r="H653" s="200"/>
      <c r="I653" s="200"/>
      <c r="J653" s="213"/>
      <c r="K653" s="213"/>
      <c r="L653" s="200"/>
      <c r="M653" s="200"/>
      <c r="N653" s="213"/>
      <c r="O653" s="213"/>
      <c r="P653" s="200"/>
      <c r="Q653" s="200"/>
      <c r="R653" s="200"/>
      <c r="V653" s="200"/>
      <c r="Y653" s="200"/>
      <c r="Z653" s="213"/>
      <c r="AA653" s="200"/>
      <c r="AB653" s="200"/>
      <c r="AC653" s="213"/>
      <c r="AD653" s="213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C654" s="154"/>
      <c r="F654" s="200"/>
      <c r="H654" s="200"/>
      <c r="I654" s="200"/>
      <c r="J654" s="213"/>
      <c r="K654" s="213"/>
      <c r="L654" s="200"/>
      <c r="M654" s="200"/>
      <c r="N654" s="213"/>
      <c r="O654" s="213"/>
      <c r="P654" s="200"/>
      <c r="Q654" s="200"/>
      <c r="R654" s="200"/>
      <c r="T654" s="154"/>
      <c r="V654" s="200"/>
      <c r="Y654" s="200"/>
      <c r="Z654" s="213"/>
      <c r="AA654" s="200"/>
      <c r="AB654" s="200"/>
      <c r="AC654" s="213"/>
      <c r="AD654" s="213"/>
      <c r="AE654" s="200"/>
      <c r="AF654" s="200"/>
      <c r="AG654" s="209"/>
      <c r="AH654" s="201"/>
      <c r="AI654" s="200"/>
      <c r="AJ654" s="200"/>
      <c r="AK654" s="209"/>
      <c r="AL654" s="200"/>
      <c r="AM654" s="210"/>
      <c r="AN654" s="210"/>
    </row>
    <row r="655" spans="1:40" x14ac:dyDescent="0.25">
      <c r="F655" s="200"/>
      <c r="H655" s="211"/>
      <c r="I655" s="211"/>
      <c r="J655" s="305"/>
      <c r="K655" s="305"/>
      <c r="L655" s="211"/>
      <c r="M655" s="211"/>
      <c r="N655" s="211"/>
      <c r="O655" s="211"/>
      <c r="P655" s="211"/>
      <c r="Q655" s="211"/>
      <c r="R655" s="211"/>
      <c r="V655" s="211"/>
      <c r="Y655" s="211"/>
      <c r="Z655" s="305"/>
      <c r="AA655" s="211"/>
      <c r="AB655" s="211"/>
      <c r="AC655" s="211"/>
      <c r="AD655" s="211"/>
      <c r="AE655" s="211"/>
      <c r="AF655" s="211"/>
      <c r="AI655" s="211"/>
      <c r="AJ655" s="211"/>
      <c r="AK655" s="212"/>
      <c r="AL655" s="211"/>
    </row>
    <row r="657" spans="1:20" x14ac:dyDescent="0.25">
      <c r="C657" s="154"/>
      <c r="F657" s="211"/>
      <c r="L657" s="200"/>
      <c r="M657" s="200"/>
      <c r="P657" s="200"/>
      <c r="Q657" s="200"/>
      <c r="R657" s="200"/>
      <c r="T657" s="154"/>
    </row>
    <row r="658" spans="1:20" x14ac:dyDescent="0.25">
      <c r="A658" s="154"/>
      <c r="L658" s="200"/>
      <c r="M658" s="200"/>
      <c r="P658" s="200"/>
      <c r="Q658" s="200"/>
      <c r="R658" s="200"/>
    </row>
    <row r="659" spans="1:20" x14ac:dyDescent="0.25">
      <c r="L659" s="200"/>
      <c r="M659" s="200"/>
      <c r="P659" s="200"/>
      <c r="Q659" s="200"/>
      <c r="R659" s="200"/>
    </row>
    <row r="660" spans="1:20" x14ac:dyDescent="0.25">
      <c r="L660" s="200"/>
      <c r="M660" s="200"/>
      <c r="P660" s="200"/>
      <c r="Q660" s="200"/>
      <c r="R660" s="200"/>
    </row>
    <row r="661" spans="1:20" x14ac:dyDescent="0.25">
      <c r="L661" s="200"/>
      <c r="M661" s="200"/>
      <c r="P661" s="200"/>
      <c r="Q661" s="200"/>
      <c r="R661" s="200"/>
    </row>
    <row r="662" spans="1:20" x14ac:dyDescent="0.25">
      <c r="L662" s="200"/>
      <c r="M662" s="200"/>
      <c r="P662" s="200"/>
      <c r="Q662" s="200"/>
      <c r="R662" s="200"/>
    </row>
    <row r="663" spans="1:20" x14ac:dyDescent="0.25">
      <c r="L663" s="200"/>
      <c r="M663" s="200"/>
      <c r="P663" s="200"/>
      <c r="Q663" s="200"/>
      <c r="R663" s="200"/>
    </row>
    <row r="696" spans="49:49" x14ac:dyDescent="0.25">
      <c r="AW696" s="200"/>
    </row>
    <row r="697" spans="49:49" x14ac:dyDescent="0.25">
      <c r="AW697" s="200"/>
    </row>
    <row r="698" spans="49:49" x14ac:dyDescent="0.25">
      <c r="AW698" s="200"/>
    </row>
    <row r="699" spans="49:49" x14ac:dyDescent="0.25">
      <c r="AW699" s="200"/>
    </row>
    <row r="700" spans="49:49" x14ac:dyDescent="0.25">
      <c r="AW700" s="200"/>
    </row>
    <row r="701" spans="49:49" x14ac:dyDescent="0.25">
      <c r="AW701" s="200"/>
    </row>
    <row r="704" spans="49:49" x14ac:dyDescent="0.25">
      <c r="AW704" s="200"/>
    </row>
    <row r="705" spans="49:49" x14ac:dyDescent="0.25">
      <c r="AW705" s="200"/>
    </row>
    <row r="706" spans="49:49" x14ac:dyDescent="0.25">
      <c r="AW706" s="200"/>
    </row>
    <row r="707" spans="49:49" x14ac:dyDescent="0.25">
      <c r="AW707" s="200"/>
    </row>
    <row r="708" spans="49:49" x14ac:dyDescent="0.25">
      <c r="AW708" s="200"/>
    </row>
    <row r="709" spans="49:49" x14ac:dyDescent="0.25">
      <c r="AW709" s="200"/>
    </row>
    <row r="710" spans="49:49" x14ac:dyDescent="0.25">
      <c r="AW710" s="200"/>
    </row>
    <row r="711" spans="49:49" x14ac:dyDescent="0.25">
      <c r="AW711" s="200"/>
    </row>
    <row r="714" spans="49:49" x14ac:dyDescent="0.25">
      <c r="AW714" s="200"/>
    </row>
    <row r="715" spans="49:49" x14ac:dyDescent="0.25">
      <c r="AW715" s="200"/>
    </row>
    <row r="718" spans="49:49" x14ac:dyDescent="0.25">
      <c r="AW718" s="200"/>
    </row>
    <row r="719" spans="49:49" x14ac:dyDescent="0.25">
      <c r="AW719" s="200"/>
    </row>
    <row r="720" spans="49:49" x14ac:dyDescent="0.25">
      <c r="AW720" s="200"/>
    </row>
    <row r="721" spans="45:57" x14ac:dyDescent="0.25">
      <c r="AW721" s="200"/>
    </row>
    <row r="727" spans="45:57" x14ac:dyDescent="0.25">
      <c r="AY727" s="202"/>
    </row>
    <row r="728" spans="45:57" x14ac:dyDescent="0.25">
      <c r="AY728" s="202"/>
    </row>
    <row r="729" spans="45:57" x14ac:dyDescent="0.25">
      <c r="AY729" s="154"/>
    </row>
    <row r="730" spans="45:57" x14ac:dyDescent="0.25">
      <c r="AY730" s="154"/>
    </row>
    <row r="731" spans="45:57" x14ac:dyDescent="0.25">
      <c r="AS731" s="202"/>
      <c r="BD731" s="154"/>
    </row>
    <row r="732" spans="45:57" x14ac:dyDescent="0.25">
      <c r="AS732" s="202"/>
      <c r="BD732" s="154"/>
    </row>
    <row r="733" spans="45:57" x14ac:dyDescent="0.25">
      <c r="AS733" s="154"/>
      <c r="BD733" s="154"/>
    </row>
    <row r="734" spans="45:57" x14ac:dyDescent="0.25">
      <c r="BD734" s="202"/>
    </row>
    <row r="735" spans="45:57" x14ac:dyDescent="0.25"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</row>
    <row r="736" spans="45:57" x14ac:dyDescent="0.25">
      <c r="AX736" s="154"/>
    </row>
    <row r="737" spans="45:69" x14ac:dyDescent="0.25">
      <c r="AX737" s="102"/>
      <c r="AY737" s="102"/>
      <c r="AZ737" s="102"/>
      <c r="BA737" s="102"/>
      <c r="BC737" s="103"/>
      <c r="BD737" s="103"/>
    </row>
    <row r="738" spans="45:69" x14ac:dyDescent="0.25">
      <c r="AV738" s="103"/>
      <c r="AW738" s="103"/>
      <c r="AZ738" s="103"/>
      <c r="BA738" s="103"/>
      <c r="BC738" s="103"/>
      <c r="BD738" s="103"/>
      <c r="BE738" s="103"/>
      <c r="BG738" s="102"/>
      <c r="BH738" s="154"/>
      <c r="BK738" s="102"/>
      <c r="BM738" s="102"/>
      <c r="BN738" s="154"/>
      <c r="BQ738" s="102"/>
    </row>
    <row r="739" spans="45:69" x14ac:dyDescent="0.25"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H739" s="103"/>
      <c r="BI739" s="103"/>
      <c r="BJ739" s="103"/>
      <c r="BN739" s="103"/>
      <c r="BO739" s="103"/>
      <c r="BP739" s="103"/>
    </row>
    <row r="740" spans="45:69" x14ac:dyDescent="0.25">
      <c r="AS740" s="103"/>
      <c r="AU740" s="154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G740" s="103"/>
      <c r="BH740" s="103"/>
      <c r="BI740" s="103"/>
      <c r="BJ740" s="103"/>
      <c r="BK740" s="103"/>
      <c r="BM740" s="103"/>
      <c r="BN740" s="103"/>
      <c r="BO740" s="103"/>
      <c r="BP740" s="103"/>
      <c r="BQ740" s="103"/>
    </row>
    <row r="741" spans="45:69" x14ac:dyDescent="0.25">
      <c r="AS741" s="103"/>
      <c r="AU741" s="154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G741" s="103"/>
      <c r="BH741" s="103"/>
      <c r="BI741" s="103"/>
      <c r="BJ741" s="103"/>
      <c r="BK741" s="103"/>
      <c r="BM741" s="103"/>
      <c r="BN741" s="103"/>
      <c r="BO741" s="103"/>
      <c r="BP741" s="103"/>
      <c r="BQ741" s="103"/>
    </row>
    <row r="742" spans="45:69" x14ac:dyDescent="0.25"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G742" s="102"/>
      <c r="BH742" s="102"/>
      <c r="BI742" s="102"/>
      <c r="BJ742" s="102"/>
      <c r="BK742" s="102"/>
      <c r="BM742" s="102"/>
      <c r="BN742" s="102"/>
      <c r="BO742" s="102"/>
      <c r="BP742" s="102"/>
      <c r="BQ742" s="102"/>
    </row>
    <row r="743" spans="45:69" x14ac:dyDescent="0.25"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</row>
    <row r="744" spans="45:69" x14ac:dyDescent="0.25">
      <c r="AS744" s="202"/>
      <c r="AU744" s="154"/>
      <c r="AV744" s="103"/>
      <c r="AY744" s="213"/>
    </row>
    <row r="745" spans="45:69" x14ac:dyDescent="0.25">
      <c r="AS745" s="202"/>
      <c r="AV745" s="103"/>
      <c r="AW745" s="200"/>
      <c r="AX745" s="334"/>
      <c r="AY745" s="334"/>
      <c r="AZ745" s="334"/>
      <c r="BA745" s="210"/>
      <c r="BB745" s="334"/>
      <c r="BC745" s="213"/>
      <c r="BD745" s="213"/>
      <c r="BE745" s="210"/>
      <c r="BG745" s="334"/>
      <c r="BH745" s="334"/>
      <c r="BI745" s="334"/>
      <c r="BJ745" s="334"/>
      <c r="BK745" s="334"/>
      <c r="BM745" s="334"/>
      <c r="BN745" s="334"/>
      <c r="BO745" s="334"/>
      <c r="BP745" s="334"/>
      <c r="BQ745" s="334"/>
    </row>
    <row r="746" spans="45:69" x14ac:dyDescent="0.25">
      <c r="AS746" s="202"/>
      <c r="AV746" s="103"/>
      <c r="AW746" s="200"/>
      <c r="AX746" s="334"/>
      <c r="AY746" s="334"/>
      <c r="AZ746" s="334"/>
      <c r="BA746" s="210"/>
      <c r="BB746" s="334"/>
      <c r="BC746" s="213"/>
      <c r="BD746" s="213"/>
      <c r="BE746" s="210"/>
      <c r="BG746" s="334"/>
      <c r="BH746" s="334"/>
      <c r="BI746" s="334"/>
      <c r="BJ746" s="334"/>
      <c r="BK746" s="334"/>
      <c r="BM746" s="334"/>
      <c r="BN746" s="334"/>
      <c r="BO746" s="334"/>
      <c r="BP746" s="334"/>
      <c r="BQ746" s="334"/>
    </row>
    <row r="747" spans="45:69" x14ac:dyDescent="0.25">
      <c r="AS747" s="202"/>
      <c r="AV747" s="103"/>
      <c r="AW747" s="200"/>
      <c r="AX747" s="334"/>
      <c r="AY747" s="334"/>
      <c r="AZ747" s="334"/>
      <c r="BA747" s="210"/>
      <c r="BB747" s="334"/>
      <c r="BC747" s="213"/>
      <c r="BD747" s="213"/>
      <c r="BE747" s="210"/>
      <c r="BG747" s="334"/>
      <c r="BH747" s="334"/>
      <c r="BI747" s="334"/>
      <c r="BJ747" s="334"/>
      <c r="BK747" s="334"/>
      <c r="BM747" s="334"/>
      <c r="BN747" s="334"/>
      <c r="BO747" s="334"/>
      <c r="BP747" s="334"/>
      <c r="BQ747" s="334"/>
    </row>
    <row r="748" spans="45:69" x14ac:dyDescent="0.25">
      <c r="AS748" s="202"/>
      <c r="AV748" s="103"/>
      <c r="AW748" s="200"/>
      <c r="AX748" s="334"/>
      <c r="AY748" s="334"/>
      <c r="AZ748" s="334"/>
      <c r="BA748" s="210"/>
      <c r="BB748" s="334"/>
      <c r="BC748" s="213"/>
      <c r="BD748" s="213"/>
      <c r="BE748" s="210"/>
      <c r="BG748" s="334"/>
      <c r="BH748" s="334"/>
      <c r="BI748" s="334"/>
      <c r="BJ748" s="334"/>
      <c r="BK748" s="334"/>
      <c r="BM748" s="334"/>
      <c r="BN748" s="334"/>
      <c r="BO748" s="334"/>
      <c r="BP748" s="334"/>
      <c r="BQ748" s="334"/>
    </row>
    <row r="749" spans="45:69" x14ac:dyDescent="0.25">
      <c r="AS749" s="202"/>
      <c r="AV749" s="103"/>
      <c r="AW749" s="200"/>
      <c r="AX749" s="334"/>
      <c r="AY749" s="334"/>
      <c r="AZ749" s="334"/>
      <c r="BA749" s="210"/>
      <c r="BB749" s="334"/>
      <c r="BC749" s="213"/>
      <c r="BD749" s="213"/>
      <c r="BE749" s="210"/>
      <c r="BG749" s="334"/>
      <c r="BH749" s="334"/>
      <c r="BI749" s="334"/>
      <c r="BJ749" s="334"/>
      <c r="BK749" s="334"/>
      <c r="BM749" s="334"/>
      <c r="BN749" s="334"/>
      <c r="BO749" s="334"/>
      <c r="BP749" s="334"/>
      <c r="BQ749" s="334"/>
    </row>
    <row r="750" spans="45:69" x14ac:dyDescent="0.25">
      <c r="AS750" s="202"/>
      <c r="AV750" s="103"/>
      <c r="AW750" s="200"/>
      <c r="AX750" s="334"/>
      <c r="AY750" s="334"/>
      <c r="AZ750" s="334"/>
      <c r="BA750" s="210"/>
      <c r="BB750" s="334"/>
      <c r="BC750" s="213"/>
      <c r="BD750" s="213"/>
      <c r="BE750" s="210"/>
      <c r="BG750" s="334"/>
      <c r="BH750" s="334"/>
      <c r="BI750" s="334"/>
      <c r="BJ750" s="334"/>
      <c r="BK750" s="334"/>
      <c r="BM750" s="334"/>
      <c r="BN750" s="334"/>
      <c r="BO750" s="334"/>
      <c r="BP750" s="334"/>
      <c r="BQ750" s="334"/>
    </row>
    <row r="751" spans="45:69" x14ac:dyDescent="0.25">
      <c r="AS751" s="202"/>
      <c r="AV751" s="103"/>
      <c r="AW751" s="200"/>
      <c r="AX751" s="334"/>
      <c r="AY751" s="334"/>
      <c r="AZ751" s="334"/>
      <c r="BA751" s="210"/>
      <c r="BB751" s="334"/>
      <c r="BC751" s="213"/>
      <c r="BD751" s="213"/>
      <c r="BE751" s="210"/>
      <c r="BG751" s="334"/>
      <c r="BH751" s="334"/>
      <c r="BI751" s="334"/>
      <c r="BJ751" s="334"/>
      <c r="BK751" s="334"/>
      <c r="BM751" s="334"/>
      <c r="BN751" s="334"/>
      <c r="BO751" s="334"/>
      <c r="BP751" s="334"/>
      <c r="BQ751" s="334"/>
    </row>
    <row r="752" spans="45:69" x14ac:dyDescent="0.25">
      <c r="AY752" s="213"/>
      <c r="AZ752" s="334"/>
      <c r="BA752" s="210"/>
      <c r="BB752" s="334"/>
      <c r="BC752" s="213"/>
      <c r="BD752" s="213"/>
      <c r="BE752" s="210"/>
      <c r="BK752" s="334"/>
      <c r="BQ752" s="334"/>
    </row>
    <row r="753" spans="45:69" x14ac:dyDescent="0.25">
      <c r="AS753" s="202"/>
      <c r="AV753" s="103"/>
      <c r="AY753" s="213"/>
      <c r="AZ753" s="334"/>
      <c r="BA753" s="210"/>
      <c r="BB753" s="334"/>
      <c r="BC753" s="213"/>
      <c r="BD753" s="213"/>
      <c r="BE753" s="210"/>
      <c r="BK753" s="334"/>
      <c r="BQ753" s="334"/>
    </row>
    <row r="754" spans="45:69" x14ac:dyDescent="0.25">
      <c r="AS754" s="202"/>
      <c r="AV754" s="103"/>
      <c r="AW754" s="200"/>
      <c r="AX754" s="334"/>
      <c r="AY754" s="334"/>
      <c r="AZ754" s="334"/>
      <c r="BA754" s="210"/>
      <c r="BB754" s="334"/>
      <c r="BC754" s="213"/>
      <c r="BD754" s="213"/>
      <c r="BE754" s="210"/>
      <c r="BG754" s="334"/>
      <c r="BH754" s="334"/>
      <c r="BI754" s="334"/>
      <c r="BJ754" s="334"/>
      <c r="BK754" s="334"/>
      <c r="BM754" s="334"/>
      <c r="BN754" s="334"/>
      <c r="BO754" s="334"/>
      <c r="BP754" s="334"/>
      <c r="BQ754" s="334"/>
    </row>
    <row r="755" spans="45:69" x14ac:dyDescent="0.25">
      <c r="AS755" s="202"/>
      <c r="AV755" s="103"/>
      <c r="AW755" s="200"/>
      <c r="AX755" s="334"/>
      <c r="AY755" s="334"/>
      <c r="AZ755" s="334"/>
      <c r="BA755" s="210"/>
      <c r="BB755" s="334"/>
      <c r="BC755" s="213"/>
      <c r="BD755" s="213"/>
      <c r="BE755" s="210"/>
      <c r="BG755" s="334"/>
      <c r="BH755" s="334"/>
      <c r="BI755" s="334"/>
      <c r="BJ755" s="334"/>
      <c r="BK755" s="334"/>
      <c r="BM755" s="334"/>
      <c r="BN755" s="334"/>
      <c r="BO755" s="334"/>
      <c r="BP755" s="334"/>
      <c r="BQ755" s="334"/>
    </row>
    <row r="756" spans="45:69" x14ac:dyDescent="0.25">
      <c r="AS756" s="202"/>
      <c r="AV756" s="103"/>
      <c r="AW756" s="200"/>
      <c r="AX756" s="334"/>
      <c r="AY756" s="334"/>
      <c r="AZ756" s="334"/>
      <c r="BA756" s="210"/>
      <c r="BB756" s="334"/>
      <c r="BC756" s="213"/>
      <c r="BD756" s="213"/>
      <c r="BE756" s="210"/>
      <c r="BG756" s="334"/>
      <c r="BH756" s="334"/>
      <c r="BI756" s="334"/>
      <c r="BJ756" s="334"/>
      <c r="BK756" s="334"/>
      <c r="BM756" s="334"/>
      <c r="BN756" s="334"/>
      <c r="BO756" s="334"/>
      <c r="BP756" s="334"/>
      <c r="BQ756" s="334"/>
    </row>
    <row r="757" spans="45:69" x14ac:dyDescent="0.25">
      <c r="AS757" s="202"/>
      <c r="AV757" s="103"/>
      <c r="AW757" s="200"/>
      <c r="AX757" s="334"/>
      <c r="AY757" s="334"/>
      <c r="AZ757" s="334"/>
      <c r="BA757" s="210"/>
      <c r="BB757" s="334"/>
      <c r="BC757" s="213"/>
      <c r="BD757" s="213"/>
      <c r="BE757" s="210"/>
      <c r="BG757" s="334"/>
      <c r="BH757" s="334"/>
      <c r="BI757" s="334"/>
      <c r="BJ757" s="334"/>
      <c r="BK757" s="334"/>
      <c r="BM757" s="334"/>
      <c r="BN757" s="334"/>
      <c r="BO757" s="334"/>
      <c r="BP757" s="334"/>
      <c r="BQ757" s="334"/>
    </row>
    <row r="758" spans="45:69" x14ac:dyDescent="0.25">
      <c r="AS758" s="202"/>
      <c r="AV758" s="103"/>
      <c r="AW758" s="200"/>
      <c r="AX758" s="334"/>
      <c r="AY758" s="334"/>
      <c r="AZ758" s="334"/>
      <c r="BA758" s="210"/>
      <c r="BB758" s="334"/>
      <c r="BC758" s="213"/>
      <c r="BD758" s="213"/>
      <c r="BE758" s="210"/>
      <c r="BG758" s="334"/>
      <c r="BH758" s="334"/>
      <c r="BI758" s="334"/>
      <c r="BJ758" s="334"/>
      <c r="BK758" s="334"/>
      <c r="BM758" s="334"/>
      <c r="BN758" s="334"/>
      <c r="BO758" s="334"/>
      <c r="BP758" s="334"/>
      <c r="BQ758" s="334"/>
    </row>
    <row r="759" spans="45:69" x14ac:dyDescent="0.25">
      <c r="AS759" s="202"/>
      <c r="AV759" s="103"/>
      <c r="AW759" s="200"/>
      <c r="AX759" s="334"/>
      <c r="AY759" s="334"/>
      <c r="AZ759" s="334"/>
      <c r="BA759" s="210"/>
      <c r="BB759" s="334"/>
      <c r="BC759" s="213"/>
      <c r="BD759" s="213"/>
      <c r="BE759" s="210"/>
      <c r="BG759" s="334"/>
      <c r="BH759" s="334"/>
      <c r="BI759" s="334"/>
      <c r="BJ759" s="334"/>
      <c r="BK759" s="334"/>
      <c r="BM759" s="334"/>
      <c r="BN759" s="334"/>
      <c r="BO759" s="334"/>
      <c r="BP759" s="334"/>
      <c r="BQ759" s="334"/>
    </row>
    <row r="760" spans="45:69" x14ac:dyDescent="0.25">
      <c r="AS760" s="202"/>
      <c r="AV760" s="103"/>
      <c r="AW760" s="200"/>
      <c r="AX760" s="334"/>
      <c r="AY760" s="334"/>
      <c r="AZ760" s="334"/>
      <c r="BA760" s="210"/>
      <c r="BB760" s="334"/>
      <c r="BC760" s="213"/>
      <c r="BD760" s="213"/>
      <c r="BE760" s="210"/>
      <c r="BG760" s="334"/>
      <c r="BH760" s="334"/>
      <c r="BI760" s="334"/>
      <c r="BJ760" s="334"/>
      <c r="BK760" s="334"/>
      <c r="BM760" s="334"/>
      <c r="BN760" s="334"/>
      <c r="BO760" s="334"/>
      <c r="BP760" s="334"/>
      <c r="BQ760" s="334"/>
    </row>
    <row r="761" spans="45:69" x14ac:dyDescent="0.25">
      <c r="AS761" s="202"/>
      <c r="AV761" s="103"/>
      <c r="AW761" s="200"/>
      <c r="AX761" s="334"/>
      <c r="AY761" s="334"/>
      <c r="AZ761" s="334"/>
      <c r="BA761" s="210"/>
      <c r="BB761" s="334"/>
      <c r="BC761" s="213"/>
      <c r="BD761" s="213"/>
      <c r="BE761" s="210"/>
      <c r="BG761" s="334"/>
      <c r="BH761" s="334"/>
      <c r="BI761" s="334"/>
      <c r="BJ761" s="334"/>
      <c r="BK761" s="334"/>
      <c r="BM761" s="334"/>
      <c r="BN761" s="334"/>
      <c r="BO761" s="334"/>
      <c r="BP761" s="334"/>
      <c r="BQ761" s="334"/>
    </row>
    <row r="762" spans="45:69" x14ac:dyDescent="0.25">
      <c r="AY762" s="213"/>
      <c r="AZ762" s="334"/>
      <c r="BA762" s="210"/>
      <c r="BB762" s="334"/>
      <c r="BC762" s="213"/>
      <c r="BD762" s="213"/>
      <c r="BE762" s="210"/>
      <c r="BK762" s="334"/>
      <c r="BQ762" s="334"/>
    </row>
    <row r="763" spans="45:69" x14ac:dyDescent="0.25">
      <c r="AU763" s="154"/>
      <c r="AZ763" s="334"/>
      <c r="BB763" s="334"/>
      <c r="BG763" s="334"/>
      <c r="BH763" s="334"/>
      <c r="BJ763" s="334"/>
      <c r="BK763" s="334"/>
    </row>
    <row r="764" spans="45:69" x14ac:dyDescent="0.25">
      <c r="AZ764" s="334"/>
      <c r="BB764" s="334"/>
    </row>
    <row r="765" spans="45:69" x14ac:dyDescent="0.25">
      <c r="AS765" s="154"/>
      <c r="AZ765" s="334"/>
      <c r="BB765" s="334"/>
      <c r="BI765" s="334"/>
    </row>
    <row r="766" spans="45:69" x14ac:dyDescent="0.25">
      <c r="AY766" s="202"/>
      <c r="AZ766" s="334"/>
      <c r="BB766" s="334"/>
    </row>
    <row r="767" spans="45:69" x14ac:dyDescent="0.25">
      <c r="AY767" s="334"/>
      <c r="BB767" s="334"/>
    </row>
    <row r="768" spans="45:69" x14ac:dyDescent="0.25">
      <c r="AY768" s="154"/>
      <c r="AZ768" s="334"/>
      <c r="BB768" s="334"/>
    </row>
    <row r="769" spans="45:75" x14ac:dyDescent="0.25">
      <c r="AY769" s="154"/>
      <c r="AZ769" s="334"/>
      <c r="BB769" s="334"/>
    </row>
    <row r="770" spans="45:75" x14ac:dyDescent="0.25">
      <c r="AS770" s="202"/>
      <c r="AZ770" s="334"/>
      <c r="BB770" s="334"/>
      <c r="BD770" s="154"/>
    </row>
    <row r="771" spans="45:75" x14ac:dyDescent="0.25">
      <c r="AS771" s="202"/>
      <c r="AZ771" s="334"/>
      <c r="BB771" s="334"/>
      <c r="BD771" s="154"/>
    </row>
    <row r="772" spans="45:75" x14ac:dyDescent="0.25">
      <c r="AS772" s="154"/>
      <c r="AZ772" s="334"/>
      <c r="BB772" s="334"/>
      <c r="BD772" s="154"/>
    </row>
    <row r="773" spans="45:75" x14ac:dyDescent="0.25">
      <c r="AZ773" s="334"/>
      <c r="BB773" s="334"/>
      <c r="BD773" s="202"/>
    </row>
    <row r="774" spans="45:75" x14ac:dyDescent="0.25">
      <c r="AS774" s="102"/>
      <c r="AT774" s="102"/>
      <c r="AU774" s="102"/>
      <c r="AV774" s="102"/>
      <c r="AW774" s="102"/>
      <c r="AX774" s="102"/>
      <c r="AY774" s="102"/>
      <c r="AZ774" s="335"/>
      <c r="BA774" s="102"/>
      <c r="BB774" s="335"/>
      <c r="BC774" s="102"/>
      <c r="BD774" s="102"/>
      <c r="BE774" s="102"/>
    </row>
    <row r="775" spans="45:75" x14ac:dyDescent="0.25">
      <c r="AX775" s="154"/>
      <c r="AZ775" s="334"/>
      <c r="BB775" s="334"/>
    </row>
    <row r="776" spans="45:75" x14ac:dyDescent="0.25">
      <c r="AX776" s="102"/>
      <c r="AY776" s="102"/>
      <c r="AZ776" s="335"/>
      <c r="BA776" s="102"/>
      <c r="BB776" s="334"/>
      <c r="BC776" s="103"/>
      <c r="BD776" s="103"/>
    </row>
    <row r="777" spans="45:75" x14ac:dyDescent="0.25">
      <c r="AV777" s="103"/>
      <c r="AW777" s="103"/>
      <c r="AZ777" s="336"/>
      <c r="BA777" s="103"/>
      <c r="BB777" s="334"/>
      <c r="BC777" s="103"/>
      <c r="BD777" s="103"/>
      <c r="BE777" s="103"/>
      <c r="BG777" s="102"/>
      <c r="BH777" s="102"/>
      <c r="BI777" s="154"/>
      <c r="BM777" s="102"/>
      <c r="BN777" s="102"/>
      <c r="BP777" s="102"/>
      <c r="BQ777" s="102"/>
      <c r="BR777" s="154"/>
      <c r="BV777" s="102"/>
      <c r="BW777" s="102"/>
    </row>
    <row r="778" spans="45:75" x14ac:dyDescent="0.25">
      <c r="AV778" s="103"/>
      <c r="AW778" s="103"/>
      <c r="AX778" s="103"/>
      <c r="AY778" s="103"/>
      <c r="AZ778" s="336"/>
      <c r="BA778" s="103"/>
      <c r="BB778" s="336"/>
      <c r="BC778" s="103"/>
      <c r="BD778" s="103"/>
      <c r="BE778" s="103"/>
      <c r="BH778" s="103"/>
      <c r="BI778" s="103"/>
      <c r="BJ778" s="103"/>
      <c r="BK778" s="103"/>
      <c r="BL778" s="103"/>
      <c r="BM778" s="103"/>
      <c r="BQ778" s="103"/>
      <c r="BR778" s="103"/>
      <c r="BS778" s="103"/>
      <c r="BT778" s="103"/>
      <c r="BU778" s="103"/>
      <c r="BV778" s="103"/>
    </row>
    <row r="779" spans="45:75" x14ac:dyDescent="0.25">
      <c r="AS779" s="103"/>
      <c r="AU779" s="154"/>
      <c r="AV779" s="103"/>
      <c r="AW779" s="103"/>
      <c r="AX779" s="103"/>
      <c r="AY779" s="103"/>
      <c r="AZ779" s="336"/>
      <c r="BA779" s="103"/>
      <c r="BB779" s="336"/>
      <c r="BC779" s="103"/>
      <c r="BD779" s="103"/>
      <c r="BE779" s="103"/>
      <c r="BG779" s="103"/>
      <c r="BH779" s="103"/>
      <c r="BI779" s="103"/>
      <c r="BJ779" s="103"/>
      <c r="BK779" s="103"/>
      <c r="BL779" s="103"/>
      <c r="BM779" s="103"/>
      <c r="BN779" s="103"/>
      <c r="BP779" s="103"/>
      <c r="BQ779" s="103"/>
      <c r="BR779" s="103"/>
      <c r="BS779" s="103"/>
      <c r="BT779" s="103"/>
      <c r="BU779" s="103"/>
      <c r="BV779" s="103"/>
      <c r="BW779" s="103"/>
    </row>
    <row r="780" spans="45:75" x14ac:dyDescent="0.25">
      <c r="AS780" s="103"/>
      <c r="AU780" s="154"/>
      <c r="AV780" s="103"/>
      <c r="AW780" s="103"/>
      <c r="AX780" s="103"/>
      <c r="AY780" s="103"/>
      <c r="AZ780" s="336"/>
      <c r="BA780" s="103"/>
      <c r="BB780" s="336"/>
      <c r="BC780" s="103"/>
      <c r="BD780" s="103"/>
      <c r="BE780" s="103"/>
      <c r="BG780" s="103"/>
      <c r="BH780" s="103"/>
      <c r="BI780" s="103"/>
      <c r="BJ780" s="103"/>
      <c r="BK780" s="103"/>
      <c r="BL780" s="103"/>
      <c r="BM780" s="103"/>
      <c r="BN780" s="103"/>
      <c r="BP780" s="103"/>
      <c r="BQ780" s="103"/>
      <c r="BR780" s="103"/>
      <c r="BS780" s="103"/>
      <c r="BT780" s="103"/>
      <c r="BU780" s="103"/>
      <c r="BV780" s="103"/>
      <c r="BW780" s="103"/>
    </row>
    <row r="781" spans="45:75" x14ac:dyDescent="0.25">
      <c r="AS781" s="102"/>
      <c r="AT781" s="102"/>
      <c r="AU781" s="102"/>
      <c r="AV781" s="102"/>
      <c r="AW781" s="102"/>
      <c r="AX781" s="102"/>
      <c r="AY781" s="102"/>
      <c r="AZ781" s="335"/>
      <c r="BA781" s="102"/>
      <c r="BB781" s="335"/>
      <c r="BC781" s="102"/>
      <c r="BD781" s="102"/>
      <c r="BE781" s="102"/>
      <c r="BG781" s="102"/>
      <c r="BH781" s="102"/>
      <c r="BI781" s="102"/>
      <c r="BJ781" s="102"/>
      <c r="BK781" s="102"/>
      <c r="BL781" s="102"/>
      <c r="BM781" s="102"/>
      <c r="BN781" s="102"/>
      <c r="BP781" s="102"/>
      <c r="BQ781" s="102"/>
      <c r="BR781" s="102"/>
      <c r="BS781" s="102"/>
      <c r="BT781" s="102"/>
      <c r="BU781" s="102"/>
      <c r="BV781" s="102"/>
      <c r="BW781" s="102"/>
    </row>
    <row r="782" spans="45:75" x14ac:dyDescent="0.25">
      <c r="AV782" s="103"/>
      <c r="AW782" s="103"/>
      <c r="AX782" s="103"/>
      <c r="AY782" s="103"/>
      <c r="AZ782" s="336"/>
      <c r="BA782" s="103"/>
      <c r="BB782" s="336"/>
      <c r="BC782" s="103"/>
      <c r="BD782" s="103"/>
      <c r="BE782" s="103"/>
      <c r="BG782" s="334"/>
      <c r="BH782" s="334"/>
      <c r="BI782" s="334"/>
      <c r="BJ782" s="334"/>
      <c r="BK782" s="334"/>
      <c r="BL782" s="334"/>
      <c r="BM782" s="334"/>
      <c r="BN782" s="334"/>
      <c r="BO782" s="334"/>
      <c r="BP782" s="334"/>
      <c r="BQ782" s="334"/>
      <c r="BR782" s="334"/>
      <c r="BS782" s="334"/>
      <c r="BT782" s="334"/>
      <c r="BU782" s="334"/>
      <c r="BV782" s="334"/>
      <c r="BW782" s="334"/>
    </row>
    <row r="783" spans="45:75" x14ac:dyDescent="0.25">
      <c r="AS783" s="202"/>
      <c r="AU783" s="154"/>
      <c r="AV783" s="202"/>
      <c r="AW783" s="200"/>
      <c r="AX783" s="334"/>
      <c r="AY783" s="334"/>
      <c r="AZ783" s="334"/>
      <c r="BA783" s="201"/>
      <c r="BB783" s="334"/>
      <c r="BC783" s="334"/>
      <c r="BD783" s="334"/>
      <c r="BE783" s="201"/>
      <c r="BG783" s="334"/>
      <c r="BH783" s="334"/>
      <c r="BI783" s="334"/>
      <c r="BJ783" s="334"/>
      <c r="BK783" s="334"/>
      <c r="BL783" s="334"/>
      <c r="BM783" s="334"/>
      <c r="BN783" s="334"/>
      <c r="BO783" s="334"/>
      <c r="BP783" s="334"/>
      <c r="BQ783" s="334"/>
      <c r="BR783" s="334"/>
      <c r="BS783" s="334"/>
      <c r="BT783" s="334"/>
      <c r="BU783" s="334"/>
      <c r="BV783" s="334"/>
      <c r="BW783" s="334"/>
    </row>
    <row r="784" spans="45:75" x14ac:dyDescent="0.25">
      <c r="AS784" s="202"/>
      <c r="AV784" s="202"/>
      <c r="AW784" s="200"/>
      <c r="AX784" s="334"/>
      <c r="AY784" s="334"/>
      <c r="AZ784" s="334"/>
      <c r="BA784" s="201"/>
      <c r="BB784" s="334"/>
      <c r="BC784" s="334"/>
      <c r="BD784" s="334"/>
      <c r="BE784" s="201"/>
      <c r="BG784" s="334"/>
      <c r="BH784" s="334"/>
      <c r="BI784" s="334"/>
      <c r="BJ784" s="334"/>
      <c r="BK784" s="334"/>
      <c r="BL784" s="334"/>
      <c r="BM784" s="334"/>
      <c r="BN784" s="334"/>
      <c r="BO784" s="334"/>
      <c r="BP784" s="334"/>
      <c r="BQ784" s="334"/>
      <c r="BR784" s="334"/>
      <c r="BS784" s="334"/>
      <c r="BT784" s="334"/>
      <c r="BU784" s="334"/>
      <c r="BV784" s="334"/>
      <c r="BW784" s="334"/>
    </row>
    <row r="785" spans="45:75" x14ac:dyDescent="0.25">
      <c r="AS785" s="202"/>
      <c r="AV785" s="202"/>
      <c r="AW785" s="200"/>
      <c r="AX785" s="334"/>
      <c r="AY785" s="334"/>
      <c r="AZ785" s="334"/>
      <c r="BA785" s="201"/>
      <c r="BB785" s="334"/>
      <c r="BC785" s="334"/>
      <c r="BD785" s="334"/>
      <c r="BE785" s="201"/>
      <c r="BG785" s="334"/>
      <c r="BH785" s="334"/>
      <c r="BI785" s="334"/>
      <c r="BJ785" s="334"/>
      <c r="BK785" s="334"/>
      <c r="BL785" s="334"/>
      <c r="BM785" s="334"/>
      <c r="BN785" s="334"/>
      <c r="BO785" s="334"/>
      <c r="BP785" s="334"/>
      <c r="BQ785" s="334"/>
      <c r="BR785" s="334"/>
      <c r="BS785" s="334"/>
      <c r="BT785" s="334"/>
      <c r="BU785" s="334"/>
      <c r="BV785" s="334"/>
      <c r="BW785" s="334"/>
    </row>
    <row r="786" spans="45:75" x14ac:dyDescent="0.25">
      <c r="AS786" s="202"/>
      <c r="AV786" s="202"/>
      <c r="AW786" s="200"/>
      <c r="AX786" s="334"/>
      <c r="AY786" s="334"/>
      <c r="AZ786" s="334"/>
      <c r="BA786" s="201"/>
      <c r="BB786" s="334"/>
      <c r="BC786" s="334"/>
      <c r="BD786" s="334"/>
      <c r="BE786" s="201"/>
      <c r="BG786" s="334"/>
      <c r="BH786" s="334"/>
      <c r="BI786" s="334"/>
      <c r="BJ786" s="334"/>
      <c r="BK786" s="334"/>
      <c r="BL786" s="334"/>
      <c r="BM786" s="334"/>
      <c r="BN786" s="334"/>
      <c r="BO786" s="334"/>
      <c r="BP786" s="334"/>
      <c r="BQ786" s="334"/>
      <c r="BR786" s="334"/>
      <c r="BS786" s="334"/>
      <c r="BT786" s="334"/>
      <c r="BU786" s="334"/>
      <c r="BV786" s="334"/>
      <c r="BW786" s="334"/>
    </row>
    <row r="787" spans="45:75" x14ac:dyDescent="0.25">
      <c r="AS787" s="202"/>
      <c r="AV787" s="202"/>
      <c r="AW787" s="200"/>
      <c r="AX787" s="334"/>
      <c r="AY787" s="334"/>
      <c r="AZ787" s="334"/>
      <c r="BA787" s="201"/>
      <c r="BB787" s="334"/>
      <c r="BC787" s="334"/>
      <c r="BD787" s="334"/>
      <c r="BE787" s="201"/>
      <c r="BG787" s="334"/>
      <c r="BH787" s="334"/>
      <c r="BI787" s="334"/>
      <c r="BJ787" s="334"/>
      <c r="BK787" s="334"/>
      <c r="BL787" s="334"/>
      <c r="BM787" s="334"/>
      <c r="BN787" s="334"/>
      <c r="BO787" s="334"/>
      <c r="BP787" s="334"/>
      <c r="BQ787" s="334"/>
      <c r="BR787" s="334"/>
      <c r="BS787" s="334"/>
      <c r="BT787" s="334"/>
      <c r="BU787" s="334"/>
      <c r="BV787" s="334"/>
      <c r="BW787" s="334"/>
    </row>
    <row r="788" spans="45:75" x14ac:dyDescent="0.25">
      <c r="AS788" s="202"/>
      <c r="AV788" s="202"/>
      <c r="AW788" s="200"/>
      <c r="AX788" s="334"/>
      <c r="AY788" s="334"/>
      <c r="AZ788" s="334"/>
      <c r="BA788" s="201"/>
      <c r="BB788" s="334"/>
      <c r="BC788" s="334"/>
      <c r="BD788" s="334"/>
      <c r="BE788" s="201"/>
      <c r="BG788" s="334"/>
      <c r="BH788" s="334"/>
      <c r="BI788" s="334"/>
      <c r="BJ788" s="334"/>
      <c r="BK788" s="334"/>
      <c r="BL788" s="334"/>
      <c r="BM788" s="334"/>
      <c r="BN788" s="334"/>
      <c r="BO788" s="334"/>
      <c r="BP788" s="334"/>
      <c r="BQ788" s="334"/>
      <c r="BR788" s="334"/>
      <c r="BS788" s="334"/>
      <c r="BT788" s="334"/>
      <c r="BU788" s="334"/>
      <c r="BV788" s="334"/>
      <c r="BW788" s="334"/>
    </row>
    <row r="789" spans="45:75" x14ac:dyDescent="0.25">
      <c r="AS789" s="202"/>
      <c r="AV789" s="202"/>
      <c r="AW789" s="200"/>
      <c r="AX789" s="334"/>
      <c r="AY789" s="334"/>
      <c r="AZ789" s="334"/>
      <c r="BA789" s="201"/>
      <c r="BB789" s="334"/>
      <c r="BC789" s="334"/>
      <c r="BD789" s="334"/>
      <c r="BE789" s="201"/>
      <c r="BG789" s="334"/>
      <c r="BH789" s="334"/>
      <c r="BI789" s="334"/>
      <c r="BJ789" s="334"/>
      <c r="BK789" s="334"/>
      <c r="BL789" s="334"/>
      <c r="BM789" s="334"/>
      <c r="BN789" s="334"/>
      <c r="BO789" s="334"/>
      <c r="BP789" s="334"/>
      <c r="BQ789" s="334"/>
      <c r="BR789" s="334"/>
      <c r="BS789" s="334"/>
      <c r="BT789" s="334"/>
      <c r="BU789" s="334"/>
      <c r="BV789" s="334"/>
      <c r="BW789" s="334"/>
    </row>
    <row r="790" spans="45:75" x14ac:dyDescent="0.25">
      <c r="AS790" s="202"/>
      <c r="AV790" s="202"/>
      <c r="AW790" s="200"/>
      <c r="AX790" s="334"/>
      <c r="AY790" s="334"/>
      <c r="AZ790" s="334"/>
      <c r="BA790" s="201"/>
      <c r="BB790" s="334"/>
      <c r="BC790" s="334"/>
      <c r="BD790" s="334"/>
      <c r="BE790" s="201"/>
      <c r="BG790" s="334"/>
      <c r="BH790" s="334"/>
      <c r="BI790" s="334"/>
      <c r="BJ790" s="334"/>
      <c r="BK790" s="334"/>
      <c r="BL790" s="334"/>
      <c r="BM790" s="334"/>
      <c r="BN790" s="334"/>
      <c r="BO790" s="334"/>
      <c r="BP790" s="334"/>
      <c r="BQ790" s="334"/>
      <c r="BR790" s="334"/>
      <c r="BS790" s="334"/>
      <c r="BT790" s="334"/>
      <c r="BU790" s="334"/>
      <c r="BV790" s="334"/>
      <c r="BW790" s="334"/>
    </row>
    <row r="791" spans="45:75" x14ac:dyDescent="0.25">
      <c r="AS791" s="202"/>
      <c r="AV791" s="202"/>
      <c r="AW791" s="200"/>
      <c r="AX791" s="334"/>
      <c r="AY791" s="334"/>
      <c r="AZ791" s="334"/>
      <c r="BA791" s="201"/>
      <c r="BB791" s="334"/>
      <c r="BC791" s="334"/>
      <c r="BD791" s="334"/>
      <c r="BE791" s="201"/>
      <c r="BG791" s="334"/>
      <c r="BH791" s="334"/>
      <c r="BI791" s="334"/>
      <c r="BJ791" s="334"/>
      <c r="BK791" s="334"/>
      <c r="BL791" s="334"/>
      <c r="BM791" s="334"/>
      <c r="BN791" s="334"/>
      <c r="BO791" s="334"/>
      <c r="BP791" s="334"/>
      <c r="BQ791" s="334"/>
      <c r="BR791" s="334"/>
      <c r="BS791" s="334"/>
      <c r="BT791" s="334"/>
      <c r="BU791" s="334"/>
      <c r="BV791" s="334"/>
      <c r="BW791" s="334"/>
    </row>
    <row r="792" spans="45:75" x14ac:dyDescent="0.25">
      <c r="AS792" s="202"/>
      <c r="AV792" s="202"/>
      <c r="AW792" s="200"/>
      <c r="AX792" s="334"/>
      <c r="AY792" s="334"/>
      <c r="AZ792" s="334"/>
      <c r="BA792" s="201"/>
      <c r="BB792" s="334"/>
      <c r="BC792" s="334"/>
      <c r="BD792" s="334"/>
      <c r="BE792" s="201"/>
      <c r="BG792" s="334"/>
      <c r="BH792" s="334"/>
      <c r="BI792" s="334"/>
      <c r="BJ792" s="334"/>
      <c r="BK792" s="334"/>
      <c r="BL792" s="334"/>
      <c r="BM792" s="334"/>
      <c r="BN792" s="334"/>
      <c r="BO792" s="334"/>
      <c r="BP792" s="334"/>
      <c r="BQ792" s="334"/>
      <c r="BR792" s="334"/>
      <c r="BS792" s="334"/>
      <c r="BT792" s="334"/>
      <c r="BU792" s="334"/>
      <c r="BV792" s="334"/>
      <c r="BW792" s="334"/>
    </row>
    <row r="793" spans="45:75" x14ac:dyDescent="0.25">
      <c r="AS793" s="202"/>
      <c r="AV793" s="202"/>
      <c r="AW793" s="200"/>
      <c r="AX793" s="334"/>
      <c r="AY793" s="334"/>
      <c r="AZ793" s="334"/>
      <c r="BA793" s="201"/>
      <c r="BB793" s="334"/>
      <c r="BC793" s="334"/>
      <c r="BD793" s="334"/>
      <c r="BE793" s="201"/>
      <c r="BG793" s="334"/>
      <c r="BH793" s="334"/>
      <c r="BI793" s="334"/>
      <c r="BJ793" s="334"/>
      <c r="BK793" s="334"/>
      <c r="BL793" s="334"/>
      <c r="BM793" s="334"/>
      <c r="BN793" s="334"/>
      <c r="BO793" s="334"/>
      <c r="BP793" s="334"/>
      <c r="BQ793" s="334"/>
      <c r="BR793" s="334"/>
      <c r="BS793" s="334"/>
      <c r="BT793" s="334"/>
      <c r="BU793" s="334"/>
      <c r="BV793" s="334"/>
      <c r="BW793" s="334"/>
    </row>
    <row r="794" spans="45:75" x14ac:dyDescent="0.25">
      <c r="AS794" s="202"/>
      <c r="AV794" s="202"/>
      <c r="AW794" s="200"/>
      <c r="AX794" s="334"/>
      <c r="AY794" s="334"/>
      <c r="AZ794" s="334"/>
      <c r="BA794" s="201"/>
      <c r="BB794" s="334"/>
      <c r="BC794" s="334"/>
      <c r="BD794" s="334"/>
      <c r="BE794" s="201"/>
      <c r="BG794" s="334"/>
      <c r="BH794" s="334"/>
      <c r="BI794" s="334"/>
      <c r="BJ794" s="334"/>
      <c r="BK794" s="334"/>
      <c r="BL794" s="334"/>
      <c r="BM794" s="334"/>
      <c r="BN794" s="334"/>
      <c r="BO794" s="334"/>
      <c r="BP794" s="334"/>
      <c r="BQ794" s="334"/>
      <c r="BR794" s="334"/>
      <c r="BS794" s="334"/>
      <c r="BT794" s="334"/>
      <c r="BU794" s="334"/>
      <c r="BV794" s="334"/>
      <c r="BW794" s="334"/>
    </row>
    <row r="795" spans="45:75" x14ac:dyDescent="0.25">
      <c r="AS795" s="202"/>
      <c r="AV795" s="202"/>
      <c r="AW795" s="200"/>
      <c r="AX795" s="334"/>
      <c r="AY795" s="334"/>
      <c r="AZ795" s="334"/>
      <c r="BA795" s="201"/>
      <c r="BB795" s="334"/>
      <c r="BC795" s="334"/>
      <c r="BD795" s="334"/>
      <c r="BE795" s="201"/>
      <c r="BG795" s="334"/>
      <c r="BH795" s="334"/>
      <c r="BI795" s="334"/>
      <c r="BJ795" s="334"/>
      <c r="BK795" s="334"/>
      <c r="BL795" s="334"/>
      <c r="BM795" s="334"/>
      <c r="BN795" s="334"/>
      <c r="BO795" s="334"/>
      <c r="BP795" s="334"/>
      <c r="BQ795" s="334"/>
      <c r="BR795" s="334"/>
      <c r="BS795" s="334"/>
      <c r="BT795" s="334"/>
      <c r="BU795" s="334"/>
      <c r="BV795" s="334"/>
      <c r="BW795" s="334"/>
    </row>
    <row r="796" spans="45:75" x14ac:dyDescent="0.25">
      <c r="AS796" s="202"/>
      <c r="AV796" s="202"/>
      <c r="AW796" s="200"/>
      <c r="AX796" s="334"/>
      <c r="AY796" s="334"/>
      <c r="AZ796" s="334"/>
      <c r="BA796" s="201"/>
      <c r="BB796" s="334"/>
      <c r="BC796" s="334"/>
      <c r="BD796" s="334"/>
      <c r="BE796" s="201"/>
      <c r="BG796" s="334"/>
      <c r="BH796" s="334"/>
      <c r="BI796" s="334"/>
      <c r="BJ796" s="334"/>
      <c r="BK796" s="334"/>
      <c r="BL796" s="334"/>
      <c r="BM796" s="334"/>
      <c r="BN796" s="334"/>
      <c r="BO796" s="334"/>
      <c r="BP796" s="334"/>
      <c r="BQ796" s="334"/>
      <c r="BR796" s="334"/>
      <c r="BS796" s="334"/>
      <c r="BT796" s="334"/>
      <c r="BU796" s="334"/>
      <c r="BV796" s="334"/>
      <c r="BW796" s="334"/>
    </row>
    <row r="797" spans="45:75" x14ac:dyDescent="0.25">
      <c r="AS797" s="202"/>
      <c r="AV797" s="202"/>
      <c r="AW797" s="200"/>
      <c r="AX797" s="334"/>
      <c r="AY797" s="334"/>
      <c r="AZ797" s="334"/>
      <c r="BA797" s="201"/>
      <c r="BB797" s="334"/>
      <c r="BC797" s="334"/>
      <c r="BD797" s="334"/>
      <c r="BE797" s="201"/>
      <c r="BG797" s="334"/>
      <c r="BH797" s="334"/>
      <c r="BI797" s="334"/>
      <c r="BJ797" s="334"/>
      <c r="BK797" s="334"/>
      <c r="BL797" s="334"/>
      <c r="BM797" s="334"/>
      <c r="BN797" s="334"/>
      <c r="BO797" s="334"/>
      <c r="BP797" s="334"/>
      <c r="BQ797" s="334"/>
      <c r="BR797" s="334"/>
      <c r="BS797" s="334"/>
      <c r="BT797" s="334"/>
      <c r="BU797" s="334"/>
      <c r="BV797" s="334"/>
      <c r="BW797" s="334"/>
    </row>
    <row r="798" spans="45:75" x14ac:dyDescent="0.25">
      <c r="AS798" s="202"/>
      <c r="AV798" s="202"/>
      <c r="AW798" s="200"/>
      <c r="AX798" s="334"/>
      <c r="AY798" s="334"/>
      <c r="AZ798" s="334"/>
      <c r="BA798" s="201"/>
      <c r="BB798" s="334"/>
      <c r="BC798" s="334"/>
      <c r="BD798" s="334"/>
      <c r="BE798" s="201"/>
      <c r="BG798" s="334"/>
      <c r="BH798" s="334"/>
      <c r="BI798" s="334"/>
      <c r="BJ798" s="334"/>
      <c r="BK798" s="334"/>
      <c r="BL798" s="334"/>
      <c r="BM798" s="334"/>
      <c r="BN798" s="334"/>
      <c r="BO798" s="334"/>
      <c r="BP798" s="334"/>
      <c r="BQ798" s="334"/>
      <c r="BR798" s="334"/>
      <c r="BS798" s="334"/>
      <c r="BT798" s="334"/>
      <c r="BU798" s="334"/>
      <c r="BV798" s="334"/>
      <c r="BW798" s="334"/>
    </row>
    <row r="799" spans="45:75" x14ac:dyDescent="0.25">
      <c r="AS799" s="202"/>
      <c r="AV799" s="202"/>
      <c r="AW799" s="200"/>
      <c r="AX799" s="334"/>
      <c r="AY799" s="334"/>
      <c r="AZ799" s="334"/>
      <c r="BA799" s="201"/>
      <c r="BB799" s="334"/>
      <c r="BC799" s="334"/>
      <c r="BD799" s="334"/>
      <c r="BE799" s="201"/>
      <c r="BG799" s="334"/>
      <c r="BH799" s="334"/>
      <c r="BI799" s="334"/>
      <c r="BJ799" s="334"/>
      <c r="BK799" s="334"/>
      <c r="BL799" s="334"/>
      <c r="BM799" s="334"/>
      <c r="BN799" s="334"/>
      <c r="BO799" s="334"/>
      <c r="BP799" s="334"/>
      <c r="BQ799" s="334"/>
      <c r="BR799" s="334"/>
      <c r="BS799" s="334"/>
      <c r="BT799" s="334"/>
      <c r="BU799" s="334"/>
      <c r="BV799" s="334"/>
      <c r="BW799" s="334"/>
    </row>
    <row r="800" spans="45:75" x14ac:dyDescent="0.25">
      <c r="AS800" s="202"/>
      <c r="AV800" s="202"/>
      <c r="AW800" s="200"/>
      <c r="AX800" s="334"/>
      <c r="AY800" s="334"/>
      <c r="AZ800" s="334"/>
      <c r="BA800" s="201"/>
      <c r="BB800" s="334"/>
      <c r="BC800" s="334"/>
      <c r="BD800" s="334"/>
      <c r="BE800" s="201"/>
      <c r="BG800" s="334"/>
      <c r="BH800" s="334"/>
      <c r="BI800" s="334"/>
      <c r="BJ800" s="334"/>
      <c r="BK800" s="334"/>
      <c r="BL800" s="334"/>
      <c r="BM800" s="334"/>
      <c r="BN800" s="334"/>
      <c r="BO800" s="334"/>
      <c r="BP800" s="334"/>
      <c r="BQ800" s="334"/>
      <c r="BR800" s="334"/>
      <c r="BS800" s="334"/>
      <c r="BT800" s="334"/>
      <c r="BU800" s="334"/>
      <c r="BV800" s="334"/>
      <c r="BW800" s="334"/>
    </row>
    <row r="801" spans="45:75" x14ac:dyDescent="0.25">
      <c r="AS801" s="202"/>
      <c r="AV801" s="202"/>
      <c r="AW801" s="200"/>
      <c r="AX801" s="334"/>
      <c r="AY801" s="334"/>
      <c r="AZ801" s="334"/>
      <c r="BA801" s="201"/>
      <c r="BB801" s="334"/>
      <c r="BC801" s="334"/>
      <c r="BD801" s="334"/>
      <c r="BE801" s="201"/>
      <c r="BG801" s="334"/>
      <c r="BH801" s="334"/>
      <c r="BI801" s="334"/>
      <c r="BJ801" s="334"/>
      <c r="BK801" s="334"/>
      <c r="BL801" s="334"/>
      <c r="BM801" s="334"/>
      <c r="BN801" s="334"/>
      <c r="BO801" s="334"/>
      <c r="BP801" s="334"/>
      <c r="BQ801" s="334"/>
      <c r="BR801" s="334"/>
      <c r="BS801" s="334"/>
      <c r="BT801" s="334"/>
      <c r="BU801" s="334"/>
      <c r="BV801" s="334"/>
      <c r="BW801" s="334"/>
    </row>
    <row r="802" spans="45:75" x14ac:dyDescent="0.25">
      <c r="AS802" s="202"/>
      <c r="AV802" s="202"/>
      <c r="AW802" s="200"/>
      <c r="AX802" s="334"/>
      <c r="AY802" s="334"/>
      <c r="AZ802" s="334"/>
      <c r="BA802" s="201"/>
      <c r="BB802" s="334"/>
      <c r="BC802" s="334"/>
      <c r="BD802" s="334"/>
      <c r="BE802" s="201"/>
      <c r="BG802" s="334"/>
      <c r="BH802" s="334"/>
      <c r="BI802" s="334"/>
      <c r="BJ802" s="334"/>
      <c r="BK802" s="334"/>
      <c r="BL802" s="334"/>
      <c r="BM802" s="334"/>
      <c r="BN802" s="334"/>
      <c r="BO802" s="334"/>
      <c r="BP802" s="334"/>
      <c r="BQ802" s="334"/>
      <c r="BR802" s="334"/>
      <c r="BS802" s="334"/>
      <c r="BT802" s="334"/>
      <c r="BU802" s="334"/>
      <c r="BV802" s="334"/>
      <c r="BW802" s="334"/>
    </row>
    <row r="803" spans="45:75" x14ac:dyDescent="0.25">
      <c r="AS803" s="202"/>
      <c r="AV803" s="202"/>
      <c r="AW803" s="200"/>
      <c r="AX803" s="334"/>
      <c r="AY803" s="334"/>
      <c r="AZ803" s="334"/>
      <c r="BA803" s="201"/>
      <c r="BB803" s="334"/>
      <c r="BC803" s="334"/>
      <c r="BD803" s="334"/>
      <c r="BE803" s="201"/>
      <c r="BG803" s="334"/>
      <c r="BH803" s="334"/>
      <c r="BI803" s="334"/>
      <c r="BJ803" s="334"/>
      <c r="BK803" s="334"/>
      <c r="BL803" s="334"/>
      <c r="BM803" s="334"/>
      <c r="BN803" s="334"/>
      <c r="BO803" s="334"/>
      <c r="BP803" s="334"/>
      <c r="BQ803" s="334"/>
      <c r="BR803" s="334"/>
      <c r="BS803" s="334"/>
      <c r="BT803" s="334"/>
      <c r="BU803" s="334"/>
      <c r="BV803" s="334"/>
      <c r="BW803" s="334"/>
    </row>
    <row r="804" spans="45:75" x14ac:dyDescent="0.25">
      <c r="AW804" s="200"/>
      <c r="AX804" s="334"/>
      <c r="AY804" s="334"/>
      <c r="AZ804" s="334"/>
      <c r="BA804" s="201"/>
      <c r="BB804" s="334"/>
      <c r="BC804" s="334"/>
      <c r="BD804" s="334"/>
      <c r="BE804" s="201"/>
      <c r="BG804" s="102"/>
      <c r="BH804" s="102"/>
      <c r="BI804" s="154"/>
      <c r="BM804" s="102"/>
      <c r="BN804" s="102"/>
      <c r="BO804" s="334"/>
      <c r="BP804" s="102"/>
      <c r="BQ804" s="102"/>
      <c r="BR804" s="154"/>
      <c r="BV804" s="102"/>
      <c r="BW804" s="102"/>
    </row>
    <row r="805" spans="45:75" x14ac:dyDescent="0.25">
      <c r="AS805" s="202"/>
      <c r="AU805" s="154"/>
      <c r="AV805" s="103"/>
      <c r="AW805" s="200"/>
      <c r="AX805" s="334"/>
      <c r="AY805" s="334"/>
      <c r="AZ805" s="334"/>
      <c r="BA805" s="201"/>
      <c r="BB805" s="334"/>
      <c r="BC805" s="334"/>
      <c r="BD805" s="334"/>
      <c r="BE805" s="201"/>
      <c r="BG805" s="336"/>
      <c r="BH805" s="334"/>
      <c r="BI805" s="334"/>
      <c r="BJ805" s="334"/>
      <c r="BK805" s="336"/>
      <c r="BL805" s="337"/>
      <c r="BM805" s="334"/>
      <c r="BN805" s="336"/>
      <c r="BO805" s="334"/>
      <c r="BP805" s="336"/>
      <c r="BQ805" s="334"/>
      <c r="BR805" s="334"/>
      <c r="BS805" s="334"/>
      <c r="BT805" s="336"/>
      <c r="BU805" s="337"/>
      <c r="BV805" s="334"/>
      <c r="BW805" s="336"/>
    </row>
    <row r="806" spans="45:75" x14ac:dyDescent="0.25">
      <c r="AS806" s="202"/>
      <c r="AV806" s="103"/>
      <c r="AW806" s="200"/>
      <c r="AX806" s="334"/>
      <c r="AY806" s="334"/>
      <c r="AZ806" s="334"/>
      <c r="BA806" s="201"/>
      <c r="BB806" s="334"/>
      <c r="BC806" s="334"/>
      <c r="BD806" s="334"/>
      <c r="BE806" s="201"/>
      <c r="BG806" s="334"/>
      <c r="BH806" s="334"/>
      <c r="BI806" s="334"/>
      <c r="BJ806" s="334"/>
      <c r="BK806" s="334"/>
      <c r="BL806" s="337"/>
      <c r="BM806" s="334"/>
      <c r="BN806" s="334"/>
      <c r="BO806" s="334"/>
      <c r="BP806" s="334"/>
      <c r="BQ806" s="334"/>
      <c r="BR806" s="334"/>
      <c r="BS806" s="334"/>
      <c r="BT806" s="334"/>
      <c r="BU806" s="337"/>
      <c r="BV806" s="334"/>
      <c r="BW806" s="334"/>
    </row>
    <row r="807" spans="45:75" x14ac:dyDescent="0.25">
      <c r="AS807" s="202"/>
      <c r="AV807" s="103"/>
      <c r="AW807" s="200"/>
      <c r="AX807" s="334"/>
      <c r="AY807" s="334"/>
      <c r="AZ807" s="334"/>
      <c r="BA807" s="201"/>
      <c r="BB807" s="334"/>
      <c r="BC807" s="334"/>
      <c r="BD807" s="334"/>
      <c r="BE807" s="201"/>
      <c r="BG807" s="334"/>
      <c r="BH807" s="334"/>
      <c r="BI807" s="334"/>
      <c r="BJ807" s="334"/>
      <c r="BK807" s="334"/>
      <c r="BL807" s="337"/>
      <c r="BM807" s="334"/>
      <c r="BN807" s="334"/>
      <c r="BO807" s="334"/>
      <c r="BP807" s="334"/>
      <c r="BQ807" s="334"/>
      <c r="BR807" s="334"/>
      <c r="BS807" s="334"/>
      <c r="BT807" s="334"/>
      <c r="BU807" s="337"/>
      <c r="BV807" s="334"/>
      <c r="BW807" s="334"/>
    </row>
    <row r="808" spans="45:75" x14ac:dyDescent="0.25">
      <c r="AS808" s="202"/>
      <c r="AV808" s="103"/>
      <c r="AW808" s="200"/>
      <c r="AX808" s="334"/>
      <c r="AY808" s="334"/>
      <c r="AZ808" s="334"/>
      <c r="BA808" s="201"/>
      <c r="BB808" s="334"/>
      <c r="BC808" s="334"/>
      <c r="BD808" s="334"/>
      <c r="BE808" s="201"/>
      <c r="BG808" s="334"/>
      <c r="BH808" s="334"/>
      <c r="BI808" s="334"/>
      <c r="BJ808" s="334"/>
      <c r="BK808" s="334"/>
      <c r="BL808" s="337"/>
      <c r="BM808" s="334"/>
      <c r="BN808" s="334"/>
      <c r="BO808" s="334"/>
      <c r="BP808" s="334"/>
      <c r="BQ808" s="334"/>
      <c r="BR808" s="334"/>
      <c r="BS808" s="334"/>
      <c r="BT808" s="334"/>
      <c r="BU808" s="337"/>
      <c r="BV808" s="334"/>
      <c r="BW808" s="334"/>
    </row>
    <row r="809" spans="45:75" x14ac:dyDescent="0.25">
      <c r="AX809" s="334"/>
      <c r="AY809" s="334"/>
      <c r="AZ809" s="334"/>
      <c r="BA809" s="201"/>
      <c r="BB809" s="334"/>
      <c r="BC809" s="334"/>
      <c r="BD809" s="334"/>
      <c r="BE809" s="201"/>
      <c r="BG809" s="334"/>
      <c r="BH809" s="334"/>
      <c r="BI809" s="334"/>
      <c r="BJ809" s="334"/>
      <c r="BK809" s="334"/>
      <c r="BL809" s="334"/>
      <c r="BM809" s="334"/>
      <c r="BN809" s="334"/>
      <c r="BO809" s="334"/>
      <c r="BP809" s="334"/>
      <c r="BQ809" s="334"/>
      <c r="BR809" s="334"/>
      <c r="BS809" s="334"/>
      <c r="BT809" s="334"/>
      <c r="BU809" s="334"/>
      <c r="BV809" s="334"/>
    </row>
    <row r="810" spans="45:75" x14ac:dyDescent="0.25">
      <c r="AU810" s="154"/>
    </row>
    <row r="811" spans="45:75" x14ac:dyDescent="0.25">
      <c r="AU811" s="154"/>
      <c r="AZ811" s="334"/>
      <c r="BA811" s="201"/>
      <c r="BB811" s="334"/>
      <c r="BC811" s="334"/>
      <c r="BD811" s="334"/>
      <c r="BE811" s="201"/>
      <c r="BG811" s="334"/>
      <c r="BH811" s="334"/>
      <c r="BI811" s="334"/>
      <c r="BJ811" s="334"/>
      <c r="BK811" s="334"/>
      <c r="BL811" s="334"/>
      <c r="BM811" s="334"/>
      <c r="BN811" s="334"/>
      <c r="BO811" s="334"/>
      <c r="BP811" s="334"/>
      <c r="BQ811" s="334"/>
      <c r="BR811" s="334"/>
      <c r="BS811" s="334"/>
      <c r="BT811" s="334"/>
      <c r="BU811" s="334"/>
      <c r="BV811" s="334"/>
    </row>
    <row r="812" spans="45:75" x14ac:dyDescent="0.25">
      <c r="AS812" s="154"/>
      <c r="AZ812" s="334"/>
      <c r="BB812" s="334"/>
    </row>
    <row r="813" spans="45:75" x14ac:dyDescent="0.25">
      <c r="AY813" s="202"/>
      <c r="AZ813" s="334"/>
      <c r="BB813" s="334"/>
      <c r="BO813" s="334"/>
      <c r="BP813" s="334"/>
      <c r="BQ813" s="334"/>
      <c r="BR813" s="334"/>
      <c r="BS813" s="334"/>
      <c r="BT813" s="334"/>
      <c r="BU813" s="334"/>
      <c r="BV813" s="334"/>
    </row>
    <row r="814" spans="45:75" x14ac:dyDescent="0.25">
      <c r="AY814" s="334"/>
      <c r="AZ814" s="334"/>
      <c r="BB814" s="334"/>
      <c r="BO814" s="334"/>
      <c r="BP814" s="334"/>
      <c r="BQ814" s="334"/>
      <c r="BR814" s="334"/>
      <c r="BS814" s="334"/>
      <c r="BT814" s="334"/>
      <c r="BU814" s="334"/>
      <c r="BV814" s="334"/>
    </row>
    <row r="815" spans="45:75" x14ac:dyDescent="0.25">
      <c r="AY815" s="154"/>
      <c r="AZ815" s="334"/>
      <c r="BB815" s="334"/>
      <c r="BO815" s="334"/>
      <c r="BP815" s="334"/>
      <c r="BQ815" s="334"/>
      <c r="BR815" s="334"/>
      <c r="BS815" s="334"/>
      <c r="BT815" s="334"/>
      <c r="BU815" s="334"/>
      <c r="BV815" s="334"/>
    </row>
    <row r="816" spans="45:75" x14ac:dyDescent="0.25">
      <c r="AY816" s="154"/>
      <c r="AZ816" s="334"/>
      <c r="BB816" s="334"/>
      <c r="BO816" s="334"/>
      <c r="BP816" s="334"/>
      <c r="BQ816" s="334"/>
      <c r="BR816" s="334"/>
      <c r="BS816" s="334"/>
      <c r="BT816" s="334"/>
      <c r="BU816" s="334"/>
      <c r="BV816" s="334"/>
    </row>
    <row r="817" spans="45:74" x14ac:dyDescent="0.25">
      <c r="AS817" s="202"/>
      <c r="AZ817" s="334"/>
      <c r="BB817" s="334"/>
      <c r="BD817" s="154"/>
      <c r="BO817" s="334"/>
      <c r="BP817" s="334"/>
      <c r="BQ817" s="334"/>
      <c r="BR817" s="334"/>
      <c r="BS817" s="334"/>
      <c r="BT817" s="334"/>
      <c r="BU817" s="334"/>
      <c r="BV817" s="334"/>
    </row>
    <row r="818" spans="45:74" x14ac:dyDescent="0.25">
      <c r="AS818" s="202"/>
      <c r="AZ818" s="334"/>
      <c r="BB818" s="334"/>
      <c r="BD818" s="154"/>
      <c r="BO818" s="334"/>
      <c r="BP818" s="334"/>
      <c r="BQ818" s="334"/>
      <c r="BR818" s="334"/>
      <c r="BS818" s="334"/>
      <c r="BT818" s="334"/>
      <c r="BU818" s="334"/>
      <c r="BV818" s="334"/>
    </row>
    <row r="819" spans="45:74" x14ac:dyDescent="0.25">
      <c r="AS819" s="154"/>
      <c r="AZ819" s="334"/>
      <c r="BB819" s="334"/>
      <c r="BD819" s="154"/>
      <c r="BO819" s="334"/>
      <c r="BP819" s="334"/>
      <c r="BQ819" s="334"/>
      <c r="BR819" s="334"/>
      <c r="BS819" s="334"/>
      <c r="BT819" s="334"/>
      <c r="BU819" s="334"/>
      <c r="BV819" s="334"/>
    </row>
    <row r="820" spans="45:74" x14ac:dyDescent="0.25">
      <c r="AZ820" s="334"/>
      <c r="BB820" s="334"/>
      <c r="BD820" s="202"/>
      <c r="BO820" s="334"/>
      <c r="BP820" s="334"/>
      <c r="BQ820" s="334"/>
      <c r="BR820" s="334"/>
      <c r="BS820" s="334"/>
      <c r="BT820" s="334"/>
      <c r="BU820" s="334"/>
      <c r="BV820" s="334"/>
    </row>
    <row r="821" spans="45:74" x14ac:dyDescent="0.25">
      <c r="AS821" s="102"/>
      <c r="AT821" s="102"/>
      <c r="AU821" s="102"/>
      <c r="AV821" s="102"/>
      <c r="AW821" s="102"/>
      <c r="AX821" s="102"/>
      <c r="AY821" s="102"/>
      <c r="AZ821" s="335"/>
      <c r="BA821" s="102"/>
      <c r="BB821" s="335"/>
      <c r="BC821" s="102"/>
      <c r="BD821" s="102"/>
      <c r="BE821" s="102"/>
      <c r="BO821" s="334"/>
      <c r="BP821" s="334"/>
      <c r="BQ821" s="334"/>
      <c r="BR821" s="334"/>
      <c r="BS821" s="334"/>
      <c r="BT821" s="334"/>
      <c r="BU821" s="334"/>
      <c r="BV821" s="334"/>
    </row>
    <row r="822" spans="45:74" x14ac:dyDescent="0.25">
      <c r="AX822" s="154"/>
      <c r="AZ822" s="334"/>
      <c r="BB822" s="334"/>
      <c r="BO822" s="334"/>
      <c r="BP822" s="334"/>
      <c r="BQ822" s="334"/>
      <c r="BR822" s="334"/>
      <c r="BS822" s="334"/>
      <c r="BT822" s="334"/>
      <c r="BU822" s="334"/>
      <c r="BV822" s="334"/>
    </row>
    <row r="823" spans="45:74" x14ac:dyDescent="0.25">
      <c r="AX823" s="102"/>
      <c r="AY823" s="102"/>
      <c r="AZ823" s="335"/>
      <c r="BA823" s="102"/>
      <c r="BB823" s="334"/>
      <c r="BC823" s="103"/>
      <c r="BD823" s="103"/>
      <c r="BO823" s="334"/>
      <c r="BP823" s="334"/>
      <c r="BQ823" s="334"/>
      <c r="BR823" s="334"/>
      <c r="BS823" s="334"/>
      <c r="BT823" s="334"/>
      <c r="BU823" s="334"/>
      <c r="BV823" s="334"/>
    </row>
    <row r="824" spans="45:74" x14ac:dyDescent="0.25">
      <c r="AV824" s="103"/>
      <c r="AW824" s="103"/>
      <c r="AZ824" s="336"/>
      <c r="BA824" s="103"/>
      <c r="BB824" s="334"/>
      <c r="BC824" s="103"/>
      <c r="BD824" s="103"/>
      <c r="BE824" s="103"/>
      <c r="BG824" s="102"/>
      <c r="BH824" s="154"/>
      <c r="BK824" s="102"/>
      <c r="BM824" s="102"/>
      <c r="BN824" s="154"/>
      <c r="BQ824" s="102"/>
    </row>
    <row r="825" spans="45:74" x14ac:dyDescent="0.25">
      <c r="AV825" s="103"/>
      <c r="AW825" s="103"/>
      <c r="AX825" s="103"/>
      <c r="AY825" s="103"/>
      <c r="AZ825" s="336"/>
      <c r="BA825" s="103"/>
      <c r="BB825" s="336"/>
      <c r="BC825" s="103"/>
      <c r="BD825" s="103"/>
      <c r="BE825" s="103"/>
      <c r="BH825" s="103"/>
      <c r="BI825" s="103"/>
      <c r="BN825" s="103"/>
      <c r="BO825" s="103"/>
    </row>
    <row r="826" spans="45:74" x14ac:dyDescent="0.25">
      <c r="AS826" s="103"/>
      <c r="AU826" s="154"/>
      <c r="AV826" s="103"/>
      <c r="AW826" s="103"/>
      <c r="AX826" s="103"/>
      <c r="AY826" s="103"/>
      <c r="AZ826" s="336"/>
      <c r="BA826" s="103"/>
      <c r="BB826" s="336"/>
      <c r="BC826" s="103"/>
      <c r="BD826" s="103"/>
      <c r="BE826" s="103"/>
      <c r="BG826" s="103"/>
      <c r="BH826" s="103"/>
      <c r="BI826" s="103"/>
      <c r="BJ826" s="103"/>
      <c r="BK826" s="103"/>
      <c r="BM826" s="103"/>
      <c r="BN826" s="103"/>
      <c r="BO826" s="103"/>
      <c r="BP826" s="103"/>
      <c r="BQ826" s="103"/>
    </row>
    <row r="827" spans="45:74" x14ac:dyDescent="0.25">
      <c r="AS827" s="103"/>
      <c r="AU827" s="154"/>
      <c r="AV827" s="103"/>
      <c r="AW827" s="103"/>
      <c r="AX827" s="103"/>
      <c r="AY827" s="103"/>
      <c r="AZ827" s="336"/>
      <c r="BA827" s="103"/>
      <c r="BB827" s="336"/>
      <c r="BC827" s="103"/>
      <c r="BD827" s="103"/>
      <c r="BE827" s="103"/>
      <c r="BG827" s="103"/>
      <c r="BH827" s="103"/>
      <c r="BI827" s="103"/>
      <c r="BJ827" s="103"/>
      <c r="BK827" s="103"/>
      <c r="BM827" s="103"/>
      <c r="BN827" s="103"/>
      <c r="BO827" s="103"/>
      <c r="BP827" s="103"/>
      <c r="BQ827" s="103"/>
    </row>
    <row r="828" spans="45:74" x14ac:dyDescent="0.25">
      <c r="AS828" s="102"/>
      <c r="AT828" s="102"/>
      <c r="AU828" s="102"/>
      <c r="AV828" s="102"/>
      <c r="AW828" s="102"/>
      <c r="AX828" s="102"/>
      <c r="AY828" s="102"/>
      <c r="AZ828" s="335"/>
      <c r="BA828" s="102"/>
      <c r="BB828" s="335"/>
      <c r="BC828" s="102"/>
      <c r="BD828" s="102"/>
      <c r="BE828" s="102"/>
      <c r="BG828" s="102"/>
      <c r="BH828" s="102"/>
      <c r="BI828" s="102"/>
      <c r="BJ828" s="102"/>
      <c r="BK828" s="102"/>
      <c r="BM828" s="102"/>
      <c r="BN828" s="102"/>
      <c r="BO828" s="102"/>
      <c r="BP828" s="102"/>
      <c r="BQ828" s="102"/>
    </row>
    <row r="829" spans="45:74" x14ac:dyDescent="0.25">
      <c r="AV829" s="103"/>
      <c r="AW829" s="103"/>
      <c r="AX829" s="103"/>
      <c r="AY829" s="103"/>
      <c r="AZ829" s="336"/>
      <c r="BA829" s="103"/>
      <c r="BB829" s="336"/>
      <c r="BC829" s="103"/>
      <c r="BD829" s="103"/>
      <c r="BE829" s="103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</row>
    <row r="830" spans="45:74" x14ac:dyDescent="0.25">
      <c r="AS830" s="202"/>
      <c r="AT830" s="154"/>
      <c r="AV830" s="200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</row>
    <row r="831" spans="45:74" x14ac:dyDescent="0.25">
      <c r="AS831" s="202"/>
      <c r="AV831" s="200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</row>
    <row r="832" spans="45:74" x14ac:dyDescent="0.25">
      <c r="AS832" s="202"/>
      <c r="AV832" s="200"/>
      <c r="AW832" s="200"/>
      <c r="AX832" s="334"/>
      <c r="AY832" s="334"/>
      <c r="AZ832" s="334"/>
      <c r="BA832" s="201"/>
      <c r="BB832" s="334"/>
      <c r="BC832" s="334"/>
      <c r="BD832" s="334"/>
      <c r="BE832" s="201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</row>
    <row r="833" spans="45:71" x14ac:dyDescent="0.25">
      <c r="AS833" s="202"/>
      <c r="AV833" s="200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</row>
    <row r="834" spans="45:71" x14ac:dyDescent="0.25">
      <c r="AS834" s="202"/>
      <c r="AV834" s="200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</row>
    <row r="835" spans="45:71" x14ac:dyDescent="0.25">
      <c r="AS835" s="202"/>
      <c r="AV835" s="200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</row>
    <row r="836" spans="45:71" x14ac:dyDescent="0.25">
      <c r="AS836" s="202"/>
      <c r="AV836" s="200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</row>
    <row r="837" spans="45:71" x14ac:dyDescent="0.25">
      <c r="AS837" s="202"/>
      <c r="AV837" s="200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</row>
    <row r="838" spans="45:71" x14ac:dyDescent="0.25">
      <c r="AS838" s="202"/>
      <c r="AV838" s="200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</row>
    <row r="839" spans="45:71" x14ac:dyDescent="0.25">
      <c r="AS839" s="202"/>
      <c r="AV839" s="200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</row>
    <row r="840" spans="45:71" x14ac:dyDescent="0.25">
      <c r="AS840" s="202"/>
      <c r="AV840" s="200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</row>
    <row r="841" spans="45:71" x14ac:dyDescent="0.25">
      <c r="AS841" s="202"/>
      <c r="AV841" s="200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</row>
    <row r="842" spans="45:71" x14ac:dyDescent="0.25">
      <c r="AS842" s="202"/>
      <c r="AV842" s="200"/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</row>
    <row r="843" spans="45:71" x14ac:dyDescent="0.25">
      <c r="AS843" s="202"/>
      <c r="AV843" s="200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</row>
    <row r="844" spans="45:71" x14ac:dyDescent="0.25">
      <c r="AS844" s="202"/>
      <c r="AV844" s="200"/>
      <c r="AW844" s="200"/>
      <c r="AX844" s="334"/>
      <c r="AY844" s="334"/>
      <c r="AZ844" s="334"/>
      <c r="BA844" s="201"/>
      <c r="BB844" s="334"/>
      <c r="BC844" s="334"/>
      <c r="BD844" s="334"/>
      <c r="BE844" s="201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</row>
    <row r="845" spans="45:71" x14ac:dyDescent="0.25">
      <c r="AS845" s="202"/>
      <c r="AV845" s="200"/>
      <c r="AW845" s="200"/>
      <c r="AX845" s="334"/>
      <c r="AY845" s="33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</row>
    <row r="846" spans="45:71" x14ac:dyDescent="0.25">
      <c r="AS846" s="202"/>
      <c r="AV846" s="200"/>
      <c r="AW846" s="200"/>
      <c r="AX846" s="334"/>
      <c r="AY846" s="334"/>
      <c r="AZ846" s="334"/>
      <c r="BA846" s="201"/>
      <c r="BB846" s="334"/>
      <c r="BC846" s="334"/>
      <c r="BD846" s="334"/>
      <c r="BE846" s="201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</row>
    <row r="847" spans="45:71" x14ac:dyDescent="0.25">
      <c r="AS847" s="202"/>
      <c r="AV847" s="200"/>
      <c r="AW847" s="200"/>
      <c r="AX847" s="334"/>
      <c r="AY847" s="334"/>
      <c r="AZ847" s="334"/>
      <c r="BA847" s="201"/>
      <c r="BB847" s="334"/>
      <c r="BC847" s="334"/>
      <c r="BD847" s="334"/>
      <c r="BE847" s="201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</row>
    <row r="848" spans="45:71" x14ac:dyDescent="0.25">
      <c r="AZ848" s="334"/>
      <c r="BB848" s="334"/>
      <c r="BC848" s="334"/>
      <c r="BD848" s="334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</row>
    <row r="849" spans="45:57" x14ac:dyDescent="0.25">
      <c r="AS849" s="202"/>
      <c r="AT849" s="154"/>
      <c r="AV849" s="200"/>
      <c r="AW849" s="200"/>
      <c r="AX849" s="334"/>
      <c r="AY849" s="334"/>
      <c r="AZ849" s="334"/>
      <c r="BA849" s="201"/>
      <c r="BB849" s="334"/>
      <c r="BC849" s="334"/>
      <c r="BD849" s="334"/>
      <c r="BE849" s="201"/>
    </row>
    <row r="850" spans="45:57" x14ac:dyDescent="0.25">
      <c r="AS850" s="202"/>
      <c r="AV850" s="200"/>
      <c r="AW850" s="200"/>
      <c r="AX850" s="334"/>
      <c r="AY850" s="334"/>
      <c r="AZ850" s="334"/>
      <c r="BA850" s="201"/>
      <c r="BB850" s="334"/>
      <c r="BC850" s="334"/>
      <c r="BD850" s="334"/>
      <c r="BE850" s="201"/>
    </row>
    <row r="851" spans="45:57" x14ac:dyDescent="0.25">
      <c r="AS851" s="202"/>
      <c r="AV851" s="200"/>
      <c r="AW851" s="200"/>
      <c r="AX851" s="334"/>
      <c r="AY851" s="334"/>
      <c r="AZ851" s="334"/>
      <c r="BA851" s="201"/>
      <c r="BB851" s="334"/>
      <c r="BC851" s="334"/>
      <c r="BD851" s="334"/>
      <c r="BE851" s="201"/>
    </row>
    <row r="852" spans="45:57" x14ac:dyDescent="0.25">
      <c r="AS852" s="202"/>
      <c r="AV852" s="200"/>
      <c r="AW852" s="200"/>
      <c r="AX852" s="334"/>
      <c r="AY852" s="334"/>
      <c r="AZ852" s="334"/>
      <c r="BA852" s="201"/>
      <c r="BB852" s="334"/>
      <c r="BC852" s="334"/>
      <c r="BD852" s="334"/>
      <c r="BE852" s="201"/>
    </row>
    <row r="853" spans="45:57" x14ac:dyDescent="0.25">
      <c r="AS853" s="202"/>
      <c r="AV853" s="200"/>
      <c r="AW853" s="200"/>
      <c r="AX853" s="334"/>
      <c r="AY853" s="334"/>
      <c r="AZ853" s="334"/>
      <c r="BA853" s="201"/>
      <c r="BB853" s="334"/>
      <c r="BC853" s="334"/>
      <c r="BD853" s="334"/>
      <c r="BE853" s="201"/>
    </row>
    <row r="854" spans="45:57" x14ac:dyDescent="0.25">
      <c r="AS854" s="202"/>
      <c r="AV854" s="200"/>
      <c r="AW854" s="200"/>
      <c r="AX854" s="334"/>
      <c r="AY854" s="334"/>
      <c r="AZ854" s="334"/>
      <c r="BA854" s="201"/>
      <c r="BB854" s="334"/>
      <c r="BC854" s="334"/>
      <c r="BD854" s="334"/>
      <c r="BE854" s="201"/>
    </row>
    <row r="855" spans="45:57" x14ac:dyDescent="0.25">
      <c r="AS855" s="202"/>
      <c r="AV855" s="200"/>
      <c r="AW855" s="200"/>
      <c r="AX855" s="334"/>
      <c r="AY855" s="334"/>
      <c r="AZ855" s="334"/>
      <c r="BA855" s="201"/>
      <c r="BB855" s="334"/>
      <c r="BC855" s="334"/>
      <c r="BD855" s="334"/>
      <c r="BE855" s="201"/>
    </row>
    <row r="856" spans="45:57" x14ac:dyDescent="0.25">
      <c r="AS856" s="202"/>
      <c r="AV856" s="200"/>
      <c r="AW856" s="200"/>
      <c r="AX856" s="334"/>
      <c r="AY856" s="334"/>
      <c r="AZ856" s="334"/>
      <c r="BA856" s="201"/>
      <c r="BB856" s="334"/>
      <c r="BC856" s="334"/>
      <c r="BD856" s="334"/>
      <c r="BE856" s="201"/>
    </row>
    <row r="857" spans="45:57" x14ac:dyDescent="0.25">
      <c r="AS857" s="202"/>
      <c r="AV857" s="200"/>
      <c r="AW857" s="200"/>
      <c r="AX857" s="334"/>
      <c r="AY857" s="334"/>
      <c r="AZ857" s="334"/>
      <c r="BA857" s="201"/>
      <c r="BB857" s="334"/>
      <c r="BC857" s="334"/>
      <c r="BD857" s="334"/>
      <c r="BE857" s="201"/>
    </row>
    <row r="858" spans="45:57" x14ac:dyDescent="0.25">
      <c r="AS858" s="202"/>
      <c r="AV858" s="200"/>
      <c r="AW858" s="200"/>
      <c r="AX858" s="334"/>
      <c r="AY858" s="334"/>
      <c r="AZ858" s="334"/>
      <c r="BA858" s="201"/>
      <c r="BB858" s="334"/>
      <c r="BC858" s="334"/>
      <c r="BD858" s="334"/>
      <c r="BE858" s="201"/>
    </row>
    <row r="859" spans="45:57" x14ac:dyDescent="0.25">
      <c r="AS859" s="202"/>
      <c r="AV859" s="200"/>
      <c r="AW859" s="200"/>
      <c r="AX859" s="334"/>
      <c r="AY859" s="334"/>
      <c r="AZ859" s="334"/>
      <c r="BA859" s="201"/>
      <c r="BB859" s="334"/>
      <c r="BC859" s="334"/>
      <c r="BD859" s="334"/>
      <c r="BE859" s="201"/>
    </row>
    <row r="860" spans="45:57" x14ac:dyDescent="0.25">
      <c r="AS860" s="202"/>
      <c r="AV860" s="200"/>
      <c r="AW860" s="200"/>
      <c r="AX860" s="334"/>
      <c r="AY860" s="334"/>
      <c r="AZ860" s="334"/>
      <c r="BA860" s="201"/>
      <c r="BB860" s="334"/>
      <c r="BC860" s="334"/>
      <c r="BD860" s="334"/>
      <c r="BE860" s="201"/>
    </row>
    <row r="861" spans="45:57" x14ac:dyDescent="0.25">
      <c r="AS861" s="202"/>
      <c r="AV861" s="200"/>
      <c r="AW861" s="200"/>
      <c r="AX861" s="334"/>
      <c r="AY861" s="334"/>
      <c r="AZ861" s="334"/>
      <c r="BA861" s="201"/>
      <c r="BB861" s="334"/>
      <c r="BC861" s="334"/>
      <c r="BD861" s="334"/>
      <c r="BE861" s="201"/>
    </row>
    <row r="862" spans="45:57" x14ac:dyDescent="0.25">
      <c r="AS862" s="202"/>
      <c r="AV862" s="200"/>
      <c r="AW862" s="200"/>
      <c r="AX862" s="334"/>
      <c r="AY862" s="334"/>
      <c r="AZ862" s="334"/>
      <c r="BA862" s="201"/>
      <c r="BB862" s="334"/>
      <c r="BC862" s="334"/>
      <c r="BD862" s="334"/>
      <c r="BE862" s="201"/>
    </row>
    <row r="863" spans="45:57" x14ac:dyDescent="0.25">
      <c r="AS863" s="202"/>
      <c r="AV863" s="200"/>
      <c r="AW863" s="200"/>
      <c r="AX863" s="334"/>
      <c r="AY863" s="334"/>
      <c r="AZ863" s="334"/>
      <c r="BA863" s="201"/>
      <c r="BB863" s="334"/>
      <c r="BC863" s="334"/>
      <c r="BD863" s="334"/>
      <c r="BE863" s="201"/>
    </row>
    <row r="864" spans="45:57" x14ac:dyDescent="0.25">
      <c r="AS864" s="202"/>
      <c r="AV864" s="200"/>
      <c r="AW864" s="200"/>
      <c r="AX864" s="334"/>
      <c r="AY864" s="334"/>
      <c r="AZ864" s="334"/>
      <c r="BA864" s="201"/>
      <c r="BB864" s="334"/>
      <c r="BC864" s="334"/>
      <c r="BD864" s="334"/>
      <c r="BE864" s="201"/>
    </row>
    <row r="865" spans="45:57" x14ac:dyDescent="0.25">
      <c r="AS865" s="202"/>
      <c r="AV865" s="200"/>
      <c r="AW865" s="200"/>
      <c r="AX865" s="334"/>
      <c r="AY865" s="334"/>
      <c r="AZ865" s="334"/>
      <c r="BA865" s="201"/>
      <c r="BB865" s="334"/>
      <c r="BC865" s="334"/>
      <c r="BD865" s="334"/>
      <c r="BE865" s="201"/>
    </row>
    <row r="866" spans="45:57" x14ac:dyDescent="0.25">
      <c r="AS866" s="202"/>
      <c r="AV866" s="200"/>
      <c r="AW866" s="200"/>
      <c r="AX866" s="334"/>
      <c r="AY866" s="334"/>
      <c r="AZ866" s="334"/>
      <c r="BA866" s="201"/>
      <c r="BB866" s="334"/>
      <c r="BC866" s="334"/>
      <c r="BD866" s="334"/>
      <c r="BE866" s="201"/>
    </row>
    <row r="867" spans="45:57" x14ac:dyDescent="0.25">
      <c r="BB867" s="334"/>
    </row>
    <row r="868" spans="45:57" x14ac:dyDescent="0.25">
      <c r="AU868" s="154"/>
      <c r="BB868" s="334"/>
    </row>
    <row r="869" spans="45:57" x14ac:dyDescent="0.25">
      <c r="AU869" s="154"/>
    </row>
    <row r="870" spans="45:57" x14ac:dyDescent="0.25">
      <c r="AU870" s="154"/>
      <c r="BB870" s="334"/>
    </row>
    <row r="871" spans="45:57" x14ac:dyDescent="0.25">
      <c r="AS871" s="154"/>
      <c r="AZ871" s="334"/>
      <c r="BB871" s="334"/>
    </row>
    <row r="872" spans="45:57" x14ac:dyDescent="0.25">
      <c r="AY872" s="202"/>
      <c r="AZ872" s="334"/>
      <c r="BB872" s="334"/>
    </row>
    <row r="873" spans="45:57" x14ac:dyDescent="0.25">
      <c r="AY873" s="334"/>
      <c r="AZ873" s="334"/>
      <c r="BB873" s="334"/>
    </row>
    <row r="874" spans="45:57" x14ac:dyDescent="0.25">
      <c r="AY874" s="154"/>
      <c r="AZ874" s="334"/>
      <c r="BB874" s="334"/>
    </row>
    <row r="875" spans="45:57" x14ac:dyDescent="0.25">
      <c r="AY875" s="154"/>
      <c r="AZ875" s="334"/>
      <c r="BB875" s="334"/>
    </row>
    <row r="876" spans="45:57" x14ac:dyDescent="0.25">
      <c r="AS876" s="202"/>
      <c r="AZ876" s="334"/>
      <c r="BB876" s="334"/>
      <c r="BD876" s="154"/>
    </row>
    <row r="877" spans="45:57" x14ac:dyDescent="0.25">
      <c r="AS877" s="202"/>
      <c r="AZ877" s="334"/>
      <c r="BB877" s="334"/>
      <c r="BD877" s="154"/>
    </row>
    <row r="878" spans="45:57" x14ac:dyDescent="0.25">
      <c r="AS878" s="154"/>
      <c r="AZ878" s="334"/>
      <c r="BB878" s="334"/>
      <c r="BD878" s="154"/>
    </row>
    <row r="879" spans="45:57" x14ac:dyDescent="0.25">
      <c r="AZ879" s="334"/>
      <c r="BB879" s="334"/>
      <c r="BD879" s="202"/>
    </row>
    <row r="880" spans="45:57" x14ac:dyDescent="0.25">
      <c r="AS880" s="102"/>
      <c r="AT880" s="102"/>
      <c r="AU880" s="102"/>
      <c r="AV880" s="102"/>
      <c r="AW880" s="102"/>
      <c r="AX880" s="102"/>
      <c r="AY880" s="102"/>
      <c r="AZ880" s="335"/>
      <c r="BA880" s="102"/>
      <c r="BB880" s="335"/>
      <c r="BC880" s="102"/>
      <c r="BD880" s="102"/>
      <c r="BE880" s="102"/>
    </row>
    <row r="881" spans="45:57" x14ac:dyDescent="0.25">
      <c r="AX881" s="154"/>
      <c r="AZ881" s="334"/>
      <c r="BB881" s="334"/>
    </row>
    <row r="882" spans="45:57" x14ac:dyDescent="0.25">
      <c r="AX882" s="102"/>
      <c r="AY882" s="102"/>
      <c r="AZ882" s="335"/>
      <c r="BA882" s="102"/>
      <c r="BB882" s="334"/>
      <c r="BC882" s="103"/>
      <c r="BD882" s="103"/>
    </row>
    <row r="883" spans="45:57" x14ac:dyDescent="0.25">
      <c r="AV883" s="103"/>
      <c r="AW883" s="103"/>
      <c r="AZ883" s="336"/>
      <c r="BA883" s="103"/>
      <c r="BB883" s="334"/>
      <c r="BC883" s="103"/>
      <c r="BD883" s="103"/>
      <c r="BE883" s="103"/>
    </row>
    <row r="884" spans="45:57" x14ac:dyDescent="0.25">
      <c r="AV884" s="103"/>
      <c r="AW884" s="103"/>
      <c r="AX884" s="103"/>
      <c r="AY884" s="103"/>
      <c r="AZ884" s="336"/>
      <c r="BA884" s="103"/>
      <c r="BB884" s="336"/>
      <c r="BC884" s="103"/>
      <c r="BD884" s="103"/>
      <c r="BE884" s="103"/>
    </row>
    <row r="885" spans="45:57" x14ac:dyDescent="0.25">
      <c r="AS885" s="103"/>
      <c r="AU885" s="154"/>
      <c r="AV885" s="103"/>
      <c r="AW885" s="103"/>
      <c r="AX885" s="103"/>
      <c r="AY885" s="103"/>
      <c r="AZ885" s="336"/>
      <c r="BA885" s="103"/>
      <c r="BB885" s="336"/>
      <c r="BC885" s="103"/>
      <c r="BD885" s="103"/>
      <c r="BE885" s="103"/>
    </row>
    <row r="886" spans="45:57" x14ac:dyDescent="0.25">
      <c r="AS886" s="103"/>
      <c r="AU886" s="154"/>
      <c r="AV886" s="103"/>
      <c r="AW886" s="103"/>
      <c r="AX886" s="103"/>
      <c r="AY886" s="103"/>
      <c r="AZ886" s="336"/>
      <c r="BA886" s="103"/>
      <c r="BB886" s="336"/>
      <c r="BC886" s="103"/>
      <c r="BD886" s="103"/>
      <c r="BE886" s="103"/>
    </row>
    <row r="887" spans="45:57" x14ac:dyDescent="0.25">
      <c r="AS887" s="102"/>
      <c r="AT887" s="102"/>
      <c r="AU887" s="102"/>
      <c r="AV887" s="102"/>
      <c r="AW887" s="102"/>
      <c r="AX887" s="102"/>
      <c r="AY887" s="102"/>
      <c r="AZ887" s="335"/>
      <c r="BA887" s="102"/>
      <c r="BB887" s="335"/>
      <c r="BC887" s="102"/>
      <c r="BD887" s="102"/>
      <c r="BE887" s="102"/>
    </row>
    <row r="888" spans="45:57" x14ac:dyDescent="0.25">
      <c r="AV888" s="103"/>
      <c r="AW888" s="103"/>
      <c r="AX888" s="103"/>
      <c r="AY888" s="103"/>
      <c r="AZ888" s="336"/>
      <c r="BA888" s="103"/>
      <c r="BB888" s="336"/>
      <c r="BC888" s="103"/>
      <c r="BD888" s="103"/>
      <c r="BE888" s="103"/>
    </row>
    <row r="889" spans="45:57" x14ac:dyDescent="0.25">
      <c r="AS889" s="202"/>
      <c r="AT889" s="154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57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57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57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</row>
    <row r="893" spans="45:57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4" spans="45:57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</row>
    <row r="895" spans="45:57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</row>
    <row r="896" spans="45:57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</row>
    <row r="897" spans="45:57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</row>
    <row r="898" spans="45:57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</row>
    <row r="899" spans="45:57" x14ac:dyDescent="0.25">
      <c r="AV899" s="200"/>
      <c r="AW899" s="200"/>
      <c r="BB899" s="334"/>
    </row>
    <row r="900" spans="45:57" x14ac:dyDescent="0.25">
      <c r="AS900" s="202"/>
      <c r="AT900" s="154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57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</row>
    <row r="902" spans="45:57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</row>
    <row r="903" spans="45:57" x14ac:dyDescent="0.25">
      <c r="AS903" s="202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</row>
    <row r="904" spans="45:57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</row>
    <row r="905" spans="45:57" x14ac:dyDescent="0.25">
      <c r="AS905" s="202"/>
      <c r="AV905" s="200"/>
      <c r="AW905" s="200"/>
      <c r="AX905" s="334"/>
      <c r="AY905" s="334"/>
      <c r="AZ905" s="334"/>
      <c r="BA905" s="201"/>
      <c r="BB905" s="334"/>
      <c r="BC905" s="334"/>
      <c r="BD905" s="334"/>
      <c r="BE905" s="201"/>
    </row>
    <row r="906" spans="45:57" x14ac:dyDescent="0.25">
      <c r="AS906" s="202"/>
      <c r="AV906" s="200"/>
      <c r="AW906" s="200"/>
      <c r="AX906" s="334"/>
      <c r="AY906" s="334"/>
      <c r="AZ906" s="334"/>
      <c r="BA906" s="201"/>
      <c r="BB906" s="334"/>
      <c r="BC906" s="334"/>
      <c r="BD906" s="334"/>
      <c r="BE906" s="201"/>
    </row>
    <row r="907" spans="45:57" x14ac:dyDescent="0.25">
      <c r="AS907" s="202"/>
      <c r="AV907" s="200"/>
      <c r="AW907" s="200"/>
      <c r="AX907" s="334"/>
      <c r="AY907" s="334"/>
      <c r="AZ907" s="334"/>
      <c r="BA907" s="201"/>
      <c r="BB907" s="334"/>
      <c r="BC907" s="334"/>
      <c r="BD907" s="334"/>
      <c r="BE907" s="201"/>
    </row>
    <row r="908" spans="45:57" x14ac:dyDescent="0.25">
      <c r="AS908" s="202"/>
      <c r="AV908" s="200"/>
      <c r="AW908" s="200"/>
      <c r="AX908" s="334"/>
      <c r="AY908" s="334"/>
      <c r="AZ908" s="334"/>
      <c r="BA908" s="201"/>
      <c r="BB908" s="334"/>
      <c r="BC908" s="334"/>
      <c r="BD908" s="334"/>
      <c r="BE908" s="201"/>
    </row>
    <row r="909" spans="45:57" x14ac:dyDescent="0.25">
      <c r="AS909" s="202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</row>
    <row r="911" spans="45:57" x14ac:dyDescent="0.25">
      <c r="AU911" s="154"/>
    </row>
    <row r="912" spans="45:57" x14ac:dyDescent="0.25">
      <c r="AU912" s="154"/>
    </row>
    <row r="913" spans="45:47" x14ac:dyDescent="0.25">
      <c r="AU913" s="154"/>
    </row>
    <row r="914" spans="45:47" x14ac:dyDescent="0.25">
      <c r="AS914" s="154"/>
    </row>
    <row r="935" spans="52:71" x14ac:dyDescent="0.25">
      <c r="AZ935" s="334"/>
      <c r="BB935" s="334"/>
      <c r="BC935" s="334"/>
      <c r="BD935" s="334"/>
      <c r="BG935" s="334"/>
      <c r="BH935" s="334"/>
      <c r="BI935" s="334"/>
      <c r="BJ935" s="334"/>
      <c r="BK935" s="334"/>
      <c r="BL935" s="334"/>
      <c r="BM935" s="334"/>
      <c r="BN935" s="334"/>
      <c r="BO935" s="334"/>
      <c r="BP935" s="334"/>
      <c r="BQ935" s="334"/>
      <c r="BR935" s="334"/>
      <c r="BS935" s="334"/>
    </row>
    <row r="936" spans="52:71" x14ac:dyDescent="0.25">
      <c r="AZ936" s="334"/>
      <c r="BB936" s="334"/>
      <c r="BC936" s="334"/>
      <c r="BD936" s="334"/>
      <c r="BG936" s="334"/>
      <c r="BH936" s="334"/>
      <c r="BI936" s="334"/>
      <c r="BJ936" s="334"/>
      <c r="BK936" s="334"/>
      <c r="BL936" s="334"/>
      <c r="BM936" s="334"/>
      <c r="BN936" s="334"/>
      <c r="BO936" s="334"/>
      <c r="BP936" s="334"/>
      <c r="BQ936" s="334"/>
      <c r="BR936" s="334"/>
      <c r="BS936" s="334"/>
    </row>
    <row r="937" spans="52:71" x14ac:dyDescent="0.25">
      <c r="AZ937" s="334"/>
      <c r="BB937" s="334"/>
      <c r="BC937" s="334"/>
      <c r="BD937" s="334"/>
      <c r="BG937" s="334"/>
      <c r="BH937" s="334"/>
      <c r="BI937" s="334"/>
      <c r="BJ937" s="334"/>
      <c r="BK937" s="334"/>
      <c r="BL937" s="334"/>
      <c r="BM937" s="334"/>
      <c r="BN937" s="334"/>
      <c r="BO937" s="334"/>
      <c r="BP937" s="334"/>
      <c r="BQ937" s="334"/>
      <c r="BR937" s="334"/>
      <c r="BS937" s="334"/>
    </row>
    <row r="938" spans="52:71" x14ac:dyDescent="0.25">
      <c r="AZ938" s="334"/>
      <c r="BB938" s="334"/>
      <c r="BC938" s="334"/>
      <c r="BD938" s="334"/>
      <c r="BG938" s="334"/>
      <c r="BH938" s="334"/>
      <c r="BI938" s="334"/>
      <c r="BJ938" s="334"/>
      <c r="BK938" s="334"/>
      <c r="BL938" s="334"/>
      <c r="BM938" s="334"/>
      <c r="BN938" s="334"/>
      <c r="BO938" s="334"/>
      <c r="BP938" s="334"/>
      <c r="BQ938" s="334"/>
      <c r="BR938" s="334"/>
      <c r="BS938" s="334"/>
    </row>
    <row r="939" spans="52:71" x14ac:dyDescent="0.25">
      <c r="AZ939" s="334"/>
      <c r="BB939" s="334"/>
      <c r="BC939" s="334"/>
      <c r="BD939" s="334"/>
      <c r="BG939" s="334"/>
      <c r="BH939" s="334"/>
      <c r="BI939" s="334"/>
      <c r="BJ939" s="334"/>
      <c r="BK939" s="334"/>
      <c r="BL939" s="334"/>
      <c r="BM939" s="334"/>
      <c r="BN939" s="334"/>
      <c r="BO939" s="334"/>
      <c r="BP939" s="334"/>
      <c r="BQ939" s="334"/>
      <c r="BR939" s="334"/>
      <c r="BS939" s="334"/>
    </row>
    <row r="940" spans="52:71" x14ac:dyDescent="0.25">
      <c r="AZ940" s="334"/>
      <c r="BB940" s="334"/>
      <c r="BC940" s="334"/>
      <c r="BD940" s="334"/>
      <c r="BG940" s="334"/>
      <c r="BH940" s="334"/>
      <c r="BI940" s="334"/>
      <c r="BJ940" s="334"/>
      <c r="BK940" s="334"/>
      <c r="BL940" s="334"/>
      <c r="BM940" s="334"/>
      <c r="BN940" s="334"/>
      <c r="BO940" s="334"/>
      <c r="BP940" s="334"/>
      <c r="BQ940" s="334"/>
      <c r="BR940" s="334"/>
      <c r="BS940" s="334"/>
    </row>
    <row r="941" spans="52:71" x14ac:dyDescent="0.25">
      <c r="AZ941" s="334"/>
      <c r="BB941" s="334"/>
      <c r="BC941" s="334"/>
      <c r="BD941" s="334"/>
      <c r="BG941" s="334"/>
      <c r="BH941" s="334"/>
      <c r="BI941" s="334"/>
      <c r="BJ941" s="334"/>
      <c r="BK941" s="334"/>
      <c r="BL941" s="334"/>
      <c r="BM941" s="334"/>
      <c r="BN941" s="334"/>
      <c r="BO941" s="334"/>
      <c r="BP941" s="334"/>
      <c r="BQ941" s="334"/>
      <c r="BR941" s="334"/>
      <c r="BS941" s="334"/>
    </row>
    <row r="942" spans="52:71" x14ac:dyDescent="0.25">
      <c r="AZ942" s="334"/>
      <c r="BB942" s="334"/>
      <c r="BC942" s="334"/>
      <c r="BD942" s="334"/>
      <c r="BG942" s="334"/>
      <c r="BH942" s="334"/>
      <c r="BI942" s="334"/>
      <c r="BJ942" s="334"/>
      <c r="BK942" s="334"/>
      <c r="BL942" s="334"/>
      <c r="BM942" s="334"/>
      <c r="BN942" s="334"/>
      <c r="BO942" s="334"/>
      <c r="BP942" s="334"/>
      <c r="BQ942" s="334"/>
      <c r="BR942" s="334"/>
      <c r="BS942" s="334"/>
    </row>
    <row r="943" spans="52:71" x14ac:dyDescent="0.25">
      <c r="AZ943" s="334"/>
      <c r="BB943" s="334"/>
      <c r="BC943" s="334"/>
      <c r="BD943" s="334"/>
      <c r="BG943" s="334"/>
      <c r="BH943" s="334"/>
      <c r="BI943" s="334"/>
      <c r="BJ943" s="334"/>
      <c r="BK943" s="334"/>
      <c r="BL943" s="334"/>
      <c r="BM943" s="334"/>
      <c r="BN943" s="334"/>
      <c r="BO943" s="334"/>
      <c r="BP943" s="334"/>
      <c r="BQ943" s="334"/>
      <c r="BR943" s="334"/>
      <c r="BS943" s="334"/>
    </row>
    <row r="944" spans="52:71" x14ac:dyDescent="0.25">
      <c r="AZ944" s="334"/>
      <c r="BB944" s="334"/>
      <c r="BC944" s="334"/>
      <c r="BD944" s="334"/>
      <c r="BG944" s="334"/>
      <c r="BH944" s="334"/>
      <c r="BI944" s="334"/>
      <c r="BJ944" s="334"/>
      <c r="BK944" s="334"/>
      <c r="BL944" s="334"/>
      <c r="BM944" s="334"/>
      <c r="BN944" s="334"/>
      <c r="BO944" s="334"/>
      <c r="BP944" s="334"/>
      <c r="BQ944" s="334"/>
      <c r="BR944" s="334"/>
      <c r="BS944" s="334"/>
    </row>
    <row r="945" spans="52:71" x14ac:dyDescent="0.25">
      <c r="AZ945" s="334"/>
      <c r="BB945" s="334"/>
      <c r="BC945" s="334"/>
      <c r="BD945" s="334"/>
      <c r="BG945" s="334"/>
      <c r="BH945" s="334"/>
      <c r="BI945" s="334"/>
      <c r="BJ945" s="334"/>
      <c r="BK945" s="334"/>
      <c r="BL945" s="334"/>
      <c r="BM945" s="334"/>
      <c r="BN945" s="334"/>
      <c r="BO945" s="334"/>
      <c r="BP945" s="334"/>
      <c r="BQ945" s="334"/>
      <c r="BR945" s="334"/>
      <c r="BS945" s="334"/>
    </row>
    <row r="946" spans="52:71" x14ac:dyDescent="0.25">
      <c r="AZ946" s="334"/>
      <c r="BB946" s="334"/>
      <c r="BC946" s="334"/>
      <c r="BD946" s="334"/>
      <c r="BG946" s="334"/>
      <c r="BH946" s="334"/>
      <c r="BI946" s="334"/>
      <c r="BJ946" s="334"/>
      <c r="BK946" s="334"/>
      <c r="BL946" s="334"/>
      <c r="BM946" s="334"/>
      <c r="BN946" s="334"/>
      <c r="BO946" s="334"/>
      <c r="BP946" s="334"/>
      <c r="BQ946" s="334"/>
      <c r="BR946" s="334"/>
      <c r="BS946" s="334"/>
    </row>
    <row r="947" spans="52:71" x14ac:dyDescent="0.25">
      <c r="AZ947" s="334"/>
      <c r="BG947" s="334"/>
      <c r="BH947" s="334"/>
      <c r="BI947" s="334"/>
      <c r="BJ947" s="334"/>
      <c r="BK947" s="334"/>
      <c r="BL947" s="334"/>
      <c r="BM947" s="334"/>
      <c r="BN947" s="334"/>
      <c r="BO947" s="334"/>
      <c r="BP947" s="334"/>
      <c r="BQ947" s="334"/>
      <c r="BR947" s="334"/>
      <c r="BS947" s="334"/>
    </row>
    <row r="948" spans="52:71" x14ac:dyDescent="0.25">
      <c r="AZ948" s="334"/>
      <c r="BG948" s="334"/>
      <c r="BH948" s="334"/>
      <c r="BI948" s="334"/>
      <c r="BJ948" s="334"/>
      <c r="BK948" s="334"/>
      <c r="BL948" s="334"/>
      <c r="BM948" s="334"/>
      <c r="BN948" s="334"/>
      <c r="BO948" s="334"/>
      <c r="BP948" s="334"/>
      <c r="BQ948" s="334"/>
      <c r="BR948" s="334"/>
      <c r="BS948" s="334"/>
    </row>
    <row r="949" spans="52:71" x14ac:dyDescent="0.25">
      <c r="AZ949" s="334"/>
      <c r="BG949" s="334"/>
      <c r="BH949" s="334"/>
      <c r="BI949" s="334"/>
      <c r="BJ949" s="334"/>
      <c r="BK949" s="334"/>
      <c r="BL949" s="334"/>
      <c r="BM949" s="334"/>
      <c r="BN949" s="334"/>
      <c r="BO949" s="334"/>
      <c r="BP949" s="334"/>
      <c r="BQ949" s="334"/>
      <c r="BR949" s="334"/>
      <c r="BS949" s="334"/>
    </row>
    <row r="950" spans="52:71" x14ac:dyDescent="0.25">
      <c r="AZ950" s="334"/>
      <c r="BG950" s="334"/>
      <c r="BH950" s="334"/>
      <c r="BI950" s="334"/>
      <c r="BJ950" s="334"/>
      <c r="BK950" s="334"/>
      <c r="BL950" s="334"/>
      <c r="BM950" s="334"/>
      <c r="BN950" s="334"/>
      <c r="BO950" s="334"/>
      <c r="BP950" s="334"/>
      <c r="BQ950" s="334"/>
      <c r="BR950" s="334"/>
      <c r="BS950" s="334"/>
    </row>
    <row r="951" spans="52:71" x14ac:dyDescent="0.25">
      <c r="AZ951" s="334"/>
      <c r="BG951" s="334"/>
      <c r="BH951" s="334"/>
      <c r="BI951" s="334"/>
      <c r="BJ951" s="334"/>
      <c r="BK951" s="334"/>
      <c r="BL951" s="334"/>
      <c r="BM951" s="334"/>
      <c r="BN951" s="334"/>
      <c r="BO951" s="334"/>
      <c r="BP951" s="334"/>
      <c r="BQ951" s="334"/>
      <c r="BR951" s="334"/>
      <c r="BS951" s="334"/>
    </row>
    <row r="952" spans="52:71" x14ac:dyDescent="0.25">
      <c r="AZ952" s="334"/>
      <c r="BG952" s="334"/>
      <c r="BH952" s="334"/>
      <c r="BI952" s="334"/>
      <c r="BJ952" s="334"/>
      <c r="BK952" s="334"/>
      <c r="BL952" s="334"/>
      <c r="BM952" s="334"/>
      <c r="BN952" s="334"/>
      <c r="BO952" s="334"/>
      <c r="BP952" s="334"/>
      <c r="BQ952" s="334"/>
      <c r="BR952" s="334"/>
      <c r="BS952" s="334"/>
    </row>
    <row r="953" spans="52:71" x14ac:dyDescent="0.25">
      <c r="AZ953" s="334"/>
      <c r="BG953" s="334"/>
      <c r="BH953" s="334"/>
      <c r="BI953" s="334"/>
      <c r="BJ953" s="334"/>
      <c r="BK953" s="334"/>
      <c r="BL953" s="334"/>
      <c r="BM953" s="334"/>
      <c r="BN953" s="334"/>
      <c r="BO953" s="334"/>
      <c r="BP953" s="334"/>
      <c r="BQ953" s="334"/>
      <c r="BR953" s="334"/>
      <c r="BS953" s="334"/>
    </row>
    <row r="954" spans="52:71" x14ac:dyDescent="0.25">
      <c r="AZ954" s="334"/>
    </row>
    <row r="955" spans="52:71" x14ac:dyDescent="0.25">
      <c r="AZ955" s="334"/>
    </row>
    <row r="969" spans="1:28" x14ac:dyDescent="0.25">
      <c r="A969" s="154"/>
    </row>
    <row r="972" spans="1:28" x14ac:dyDescent="0.25">
      <c r="Y972" s="154"/>
    </row>
    <row r="973" spans="1:28" x14ac:dyDescent="0.25">
      <c r="A973" s="154"/>
      <c r="H973" s="154"/>
      <c r="I973" s="154"/>
    </row>
    <row r="974" spans="1:28" x14ac:dyDescent="0.25">
      <c r="A974" s="154"/>
      <c r="V974" s="103"/>
      <c r="AA974" s="103"/>
      <c r="AB974" s="103"/>
    </row>
    <row r="975" spans="1:28" x14ac:dyDescent="0.25">
      <c r="A975" s="154"/>
      <c r="V975" s="102"/>
      <c r="AA975" s="102"/>
      <c r="AB975" s="102"/>
    </row>
    <row r="976" spans="1:28" x14ac:dyDescent="0.25">
      <c r="A976" s="154"/>
      <c r="U976" s="154"/>
      <c r="AA976" s="103"/>
      <c r="AB976" s="103"/>
    </row>
    <row r="977" spans="1:28" x14ac:dyDescent="0.25">
      <c r="A977" s="154"/>
    </row>
    <row r="978" spans="1:28" x14ac:dyDescent="0.25">
      <c r="A978" s="154"/>
      <c r="U978" s="154"/>
      <c r="AA978" s="103"/>
      <c r="AB978" s="103"/>
    </row>
    <row r="979" spans="1:28" x14ac:dyDescent="0.25">
      <c r="A979" s="154"/>
    </row>
    <row r="980" spans="1:28" x14ac:dyDescent="0.25">
      <c r="A980" s="154"/>
      <c r="U980" s="154"/>
      <c r="V980" s="338"/>
      <c r="AA980" s="103"/>
      <c r="AB980" s="103"/>
    </row>
    <row r="981" spans="1:28" x14ac:dyDescent="0.25">
      <c r="A981" s="154"/>
    </row>
    <row r="982" spans="1:28" x14ac:dyDescent="0.25">
      <c r="A982" s="154"/>
      <c r="U982" s="154"/>
      <c r="AA982" s="103"/>
      <c r="AB982" s="103"/>
    </row>
    <row r="983" spans="1:28" x14ac:dyDescent="0.25">
      <c r="A983" s="154"/>
    </row>
    <row r="984" spans="1:28" x14ac:dyDescent="0.25">
      <c r="A984" s="154"/>
      <c r="U984" s="154"/>
      <c r="AA984" s="103"/>
      <c r="AB984" s="103"/>
    </row>
    <row r="985" spans="1:28" x14ac:dyDescent="0.25">
      <c r="A985" s="154"/>
    </row>
    <row r="986" spans="1:28" x14ac:dyDescent="0.25">
      <c r="A986" s="154"/>
    </row>
    <row r="987" spans="1:28" x14ac:dyDescent="0.25">
      <c r="A987" s="154"/>
    </row>
    <row r="988" spans="1:28" x14ac:dyDescent="0.25">
      <c r="A988" s="154"/>
    </row>
    <row r="989" spans="1:28" x14ac:dyDescent="0.25">
      <c r="A989" s="154"/>
    </row>
    <row r="990" spans="1:28" x14ac:dyDescent="0.25">
      <c r="A990" s="154"/>
    </row>
    <row r="991" spans="1:28" x14ac:dyDescent="0.25">
      <c r="A991" s="154"/>
    </row>
    <row r="992" spans="1:28" x14ac:dyDescent="0.25">
      <c r="A992" s="154"/>
    </row>
    <row r="993" spans="1:9" x14ac:dyDescent="0.25">
      <c r="A993" s="154"/>
    </row>
    <row r="994" spans="1:9" x14ac:dyDescent="0.25">
      <c r="A994" s="154"/>
    </row>
    <row r="995" spans="1:9" x14ac:dyDescent="0.25">
      <c r="A995" s="154"/>
      <c r="H995" s="154"/>
      <c r="I995" s="154"/>
    </row>
    <row r="998" spans="1:9" x14ac:dyDescent="0.25">
      <c r="A998" s="154"/>
    </row>
    <row r="1001" spans="1:9" x14ac:dyDescent="0.25">
      <c r="A1001" s="154"/>
    </row>
    <row r="1004" spans="1:9" x14ac:dyDescent="0.25">
      <c r="A1004" s="154"/>
    </row>
    <row r="1005" spans="1:9" x14ac:dyDescent="0.25">
      <c r="A1005" s="154"/>
    </row>
    <row r="1006" spans="1:9" x14ac:dyDescent="0.25">
      <c r="A1006" s="154"/>
    </row>
    <row r="1007" spans="1:9" x14ac:dyDescent="0.25">
      <c r="A1007" s="154"/>
    </row>
    <row r="1008" spans="1:9" x14ac:dyDescent="0.25">
      <c r="A1008" s="154"/>
    </row>
    <row r="1009" spans="1:1" x14ac:dyDescent="0.25">
      <c r="A1009" s="154"/>
    </row>
    <row r="1010" spans="1:1" x14ac:dyDescent="0.25">
      <c r="A1010" s="154"/>
    </row>
    <row r="1011" spans="1:1" x14ac:dyDescent="0.25">
      <c r="A1011" s="154"/>
    </row>
    <row r="1012" spans="1:1" x14ac:dyDescent="0.25">
      <c r="A1012" s="154"/>
    </row>
    <row r="1013" spans="1:1" x14ac:dyDescent="0.25">
      <c r="A1013" s="154"/>
    </row>
    <row r="1014" spans="1:1" x14ac:dyDescent="0.25">
      <c r="A1014" s="154"/>
    </row>
    <row r="1015" spans="1:1" x14ac:dyDescent="0.25">
      <c r="A1015" s="154"/>
    </row>
    <row r="1016" spans="1:1" x14ac:dyDescent="0.25">
      <c r="A1016" s="154"/>
    </row>
    <row r="1017" spans="1:1" x14ac:dyDescent="0.25">
      <c r="A1017" s="154"/>
    </row>
    <row r="1018" spans="1:1" x14ac:dyDescent="0.25">
      <c r="A1018" s="154"/>
    </row>
    <row r="1019" spans="1:1" x14ac:dyDescent="0.25">
      <c r="A1019" s="154"/>
    </row>
    <row r="1020" spans="1:1" x14ac:dyDescent="0.25">
      <c r="A1020" s="154"/>
    </row>
    <row r="1021" spans="1:1" x14ac:dyDescent="0.25">
      <c r="A1021" s="154"/>
    </row>
    <row r="1022" spans="1:1" x14ac:dyDescent="0.25">
      <c r="A1022" s="154"/>
    </row>
    <row r="1023" spans="1:1" x14ac:dyDescent="0.25">
      <c r="A1023" s="154"/>
    </row>
    <row r="1024" spans="1:1" x14ac:dyDescent="0.25">
      <c r="A1024" s="154"/>
    </row>
    <row r="1025" spans="1:1" x14ac:dyDescent="0.25">
      <c r="A1025" s="154"/>
    </row>
    <row r="1026" spans="1:1" x14ac:dyDescent="0.25">
      <c r="A1026" s="154"/>
    </row>
    <row r="1027" spans="1:1" x14ac:dyDescent="0.25">
      <c r="A1027" s="154"/>
    </row>
    <row r="1028" spans="1:1" x14ac:dyDescent="0.25">
      <c r="A1028" s="154"/>
    </row>
    <row r="1029" spans="1:1" x14ac:dyDescent="0.25">
      <c r="A1029" s="154"/>
    </row>
    <row r="1030" spans="1:1" x14ac:dyDescent="0.25">
      <c r="A1030" s="154"/>
    </row>
    <row r="1031" spans="1:1" x14ac:dyDescent="0.25">
      <c r="A1031" s="154"/>
    </row>
    <row r="1032" spans="1:1" x14ac:dyDescent="0.25">
      <c r="A1032" s="154"/>
    </row>
    <row r="1033" spans="1:1" x14ac:dyDescent="0.25">
      <c r="A1033" s="154"/>
    </row>
    <row r="1034" spans="1:1" x14ac:dyDescent="0.25">
      <c r="A1034" s="154"/>
    </row>
    <row r="1035" spans="1:1" x14ac:dyDescent="0.25">
      <c r="A1035" s="154"/>
    </row>
    <row r="1036" spans="1:1" x14ac:dyDescent="0.25">
      <c r="A1036" s="154"/>
    </row>
    <row r="1037" spans="1:1" x14ac:dyDescent="0.25">
      <c r="A1037" s="154"/>
    </row>
    <row r="1038" spans="1:1" x14ac:dyDescent="0.25">
      <c r="A1038" s="154"/>
    </row>
    <row r="1043" spans="1:1" x14ac:dyDescent="0.25">
      <c r="A1043" s="154"/>
    </row>
    <row r="1044" spans="1:1" x14ac:dyDescent="0.25">
      <c r="A1044" s="154"/>
    </row>
    <row r="1047" spans="1:1" x14ac:dyDescent="0.25">
      <c r="A1047" s="154"/>
    </row>
    <row r="1049" spans="1:1" x14ac:dyDescent="0.25">
      <c r="A1049" s="154"/>
    </row>
    <row r="1051" spans="1:1" x14ac:dyDescent="0.25">
      <c r="A1051" s="154"/>
    </row>
    <row r="1053" spans="1:1" x14ac:dyDescent="0.25">
      <c r="A1053" s="154"/>
    </row>
    <row r="1056" spans="1:1" x14ac:dyDescent="0.25">
      <c r="A1056" s="154"/>
    </row>
    <row r="1057" spans="1:1" x14ac:dyDescent="0.25">
      <c r="A1057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"/>
      <headerFooter alignWithMargins="0"/>
    </customSheetView>
    <customSheetView guid="{0C49E549-011E-46F4-A82E-2CC8951A9C1E}" scale="75" fitToPage="1" showRuler="0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2"/>
      <headerFooter alignWithMargins="0"/>
    </customSheetView>
    <customSheetView guid="{4BC93440-BA85-4935-A8C9-66DC6AE5DE5E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1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1" orientation="landscape" r:id="rId4"/>
      <headerFooter alignWithMargins="0"/>
    </customSheetView>
    <customSheetView guid="{2EA35095-1ADC-4CC7-8C3C-B487D65FA247}" scale="75" fitToPage="1" showRuler="0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5"/>
      <headerFooter alignWithMargins="0"/>
    </customSheetView>
    <customSheetView guid="{8FC77C99-DBF7-40B8-99B8-01B75826CDCB}" scale="75" fitToPage="1" showRuler="0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3" orientation="landscape" r:id="rId8"/>
      <headerFooter alignWithMargins="0"/>
    </customSheetView>
    <customSheetView guid="{0BC1F393-8A13-47D5-BC6C-0C99615B5AB9}" scale="75" fitToPage="1" showRuler="0" topLeftCell="A23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9"/>
      <headerFooter alignWithMargins="0"/>
    </customSheetView>
    <customSheetView guid="{18BDED73-BFA0-442E-87EC-CED86EE4CF94}" scale="75" fitToPage="1" showRuler="0" topLeftCell="A23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0"/>
      <headerFooter alignWithMargins="0"/>
    </customSheetView>
    <customSheetView guid="{35F19056-2E6F-4935-B863-78836FE990BF}" scale="75" fitToPage="1" showRuler="0" topLeftCell="A23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1"/>
      <headerFooter alignWithMargins="0"/>
    </customSheetView>
    <customSheetView guid="{F562D92E-120C-4AE9-9663-89E64D41DC53}" scale="75" fitToPage="1" topLeftCell="A23">
      <selection activeCell="P50" sqref="P5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8" transitionEvaluation="1" transitionEntry="1" codeName="Sheet141"/>
  <dimension ref="A1:BX1045"/>
  <sheetViews>
    <sheetView tabSelected="1" view="pageLayout" topLeftCell="A28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6.77734375" style="101" customWidth="1"/>
    <col min="4" max="4" width="35.77734375" style="101" customWidth="1"/>
    <col min="5" max="5" width="0.7773437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3.10937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19.5546875" style="10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4.5546875" style="101" customWidth="1"/>
    <col min="23" max="23" width="41.44140625" style="101" customWidth="1"/>
    <col min="24" max="24" width="0.886718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1.4414062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2.886718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Y1" s="154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Y2" s="154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V3" s="211"/>
      <c r="Z3" s="202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V4" s="211"/>
      <c r="AA4" s="154"/>
      <c r="AB4" s="154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V5" s="329"/>
      <c r="AK5" s="297"/>
      <c r="AL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V6" s="329"/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771</v>
      </c>
      <c r="V7" s="329"/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V8" s="329"/>
      <c r="W8" s="100"/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M9" s="82"/>
      <c r="N9" s="80"/>
      <c r="O9" s="80"/>
      <c r="P9" s="80"/>
      <c r="Q9" s="80"/>
      <c r="R9" s="159" t="str">
        <f>WIT</f>
        <v>B. L. SAILERS</v>
      </c>
      <c r="V9" s="329"/>
      <c r="W9" s="273"/>
      <c r="AA9" s="154"/>
      <c r="AB9" s="154"/>
      <c r="AK9" s="209"/>
      <c r="AL9" s="202"/>
    </row>
    <row r="10" spans="1:40" x14ac:dyDescent="0.25">
      <c r="A10" s="187" t="s">
        <v>151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87"/>
      <c r="M10" s="187"/>
      <c r="N10" s="150"/>
      <c r="O10" s="150"/>
      <c r="P10" s="150"/>
      <c r="Q10" s="150"/>
      <c r="R10" s="187"/>
      <c r="T10" s="102"/>
      <c r="U10" s="102"/>
      <c r="V10" s="329"/>
      <c r="W10" s="100"/>
      <c r="X10" s="102"/>
      <c r="Y10" s="102"/>
      <c r="Z10" s="102"/>
      <c r="AA10" s="102"/>
      <c r="AB10" s="102"/>
      <c r="AC10" s="102"/>
      <c r="AD10" s="102"/>
      <c r="AE10" s="102"/>
      <c r="AF10" s="102"/>
      <c r="AG10" s="208"/>
      <c r="AH10" s="102"/>
      <c r="AI10" s="102"/>
      <c r="AJ10" s="102"/>
      <c r="AK10" s="208"/>
      <c r="AL10" s="102"/>
      <c r="AM10" s="102"/>
      <c r="AN10" s="102"/>
    </row>
    <row r="11" spans="1:40" x14ac:dyDescent="0.25">
      <c r="A11" s="151"/>
      <c r="B11" s="151"/>
      <c r="C11" s="151"/>
      <c r="D11" s="151"/>
      <c r="E11" s="151"/>
      <c r="F11" s="80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V11" s="329"/>
      <c r="W11" s="273"/>
      <c r="AA11" s="103"/>
      <c r="AB11" s="103"/>
      <c r="AC11" s="103"/>
      <c r="AD11" s="103"/>
      <c r="AE11" s="103"/>
      <c r="AF11" s="103"/>
      <c r="AG11" s="185"/>
      <c r="AH11" s="103"/>
      <c r="AK11" s="185"/>
      <c r="AL11" s="103"/>
      <c r="AM11" s="103"/>
      <c r="AN11" s="103"/>
    </row>
    <row r="12" spans="1:40" ht="18" customHeight="1" x14ac:dyDescent="0.25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93" t="s">
        <v>6</v>
      </c>
      <c r="M12" s="193"/>
      <c r="N12" s="193" t="s">
        <v>7</v>
      </c>
      <c r="O12" s="193"/>
      <c r="P12" s="152"/>
      <c r="Q12" s="152"/>
      <c r="R12" s="193" t="s">
        <v>6</v>
      </c>
      <c r="Z12" s="103"/>
      <c r="AA12" s="103"/>
      <c r="AB12" s="103"/>
      <c r="AC12" s="103"/>
      <c r="AD12" s="103"/>
      <c r="AE12" s="103"/>
      <c r="AF12" s="103"/>
      <c r="AG12" s="185"/>
      <c r="AH12" s="103"/>
      <c r="AK12" s="185"/>
      <c r="AL12" s="103"/>
      <c r="AM12" s="103"/>
      <c r="AN12" s="103"/>
    </row>
    <row r="13" spans="1:40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12</v>
      </c>
      <c r="M13" s="83"/>
      <c r="N13" s="83" t="s">
        <v>13</v>
      </c>
      <c r="O13" s="83"/>
      <c r="P13" s="80"/>
      <c r="Q13" s="80"/>
      <c r="R13" s="83" t="s">
        <v>11</v>
      </c>
      <c r="T13" s="103"/>
      <c r="U13" s="103"/>
      <c r="V13" s="103"/>
      <c r="Z13" s="103"/>
      <c r="AA13" s="103"/>
      <c r="AB13" s="103"/>
      <c r="AC13" s="103"/>
      <c r="AD13" s="103"/>
      <c r="AE13" s="103"/>
      <c r="AF13" s="103"/>
      <c r="AG13" s="185"/>
      <c r="AH13" s="103"/>
      <c r="AI13" s="103"/>
      <c r="AJ13" s="103"/>
      <c r="AK13" s="185"/>
      <c r="AL13" s="103"/>
      <c r="AM13" s="103"/>
      <c r="AN13" s="103"/>
    </row>
    <row r="14" spans="1:40" x14ac:dyDescent="0.25">
      <c r="A14" s="83" t="s">
        <v>17</v>
      </c>
      <c r="B14" s="80"/>
      <c r="C14" s="83" t="s">
        <v>18</v>
      </c>
      <c r="D14" s="83" t="s">
        <v>19</v>
      </c>
      <c r="E14" s="83"/>
      <c r="F14" s="83" t="s">
        <v>20</v>
      </c>
      <c r="G14" s="80"/>
      <c r="H14" s="80"/>
      <c r="I14" s="80"/>
      <c r="J14" s="83" t="s">
        <v>6</v>
      </c>
      <c r="K14" s="83"/>
      <c r="L14" s="83" t="s">
        <v>21</v>
      </c>
      <c r="M14" s="83"/>
      <c r="N14" s="83" t="s">
        <v>21</v>
      </c>
      <c r="O14" s="83"/>
      <c r="P14" s="83" t="s">
        <v>21</v>
      </c>
      <c r="Q14" s="83"/>
      <c r="R14" s="83" t="s">
        <v>9</v>
      </c>
      <c r="T14" s="103"/>
      <c r="U14" s="103"/>
      <c r="V14" s="103"/>
      <c r="Y14" s="103"/>
      <c r="Z14" s="103"/>
      <c r="AA14" s="103"/>
      <c r="AB14" s="103"/>
      <c r="AC14" s="103"/>
      <c r="AD14" s="103"/>
      <c r="AE14" s="103"/>
      <c r="AF14" s="103"/>
      <c r="AG14" s="185"/>
      <c r="AH14" s="103"/>
      <c r="AI14" s="103"/>
      <c r="AJ14" s="103"/>
      <c r="AK14" s="185"/>
      <c r="AL14" s="103"/>
      <c r="AM14" s="103"/>
      <c r="AN14" s="103"/>
    </row>
    <row r="15" spans="1:40" x14ac:dyDescent="0.25">
      <c r="A15" s="83" t="s">
        <v>24</v>
      </c>
      <c r="B15" s="80"/>
      <c r="C15" s="83" t="s">
        <v>25</v>
      </c>
      <c r="D15" s="83" t="s">
        <v>26</v>
      </c>
      <c r="E15" s="83"/>
      <c r="F15" s="83" t="s">
        <v>27</v>
      </c>
      <c r="G15" s="80"/>
      <c r="H15" s="83" t="s">
        <v>28</v>
      </c>
      <c r="I15" s="83"/>
      <c r="J15" s="196" t="s">
        <v>431</v>
      </c>
      <c r="K15" s="83"/>
      <c r="L15" s="83" t="s">
        <v>9</v>
      </c>
      <c r="M15" s="83"/>
      <c r="N15" s="83" t="s">
        <v>9</v>
      </c>
      <c r="O15" s="83"/>
      <c r="P15" s="83" t="s">
        <v>430</v>
      </c>
      <c r="Q15" s="83"/>
      <c r="R15" s="256" t="s">
        <v>30</v>
      </c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208"/>
      <c r="AH15" s="102"/>
      <c r="AI15" s="102"/>
      <c r="AJ15" s="102"/>
      <c r="AK15" s="208"/>
      <c r="AL15" s="102"/>
      <c r="AM15" s="102"/>
      <c r="AN15" s="102"/>
    </row>
    <row r="16" spans="1:40" x14ac:dyDescent="0.25">
      <c r="A16" s="80"/>
      <c r="B16" s="80"/>
      <c r="C16" s="256" t="s">
        <v>35</v>
      </c>
      <c r="D16" s="256" t="s">
        <v>36</v>
      </c>
      <c r="E16" s="256"/>
      <c r="F16" s="256" t="s">
        <v>37</v>
      </c>
      <c r="G16" s="258"/>
      <c r="H16" s="256" t="s">
        <v>38</v>
      </c>
      <c r="I16" s="256"/>
      <c r="J16" s="256" t="s">
        <v>39</v>
      </c>
      <c r="K16" s="256"/>
      <c r="L16" s="256" t="s">
        <v>40</v>
      </c>
      <c r="M16" s="256"/>
      <c r="N16" s="256" t="s">
        <v>41</v>
      </c>
      <c r="O16" s="256"/>
      <c r="P16" s="256" t="s">
        <v>42</v>
      </c>
      <c r="Q16" s="256"/>
      <c r="R16" s="256" t="s">
        <v>43</v>
      </c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76" ht="17.100000000000001" customHeight="1" x14ac:dyDescent="0.25">
      <c r="A17" s="152"/>
      <c r="B17" s="152"/>
      <c r="C17" s="152"/>
      <c r="D17" s="152"/>
      <c r="E17" s="152"/>
      <c r="F17" s="152"/>
      <c r="G17" s="152"/>
      <c r="H17" s="376" t="s">
        <v>51</v>
      </c>
      <c r="I17" s="376"/>
      <c r="J17" s="375" t="s">
        <v>406</v>
      </c>
      <c r="K17" s="376"/>
      <c r="L17" s="376" t="s">
        <v>52</v>
      </c>
      <c r="M17" s="376"/>
      <c r="N17" s="376" t="s">
        <v>53</v>
      </c>
      <c r="O17" s="376"/>
      <c r="P17" s="376" t="s">
        <v>52</v>
      </c>
      <c r="Q17" s="376"/>
      <c r="R17" s="376" t="s">
        <v>52</v>
      </c>
      <c r="T17" s="154"/>
      <c r="U17" s="154"/>
      <c r="Y17" s="104" t="s">
        <v>521</v>
      </c>
    </row>
    <row r="18" spans="1:76" x14ac:dyDescent="0.25">
      <c r="A18" s="101">
        <v>1</v>
      </c>
      <c r="C18" s="253" t="s">
        <v>77</v>
      </c>
      <c r="D18" s="253" t="s">
        <v>73</v>
      </c>
      <c r="E18" s="80"/>
      <c r="F18" s="70"/>
      <c r="G18" s="70"/>
      <c r="H18" s="298"/>
      <c r="I18" s="298"/>
      <c r="J18" s="471" t="s">
        <v>418</v>
      </c>
      <c r="K18" s="298"/>
      <c r="L18" s="298"/>
      <c r="M18" s="298"/>
      <c r="N18" s="298"/>
      <c r="O18" s="298"/>
      <c r="P18" s="298"/>
      <c r="Q18" s="298"/>
      <c r="R18" s="298"/>
      <c r="T18" s="154"/>
      <c r="U18" s="154"/>
      <c r="Y18" s="104" t="s">
        <v>522</v>
      </c>
    </row>
    <row r="19" spans="1:76" x14ac:dyDescent="0.25">
      <c r="A19" s="101">
        <v>2</v>
      </c>
      <c r="C19" s="265" t="s">
        <v>312</v>
      </c>
      <c r="E19" s="80"/>
      <c r="F19" s="70"/>
      <c r="G19" s="70"/>
      <c r="H19" s="70"/>
      <c r="I19" s="70"/>
      <c r="J19" s="278"/>
      <c r="K19" s="70"/>
      <c r="L19" s="70"/>
      <c r="M19" s="70"/>
      <c r="N19" s="70"/>
      <c r="O19" s="70"/>
      <c r="P19" s="70"/>
      <c r="Q19" s="70"/>
      <c r="R19" s="70"/>
      <c r="T19" s="154"/>
      <c r="U19" s="154"/>
    </row>
    <row r="20" spans="1:76" x14ac:dyDescent="0.25">
      <c r="A20" s="101">
        <v>3</v>
      </c>
      <c r="C20" s="253" t="s">
        <v>444</v>
      </c>
      <c r="D20" s="417"/>
      <c r="E20" s="80"/>
      <c r="F20" s="70"/>
      <c r="G20" s="70"/>
      <c r="H20" s="70"/>
      <c r="I20" s="70"/>
      <c r="J20" s="278"/>
      <c r="K20" s="70"/>
      <c r="L20" s="70"/>
      <c r="M20" s="70"/>
      <c r="N20" s="70"/>
      <c r="O20" s="70"/>
      <c r="P20" s="70"/>
      <c r="Q20" s="70"/>
      <c r="R20" s="70"/>
      <c r="T20" s="154"/>
      <c r="U20" s="154"/>
    </row>
    <row r="21" spans="1:76" x14ac:dyDescent="0.25">
      <c r="A21" s="101">
        <v>4</v>
      </c>
      <c r="C21" s="253" t="s">
        <v>445</v>
      </c>
      <c r="D21" s="417"/>
      <c r="E21" s="80"/>
      <c r="F21" s="70"/>
      <c r="G21" s="70"/>
      <c r="H21" s="70"/>
      <c r="I21" s="70"/>
      <c r="J21" s="278"/>
      <c r="K21" s="70"/>
      <c r="L21" s="70"/>
      <c r="M21" s="70"/>
      <c r="N21" s="70"/>
      <c r="O21" s="70"/>
      <c r="P21" s="70"/>
      <c r="Q21" s="70"/>
      <c r="R21" s="70"/>
      <c r="T21" s="154"/>
      <c r="U21" s="154"/>
    </row>
    <row r="22" spans="1:76" x14ac:dyDescent="0.25">
      <c r="A22" s="101">
        <v>5</v>
      </c>
      <c r="C22" s="82" t="s">
        <v>233</v>
      </c>
      <c r="E22" s="80"/>
      <c r="F22" s="229">
        <v>0</v>
      </c>
      <c r="G22" s="70"/>
      <c r="H22" s="229">
        <v>0</v>
      </c>
      <c r="I22" s="70"/>
      <c r="J22" s="349">
        <f>ROUND(AC97+(AC97*LT_COS_RATE),2)</f>
        <v>4.6900000000000004</v>
      </c>
      <c r="K22" s="70"/>
      <c r="L22" s="163">
        <f>ROUND(F22*J22,0)</f>
        <v>0</v>
      </c>
      <c r="M22" s="70"/>
      <c r="N22" s="198">
        <f>ROUND((L22/L$74)*100,1)</f>
        <v>0</v>
      </c>
      <c r="O22" s="70"/>
      <c r="P22" s="163">
        <f>ROUND((P$74/H$74)*H22,0)</f>
        <v>0</v>
      </c>
      <c r="Q22" s="70"/>
      <c r="R22" s="163">
        <f>P22+L22</f>
        <v>0</v>
      </c>
      <c r="T22" s="154"/>
      <c r="U22" s="154"/>
      <c r="Y22" s="394">
        <f>J22-AY97</f>
        <v>4.6900000000000004</v>
      </c>
    </row>
    <row r="23" spans="1:76" x14ac:dyDescent="0.25">
      <c r="A23" s="101">
        <v>6</v>
      </c>
      <c r="C23" s="82" t="s">
        <v>446</v>
      </c>
      <c r="E23" s="80"/>
      <c r="F23" s="229">
        <v>0</v>
      </c>
      <c r="G23" s="70"/>
      <c r="H23" s="229">
        <v>0</v>
      </c>
      <c r="I23" s="70"/>
      <c r="J23" s="349">
        <f>ROUND(AC98+(AC98*LT_COS_RATE),2)</f>
        <v>5.96</v>
      </c>
      <c r="K23" s="70"/>
      <c r="L23" s="163">
        <f>ROUND(F23*J23,0)</f>
        <v>0</v>
      </c>
      <c r="M23" s="70"/>
      <c r="N23" s="198">
        <f>ROUND((L23/L$74)*100,1)</f>
        <v>0</v>
      </c>
      <c r="O23" s="70"/>
      <c r="P23" s="163">
        <f>ROUND((P$74/H$74)*H23,0)</f>
        <v>0</v>
      </c>
      <c r="Q23" s="70"/>
      <c r="R23" s="163">
        <f>P23+L23</f>
        <v>0</v>
      </c>
      <c r="T23" s="154"/>
      <c r="Y23" s="394">
        <f>J23-AY98</f>
        <v>5.96</v>
      </c>
      <c r="AO23" s="202"/>
      <c r="AP23" s="202"/>
    </row>
    <row r="24" spans="1:76" x14ac:dyDescent="0.25">
      <c r="A24" s="101">
        <v>7</v>
      </c>
      <c r="C24" s="82" t="s">
        <v>447</v>
      </c>
      <c r="E24" s="80"/>
      <c r="F24" s="229">
        <v>0</v>
      </c>
      <c r="G24" s="70"/>
      <c r="H24" s="229">
        <v>0</v>
      </c>
      <c r="I24" s="70"/>
      <c r="J24" s="349">
        <f>ROUND(AC99+(AC99*LT_COS_RATE),2)</f>
        <v>8.2799999999999994</v>
      </c>
      <c r="K24" s="70"/>
      <c r="L24" s="163">
        <f>ROUND(F24*J24,0)</f>
        <v>0</v>
      </c>
      <c r="M24" s="70"/>
      <c r="N24" s="198">
        <f>ROUND((L24/L$74)*100,1)</f>
        <v>0</v>
      </c>
      <c r="O24" s="70"/>
      <c r="P24" s="163">
        <f>ROUND((P$74/H$74)*H24,0)</f>
        <v>0</v>
      </c>
      <c r="Q24" s="70"/>
      <c r="R24" s="163">
        <f>P24+L24</f>
        <v>0</v>
      </c>
      <c r="T24" s="312"/>
      <c r="U24" s="100"/>
      <c r="V24" s="100"/>
      <c r="W24" s="100"/>
      <c r="X24" s="100"/>
      <c r="Y24" s="394">
        <f>J24-AY99</f>
        <v>8.2799999999999994</v>
      </c>
      <c r="Z24" s="100"/>
      <c r="AA24" s="100"/>
      <c r="AB24" s="100"/>
      <c r="AC24" s="100"/>
      <c r="AD24" s="100"/>
      <c r="AE24" s="100"/>
      <c r="AF24" s="100"/>
      <c r="AG24" s="380"/>
      <c r="AH24" s="100"/>
      <c r="AI24" s="100"/>
      <c r="AJ24" s="100"/>
      <c r="AK24" s="380"/>
      <c r="AL24" s="100"/>
      <c r="AM24" s="100"/>
      <c r="AN24" s="100"/>
      <c r="AO24" s="100"/>
      <c r="AP24" s="100"/>
      <c r="AQ24" s="380"/>
    </row>
    <row r="25" spans="1:76" ht="15" customHeight="1" x14ac:dyDescent="0.25">
      <c r="C25" s="82"/>
      <c r="E25" s="80"/>
      <c r="F25" s="229"/>
      <c r="G25" s="70"/>
      <c r="H25" s="70"/>
      <c r="I25" s="70"/>
      <c r="J25" s="182"/>
      <c r="K25" s="70"/>
      <c r="L25" s="70"/>
      <c r="M25" s="70"/>
      <c r="N25" s="70"/>
      <c r="O25" s="70"/>
      <c r="P25" s="70"/>
      <c r="Q25" s="70"/>
      <c r="R25" s="70"/>
      <c r="AE25" s="103"/>
      <c r="AF25" s="103"/>
      <c r="AG25" s="185"/>
      <c r="AH25" s="103"/>
      <c r="AI25" s="103"/>
      <c r="AJ25" s="103"/>
      <c r="AK25" s="185"/>
      <c r="AL25" s="103"/>
      <c r="AO25" s="103"/>
      <c r="AP25" s="103"/>
      <c r="AQ25" s="185"/>
    </row>
    <row r="26" spans="1:76" x14ac:dyDescent="0.25">
      <c r="A26" s="101">
        <v>8</v>
      </c>
      <c r="C26" s="253" t="s">
        <v>448</v>
      </c>
      <c r="E26" s="80"/>
      <c r="F26" s="229"/>
      <c r="G26" s="70"/>
      <c r="H26" s="70"/>
      <c r="I26" s="70"/>
      <c r="J26" s="182"/>
      <c r="K26" s="70"/>
      <c r="L26" s="70"/>
      <c r="M26" s="70"/>
      <c r="N26" s="70"/>
      <c r="O26" s="70"/>
      <c r="P26" s="70"/>
      <c r="Q26" s="70"/>
      <c r="R26" s="70"/>
      <c r="AC26" s="103"/>
      <c r="AD26" s="103"/>
      <c r="AE26" s="103"/>
      <c r="AF26" s="103"/>
      <c r="AG26" s="185"/>
      <c r="AH26" s="103"/>
      <c r="AI26" s="103"/>
      <c r="AJ26" s="103"/>
      <c r="AK26" s="185"/>
      <c r="AL26" s="103"/>
      <c r="AO26" s="103"/>
      <c r="AP26" s="103"/>
      <c r="AQ26" s="185"/>
    </row>
    <row r="27" spans="1:76" x14ac:dyDescent="0.25">
      <c r="A27" s="101">
        <v>9</v>
      </c>
      <c r="C27" s="82" t="s">
        <v>449</v>
      </c>
      <c r="E27" s="80"/>
      <c r="F27" s="229">
        <v>0</v>
      </c>
      <c r="G27" s="70"/>
      <c r="H27" s="229">
        <v>0</v>
      </c>
      <c r="I27" s="70"/>
      <c r="J27" s="349">
        <f>ROUND(AC102+(AC102*LT_COS_RATE),2)</f>
        <v>4.6900000000000004</v>
      </c>
      <c r="K27" s="70"/>
      <c r="L27" s="163">
        <f>ROUND(F27*J27,0)</f>
        <v>0</v>
      </c>
      <c r="M27" s="70"/>
      <c r="N27" s="198">
        <f>ROUND((L27/L$74)*100,1)</f>
        <v>0</v>
      </c>
      <c r="O27" s="70"/>
      <c r="P27" s="163">
        <f>ROUND((P$74/H$74)*H27,0)</f>
        <v>0</v>
      </c>
      <c r="Q27" s="70"/>
      <c r="R27" s="163">
        <f>P27+L27</f>
        <v>0</v>
      </c>
      <c r="T27" s="103"/>
      <c r="V27" s="103"/>
      <c r="W27" s="103"/>
      <c r="X27" s="103"/>
      <c r="Y27" s="394">
        <f>J27-AY102</f>
        <v>4.6900000000000004</v>
      </c>
      <c r="AA27" s="103"/>
      <c r="AB27" s="103"/>
      <c r="AC27" s="103"/>
      <c r="AD27" s="103"/>
      <c r="AE27" s="103"/>
      <c r="AF27" s="103"/>
      <c r="AG27" s="185"/>
      <c r="AH27" s="103"/>
      <c r="AI27" s="103"/>
      <c r="AJ27" s="103"/>
      <c r="AK27" s="185"/>
      <c r="AL27" s="103"/>
      <c r="AM27" s="103"/>
      <c r="AN27" s="103"/>
      <c r="AO27" s="103"/>
      <c r="AP27" s="103"/>
      <c r="AQ27" s="185"/>
      <c r="AS27" s="200"/>
      <c r="AT27" s="200"/>
      <c r="AU27" s="210"/>
      <c r="BX27" s="317"/>
    </row>
    <row r="28" spans="1:76" x14ac:dyDescent="0.25">
      <c r="A28" s="101">
        <v>10</v>
      </c>
      <c r="C28" s="82" t="s">
        <v>450</v>
      </c>
      <c r="E28" s="80"/>
      <c r="F28" s="229">
        <v>0</v>
      </c>
      <c r="G28" s="70"/>
      <c r="H28" s="229">
        <v>0</v>
      </c>
      <c r="I28" s="70"/>
      <c r="J28" s="349">
        <f>ROUND(AC103+(AC103*LT_COS_RATE),2)</f>
        <v>5.96</v>
      </c>
      <c r="K28" s="70"/>
      <c r="L28" s="163">
        <f>ROUND(F28*J28,0)</f>
        <v>0</v>
      </c>
      <c r="M28" s="70"/>
      <c r="N28" s="198">
        <f>ROUND((L28/L$74)*100,1)</f>
        <v>0</v>
      </c>
      <c r="O28" s="70"/>
      <c r="P28" s="163">
        <f>ROUND((P$74/H$74)*H28,0)</f>
        <v>0</v>
      </c>
      <c r="Q28" s="70"/>
      <c r="R28" s="163">
        <f>P28+L28</f>
        <v>0</v>
      </c>
      <c r="Y28" s="394">
        <f>J28-AY103</f>
        <v>5.96</v>
      </c>
      <c r="AA28" s="103"/>
      <c r="AB28" s="103"/>
      <c r="AC28" s="103"/>
      <c r="AD28" s="103"/>
      <c r="AE28" s="103"/>
      <c r="AF28" s="103"/>
      <c r="AG28" s="185"/>
      <c r="AH28" s="103"/>
      <c r="AI28" s="103"/>
      <c r="AJ28" s="103"/>
      <c r="AK28" s="185"/>
      <c r="AL28" s="103"/>
      <c r="AM28" s="103"/>
      <c r="AN28" s="103"/>
      <c r="AO28" s="103"/>
      <c r="AP28" s="103"/>
      <c r="AQ28" s="185"/>
      <c r="AS28" s="200"/>
      <c r="AT28" s="200"/>
      <c r="AU28" s="327"/>
    </row>
    <row r="29" spans="1:76" x14ac:dyDescent="0.25">
      <c r="A29" s="101">
        <v>11</v>
      </c>
      <c r="C29" s="82" t="s">
        <v>451</v>
      </c>
      <c r="E29" s="80"/>
      <c r="F29" s="229">
        <v>0</v>
      </c>
      <c r="G29" s="70"/>
      <c r="H29" s="229">
        <v>0</v>
      </c>
      <c r="I29" s="70"/>
      <c r="J29" s="349">
        <f>ROUND(AC104+(AC104*LT_COS_RATE),2)</f>
        <v>8.2799999999999994</v>
      </c>
      <c r="K29" s="70"/>
      <c r="L29" s="163">
        <f>ROUND(F29*J29,0)</f>
        <v>0</v>
      </c>
      <c r="M29" s="70"/>
      <c r="N29" s="198">
        <f>ROUND((L29/L$74)*100,1)</f>
        <v>0</v>
      </c>
      <c r="O29" s="70"/>
      <c r="P29" s="163">
        <f>ROUND((P$74/H$74)*H29,0)</f>
        <v>0</v>
      </c>
      <c r="Q29" s="70"/>
      <c r="R29" s="163">
        <f>P29+L29</f>
        <v>0</v>
      </c>
      <c r="T29" s="202"/>
      <c r="W29" s="154"/>
      <c r="X29" s="154"/>
      <c r="Y29" s="394">
        <f>J29-AY104</f>
        <v>8.2799999999999994</v>
      </c>
      <c r="AS29" s="200"/>
      <c r="AT29" s="200"/>
      <c r="AU29" s="210"/>
    </row>
    <row r="30" spans="1:76" ht="15" customHeight="1" x14ac:dyDescent="0.25">
      <c r="C30" s="82"/>
      <c r="E30" s="80"/>
      <c r="F30" s="229"/>
      <c r="G30" s="70"/>
      <c r="H30" s="70"/>
      <c r="I30" s="70"/>
      <c r="J30" s="182"/>
      <c r="K30" s="70"/>
      <c r="L30" s="70"/>
      <c r="M30" s="70"/>
      <c r="N30" s="70"/>
      <c r="O30" s="70"/>
      <c r="P30" s="70"/>
      <c r="Q30" s="70"/>
      <c r="R30" s="70"/>
      <c r="T30" s="202"/>
      <c r="W30" s="154"/>
      <c r="X30" s="154"/>
      <c r="AS30" s="200"/>
      <c r="AT30" s="200"/>
      <c r="AU30" s="210"/>
    </row>
    <row r="31" spans="1:76" x14ac:dyDescent="0.25">
      <c r="A31" s="101">
        <v>12</v>
      </c>
      <c r="C31" s="253" t="s">
        <v>452</v>
      </c>
      <c r="E31" s="80"/>
      <c r="F31" s="229"/>
      <c r="G31" s="70"/>
      <c r="H31" s="70"/>
      <c r="I31" s="70"/>
      <c r="J31" s="182"/>
      <c r="K31" s="70"/>
      <c r="L31" s="70"/>
      <c r="M31" s="70"/>
      <c r="N31" s="70"/>
      <c r="O31" s="70"/>
      <c r="P31" s="70"/>
      <c r="Q31" s="70"/>
      <c r="R31" s="70"/>
      <c r="AS31" s="200"/>
      <c r="AT31" s="200"/>
      <c r="AU31" s="210"/>
    </row>
    <row r="32" spans="1:76" x14ac:dyDescent="0.25">
      <c r="A32" s="101">
        <v>13</v>
      </c>
      <c r="C32" s="82" t="s">
        <v>453</v>
      </c>
      <c r="E32" s="80"/>
      <c r="F32" s="229">
        <v>0</v>
      </c>
      <c r="G32" s="161"/>
      <c r="H32" s="229">
        <f>ROUND(F32*487/12,0)</f>
        <v>0</v>
      </c>
      <c r="I32" s="70"/>
      <c r="J32" s="349">
        <f>ROUND(AC107+(AC107*LT_COS_RATE),2)</f>
        <v>5.64</v>
      </c>
      <c r="K32" s="70"/>
      <c r="L32" s="163">
        <f>ROUND(F32*J32,0)</f>
        <v>0</v>
      </c>
      <c r="M32" s="85"/>
      <c r="N32" s="198">
        <f>ROUND((L32/L$74)*100,1)</f>
        <v>0</v>
      </c>
      <c r="O32" s="70"/>
      <c r="P32" s="163">
        <f>ROUND((P$74/H$74)*H32,0)</f>
        <v>0</v>
      </c>
      <c r="Q32" s="70"/>
      <c r="R32" s="163">
        <f>P32+L32</f>
        <v>0</v>
      </c>
      <c r="Y32" s="394">
        <f>J32-AY107</f>
        <v>5.64</v>
      </c>
    </row>
    <row r="33" spans="1:44" x14ac:dyDescent="0.25">
      <c r="A33" s="101">
        <v>14</v>
      </c>
      <c r="C33" s="82" t="s">
        <v>238</v>
      </c>
      <c r="E33" s="80"/>
      <c r="F33" s="229">
        <v>0</v>
      </c>
      <c r="G33" s="70"/>
      <c r="H33" s="229">
        <v>0</v>
      </c>
      <c r="I33" s="70"/>
      <c r="J33" s="349">
        <f>ROUND(AC108+(AC108*LT_COS_RATE),2)</f>
        <v>6.29</v>
      </c>
      <c r="K33" s="70"/>
      <c r="L33" s="163">
        <f>ROUND(F33*J33,0)</f>
        <v>0</v>
      </c>
      <c r="M33" s="70"/>
      <c r="N33" s="198">
        <f>ROUND((L33/L$74)*100,1)</f>
        <v>0</v>
      </c>
      <c r="O33" s="70"/>
      <c r="P33" s="163">
        <f>ROUND((P$74/H$74)*H33,0)</f>
        <v>0</v>
      </c>
      <c r="Q33" s="70"/>
      <c r="R33" s="163">
        <f>P33+L33</f>
        <v>0</v>
      </c>
      <c r="Y33" s="394">
        <f>J33-AY108</f>
        <v>6.29</v>
      </c>
      <c r="AA33" s="401"/>
    </row>
    <row r="34" spans="1:44" x14ac:dyDescent="0.25">
      <c r="A34" s="101">
        <v>15</v>
      </c>
      <c r="C34" s="82" t="s">
        <v>239</v>
      </c>
      <c r="E34" s="80"/>
      <c r="F34" s="229">
        <v>0</v>
      </c>
      <c r="G34" s="70"/>
      <c r="H34" s="229">
        <v>0</v>
      </c>
      <c r="I34" s="70"/>
      <c r="J34" s="349">
        <f>ROUND(AC109+(AC109*LT_COS_RATE),2)</f>
        <v>6.9</v>
      </c>
      <c r="K34" s="70"/>
      <c r="L34" s="163">
        <f>ROUND(F34*J34,0)</f>
        <v>0</v>
      </c>
      <c r="M34" s="70"/>
      <c r="N34" s="198">
        <f>ROUND((L34/L$74)*100,1)</f>
        <v>0</v>
      </c>
      <c r="O34" s="70"/>
      <c r="P34" s="163">
        <f>ROUND((P$74/H$74)*H34,0)</f>
        <v>0</v>
      </c>
      <c r="Q34" s="70"/>
      <c r="R34" s="163">
        <f>P34+L34</f>
        <v>0</v>
      </c>
      <c r="Y34" s="394">
        <f>J34-AY109</f>
        <v>6.9</v>
      </c>
    </row>
    <row r="35" spans="1:44" x14ac:dyDescent="0.25">
      <c r="A35" s="101">
        <v>16</v>
      </c>
      <c r="C35" s="101" t="s">
        <v>374</v>
      </c>
      <c r="F35" s="109">
        <v>0</v>
      </c>
      <c r="H35" s="229">
        <v>0</v>
      </c>
      <c r="J35" s="349">
        <f>ROUND(AC110+(AC110*LT_COS_RATE),2)</f>
        <v>6.9</v>
      </c>
      <c r="L35" s="163">
        <f>ROUND(F35*J35,0)</f>
        <v>0</v>
      </c>
      <c r="N35" s="198">
        <f>ROUND((L35/L$74)*100,1)</f>
        <v>0</v>
      </c>
      <c r="P35" s="163">
        <f>ROUND((P$74/H$74)*H35,0)</f>
        <v>0</v>
      </c>
      <c r="R35" s="163">
        <f>P35+L35</f>
        <v>0</v>
      </c>
      <c r="Y35" s="394">
        <f>J35-AY110</f>
        <v>6.9</v>
      </c>
      <c r="AR35" s="200"/>
    </row>
    <row r="36" spans="1:44" x14ac:dyDescent="0.25">
      <c r="A36" s="101">
        <v>17</v>
      </c>
      <c r="C36" s="101" t="s">
        <v>240</v>
      </c>
      <c r="F36" s="109">
        <v>0</v>
      </c>
      <c r="H36" s="229">
        <v>0</v>
      </c>
      <c r="J36" s="349">
        <f>ROUND(AC111+(AC111*LT_COS_RATE),2)</f>
        <v>9.35</v>
      </c>
      <c r="L36" s="163">
        <f>ROUND(F36*J36,0)</f>
        <v>0</v>
      </c>
      <c r="N36" s="198">
        <f>ROUND((L36/L$74)*100,1)</f>
        <v>0</v>
      </c>
      <c r="P36" s="163">
        <f>ROUND((P$74/H$74)*H36,0)</f>
        <v>0</v>
      </c>
      <c r="R36" s="163">
        <f>P36+L36</f>
        <v>0</v>
      </c>
      <c r="Y36" s="394">
        <f>J36-AY111</f>
        <v>9.35</v>
      </c>
      <c r="AR36" s="200"/>
    </row>
    <row r="37" spans="1:44" ht="15" customHeight="1" x14ac:dyDescent="0.25">
      <c r="C37" s="82"/>
      <c r="E37" s="80"/>
      <c r="F37" s="229"/>
      <c r="G37" s="161"/>
      <c r="H37" s="161"/>
      <c r="I37" s="70"/>
      <c r="J37" s="182"/>
      <c r="K37" s="70"/>
      <c r="L37" s="163"/>
      <c r="M37" s="85"/>
      <c r="N37" s="198"/>
      <c r="O37" s="70"/>
      <c r="P37" s="163"/>
      <c r="Q37" s="70"/>
      <c r="R37" s="163"/>
    </row>
    <row r="38" spans="1:44" x14ac:dyDescent="0.25">
      <c r="A38" s="101">
        <v>18</v>
      </c>
      <c r="C38" s="253" t="s">
        <v>454</v>
      </c>
      <c r="E38" s="80"/>
      <c r="F38" s="229"/>
      <c r="G38" s="161"/>
      <c r="H38" s="161"/>
      <c r="I38" s="70"/>
      <c r="J38" s="182"/>
      <c r="K38" s="70"/>
      <c r="L38" s="163"/>
      <c r="M38" s="85"/>
      <c r="N38" s="198"/>
      <c r="O38" s="70"/>
      <c r="P38" s="163"/>
      <c r="Q38" s="70"/>
      <c r="R38" s="163"/>
    </row>
    <row r="39" spans="1:44" x14ac:dyDescent="0.25">
      <c r="A39" s="101">
        <v>19</v>
      </c>
      <c r="C39" s="253" t="s">
        <v>455</v>
      </c>
      <c r="E39" s="80"/>
      <c r="F39" s="229"/>
      <c r="G39" s="161"/>
      <c r="H39" s="161"/>
      <c r="I39" s="70"/>
      <c r="J39" s="182"/>
      <c r="K39" s="70"/>
      <c r="L39" s="163"/>
      <c r="M39" s="85"/>
      <c r="N39" s="198"/>
      <c r="O39" s="70"/>
      <c r="P39" s="163"/>
      <c r="Q39" s="70"/>
      <c r="R39" s="163"/>
    </row>
    <row r="40" spans="1:44" x14ac:dyDescent="0.25">
      <c r="A40" s="101">
        <v>20</v>
      </c>
      <c r="C40" s="82" t="s">
        <v>285</v>
      </c>
      <c r="E40" s="80"/>
      <c r="F40" s="229">
        <v>0</v>
      </c>
      <c r="G40" s="161"/>
      <c r="H40" s="229">
        <v>0</v>
      </c>
      <c r="I40" s="70"/>
      <c r="J40" s="349">
        <f>ROUND(AC115+(AC115*LT_COS_RATE),2)</f>
        <v>5.95</v>
      </c>
      <c r="K40" s="70"/>
      <c r="L40" s="163">
        <f>ROUND(F40*J40,0)</f>
        <v>0</v>
      </c>
      <c r="M40" s="85"/>
      <c r="N40" s="198">
        <f>ROUND((L40/L$74)*100,1)</f>
        <v>0</v>
      </c>
      <c r="O40" s="70"/>
      <c r="P40" s="163">
        <f>ROUND((P$74/H$74)*H40,0)</f>
        <v>0</v>
      </c>
      <c r="Q40" s="70"/>
      <c r="R40" s="163">
        <f>P40+L40</f>
        <v>0</v>
      </c>
      <c r="Y40" s="394">
        <f>J40-AY115</f>
        <v>5.95</v>
      </c>
    </row>
    <row r="41" spans="1:44" x14ac:dyDescent="0.25">
      <c r="A41" s="101">
        <v>21</v>
      </c>
      <c r="C41" s="82" t="s">
        <v>456</v>
      </c>
      <c r="E41" s="80"/>
      <c r="F41" s="229">
        <v>0</v>
      </c>
      <c r="G41" s="161"/>
      <c r="H41" s="229">
        <v>0</v>
      </c>
      <c r="I41" s="70"/>
      <c r="J41" s="349">
        <f>ROUND(AC116+(AC116*LT_COS_RATE),2)</f>
        <v>5.9</v>
      </c>
      <c r="K41" s="70"/>
      <c r="L41" s="163">
        <f>ROUND(F41*J41,0)</f>
        <v>0</v>
      </c>
      <c r="M41" s="85"/>
      <c r="N41" s="198">
        <f>ROUND((L41/L$74)*100,1)</f>
        <v>0</v>
      </c>
      <c r="O41" s="70"/>
      <c r="P41" s="163">
        <f>ROUND((P$74/H$74)*H41,0)</f>
        <v>0</v>
      </c>
      <c r="Q41" s="70"/>
      <c r="R41" s="163">
        <f>P41+L41</f>
        <v>0</v>
      </c>
      <c r="Y41" s="394">
        <f>J41-AY116</f>
        <v>5.9</v>
      </c>
    </row>
    <row r="42" spans="1:44" x14ac:dyDescent="0.25">
      <c r="A42" s="101">
        <v>22</v>
      </c>
      <c r="C42" s="82" t="s">
        <v>286</v>
      </c>
      <c r="E42" s="80"/>
      <c r="F42" s="229">
        <v>0</v>
      </c>
      <c r="G42" s="161"/>
      <c r="H42" s="229">
        <v>0</v>
      </c>
      <c r="I42" s="70"/>
      <c r="J42" s="349">
        <f>ROUND(AC117+(AC117*LT_COS_RATE),2)</f>
        <v>5.95</v>
      </c>
      <c r="K42" s="70"/>
      <c r="L42" s="163">
        <f>ROUND(F42*J42,0)</f>
        <v>0</v>
      </c>
      <c r="M42" s="85"/>
      <c r="N42" s="198">
        <f>ROUND((L42/L$74)*100,1)</f>
        <v>0</v>
      </c>
      <c r="O42" s="70"/>
      <c r="P42" s="163">
        <f>ROUND((P$74/H$74)*H42,0)</f>
        <v>0</v>
      </c>
      <c r="Q42" s="70"/>
      <c r="R42" s="163">
        <f>P42+L42</f>
        <v>0</v>
      </c>
      <c r="Y42" s="394">
        <f>J42-AY117</f>
        <v>5.95</v>
      </c>
    </row>
    <row r="43" spans="1:44" x14ac:dyDescent="0.25">
      <c r="A43" s="101">
        <v>23</v>
      </c>
      <c r="C43" s="82" t="s">
        <v>287</v>
      </c>
      <c r="E43" s="80"/>
      <c r="F43" s="229">
        <v>0</v>
      </c>
      <c r="G43" s="161"/>
      <c r="H43" s="229">
        <v>0</v>
      </c>
      <c r="I43" s="70"/>
      <c r="J43" s="349">
        <f>ROUND(AC118+(AC118*LT_COS_RATE),2)</f>
        <v>5.95</v>
      </c>
      <c r="K43" s="70"/>
      <c r="L43" s="163">
        <f>ROUND(F43*J43,0)</f>
        <v>0</v>
      </c>
      <c r="M43" s="85"/>
      <c r="N43" s="198">
        <f>ROUND((L43/L$74)*100,1)</f>
        <v>0</v>
      </c>
      <c r="O43" s="70"/>
      <c r="P43" s="163">
        <f>ROUND((P$74/H$74)*H43,0)</f>
        <v>0</v>
      </c>
      <c r="Q43" s="70"/>
      <c r="R43" s="163">
        <f>P43+L43</f>
        <v>0</v>
      </c>
      <c r="Y43" s="394">
        <f>J43-AY118</f>
        <v>5.95</v>
      </c>
    </row>
    <row r="44" spans="1:44" ht="15" customHeight="1" x14ac:dyDescent="0.25">
      <c r="C44" s="82"/>
      <c r="E44" s="80"/>
      <c r="F44" s="229"/>
      <c r="G44" s="161"/>
      <c r="H44" s="161"/>
      <c r="I44" s="70"/>
      <c r="J44" s="182"/>
      <c r="K44" s="70"/>
      <c r="L44" s="163"/>
      <c r="M44" s="85"/>
      <c r="N44" s="198"/>
      <c r="O44" s="70"/>
      <c r="P44" s="163"/>
      <c r="Q44" s="70"/>
      <c r="R44" s="163"/>
    </row>
    <row r="45" spans="1:44" x14ac:dyDescent="0.25">
      <c r="A45" s="101">
        <v>24</v>
      </c>
      <c r="C45" s="253" t="s">
        <v>457</v>
      </c>
      <c r="E45" s="80"/>
      <c r="F45" s="229"/>
      <c r="G45" s="161"/>
      <c r="H45" s="161"/>
      <c r="I45" s="70"/>
      <c r="J45" s="182"/>
      <c r="K45" s="70"/>
      <c r="L45" s="163"/>
      <c r="M45" s="85"/>
      <c r="N45" s="198"/>
      <c r="O45" s="70"/>
      <c r="P45" s="163"/>
      <c r="Q45" s="70"/>
      <c r="R45" s="163"/>
    </row>
    <row r="46" spans="1:44" x14ac:dyDescent="0.25">
      <c r="A46" s="101">
        <v>25</v>
      </c>
      <c r="C46" s="82" t="s">
        <v>458</v>
      </c>
      <c r="E46" s="80"/>
      <c r="F46" s="229">
        <v>0</v>
      </c>
      <c r="G46" s="161"/>
      <c r="H46" s="229">
        <v>0</v>
      </c>
      <c r="I46" s="70"/>
      <c r="J46" s="349">
        <f>ROUND(AC121+(AC121*LT_COS_RATE),2)</f>
        <v>5.9</v>
      </c>
      <c r="K46" s="70"/>
      <c r="L46" s="163">
        <f>ROUND(F46*J46,0)</f>
        <v>0</v>
      </c>
      <c r="M46" s="85"/>
      <c r="N46" s="198">
        <f>ROUND((L46/L$74)*100,1)</f>
        <v>0</v>
      </c>
      <c r="O46" s="70"/>
      <c r="P46" s="163">
        <f>ROUND((P$74/H$74)*H46,0)</f>
        <v>0</v>
      </c>
      <c r="Q46" s="70"/>
      <c r="R46" s="163">
        <f>P46+L46</f>
        <v>0</v>
      </c>
      <c r="Y46" s="394">
        <f>J46-AY121</f>
        <v>5.9</v>
      </c>
    </row>
    <row r="47" spans="1:44" x14ac:dyDescent="0.25">
      <c r="A47" s="101">
        <v>26</v>
      </c>
      <c r="C47" s="82" t="s">
        <v>349</v>
      </c>
      <c r="E47" s="80"/>
      <c r="F47" s="229">
        <v>0</v>
      </c>
      <c r="G47" s="161"/>
      <c r="H47" s="229">
        <v>0</v>
      </c>
      <c r="I47" s="70"/>
      <c r="J47" s="349">
        <f>ROUND(AC122+(AC122*LT_COS_RATE),2)</f>
        <v>5.95</v>
      </c>
      <c r="K47" s="70"/>
      <c r="L47" s="163">
        <f>ROUND(F47*J47,0)</f>
        <v>0</v>
      </c>
      <c r="M47" s="85"/>
      <c r="N47" s="198">
        <f>ROUND((L47/L$74)*100,1)</f>
        <v>0</v>
      </c>
      <c r="O47" s="70"/>
      <c r="P47" s="163">
        <f>ROUND((P$74/H$74)*H47,0)</f>
        <v>0</v>
      </c>
      <c r="Q47" s="70"/>
      <c r="R47" s="163">
        <f>P47+L47</f>
        <v>0</v>
      </c>
      <c r="Y47" s="394">
        <f>J47-AY122</f>
        <v>5.95</v>
      </c>
    </row>
    <row r="48" spans="1:44" x14ac:dyDescent="0.25">
      <c r="A48" s="101">
        <v>27</v>
      </c>
      <c r="C48" s="101" t="s">
        <v>286</v>
      </c>
      <c r="E48" s="80"/>
      <c r="F48" s="229">
        <v>0</v>
      </c>
      <c r="G48" s="161"/>
      <c r="H48" s="229">
        <v>0</v>
      </c>
      <c r="I48" s="70"/>
      <c r="J48" s="349">
        <f>ROUND(AC123+(AC123*LT_COS_RATE),2)</f>
        <v>5.95</v>
      </c>
      <c r="K48" s="70"/>
      <c r="L48" s="163">
        <f>ROUND(F48*J48,0)</f>
        <v>0</v>
      </c>
      <c r="M48" s="85"/>
      <c r="N48" s="198">
        <f>ROUND((L48/L$74)*100,1)</f>
        <v>0</v>
      </c>
      <c r="O48" s="70"/>
      <c r="P48" s="163">
        <f>ROUND((P$74/H$74)*H48,0)</f>
        <v>0</v>
      </c>
      <c r="Q48" s="70"/>
      <c r="R48" s="163">
        <f>P48+L48</f>
        <v>0</v>
      </c>
      <c r="Y48" s="394">
        <f>J48-AY123</f>
        <v>5.95</v>
      </c>
    </row>
    <row r="49" spans="1:51" ht="15" customHeight="1" x14ac:dyDescent="0.25">
      <c r="C49" s="82"/>
      <c r="D49" s="82"/>
      <c r="E49" s="80"/>
      <c r="F49" s="229"/>
      <c r="G49" s="161"/>
      <c r="H49" s="161"/>
      <c r="I49" s="70"/>
      <c r="J49" s="182"/>
      <c r="K49" s="70"/>
      <c r="L49" s="163"/>
      <c r="M49" s="85"/>
      <c r="N49" s="198"/>
      <c r="O49" s="70"/>
      <c r="P49" s="163"/>
      <c r="Q49" s="70"/>
      <c r="R49" s="163"/>
    </row>
    <row r="50" spans="1:51" x14ac:dyDescent="0.25">
      <c r="A50" s="101">
        <v>28</v>
      </c>
      <c r="C50" s="253" t="s">
        <v>459</v>
      </c>
      <c r="E50" s="80"/>
      <c r="F50" s="229"/>
      <c r="G50" s="161"/>
      <c r="H50" s="161"/>
      <c r="I50" s="70"/>
      <c r="J50" s="182"/>
      <c r="K50" s="70"/>
      <c r="L50" s="163"/>
      <c r="M50" s="85"/>
      <c r="N50" s="198"/>
      <c r="O50" s="70"/>
      <c r="P50" s="163"/>
      <c r="Q50" s="70"/>
      <c r="R50" s="163"/>
    </row>
    <row r="51" spans="1:51" x14ac:dyDescent="0.25">
      <c r="A51" s="101">
        <v>29</v>
      </c>
      <c r="C51" s="82" t="s">
        <v>456</v>
      </c>
      <c r="D51" s="82"/>
      <c r="E51" s="80"/>
      <c r="F51" s="229">
        <v>0</v>
      </c>
      <c r="G51" s="161"/>
      <c r="H51" s="229">
        <v>0</v>
      </c>
      <c r="I51" s="70"/>
      <c r="J51" s="349">
        <f t="shared" ref="J51:J57" si="0">ROUND(AC126+(AC126*LT_COS_RATE),2)</f>
        <v>5.55</v>
      </c>
      <c r="K51" s="70"/>
      <c r="L51" s="163">
        <f t="shared" ref="L51:L57" si="1">ROUND(F51*J51,0)</f>
        <v>0</v>
      </c>
      <c r="M51" s="85"/>
      <c r="N51" s="198">
        <f t="shared" ref="N51:N57" si="2">ROUND((L51/L$74)*100,1)</f>
        <v>0</v>
      </c>
      <c r="O51" s="70"/>
      <c r="P51" s="163">
        <f t="shared" ref="P51:P57" si="3">ROUND((P$74/H$74)*H51,0)</f>
        <v>0</v>
      </c>
      <c r="Q51" s="70"/>
      <c r="R51" s="163">
        <f t="shared" ref="R51:R57" si="4">P51+L51</f>
        <v>0</v>
      </c>
      <c r="Y51" s="394">
        <f t="shared" ref="Y51:Y57" si="5">J51-AY126</f>
        <v>5.55</v>
      </c>
    </row>
    <row r="52" spans="1:51" x14ac:dyDescent="0.25">
      <c r="A52" s="101">
        <v>30</v>
      </c>
      <c r="C52" s="82" t="s">
        <v>458</v>
      </c>
      <c r="D52" s="82"/>
      <c r="E52" s="80"/>
      <c r="F52" s="229">
        <v>0</v>
      </c>
      <c r="G52" s="161"/>
      <c r="H52" s="229">
        <v>0</v>
      </c>
      <c r="I52" s="70"/>
      <c r="J52" s="349">
        <f t="shared" si="0"/>
        <v>5.55</v>
      </c>
      <c r="K52" s="70"/>
      <c r="L52" s="163">
        <f t="shared" si="1"/>
        <v>0</v>
      </c>
      <c r="M52" s="85"/>
      <c r="N52" s="198">
        <f t="shared" si="2"/>
        <v>0</v>
      </c>
      <c r="O52" s="70"/>
      <c r="P52" s="163">
        <f t="shared" si="3"/>
        <v>0</v>
      </c>
      <c r="Q52" s="70"/>
      <c r="R52" s="163">
        <f t="shared" si="4"/>
        <v>0</v>
      </c>
      <c r="Y52" s="394">
        <f t="shared" si="5"/>
        <v>5.55</v>
      </c>
    </row>
    <row r="53" spans="1:51" x14ac:dyDescent="0.25">
      <c r="A53" s="101">
        <v>31</v>
      </c>
      <c r="C53" s="82" t="s">
        <v>349</v>
      </c>
      <c r="D53" s="82"/>
      <c r="E53" s="80"/>
      <c r="F53" s="229">
        <v>0</v>
      </c>
      <c r="G53" s="161"/>
      <c r="H53" s="229">
        <v>0</v>
      </c>
      <c r="I53" s="70"/>
      <c r="J53" s="349">
        <f t="shared" si="0"/>
        <v>5.8</v>
      </c>
      <c r="K53" s="70"/>
      <c r="L53" s="163">
        <f t="shared" si="1"/>
        <v>0</v>
      </c>
      <c r="M53" s="85"/>
      <c r="N53" s="198">
        <f t="shared" si="2"/>
        <v>0</v>
      </c>
      <c r="O53" s="70"/>
      <c r="P53" s="163">
        <f t="shared" si="3"/>
        <v>0</v>
      </c>
      <c r="Q53" s="70"/>
      <c r="R53" s="163">
        <f t="shared" si="4"/>
        <v>0</v>
      </c>
      <c r="Y53" s="394">
        <f t="shared" si="5"/>
        <v>5.8</v>
      </c>
      <c r="AW53" s="161"/>
      <c r="AX53" s="85"/>
      <c r="AY53" s="85"/>
    </row>
    <row r="54" spans="1:51" x14ac:dyDescent="0.25">
      <c r="A54" s="101">
        <v>32</v>
      </c>
      <c r="C54" s="82" t="s">
        <v>289</v>
      </c>
      <c r="D54" s="82"/>
      <c r="E54" s="80"/>
      <c r="F54" s="229">
        <v>0</v>
      </c>
      <c r="G54" s="161"/>
      <c r="H54" s="229">
        <v>0</v>
      </c>
      <c r="I54" s="70"/>
      <c r="J54" s="349">
        <f t="shared" si="0"/>
        <v>5.55</v>
      </c>
      <c r="K54" s="70"/>
      <c r="L54" s="163">
        <f t="shared" si="1"/>
        <v>0</v>
      </c>
      <c r="M54" s="85"/>
      <c r="N54" s="198">
        <f t="shared" si="2"/>
        <v>0</v>
      </c>
      <c r="O54" s="70"/>
      <c r="P54" s="163">
        <f t="shared" si="3"/>
        <v>0</v>
      </c>
      <c r="Q54" s="70"/>
      <c r="R54" s="163">
        <f t="shared" si="4"/>
        <v>0</v>
      </c>
      <c r="Y54" s="394">
        <f t="shared" si="5"/>
        <v>5.55</v>
      </c>
      <c r="AW54" s="161"/>
    </row>
    <row r="55" spans="1:51" x14ac:dyDescent="0.25">
      <c r="A55" s="101">
        <v>33</v>
      </c>
      <c r="C55" s="82" t="s">
        <v>287</v>
      </c>
      <c r="D55" s="82"/>
      <c r="E55" s="80"/>
      <c r="F55" s="229">
        <v>0</v>
      </c>
      <c r="G55" s="70"/>
      <c r="H55" s="229">
        <v>0</v>
      </c>
      <c r="I55" s="70"/>
      <c r="J55" s="349">
        <f t="shared" si="0"/>
        <v>5.8</v>
      </c>
      <c r="K55" s="70"/>
      <c r="L55" s="163">
        <f t="shared" si="1"/>
        <v>0</v>
      </c>
      <c r="M55" s="70"/>
      <c r="N55" s="198">
        <f t="shared" si="2"/>
        <v>0</v>
      </c>
      <c r="O55" s="70"/>
      <c r="P55" s="163">
        <f t="shared" si="3"/>
        <v>0</v>
      </c>
      <c r="Q55" s="70"/>
      <c r="R55" s="163">
        <f t="shared" si="4"/>
        <v>0</v>
      </c>
      <c r="Y55" s="394">
        <f t="shared" si="5"/>
        <v>5.8</v>
      </c>
      <c r="AW55" s="70"/>
    </row>
    <row r="56" spans="1:51" x14ac:dyDescent="0.25">
      <c r="A56" s="101">
        <v>34</v>
      </c>
      <c r="C56" s="82" t="s">
        <v>285</v>
      </c>
      <c r="D56" s="82"/>
      <c r="E56" s="80"/>
      <c r="F56" s="229">
        <v>0</v>
      </c>
      <c r="G56" s="70"/>
      <c r="H56" s="229">
        <v>0</v>
      </c>
      <c r="I56" s="70"/>
      <c r="J56" s="349">
        <f t="shared" si="0"/>
        <v>5.8</v>
      </c>
      <c r="K56" s="70"/>
      <c r="L56" s="163">
        <f t="shared" si="1"/>
        <v>0</v>
      </c>
      <c r="M56" s="70"/>
      <c r="N56" s="198">
        <f t="shared" si="2"/>
        <v>0</v>
      </c>
      <c r="O56" s="70"/>
      <c r="P56" s="163">
        <f t="shared" si="3"/>
        <v>0</v>
      </c>
      <c r="Q56" s="70"/>
      <c r="R56" s="163">
        <f t="shared" si="4"/>
        <v>0</v>
      </c>
      <c r="Y56" s="394">
        <f t="shared" si="5"/>
        <v>5.8</v>
      </c>
      <c r="AW56" s="70"/>
    </row>
    <row r="57" spans="1:51" x14ac:dyDescent="0.25">
      <c r="A57" s="101">
        <v>35</v>
      </c>
      <c r="C57" s="82" t="s">
        <v>286</v>
      </c>
      <c r="D57" s="82"/>
      <c r="E57" s="80"/>
      <c r="F57" s="229">
        <v>0</v>
      </c>
      <c r="G57" s="70"/>
      <c r="H57" s="229">
        <v>0</v>
      </c>
      <c r="I57" s="70"/>
      <c r="J57" s="349">
        <f t="shared" si="0"/>
        <v>5.8</v>
      </c>
      <c r="K57" s="70"/>
      <c r="L57" s="163">
        <f t="shared" si="1"/>
        <v>0</v>
      </c>
      <c r="M57" s="70"/>
      <c r="N57" s="198">
        <f t="shared" si="2"/>
        <v>0</v>
      </c>
      <c r="O57" s="70"/>
      <c r="P57" s="163">
        <f t="shared" si="3"/>
        <v>0</v>
      </c>
      <c r="Q57" s="70"/>
      <c r="R57" s="163">
        <f t="shared" si="4"/>
        <v>0</v>
      </c>
      <c r="Y57" s="394">
        <f t="shared" si="5"/>
        <v>5.8</v>
      </c>
      <c r="AW57" s="230"/>
    </row>
    <row r="58" spans="1:51" ht="15" customHeight="1" x14ac:dyDescent="0.25">
      <c r="D58" s="82"/>
      <c r="E58" s="80"/>
      <c r="F58" s="229"/>
      <c r="G58" s="70"/>
      <c r="H58" s="80"/>
      <c r="I58" s="70"/>
      <c r="J58" s="182"/>
      <c r="K58" s="70"/>
      <c r="L58" s="70"/>
      <c r="M58" s="70"/>
      <c r="N58" s="70"/>
      <c r="O58" s="70"/>
      <c r="P58" s="70"/>
      <c r="Q58" s="70"/>
      <c r="R58" s="70"/>
    </row>
    <row r="59" spans="1:51" x14ac:dyDescent="0.25">
      <c r="A59" s="101">
        <v>36</v>
      </c>
      <c r="C59" s="253" t="s">
        <v>460</v>
      </c>
      <c r="D59" s="82"/>
      <c r="E59" s="80"/>
      <c r="F59" s="229"/>
      <c r="G59" s="70"/>
      <c r="H59" s="80"/>
      <c r="I59" s="70"/>
      <c r="J59" s="182"/>
      <c r="K59" s="70"/>
      <c r="L59" s="70"/>
      <c r="M59" s="70"/>
      <c r="N59" s="70"/>
      <c r="O59" s="70"/>
      <c r="P59" s="70"/>
      <c r="Q59" s="70"/>
      <c r="R59" s="70"/>
    </row>
    <row r="60" spans="1:51" x14ac:dyDescent="0.25">
      <c r="A60" s="101">
        <v>37</v>
      </c>
      <c r="C60" s="82" t="s">
        <v>253</v>
      </c>
      <c r="D60" s="82"/>
      <c r="E60" s="80"/>
      <c r="F60" s="229">
        <v>0</v>
      </c>
      <c r="G60" s="70"/>
      <c r="H60" s="229">
        <v>0</v>
      </c>
      <c r="I60" s="70"/>
      <c r="J60" s="349">
        <f>ROUND(AC135+(AC135*LT_COS_RATE),2)</f>
        <v>7.32</v>
      </c>
      <c r="K60" s="70"/>
      <c r="L60" s="163">
        <f>ROUND(F60*J60,0)</f>
        <v>0</v>
      </c>
      <c r="M60" s="70"/>
      <c r="N60" s="198">
        <f>ROUND((L60/L$74)*100,1)</f>
        <v>0</v>
      </c>
      <c r="O60" s="70"/>
      <c r="P60" s="163">
        <f>ROUND((P$74/H$74)*H60,0)</f>
        <v>0</v>
      </c>
      <c r="Q60" s="70"/>
      <c r="R60" s="163">
        <f>P60+L60</f>
        <v>0</v>
      </c>
      <c r="Y60" s="394">
        <f>J60-AY135</f>
        <v>7.32</v>
      </c>
    </row>
    <row r="61" spans="1:51" x14ac:dyDescent="0.25">
      <c r="A61" s="101">
        <v>38</v>
      </c>
      <c r="C61" s="82" t="s">
        <v>254</v>
      </c>
      <c r="D61" s="82"/>
      <c r="E61" s="80"/>
      <c r="F61" s="229">
        <v>0</v>
      </c>
      <c r="G61" s="70"/>
      <c r="H61" s="229">
        <v>0</v>
      </c>
      <c r="I61" s="70"/>
      <c r="J61" s="349">
        <f>ROUND(AC136+(AC136*LT_COS_RATE),2)</f>
        <v>9.68</v>
      </c>
      <c r="K61" s="70"/>
      <c r="L61" s="163">
        <f>ROUND(F61*J61,0)</f>
        <v>0</v>
      </c>
      <c r="M61" s="70"/>
      <c r="N61" s="198">
        <f>ROUND((L61/L$74)*100,1)</f>
        <v>0</v>
      </c>
      <c r="O61" s="70"/>
      <c r="P61" s="163">
        <f>ROUND((P$74/H$74)*H61,0)</f>
        <v>0</v>
      </c>
      <c r="Q61" s="70"/>
      <c r="R61" s="163">
        <f>P61+L61</f>
        <v>0</v>
      </c>
      <c r="Y61" s="394">
        <f>J61-AY136</f>
        <v>9.68</v>
      </c>
    </row>
    <row r="62" spans="1:51" x14ac:dyDescent="0.25">
      <c r="C62" s="82"/>
      <c r="D62" s="82"/>
      <c r="E62" s="80"/>
      <c r="F62" s="229"/>
      <c r="G62" s="70"/>
      <c r="H62" s="70"/>
      <c r="I62" s="70"/>
      <c r="J62" s="182"/>
      <c r="K62" s="70"/>
      <c r="L62" s="70"/>
      <c r="M62" s="70"/>
      <c r="N62" s="70"/>
      <c r="O62" s="70"/>
      <c r="P62" s="70"/>
      <c r="Q62" s="70"/>
      <c r="R62" s="70"/>
    </row>
    <row r="63" spans="1:51" x14ac:dyDescent="0.25">
      <c r="A63" s="101">
        <v>39</v>
      </c>
      <c r="C63" s="253" t="s">
        <v>78</v>
      </c>
      <c r="E63" s="80"/>
      <c r="F63" s="229"/>
      <c r="G63" s="70"/>
      <c r="H63" s="70"/>
      <c r="I63" s="70"/>
      <c r="J63" s="182"/>
      <c r="K63" s="70"/>
      <c r="L63" s="70"/>
      <c r="M63" s="70"/>
      <c r="N63" s="70"/>
      <c r="O63" s="70"/>
      <c r="P63" s="70"/>
      <c r="Q63" s="70"/>
      <c r="R63" s="70"/>
    </row>
    <row r="64" spans="1:51" x14ac:dyDescent="0.25">
      <c r="A64" s="101">
        <v>40</v>
      </c>
      <c r="C64" s="253" t="s">
        <v>79</v>
      </c>
      <c r="E64" s="80"/>
      <c r="F64" s="287">
        <v>2064</v>
      </c>
      <c r="G64" s="70"/>
      <c r="H64" s="287">
        <f>8133*12</f>
        <v>97596</v>
      </c>
      <c r="I64" s="70"/>
      <c r="J64" s="378">
        <f>ROUND(AC139+(AC139*LT_COS_RATE),6)</f>
        <v>4.1936000000000001E-2</v>
      </c>
      <c r="K64" s="70"/>
      <c r="L64" s="167">
        <f>ROUND((H64*J64),0)</f>
        <v>4093</v>
      </c>
      <c r="M64" s="70"/>
      <c r="N64" s="341">
        <f>ROUND((L64/L$74)*100,1)</f>
        <v>101.1</v>
      </c>
      <c r="O64" s="70"/>
      <c r="P64" s="167">
        <f>ROUND((P$74/H$74)*H64,0)</f>
        <v>100</v>
      </c>
      <c r="Q64" s="70"/>
      <c r="R64" s="167">
        <f>P64+L64</f>
        <v>4193</v>
      </c>
      <c r="Y64" s="401">
        <f>J64-PRO_BASE_FUEL</f>
        <v>1.8099000000000001E-2</v>
      </c>
    </row>
    <row r="65" spans="1:43" ht="20.100000000000001" customHeight="1" x14ac:dyDescent="0.25">
      <c r="A65" s="159">
        <v>41</v>
      </c>
      <c r="B65" s="80"/>
      <c r="C65" s="265" t="s">
        <v>596</v>
      </c>
      <c r="D65" s="80"/>
      <c r="E65" s="80"/>
      <c r="F65" s="126">
        <f>SUM(F22:F64)</f>
        <v>2064</v>
      </c>
      <c r="G65" s="70"/>
      <c r="H65" s="126">
        <f>SUM(H22:H64)</f>
        <v>97596</v>
      </c>
      <c r="I65" s="70"/>
      <c r="J65" s="356"/>
      <c r="K65" s="70"/>
      <c r="L65" s="126">
        <f>SUM(L22:L64)</f>
        <v>4093</v>
      </c>
      <c r="M65" s="70"/>
      <c r="N65" s="303">
        <f>ROUND((L65/L$74)*100,1)</f>
        <v>101.1</v>
      </c>
      <c r="O65" s="70"/>
      <c r="P65" s="126">
        <f>SUM(P22:P64)</f>
        <v>100</v>
      </c>
      <c r="Q65" s="70"/>
      <c r="R65" s="126">
        <f>SUM(R22:R64)</f>
        <v>4193</v>
      </c>
      <c r="Y65" s="401"/>
    </row>
    <row r="66" spans="1:43" x14ac:dyDescent="0.25">
      <c r="A66" s="159"/>
      <c r="B66" s="80"/>
      <c r="C66" s="265"/>
      <c r="D66" s="80"/>
      <c r="E66" s="80"/>
      <c r="F66" s="252"/>
      <c r="G66" s="70"/>
      <c r="H66" s="252"/>
      <c r="I66" s="70"/>
      <c r="J66" s="378"/>
      <c r="K66" s="70"/>
      <c r="L66" s="163"/>
      <c r="M66" s="70"/>
      <c r="N66" s="198"/>
      <c r="O66" s="70"/>
      <c r="P66" s="163"/>
      <c r="Q66" s="70"/>
      <c r="R66" s="163"/>
      <c r="Y66" s="401"/>
    </row>
    <row r="67" spans="1:43" x14ac:dyDescent="0.25">
      <c r="A67" s="159">
        <v>42</v>
      </c>
      <c r="B67" s="80"/>
      <c r="C67" s="253" t="s">
        <v>591</v>
      </c>
      <c r="D67" s="80"/>
      <c r="E67" s="80"/>
      <c r="F67" s="252"/>
      <c r="G67" s="70"/>
      <c r="H67" s="252"/>
      <c r="I67" s="70"/>
      <c r="J67" s="378"/>
      <c r="K67" s="70"/>
      <c r="L67" s="163"/>
      <c r="M67" s="70"/>
      <c r="N67" s="198"/>
      <c r="O67" s="70"/>
      <c r="P67" s="163"/>
      <c r="Q67" s="70"/>
      <c r="R67" s="163"/>
      <c r="Y67" s="401"/>
    </row>
    <row r="68" spans="1:43" x14ac:dyDescent="0.25">
      <c r="A68" s="159">
        <v>43</v>
      </c>
      <c r="B68" s="80"/>
      <c r="C68" s="153" t="str">
        <f>ESM_Name</f>
        <v>ENVIRONMENTAL SURCHARGE MECHANISM RIDER (ESM)</v>
      </c>
      <c r="D68" s="80"/>
      <c r="E68" s="80"/>
      <c r="F68" s="163"/>
      <c r="G68" s="70"/>
      <c r="H68" s="163"/>
      <c r="I68" s="79"/>
      <c r="J68" s="430">
        <f>PRO_ESM</f>
        <v>0</v>
      </c>
      <c r="K68" s="70"/>
      <c r="L68" s="163">
        <f>ROUND($R$65*J68,0)</f>
        <v>0</v>
      </c>
      <c r="M68" s="70"/>
      <c r="N68" s="198">
        <f t="shared" ref="N68:N70" si="6">ROUND((L68/L$74)*100,1)</f>
        <v>0</v>
      </c>
      <c r="O68" s="70"/>
      <c r="P68" s="163"/>
      <c r="Q68" s="70"/>
      <c r="R68" s="163">
        <f t="shared" ref="R68:R70" si="7">P68+L68</f>
        <v>0</v>
      </c>
      <c r="Y68" s="401"/>
    </row>
    <row r="69" spans="1:43" x14ac:dyDescent="0.25">
      <c r="A69" s="159">
        <v>44</v>
      </c>
      <c r="B69" s="80"/>
      <c r="C69" s="153" t="str">
        <f>DCI_Name</f>
        <v>DISTRIBUTION CAPITAL INVESTMENT RIDER (DCI)</v>
      </c>
      <c r="D69" s="80"/>
      <c r="E69" s="80"/>
      <c r="F69" s="163"/>
      <c r="G69" s="70"/>
      <c r="H69" s="163"/>
      <c r="I69" s="79"/>
      <c r="J69" s="430">
        <f>PRO_DCI_SL</f>
        <v>0</v>
      </c>
      <c r="K69" s="70"/>
      <c r="L69" s="163">
        <f>ROUND($H$65*J69,0)</f>
        <v>0</v>
      </c>
      <c r="M69" s="70"/>
      <c r="N69" s="198">
        <f t="shared" si="6"/>
        <v>0</v>
      </c>
      <c r="O69" s="70"/>
      <c r="P69" s="163"/>
      <c r="Q69" s="70"/>
      <c r="R69" s="163">
        <f t="shared" si="7"/>
        <v>0</v>
      </c>
      <c r="Y69" s="401"/>
    </row>
    <row r="70" spans="1:43" x14ac:dyDescent="0.25">
      <c r="A70" s="159">
        <v>45</v>
      </c>
      <c r="B70" s="80"/>
      <c r="C70" s="153" t="str">
        <f>FTR_Name</f>
        <v>FERC TRANSMISSION COST RECOVERY RECONCILIATION (FTR)</v>
      </c>
      <c r="D70" s="80"/>
      <c r="E70" s="80"/>
      <c r="F70" s="163"/>
      <c r="G70" s="70"/>
      <c r="H70" s="163"/>
      <c r="I70" s="79"/>
      <c r="J70" s="430">
        <f>PRO_FTR_SL</f>
        <v>0</v>
      </c>
      <c r="K70" s="70"/>
      <c r="L70" s="163">
        <f>ROUND($H$65*J70,0)</f>
        <v>0</v>
      </c>
      <c r="M70" s="70"/>
      <c r="N70" s="198">
        <f t="shared" si="6"/>
        <v>0</v>
      </c>
      <c r="O70" s="70"/>
      <c r="P70" s="163"/>
      <c r="Q70" s="70"/>
      <c r="R70" s="163">
        <f t="shared" si="7"/>
        <v>0</v>
      </c>
      <c r="Y70" s="401"/>
    </row>
    <row r="71" spans="1:43" x14ac:dyDescent="0.25">
      <c r="A71" s="159">
        <v>46</v>
      </c>
      <c r="B71" s="80"/>
      <c r="C71" s="153" t="str">
        <f>PSM_Name</f>
        <v>PROFIT SHARING MECHANISM (PSM)</v>
      </c>
      <c r="D71" s="80"/>
      <c r="E71" s="80"/>
      <c r="F71" s="163"/>
      <c r="G71" s="70"/>
      <c r="H71" s="163"/>
      <c r="I71" s="79"/>
      <c r="J71" s="438">
        <f>PRO_PSM</f>
        <v>-4.5600000000000003E-4</v>
      </c>
      <c r="K71" s="70"/>
      <c r="L71" s="167">
        <f>ROUND($H$65*J71,0)</f>
        <v>-45</v>
      </c>
      <c r="M71" s="70"/>
      <c r="N71" s="166">
        <f>ROUND((L71/L$74)*100,1)</f>
        <v>-1.1000000000000001</v>
      </c>
      <c r="O71" s="70"/>
      <c r="P71" s="167"/>
      <c r="Q71" s="70"/>
      <c r="R71" s="163">
        <f t="shared" ref="R71" si="8">P71+L71</f>
        <v>-45</v>
      </c>
      <c r="Y71" s="401"/>
    </row>
    <row r="72" spans="1:43" ht="20.100000000000001" customHeight="1" x14ac:dyDescent="0.25">
      <c r="A72" s="159">
        <v>47</v>
      </c>
      <c r="B72" s="80"/>
      <c r="C72" s="253" t="s">
        <v>585</v>
      </c>
      <c r="D72" s="80"/>
      <c r="E72" s="80"/>
      <c r="F72" s="287"/>
      <c r="G72" s="70"/>
      <c r="H72" s="287"/>
      <c r="I72" s="70"/>
      <c r="J72" s="378"/>
      <c r="K72" s="70"/>
      <c r="L72" s="169">
        <f>SUM(L68:L71)</f>
        <v>-45</v>
      </c>
      <c r="M72" s="70"/>
      <c r="N72" s="170">
        <f>ROUND((L72/L$74)*100,1)</f>
        <v>-1.1000000000000001</v>
      </c>
      <c r="O72" s="70"/>
      <c r="P72" s="169"/>
      <c r="Q72" s="70"/>
      <c r="R72" s="169">
        <f>SUM(R68:R71)</f>
        <v>-45</v>
      </c>
      <c r="Y72" s="401"/>
    </row>
    <row r="73" spans="1:43" x14ac:dyDescent="0.25">
      <c r="C73" s="253"/>
      <c r="E73" s="80"/>
      <c r="F73" s="252"/>
      <c r="G73" s="70"/>
      <c r="H73" s="252"/>
      <c r="I73" s="70"/>
      <c r="J73" s="378"/>
      <c r="K73" s="70"/>
      <c r="L73" s="163"/>
      <c r="M73" s="70"/>
      <c r="N73" s="198"/>
      <c r="O73" s="70"/>
      <c r="P73" s="163"/>
      <c r="Q73" s="70"/>
      <c r="R73" s="163"/>
      <c r="Y73" s="401"/>
    </row>
    <row r="74" spans="1:43" ht="20.100000000000001" customHeight="1" thickBot="1" x14ac:dyDescent="0.3">
      <c r="A74" s="101">
        <v>48</v>
      </c>
      <c r="C74" s="253" t="s">
        <v>597</v>
      </c>
      <c r="D74" s="80"/>
      <c r="E74" s="80"/>
      <c r="F74" s="465">
        <f>F65</f>
        <v>2064</v>
      </c>
      <c r="G74" s="70"/>
      <c r="H74" s="465">
        <f>H65</f>
        <v>97596</v>
      </c>
      <c r="I74" s="70"/>
      <c r="J74" s="278"/>
      <c r="K74" s="70"/>
      <c r="L74" s="465">
        <f>L72+L65</f>
        <v>4048</v>
      </c>
      <c r="M74" s="70"/>
      <c r="N74" s="466">
        <v>100</v>
      </c>
      <c r="O74" s="70"/>
      <c r="P74" s="435">
        <f>ROUND(H74*CUR_FAC,0)</f>
        <v>100</v>
      </c>
      <c r="Q74" s="70"/>
      <c r="R74" s="465">
        <f>R72+R65</f>
        <v>4148</v>
      </c>
    </row>
    <row r="75" spans="1:43" ht="15" customHeight="1" thickTop="1" x14ac:dyDescent="0.25">
      <c r="A75" s="80"/>
      <c r="B75" s="80"/>
      <c r="C75" s="80"/>
      <c r="D75" s="80"/>
      <c r="E75" s="80"/>
      <c r="F75" s="78"/>
      <c r="G75" s="70"/>
      <c r="H75" s="78"/>
      <c r="I75" s="78"/>
      <c r="J75" s="352"/>
      <c r="K75" s="339"/>
      <c r="L75" s="79"/>
      <c r="M75" s="79"/>
      <c r="N75" s="156"/>
      <c r="O75" s="156"/>
      <c r="P75" s="79"/>
      <c r="Q75" s="79"/>
      <c r="R75" s="79"/>
      <c r="S75" s="200"/>
    </row>
    <row r="76" spans="1:43" x14ac:dyDescent="0.25">
      <c r="B76" s="80"/>
      <c r="C76" s="173" t="s">
        <v>80</v>
      </c>
      <c r="D76" s="80"/>
      <c r="E76" s="80"/>
      <c r="F76" s="225"/>
      <c r="G76" s="80"/>
      <c r="H76" s="225"/>
      <c r="I76" s="225"/>
      <c r="J76" s="349"/>
      <c r="K76" s="283"/>
      <c r="L76" s="189"/>
      <c r="M76" s="189"/>
      <c r="N76" s="363"/>
      <c r="O76" s="363"/>
      <c r="P76" s="189"/>
      <c r="Q76" s="189"/>
      <c r="R76" s="189"/>
      <c r="S76" s="200"/>
      <c r="T76" s="150" t="str">
        <f>NAME</f>
        <v>DUKE ENERGY KENTUCKY, INC.</v>
      </c>
      <c r="U76" s="150"/>
      <c r="V76" s="150"/>
      <c r="W76" s="150"/>
      <c r="X76" s="150"/>
      <c r="Y76" s="150"/>
      <c r="Z76" s="150"/>
      <c r="AA76" s="150"/>
      <c r="AB76" s="150"/>
      <c r="AC76" s="150"/>
      <c r="AD76" s="187"/>
      <c r="AE76" s="187"/>
      <c r="AF76" s="150"/>
      <c r="AG76" s="380"/>
      <c r="AH76" s="150"/>
      <c r="AI76" s="100"/>
      <c r="AJ76" s="150"/>
      <c r="AK76" s="190"/>
      <c r="AL76" s="150"/>
      <c r="AM76" s="150"/>
      <c r="AN76" s="150"/>
      <c r="AO76" s="100"/>
      <c r="AP76" s="150"/>
      <c r="AQ76" s="190"/>
    </row>
    <row r="77" spans="1:43" x14ac:dyDescent="0.25">
      <c r="B77" s="80"/>
      <c r="C77" s="173" t="str">
        <f>"(2) REFLECTS FUEL COMPONENT OF "&amp;TEXT(PRO_FAC,"$0.000000;($0.000000)")&amp;" PER KWH."</f>
        <v>(2) REFLECTS FUEL COMPONENT OF $0.001028 PER KWH.</v>
      </c>
      <c r="D77" s="80"/>
      <c r="E77" s="80"/>
      <c r="F77" s="225"/>
      <c r="G77" s="80"/>
      <c r="H77" s="225"/>
      <c r="I77" s="225"/>
      <c r="J77" s="349"/>
      <c r="K77" s="283"/>
      <c r="L77" s="189"/>
      <c r="M77" s="189"/>
      <c r="N77" s="363"/>
      <c r="O77" s="363"/>
      <c r="P77" s="189"/>
      <c r="Q77" s="189"/>
      <c r="R77" s="189"/>
      <c r="T77" s="150" t="str">
        <f>CASE_NO</f>
        <v>CASE NO.   2017-00321</v>
      </c>
      <c r="U77" s="150"/>
      <c r="V77" s="150"/>
      <c r="W77" s="150"/>
      <c r="X77" s="150"/>
      <c r="Y77" s="150"/>
      <c r="Z77" s="150"/>
      <c r="AA77" s="150"/>
      <c r="AB77" s="150"/>
      <c r="AC77" s="150"/>
      <c r="AD77" s="187"/>
      <c r="AE77" s="187"/>
      <c r="AF77" s="150"/>
      <c r="AG77" s="380"/>
      <c r="AH77" s="150"/>
      <c r="AI77" s="100"/>
      <c r="AJ77" s="150"/>
      <c r="AK77" s="190"/>
      <c r="AL77" s="150"/>
      <c r="AM77" s="150"/>
      <c r="AN77" s="150"/>
      <c r="AO77" s="100"/>
      <c r="AP77" s="150"/>
      <c r="AQ77" s="190"/>
    </row>
    <row r="78" spans="1:43" x14ac:dyDescent="0.25">
      <c r="B78" s="80"/>
      <c r="C78" s="173" t="str">
        <f>"(3) REFLECTS FUEL COST RECOVERY INCLUDED IN BASE RATES OF "&amp;TEXT(PRO_BASE_FUEL,"$0.000000;($0.000000)")&amp;"  PER KWH."</f>
        <v>(3) REFLECTS FUEL COST RECOVERY INCLUDED IN BASE RATES OF $0.023837  PER KWH.</v>
      </c>
      <c r="D78" s="80"/>
      <c r="E78" s="80"/>
      <c r="F78" s="225"/>
      <c r="G78" s="80"/>
      <c r="H78" s="225"/>
      <c r="I78" s="225"/>
      <c r="J78" s="349"/>
      <c r="K78" s="283"/>
      <c r="L78" s="189"/>
      <c r="M78" s="189"/>
      <c r="N78" s="363"/>
      <c r="O78" s="363"/>
      <c r="P78" s="189"/>
      <c r="Q78" s="189"/>
      <c r="R78" s="189"/>
      <c r="T78" s="187" t="str">
        <f>TITLE</f>
        <v>ANNUALIZED BASE YEAR REVENUES AT PROPOSED VS. MOST CURRENT RATES</v>
      </c>
      <c r="U78" s="150"/>
      <c r="V78" s="150"/>
      <c r="W78" s="150"/>
      <c r="X78" s="150"/>
      <c r="Y78" s="150"/>
      <c r="Z78" s="150"/>
      <c r="AA78" s="150"/>
      <c r="AB78" s="150"/>
      <c r="AC78" s="150"/>
      <c r="AD78" s="187"/>
      <c r="AE78" s="187"/>
      <c r="AF78" s="150"/>
      <c r="AG78" s="380"/>
      <c r="AH78" s="150"/>
      <c r="AI78" s="100"/>
      <c r="AJ78" s="150"/>
      <c r="AK78" s="190"/>
      <c r="AL78" s="150"/>
      <c r="AM78" s="150"/>
      <c r="AN78" s="150"/>
      <c r="AO78" s="100"/>
      <c r="AP78" s="150"/>
      <c r="AQ78" s="190"/>
    </row>
    <row r="79" spans="1:43" x14ac:dyDescent="0.25">
      <c r="F79" s="211"/>
      <c r="H79" s="200"/>
      <c r="I79" s="200"/>
      <c r="J79" s="305"/>
      <c r="K79" s="305"/>
      <c r="L79" s="211"/>
      <c r="M79" s="211"/>
      <c r="N79" s="211"/>
      <c r="O79" s="211"/>
      <c r="P79" s="211"/>
      <c r="Q79" s="211"/>
      <c r="R79" s="211"/>
      <c r="T79" s="150" t="str">
        <f>DATE</f>
        <v>FOR THE TWELVE MONTHS ENDED November 30, 2017</v>
      </c>
      <c r="U79" s="150"/>
      <c r="V79" s="150"/>
      <c r="W79" s="150"/>
      <c r="X79" s="150"/>
      <c r="Y79" s="150"/>
      <c r="Z79" s="150"/>
      <c r="AA79" s="150"/>
      <c r="AB79" s="150"/>
      <c r="AC79" s="187"/>
      <c r="AD79" s="187"/>
      <c r="AE79" s="150"/>
      <c r="AF79" s="100"/>
      <c r="AG79" s="190"/>
      <c r="AH79" s="100"/>
      <c r="AI79" s="150"/>
      <c r="AJ79" s="150"/>
      <c r="AK79" s="190"/>
      <c r="AL79" s="150"/>
      <c r="AM79" s="150"/>
      <c r="AN79" s="100"/>
      <c r="AO79" s="150"/>
      <c r="AP79" s="150"/>
      <c r="AQ79" s="190"/>
    </row>
    <row r="80" spans="1:43" x14ac:dyDescent="0.25">
      <c r="F80" s="211"/>
      <c r="H80" s="200"/>
      <c r="I80" s="200"/>
      <c r="J80" s="305"/>
      <c r="K80" s="305"/>
      <c r="L80" s="211"/>
      <c r="M80" s="211"/>
      <c r="N80" s="211"/>
      <c r="O80" s="211"/>
      <c r="P80" s="211"/>
      <c r="Q80" s="211"/>
      <c r="R80" s="211"/>
      <c r="T80" s="150" t="str">
        <f>SERVICE</f>
        <v>(ELECTRIC SERVICE)</v>
      </c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87"/>
      <c r="AF80" s="312"/>
      <c r="AG80" s="190"/>
      <c r="AH80" s="100"/>
      <c r="AI80" s="150"/>
      <c r="AJ80" s="150"/>
      <c r="AK80" s="190"/>
      <c r="AL80" s="150"/>
      <c r="AM80" s="150"/>
      <c r="AN80" s="100"/>
      <c r="AO80" s="150"/>
      <c r="AP80" s="150"/>
      <c r="AQ80" s="190"/>
    </row>
    <row r="81" spans="1:49" x14ac:dyDescent="0.25">
      <c r="F81" s="211"/>
      <c r="H81" s="200"/>
      <c r="I81" s="202"/>
      <c r="J81" s="329"/>
      <c r="K81" s="317"/>
      <c r="L81" s="211"/>
      <c r="M81" s="71"/>
      <c r="N81" s="467"/>
      <c r="O81" s="71"/>
      <c r="P81" s="211"/>
      <c r="Q81" s="71"/>
      <c r="R81" s="211"/>
      <c r="S81" s="200"/>
      <c r="T81" s="159" t="str">
        <f>DATA_PERIOD</f>
        <v>DATA: __X__ BASE PERIOD   ____FORECASTED PERIOD</v>
      </c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G81" s="188"/>
      <c r="AI81" s="80"/>
      <c r="AJ81" s="80"/>
      <c r="AK81" s="188"/>
      <c r="AL81" s="80"/>
      <c r="AM81" s="80"/>
      <c r="AO81" s="82" t="s">
        <v>179</v>
      </c>
      <c r="AP81" s="82"/>
      <c r="AQ81" s="188"/>
    </row>
    <row r="82" spans="1:49" x14ac:dyDescent="0.25">
      <c r="A82" s="202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468"/>
      <c r="Q82" s="468"/>
      <c r="R82" s="211"/>
      <c r="T82" s="159" t="str">
        <f>TYPE</f>
        <v>TYPE OF FILING: _X_ ORIGINAL   ___UPDATED  ___ REVISED</v>
      </c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G82" s="188"/>
      <c r="AI82" s="80"/>
      <c r="AJ82" s="80"/>
      <c r="AK82" s="188"/>
      <c r="AL82" s="80"/>
      <c r="AM82" s="80"/>
      <c r="AO82" s="81" t="str">
        <f>R7</f>
        <v>PAGE  21 OF  22</v>
      </c>
      <c r="AP82" s="82"/>
      <c r="AQ82" s="188"/>
    </row>
    <row r="83" spans="1:49" x14ac:dyDescent="0.25">
      <c r="A83" s="154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T83" s="82" t="s">
        <v>192</v>
      </c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188"/>
      <c r="AH83" s="80"/>
      <c r="AI83" s="80"/>
      <c r="AJ83" s="80"/>
      <c r="AK83" s="188"/>
      <c r="AL83" s="80"/>
      <c r="AM83" s="80"/>
      <c r="AN83" s="80"/>
      <c r="AO83" s="82" t="s">
        <v>3</v>
      </c>
      <c r="AP83" s="82"/>
      <c r="AQ83" s="188"/>
    </row>
    <row r="84" spans="1:49" x14ac:dyDescent="0.25">
      <c r="H84" s="154"/>
      <c r="I84" s="154"/>
      <c r="J84" s="394"/>
      <c r="T84" s="258" t="str">
        <f>TIME</f>
        <v>6 Months Actual and 6 Months Projected</v>
      </c>
      <c r="U84" s="80"/>
      <c r="V84" s="80"/>
      <c r="W84" s="80"/>
      <c r="X84" s="80"/>
      <c r="Y84" s="80"/>
      <c r="Z84" s="80"/>
      <c r="AA84" s="80"/>
      <c r="AB84" s="80"/>
      <c r="AC84" s="80"/>
      <c r="AD84" s="80"/>
      <c r="AF84" s="82"/>
      <c r="AG84" s="188"/>
      <c r="AH84" s="80"/>
      <c r="AI84" s="80"/>
      <c r="AJ84" s="80"/>
      <c r="AK84" s="188"/>
      <c r="AL84" s="80"/>
      <c r="AM84" s="80"/>
      <c r="AN84" s="80"/>
      <c r="AO84" s="189" t="str">
        <f>WIT</f>
        <v>B. L. SAILERS</v>
      </c>
      <c r="AP84" s="159"/>
      <c r="AQ84" s="188"/>
    </row>
    <row r="85" spans="1:49" x14ac:dyDescent="0.25">
      <c r="J85" s="334"/>
      <c r="K85" s="202"/>
      <c r="T85" s="187" t="s">
        <v>152</v>
      </c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87"/>
      <c r="AF85" s="187"/>
      <c r="AG85" s="190"/>
      <c r="AH85" s="150"/>
      <c r="AI85" s="150"/>
      <c r="AJ85" s="150"/>
      <c r="AK85" s="190"/>
      <c r="AL85" s="150"/>
      <c r="AM85" s="150"/>
      <c r="AN85" s="150"/>
      <c r="AO85" s="187"/>
      <c r="AP85" s="187"/>
      <c r="AQ85" s="190"/>
    </row>
    <row r="86" spans="1:49" x14ac:dyDescent="0.25">
      <c r="J86" s="394"/>
      <c r="L86" s="154"/>
      <c r="M86" s="154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91"/>
      <c r="AH86" s="151"/>
      <c r="AI86" s="151"/>
      <c r="AJ86" s="151"/>
      <c r="AK86" s="191"/>
      <c r="AL86" s="151"/>
      <c r="AM86" s="151"/>
      <c r="AN86" s="151"/>
      <c r="AO86" s="151"/>
      <c r="AP86" s="151"/>
      <c r="AQ86" s="191"/>
    </row>
    <row r="87" spans="1:49" ht="18" customHeight="1" x14ac:dyDescent="0.25">
      <c r="A87" s="202"/>
      <c r="J87" s="394"/>
      <c r="R87" s="154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93" t="s">
        <v>8</v>
      </c>
      <c r="AF87" s="193"/>
      <c r="AG87" s="194" t="s">
        <v>7</v>
      </c>
      <c r="AH87" s="193"/>
      <c r="AI87" s="193" t="s">
        <v>9</v>
      </c>
      <c r="AJ87" s="193"/>
      <c r="AK87" s="194" t="s">
        <v>10</v>
      </c>
      <c r="AL87" s="193"/>
      <c r="AM87" s="152"/>
      <c r="AN87" s="152"/>
      <c r="AO87" s="193" t="s">
        <v>8</v>
      </c>
      <c r="AP87" s="193"/>
      <c r="AQ87" s="194" t="s">
        <v>11</v>
      </c>
    </row>
    <row r="88" spans="1:49" x14ac:dyDescent="0.25">
      <c r="A88" s="202"/>
      <c r="J88" s="394"/>
      <c r="R88" s="154"/>
      <c r="T88" s="80"/>
      <c r="U88" s="80"/>
      <c r="V88" s="80"/>
      <c r="W88" s="80"/>
      <c r="X88" s="80"/>
      <c r="Y88" s="80"/>
      <c r="Z88" s="80"/>
      <c r="AA88" s="80"/>
      <c r="AB88" s="80"/>
      <c r="AC88" s="83" t="s">
        <v>14</v>
      </c>
      <c r="AD88" s="83"/>
      <c r="AE88" s="83" t="s">
        <v>12</v>
      </c>
      <c r="AF88" s="83"/>
      <c r="AG88" s="195" t="s">
        <v>13</v>
      </c>
      <c r="AH88" s="83"/>
      <c r="AI88" s="83" t="s">
        <v>15</v>
      </c>
      <c r="AJ88" s="83"/>
      <c r="AK88" s="195" t="s">
        <v>16</v>
      </c>
      <c r="AL88" s="83"/>
      <c r="AM88" s="80"/>
      <c r="AN88" s="80"/>
      <c r="AO88" s="83" t="s">
        <v>11</v>
      </c>
      <c r="AP88" s="83"/>
      <c r="AQ88" s="195" t="s">
        <v>9</v>
      </c>
    </row>
    <row r="89" spans="1:49" x14ac:dyDescent="0.25">
      <c r="A89" s="154"/>
      <c r="J89" s="394"/>
      <c r="R89" s="154"/>
      <c r="T89" s="83" t="s">
        <v>17</v>
      </c>
      <c r="U89" s="80"/>
      <c r="V89" s="83" t="s">
        <v>18</v>
      </c>
      <c r="W89" s="83" t="s">
        <v>19</v>
      </c>
      <c r="X89" s="83"/>
      <c r="Y89" s="83" t="s">
        <v>20</v>
      </c>
      <c r="Z89" s="80"/>
      <c r="AA89" s="80"/>
      <c r="AB89" s="80"/>
      <c r="AC89" s="83" t="s">
        <v>8</v>
      </c>
      <c r="AD89" s="83"/>
      <c r="AE89" s="83" t="s">
        <v>21</v>
      </c>
      <c r="AF89" s="83"/>
      <c r="AG89" s="195" t="s">
        <v>21</v>
      </c>
      <c r="AH89" s="83"/>
      <c r="AI89" s="83" t="s">
        <v>22</v>
      </c>
      <c r="AJ89" s="83"/>
      <c r="AK89" s="195" t="s">
        <v>22</v>
      </c>
      <c r="AL89" s="83"/>
      <c r="AM89" s="83" t="s">
        <v>21</v>
      </c>
      <c r="AN89" s="83"/>
      <c r="AO89" s="83" t="s">
        <v>9</v>
      </c>
      <c r="AP89" s="83"/>
      <c r="AQ89" s="195" t="s">
        <v>23</v>
      </c>
    </row>
    <row r="90" spans="1:49" x14ac:dyDescent="0.25">
      <c r="J90" s="394"/>
      <c r="L90" s="154"/>
      <c r="M90" s="154"/>
      <c r="R90" s="202"/>
      <c r="T90" s="83" t="s">
        <v>24</v>
      </c>
      <c r="U90" s="80"/>
      <c r="V90" s="83" t="s">
        <v>25</v>
      </c>
      <c r="W90" s="83" t="s">
        <v>26</v>
      </c>
      <c r="X90" s="83"/>
      <c r="Y90" s="83" t="s">
        <v>27</v>
      </c>
      <c r="Z90" s="80"/>
      <c r="AA90" s="83" t="s">
        <v>28</v>
      </c>
      <c r="AB90" s="83"/>
      <c r="AC90" s="196" t="s">
        <v>431</v>
      </c>
      <c r="AD90" s="83"/>
      <c r="AE90" s="83" t="s">
        <v>9</v>
      </c>
      <c r="AF90" s="83"/>
      <c r="AG90" s="195" t="s">
        <v>9</v>
      </c>
      <c r="AH90" s="83"/>
      <c r="AI90" s="256" t="s">
        <v>31</v>
      </c>
      <c r="AJ90" s="256"/>
      <c r="AK90" s="257" t="s">
        <v>32</v>
      </c>
      <c r="AL90" s="83"/>
      <c r="AM90" s="83" t="s">
        <v>430</v>
      </c>
      <c r="AN90" s="83"/>
      <c r="AO90" s="256" t="s">
        <v>33</v>
      </c>
      <c r="AP90" s="256"/>
      <c r="AQ90" s="257" t="s">
        <v>34</v>
      </c>
    </row>
    <row r="91" spans="1:49" x14ac:dyDescent="0.25">
      <c r="A91" s="102"/>
      <c r="B91" s="102"/>
      <c r="C91" s="102"/>
      <c r="D91" s="102"/>
      <c r="E91" s="102"/>
      <c r="F91" s="102"/>
      <c r="G91" s="102"/>
      <c r="H91" s="102"/>
      <c r="I91" s="102"/>
      <c r="J91" s="335"/>
      <c r="K91" s="102"/>
      <c r="L91" s="102"/>
      <c r="M91" s="102"/>
      <c r="N91" s="102"/>
      <c r="O91" s="102"/>
      <c r="P91" s="102"/>
      <c r="Q91" s="102"/>
      <c r="R91" s="102"/>
      <c r="T91" s="80"/>
      <c r="U91" s="80"/>
      <c r="V91" s="256" t="s">
        <v>35</v>
      </c>
      <c r="W91" s="256" t="s">
        <v>36</v>
      </c>
      <c r="X91" s="256"/>
      <c r="Y91" s="256" t="s">
        <v>37</v>
      </c>
      <c r="Z91" s="258"/>
      <c r="AA91" s="256" t="s">
        <v>38</v>
      </c>
      <c r="AB91" s="256"/>
      <c r="AC91" s="459" t="s">
        <v>44</v>
      </c>
      <c r="AD91" s="256"/>
      <c r="AE91" s="256" t="s">
        <v>45</v>
      </c>
      <c r="AF91" s="256"/>
      <c r="AG91" s="257" t="s">
        <v>46</v>
      </c>
      <c r="AH91" s="256"/>
      <c r="AI91" s="256" t="s">
        <v>47</v>
      </c>
      <c r="AJ91" s="256"/>
      <c r="AK91" s="257" t="s">
        <v>48</v>
      </c>
      <c r="AL91" s="256"/>
      <c r="AM91" s="256" t="s">
        <v>42</v>
      </c>
      <c r="AN91" s="256"/>
      <c r="AO91" s="256" t="s">
        <v>49</v>
      </c>
      <c r="AP91" s="256"/>
      <c r="AQ91" s="257" t="s">
        <v>50</v>
      </c>
    </row>
    <row r="92" spans="1:49" ht="17.100000000000001" customHeight="1" x14ac:dyDescent="0.25">
      <c r="J92" s="394"/>
      <c r="L92" s="103"/>
      <c r="M92" s="103"/>
      <c r="N92" s="103"/>
      <c r="O92" s="103"/>
      <c r="R92" s="103"/>
      <c r="T92" s="152"/>
      <c r="U92" s="152"/>
      <c r="V92" s="152"/>
      <c r="W92" s="152"/>
      <c r="X92" s="152"/>
      <c r="Y92" s="152"/>
      <c r="Z92" s="152"/>
      <c r="AA92" s="376" t="s">
        <v>51</v>
      </c>
      <c r="AB92" s="376"/>
      <c r="AC92" s="460" t="s">
        <v>71</v>
      </c>
      <c r="AD92" s="376"/>
      <c r="AE92" s="376" t="s">
        <v>52</v>
      </c>
      <c r="AF92" s="376"/>
      <c r="AG92" s="381" t="s">
        <v>53</v>
      </c>
      <c r="AH92" s="376"/>
      <c r="AI92" s="376" t="s">
        <v>52</v>
      </c>
      <c r="AJ92" s="376"/>
      <c r="AK92" s="381" t="s">
        <v>53</v>
      </c>
      <c r="AL92" s="376"/>
      <c r="AM92" s="376" t="s">
        <v>52</v>
      </c>
      <c r="AN92" s="376"/>
      <c r="AO92" s="376" t="s">
        <v>52</v>
      </c>
      <c r="AP92" s="376"/>
      <c r="AQ92" s="381" t="s">
        <v>53</v>
      </c>
    </row>
    <row r="93" spans="1:49" x14ac:dyDescent="0.25">
      <c r="J93" s="394"/>
      <c r="L93" s="103"/>
      <c r="M93" s="103"/>
      <c r="N93" s="103"/>
      <c r="O93" s="103"/>
      <c r="R93" s="103"/>
      <c r="T93" s="101">
        <v>1</v>
      </c>
      <c r="V93" s="253" t="s">
        <v>77</v>
      </c>
      <c r="W93" s="253" t="s">
        <v>73</v>
      </c>
      <c r="X93" s="82"/>
      <c r="Y93" s="70"/>
      <c r="Z93" s="70"/>
      <c r="AA93" s="298"/>
      <c r="AB93" s="298"/>
      <c r="AC93" s="471" t="s">
        <v>418</v>
      </c>
      <c r="AD93" s="298"/>
      <c r="AE93" s="298"/>
      <c r="AF93" s="298"/>
      <c r="AG93" s="316"/>
      <c r="AH93" s="298"/>
      <c r="AI93" s="298"/>
      <c r="AJ93" s="298"/>
      <c r="AK93" s="316"/>
      <c r="AL93" s="298"/>
      <c r="AM93" s="298"/>
      <c r="AN93" s="298"/>
      <c r="AO93" s="298"/>
      <c r="AP93" s="298"/>
      <c r="AQ93" s="316"/>
    </row>
    <row r="94" spans="1:49" x14ac:dyDescent="0.25">
      <c r="A94" s="103"/>
      <c r="C94" s="103"/>
      <c r="D94" s="103"/>
      <c r="E94" s="103"/>
      <c r="F94" s="103"/>
      <c r="H94" s="103"/>
      <c r="I94" s="103"/>
      <c r="J94" s="336"/>
      <c r="K94" s="103"/>
      <c r="L94" s="103"/>
      <c r="M94" s="103"/>
      <c r="N94" s="103"/>
      <c r="O94" s="103"/>
      <c r="P94" s="103"/>
      <c r="Q94" s="103"/>
      <c r="R94" s="103"/>
      <c r="T94" s="101">
        <v>2</v>
      </c>
      <c r="V94" s="265" t="s">
        <v>312</v>
      </c>
      <c r="W94" s="417"/>
      <c r="X94" s="82"/>
      <c r="Y94" s="70"/>
      <c r="Z94" s="70"/>
      <c r="AA94" s="70"/>
      <c r="AB94" s="70"/>
      <c r="AC94" s="70"/>
      <c r="AD94" s="70"/>
      <c r="AE94" s="70"/>
      <c r="AF94" s="70"/>
      <c r="AG94" s="164"/>
      <c r="AH94" s="70"/>
      <c r="AI94" s="70"/>
      <c r="AJ94" s="70"/>
      <c r="AK94" s="164"/>
      <c r="AL94" s="70"/>
      <c r="AM94" s="70"/>
      <c r="AN94" s="70"/>
      <c r="AO94" s="70"/>
      <c r="AP94" s="70"/>
      <c r="AQ94" s="164"/>
      <c r="AU94" s="104"/>
    </row>
    <row r="95" spans="1:49" x14ac:dyDescent="0.25">
      <c r="C95" s="103"/>
      <c r="D95" s="103"/>
      <c r="E95" s="103"/>
      <c r="F95" s="103"/>
      <c r="H95" s="103"/>
      <c r="I95" s="103"/>
      <c r="J95" s="336"/>
      <c r="K95" s="103"/>
      <c r="L95" s="103"/>
      <c r="M95" s="103"/>
      <c r="N95" s="103"/>
      <c r="O95" s="103"/>
      <c r="P95" s="103"/>
      <c r="Q95" s="103"/>
      <c r="R95" s="103"/>
      <c r="T95" s="101">
        <v>3</v>
      </c>
      <c r="V95" s="253" t="s">
        <v>444</v>
      </c>
      <c r="W95" s="417"/>
      <c r="X95" s="82"/>
      <c r="Y95" s="161"/>
      <c r="Z95" s="70"/>
      <c r="AA95" s="70"/>
      <c r="AB95" s="70"/>
      <c r="AC95" s="70"/>
      <c r="AD95" s="70"/>
      <c r="AE95" s="70"/>
      <c r="AF95" s="70"/>
      <c r="AG95" s="164"/>
      <c r="AH95" s="70"/>
      <c r="AI95" s="70"/>
      <c r="AJ95" s="70"/>
      <c r="AK95" s="164"/>
      <c r="AL95" s="70"/>
      <c r="AM95" s="70"/>
      <c r="AN95" s="70"/>
      <c r="AO95" s="70"/>
      <c r="AP95" s="70"/>
      <c r="AQ95" s="164"/>
      <c r="AU95" s="104"/>
      <c r="AW95" s="101" t="s">
        <v>129</v>
      </c>
    </row>
    <row r="96" spans="1:49" x14ac:dyDescent="0.25">
      <c r="A96" s="102"/>
      <c r="B96" s="102"/>
      <c r="C96" s="102"/>
      <c r="D96" s="102"/>
      <c r="E96" s="102"/>
      <c r="F96" s="102"/>
      <c r="G96" s="102"/>
      <c r="H96" s="102"/>
      <c r="I96" s="102"/>
      <c r="J96" s="335"/>
      <c r="K96" s="102"/>
      <c r="L96" s="102"/>
      <c r="M96" s="102"/>
      <c r="N96" s="102"/>
      <c r="O96" s="102"/>
      <c r="P96" s="102"/>
      <c r="Q96" s="102"/>
      <c r="R96" s="102"/>
      <c r="T96" s="101">
        <v>4</v>
      </c>
      <c r="V96" s="253" t="s">
        <v>445</v>
      </c>
      <c r="W96" s="417"/>
      <c r="X96" s="82"/>
      <c r="Y96" s="161"/>
      <c r="Z96" s="70"/>
      <c r="AA96" s="70"/>
      <c r="AB96" s="70"/>
      <c r="AC96" s="70"/>
      <c r="AD96" s="70"/>
      <c r="AE96" s="70"/>
      <c r="AF96" s="70"/>
      <c r="AG96" s="164"/>
      <c r="AH96" s="70"/>
      <c r="AI96" s="70"/>
      <c r="AJ96" s="70"/>
      <c r="AK96" s="164"/>
      <c r="AL96" s="70"/>
      <c r="AM96" s="70"/>
      <c r="AN96" s="70"/>
      <c r="AO96" s="70"/>
      <c r="AP96" s="70"/>
      <c r="AQ96" s="164"/>
      <c r="AW96" s="101" t="s">
        <v>461</v>
      </c>
    </row>
    <row r="97" spans="1:49" x14ac:dyDescent="0.25">
      <c r="H97" s="103"/>
      <c r="I97" s="103"/>
      <c r="J97" s="336"/>
      <c r="K97" s="103"/>
      <c r="L97" s="103"/>
      <c r="M97" s="103"/>
      <c r="N97" s="103"/>
      <c r="O97" s="103"/>
      <c r="P97" s="103"/>
      <c r="Q97" s="103"/>
      <c r="R97" s="103"/>
      <c r="T97" s="101">
        <v>5</v>
      </c>
      <c r="V97" s="82" t="s">
        <v>233</v>
      </c>
      <c r="X97" s="82"/>
      <c r="Y97" s="110">
        <f>F22</f>
        <v>0</v>
      </c>
      <c r="Z97" s="85"/>
      <c r="AA97" s="110">
        <f>H22</f>
        <v>0</v>
      </c>
      <c r="AB97" s="70"/>
      <c r="AC97" s="472">
        <v>4.1900000000000004</v>
      </c>
      <c r="AD97" s="70"/>
      <c r="AE97" s="163">
        <f>ROUND(Y97*AC97,0)</f>
        <v>0</v>
      </c>
      <c r="AF97" s="70"/>
      <c r="AG97" s="197">
        <f>ROUND((AE97/AE$149)*100,1)</f>
        <v>0</v>
      </c>
      <c r="AH97" s="70"/>
      <c r="AI97" s="110">
        <f>L22-AE97</f>
        <v>0</v>
      </c>
      <c r="AJ97" s="70"/>
      <c r="AK97" s="197">
        <v>0</v>
      </c>
      <c r="AL97" s="70"/>
      <c r="AM97" s="163">
        <f>ROUND((AM$149/AA$149)*AA97,0)</f>
        <v>0</v>
      </c>
      <c r="AN97" s="70"/>
      <c r="AO97" s="163">
        <f>AM97+AE97</f>
        <v>0</v>
      </c>
      <c r="AP97" s="70"/>
      <c r="AQ97" s="197">
        <v>0</v>
      </c>
      <c r="AU97" s="394"/>
      <c r="AV97" s="85"/>
      <c r="AW97" s="101">
        <v>803</v>
      </c>
    </row>
    <row r="98" spans="1:49" x14ac:dyDescent="0.25">
      <c r="A98" s="202"/>
      <c r="C98" s="154"/>
      <c r="D98" s="154"/>
      <c r="E98" s="154"/>
      <c r="J98" s="394"/>
      <c r="T98" s="101">
        <v>6</v>
      </c>
      <c r="V98" s="82" t="s">
        <v>446</v>
      </c>
      <c r="X98" s="82"/>
      <c r="Y98" s="110">
        <f>F23</f>
        <v>0</v>
      </c>
      <c r="Z98" s="85"/>
      <c r="AA98" s="110">
        <f>H23</f>
        <v>0</v>
      </c>
      <c r="AB98" s="70"/>
      <c r="AC98" s="472">
        <v>5.33</v>
      </c>
      <c r="AD98" s="70"/>
      <c r="AE98" s="163">
        <f>ROUND(Y98*AC98,0)</f>
        <v>0</v>
      </c>
      <c r="AF98" s="70"/>
      <c r="AG98" s="197">
        <f>ROUND((AE98/AE$149)*100,1)</f>
        <v>0</v>
      </c>
      <c r="AH98" s="70"/>
      <c r="AI98" s="110">
        <f>L23-AE98</f>
        <v>0</v>
      </c>
      <c r="AJ98" s="70"/>
      <c r="AK98" s="197">
        <v>0</v>
      </c>
      <c r="AL98" s="70"/>
      <c r="AM98" s="163">
        <f>ROUND((AM$149/AA$149)*AA98,0)</f>
        <v>0</v>
      </c>
      <c r="AN98" s="70"/>
      <c r="AO98" s="163">
        <f>AM98+AE98</f>
        <v>0</v>
      </c>
      <c r="AP98" s="70"/>
      <c r="AQ98" s="197">
        <v>0</v>
      </c>
      <c r="AU98" s="394"/>
      <c r="AV98" s="85"/>
      <c r="AW98" s="101">
        <v>1144</v>
      </c>
    </row>
    <row r="99" spans="1:49" x14ac:dyDescent="0.25">
      <c r="A99" s="202"/>
      <c r="D99" s="154"/>
      <c r="E99" s="154"/>
      <c r="J99" s="394"/>
      <c r="T99" s="101">
        <v>7</v>
      </c>
      <c r="V99" s="82" t="s">
        <v>447</v>
      </c>
      <c r="X99" s="82"/>
      <c r="Y99" s="110">
        <f>F24</f>
        <v>0</v>
      </c>
      <c r="Z99" s="85"/>
      <c r="AA99" s="110">
        <f>H24</f>
        <v>0</v>
      </c>
      <c r="AB99" s="70"/>
      <c r="AC99" s="472">
        <v>7.4</v>
      </c>
      <c r="AD99" s="70"/>
      <c r="AE99" s="163">
        <f>ROUND(Y99*AC99,0)</f>
        <v>0</v>
      </c>
      <c r="AF99" s="70"/>
      <c r="AG99" s="197">
        <f>ROUND((AE99/AE$149)*100,1)</f>
        <v>0</v>
      </c>
      <c r="AH99" s="70"/>
      <c r="AI99" s="110">
        <f>L24-AE99</f>
        <v>0</v>
      </c>
      <c r="AJ99" s="70"/>
      <c r="AK99" s="197">
        <v>0</v>
      </c>
      <c r="AL99" s="70"/>
      <c r="AM99" s="163">
        <f>ROUND((AM$149/AA$149)*AA99,0)</f>
        <v>0</v>
      </c>
      <c r="AN99" s="70"/>
      <c r="AO99" s="163">
        <f>AM99+AE99</f>
        <v>0</v>
      </c>
      <c r="AP99" s="70"/>
      <c r="AQ99" s="197">
        <v>0</v>
      </c>
      <c r="AU99" s="394"/>
      <c r="AV99" s="85"/>
      <c r="AW99" s="101">
        <v>1789</v>
      </c>
    </row>
    <row r="100" spans="1:49" ht="15" customHeight="1" x14ac:dyDescent="0.25">
      <c r="J100" s="394"/>
      <c r="V100" s="82"/>
      <c r="X100" s="82"/>
      <c r="Y100" s="161"/>
      <c r="Z100" s="70"/>
      <c r="AA100" s="70"/>
      <c r="AB100" s="70"/>
      <c r="AC100" s="472"/>
      <c r="AD100" s="70"/>
      <c r="AE100" s="70"/>
      <c r="AF100" s="70"/>
      <c r="AG100" s="164"/>
      <c r="AH100" s="70"/>
      <c r="AI100" s="70"/>
      <c r="AJ100" s="70"/>
      <c r="AK100" s="164"/>
      <c r="AL100" s="70"/>
      <c r="AM100" s="70"/>
      <c r="AN100" s="70"/>
      <c r="AO100" s="70"/>
      <c r="AP100" s="70"/>
      <c r="AQ100" s="164"/>
      <c r="AV100" s="85"/>
    </row>
    <row r="101" spans="1:49" x14ac:dyDescent="0.25">
      <c r="A101" s="202"/>
      <c r="C101" s="154"/>
      <c r="F101" s="252"/>
      <c r="H101" s="252"/>
      <c r="I101" s="252"/>
      <c r="J101" s="329"/>
      <c r="K101" s="300"/>
      <c r="L101" s="200"/>
      <c r="M101" s="200"/>
      <c r="N101" s="210"/>
      <c r="O101" s="210"/>
      <c r="R101" s="200"/>
      <c r="T101" s="101">
        <v>8</v>
      </c>
      <c r="V101" s="253" t="s">
        <v>448</v>
      </c>
      <c r="X101" s="82"/>
      <c r="Y101" s="161"/>
      <c r="Z101" s="70"/>
      <c r="AA101" s="70"/>
      <c r="AB101" s="70"/>
      <c r="AC101" s="472"/>
      <c r="AD101" s="70"/>
      <c r="AE101" s="70"/>
      <c r="AF101" s="70"/>
      <c r="AG101" s="164"/>
      <c r="AH101" s="70"/>
      <c r="AI101" s="70"/>
      <c r="AJ101" s="70"/>
      <c r="AK101" s="164"/>
      <c r="AL101" s="70"/>
      <c r="AM101" s="70"/>
      <c r="AN101" s="70"/>
      <c r="AO101" s="70"/>
      <c r="AP101" s="70"/>
      <c r="AQ101" s="164"/>
      <c r="AV101" s="85"/>
    </row>
    <row r="102" spans="1:49" x14ac:dyDescent="0.25">
      <c r="A102" s="202"/>
      <c r="C102" s="154"/>
      <c r="F102" s="252"/>
      <c r="H102" s="252"/>
      <c r="I102" s="252"/>
      <c r="J102" s="329"/>
      <c r="K102" s="300"/>
      <c r="L102" s="200"/>
      <c r="M102" s="200"/>
      <c r="N102" s="210"/>
      <c r="O102" s="210"/>
      <c r="P102" s="202"/>
      <c r="Q102" s="202"/>
      <c r="R102" s="200"/>
      <c r="T102" s="101">
        <v>9</v>
      </c>
      <c r="V102" s="82" t="s">
        <v>449</v>
      </c>
      <c r="X102" s="82"/>
      <c r="Y102" s="110">
        <f>F27</f>
        <v>0</v>
      </c>
      <c r="Z102" s="85"/>
      <c r="AA102" s="110">
        <f>H27</f>
        <v>0</v>
      </c>
      <c r="AB102" s="70"/>
      <c r="AC102" s="472">
        <v>4.1900000000000004</v>
      </c>
      <c r="AD102" s="70"/>
      <c r="AE102" s="163">
        <f>ROUND(Y102*AC102,0)</f>
        <v>0</v>
      </c>
      <c r="AF102" s="70"/>
      <c r="AG102" s="197">
        <f>ROUND((AE102/AE$149)*100,1)</f>
        <v>0</v>
      </c>
      <c r="AH102" s="70"/>
      <c r="AI102" s="110">
        <f>L27-AE102</f>
        <v>0</v>
      </c>
      <c r="AJ102" s="70"/>
      <c r="AK102" s="197">
        <v>0</v>
      </c>
      <c r="AL102" s="70"/>
      <c r="AM102" s="163">
        <f>ROUND((AM$149/AA$149)*AA102,0)</f>
        <v>0</v>
      </c>
      <c r="AN102" s="70"/>
      <c r="AO102" s="163">
        <f>AM102+AE102</f>
        <v>0</v>
      </c>
      <c r="AP102" s="70"/>
      <c r="AQ102" s="197">
        <v>0</v>
      </c>
      <c r="AU102" s="394"/>
      <c r="AV102" s="85"/>
      <c r="AW102" s="101">
        <v>803</v>
      </c>
    </row>
    <row r="103" spans="1:49" x14ac:dyDescent="0.25">
      <c r="F103" s="211"/>
      <c r="H103" s="200"/>
      <c r="I103" s="200"/>
      <c r="J103" s="329"/>
      <c r="K103" s="305"/>
      <c r="L103" s="211"/>
      <c r="M103" s="211"/>
      <c r="N103" s="211"/>
      <c r="O103" s="211"/>
      <c r="P103" s="211"/>
      <c r="Q103" s="211"/>
      <c r="R103" s="211"/>
      <c r="T103" s="101">
        <v>10</v>
      </c>
      <c r="V103" s="82" t="s">
        <v>450</v>
      </c>
      <c r="X103" s="82"/>
      <c r="Y103" s="110">
        <f>F28</f>
        <v>0</v>
      </c>
      <c r="Z103" s="85"/>
      <c r="AA103" s="110">
        <f>H28</f>
        <v>0</v>
      </c>
      <c r="AB103" s="70"/>
      <c r="AC103" s="472">
        <v>5.33</v>
      </c>
      <c r="AD103" s="70"/>
      <c r="AE103" s="163">
        <f>ROUND(Y103*AC103,0)</f>
        <v>0</v>
      </c>
      <c r="AF103" s="70"/>
      <c r="AG103" s="197">
        <f>ROUND((AE103/AE$149)*100,1)</f>
        <v>0</v>
      </c>
      <c r="AH103" s="70"/>
      <c r="AI103" s="110">
        <f>L28-AE103</f>
        <v>0</v>
      </c>
      <c r="AJ103" s="70"/>
      <c r="AK103" s="197">
        <v>0</v>
      </c>
      <c r="AL103" s="70"/>
      <c r="AM103" s="163">
        <f>ROUND((AM$149/AA$149)*AA103,0)</f>
        <v>0</v>
      </c>
      <c r="AN103" s="70"/>
      <c r="AO103" s="163">
        <f>AM103+AE103</f>
        <v>0</v>
      </c>
      <c r="AP103" s="70"/>
      <c r="AQ103" s="197">
        <v>0</v>
      </c>
      <c r="AU103" s="394"/>
      <c r="AV103" s="85"/>
      <c r="AW103" s="101">
        <v>1144</v>
      </c>
    </row>
    <row r="104" spans="1:49" x14ac:dyDescent="0.25">
      <c r="A104" s="202"/>
      <c r="C104" s="154"/>
      <c r="F104" s="200"/>
      <c r="H104" s="200"/>
      <c r="I104" s="200"/>
      <c r="J104" s="329"/>
      <c r="K104" s="305"/>
      <c r="L104" s="200"/>
      <c r="M104" s="200"/>
      <c r="N104" s="210"/>
      <c r="O104" s="210"/>
      <c r="P104" s="200"/>
      <c r="Q104" s="200"/>
      <c r="R104" s="200"/>
      <c r="T104" s="101">
        <v>11</v>
      </c>
      <c r="V104" s="82" t="s">
        <v>451</v>
      </c>
      <c r="X104" s="82"/>
      <c r="Y104" s="110">
        <f>F29</f>
        <v>0</v>
      </c>
      <c r="Z104" s="85"/>
      <c r="AA104" s="110">
        <f>H29</f>
        <v>0</v>
      </c>
      <c r="AB104" s="70"/>
      <c r="AC104" s="472">
        <v>7.4</v>
      </c>
      <c r="AD104" s="70"/>
      <c r="AE104" s="163">
        <f>ROUND(Y104*AC104,0)</f>
        <v>0</v>
      </c>
      <c r="AF104" s="70"/>
      <c r="AG104" s="197">
        <f>ROUND((AE104/AE$149)*100,1)</f>
        <v>0</v>
      </c>
      <c r="AH104" s="70"/>
      <c r="AI104" s="110">
        <f>L29-AE104</f>
        <v>0</v>
      </c>
      <c r="AJ104" s="70"/>
      <c r="AK104" s="197">
        <v>0</v>
      </c>
      <c r="AL104" s="70"/>
      <c r="AM104" s="163">
        <f>ROUND((AM$149/AA$149)*AA104,0)</f>
        <v>0</v>
      </c>
      <c r="AN104" s="70"/>
      <c r="AO104" s="163">
        <f>AM104+AE104</f>
        <v>0</v>
      </c>
      <c r="AP104" s="70"/>
      <c r="AQ104" s="197">
        <v>0</v>
      </c>
      <c r="AU104" s="394"/>
      <c r="AV104" s="85"/>
      <c r="AW104" s="101">
        <v>1789</v>
      </c>
    </row>
    <row r="105" spans="1:49" ht="15" customHeight="1" x14ac:dyDescent="0.25">
      <c r="F105" s="211"/>
      <c r="H105" s="200"/>
      <c r="I105" s="200"/>
      <c r="J105" s="329"/>
      <c r="K105" s="305"/>
      <c r="L105" s="211"/>
      <c r="M105" s="211"/>
      <c r="N105" s="211"/>
      <c r="O105" s="211"/>
      <c r="P105" s="211"/>
      <c r="Q105" s="211"/>
      <c r="R105" s="211"/>
      <c r="V105" s="82"/>
      <c r="X105" s="82"/>
      <c r="Y105" s="161"/>
      <c r="Z105" s="70"/>
      <c r="AA105" s="70"/>
      <c r="AB105" s="70"/>
      <c r="AC105" s="472"/>
      <c r="AD105" s="70"/>
      <c r="AE105" s="70"/>
      <c r="AF105" s="70"/>
      <c r="AG105" s="164"/>
      <c r="AH105" s="70"/>
      <c r="AI105" s="70"/>
      <c r="AJ105" s="70"/>
      <c r="AK105" s="164"/>
      <c r="AL105" s="70"/>
      <c r="AM105" s="70"/>
      <c r="AN105" s="70"/>
      <c r="AO105" s="70"/>
      <c r="AP105" s="70"/>
      <c r="AQ105" s="164"/>
      <c r="AV105" s="85"/>
    </row>
    <row r="106" spans="1:49" x14ac:dyDescent="0.25">
      <c r="F106" s="200"/>
      <c r="H106" s="200"/>
      <c r="I106" s="200"/>
      <c r="J106" s="329"/>
      <c r="K106" s="305"/>
      <c r="L106" s="200"/>
      <c r="M106" s="200"/>
      <c r="N106" s="210"/>
      <c r="O106" s="210"/>
      <c r="P106" s="200"/>
      <c r="Q106" s="200"/>
      <c r="R106" s="200"/>
      <c r="T106" s="101">
        <v>12</v>
      </c>
      <c r="V106" s="253" t="s">
        <v>452</v>
      </c>
      <c r="X106" s="82"/>
      <c r="Y106" s="161"/>
      <c r="Z106" s="70"/>
      <c r="AA106" s="70"/>
      <c r="AB106" s="70"/>
      <c r="AC106" s="472"/>
      <c r="AD106" s="70"/>
      <c r="AE106" s="70"/>
      <c r="AF106" s="70"/>
      <c r="AG106" s="164"/>
      <c r="AH106" s="70"/>
      <c r="AI106" s="70"/>
      <c r="AJ106" s="70"/>
      <c r="AK106" s="164"/>
      <c r="AL106" s="70"/>
      <c r="AM106" s="70"/>
      <c r="AN106" s="70"/>
      <c r="AO106" s="70"/>
      <c r="AP106" s="70"/>
      <c r="AQ106" s="164"/>
      <c r="AV106" s="85"/>
    </row>
    <row r="107" spans="1:49" x14ac:dyDescent="0.25">
      <c r="A107" s="202"/>
      <c r="C107" s="154"/>
      <c r="F107" s="252"/>
      <c r="H107" s="252"/>
      <c r="I107" s="252"/>
      <c r="J107" s="329"/>
      <c r="K107" s="300"/>
      <c r="L107" s="200"/>
      <c r="M107" s="200"/>
      <c r="N107" s="210"/>
      <c r="O107" s="210"/>
      <c r="P107" s="200"/>
      <c r="Q107" s="200"/>
      <c r="R107" s="200"/>
      <c r="T107" s="101">
        <v>13</v>
      </c>
      <c r="V107" s="82" t="s">
        <v>453</v>
      </c>
      <c r="X107" s="82"/>
      <c r="Y107" s="110">
        <f>F32</f>
        <v>0</v>
      </c>
      <c r="Z107" s="85"/>
      <c r="AA107" s="110">
        <f>H32</f>
        <v>0</v>
      </c>
      <c r="AB107" s="70"/>
      <c r="AC107" s="472">
        <v>5.04</v>
      </c>
      <c r="AD107" s="70"/>
      <c r="AE107" s="163">
        <f>ROUND(Y107*AC107,0)</f>
        <v>0</v>
      </c>
      <c r="AF107" s="85"/>
      <c r="AG107" s="197">
        <f>ROUND((AE107/AE$149)*100,1)</f>
        <v>0</v>
      </c>
      <c r="AH107" s="85"/>
      <c r="AI107" s="110">
        <f>L32-AE107</f>
        <v>0</v>
      </c>
      <c r="AJ107" s="85"/>
      <c r="AK107" s="197">
        <v>0</v>
      </c>
      <c r="AL107" s="85"/>
      <c r="AM107" s="163">
        <f>ROUND((AM$149/AA$149)*AA107,0)</f>
        <v>0</v>
      </c>
      <c r="AN107" s="85"/>
      <c r="AO107" s="163">
        <f>AM107+AE107</f>
        <v>0</v>
      </c>
      <c r="AP107" s="70"/>
      <c r="AQ107" s="197">
        <v>0</v>
      </c>
      <c r="AU107" s="394"/>
      <c r="AV107" s="85"/>
      <c r="AW107" s="473">
        <f>487</f>
        <v>487</v>
      </c>
    </row>
    <row r="108" spans="1:49" x14ac:dyDescent="0.25">
      <c r="A108" s="202"/>
      <c r="C108" s="154"/>
      <c r="F108" s="252"/>
      <c r="H108" s="252"/>
      <c r="I108" s="252"/>
      <c r="J108" s="329"/>
      <c r="K108" s="300"/>
      <c r="L108" s="200"/>
      <c r="M108" s="200"/>
      <c r="N108" s="210"/>
      <c r="O108" s="210"/>
      <c r="P108" s="200"/>
      <c r="Q108" s="200"/>
      <c r="R108" s="200"/>
      <c r="T108" s="101">
        <v>14</v>
      </c>
      <c r="V108" s="82" t="s">
        <v>238</v>
      </c>
      <c r="X108" s="82"/>
      <c r="Y108" s="110">
        <f>F33</f>
        <v>0</v>
      </c>
      <c r="Z108" s="85"/>
      <c r="AA108" s="110">
        <f>H33</f>
        <v>0</v>
      </c>
      <c r="AB108" s="70"/>
      <c r="AC108" s="472">
        <v>5.62</v>
      </c>
      <c r="AD108" s="70"/>
      <c r="AE108" s="163">
        <f>ROUND(Y108*AC108,0)</f>
        <v>0</v>
      </c>
      <c r="AF108" s="70"/>
      <c r="AG108" s="197">
        <f>ROUND((AE108/AE$149)*100,1)</f>
        <v>0</v>
      </c>
      <c r="AH108" s="70"/>
      <c r="AI108" s="110">
        <f>L33-AE108</f>
        <v>0</v>
      </c>
      <c r="AJ108" s="70"/>
      <c r="AK108" s="197">
        <v>0</v>
      </c>
      <c r="AL108" s="70"/>
      <c r="AM108" s="163">
        <f>ROUND((AM$149/AA$149)*AA108,0)</f>
        <v>0</v>
      </c>
      <c r="AN108" s="70"/>
      <c r="AO108" s="163">
        <f>AM108+AE108</f>
        <v>0</v>
      </c>
      <c r="AP108" s="70"/>
      <c r="AQ108" s="197">
        <v>0</v>
      </c>
      <c r="AU108" s="394"/>
      <c r="AV108" s="85"/>
      <c r="AW108" s="101">
        <v>711</v>
      </c>
    </row>
    <row r="109" spans="1:49" x14ac:dyDescent="0.25">
      <c r="F109" s="200"/>
      <c r="H109" s="211"/>
      <c r="I109" s="211"/>
      <c r="J109" s="329"/>
      <c r="K109" s="305"/>
      <c r="L109" s="211"/>
      <c r="M109" s="211"/>
      <c r="N109" s="211"/>
      <c r="O109" s="211"/>
      <c r="P109" s="211"/>
      <c r="Q109" s="211"/>
      <c r="R109" s="211"/>
      <c r="T109" s="101">
        <v>15</v>
      </c>
      <c r="V109" s="82" t="s">
        <v>239</v>
      </c>
      <c r="X109" s="82"/>
      <c r="Y109" s="110">
        <f>F34</f>
        <v>0</v>
      </c>
      <c r="Z109" s="85"/>
      <c r="AA109" s="110">
        <f>H34</f>
        <v>0</v>
      </c>
      <c r="AB109" s="70"/>
      <c r="AC109" s="472">
        <v>6.17</v>
      </c>
      <c r="AD109" s="70"/>
      <c r="AE109" s="163">
        <f>ROUND(Y109*AC109,0)</f>
        <v>0</v>
      </c>
      <c r="AF109" s="70"/>
      <c r="AG109" s="197">
        <f>ROUND((AE109/AE$149)*100,1)</f>
        <v>0</v>
      </c>
      <c r="AH109" s="70"/>
      <c r="AI109" s="110">
        <f>L34-AE109</f>
        <v>0</v>
      </c>
      <c r="AJ109" s="70"/>
      <c r="AK109" s="197">
        <v>0</v>
      </c>
      <c r="AL109" s="70"/>
      <c r="AM109" s="163">
        <f>ROUND((AM$149/AA$149)*AA109,0)</f>
        <v>0</v>
      </c>
      <c r="AN109" s="70"/>
      <c r="AO109" s="163">
        <f>AM109+AE109</f>
        <v>0</v>
      </c>
      <c r="AP109" s="70"/>
      <c r="AQ109" s="197">
        <v>0</v>
      </c>
      <c r="AU109" s="394"/>
      <c r="AV109" s="85"/>
      <c r="AW109" s="101">
        <v>948</v>
      </c>
    </row>
    <row r="110" spans="1:49" x14ac:dyDescent="0.25">
      <c r="A110" s="202"/>
      <c r="C110" s="154"/>
      <c r="F110" s="200"/>
      <c r="H110" s="200"/>
      <c r="I110" s="200"/>
      <c r="J110" s="329"/>
      <c r="K110" s="305"/>
      <c r="L110" s="200"/>
      <c r="M110" s="200"/>
      <c r="N110" s="210"/>
      <c r="O110" s="210"/>
      <c r="P110" s="200"/>
      <c r="Q110" s="200"/>
      <c r="R110" s="200"/>
      <c r="T110" s="101">
        <v>16</v>
      </c>
      <c r="V110" s="101" t="s">
        <v>374</v>
      </c>
      <c r="X110" s="82"/>
      <c r="Y110" s="110">
        <f>F35</f>
        <v>0</v>
      </c>
      <c r="Z110" s="85"/>
      <c r="AA110" s="110">
        <f>H35</f>
        <v>0</v>
      </c>
      <c r="AB110" s="70"/>
      <c r="AC110" s="472">
        <v>6.17</v>
      </c>
      <c r="AD110" s="70"/>
      <c r="AE110" s="163">
        <f>ROUND(Y110*AC110,0)</f>
        <v>0</v>
      </c>
      <c r="AF110" s="70"/>
      <c r="AG110" s="197">
        <f>ROUND((AE110/AE$149)*100,1)</f>
        <v>0</v>
      </c>
      <c r="AH110" s="70"/>
      <c r="AI110" s="110">
        <f>L35-AE110</f>
        <v>0</v>
      </c>
      <c r="AJ110" s="70"/>
      <c r="AK110" s="197">
        <v>0</v>
      </c>
      <c r="AL110" s="70"/>
      <c r="AM110" s="163">
        <f>ROUND((AM$149/AA$149)*AA110,0)</f>
        <v>0</v>
      </c>
      <c r="AN110" s="70"/>
      <c r="AO110" s="163">
        <f>AM110+AE110</f>
        <v>0</v>
      </c>
      <c r="AP110" s="70"/>
      <c r="AQ110" s="197">
        <v>0</v>
      </c>
      <c r="AU110" s="394"/>
      <c r="AV110" s="85"/>
      <c r="AW110" s="101">
        <v>948</v>
      </c>
    </row>
    <row r="111" spans="1:49" x14ac:dyDescent="0.25">
      <c r="F111" s="200"/>
      <c r="H111" s="211"/>
      <c r="I111" s="211"/>
      <c r="J111" s="329"/>
      <c r="K111" s="305"/>
      <c r="L111" s="211"/>
      <c r="M111" s="211"/>
      <c r="N111" s="211"/>
      <c r="O111" s="211"/>
      <c r="P111" s="211"/>
      <c r="Q111" s="211"/>
      <c r="R111" s="211"/>
      <c r="T111" s="101">
        <v>17</v>
      </c>
      <c r="V111" s="101" t="s">
        <v>240</v>
      </c>
      <c r="X111" s="82"/>
      <c r="Y111" s="110">
        <f>F36</f>
        <v>0</v>
      </c>
      <c r="Z111" s="85"/>
      <c r="AA111" s="110">
        <f>H36</f>
        <v>0</v>
      </c>
      <c r="AB111" s="70"/>
      <c r="AC111" s="472">
        <v>8.36</v>
      </c>
      <c r="AD111" s="70"/>
      <c r="AE111" s="163">
        <f>ROUND(Y111*AC111,0)</f>
        <v>0</v>
      </c>
      <c r="AF111" s="70"/>
      <c r="AG111" s="197">
        <f>ROUND((AE111/AE$149)*100,1)</f>
        <v>0</v>
      </c>
      <c r="AH111" s="70"/>
      <c r="AI111" s="110">
        <f>L36-AE111</f>
        <v>0</v>
      </c>
      <c r="AJ111" s="70"/>
      <c r="AK111" s="197">
        <v>0</v>
      </c>
      <c r="AL111" s="70"/>
      <c r="AM111" s="163">
        <f>ROUND((AM$149/AA$149)*AA111,0)</f>
        <v>0</v>
      </c>
      <c r="AN111" s="70"/>
      <c r="AO111" s="163">
        <f>AM111+AE111</f>
        <v>0</v>
      </c>
      <c r="AP111" s="70"/>
      <c r="AQ111" s="197">
        <v>0</v>
      </c>
      <c r="AU111" s="394"/>
      <c r="AV111" s="85"/>
      <c r="AW111" s="101">
        <v>1959</v>
      </c>
    </row>
    <row r="112" spans="1:49" ht="15" customHeight="1" x14ac:dyDescent="0.25">
      <c r="F112" s="200"/>
      <c r="H112" s="200"/>
      <c r="I112" s="200"/>
      <c r="J112" s="329"/>
      <c r="K112" s="305"/>
      <c r="L112" s="200"/>
      <c r="M112" s="200"/>
      <c r="N112" s="200"/>
      <c r="O112" s="200"/>
      <c r="P112" s="200"/>
      <c r="Q112" s="200"/>
      <c r="R112" s="200"/>
      <c r="V112" s="82"/>
      <c r="X112" s="82"/>
      <c r="Y112" s="161"/>
      <c r="Z112" s="70"/>
      <c r="AA112" s="70"/>
      <c r="AB112" s="70"/>
      <c r="AC112" s="472"/>
      <c r="AD112" s="70"/>
      <c r="AE112" s="70"/>
      <c r="AF112" s="70"/>
      <c r="AG112" s="164"/>
      <c r="AH112" s="70"/>
      <c r="AI112" s="70"/>
      <c r="AJ112" s="70"/>
      <c r="AK112" s="164"/>
      <c r="AL112" s="70"/>
      <c r="AM112" s="70"/>
      <c r="AN112" s="70"/>
      <c r="AO112" s="70"/>
      <c r="AP112" s="70"/>
      <c r="AQ112" s="164"/>
      <c r="AV112" s="85"/>
    </row>
    <row r="113" spans="1:49" x14ac:dyDescent="0.25">
      <c r="A113" s="202"/>
      <c r="C113" s="154"/>
      <c r="F113" s="252"/>
      <c r="H113" s="252"/>
      <c r="I113" s="252"/>
      <c r="J113" s="329"/>
      <c r="K113" s="320"/>
      <c r="L113" s="200"/>
      <c r="M113" s="200"/>
      <c r="N113" s="210"/>
      <c r="O113" s="210"/>
      <c r="P113" s="252"/>
      <c r="Q113" s="252"/>
      <c r="R113" s="200"/>
      <c r="T113" s="101">
        <v>18</v>
      </c>
      <c r="V113" s="253" t="s">
        <v>454</v>
      </c>
      <c r="X113" s="82"/>
      <c r="Y113" s="161"/>
      <c r="Z113" s="70"/>
      <c r="AA113" s="70"/>
      <c r="AB113" s="70"/>
      <c r="AC113" s="472"/>
      <c r="AD113" s="70"/>
      <c r="AE113" s="70"/>
      <c r="AF113" s="70"/>
      <c r="AG113" s="164"/>
      <c r="AH113" s="70"/>
      <c r="AI113" s="70"/>
      <c r="AJ113" s="70"/>
      <c r="AK113" s="164"/>
      <c r="AL113" s="70"/>
      <c r="AM113" s="70"/>
      <c r="AN113" s="70"/>
      <c r="AO113" s="70"/>
      <c r="AP113" s="70"/>
      <c r="AQ113" s="164"/>
      <c r="AV113" s="85"/>
    </row>
    <row r="114" spans="1:49" x14ac:dyDescent="0.25">
      <c r="A114" s="202"/>
      <c r="C114" s="154"/>
      <c r="F114" s="252"/>
      <c r="H114" s="252"/>
      <c r="I114" s="252"/>
      <c r="J114" s="329"/>
      <c r="K114" s="320"/>
      <c r="L114" s="200"/>
      <c r="M114" s="200"/>
      <c r="N114" s="210"/>
      <c r="O114" s="210"/>
      <c r="P114" s="252"/>
      <c r="Q114" s="252"/>
      <c r="R114" s="200"/>
      <c r="T114" s="101">
        <v>19</v>
      </c>
      <c r="V114" s="253" t="s">
        <v>455</v>
      </c>
      <c r="X114" s="82"/>
      <c r="Y114" s="161"/>
      <c r="Z114" s="70"/>
      <c r="AA114" s="70"/>
      <c r="AB114" s="70"/>
      <c r="AC114" s="472"/>
      <c r="AD114" s="70"/>
      <c r="AE114" s="70"/>
      <c r="AF114" s="70"/>
      <c r="AG114" s="164"/>
      <c r="AH114" s="70"/>
      <c r="AI114" s="70"/>
      <c r="AJ114" s="70"/>
      <c r="AK114" s="164"/>
      <c r="AL114" s="70"/>
      <c r="AM114" s="70"/>
      <c r="AN114" s="70"/>
      <c r="AO114" s="70"/>
      <c r="AP114" s="70"/>
      <c r="AQ114" s="164"/>
      <c r="AV114" s="85"/>
    </row>
    <row r="115" spans="1:49" x14ac:dyDescent="0.25">
      <c r="A115" s="202"/>
      <c r="C115" s="154"/>
      <c r="F115" s="252"/>
      <c r="H115" s="252"/>
      <c r="I115" s="252"/>
      <c r="J115" s="329"/>
      <c r="K115" s="320"/>
      <c r="L115" s="200"/>
      <c r="M115" s="200"/>
      <c r="N115" s="210"/>
      <c r="O115" s="210"/>
      <c r="P115" s="252"/>
      <c r="Q115" s="252"/>
      <c r="R115" s="200"/>
      <c r="T115" s="101">
        <v>20</v>
      </c>
      <c r="V115" s="82" t="s">
        <v>285</v>
      </c>
      <c r="X115" s="82"/>
      <c r="Y115" s="110">
        <f>F40</f>
        <v>0</v>
      </c>
      <c r="Z115" s="85"/>
      <c r="AA115" s="110">
        <f>H40</f>
        <v>0</v>
      </c>
      <c r="AB115" s="70"/>
      <c r="AC115" s="472">
        <v>5.32</v>
      </c>
      <c r="AD115" s="70"/>
      <c r="AE115" s="163">
        <f>ROUND(Y115*AC115,0)</f>
        <v>0</v>
      </c>
      <c r="AF115" s="70"/>
      <c r="AG115" s="197">
        <f>ROUND((AE115/AE$149)*100,1)</f>
        <v>0</v>
      </c>
      <c r="AH115" s="70"/>
      <c r="AI115" s="110">
        <f>L40-AE115</f>
        <v>0</v>
      </c>
      <c r="AJ115" s="70"/>
      <c r="AK115" s="197">
        <v>0</v>
      </c>
      <c r="AL115" s="70"/>
      <c r="AM115" s="163">
        <f>ROUND((AM$149/AA$149)*AA115,0)</f>
        <v>0</v>
      </c>
      <c r="AN115" s="70"/>
      <c r="AO115" s="163">
        <f>AM115+AE115</f>
        <v>0</v>
      </c>
      <c r="AP115" s="70"/>
      <c r="AQ115" s="197">
        <v>0</v>
      </c>
      <c r="AU115" s="394"/>
      <c r="AV115" s="85"/>
      <c r="AW115" s="101">
        <v>874</v>
      </c>
    </row>
    <row r="116" spans="1:49" x14ac:dyDescent="0.25">
      <c r="F116" s="211"/>
      <c r="H116" s="211"/>
      <c r="I116" s="211"/>
      <c r="J116" s="329"/>
      <c r="K116" s="305"/>
      <c r="L116" s="211"/>
      <c r="M116" s="211"/>
      <c r="N116" s="211"/>
      <c r="O116" s="211"/>
      <c r="P116" s="211"/>
      <c r="Q116" s="211"/>
      <c r="R116" s="211"/>
      <c r="T116" s="101">
        <v>21</v>
      </c>
      <c r="V116" s="82" t="s">
        <v>456</v>
      </c>
      <c r="X116" s="82"/>
      <c r="Y116" s="110">
        <f>F41</f>
        <v>0</v>
      </c>
      <c r="Z116" s="85"/>
      <c r="AA116" s="110">
        <f>H41</f>
        <v>0</v>
      </c>
      <c r="AB116" s="70"/>
      <c r="AC116" s="472">
        <v>5.27</v>
      </c>
      <c r="AD116" s="70"/>
      <c r="AE116" s="163">
        <f>ROUND(Y116*AC116,0)</f>
        <v>0</v>
      </c>
      <c r="AF116" s="70"/>
      <c r="AG116" s="197">
        <f>ROUND((AE116/AE$149)*100,1)</f>
        <v>0</v>
      </c>
      <c r="AH116" s="70"/>
      <c r="AI116" s="110">
        <f>L41-AE116</f>
        <v>0</v>
      </c>
      <c r="AJ116" s="70"/>
      <c r="AK116" s="197">
        <v>0</v>
      </c>
      <c r="AL116" s="70"/>
      <c r="AM116" s="163">
        <f>ROUND((AM$149/AA$149)*AA116,0)</f>
        <v>0</v>
      </c>
      <c r="AN116" s="70"/>
      <c r="AO116" s="163">
        <f>AM116+AE116</f>
        <v>0</v>
      </c>
      <c r="AP116" s="70"/>
      <c r="AQ116" s="197">
        <v>0</v>
      </c>
      <c r="AU116" s="394"/>
      <c r="AV116" s="85"/>
      <c r="AW116" s="101">
        <v>853</v>
      </c>
    </row>
    <row r="117" spans="1:49" x14ac:dyDescent="0.25">
      <c r="A117" s="202"/>
      <c r="C117" s="154"/>
      <c r="F117" s="200"/>
      <c r="H117" s="200"/>
      <c r="I117" s="200"/>
      <c r="J117" s="334"/>
      <c r="K117" s="213"/>
      <c r="L117" s="200"/>
      <c r="M117" s="200"/>
      <c r="N117" s="210"/>
      <c r="O117" s="210"/>
      <c r="P117" s="200"/>
      <c r="Q117" s="200"/>
      <c r="R117" s="200"/>
      <c r="T117" s="101">
        <v>22</v>
      </c>
      <c r="V117" s="82" t="s">
        <v>286</v>
      </c>
      <c r="X117" s="82"/>
      <c r="Y117" s="110">
        <f>F42</f>
        <v>0</v>
      </c>
      <c r="Z117" s="85"/>
      <c r="AA117" s="110">
        <f>H42</f>
        <v>0</v>
      </c>
      <c r="AB117" s="70"/>
      <c r="AC117" s="472">
        <v>5.32</v>
      </c>
      <c r="AD117" s="70"/>
      <c r="AE117" s="163">
        <f>ROUND(Y117*AC117,0)</f>
        <v>0</v>
      </c>
      <c r="AF117" s="70"/>
      <c r="AG117" s="197">
        <f>ROUND((AE117/AE$149)*100,1)</f>
        <v>0</v>
      </c>
      <c r="AH117" s="70"/>
      <c r="AI117" s="110">
        <f>L42-AE117</f>
        <v>0</v>
      </c>
      <c r="AJ117" s="70"/>
      <c r="AK117" s="197">
        <v>0</v>
      </c>
      <c r="AL117" s="70"/>
      <c r="AM117" s="163">
        <f>ROUND((AM$149/AA$149)*AA117,0)</f>
        <v>0</v>
      </c>
      <c r="AN117" s="70"/>
      <c r="AO117" s="163">
        <f>AM117+AE117</f>
        <v>0</v>
      </c>
      <c r="AP117" s="70"/>
      <c r="AQ117" s="197">
        <v>0</v>
      </c>
      <c r="AU117" s="394"/>
      <c r="AV117" s="85"/>
      <c r="AW117" s="101">
        <v>874</v>
      </c>
    </row>
    <row r="118" spans="1:49" x14ac:dyDescent="0.25">
      <c r="F118" s="211"/>
      <c r="H118" s="211"/>
      <c r="I118" s="211"/>
      <c r="J118" s="329"/>
      <c r="K118" s="305"/>
      <c r="L118" s="211"/>
      <c r="M118" s="211"/>
      <c r="N118" s="211"/>
      <c r="O118" s="211"/>
      <c r="P118" s="211"/>
      <c r="Q118" s="211"/>
      <c r="R118" s="211"/>
      <c r="T118" s="101">
        <v>23</v>
      </c>
      <c r="V118" s="82" t="s">
        <v>287</v>
      </c>
      <c r="X118" s="82"/>
      <c r="Y118" s="110">
        <f>F43</f>
        <v>0</v>
      </c>
      <c r="Z118" s="85"/>
      <c r="AA118" s="110">
        <f>H43</f>
        <v>0</v>
      </c>
      <c r="AB118" s="70"/>
      <c r="AC118" s="472">
        <v>5.32</v>
      </c>
      <c r="AD118" s="70"/>
      <c r="AE118" s="163">
        <f>ROUND(Y118*AC118,0)</f>
        <v>0</v>
      </c>
      <c r="AF118" s="70"/>
      <c r="AG118" s="197">
        <f>ROUND((AE118/AE$149)*100,1)</f>
        <v>0</v>
      </c>
      <c r="AH118" s="70"/>
      <c r="AI118" s="110">
        <f>L43-AE118</f>
        <v>0</v>
      </c>
      <c r="AJ118" s="70"/>
      <c r="AK118" s="197">
        <v>0</v>
      </c>
      <c r="AL118" s="70"/>
      <c r="AM118" s="163">
        <f>ROUND((AM$149/AA$149)*AA118,0)</f>
        <v>0</v>
      </c>
      <c r="AN118" s="70"/>
      <c r="AO118" s="163">
        <f>AM118+AE118</f>
        <v>0</v>
      </c>
      <c r="AP118" s="70"/>
      <c r="AQ118" s="197">
        <v>0</v>
      </c>
      <c r="AU118" s="394"/>
      <c r="AV118" s="85"/>
      <c r="AW118" s="101">
        <v>874</v>
      </c>
    </row>
    <row r="119" spans="1:49" ht="15" customHeight="1" x14ac:dyDescent="0.25">
      <c r="A119" s="202"/>
      <c r="C119" s="154"/>
      <c r="F119" s="200"/>
      <c r="H119" s="200"/>
      <c r="I119" s="200"/>
      <c r="J119" s="334"/>
      <c r="K119" s="213"/>
      <c r="L119" s="200"/>
      <c r="M119" s="200"/>
      <c r="N119" s="210"/>
      <c r="O119" s="210"/>
      <c r="P119" s="200"/>
      <c r="Q119" s="200"/>
      <c r="R119" s="200"/>
      <c r="V119" s="82"/>
      <c r="X119" s="82"/>
      <c r="Y119" s="161"/>
      <c r="Z119" s="70"/>
      <c r="AA119" s="70"/>
      <c r="AB119" s="70"/>
      <c r="AC119" s="472"/>
      <c r="AD119" s="70"/>
      <c r="AE119" s="70"/>
      <c r="AF119" s="70"/>
      <c r="AG119" s="164"/>
      <c r="AH119" s="70"/>
      <c r="AI119" s="70"/>
      <c r="AJ119" s="70"/>
      <c r="AK119" s="164"/>
      <c r="AL119" s="70"/>
      <c r="AM119" s="70"/>
      <c r="AN119" s="70"/>
      <c r="AO119" s="70"/>
      <c r="AP119" s="70"/>
      <c r="AQ119" s="164"/>
      <c r="AV119" s="85"/>
    </row>
    <row r="120" spans="1:49" x14ac:dyDescent="0.25">
      <c r="A120" s="202"/>
      <c r="C120" s="154"/>
      <c r="F120" s="200"/>
      <c r="H120" s="200"/>
      <c r="I120" s="200"/>
      <c r="J120" s="334"/>
      <c r="K120" s="213"/>
      <c r="L120" s="200"/>
      <c r="M120" s="200"/>
      <c r="N120" s="210"/>
      <c r="O120" s="210"/>
      <c r="P120" s="200"/>
      <c r="Q120" s="200"/>
      <c r="R120" s="200"/>
      <c r="T120" s="101">
        <v>24</v>
      </c>
      <c r="V120" s="253" t="s">
        <v>457</v>
      </c>
      <c r="X120" s="82"/>
      <c r="Y120" s="161"/>
      <c r="Z120" s="70"/>
      <c r="AA120" s="70"/>
      <c r="AB120" s="70"/>
      <c r="AC120" s="472"/>
      <c r="AD120" s="70"/>
      <c r="AE120" s="70"/>
      <c r="AF120" s="70"/>
      <c r="AG120" s="164"/>
      <c r="AH120" s="70"/>
      <c r="AI120" s="70"/>
      <c r="AJ120" s="70"/>
      <c r="AK120" s="164"/>
      <c r="AL120" s="70"/>
      <c r="AM120" s="70"/>
      <c r="AN120" s="70"/>
      <c r="AO120" s="70"/>
      <c r="AP120" s="70"/>
      <c r="AQ120" s="164"/>
      <c r="AV120" s="85"/>
    </row>
    <row r="121" spans="1:49" x14ac:dyDescent="0.25">
      <c r="F121" s="211"/>
      <c r="H121" s="211"/>
      <c r="I121" s="211"/>
      <c r="J121" s="329"/>
      <c r="K121" s="305"/>
      <c r="L121" s="211"/>
      <c r="M121" s="211"/>
      <c r="N121" s="211"/>
      <c r="O121" s="211"/>
      <c r="P121" s="211"/>
      <c r="Q121" s="211"/>
      <c r="R121" s="211"/>
      <c r="T121" s="101">
        <v>25</v>
      </c>
      <c r="V121" s="82" t="s">
        <v>458</v>
      </c>
      <c r="X121" s="82"/>
      <c r="Y121" s="110">
        <f>F46</f>
        <v>0</v>
      </c>
      <c r="Z121" s="85"/>
      <c r="AA121" s="110">
        <f>H46</f>
        <v>0</v>
      </c>
      <c r="AB121" s="70"/>
      <c r="AC121" s="472">
        <v>5.27</v>
      </c>
      <c r="AD121" s="70"/>
      <c r="AE121" s="163">
        <f>ROUND(Y121*AC121,0)</f>
        <v>0</v>
      </c>
      <c r="AF121" s="70"/>
      <c r="AG121" s="197">
        <f>ROUND((AE121/AE$149)*100,1)</f>
        <v>0</v>
      </c>
      <c r="AH121" s="70"/>
      <c r="AI121" s="110">
        <f>L46-AE121</f>
        <v>0</v>
      </c>
      <c r="AJ121" s="70"/>
      <c r="AK121" s="197">
        <v>0</v>
      </c>
      <c r="AL121" s="70"/>
      <c r="AM121" s="163">
        <f>ROUND((AM$149/AA$149)*AA121,0)</f>
        <v>0</v>
      </c>
      <c r="AN121" s="70"/>
      <c r="AO121" s="163">
        <f>AM121+AE121</f>
        <v>0</v>
      </c>
      <c r="AP121" s="70"/>
      <c r="AQ121" s="197">
        <v>0</v>
      </c>
      <c r="AU121" s="394"/>
      <c r="AV121" s="85"/>
      <c r="AW121" s="101">
        <v>853</v>
      </c>
    </row>
    <row r="122" spans="1:49" x14ac:dyDescent="0.25">
      <c r="F122" s="200"/>
      <c r="H122" s="200"/>
      <c r="I122" s="200"/>
      <c r="J122" s="334"/>
      <c r="K122" s="213"/>
      <c r="L122" s="200"/>
      <c r="M122" s="200"/>
      <c r="N122" s="200"/>
      <c r="O122" s="200"/>
      <c r="P122" s="200"/>
      <c r="Q122" s="200"/>
      <c r="R122" s="200"/>
      <c r="T122" s="101">
        <v>26</v>
      </c>
      <c r="V122" s="82" t="s">
        <v>349</v>
      </c>
      <c r="X122" s="82"/>
      <c r="Y122" s="110">
        <f>F47</f>
        <v>0</v>
      </c>
      <c r="Z122" s="85"/>
      <c r="AA122" s="110">
        <f>H47</f>
        <v>0</v>
      </c>
      <c r="AB122" s="70"/>
      <c r="AC122" s="472">
        <v>5.32</v>
      </c>
      <c r="AD122" s="70"/>
      <c r="AE122" s="163">
        <f>ROUND(Y122*AC122,0)</f>
        <v>0</v>
      </c>
      <c r="AF122" s="70"/>
      <c r="AG122" s="197">
        <f>ROUND((AE122/AE$149)*100,1)</f>
        <v>0</v>
      </c>
      <c r="AH122" s="70"/>
      <c r="AI122" s="110">
        <f>L47-AE122</f>
        <v>0</v>
      </c>
      <c r="AJ122" s="70"/>
      <c r="AK122" s="197">
        <v>0</v>
      </c>
      <c r="AL122" s="70"/>
      <c r="AM122" s="163">
        <f>ROUND((AM$149/AA$149)*AA122,0)</f>
        <v>0</v>
      </c>
      <c r="AN122" s="70"/>
      <c r="AO122" s="163">
        <f>AM122+AE122</f>
        <v>0</v>
      </c>
      <c r="AP122" s="70"/>
      <c r="AQ122" s="197">
        <v>0</v>
      </c>
      <c r="AU122" s="394"/>
      <c r="AV122" s="85"/>
      <c r="AW122" s="101">
        <v>874</v>
      </c>
    </row>
    <row r="123" spans="1:49" x14ac:dyDescent="0.25">
      <c r="C123" s="154"/>
      <c r="F123" s="200"/>
      <c r="H123" s="200"/>
      <c r="I123" s="200"/>
      <c r="J123" s="334"/>
      <c r="K123" s="213"/>
      <c r="L123" s="200"/>
      <c r="M123" s="200"/>
      <c r="N123" s="200"/>
      <c r="O123" s="200"/>
      <c r="P123" s="200"/>
      <c r="Q123" s="200"/>
      <c r="R123" s="200"/>
      <c r="T123" s="101">
        <v>27</v>
      </c>
      <c r="V123" s="101" t="s">
        <v>286</v>
      </c>
      <c r="X123" s="82"/>
      <c r="Y123" s="110">
        <f>F48</f>
        <v>0</v>
      </c>
      <c r="Z123" s="85"/>
      <c r="AA123" s="110">
        <f>H48</f>
        <v>0</v>
      </c>
      <c r="AB123" s="70"/>
      <c r="AC123" s="472">
        <v>5.32</v>
      </c>
      <c r="AD123" s="70"/>
      <c r="AE123" s="163">
        <f>ROUND(Y123*AC123,0)</f>
        <v>0</v>
      </c>
      <c r="AF123" s="70"/>
      <c r="AG123" s="197">
        <f>ROUND((AE123/AE$149)*100,1)</f>
        <v>0</v>
      </c>
      <c r="AH123" s="70"/>
      <c r="AI123" s="110">
        <f>L48-AE123</f>
        <v>0</v>
      </c>
      <c r="AJ123" s="70"/>
      <c r="AK123" s="197">
        <v>0</v>
      </c>
      <c r="AL123" s="70"/>
      <c r="AM123" s="163">
        <f>ROUND((AM$149/AA$149)*AA123,0)</f>
        <v>0</v>
      </c>
      <c r="AN123" s="70"/>
      <c r="AO123" s="163">
        <f>AM123+AE123</f>
        <v>0</v>
      </c>
      <c r="AP123" s="70"/>
      <c r="AQ123" s="197">
        <v>0</v>
      </c>
      <c r="AU123" s="394"/>
      <c r="AV123" s="85"/>
      <c r="AW123" s="101">
        <v>874</v>
      </c>
    </row>
    <row r="124" spans="1:49" ht="15" customHeight="1" x14ac:dyDescent="0.25">
      <c r="A124" s="154"/>
      <c r="J124" s="394"/>
      <c r="V124" s="82"/>
      <c r="W124" s="82"/>
      <c r="X124" s="82"/>
      <c r="Y124" s="161"/>
      <c r="Z124" s="70"/>
      <c r="AA124" s="70"/>
      <c r="AB124" s="70"/>
      <c r="AC124" s="472"/>
      <c r="AD124" s="70"/>
      <c r="AE124" s="70"/>
      <c r="AF124" s="70"/>
      <c r="AG124" s="164"/>
      <c r="AH124" s="70"/>
      <c r="AI124" s="70"/>
      <c r="AJ124" s="70"/>
      <c r="AK124" s="164"/>
      <c r="AL124" s="70"/>
      <c r="AM124" s="70"/>
      <c r="AN124" s="70"/>
      <c r="AO124" s="70"/>
      <c r="AP124" s="70"/>
      <c r="AQ124" s="164"/>
      <c r="AV124" s="85"/>
    </row>
    <row r="125" spans="1:49" x14ac:dyDescent="0.25">
      <c r="J125" s="334"/>
      <c r="K125" s="202"/>
      <c r="T125" s="101">
        <v>28</v>
      </c>
      <c r="V125" s="253" t="s">
        <v>459</v>
      </c>
      <c r="X125" s="82"/>
      <c r="Y125" s="161"/>
      <c r="Z125" s="70"/>
      <c r="AA125" s="70"/>
      <c r="AB125" s="70"/>
      <c r="AC125" s="472"/>
      <c r="AD125" s="70"/>
      <c r="AE125" s="70"/>
      <c r="AF125" s="70"/>
      <c r="AG125" s="164"/>
      <c r="AH125" s="70"/>
      <c r="AI125" s="70"/>
      <c r="AJ125" s="70"/>
      <c r="AK125" s="164"/>
      <c r="AL125" s="70"/>
      <c r="AM125" s="70"/>
      <c r="AN125" s="70"/>
      <c r="AO125" s="70"/>
      <c r="AP125" s="70"/>
      <c r="AQ125" s="164"/>
      <c r="AV125" s="85"/>
    </row>
    <row r="126" spans="1:49" x14ac:dyDescent="0.25">
      <c r="H126" s="154"/>
      <c r="I126" s="154"/>
      <c r="J126" s="394"/>
      <c r="T126" s="101">
        <v>29</v>
      </c>
      <c r="V126" s="82" t="s">
        <v>456</v>
      </c>
      <c r="W126" s="82"/>
      <c r="X126" s="82"/>
      <c r="Y126" s="110">
        <f t="shared" ref="Y126:Y132" si="9">F51</f>
        <v>0</v>
      </c>
      <c r="Z126" s="85"/>
      <c r="AA126" s="110">
        <f t="shared" ref="AA126:AA132" si="10">H51</f>
        <v>0</v>
      </c>
      <c r="AB126" s="70"/>
      <c r="AC126" s="472">
        <v>4.96</v>
      </c>
      <c r="AD126" s="70"/>
      <c r="AE126" s="163">
        <f t="shared" ref="AE126:AE132" si="11">ROUND(Y126*AC126,0)</f>
        <v>0</v>
      </c>
      <c r="AF126" s="70"/>
      <c r="AG126" s="197">
        <f t="shared" ref="AG126:AG132" si="12">ROUND((AE126/AE$149)*100,1)</f>
        <v>0</v>
      </c>
      <c r="AH126" s="70"/>
      <c r="AI126" s="110">
        <f t="shared" ref="AI126:AI132" si="13">L51-AE126</f>
        <v>0</v>
      </c>
      <c r="AJ126" s="70"/>
      <c r="AK126" s="197">
        <v>0</v>
      </c>
      <c r="AL126" s="70"/>
      <c r="AM126" s="163">
        <f t="shared" ref="AM126:AM132" si="14">ROUND((AM$149/AA$149)*AA126,0)</f>
        <v>0</v>
      </c>
      <c r="AN126" s="70"/>
      <c r="AO126" s="163">
        <f t="shared" ref="AO126:AO132" si="15">AM126+AE126</f>
        <v>0</v>
      </c>
      <c r="AP126" s="70"/>
      <c r="AQ126" s="197">
        <v>0</v>
      </c>
      <c r="AU126" s="394"/>
      <c r="AV126" s="85"/>
      <c r="AW126" s="101">
        <v>487</v>
      </c>
    </row>
    <row r="127" spans="1:49" x14ac:dyDescent="0.25">
      <c r="J127" s="334"/>
      <c r="K127" s="202"/>
      <c r="T127" s="101">
        <v>30</v>
      </c>
      <c r="V127" s="82" t="s">
        <v>458</v>
      </c>
      <c r="W127" s="82"/>
      <c r="X127" s="82"/>
      <c r="Y127" s="110">
        <f t="shared" si="9"/>
        <v>0</v>
      </c>
      <c r="Z127" s="85"/>
      <c r="AA127" s="110">
        <f t="shared" si="10"/>
        <v>0</v>
      </c>
      <c r="AB127" s="70"/>
      <c r="AC127" s="472">
        <v>4.96</v>
      </c>
      <c r="AD127" s="70"/>
      <c r="AE127" s="163">
        <f t="shared" si="11"/>
        <v>0</v>
      </c>
      <c r="AF127" s="70"/>
      <c r="AG127" s="197">
        <f t="shared" si="12"/>
        <v>0</v>
      </c>
      <c r="AH127" s="70"/>
      <c r="AI127" s="110">
        <f t="shared" si="13"/>
        <v>0</v>
      </c>
      <c r="AJ127" s="70"/>
      <c r="AK127" s="197">
        <v>0</v>
      </c>
      <c r="AL127" s="70"/>
      <c r="AM127" s="163">
        <f t="shared" si="14"/>
        <v>0</v>
      </c>
      <c r="AN127" s="70"/>
      <c r="AO127" s="163">
        <f t="shared" si="15"/>
        <v>0</v>
      </c>
      <c r="AP127" s="70"/>
      <c r="AQ127" s="197">
        <v>0</v>
      </c>
      <c r="AU127" s="394"/>
      <c r="AV127" s="85"/>
      <c r="AW127" s="101">
        <v>487</v>
      </c>
    </row>
    <row r="128" spans="1:49" x14ac:dyDescent="0.25">
      <c r="J128" s="394"/>
      <c r="L128" s="154"/>
      <c r="M128" s="154"/>
      <c r="T128" s="101">
        <v>31</v>
      </c>
      <c r="V128" s="82" t="s">
        <v>349</v>
      </c>
      <c r="W128" s="82"/>
      <c r="X128" s="82"/>
      <c r="Y128" s="110">
        <f t="shared" si="9"/>
        <v>0</v>
      </c>
      <c r="Z128" s="85"/>
      <c r="AA128" s="110">
        <f t="shared" si="10"/>
        <v>0</v>
      </c>
      <c r="AB128" s="70"/>
      <c r="AC128" s="472">
        <v>5.18</v>
      </c>
      <c r="AD128" s="70"/>
      <c r="AE128" s="163">
        <f t="shared" si="11"/>
        <v>0</v>
      </c>
      <c r="AF128" s="70"/>
      <c r="AG128" s="197">
        <f t="shared" si="12"/>
        <v>0</v>
      </c>
      <c r="AH128" s="70"/>
      <c r="AI128" s="110">
        <f t="shared" si="13"/>
        <v>0</v>
      </c>
      <c r="AJ128" s="70"/>
      <c r="AK128" s="197">
        <v>0</v>
      </c>
      <c r="AL128" s="70"/>
      <c r="AM128" s="163">
        <f t="shared" si="14"/>
        <v>0</v>
      </c>
      <c r="AN128" s="70"/>
      <c r="AO128" s="163">
        <f t="shared" si="15"/>
        <v>0</v>
      </c>
      <c r="AP128" s="70"/>
      <c r="AQ128" s="197">
        <v>0</v>
      </c>
      <c r="AU128" s="394"/>
      <c r="AV128" s="85"/>
      <c r="AW128" s="101">
        <v>532</v>
      </c>
    </row>
    <row r="129" spans="1:49" x14ac:dyDescent="0.25">
      <c r="A129" s="202"/>
      <c r="J129" s="394"/>
      <c r="R129" s="154"/>
      <c r="T129" s="101">
        <v>32</v>
      </c>
      <c r="V129" s="101" t="s">
        <v>289</v>
      </c>
      <c r="W129" s="82"/>
      <c r="X129" s="82"/>
      <c r="Y129" s="110">
        <f t="shared" si="9"/>
        <v>0</v>
      </c>
      <c r="Z129" s="85"/>
      <c r="AA129" s="110">
        <f t="shared" si="10"/>
        <v>0</v>
      </c>
      <c r="AB129" s="70"/>
      <c r="AC129" s="472">
        <v>4.96</v>
      </c>
      <c r="AD129" s="70"/>
      <c r="AE129" s="163">
        <f t="shared" si="11"/>
        <v>0</v>
      </c>
      <c r="AF129" s="70"/>
      <c r="AG129" s="197">
        <f t="shared" si="12"/>
        <v>0</v>
      </c>
      <c r="AH129" s="70"/>
      <c r="AI129" s="110">
        <f t="shared" si="13"/>
        <v>0</v>
      </c>
      <c r="AJ129" s="70"/>
      <c r="AK129" s="197">
        <v>0</v>
      </c>
      <c r="AL129" s="70"/>
      <c r="AM129" s="163">
        <f t="shared" si="14"/>
        <v>0</v>
      </c>
      <c r="AN129" s="70"/>
      <c r="AO129" s="163">
        <f t="shared" si="15"/>
        <v>0</v>
      </c>
      <c r="AP129" s="70"/>
      <c r="AQ129" s="197">
        <v>0</v>
      </c>
      <c r="AU129" s="394"/>
      <c r="AV129" s="85"/>
      <c r="AW129" s="101">
        <v>487</v>
      </c>
    </row>
    <row r="130" spans="1:49" x14ac:dyDescent="0.25">
      <c r="A130" s="202"/>
      <c r="J130" s="394"/>
      <c r="R130" s="154"/>
      <c r="T130" s="101">
        <v>33</v>
      </c>
      <c r="V130" s="101" t="s">
        <v>287</v>
      </c>
      <c r="W130" s="82"/>
      <c r="X130" s="82"/>
      <c r="Y130" s="110">
        <f t="shared" si="9"/>
        <v>0</v>
      </c>
      <c r="Z130" s="85"/>
      <c r="AA130" s="110">
        <f t="shared" si="10"/>
        <v>0</v>
      </c>
      <c r="AB130" s="70"/>
      <c r="AC130" s="472">
        <v>5.18</v>
      </c>
      <c r="AD130" s="70"/>
      <c r="AE130" s="163">
        <f t="shared" si="11"/>
        <v>0</v>
      </c>
      <c r="AF130" s="70"/>
      <c r="AG130" s="197">
        <f t="shared" si="12"/>
        <v>0</v>
      </c>
      <c r="AH130" s="70"/>
      <c r="AI130" s="110">
        <f t="shared" si="13"/>
        <v>0</v>
      </c>
      <c r="AJ130" s="70"/>
      <c r="AK130" s="197">
        <v>0</v>
      </c>
      <c r="AL130" s="70"/>
      <c r="AM130" s="163">
        <f t="shared" si="14"/>
        <v>0</v>
      </c>
      <c r="AN130" s="70"/>
      <c r="AO130" s="163">
        <f t="shared" si="15"/>
        <v>0</v>
      </c>
      <c r="AP130" s="70"/>
      <c r="AQ130" s="197">
        <v>0</v>
      </c>
      <c r="AU130" s="394"/>
      <c r="AV130" s="85"/>
      <c r="AW130" s="101">
        <v>532</v>
      </c>
    </row>
    <row r="131" spans="1:49" x14ac:dyDescent="0.25">
      <c r="A131" s="154"/>
      <c r="J131" s="394"/>
      <c r="R131" s="154"/>
      <c r="T131" s="101">
        <v>34</v>
      </c>
      <c r="V131" s="82" t="s">
        <v>285</v>
      </c>
      <c r="W131" s="82"/>
      <c r="X131" s="82"/>
      <c r="Y131" s="110">
        <f t="shared" si="9"/>
        <v>0</v>
      </c>
      <c r="Z131" s="85"/>
      <c r="AA131" s="110">
        <f t="shared" si="10"/>
        <v>0</v>
      </c>
      <c r="AB131" s="70"/>
      <c r="AC131" s="472">
        <v>5.18</v>
      </c>
      <c r="AD131" s="70"/>
      <c r="AE131" s="163">
        <f t="shared" si="11"/>
        <v>0</v>
      </c>
      <c r="AF131" s="70"/>
      <c r="AG131" s="197">
        <f t="shared" si="12"/>
        <v>0</v>
      </c>
      <c r="AH131" s="70"/>
      <c r="AI131" s="110">
        <f t="shared" si="13"/>
        <v>0</v>
      </c>
      <c r="AJ131" s="70"/>
      <c r="AK131" s="197">
        <v>0</v>
      </c>
      <c r="AL131" s="70"/>
      <c r="AM131" s="163">
        <f t="shared" si="14"/>
        <v>0</v>
      </c>
      <c r="AN131" s="70"/>
      <c r="AO131" s="163">
        <f t="shared" si="15"/>
        <v>0</v>
      </c>
      <c r="AP131" s="70"/>
      <c r="AQ131" s="197">
        <v>0</v>
      </c>
      <c r="AU131" s="394"/>
      <c r="AV131" s="85"/>
      <c r="AW131" s="101">
        <v>532</v>
      </c>
    </row>
    <row r="132" spans="1:49" x14ac:dyDescent="0.25">
      <c r="J132" s="394"/>
      <c r="L132" s="154"/>
      <c r="M132" s="154"/>
      <c r="R132" s="202"/>
      <c r="T132" s="101">
        <v>35</v>
      </c>
      <c r="V132" s="82" t="s">
        <v>286</v>
      </c>
      <c r="W132" s="82"/>
      <c r="X132" s="82"/>
      <c r="Y132" s="110">
        <f t="shared" si="9"/>
        <v>0</v>
      </c>
      <c r="Z132" s="85"/>
      <c r="AA132" s="110">
        <f t="shared" si="10"/>
        <v>0</v>
      </c>
      <c r="AB132" s="70"/>
      <c r="AC132" s="472">
        <v>5.18</v>
      </c>
      <c r="AD132" s="70"/>
      <c r="AE132" s="163">
        <f t="shared" si="11"/>
        <v>0</v>
      </c>
      <c r="AF132" s="70"/>
      <c r="AG132" s="197">
        <f t="shared" si="12"/>
        <v>0</v>
      </c>
      <c r="AH132" s="70"/>
      <c r="AI132" s="110">
        <f t="shared" si="13"/>
        <v>0</v>
      </c>
      <c r="AJ132" s="70"/>
      <c r="AK132" s="197">
        <v>0</v>
      </c>
      <c r="AL132" s="70"/>
      <c r="AM132" s="163">
        <f t="shared" si="14"/>
        <v>0</v>
      </c>
      <c r="AN132" s="70"/>
      <c r="AO132" s="163">
        <f t="shared" si="15"/>
        <v>0</v>
      </c>
      <c r="AP132" s="70"/>
      <c r="AQ132" s="197">
        <v>0</v>
      </c>
      <c r="AU132" s="394"/>
      <c r="AV132" s="85"/>
      <c r="AW132" s="101">
        <v>532</v>
      </c>
    </row>
    <row r="133" spans="1:49" ht="15" customHeight="1" x14ac:dyDescent="0.25">
      <c r="A133" s="102"/>
      <c r="B133" s="102"/>
      <c r="C133" s="102"/>
      <c r="D133" s="102"/>
      <c r="E133" s="102"/>
      <c r="F133" s="102"/>
      <c r="G133" s="102"/>
      <c r="H133" s="102"/>
      <c r="I133" s="102"/>
      <c r="J133" s="335"/>
      <c r="K133" s="102"/>
      <c r="L133" s="102"/>
      <c r="M133" s="102"/>
      <c r="N133" s="102"/>
      <c r="O133" s="102"/>
      <c r="P133" s="102"/>
      <c r="Q133" s="102"/>
      <c r="R133" s="102"/>
      <c r="V133" s="82"/>
      <c r="W133" s="82"/>
      <c r="X133" s="82"/>
      <c r="Y133" s="161"/>
      <c r="Z133" s="70"/>
      <c r="AA133" s="70"/>
      <c r="AB133" s="70"/>
      <c r="AC133" s="472"/>
      <c r="AD133" s="70"/>
      <c r="AE133" s="70"/>
      <c r="AF133" s="70"/>
      <c r="AG133" s="164"/>
      <c r="AH133" s="70"/>
      <c r="AI133" s="70"/>
      <c r="AJ133" s="70"/>
      <c r="AK133" s="164"/>
      <c r="AL133" s="70"/>
      <c r="AM133" s="70"/>
      <c r="AN133" s="70"/>
      <c r="AO133" s="70"/>
      <c r="AP133" s="70"/>
      <c r="AQ133" s="164"/>
      <c r="AV133" s="85"/>
    </row>
    <row r="134" spans="1:49" x14ac:dyDescent="0.25">
      <c r="J134" s="394"/>
      <c r="L134" s="103"/>
      <c r="M134" s="103"/>
      <c r="N134" s="103"/>
      <c r="O134" s="103"/>
      <c r="R134" s="103"/>
      <c r="T134" s="101">
        <v>36</v>
      </c>
      <c r="V134" s="253" t="s">
        <v>460</v>
      </c>
      <c r="W134" s="82"/>
      <c r="X134" s="82"/>
      <c r="Y134" s="161"/>
      <c r="Z134" s="70"/>
      <c r="AA134" s="70"/>
      <c r="AB134" s="70"/>
      <c r="AC134" s="472"/>
      <c r="AD134" s="70"/>
      <c r="AE134" s="70"/>
      <c r="AF134" s="70"/>
      <c r="AG134" s="164"/>
      <c r="AH134" s="70"/>
      <c r="AI134" s="70"/>
      <c r="AJ134" s="70"/>
      <c r="AK134" s="164"/>
      <c r="AL134" s="70"/>
      <c r="AM134" s="70"/>
      <c r="AN134" s="70"/>
      <c r="AO134" s="70"/>
      <c r="AP134" s="70"/>
      <c r="AQ134" s="164"/>
      <c r="AV134" s="85"/>
    </row>
    <row r="135" spans="1:49" x14ac:dyDescent="0.25">
      <c r="J135" s="394"/>
      <c r="L135" s="103"/>
      <c r="M135" s="103"/>
      <c r="N135" s="103"/>
      <c r="O135" s="103"/>
      <c r="R135" s="103"/>
      <c r="T135" s="101">
        <v>37</v>
      </c>
      <c r="V135" s="82" t="s">
        <v>253</v>
      </c>
      <c r="W135" s="82"/>
      <c r="X135" s="82"/>
      <c r="Y135" s="110">
        <f>F60</f>
        <v>0</v>
      </c>
      <c r="Z135" s="85"/>
      <c r="AA135" s="110">
        <f>H60</f>
        <v>0</v>
      </c>
      <c r="AB135" s="70"/>
      <c r="AC135" s="472">
        <v>6.54</v>
      </c>
      <c r="AD135" s="70"/>
      <c r="AE135" s="163">
        <f>ROUND(Y135*AC135,0)</f>
        <v>0</v>
      </c>
      <c r="AF135" s="70"/>
      <c r="AG135" s="197">
        <f>ROUND((AE135/AE$149)*100,1)</f>
        <v>0</v>
      </c>
      <c r="AH135" s="70"/>
      <c r="AI135" s="110">
        <f>L60-AE135</f>
        <v>0</v>
      </c>
      <c r="AJ135" s="70"/>
      <c r="AK135" s="197">
        <v>0</v>
      </c>
      <c r="AL135" s="70"/>
      <c r="AM135" s="163">
        <f>ROUND((AM$149/AA$149)*AA135,0)</f>
        <v>0</v>
      </c>
      <c r="AN135" s="70"/>
      <c r="AO135" s="163">
        <f>AM135+AE135</f>
        <v>0</v>
      </c>
      <c r="AP135" s="70"/>
      <c r="AQ135" s="197">
        <v>0</v>
      </c>
      <c r="AU135" s="394"/>
      <c r="AV135" s="85"/>
      <c r="AW135" s="101">
        <v>1023</v>
      </c>
    </row>
    <row r="136" spans="1:49" x14ac:dyDescent="0.25">
      <c r="A136" s="103"/>
      <c r="C136" s="103"/>
      <c r="D136" s="103"/>
      <c r="E136" s="103"/>
      <c r="F136" s="103"/>
      <c r="J136" s="336"/>
      <c r="K136" s="103"/>
      <c r="L136" s="103"/>
      <c r="M136" s="103"/>
      <c r="N136" s="103"/>
      <c r="O136" s="103"/>
      <c r="P136" s="103"/>
      <c r="Q136" s="103"/>
      <c r="R136" s="103"/>
      <c r="T136" s="101">
        <v>38</v>
      </c>
      <c r="V136" s="82" t="s">
        <v>254</v>
      </c>
      <c r="W136" s="82"/>
      <c r="X136" s="82"/>
      <c r="Y136" s="110">
        <f>F61</f>
        <v>0</v>
      </c>
      <c r="Z136" s="85"/>
      <c r="AA136" s="110">
        <f>H61</f>
        <v>0</v>
      </c>
      <c r="AB136" s="70"/>
      <c r="AC136" s="472">
        <v>8.65</v>
      </c>
      <c r="AD136" s="70"/>
      <c r="AE136" s="163">
        <f>ROUND(Y136*AC136,0)</f>
        <v>0</v>
      </c>
      <c r="AF136" s="70"/>
      <c r="AG136" s="197">
        <f>ROUND((AE136/AE$149)*100,1)</f>
        <v>0</v>
      </c>
      <c r="AH136" s="70"/>
      <c r="AI136" s="110">
        <f>L61-AE136</f>
        <v>0</v>
      </c>
      <c r="AJ136" s="70"/>
      <c r="AK136" s="197">
        <v>0</v>
      </c>
      <c r="AL136" s="70"/>
      <c r="AM136" s="163">
        <f>ROUND((AM$149/AA$149)*AA136,0)</f>
        <v>0</v>
      </c>
      <c r="AN136" s="70"/>
      <c r="AO136" s="163">
        <f>AM136+AE136</f>
        <v>0</v>
      </c>
      <c r="AP136" s="70"/>
      <c r="AQ136" s="197">
        <v>0</v>
      </c>
      <c r="AU136" s="394"/>
      <c r="AV136" s="85"/>
      <c r="AW136" s="101">
        <v>1959</v>
      </c>
    </row>
    <row r="137" spans="1:49" x14ac:dyDescent="0.25">
      <c r="A137" s="103"/>
      <c r="C137" s="103"/>
      <c r="D137" s="103"/>
      <c r="E137" s="103"/>
      <c r="F137" s="103"/>
      <c r="H137" s="103"/>
      <c r="I137" s="103"/>
      <c r="J137" s="336"/>
      <c r="K137" s="103"/>
      <c r="L137" s="103"/>
      <c r="M137" s="103"/>
      <c r="N137" s="103"/>
      <c r="O137" s="103"/>
      <c r="P137" s="103"/>
      <c r="Q137" s="103"/>
      <c r="R137" s="103"/>
      <c r="V137" s="82"/>
      <c r="W137" s="82"/>
      <c r="X137" s="82"/>
      <c r="Y137" s="161"/>
      <c r="Z137" s="70"/>
      <c r="AA137" s="70"/>
      <c r="AB137" s="70"/>
      <c r="AC137" s="80"/>
      <c r="AD137" s="70"/>
      <c r="AE137" s="70"/>
      <c r="AF137" s="70"/>
      <c r="AG137" s="164"/>
      <c r="AH137" s="70"/>
      <c r="AI137" s="70"/>
      <c r="AJ137" s="70"/>
      <c r="AK137" s="164"/>
      <c r="AL137" s="70"/>
      <c r="AM137" s="70"/>
      <c r="AN137" s="70"/>
      <c r="AO137" s="70"/>
      <c r="AP137" s="70"/>
      <c r="AQ137" s="164"/>
      <c r="AV137" s="85"/>
      <c r="AW137" s="85"/>
    </row>
    <row r="138" spans="1:49" x14ac:dyDescent="0.25">
      <c r="C138" s="103"/>
      <c r="D138" s="103"/>
      <c r="E138" s="103"/>
      <c r="F138" s="103"/>
      <c r="H138" s="103"/>
      <c r="I138" s="103"/>
      <c r="J138" s="336"/>
      <c r="K138" s="103"/>
      <c r="L138" s="103"/>
      <c r="M138" s="103"/>
      <c r="N138" s="103"/>
      <c r="O138" s="103"/>
      <c r="P138" s="103"/>
      <c r="Q138" s="103"/>
      <c r="R138" s="103"/>
      <c r="T138" s="101">
        <v>39</v>
      </c>
      <c r="V138" s="253" t="s">
        <v>78</v>
      </c>
      <c r="X138" s="82"/>
      <c r="Y138" s="161"/>
      <c r="Z138" s="70"/>
      <c r="AA138" s="70"/>
      <c r="AB138" s="70"/>
      <c r="AC138" s="80"/>
      <c r="AD138" s="70"/>
      <c r="AE138" s="70"/>
      <c r="AF138" s="70"/>
      <c r="AG138" s="164"/>
      <c r="AH138" s="70"/>
      <c r="AI138" s="70"/>
      <c r="AJ138" s="70"/>
      <c r="AK138" s="164"/>
      <c r="AL138" s="70"/>
      <c r="AM138" s="70"/>
      <c r="AN138" s="70"/>
      <c r="AO138" s="70"/>
      <c r="AP138" s="70"/>
      <c r="AQ138" s="164"/>
      <c r="AV138" s="85"/>
      <c r="AW138" s="85"/>
    </row>
    <row r="139" spans="1:49" x14ac:dyDescent="0.25">
      <c r="A139" s="102"/>
      <c r="B139" s="102"/>
      <c r="C139" s="102"/>
      <c r="D139" s="102"/>
      <c r="E139" s="102"/>
      <c r="F139" s="102"/>
      <c r="G139" s="102"/>
      <c r="H139" s="102"/>
      <c r="I139" s="102"/>
      <c r="J139" s="335"/>
      <c r="K139" s="102"/>
      <c r="L139" s="102"/>
      <c r="M139" s="102"/>
      <c r="N139" s="102"/>
      <c r="O139" s="102"/>
      <c r="P139" s="102"/>
      <c r="Q139" s="102"/>
      <c r="R139" s="102"/>
      <c r="T139" s="101">
        <v>40</v>
      </c>
      <c r="V139" s="253" t="s">
        <v>79</v>
      </c>
      <c r="X139" s="82"/>
      <c r="Y139" s="203">
        <f>F64</f>
        <v>2064</v>
      </c>
      <c r="Z139" s="70"/>
      <c r="AA139" s="203">
        <f>H64</f>
        <v>97596</v>
      </c>
      <c r="AB139" s="70"/>
      <c r="AC139" s="474">
        <v>3.7481E-2</v>
      </c>
      <c r="AD139" s="70"/>
      <c r="AE139" s="167">
        <f>ROUND((AA139*AC139),0)</f>
        <v>3658</v>
      </c>
      <c r="AF139" s="70"/>
      <c r="AG139" s="166">
        <f>ROUND((AE139/AE$149)*100,1)</f>
        <v>101.2</v>
      </c>
      <c r="AH139" s="70"/>
      <c r="AI139" s="203">
        <f>L64-AE139</f>
        <v>435</v>
      </c>
      <c r="AJ139" s="70"/>
      <c r="AK139" s="197">
        <f>ROUND((AI139/AE139)*100,1)</f>
        <v>11.9</v>
      </c>
      <c r="AL139" s="70"/>
      <c r="AM139" s="167">
        <f>ROUND((AM$149/AA$149)*AA139,0)</f>
        <v>100</v>
      </c>
      <c r="AN139" s="70"/>
      <c r="AO139" s="167">
        <f>AM139+AE139</f>
        <v>3758</v>
      </c>
      <c r="AP139" s="70"/>
      <c r="AQ139" s="155">
        <f>ROUND((AI139/AO139)*100,1)</f>
        <v>11.6</v>
      </c>
      <c r="AU139" s="475"/>
      <c r="AV139" s="85"/>
      <c r="AW139" s="85"/>
    </row>
    <row r="140" spans="1:49" ht="20.100000000000001" customHeight="1" x14ac:dyDescent="0.25">
      <c r="A140" s="102"/>
      <c r="B140" s="102"/>
      <c r="C140" s="102"/>
      <c r="D140" s="102"/>
      <c r="E140" s="102"/>
      <c r="F140" s="102"/>
      <c r="G140" s="102"/>
      <c r="H140" s="102"/>
      <c r="I140" s="102"/>
      <c r="J140" s="335"/>
      <c r="K140" s="102"/>
      <c r="L140" s="102"/>
      <c r="M140" s="102"/>
      <c r="N140" s="102"/>
      <c r="O140" s="102"/>
      <c r="P140" s="102"/>
      <c r="Q140" s="102"/>
      <c r="R140" s="102"/>
      <c r="T140" s="159">
        <v>41</v>
      </c>
      <c r="U140" s="80"/>
      <c r="V140" s="265" t="s">
        <v>596</v>
      </c>
      <c r="W140" s="80"/>
      <c r="X140" s="82"/>
      <c r="Y140" s="384">
        <f>SUM(Y97:Y139)</f>
        <v>2064</v>
      </c>
      <c r="Z140" s="70"/>
      <c r="AA140" s="384">
        <f>SUM(AA97:AA139)</f>
        <v>97596</v>
      </c>
      <c r="AB140" s="70"/>
      <c r="AC140" s="474"/>
      <c r="AD140" s="70"/>
      <c r="AE140" s="384">
        <f>SUM(AE97:AE139)</f>
        <v>3658</v>
      </c>
      <c r="AF140" s="70"/>
      <c r="AG140" s="170">
        <f>ROUND((AE140/AE$149)*100,1)</f>
        <v>101.2</v>
      </c>
      <c r="AH140" s="70"/>
      <c r="AI140" s="384">
        <f>SUM(AI97:AI139)</f>
        <v>435</v>
      </c>
      <c r="AJ140" s="70"/>
      <c r="AK140" s="170">
        <f>ROUND((AI140/AE140)*100,1)</f>
        <v>11.9</v>
      </c>
      <c r="AL140" s="70"/>
      <c r="AM140" s="384">
        <f>SUM(AM97:AM139)</f>
        <v>100</v>
      </c>
      <c r="AN140" s="70"/>
      <c r="AO140" s="384">
        <f>SUM(AO97:AO139)</f>
        <v>3758</v>
      </c>
      <c r="AP140" s="70"/>
      <c r="AQ140" s="155">
        <f>ROUND((AI140/AO140)*100,1)</f>
        <v>11.6</v>
      </c>
      <c r="AU140" s="475"/>
      <c r="AV140" s="85"/>
      <c r="AW140" s="85"/>
    </row>
    <row r="141" spans="1:49" x14ac:dyDescent="0.25">
      <c r="A141" s="102"/>
      <c r="B141" s="102"/>
      <c r="C141" s="102"/>
      <c r="D141" s="102"/>
      <c r="E141" s="102"/>
      <c r="F141" s="102"/>
      <c r="G141" s="102"/>
      <c r="H141" s="102"/>
      <c r="I141" s="102"/>
      <c r="J141" s="335"/>
      <c r="K141" s="102"/>
      <c r="L141" s="102"/>
      <c r="M141" s="102"/>
      <c r="N141" s="102"/>
      <c r="O141" s="102"/>
      <c r="P141" s="102"/>
      <c r="Q141" s="102"/>
      <c r="R141" s="102"/>
      <c r="T141" s="159"/>
      <c r="U141" s="80"/>
      <c r="V141" s="265"/>
      <c r="W141" s="80"/>
      <c r="X141" s="82"/>
      <c r="Y141" s="110"/>
      <c r="Z141" s="70"/>
      <c r="AA141" s="110"/>
      <c r="AB141" s="70"/>
      <c r="AC141" s="474"/>
      <c r="AD141" s="70"/>
      <c r="AE141" s="163"/>
      <c r="AF141" s="70"/>
      <c r="AG141" s="197"/>
      <c r="AH141" s="70"/>
      <c r="AI141" s="110"/>
      <c r="AJ141" s="70"/>
      <c r="AK141" s="197"/>
      <c r="AL141" s="70"/>
      <c r="AM141" s="163"/>
      <c r="AN141" s="70"/>
      <c r="AO141" s="163"/>
      <c r="AP141" s="70"/>
      <c r="AQ141" s="155"/>
      <c r="AU141" s="475"/>
      <c r="AV141" s="85"/>
      <c r="AW141" s="85"/>
    </row>
    <row r="142" spans="1:49" x14ac:dyDescent="0.25">
      <c r="A142" s="102"/>
      <c r="B142" s="102"/>
      <c r="C142" s="102"/>
      <c r="D142" s="102"/>
      <c r="E142" s="102"/>
      <c r="F142" s="102"/>
      <c r="G142" s="102"/>
      <c r="H142" s="102"/>
      <c r="I142" s="102"/>
      <c r="J142" s="335"/>
      <c r="K142" s="102"/>
      <c r="L142" s="102"/>
      <c r="M142" s="102"/>
      <c r="N142" s="102"/>
      <c r="O142" s="102"/>
      <c r="P142" s="102"/>
      <c r="Q142" s="102"/>
      <c r="R142" s="102"/>
      <c r="T142" s="159">
        <f>A67</f>
        <v>42</v>
      </c>
      <c r="U142" s="80"/>
      <c r="V142" s="253" t="s">
        <v>591</v>
      </c>
      <c r="W142" s="80"/>
      <c r="X142" s="82"/>
      <c r="Y142" s="110"/>
      <c r="Z142" s="70"/>
      <c r="AA142" s="110"/>
      <c r="AB142" s="70"/>
      <c r="AC142" s="474"/>
      <c r="AD142" s="70"/>
      <c r="AE142" s="163"/>
      <c r="AF142" s="70"/>
      <c r="AG142" s="197"/>
      <c r="AH142" s="70"/>
      <c r="AI142" s="110"/>
      <c r="AJ142" s="70"/>
      <c r="AK142" s="197"/>
      <c r="AL142" s="70"/>
      <c r="AM142" s="163"/>
      <c r="AN142" s="70"/>
      <c r="AO142" s="163"/>
      <c r="AP142" s="70"/>
      <c r="AQ142" s="155"/>
      <c r="AU142" s="475"/>
      <c r="AV142" s="85"/>
      <c r="AW142" s="85"/>
    </row>
    <row r="143" spans="1:49" x14ac:dyDescent="0.25">
      <c r="A143" s="102"/>
      <c r="B143" s="102"/>
      <c r="C143" s="102"/>
      <c r="D143" s="102"/>
      <c r="E143" s="102"/>
      <c r="F143" s="102"/>
      <c r="G143" s="102"/>
      <c r="H143" s="102"/>
      <c r="I143" s="102"/>
      <c r="J143" s="335"/>
      <c r="K143" s="102"/>
      <c r="L143" s="102"/>
      <c r="M143" s="102"/>
      <c r="N143" s="102"/>
      <c r="O143" s="102"/>
      <c r="P143" s="102"/>
      <c r="Q143" s="102"/>
      <c r="R143" s="102"/>
      <c r="T143" s="159">
        <f t="shared" ref="T143:T147" si="16">A68</f>
        <v>43</v>
      </c>
      <c r="U143" s="80"/>
      <c r="V143" s="153" t="str">
        <f t="shared" ref="V143:V145" si="17">C68</f>
        <v>ENVIRONMENTAL SURCHARGE MECHANISM RIDER (ESM)</v>
      </c>
      <c r="W143" s="80"/>
      <c r="X143" s="82"/>
      <c r="Y143" s="110"/>
      <c r="Z143" s="70"/>
      <c r="AA143" s="110"/>
      <c r="AB143" s="70"/>
      <c r="AC143" s="401">
        <f>CUR_ESM</f>
        <v>0</v>
      </c>
      <c r="AD143" s="70"/>
      <c r="AE143" s="163">
        <f>ROUND($AO$140*AC143,0)</f>
        <v>0</v>
      </c>
      <c r="AF143" s="70"/>
      <c r="AG143" s="197">
        <f t="shared" ref="AG143:AG145" si="18">ROUND((AE143/AE$149)*100,1)</f>
        <v>0</v>
      </c>
      <c r="AH143" s="70"/>
      <c r="AI143" s="110">
        <f t="shared" ref="AI143:AI145" si="19">L68-AE143</f>
        <v>0</v>
      </c>
      <c r="AJ143" s="70"/>
      <c r="AK143" s="197">
        <f>IF(AE143=0,0,ROUND((AI143/AE143)*100,1))</f>
        <v>0</v>
      </c>
      <c r="AL143" s="70"/>
      <c r="AM143" s="163"/>
      <c r="AN143" s="70"/>
      <c r="AO143" s="163">
        <f t="shared" ref="AO143:AO145" si="20">AM143+AE143</f>
        <v>0</v>
      </c>
      <c r="AP143" s="70"/>
      <c r="AQ143" s="155">
        <f>IF(AO143=0,0,ROUND((AI143/AO143)*100,1))</f>
        <v>0</v>
      </c>
      <c r="AU143" s="475"/>
      <c r="AV143" s="85"/>
      <c r="AW143" s="85"/>
    </row>
    <row r="144" spans="1:49" x14ac:dyDescent="0.25">
      <c r="A144" s="102"/>
      <c r="B144" s="102"/>
      <c r="C144" s="102"/>
      <c r="D144" s="102"/>
      <c r="E144" s="102"/>
      <c r="F144" s="102"/>
      <c r="G144" s="102"/>
      <c r="H144" s="102"/>
      <c r="I144" s="102"/>
      <c r="J144" s="335"/>
      <c r="K144" s="102"/>
      <c r="L144" s="102"/>
      <c r="M144" s="102"/>
      <c r="N144" s="102"/>
      <c r="O144" s="102"/>
      <c r="P144" s="102"/>
      <c r="Q144" s="102"/>
      <c r="R144" s="102"/>
      <c r="T144" s="159">
        <f t="shared" si="16"/>
        <v>44</v>
      </c>
      <c r="U144" s="80"/>
      <c r="V144" s="153" t="str">
        <f t="shared" si="17"/>
        <v>DISTRIBUTION CAPITAL INVESTMENT RIDER (DCI)</v>
      </c>
      <c r="W144" s="80"/>
      <c r="X144" s="82"/>
      <c r="Y144" s="110"/>
      <c r="Z144" s="70"/>
      <c r="AA144" s="110"/>
      <c r="AB144" s="70"/>
      <c r="AC144" s="401">
        <f>CUR_DCI_SL</f>
        <v>0</v>
      </c>
      <c r="AD144" s="70"/>
      <c r="AE144" s="163">
        <f t="shared" ref="AE144:AE145" si="21">ROUND($AA$140*AC144,0)</f>
        <v>0</v>
      </c>
      <c r="AF144" s="70"/>
      <c r="AG144" s="197">
        <f t="shared" si="18"/>
        <v>0</v>
      </c>
      <c r="AH144" s="70"/>
      <c r="AI144" s="110">
        <f t="shared" si="19"/>
        <v>0</v>
      </c>
      <c r="AJ144" s="70"/>
      <c r="AK144" s="197">
        <f>IF(AE144=0,0,ROUND((AI144/AE144)*100,1))</f>
        <v>0</v>
      </c>
      <c r="AL144" s="70"/>
      <c r="AM144" s="163"/>
      <c r="AN144" s="70"/>
      <c r="AO144" s="163">
        <f t="shared" si="20"/>
        <v>0</v>
      </c>
      <c r="AP144" s="70"/>
      <c r="AQ144" s="155">
        <f>IF(AO144=0,0,ROUND((AI144/AO144)*100,1))</f>
        <v>0</v>
      </c>
      <c r="AU144" s="475"/>
      <c r="AV144" s="85"/>
      <c r="AW144" s="85"/>
    </row>
    <row r="145" spans="1:49" x14ac:dyDescent="0.25">
      <c r="A145" s="102"/>
      <c r="B145" s="102"/>
      <c r="C145" s="102"/>
      <c r="D145" s="102"/>
      <c r="E145" s="102"/>
      <c r="F145" s="102"/>
      <c r="G145" s="102"/>
      <c r="H145" s="102"/>
      <c r="I145" s="102"/>
      <c r="J145" s="335"/>
      <c r="K145" s="102"/>
      <c r="L145" s="102"/>
      <c r="M145" s="102"/>
      <c r="N145" s="102"/>
      <c r="O145" s="102"/>
      <c r="P145" s="102"/>
      <c r="Q145" s="102"/>
      <c r="R145" s="102"/>
      <c r="T145" s="159">
        <f t="shared" si="16"/>
        <v>45</v>
      </c>
      <c r="U145" s="80"/>
      <c r="V145" s="153" t="str">
        <f t="shared" si="17"/>
        <v>FERC TRANSMISSION COST RECOVERY RECONCILIATION (FTR)</v>
      </c>
      <c r="W145" s="80"/>
      <c r="X145" s="82"/>
      <c r="Y145" s="110"/>
      <c r="Z145" s="70"/>
      <c r="AA145" s="110"/>
      <c r="AB145" s="70"/>
      <c r="AC145" s="401">
        <f>CUR_FTR_SL</f>
        <v>0</v>
      </c>
      <c r="AD145" s="70"/>
      <c r="AE145" s="163">
        <f t="shared" si="21"/>
        <v>0</v>
      </c>
      <c r="AF145" s="70"/>
      <c r="AG145" s="197">
        <f t="shared" si="18"/>
        <v>0</v>
      </c>
      <c r="AH145" s="70"/>
      <c r="AI145" s="110">
        <f t="shared" si="19"/>
        <v>0</v>
      </c>
      <c r="AJ145" s="70"/>
      <c r="AK145" s="197">
        <f>IF(AE145=0,0,ROUND((AI145/AE145)*100,1))</f>
        <v>0</v>
      </c>
      <c r="AL145" s="70"/>
      <c r="AM145" s="163"/>
      <c r="AN145" s="70"/>
      <c r="AO145" s="163">
        <f t="shared" si="20"/>
        <v>0</v>
      </c>
      <c r="AP145" s="70"/>
      <c r="AQ145" s="155">
        <f>IF(AO145=0,0,ROUND((AI145/AO145)*100,1))</f>
        <v>0</v>
      </c>
      <c r="AU145" s="475"/>
      <c r="AV145" s="85"/>
      <c r="AW145" s="85"/>
    </row>
    <row r="146" spans="1:49" x14ac:dyDescent="0.25">
      <c r="A146" s="102"/>
      <c r="B146" s="102"/>
      <c r="C146" s="102"/>
      <c r="D146" s="102"/>
      <c r="E146" s="102"/>
      <c r="F146" s="102"/>
      <c r="G146" s="102"/>
      <c r="H146" s="102"/>
      <c r="I146" s="102"/>
      <c r="J146" s="335"/>
      <c r="K146" s="102"/>
      <c r="L146" s="102"/>
      <c r="M146" s="102"/>
      <c r="N146" s="102"/>
      <c r="O146" s="102"/>
      <c r="P146" s="102"/>
      <c r="Q146" s="102"/>
      <c r="R146" s="102"/>
      <c r="T146" s="159">
        <f t="shared" si="16"/>
        <v>46</v>
      </c>
      <c r="U146" s="80"/>
      <c r="V146" s="153" t="str">
        <f>C71</f>
        <v>PROFIT SHARING MECHANISM (PSM)</v>
      </c>
      <c r="W146" s="80"/>
      <c r="X146" s="82"/>
      <c r="Y146" s="110"/>
      <c r="Z146" s="70"/>
      <c r="AA146" s="110"/>
      <c r="AB146" s="70"/>
      <c r="AC146" s="288">
        <f>RS_PSM</f>
        <v>-4.5600000000000003E-4</v>
      </c>
      <c r="AD146" s="70"/>
      <c r="AE146" s="167">
        <f>ROUND($AA$140*AC146,0)</f>
        <v>-45</v>
      </c>
      <c r="AF146" s="70"/>
      <c r="AG146" s="166">
        <f>ROUND((AE146/AE$149)*100,1)</f>
        <v>-1.2</v>
      </c>
      <c r="AH146" s="70"/>
      <c r="AI146" s="203">
        <f>L71-AE146</f>
        <v>0</v>
      </c>
      <c r="AJ146" s="70"/>
      <c r="AK146" s="166">
        <f t="shared" ref="AK146:AK147" si="22">ROUND((AI146/AE146)*100,1)</f>
        <v>0</v>
      </c>
      <c r="AL146" s="70"/>
      <c r="AM146" s="167"/>
      <c r="AN146" s="70"/>
      <c r="AO146" s="167">
        <f t="shared" ref="AO146" si="23">AM146+AE146</f>
        <v>-45</v>
      </c>
      <c r="AP146" s="70"/>
      <c r="AQ146" s="155">
        <f t="shared" ref="AQ146:AQ147" si="24">ROUND((AI146/AO146)*100,1)</f>
        <v>0</v>
      </c>
      <c r="AU146" s="475"/>
      <c r="AV146" s="85"/>
      <c r="AW146" s="85"/>
    </row>
    <row r="147" spans="1:49" ht="20.100000000000001" customHeight="1" x14ac:dyDescent="0.25">
      <c r="A147" s="102"/>
      <c r="B147" s="102"/>
      <c r="C147" s="102"/>
      <c r="D147" s="102"/>
      <c r="E147" s="102"/>
      <c r="F147" s="102"/>
      <c r="G147" s="102"/>
      <c r="H147" s="102"/>
      <c r="I147" s="102"/>
      <c r="J147" s="335"/>
      <c r="K147" s="102"/>
      <c r="L147" s="102"/>
      <c r="M147" s="102"/>
      <c r="N147" s="102"/>
      <c r="O147" s="102"/>
      <c r="P147" s="102"/>
      <c r="Q147" s="102"/>
      <c r="R147" s="102"/>
      <c r="T147" s="159">
        <f t="shared" si="16"/>
        <v>47</v>
      </c>
      <c r="U147" s="80"/>
      <c r="V147" s="253" t="s">
        <v>585</v>
      </c>
      <c r="W147" s="80"/>
      <c r="X147" s="82"/>
      <c r="Y147" s="203"/>
      <c r="Z147" s="70"/>
      <c r="AA147" s="203"/>
      <c r="AB147" s="70"/>
      <c r="AC147" s="474"/>
      <c r="AD147" s="70"/>
      <c r="AE147" s="169">
        <f>SUM(AE143:AE146)</f>
        <v>-45</v>
      </c>
      <c r="AF147" s="70"/>
      <c r="AG147" s="166">
        <f>ROUND((AE147/AE$149)*100,1)</f>
        <v>-1.2</v>
      </c>
      <c r="AH147" s="70"/>
      <c r="AI147" s="169">
        <f>SUM(AI143:AI146)</f>
        <v>0</v>
      </c>
      <c r="AJ147" s="70"/>
      <c r="AK147" s="170">
        <f t="shared" si="22"/>
        <v>0</v>
      </c>
      <c r="AL147" s="70"/>
      <c r="AM147" s="169"/>
      <c r="AN147" s="70"/>
      <c r="AO147" s="169">
        <f>SUM(AO143:AO146)</f>
        <v>-45</v>
      </c>
      <c r="AP147" s="70"/>
      <c r="AQ147" s="155">
        <f t="shared" si="24"/>
        <v>0</v>
      </c>
      <c r="AU147" s="475"/>
      <c r="AV147" s="85"/>
      <c r="AW147" s="85"/>
    </row>
    <row r="148" spans="1:49" x14ac:dyDescent="0.25">
      <c r="A148" s="102"/>
      <c r="B148" s="102"/>
      <c r="C148" s="102"/>
      <c r="D148" s="102"/>
      <c r="E148" s="102"/>
      <c r="F148" s="102"/>
      <c r="G148" s="102"/>
      <c r="H148" s="102"/>
      <c r="I148" s="102"/>
      <c r="J148" s="335"/>
      <c r="K148" s="102"/>
      <c r="L148" s="102"/>
      <c r="M148" s="102"/>
      <c r="N148" s="102"/>
      <c r="O148" s="102"/>
      <c r="P148" s="102"/>
      <c r="Q148" s="102"/>
      <c r="R148" s="102"/>
      <c r="V148" s="253"/>
      <c r="X148" s="82"/>
      <c r="Y148" s="110"/>
      <c r="Z148" s="70"/>
      <c r="AA148" s="110"/>
      <c r="AB148" s="70"/>
      <c r="AC148" s="474"/>
      <c r="AD148" s="70"/>
      <c r="AE148" s="163"/>
      <c r="AF148" s="70"/>
      <c r="AG148" s="197"/>
      <c r="AH148" s="70"/>
      <c r="AI148" s="110"/>
      <c r="AJ148" s="70"/>
      <c r="AK148" s="197"/>
      <c r="AL148" s="70"/>
      <c r="AM148" s="163"/>
      <c r="AN148" s="70"/>
      <c r="AO148" s="163"/>
      <c r="AP148" s="70"/>
      <c r="AQ148" s="155"/>
      <c r="AU148" s="475"/>
      <c r="AV148" s="85"/>
      <c r="AW148" s="85"/>
    </row>
    <row r="149" spans="1:49" ht="20.100000000000001" customHeight="1" thickBot="1" x14ac:dyDescent="0.3">
      <c r="A149" s="202"/>
      <c r="C149" s="154"/>
      <c r="D149" s="154"/>
      <c r="E149" s="154"/>
      <c r="J149" s="394"/>
      <c r="T149" s="159">
        <f>A74</f>
        <v>48</v>
      </c>
      <c r="V149" s="253" t="s">
        <v>597</v>
      </c>
      <c r="W149" s="80"/>
      <c r="X149" s="82"/>
      <c r="Y149" s="465">
        <f>Y140</f>
        <v>2064</v>
      </c>
      <c r="Z149" s="469"/>
      <c r="AA149" s="465">
        <f>AA140</f>
        <v>97596</v>
      </c>
      <c r="AB149" s="70"/>
      <c r="AC149" s="70"/>
      <c r="AD149" s="70"/>
      <c r="AE149" s="465">
        <f>AE147+AE140</f>
        <v>3613</v>
      </c>
      <c r="AF149" s="70"/>
      <c r="AG149" s="470">
        <v>100</v>
      </c>
      <c r="AH149" s="70"/>
      <c r="AI149" s="465">
        <f>AI147+AI140</f>
        <v>435</v>
      </c>
      <c r="AJ149" s="70"/>
      <c r="AK149" s="291">
        <f>ROUND((AI149/AE149)*100,1)</f>
        <v>12</v>
      </c>
      <c r="AL149" s="70"/>
      <c r="AM149" s="403">
        <f>ROUND(AA149*CUR_FAC,0)</f>
        <v>100</v>
      </c>
      <c r="AN149" s="70"/>
      <c r="AO149" s="465">
        <f>AO147+AO140</f>
        <v>3713</v>
      </c>
      <c r="AP149" s="70"/>
      <c r="AQ149" s="155">
        <f>ROUND((AI149/AO149)*100,1)</f>
        <v>11.7</v>
      </c>
    </row>
    <row r="150" spans="1:49" ht="15" customHeight="1" thickTop="1" x14ac:dyDescent="0.25">
      <c r="J150" s="394"/>
      <c r="V150" s="82"/>
      <c r="W150" s="81"/>
      <c r="X150" s="82"/>
      <c r="Y150" s="161"/>
      <c r="Z150" s="70"/>
      <c r="AA150" s="70"/>
      <c r="AB150" s="70"/>
      <c r="AC150" s="70"/>
      <c r="AD150" s="70"/>
      <c r="AE150" s="70"/>
      <c r="AF150" s="70"/>
      <c r="AG150" s="164"/>
      <c r="AH150" s="70"/>
      <c r="AI150" s="70"/>
      <c r="AJ150" s="70"/>
      <c r="AK150" s="164"/>
      <c r="AL150" s="70"/>
      <c r="AM150" s="70"/>
      <c r="AN150" s="70"/>
      <c r="AO150" s="70"/>
      <c r="AP150" s="70"/>
      <c r="AQ150" s="164"/>
    </row>
    <row r="151" spans="1:49" x14ac:dyDescent="0.25">
      <c r="A151" s="202"/>
      <c r="C151" s="154"/>
      <c r="F151" s="252"/>
      <c r="H151" s="317"/>
      <c r="I151" s="317"/>
      <c r="J151" s="329"/>
      <c r="K151" s="300"/>
      <c r="L151" s="200"/>
      <c r="M151" s="200"/>
      <c r="N151" s="202"/>
      <c r="O151" s="202"/>
      <c r="P151" s="202"/>
      <c r="Q151" s="202"/>
      <c r="R151" s="200"/>
      <c r="V151" s="173" t="s">
        <v>80</v>
      </c>
      <c r="W151" s="154"/>
      <c r="X151" s="154"/>
      <c r="Y151" s="110"/>
      <c r="Z151" s="85"/>
      <c r="AA151" s="85"/>
      <c r="AB151" s="85"/>
      <c r="AC151" s="85"/>
      <c r="AD151" s="85"/>
      <c r="AE151" s="85"/>
      <c r="AF151" s="85"/>
      <c r="AG151" s="351"/>
      <c r="AH151" s="85"/>
      <c r="AI151" s="85"/>
      <c r="AJ151" s="85"/>
      <c r="AK151" s="351"/>
      <c r="AL151" s="85"/>
      <c r="AM151" s="85"/>
      <c r="AN151" s="85"/>
      <c r="AO151" s="85"/>
      <c r="AP151" s="85"/>
      <c r="AQ151" s="351"/>
    </row>
    <row r="152" spans="1:49" x14ac:dyDescent="0.25">
      <c r="F152" s="252"/>
      <c r="H152" s="317"/>
      <c r="I152" s="317"/>
      <c r="J152" s="329"/>
      <c r="K152" s="317"/>
      <c r="R152" s="200"/>
      <c r="V152" s="173" t="str">
        <f>"(2) REFLECTS FUEL COMPONENT OF "&amp;TEXT(CUR_FAC,"$0.000000;($0.000000)")&amp;" PER KWH."</f>
        <v>(2) REFLECTS FUEL COMPONENT OF $0.001028 PER KWH.</v>
      </c>
      <c r="W152" s="154"/>
      <c r="X152" s="154"/>
      <c r="Y152" s="109"/>
      <c r="AD152" s="85"/>
    </row>
    <row r="153" spans="1:49" x14ac:dyDescent="0.25">
      <c r="A153" s="202"/>
      <c r="C153" s="154"/>
      <c r="F153" s="252"/>
      <c r="H153" s="252"/>
      <c r="I153" s="252"/>
      <c r="J153" s="329"/>
      <c r="K153" s="320"/>
      <c r="L153" s="200"/>
      <c r="M153" s="200"/>
      <c r="N153" s="210"/>
      <c r="O153" s="210"/>
      <c r="P153" s="252"/>
      <c r="Q153" s="252"/>
      <c r="R153" s="200"/>
      <c r="V153" s="173" t="str">
        <f>"(3) REFLECTS FUEL COST RECOVERY INCLUDED IN BASE RATES OF "&amp;TEXT(CUR_BASE_FUEL,"$0.000000;($0.000000)")&amp;"  PER KWH."</f>
        <v>(3) REFLECTS FUEL COST RECOVERY INCLUDED IN BASE RATES OF $0.023837  PER KWH.</v>
      </c>
      <c r="W153" s="154"/>
      <c r="X153" s="154"/>
      <c r="Y153" s="110"/>
      <c r="Z153" s="85"/>
      <c r="AA153" s="110"/>
      <c r="AB153" s="85"/>
      <c r="AC153" s="411"/>
      <c r="AD153" s="85"/>
      <c r="AE153" s="163"/>
      <c r="AF153" s="85"/>
      <c r="AG153" s="197"/>
      <c r="AH153" s="85"/>
      <c r="AI153" s="110"/>
      <c r="AJ153" s="85"/>
      <c r="AK153" s="197"/>
      <c r="AL153" s="85"/>
      <c r="AM153" s="110"/>
      <c r="AN153" s="85"/>
      <c r="AO153" s="163"/>
      <c r="AP153" s="85"/>
      <c r="AQ153" s="197"/>
      <c r="AW153" s="161"/>
    </row>
    <row r="154" spans="1:49" x14ac:dyDescent="0.25">
      <c r="F154" s="211"/>
      <c r="H154" s="211"/>
      <c r="I154" s="211"/>
      <c r="J154" s="329"/>
      <c r="K154" s="305"/>
      <c r="L154" s="211"/>
      <c r="M154" s="211"/>
      <c r="N154" s="211"/>
      <c r="O154" s="211"/>
      <c r="P154" s="211"/>
      <c r="Q154" s="211"/>
      <c r="R154" s="211"/>
      <c r="V154" s="154"/>
      <c r="W154" s="154"/>
      <c r="X154" s="154"/>
      <c r="Y154" s="110"/>
      <c r="Z154" s="85"/>
      <c r="AA154" s="85"/>
      <c r="AB154" s="85"/>
      <c r="AC154" s="85"/>
      <c r="AD154" s="85"/>
      <c r="AE154" s="85"/>
      <c r="AF154" s="85"/>
      <c r="AG154" s="351"/>
      <c r="AH154" s="85"/>
      <c r="AI154" s="85"/>
      <c r="AJ154" s="85"/>
      <c r="AK154" s="351"/>
      <c r="AL154" s="85"/>
      <c r="AM154" s="85"/>
      <c r="AN154" s="85"/>
      <c r="AO154" s="85"/>
      <c r="AP154" s="85"/>
      <c r="AQ154" s="351"/>
      <c r="AW154" s="70"/>
    </row>
    <row r="155" spans="1:49" x14ac:dyDescent="0.25">
      <c r="A155" s="202"/>
      <c r="D155" s="154"/>
      <c r="E155" s="154"/>
      <c r="F155" s="200"/>
      <c r="H155" s="200"/>
      <c r="I155" s="200"/>
      <c r="J155" s="334"/>
      <c r="K155" s="213"/>
      <c r="L155" s="200"/>
      <c r="M155" s="200"/>
      <c r="N155" s="210"/>
      <c r="O155" s="210"/>
      <c r="P155" s="200"/>
      <c r="Q155" s="200"/>
      <c r="R155" s="200"/>
      <c r="W155" s="154"/>
      <c r="Y155" s="110"/>
      <c r="Z155" s="85"/>
      <c r="AA155" s="85"/>
      <c r="AB155" s="85"/>
      <c r="AC155" s="411"/>
      <c r="AD155" s="85"/>
      <c r="AE155" s="85"/>
      <c r="AF155" s="85"/>
      <c r="AG155" s="351"/>
      <c r="AH155" s="85"/>
      <c r="AI155" s="85"/>
      <c r="AJ155" s="85"/>
      <c r="AK155" s="351"/>
      <c r="AL155" s="85"/>
      <c r="AM155" s="85"/>
      <c r="AN155" s="85"/>
      <c r="AO155" s="85"/>
      <c r="AP155" s="85"/>
      <c r="AQ155" s="351"/>
      <c r="AW155" s="70"/>
    </row>
    <row r="156" spans="1:49" x14ac:dyDescent="0.25">
      <c r="F156" s="211"/>
      <c r="H156" s="211"/>
      <c r="I156" s="211"/>
      <c r="J156" s="329"/>
      <c r="K156" s="305"/>
      <c r="L156" s="211"/>
      <c r="M156" s="211"/>
      <c r="N156" s="211"/>
      <c r="O156" s="211"/>
      <c r="P156" s="211"/>
      <c r="Q156" s="211"/>
      <c r="R156" s="211"/>
      <c r="W156" s="154"/>
      <c r="Y156" s="110"/>
      <c r="Z156" s="85"/>
      <c r="AA156" s="110"/>
      <c r="AB156" s="85"/>
      <c r="AW156" s="230"/>
    </row>
    <row r="157" spans="1:49" x14ac:dyDescent="0.25">
      <c r="J157" s="394"/>
      <c r="R157" s="200"/>
      <c r="V157" s="154"/>
      <c r="Y157" s="110"/>
      <c r="Z157" s="85"/>
      <c r="AA157" s="85"/>
      <c r="AB157" s="85"/>
      <c r="AC157" s="411"/>
      <c r="AD157" s="85"/>
      <c r="AE157" s="85"/>
      <c r="AF157" s="85"/>
      <c r="AG157" s="351"/>
      <c r="AH157" s="85"/>
      <c r="AI157" s="85"/>
      <c r="AJ157" s="85"/>
      <c r="AK157" s="351"/>
      <c r="AL157" s="85"/>
      <c r="AM157" s="85"/>
      <c r="AN157" s="85"/>
      <c r="AO157" s="85"/>
      <c r="AP157" s="85"/>
      <c r="AQ157" s="351"/>
    </row>
    <row r="158" spans="1:49" x14ac:dyDescent="0.25">
      <c r="J158" s="394"/>
      <c r="R158" s="200"/>
    </row>
    <row r="159" spans="1:49" x14ac:dyDescent="0.25">
      <c r="J159" s="394"/>
      <c r="R159" s="200"/>
    </row>
    <row r="160" spans="1:49" x14ac:dyDescent="0.25">
      <c r="A160" s="202"/>
      <c r="C160" s="154"/>
      <c r="D160" s="154"/>
      <c r="E160" s="154"/>
      <c r="H160" s="200"/>
      <c r="I160" s="200"/>
      <c r="J160" s="334"/>
      <c r="K160" s="213"/>
      <c r="L160" s="200"/>
      <c r="M160" s="200"/>
      <c r="N160" s="210"/>
      <c r="O160" s="210"/>
      <c r="P160" s="200"/>
      <c r="Q160" s="200"/>
      <c r="R160" s="200"/>
      <c r="T160" s="154"/>
      <c r="U160" s="154"/>
      <c r="Y160" s="200"/>
      <c r="Z160" s="213"/>
      <c r="AA160" s="200"/>
      <c r="AB160" s="200"/>
      <c r="AC160" s="210"/>
      <c r="AD160" s="210"/>
    </row>
    <row r="161" spans="1:40" x14ac:dyDescent="0.25">
      <c r="H161" s="200"/>
      <c r="I161" s="200"/>
      <c r="J161" s="334"/>
      <c r="K161" s="213"/>
      <c r="L161" s="200"/>
      <c r="M161" s="200"/>
      <c r="N161" s="210"/>
      <c r="O161" s="210"/>
      <c r="P161" s="200"/>
      <c r="Q161" s="200"/>
      <c r="R161" s="200"/>
      <c r="Y161" s="200"/>
      <c r="Z161" s="213"/>
      <c r="AA161" s="200"/>
      <c r="AB161" s="200"/>
      <c r="AC161" s="210"/>
      <c r="AD161" s="210"/>
    </row>
    <row r="162" spans="1:40" x14ac:dyDescent="0.25">
      <c r="A162" s="202"/>
      <c r="C162" s="154"/>
      <c r="F162" s="252"/>
      <c r="H162" s="252"/>
      <c r="I162" s="252"/>
      <c r="J162" s="336"/>
      <c r="K162" s="214"/>
      <c r="L162" s="252"/>
      <c r="M162" s="252"/>
      <c r="N162" s="210"/>
      <c r="O162" s="210"/>
      <c r="P162" s="200"/>
      <c r="Q162" s="200"/>
      <c r="R162" s="200"/>
      <c r="T162" s="154"/>
      <c r="V162" s="200"/>
      <c r="Y162" s="200"/>
      <c r="Z162" s="214"/>
      <c r="AA162" s="200"/>
      <c r="AB162" s="200"/>
      <c r="AC162" s="210"/>
      <c r="AD162" s="210"/>
      <c r="AE162" s="200"/>
      <c r="AF162" s="200"/>
      <c r="AG162" s="209"/>
      <c r="AH162" s="201"/>
      <c r="AI162" s="200"/>
      <c r="AJ162" s="200"/>
      <c r="AK162" s="209"/>
      <c r="AL162" s="200"/>
      <c r="AM162" s="210"/>
      <c r="AN162" s="210"/>
    </row>
    <row r="163" spans="1:40" x14ac:dyDescent="0.25">
      <c r="F163" s="252"/>
      <c r="H163" s="317"/>
      <c r="I163" s="317"/>
      <c r="J163" s="329"/>
      <c r="K163" s="317"/>
      <c r="R163" s="200"/>
      <c r="V163" s="200"/>
      <c r="Z163" s="317"/>
    </row>
    <row r="164" spans="1:40" x14ac:dyDescent="0.25">
      <c r="A164" s="202"/>
      <c r="C164" s="154"/>
      <c r="F164" s="252"/>
      <c r="H164" s="252"/>
      <c r="I164" s="252"/>
      <c r="J164" s="329"/>
      <c r="K164" s="300"/>
      <c r="L164" s="200"/>
      <c r="M164" s="200"/>
      <c r="N164" s="210"/>
      <c r="O164" s="210"/>
      <c r="P164" s="200"/>
      <c r="Q164" s="200"/>
      <c r="R164" s="200"/>
      <c r="T164" s="154"/>
      <c r="V164" s="200"/>
      <c r="Y164" s="200"/>
      <c r="Z164" s="300"/>
      <c r="AA164" s="200"/>
      <c r="AB164" s="200"/>
      <c r="AC164" s="210"/>
      <c r="AD164" s="210"/>
      <c r="AE164" s="200"/>
      <c r="AF164" s="200"/>
      <c r="AG164" s="209"/>
      <c r="AH164" s="201"/>
      <c r="AI164" s="200"/>
      <c r="AJ164" s="200"/>
      <c r="AK164" s="209"/>
      <c r="AL164" s="200"/>
      <c r="AM164" s="210"/>
      <c r="AN164" s="210"/>
    </row>
    <row r="165" spans="1:40" x14ac:dyDescent="0.25">
      <c r="F165" s="252"/>
      <c r="H165" s="317"/>
      <c r="I165" s="317"/>
      <c r="J165" s="329"/>
      <c r="K165" s="317"/>
      <c r="R165" s="200"/>
      <c r="V165" s="200"/>
      <c r="Z165" s="317"/>
    </row>
    <row r="166" spans="1:40" x14ac:dyDescent="0.25">
      <c r="A166" s="202"/>
      <c r="C166" s="154"/>
      <c r="F166" s="252"/>
      <c r="H166" s="252"/>
      <c r="I166" s="252"/>
      <c r="J166" s="329"/>
      <c r="K166" s="320"/>
      <c r="L166" s="200"/>
      <c r="M166" s="200"/>
      <c r="N166" s="210"/>
      <c r="O166" s="210"/>
      <c r="P166" s="200"/>
      <c r="Q166" s="200"/>
      <c r="R166" s="200"/>
      <c r="T166" s="154"/>
      <c r="V166" s="200"/>
      <c r="Y166" s="200"/>
      <c r="Z166" s="304"/>
      <c r="AA166" s="200"/>
      <c r="AB166" s="200"/>
      <c r="AC166" s="210"/>
      <c r="AD166" s="210"/>
      <c r="AE166" s="200"/>
      <c r="AF166" s="200"/>
      <c r="AG166" s="209"/>
      <c r="AH166" s="201"/>
      <c r="AI166" s="200"/>
      <c r="AJ166" s="200"/>
      <c r="AK166" s="209"/>
      <c r="AL166" s="200"/>
      <c r="AM166" s="210"/>
      <c r="AN166" s="210"/>
    </row>
    <row r="167" spans="1:40" x14ac:dyDescent="0.25">
      <c r="F167" s="211"/>
      <c r="H167" s="211"/>
      <c r="I167" s="211"/>
      <c r="J167" s="329"/>
      <c r="K167" s="305"/>
      <c r="L167" s="211"/>
      <c r="M167" s="211"/>
      <c r="N167" s="211"/>
      <c r="O167" s="211"/>
      <c r="P167" s="211"/>
      <c r="Q167" s="211"/>
      <c r="R167" s="211"/>
      <c r="S167" s="200"/>
      <c r="V167" s="211"/>
      <c r="Y167" s="211"/>
      <c r="Z167" s="305"/>
      <c r="AA167" s="211"/>
      <c r="AB167" s="211"/>
      <c r="AC167" s="211"/>
      <c r="AD167" s="211"/>
      <c r="AE167" s="211"/>
      <c r="AF167" s="211"/>
      <c r="AI167" s="211"/>
      <c r="AJ167" s="211"/>
      <c r="AK167" s="212"/>
      <c r="AL167" s="211"/>
    </row>
    <row r="168" spans="1:40" x14ac:dyDescent="0.25">
      <c r="A168" s="202"/>
      <c r="D168" s="154"/>
      <c r="E168" s="154"/>
      <c r="F168" s="200"/>
      <c r="H168" s="200"/>
      <c r="I168" s="200"/>
      <c r="J168" s="334"/>
      <c r="K168" s="213"/>
      <c r="L168" s="200"/>
      <c r="M168" s="200"/>
      <c r="N168" s="210"/>
      <c r="O168" s="210"/>
      <c r="P168" s="252"/>
      <c r="Q168" s="252"/>
      <c r="R168" s="200"/>
      <c r="S168" s="200"/>
      <c r="U168" s="154"/>
      <c r="V168" s="200"/>
      <c r="Y168" s="200"/>
      <c r="Z168" s="213"/>
      <c r="AA168" s="200"/>
      <c r="AB168" s="200"/>
      <c r="AC168" s="210"/>
      <c r="AD168" s="210"/>
      <c r="AE168" s="200"/>
      <c r="AF168" s="200"/>
      <c r="AG168" s="209"/>
      <c r="AH168" s="201"/>
      <c r="AI168" s="252"/>
      <c r="AJ168" s="252"/>
      <c r="AK168" s="209"/>
      <c r="AL168" s="200"/>
      <c r="AM168" s="210"/>
      <c r="AN168" s="210"/>
    </row>
    <row r="169" spans="1:40" x14ac:dyDescent="0.25">
      <c r="F169" s="211"/>
      <c r="H169" s="211"/>
      <c r="I169" s="211"/>
      <c r="J169" s="329"/>
      <c r="K169" s="305"/>
      <c r="L169" s="211"/>
      <c r="M169" s="211"/>
      <c r="N169" s="211"/>
      <c r="O169" s="211"/>
      <c r="P169" s="211"/>
      <c r="Q169" s="211"/>
      <c r="R169" s="211"/>
      <c r="S169" s="200"/>
      <c r="V169" s="211"/>
      <c r="Y169" s="211"/>
      <c r="Z169" s="305"/>
      <c r="AA169" s="211"/>
      <c r="AB169" s="211"/>
      <c r="AC169" s="211"/>
      <c r="AD169" s="211"/>
      <c r="AE169" s="211"/>
      <c r="AF169" s="211"/>
      <c r="AI169" s="211"/>
      <c r="AJ169" s="211"/>
      <c r="AK169" s="212"/>
      <c r="AL169" s="211"/>
    </row>
    <row r="170" spans="1:40" x14ac:dyDescent="0.25">
      <c r="J170" s="394"/>
      <c r="R170" s="200"/>
    </row>
    <row r="171" spans="1:40" x14ac:dyDescent="0.25">
      <c r="F171" s="200"/>
      <c r="H171" s="200"/>
      <c r="I171" s="200"/>
      <c r="J171" s="334"/>
      <c r="K171" s="213"/>
      <c r="L171" s="200"/>
      <c r="M171" s="200"/>
      <c r="N171" s="200"/>
      <c r="O171" s="200"/>
      <c r="P171" s="200"/>
      <c r="Q171" s="200"/>
      <c r="R171" s="200"/>
      <c r="V171" s="200"/>
      <c r="Y171" s="200"/>
      <c r="Z171" s="213"/>
      <c r="AA171" s="200"/>
      <c r="AB171" s="200"/>
      <c r="AC171" s="200"/>
      <c r="AD171" s="200"/>
    </row>
    <row r="172" spans="1:40" x14ac:dyDescent="0.25">
      <c r="C172" s="154"/>
      <c r="F172" s="200"/>
      <c r="H172" s="200"/>
      <c r="I172" s="200"/>
      <c r="J172" s="334"/>
      <c r="K172" s="213"/>
      <c r="L172" s="200"/>
      <c r="M172" s="200"/>
      <c r="N172" s="200"/>
      <c r="O172" s="200"/>
      <c r="P172" s="200"/>
      <c r="Q172" s="200"/>
      <c r="R172" s="200"/>
      <c r="T172" s="154"/>
      <c r="V172" s="200"/>
      <c r="Y172" s="200"/>
      <c r="Z172" s="213"/>
      <c r="AA172" s="200"/>
      <c r="AB172" s="200"/>
      <c r="AC172" s="200"/>
      <c r="AD172" s="200"/>
    </row>
    <row r="173" spans="1:40" x14ac:dyDescent="0.25">
      <c r="C173" s="154"/>
      <c r="J173" s="394"/>
      <c r="T173" s="154"/>
    </row>
    <row r="174" spans="1:40" x14ac:dyDescent="0.25">
      <c r="A174" s="154"/>
      <c r="J174" s="394"/>
    </row>
    <row r="175" spans="1:40" x14ac:dyDescent="0.25">
      <c r="J175" s="394"/>
    </row>
    <row r="176" spans="1:40" x14ac:dyDescent="0.25">
      <c r="J176" s="334"/>
      <c r="K176" s="202"/>
      <c r="Z176" s="202"/>
    </row>
    <row r="177" spans="1:40" x14ac:dyDescent="0.25">
      <c r="H177" s="154"/>
      <c r="I177" s="154"/>
      <c r="J177" s="394"/>
      <c r="Y177" s="154"/>
    </row>
    <row r="178" spans="1:40" x14ac:dyDescent="0.25">
      <c r="J178" s="334"/>
      <c r="K178" s="202"/>
      <c r="Z178" s="202"/>
    </row>
    <row r="179" spans="1:40" x14ac:dyDescent="0.25">
      <c r="J179" s="394"/>
      <c r="L179" s="154"/>
      <c r="M179" s="154"/>
      <c r="AA179" s="154"/>
      <c r="AB179" s="154"/>
    </row>
    <row r="180" spans="1:40" x14ac:dyDescent="0.25">
      <c r="A180" s="202"/>
      <c r="J180" s="394"/>
      <c r="R180" s="154"/>
      <c r="AK180" s="297"/>
      <c r="AL180" s="154"/>
    </row>
    <row r="181" spans="1:40" x14ac:dyDescent="0.25">
      <c r="A181" s="202"/>
      <c r="J181" s="394"/>
      <c r="R181" s="154"/>
      <c r="AK181" s="297"/>
      <c r="AL181" s="154"/>
    </row>
    <row r="182" spans="1:40" x14ac:dyDescent="0.25">
      <c r="A182" s="154"/>
      <c r="J182" s="394"/>
      <c r="R182" s="154"/>
      <c r="AK182" s="297"/>
      <c r="AL182" s="154"/>
    </row>
    <row r="183" spans="1:40" x14ac:dyDescent="0.25">
      <c r="J183" s="394"/>
      <c r="L183" s="154"/>
      <c r="M183" s="154"/>
      <c r="R183" s="202"/>
      <c r="AA183" s="154"/>
      <c r="AB183" s="154"/>
      <c r="AK183" s="209"/>
      <c r="AL183" s="202"/>
    </row>
    <row r="184" spans="1:40" x14ac:dyDescent="0.25">
      <c r="A184" s="102"/>
      <c r="B184" s="102"/>
      <c r="C184" s="102"/>
      <c r="D184" s="102"/>
      <c r="E184" s="102"/>
      <c r="F184" s="102"/>
      <c r="G184" s="102"/>
      <c r="H184" s="102"/>
      <c r="I184" s="102"/>
      <c r="J184" s="335"/>
      <c r="K184" s="102"/>
      <c r="L184" s="102"/>
      <c r="M184" s="102"/>
      <c r="N184" s="102"/>
      <c r="O184" s="102"/>
      <c r="P184" s="102"/>
      <c r="Q184" s="102"/>
      <c r="R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208"/>
      <c r="AH184" s="102"/>
      <c r="AI184" s="102"/>
      <c r="AJ184" s="102"/>
      <c r="AK184" s="208"/>
      <c r="AL184" s="102"/>
      <c r="AM184" s="102"/>
      <c r="AN184" s="102"/>
    </row>
    <row r="185" spans="1:40" x14ac:dyDescent="0.25">
      <c r="J185" s="394"/>
      <c r="L185" s="103"/>
      <c r="M185" s="103"/>
      <c r="N185" s="103"/>
      <c r="O185" s="103"/>
      <c r="R185" s="103"/>
      <c r="AA185" s="103"/>
      <c r="AB185" s="103"/>
      <c r="AC185" s="103"/>
      <c r="AD185" s="103"/>
      <c r="AE185" s="103"/>
      <c r="AF185" s="103"/>
      <c r="AG185" s="185"/>
      <c r="AH185" s="103"/>
      <c r="AK185" s="185"/>
      <c r="AL185" s="103"/>
      <c r="AM185" s="103"/>
      <c r="AN185" s="103"/>
    </row>
    <row r="186" spans="1:40" x14ac:dyDescent="0.25">
      <c r="J186" s="394"/>
      <c r="L186" s="103"/>
      <c r="M186" s="103"/>
      <c r="N186" s="103"/>
      <c r="O186" s="103"/>
      <c r="R186" s="103"/>
      <c r="Z186" s="103"/>
      <c r="AA186" s="103"/>
      <c r="AB186" s="103"/>
      <c r="AC186" s="103"/>
      <c r="AD186" s="103"/>
      <c r="AE186" s="103"/>
      <c r="AF186" s="103"/>
      <c r="AG186" s="185"/>
      <c r="AH186" s="103"/>
      <c r="AK186" s="185"/>
      <c r="AL186" s="103"/>
      <c r="AM186" s="103"/>
      <c r="AN186" s="103"/>
    </row>
    <row r="187" spans="1:40" x14ac:dyDescent="0.25">
      <c r="A187" s="103"/>
      <c r="C187" s="103"/>
      <c r="D187" s="103"/>
      <c r="E187" s="103"/>
      <c r="F187" s="103"/>
      <c r="J187" s="336"/>
      <c r="K187" s="103"/>
      <c r="L187" s="103"/>
      <c r="M187" s="103"/>
      <c r="N187" s="103"/>
      <c r="O187" s="103"/>
      <c r="P187" s="103"/>
      <c r="Q187" s="103"/>
      <c r="R187" s="103"/>
      <c r="T187" s="103"/>
      <c r="U187" s="103"/>
      <c r="V187" s="103"/>
      <c r="Z187" s="103"/>
      <c r="AA187" s="103"/>
      <c r="AB187" s="103"/>
      <c r="AC187" s="103"/>
      <c r="AD187" s="103"/>
      <c r="AE187" s="103"/>
      <c r="AF187" s="103"/>
      <c r="AG187" s="185"/>
      <c r="AH187" s="103"/>
      <c r="AI187" s="103"/>
      <c r="AJ187" s="103"/>
      <c r="AK187" s="185"/>
      <c r="AL187" s="103"/>
      <c r="AM187" s="103"/>
      <c r="AN187" s="103"/>
    </row>
    <row r="188" spans="1:40" x14ac:dyDescent="0.25">
      <c r="A188" s="103"/>
      <c r="C188" s="103"/>
      <c r="D188" s="103"/>
      <c r="E188" s="103"/>
      <c r="F188" s="103"/>
      <c r="H188" s="103"/>
      <c r="I188" s="103"/>
      <c r="J188" s="336"/>
      <c r="K188" s="103"/>
      <c r="L188" s="103"/>
      <c r="M188" s="103"/>
      <c r="N188" s="103"/>
      <c r="O188" s="103"/>
      <c r="P188" s="103"/>
      <c r="Q188" s="103"/>
      <c r="R188" s="103"/>
      <c r="T188" s="103"/>
      <c r="U188" s="103"/>
      <c r="V188" s="103"/>
      <c r="Y188" s="103"/>
      <c r="Z188" s="103"/>
      <c r="AA188" s="103"/>
      <c r="AB188" s="103"/>
      <c r="AC188" s="103"/>
      <c r="AD188" s="103"/>
      <c r="AE188" s="103"/>
      <c r="AF188" s="103"/>
      <c r="AG188" s="185"/>
      <c r="AH188" s="103"/>
      <c r="AI188" s="103"/>
      <c r="AJ188" s="103"/>
      <c r="AK188" s="185"/>
      <c r="AL188" s="103"/>
      <c r="AM188" s="103"/>
      <c r="AN188" s="103"/>
    </row>
    <row r="189" spans="1:40" x14ac:dyDescent="0.25">
      <c r="C189" s="103"/>
      <c r="D189" s="103"/>
      <c r="E189" s="103"/>
      <c r="F189" s="103"/>
      <c r="H189" s="103"/>
      <c r="I189" s="103"/>
      <c r="J189" s="336"/>
      <c r="K189" s="103"/>
      <c r="L189" s="103"/>
      <c r="M189" s="103"/>
      <c r="N189" s="103"/>
      <c r="O189" s="103"/>
      <c r="P189" s="103"/>
      <c r="Q189" s="103"/>
      <c r="R189" s="103"/>
      <c r="T189" s="103"/>
      <c r="U189" s="103"/>
      <c r="V189" s="103"/>
      <c r="Y189" s="103"/>
      <c r="Z189" s="103"/>
      <c r="AA189" s="103"/>
      <c r="AB189" s="103"/>
      <c r="AC189" s="103"/>
      <c r="AD189" s="103"/>
      <c r="AE189" s="103"/>
      <c r="AF189" s="103"/>
      <c r="AG189" s="185"/>
      <c r="AH189" s="103"/>
      <c r="AI189" s="103"/>
      <c r="AJ189" s="103"/>
      <c r="AK189" s="185"/>
      <c r="AL189" s="103"/>
      <c r="AM189" s="103"/>
      <c r="AN189" s="103"/>
    </row>
    <row r="190" spans="1:40" x14ac:dyDescent="0.25">
      <c r="A190" s="102"/>
      <c r="B190" s="102"/>
      <c r="C190" s="102"/>
      <c r="D190" s="102"/>
      <c r="E190" s="102"/>
      <c r="F190" s="102"/>
      <c r="G190" s="102"/>
      <c r="H190" s="102"/>
      <c r="I190" s="102"/>
      <c r="J190" s="335"/>
      <c r="K190" s="102"/>
      <c r="L190" s="102"/>
      <c r="M190" s="102"/>
      <c r="N190" s="102"/>
      <c r="O190" s="102"/>
      <c r="P190" s="102"/>
      <c r="Q190" s="102"/>
      <c r="R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208"/>
      <c r="AH190" s="102"/>
      <c r="AI190" s="102"/>
      <c r="AJ190" s="102"/>
      <c r="AK190" s="208"/>
      <c r="AL190" s="102"/>
      <c r="AM190" s="102"/>
      <c r="AN190" s="102"/>
    </row>
    <row r="191" spans="1:40" x14ac:dyDescent="0.25">
      <c r="H191" s="103"/>
      <c r="I191" s="103"/>
      <c r="J191" s="336"/>
      <c r="K191" s="103"/>
      <c r="L191" s="103"/>
      <c r="M191" s="103"/>
      <c r="N191" s="103"/>
      <c r="O191" s="103"/>
      <c r="P191" s="103"/>
      <c r="Q191" s="103"/>
      <c r="R191" s="103"/>
      <c r="Y191" s="103"/>
      <c r="Z191" s="103"/>
      <c r="AA191" s="103"/>
      <c r="AB191" s="103"/>
      <c r="AC191" s="103"/>
      <c r="AD191" s="103"/>
      <c r="AE191" s="103"/>
      <c r="AF191" s="103"/>
      <c r="AG191" s="185"/>
      <c r="AH191" s="103"/>
      <c r="AI191" s="103"/>
      <c r="AJ191" s="103"/>
      <c r="AK191" s="185"/>
      <c r="AL191" s="103"/>
      <c r="AM191" s="103"/>
      <c r="AN191" s="103"/>
    </row>
    <row r="192" spans="1:40" x14ac:dyDescent="0.25">
      <c r="A192" s="202"/>
      <c r="C192" s="154"/>
      <c r="D192" s="154"/>
      <c r="E192" s="154"/>
      <c r="J192" s="394"/>
      <c r="T192" s="154"/>
      <c r="U192" s="154"/>
    </row>
    <row r="193" spans="1:40" x14ac:dyDescent="0.25">
      <c r="A193" s="202"/>
      <c r="D193" s="154"/>
      <c r="E193" s="154"/>
      <c r="J193" s="394"/>
      <c r="U193" s="154"/>
    </row>
    <row r="194" spans="1:40" x14ac:dyDescent="0.25">
      <c r="J194" s="394"/>
    </row>
    <row r="195" spans="1:40" x14ac:dyDescent="0.25">
      <c r="A195" s="202"/>
      <c r="C195" s="154"/>
      <c r="F195" s="200"/>
      <c r="J195" s="334"/>
      <c r="K195" s="215"/>
      <c r="L195" s="200"/>
      <c r="M195" s="200"/>
      <c r="R195" s="200"/>
      <c r="T195" s="154"/>
      <c r="V195" s="200"/>
      <c r="Z195" s="215"/>
      <c r="AA195" s="200"/>
      <c r="AB195" s="200"/>
      <c r="AK195" s="209"/>
      <c r="AL195" s="200"/>
    </row>
    <row r="196" spans="1:40" x14ac:dyDescent="0.25">
      <c r="F196" s="200"/>
      <c r="J196" s="394"/>
      <c r="R196" s="200"/>
      <c r="V196" s="200"/>
      <c r="AK196" s="209"/>
      <c r="AL196" s="200"/>
    </row>
    <row r="197" spans="1:40" x14ac:dyDescent="0.25">
      <c r="A197" s="202"/>
      <c r="C197" s="154"/>
      <c r="F197" s="252"/>
      <c r="H197" s="252"/>
      <c r="I197" s="252"/>
      <c r="J197" s="329"/>
      <c r="K197" s="300"/>
      <c r="L197" s="200"/>
      <c r="M197" s="200"/>
      <c r="N197" s="210"/>
      <c r="O197" s="210"/>
      <c r="P197" s="200"/>
      <c r="Q197" s="200"/>
      <c r="R197" s="200"/>
      <c r="T197" s="154"/>
      <c r="V197" s="200"/>
      <c r="Y197" s="200"/>
      <c r="Z197" s="300"/>
      <c r="AA197" s="200"/>
      <c r="AB197" s="200"/>
      <c r="AC197" s="210"/>
      <c r="AD197" s="210"/>
      <c r="AE197" s="200"/>
      <c r="AF197" s="200"/>
      <c r="AG197" s="209"/>
      <c r="AH197" s="201"/>
      <c r="AI197" s="200"/>
      <c r="AJ197" s="200"/>
      <c r="AK197" s="209"/>
      <c r="AL197" s="200"/>
      <c r="AM197" s="210"/>
      <c r="AN197" s="210"/>
    </row>
    <row r="198" spans="1:40" x14ac:dyDescent="0.25">
      <c r="A198" s="202"/>
      <c r="C198" s="154"/>
      <c r="F198" s="252"/>
      <c r="H198" s="317"/>
      <c r="I198" s="317"/>
      <c r="J198" s="329"/>
      <c r="K198" s="300"/>
      <c r="L198" s="200"/>
      <c r="M198" s="200"/>
      <c r="N198" s="210"/>
      <c r="O198" s="210"/>
      <c r="P198" s="200"/>
      <c r="Q198" s="200"/>
      <c r="R198" s="200"/>
      <c r="T198" s="154"/>
      <c r="V198" s="200"/>
      <c r="Y198" s="200"/>
      <c r="Z198" s="300"/>
      <c r="AA198" s="200"/>
      <c r="AB198" s="200"/>
      <c r="AC198" s="210"/>
      <c r="AD198" s="210"/>
      <c r="AE198" s="200"/>
      <c r="AF198" s="200"/>
      <c r="AG198" s="209"/>
      <c r="AH198" s="201"/>
      <c r="AI198" s="200"/>
      <c r="AJ198" s="200"/>
      <c r="AK198" s="209"/>
      <c r="AL198" s="200"/>
      <c r="AM198" s="210"/>
      <c r="AN198" s="210"/>
    </row>
    <row r="199" spans="1:40" x14ac:dyDescent="0.25">
      <c r="F199" s="211"/>
      <c r="H199" s="200"/>
      <c r="I199" s="200"/>
      <c r="J199" s="329"/>
      <c r="K199" s="305"/>
      <c r="L199" s="211"/>
      <c r="M199" s="211"/>
      <c r="N199" s="211"/>
      <c r="O199" s="211"/>
      <c r="P199" s="211"/>
      <c r="Q199" s="211"/>
      <c r="R199" s="211"/>
      <c r="V199" s="211"/>
      <c r="Y199" s="200"/>
      <c r="Z199" s="305"/>
      <c r="AA199" s="211"/>
      <c r="AB199" s="211"/>
      <c r="AC199" s="211"/>
      <c r="AD199" s="211"/>
      <c r="AE199" s="211"/>
      <c r="AF199" s="211"/>
      <c r="AI199" s="211"/>
      <c r="AJ199" s="211"/>
      <c r="AK199" s="212"/>
      <c r="AL199" s="211"/>
    </row>
    <row r="200" spans="1:40" x14ac:dyDescent="0.25">
      <c r="A200" s="202"/>
      <c r="C200" s="154"/>
      <c r="F200" s="200"/>
      <c r="H200" s="200"/>
      <c r="I200" s="200"/>
      <c r="J200" s="334"/>
      <c r="K200" s="213"/>
      <c r="L200" s="200"/>
      <c r="M200" s="200"/>
      <c r="N200" s="210"/>
      <c r="O200" s="210"/>
      <c r="P200" s="200"/>
      <c r="Q200" s="200"/>
      <c r="R200" s="200"/>
      <c r="T200" s="154"/>
      <c r="V200" s="200"/>
      <c r="Y200" s="200"/>
      <c r="Z200" s="213"/>
      <c r="AA200" s="200"/>
      <c r="AB200" s="200"/>
      <c r="AC200" s="210"/>
      <c r="AD200" s="210"/>
      <c r="AE200" s="200"/>
      <c r="AF200" s="200"/>
      <c r="AG200" s="209"/>
      <c r="AH200" s="201"/>
      <c r="AI200" s="200"/>
      <c r="AJ200" s="200"/>
      <c r="AK200" s="209"/>
      <c r="AL200" s="200"/>
      <c r="AM200" s="210"/>
      <c r="AN200" s="210"/>
    </row>
    <row r="201" spans="1:40" x14ac:dyDescent="0.25">
      <c r="F201" s="211"/>
      <c r="H201" s="200"/>
      <c r="I201" s="200"/>
      <c r="J201" s="329"/>
      <c r="K201" s="305"/>
      <c r="L201" s="211"/>
      <c r="M201" s="211"/>
      <c r="N201" s="211"/>
      <c r="O201" s="211"/>
      <c r="P201" s="211"/>
      <c r="Q201" s="211"/>
      <c r="R201" s="211"/>
      <c r="V201" s="211"/>
      <c r="Y201" s="200"/>
      <c r="Z201" s="305"/>
      <c r="AA201" s="211"/>
      <c r="AB201" s="211"/>
      <c r="AC201" s="211"/>
      <c r="AD201" s="211"/>
      <c r="AE201" s="211"/>
      <c r="AF201" s="211"/>
      <c r="AI201" s="211"/>
      <c r="AJ201" s="211"/>
      <c r="AK201" s="212"/>
      <c r="AL201" s="211"/>
    </row>
    <row r="202" spans="1:40" x14ac:dyDescent="0.25">
      <c r="F202" s="200"/>
      <c r="J202" s="394"/>
      <c r="R202" s="200"/>
      <c r="V202" s="200"/>
      <c r="AK202" s="209"/>
      <c r="AL202" s="200"/>
    </row>
    <row r="203" spans="1:40" x14ac:dyDescent="0.25">
      <c r="A203" s="202"/>
      <c r="C203" s="154"/>
      <c r="F203" s="200"/>
      <c r="J203" s="394"/>
      <c r="R203" s="200"/>
      <c r="T203" s="154"/>
      <c r="V203" s="200"/>
      <c r="AK203" s="209"/>
      <c r="AL203" s="200"/>
    </row>
    <row r="204" spans="1:40" x14ac:dyDescent="0.25">
      <c r="F204" s="200"/>
      <c r="J204" s="394"/>
      <c r="R204" s="200"/>
      <c r="V204" s="200"/>
      <c r="AK204" s="209"/>
      <c r="AL204" s="200"/>
    </row>
    <row r="205" spans="1:40" x14ac:dyDescent="0.25">
      <c r="A205" s="202"/>
      <c r="C205" s="154"/>
      <c r="F205" s="200"/>
      <c r="H205" s="252"/>
      <c r="I205" s="252"/>
      <c r="J205" s="329"/>
      <c r="K205" s="320"/>
      <c r="L205" s="200"/>
      <c r="M205" s="200"/>
      <c r="N205" s="210"/>
      <c r="O205" s="210"/>
      <c r="P205" s="252"/>
      <c r="Q205" s="252"/>
      <c r="R205" s="200"/>
      <c r="T205" s="154"/>
      <c r="V205" s="200"/>
      <c r="Y205" s="200"/>
      <c r="Z205" s="304"/>
      <c r="AA205" s="200"/>
      <c r="AB205" s="200"/>
      <c r="AC205" s="210"/>
      <c r="AD205" s="210"/>
      <c r="AE205" s="200"/>
      <c r="AF205" s="200"/>
      <c r="AG205" s="209"/>
      <c r="AH205" s="201"/>
      <c r="AI205" s="252"/>
      <c r="AJ205" s="252"/>
      <c r="AK205" s="209"/>
      <c r="AL205" s="200"/>
      <c r="AM205" s="210"/>
      <c r="AN205" s="210"/>
    </row>
    <row r="206" spans="1:40" x14ac:dyDescent="0.25">
      <c r="H206" s="211"/>
      <c r="I206" s="211"/>
      <c r="J206" s="329"/>
      <c r="K206" s="305"/>
      <c r="L206" s="211"/>
      <c r="M206" s="211"/>
      <c r="N206" s="211"/>
      <c r="O206" s="211"/>
      <c r="P206" s="211"/>
      <c r="Q206" s="211"/>
      <c r="R206" s="211"/>
      <c r="V206" s="211"/>
      <c r="Y206" s="211"/>
      <c r="Z206" s="305"/>
      <c r="AA206" s="211"/>
      <c r="AB206" s="211"/>
      <c r="AC206" s="211"/>
      <c r="AD206" s="211"/>
      <c r="AE206" s="211"/>
      <c r="AF206" s="211"/>
      <c r="AI206" s="211"/>
      <c r="AJ206" s="211"/>
      <c r="AK206" s="212"/>
      <c r="AL206" s="211"/>
    </row>
    <row r="207" spans="1:40" x14ac:dyDescent="0.25">
      <c r="F207" s="211"/>
      <c r="J207" s="394"/>
    </row>
    <row r="208" spans="1:40" x14ac:dyDescent="0.25">
      <c r="A208" s="202"/>
      <c r="C208" s="154"/>
      <c r="F208" s="200"/>
      <c r="H208" s="200"/>
      <c r="I208" s="200"/>
      <c r="J208" s="334"/>
      <c r="K208" s="215"/>
      <c r="L208" s="200"/>
      <c r="M208" s="200"/>
      <c r="N208" s="210"/>
      <c r="O208" s="210"/>
      <c r="P208" s="200"/>
      <c r="Q208" s="200"/>
      <c r="R208" s="200"/>
      <c r="T208" s="154"/>
      <c r="V208" s="200"/>
      <c r="Y208" s="200"/>
      <c r="Z208" s="215"/>
      <c r="AA208" s="200"/>
      <c r="AB208" s="200"/>
      <c r="AC208" s="210"/>
      <c r="AD208" s="210"/>
      <c r="AE208" s="200"/>
      <c r="AF208" s="200"/>
      <c r="AG208" s="209"/>
      <c r="AH208" s="201"/>
      <c r="AI208" s="200"/>
      <c r="AJ208" s="200"/>
      <c r="AK208" s="209"/>
      <c r="AL208" s="200"/>
      <c r="AM208" s="210"/>
      <c r="AN208" s="210"/>
    </row>
    <row r="209" spans="1:40" x14ac:dyDescent="0.25">
      <c r="F209" s="211"/>
      <c r="H209" s="211"/>
      <c r="I209" s="211"/>
      <c r="J209" s="329"/>
      <c r="K209" s="305"/>
      <c r="L209" s="211"/>
      <c r="M209" s="211"/>
      <c r="N209" s="211"/>
      <c r="O209" s="211"/>
      <c r="P209" s="211"/>
      <c r="Q209" s="211"/>
      <c r="R209" s="211"/>
      <c r="V209" s="211"/>
      <c r="Y209" s="211"/>
      <c r="Z209" s="305"/>
      <c r="AA209" s="211"/>
      <c r="AB209" s="211"/>
      <c r="AC209" s="211"/>
      <c r="AD209" s="211"/>
      <c r="AE209" s="211"/>
      <c r="AF209" s="211"/>
      <c r="AI209" s="211"/>
      <c r="AJ209" s="211"/>
      <c r="AK209" s="212"/>
      <c r="AL209" s="211"/>
    </row>
    <row r="210" spans="1:40" x14ac:dyDescent="0.25">
      <c r="J210" s="394"/>
      <c r="R210" s="200"/>
      <c r="AG210" s="209"/>
      <c r="AH210" s="200"/>
    </row>
    <row r="211" spans="1:40" x14ac:dyDescent="0.25">
      <c r="F211" s="200"/>
      <c r="H211" s="200"/>
      <c r="I211" s="200"/>
      <c r="J211" s="334"/>
      <c r="K211" s="213"/>
      <c r="L211" s="200"/>
      <c r="M211" s="200"/>
      <c r="N211" s="200"/>
      <c r="O211" s="200"/>
      <c r="P211" s="200"/>
      <c r="Q211" s="200"/>
      <c r="R211" s="200"/>
      <c r="V211" s="200"/>
      <c r="Y211" s="200"/>
      <c r="Z211" s="213"/>
      <c r="AA211" s="200"/>
      <c r="AB211" s="200"/>
      <c r="AC211" s="200"/>
      <c r="AD211" s="200"/>
      <c r="AE211" s="200"/>
      <c r="AF211" s="200"/>
      <c r="AG211" s="209"/>
      <c r="AH211" s="200"/>
    </row>
    <row r="212" spans="1:40" x14ac:dyDescent="0.25">
      <c r="C212" s="154"/>
      <c r="F212" s="200"/>
      <c r="H212" s="200"/>
      <c r="I212" s="200"/>
      <c r="J212" s="334"/>
      <c r="K212" s="213"/>
      <c r="L212" s="200"/>
      <c r="M212" s="200"/>
      <c r="N212" s="200"/>
      <c r="O212" s="200"/>
      <c r="P212" s="200"/>
      <c r="Q212" s="200"/>
      <c r="R212" s="200"/>
      <c r="T212" s="154"/>
      <c r="V212" s="200"/>
      <c r="Y212" s="200"/>
      <c r="Z212" s="213"/>
      <c r="AA212" s="200"/>
      <c r="AB212" s="200"/>
      <c r="AC212" s="200"/>
      <c r="AD212" s="200"/>
      <c r="AE212" s="200"/>
      <c r="AF212" s="200"/>
      <c r="AG212" s="209"/>
      <c r="AH212" s="200"/>
    </row>
    <row r="213" spans="1:40" x14ac:dyDescent="0.25">
      <c r="A213" s="154"/>
      <c r="J213" s="394"/>
    </row>
    <row r="214" spans="1:40" x14ac:dyDescent="0.25">
      <c r="J214" s="394"/>
    </row>
    <row r="215" spans="1:40" x14ac:dyDescent="0.25">
      <c r="J215" s="334"/>
      <c r="K215" s="202"/>
      <c r="Z215" s="202"/>
    </row>
    <row r="216" spans="1:40" x14ac:dyDescent="0.25">
      <c r="H216" s="154"/>
      <c r="I216" s="154"/>
      <c r="J216" s="394"/>
      <c r="Y216" s="154"/>
    </row>
    <row r="217" spans="1:40" x14ac:dyDescent="0.25">
      <c r="J217" s="334"/>
      <c r="K217" s="202"/>
      <c r="Z217" s="202"/>
    </row>
    <row r="218" spans="1:40" x14ac:dyDescent="0.25">
      <c r="J218" s="394"/>
      <c r="L218" s="154"/>
      <c r="M218" s="154"/>
      <c r="AA218" s="154"/>
      <c r="AB218" s="154"/>
    </row>
    <row r="219" spans="1:40" x14ac:dyDescent="0.25">
      <c r="A219" s="202"/>
      <c r="J219" s="394"/>
      <c r="R219" s="154"/>
      <c r="AK219" s="297"/>
      <c r="AL219" s="154"/>
    </row>
    <row r="220" spans="1:40" x14ac:dyDescent="0.25">
      <c r="A220" s="202"/>
      <c r="J220" s="394"/>
      <c r="R220" s="154"/>
      <c r="AK220" s="297"/>
      <c r="AL220" s="154"/>
    </row>
    <row r="221" spans="1:40" x14ac:dyDescent="0.25">
      <c r="A221" s="154"/>
      <c r="J221" s="394"/>
      <c r="R221" s="154"/>
      <c r="AK221" s="297"/>
      <c r="AL221" s="154"/>
    </row>
    <row r="222" spans="1:40" x14ac:dyDescent="0.25">
      <c r="J222" s="394"/>
      <c r="L222" s="154"/>
      <c r="M222" s="154"/>
      <c r="R222" s="202"/>
      <c r="AA222" s="154"/>
      <c r="AB222" s="154"/>
      <c r="AK222" s="209"/>
      <c r="AL222" s="202"/>
    </row>
    <row r="223" spans="1:40" x14ac:dyDescent="0.25">
      <c r="A223" s="102"/>
      <c r="B223" s="102"/>
      <c r="C223" s="102"/>
      <c r="D223" s="102"/>
      <c r="E223" s="102"/>
      <c r="F223" s="102"/>
      <c r="G223" s="102"/>
      <c r="H223" s="102"/>
      <c r="I223" s="102"/>
      <c r="J223" s="335"/>
      <c r="K223" s="102"/>
      <c r="L223" s="102"/>
      <c r="M223" s="102"/>
      <c r="N223" s="102"/>
      <c r="O223" s="102"/>
      <c r="P223" s="102"/>
      <c r="Q223" s="102"/>
      <c r="R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208"/>
      <c r="AH223" s="102"/>
      <c r="AI223" s="102"/>
      <c r="AJ223" s="102"/>
      <c r="AK223" s="208"/>
      <c r="AL223" s="102"/>
      <c r="AM223" s="102"/>
      <c r="AN223" s="102"/>
    </row>
    <row r="224" spans="1:40" x14ac:dyDescent="0.25">
      <c r="J224" s="394"/>
      <c r="L224" s="103"/>
      <c r="M224" s="103"/>
      <c r="N224" s="103"/>
      <c r="O224" s="103"/>
      <c r="R224" s="103"/>
      <c r="AA224" s="103"/>
      <c r="AB224" s="103"/>
      <c r="AC224" s="103"/>
      <c r="AD224" s="103"/>
      <c r="AE224" s="103"/>
      <c r="AF224" s="103"/>
      <c r="AG224" s="185"/>
      <c r="AH224" s="103"/>
      <c r="AK224" s="185"/>
      <c r="AL224" s="103"/>
      <c r="AM224" s="103"/>
      <c r="AN224" s="103"/>
    </row>
    <row r="225" spans="1:40" x14ac:dyDescent="0.25">
      <c r="J225" s="394"/>
      <c r="L225" s="103"/>
      <c r="M225" s="103"/>
      <c r="N225" s="103"/>
      <c r="O225" s="103"/>
      <c r="R225" s="103"/>
      <c r="Z225" s="103"/>
      <c r="AA225" s="103"/>
      <c r="AB225" s="103"/>
      <c r="AC225" s="103"/>
      <c r="AD225" s="103"/>
      <c r="AE225" s="103"/>
      <c r="AF225" s="103"/>
      <c r="AG225" s="185"/>
      <c r="AH225" s="103"/>
      <c r="AK225" s="185"/>
      <c r="AL225" s="103"/>
      <c r="AM225" s="103"/>
      <c r="AN225" s="103"/>
    </row>
    <row r="226" spans="1:40" x14ac:dyDescent="0.25">
      <c r="A226" s="103"/>
      <c r="C226" s="103"/>
      <c r="D226" s="103"/>
      <c r="E226" s="103"/>
      <c r="F226" s="103"/>
      <c r="J226" s="336"/>
      <c r="K226" s="103"/>
      <c r="L226" s="103"/>
      <c r="M226" s="103"/>
      <c r="N226" s="103"/>
      <c r="O226" s="103"/>
      <c r="P226" s="103"/>
      <c r="Q226" s="103"/>
      <c r="R226" s="103"/>
      <c r="T226" s="103"/>
      <c r="U226" s="103"/>
      <c r="V226" s="103"/>
      <c r="Z226" s="103"/>
      <c r="AA226" s="103"/>
      <c r="AB226" s="103"/>
      <c r="AC226" s="103"/>
      <c r="AD226" s="103"/>
      <c r="AE226" s="103"/>
      <c r="AF226" s="103"/>
      <c r="AG226" s="185"/>
      <c r="AH226" s="103"/>
      <c r="AI226" s="103"/>
      <c r="AJ226" s="103"/>
      <c r="AK226" s="185"/>
      <c r="AL226" s="103"/>
      <c r="AM226" s="103"/>
      <c r="AN226" s="103"/>
    </row>
    <row r="227" spans="1:40" x14ac:dyDescent="0.25">
      <c r="A227" s="103"/>
      <c r="C227" s="103"/>
      <c r="D227" s="103"/>
      <c r="E227" s="103"/>
      <c r="F227" s="103"/>
      <c r="H227" s="103"/>
      <c r="I227" s="103"/>
      <c r="J227" s="336"/>
      <c r="K227" s="103"/>
      <c r="L227" s="103"/>
      <c r="M227" s="103"/>
      <c r="N227" s="103"/>
      <c r="O227" s="103"/>
      <c r="P227" s="103"/>
      <c r="Q227" s="103"/>
      <c r="R227" s="103"/>
      <c r="T227" s="103"/>
      <c r="U227" s="103"/>
      <c r="V227" s="103"/>
      <c r="Y227" s="103"/>
      <c r="Z227" s="103"/>
      <c r="AA227" s="103"/>
      <c r="AB227" s="103"/>
      <c r="AC227" s="103"/>
      <c r="AD227" s="103"/>
      <c r="AE227" s="103"/>
      <c r="AF227" s="103"/>
      <c r="AG227" s="185"/>
      <c r="AH227" s="103"/>
      <c r="AI227" s="103"/>
      <c r="AJ227" s="103"/>
      <c r="AK227" s="185"/>
      <c r="AL227" s="103"/>
      <c r="AM227" s="103"/>
      <c r="AN227" s="103"/>
    </row>
    <row r="228" spans="1:40" x14ac:dyDescent="0.25">
      <c r="C228" s="103"/>
      <c r="D228" s="103"/>
      <c r="E228" s="103"/>
      <c r="F228" s="103"/>
      <c r="H228" s="103"/>
      <c r="I228" s="103"/>
      <c r="J228" s="336"/>
      <c r="K228" s="103"/>
      <c r="L228" s="103"/>
      <c r="M228" s="103"/>
      <c r="N228" s="103"/>
      <c r="O228" s="103"/>
      <c r="P228" s="103"/>
      <c r="Q228" s="103"/>
      <c r="R228" s="103"/>
      <c r="T228" s="103"/>
      <c r="U228" s="103"/>
      <c r="V228" s="103"/>
      <c r="Y228" s="103"/>
      <c r="Z228" s="103"/>
      <c r="AA228" s="103"/>
      <c r="AB228" s="103"/>
      <c r="AC228" s="103"/>
      <c r="AD228" s="103"/>
      <c r="AE228" s="103"/>
      <c r="AF228" s="103"/>
      <c r="AG228" s="185"/>
      <c r="AH228" s="103"/>
      <c r="AI228" s="103"/>
      <c r="AJ228" s="103"/>
      <c r="AK228" s="185"/>
      <c r="AL228" s="103"/>
      <c r="AM228" s="103"/>
      <c r="AN228" s="103"/>
    </row>
    <row r="229" spans="1:40" x14ac:dyDescent="0.25">
      <c r="A229" s="102"/>
      <c r="B229" s="102"/>
      <c r="C229" s="102"/>
      <c r="D229" s="102"/>
      <c r="E229" s="102"/>
      <c r="F229" s="102"/>
      <c r="G229" s="102"/>
      <c r="H229" s="102"/>
      <c r="I229" s="102"/>
      <c r="J229" s="335"/>
      <c r="K229" s="102"/>
      <c r="L229" s="102"/>
      <c r="M229" s="102"/>
      <c r="N229" s="102"/>
      <c r="O229" s="102"/>
      <c r="P229" s="102"/>
      <c r="Q229" s="102"/>
      <c r="R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208"/>
      <c r="AH229" s="102"/>
      <c r="AI229" s="102"/>
      <c r="AJ229" s="102"/>
      <c r="AK229" s="208"/>
      <c r="AL229" s="102"/>
      <c r="AM229" s="102"/>
      <c r="AN229" s="102"/>
    </row>
    <row r="230" spans="1:40" x14ac:dyDescent="0.25">
      <c r="H230" s="103"/>
      <c r="I230" s="103"/>
      <c r="J230" s="336"/>
      <c r="K230" s="103"/>
      <c r="L230" s="103"/>
      <c r="M230" s="103"/>
      <c r="N230" s="103"/>
      <c r="O230" s="103"/>
      <c r="P230" s="103"/>
      <c r="Q230" s="103"/>
      <c r="R230" s="103"/>
      <c r="Y230" s="103"/>
      <c r="Z230" s="103"/>
      <c r="AA230" s="103"/>
      <c r="AB230" s="103"/>
      <c r="AC230" s="103"/>
      <c r="AD230" s="103"/>
      <c r="AE230" s="103"/>
      <c r="AF230" s="103"/>
      <c r="AG230" s="185"/>
      <c r="AH230" s="103"/>
      <c r="AI230" s="103"/>
      <c r="AJ230" s="103"/>
      <c r="AK230" s="185"/>
      <c r="AL230" s="103"/>
      <c r="AM230" s="103"/>
      <c r="AN230" s="103"/>
    </row>
    <row r="231" spans="1:40" x14ac:dyDescent="0.25">
      <c r="A231" s="202"/>
      <c r="C231" s="154"/>
      <c r="D231" s="154"/>
      <c r="E231" s="154"/>
      <c r="J231" s="394"/>
      <c r="T231" s="154"/>
      <c r="U231" s="154"/>
    </row>
    <row r="232" spans="1:40" x14ac:dyDescent="0.25">
      <c r="A232" s="202"/>
      <c r="C232" s="154"/>
      <c r="J232" s="394"/>
      <c r="T232" s="154"/>
    </row>
    <row r="233" spans="1:40" x14ac:dyDescent="0.25">
      <c r="J233" s="394"/>
    </row>
    <row r="234" spans="1:40" x14ac:dyDescent="0.25">
      <c r="A234" s="202"/>
      <c r="C234" s="154"/>
      <c r="F234" s="252"/>
      <c r="H234" s="252"/>
      <c r="I234" s="252"/>
      <c r="J234" s="329"/>
      <c r="K234" s="300"/>
      <c r="L234" s="200"/>
      <c r="M234" s="200"/>
      <c r="N234" s="210"/>
      <c r="O234" s="210"/>
      <c r="P234" s="202"/>
      <c r="Q234" s="202"/>
      <c r="R234" s="200"/>
      <c r="T234" s="154"/>
      <c r="V234" s="200"/>
      <c r="Y234" s="252"/>
      <c r="Z234" s="300"/>
      <c r="AA234" s="200"/>
      <c r="AB234" s="200"/>
      <c r="AC234" s="210"/>
      <c r="AD234" s="210"/>
      <c r="AE234" s="200"/>
      <c r="AF234" s="200"/>
      <c r="AG234" s="209"/>
      <c r="AH234" s="201"/>
      <c r="AI234" s="202"/>
      <c r="AJ234" s="202"/>
      <c r="AK234" s="209"/>
      <c r="AL234" s="200"/>
      <c r="AM234" s="210"/>
      <c r="AN234" s="210"/>
    </row>
    <row r="235" spans="1:40" x14ac:dyDescent="0.25">
      <c r="F235" s="211"/>
      <c r="H235" s="200"/>
      <c r="I235" s="200"/>
      <c r="J235" s="329"/>
      <c r="K235" s="305"/>
      <c r="L235" s="211"/>
      <c r="M235" s="211"/>
      <c r="N235" s="211"/>
      <c r="O235" s="211"/>
      <c r="P235" s="211"/>
      <c r="Q235" s="211"/>
      <c r="R235" s="211"/>
      <c r="V235" s="211"/>
      <c r="Y235" s="200"/>
      <c r="Z235" s="305"/>
      <c r="AA235" s="211"/>
      <c r="AB235" s="211"/>
      <c r="AC235" s="211"/>
      <c r="AD235" s="211"/>
      <c r="AE235" s="211"/>
      <c r="AF235" s="211"/>
      <c r="AI235" s="211"/>
      <c r="AJ235" s="211"/>
      <c r="AK235" s="212"/>
      <c r="AL235" s="211"/>
      <c r="AM235" s="210"/>
      <c r="AN235" s="210"/>
    </row>
    <row r="236" spans="1:40" x14ac:dyDescent="0.25">
      <c r="A236" s="202"/>
      <c r="C236" s="154"/>
      <c r="F236" s="252"/>
      <c r="H236" s="252"/>
      <c r="I236" s="252"/>
      <c r="J236" s="329"/>
      <c r="K236" s="328"/>
      <c r="L236" s="200"/>
      <c r="M236" s="200"/>
      <c r="N236" s="210"/>
      <c r="O236" s="210"/>
      <c r="P236" s="200"/>
      <c r="Q236" s="200"/>
      <c r="R236" s="200"/>
      <c r="S236" s="200"/>
      <c r="T236" s="154"/>
      <c r="V236" s="252"/>
      <c r="Y236" s="252"/>
      <c r="Z236" s="328"/>
      <c r="AA236" s="200"/>
      <c r="AB236" s="200"/>
      <c r="AC236" s="210"/>
      <c r="AD236" s="210"/>
      <c r="AE236" s="200"/>
      <c r="AF236" s="200"/>
      <c r="AG236" s="209"/>
      <c r="AH236" s="210"/>
      <c r="AI236" s="200"/>
      <c r="AJ236" s="200"/>
      <c r="AK236" s="209"/>
      <c r="AL236" s="200"/>
      <c r="AM236" s="210"/>
      <c r="AN236" s="210"/>
    </row>
    <row r="237" spans="1:40" x14ac:dyDescent="0.25">
      <c r="A237" s="202"/>
      <c r="C237" s="154"/>
      <c r="F237" s="252"/>
      <c r="H237" s="252"/>
      <c r="I237" s="252"/>
      <c r="J237" s="329"/>
      <c r="K237" s="300"/>
      <c r="L237" s="200"/>
      <c r="M237" s="200"/>
      <c r="N237" s="210"/>
      <c r="O237" s="210"/>
      <c r="P237" s="200"/>
      <c r="Q237" s="200"/>
      <c r="R237" s="200"/>
      <c r="T237" s="154"/>
      <c r="V237" s="252"/>
      <c r="Y237" s="200"/>
      <c r="Z237" s="300"/>
      <c r="AA237" s="200"/>
      <c r="AB237" s="200"/>
      <c r="AC237" s="210"/>
      <c r="AD237" s="210"/>
      <c r="AE237" s="200"/>
      <c r="AF237" s="200"/>
      <c r="AG237" s="209"/>
      <c r="AH237" s="201"/>
      <c r="AI237" s="200"/>
      <c r="AJ237" s="200"/>
      <c r="AK237" s="209"/>
      <c r="AL237" s="200"/>
      <c r="AM237" s="210"/>
      <c r="AN237" s="210"/>
    </row>
    <row r="238" spans="1:40" x14ac:dyDescent="0.25">
      <c r="A238" s="202"/>
      <c r="C238" s="154"/>
      <c r="F238" s="252"/>
      <c r="H238" s="252"/>
      <c r="I238" s="252"/>
      <c r="J238" s="329"/>
      <c r="K238" s="300"/>
      <c r="L238" s="200"/>
      <c r="M238" s="200"/>
      <c r="N238" s="210"/>
      <c r="O238" s="210"/>
      <c r="P238" s="200"/>
      <c r="Q238" s="200"/>
      <c r="R238" s="200"/>
      <c r="T238" s="154"/>
      <c r="V238" s="252"/>
      <c r="Y238" s="200"/>
      <c r="Z238" s="300"/>
      <c r="AA238" s="200"/>
      <c r="AB238" s="200"/>
      <c r="AC238" s="210"/>
      <c r="AD238" s="210"/>
      <c r="AE238" s="200"/>
      <c r="AF238" s="200"/>
      <c r="AG238" s="209"/>
      <c r="AH238" s="201"/>
      <c r="AI238" s="200"/>
      <c r="AJ238" s="200"/>
      <c r="AK238" s="209"/>
      <c r="AL238" s="200"/>
      <c r="AM238" s="210"/>
      <c r="AN238" s="210"/>
    </row>
    <row r="239" spans="1:40" x14ac:dyDescent="0.25">
      <c r="F239" s="211"/>
      <c r="H239" s="211"/>
      <c r="I239" s="211"/>
      <c r="J239" s="329"/>
      <c r="K239" s="305"/>
      <c r="L239" s="211"/>
      <c r="M239" s="211"/>
      <c r="N239" s="211"/>
      <c r="O239" s="211"/>
      <c r="P239" s="211"/>
      <c r="Q239" s="211"/>
      <c r="R239" s="211"/>
      <c r="V239" s="211"/>
      <c r="Y239" s="211"/>
      <c r="Z239" s="305"/>
      <c r="AA239" s="211"/>
      <c r="AB239" s="211"/>
      <c r="AC239" s="211"/>
      <c r="AD239" s="211"/>
      <c r="AE239" s="211"/>
      <c r="AF239" s="211"/>
      <c r="AI239" s="211"/>
      <c r="AJ239" s="211"/>
      <c r="AK239" s="212"/>
      <c r="AL239" s="211"/>
      <c r="AM239" s="210"/>
      <c r="AN239" s="210"/>
    </row>
    <row r="240" spans="1:40" x14ac:dyDescent="0.25">
      <c r="A240" s="202"/>
      <c r="C240" s="154"/>
      <c r="F240" s="200"/>
      <c r="H240" s="200"/>
      <c r="I240" s="200"/>
      <c r="J240" s="334"/>
      <c r="K240" s="213"/>
      <c r="L240" s="200"/>
      <c r="M240" s="200"/>
      <c r="N240" s="210"/>
      <c r="O240" s="210"/>
      <c r="P240" s="200"/>
      <c r="Q240" s="200"/>
      <c r="R240" s="200"/>
      <c r="T240" s="154"/>
      <c r="V240" s="200"/>
      <c r="Y240" s="200"/>
      <c r="Z240" s="213"/>
      <c r="AA240" s="200"/>
      <c r="AB240" s="200"/>
      <c r="AC240" s="210"/>
      <c r="AD240" s="210"/>
      <c r="AE240" s="200"/>
      <c r="AF240" s="200"/>
      <c r="AG240" s="209"/>
      <c r="AH240" s="201"/>
      <c r="AI240" s="200"/>
      <c r="AJ240" s="200"/>
      <c r="AK240" s="209"/>
      <c r="AL240" s="200"/>
      <c r="AM240" s="210"/>
      <c r="AN240" s="210"/>
    </row>
    <row r="241" spans="1:40" x14ac:dyDescent="0.25">
      <c r="F241" s="211"/>
      <c r="H241" s="211"/>
      <c r="I241" s="211"/>
      <c r="J241" s="329"/>
      <c r="K241" s="305"/>
      <c r="L241" s="211"/>
      <c r="M241" s="211"/>
      <c r="N241" s="211"/>
      <c r="O241" s="211"/>
      <c r="P241" s="211"/>
      <c r="Q241" s="211"/>
      <c r="R241" s="211"/>
      <c r="V241" s="211"/>
      <c r="Y241" s="211"/>
      <c r="Z241" s="305"/>
      <c r="AA241" s="211"/>
      <c r="AB241" s="211"/>
      <c r="AC241" s="211"/>
      <c r="AD241" s="211"/>
      <c r="AE241" s="211"/>
      <c r="AF241" s="211"/>
      <c r="AI241" s="211"/>
      <c r="AJ241" s="211"/>
      <c r="AK241" s="212"/>
      <c r="AL241" s="211"/>
      <c r="AM241" s="210"/>
      <c r="AN241" s="210"/>
    </row>
    <row r="242" spans="1:40" x14ac:dyDescent="0.25">
      <c r="A242" s="202"/>
      <c r="C242" s="154"/>
      <c r="F242" s="200"/>
      <c r="H242" s="200"/>
      <c r="I242" s="200"/>
      <c r="J242" s="334"/>
      <c r="K242" s="213"/>
      <c r="L242" s="200"/>
      <c r="M242" s="200"/>
      <c r="N242" s="210"/>
      <c r="O242" s="210"/>
      <c r="P242" s="200"/>
      <c r="Q242" s="200"/>
      <c r="R242" s="200"/>
      <c r="T242" s="154"/>
      <c r="V242" s="200"/>
      <c r="Y242" s="200"/>
      <c r="Z242" s="213"/>
      <c r="AA242" s="200"/>
      <c r="AB242" s="200"/>
      <c r="AC242" s="210"/>
      <c r="AD242" s="210"/>
      <c r="AE242" s="200"/>
      <c r="AF242" s="200"/>
      <c r="AG242" s="209"/>
      <c r="AH242" s="201"/>
      <c r="AI242" s="200"/>
      <c r="AJ242" s="200"/>
      <c r="AK242" s="209"/>
      <c r="AL242" s="200"/>
      <c r="AM242" s="210"/>
      <c r="AN242" s="210"/>
    </row>
    <row r="243" spans="1:40" x14ac:dyDescent="0.25">
      <c r="A243" s="202"/>
      <c r="C243" s="154"/>
      <c r="F243" s="200"/>
      <c r="H243" s="252"/>
      <c r="I243" s="252"/>
      <c r="J243" s="329"/>
      <c r="K243" s="320"/>
      <c r="L243" s="200"/>
      <c r="M243" s="200"/>
      <c r="N243" s="210"/>
      <c r="O243" s="210"/>
      <c r="P243" s="200"/>
      <c r="Q243" s="200"/>
      <c r="R243" s="200"/>
      <c r="T243" s="154"/>
      <c r="V243" s="200"/>
      <c r="Y243" s="200"/>
      <c r="Z243" s="304"/>
      <c r="AA243" s="200"/>
      <c r="AB243" s="200"/>
      <c r="AC243" s="210"/>
      <c r="AD243" s="210"/>
      <c r="AE243" s="200"/>
      <c r="AF243" s="200"/>
      <c r="AG243" s="209"/>
      <c r="AH243" s="201"/>
      <c r="AI243" s="200"/>
      <c r="AJ243" s="200"/>
      <c r="AK243" s="209"/>
      <c r="AL243" s="200"/>
      <c r="AM243" s="210"/>
      <c r="AN243" s="210"/>
    </row>
    <row r="244" spans="1:40" x14ac:dyDescent="0.25">
      <c r="H244" s="211"/>
      <c r="I244" s="211"/>
      <c r="J244" s="329"/>
      <c r="K244" s="305"/>
      <c r="L244" s="211"/>
      <c r="M244" s="211"/>
      <c r="N244" s="211"/>
      <c r="O244" s="211"/>
      <c r="P244" s="211"/>
      <c r="Q244" s="211"/>
      <c r="R244" s="211"/>
      <c r="V244" s="211"/>
      <c r="Y244" s="211"/>
      <c r="Z244" s="305"/>
      <c r="AA244" s="211"/>
      <c r="AB244" s="211"/>
      <c r="AC244" s="211"/>
      <c r="AD244" s="211"/>
      <c r="AE244" s="211"/>
      <c r="AF244" s="211"/>
      <c r="AI244" s="211"/>
      <c r="AJ244" s="211"/>
      <c r="AK244" s="212"/>
      <c r="AL244" s="211"/>
      <c r="AM244" s="210"/>
      <c r="AN244" s="210"/>
    </row>
    <row r="245" spans="1:40" x14ac:dyDescent="0.25">
      <c r="F245" s="211"/>
      <c r="J245" s="394"/>
    </row>
    <row r="246" spans="1:40" x14ac:dyDescent="0.25">
      <c r="A246" s="202"/>
      <c r="C246" s="154"/>
      <c r="F246" s="200"/>
      <c r="H246" s="200"/>
      <c r="I246" s="200"/>
      <c r="J246" s="329"/>
      <c r="K246" s="305"/>
      <c r="L246" s="200"/>
      <c r="M246" s="200"/>
      <c r="N246" s="210"/>
      <c r="O246" s="210"/>
      <c r="P246" s="200"/>
      <c r="Q246" s="200"/>
      <c r="R246" s="200"/>
      <c r="S246" s="200"/>
      <c r="T246" s="154"/>
      <c r="V246" s="200"/>
      <c r="Y246" s="200"/>
      <c r="Z246" s="305"/>
      <c r="AA246" s="200"/>
      <c r="AB246" s="200"/>
      <c r="AC246" s="210"/>
      <c r="AD246" s="210"/>
      <c r="AE246" s="200"/>
      <c r="AF246" s="200"/>
      <c r="AG246" s="209"/>
      <c r="AH246" s="210"/>
      <c r="AI246" s="200"/>
      <c r="AJ246" s="200"/>
      <c r="AK246" s="209"/>
      <c r="AL246" s="200"/>
      <c r="AM246" s="210"/>
      <c r="AN246" s="210"/>
    </row>
    <row r="247" spans="1:40" x14ac:dyDescent="0.25">
      <c r="F247" s="211"/>
      <c r="H247" s="211"/>
      <c r="I247" s="211"/>
      <c r="J247" s="329"/>
      <c r="K247" s="305"/>
      <c r="L247" s="211"/>
      <c r="M247" s="211"/>
      <c r="N247" s="211"/>
      <c r="O247" s="211"/>
      <c r="P247" s="211"/>
      <c r="Q247" s="211"/>
      <c r="R247" s="211"/>
      <c r="S247" s="200"/>
      <c r="V247" s="211"/>
      <c r="Y247" s="211"/>
      <c r="Z247" s="305"/>
      <c r="AA247" s="211"/>
      <c r="AB247" s="211"/>
      <c r="AC247" s="211"/>
      <c r="AD247" s="211"/>
      <c r="AE247" s="211"/>
      <c r="AF247" s="211"/>
      <c r="AI247" s="211"/>
      <c r="AJ247" s="211"/>
      <c r="AK247" s="212"/>
      <c r="AL247" s="211"/>
      <c r="AM247" s="210"/>
      <c r="AN247" s="210"/>
    </row>
    <row r="248" spans="1:40" x14ac:dyDescent="0.25">
      <c r="A248" s="202"/>
      <c r="C248" s="154"/>
      <c r="H248" s="252"/>
      <c r="I248" s="252"/>
      <c r="J248" s="329"/>
      <c r="K248" s="305"/>
      <c r="L248" s="200"/>
      <c r="M248" s="200"/>
      <c r="N248" s="210"/>
      <c r="O248" s="210"/>
      <c r="P248" s="200"/>
      <c r="Q248" s="200"/>
      <c r="R248" s="200"/>
      <c r="S248" s="200"/>
      <c r="T248" s="154"/>
      <c r="V248" s="252"/>
      <c r="Y248" s="252"/>
      <c r="Z248" s="305"/>
      <c r="AA248" s="200"/>
      <c r="AB248" s="200"/>
      <c r="AC248" s="210"/>
      <c r="AD248" s="210"/>
      <c r="AE248" s="200"/>
      <c r="AF248" s="200"/>
      <c r="AI248" s="200"/>
      <c r="AJ248" s="200"/>
      <c r="AK248" s="209"/>
      <c r="AL248" s="200"/>
      <c r="AM248" s="210"/>
      <c r="AN248" s="210"/>
    </row>
    <row r="249" spans="1:40" x14ac:dyDescent="0.25">
      <c r="F249" s="252"/>
      <c r="J249" s="394"/>
    </row>
    <row r="250" spans="1:40" x14ac:dyDescent="0.25">
      <c r="A250" s="202"/>
      <c r="C250" s="154"/>
      <c r="F250" s="252"/>
      <c r="H250" s="252"/>
      <c r="I250" s="252"/>
      <c r="J250" s="329"/>
      <c r="K250" s="300"/>
      <c r="L250" s="200"/>
      <c r="M250" s="200"/>
      <c r="N250" s="210"/>
      <c r="O250" s="210"/>
      <c r="P250" s="202"/>
      <c r="Q250" s="202"/>
      <c r="R250" s="200"/>
      <c r="T250" s="154"/>
      <c r="V250" s="200"/>
      <c r="Y250" s="252"/>
      <c r="Z250" s="300"/>
      <c r="AA250" s="200"/>
      <c r="AB250" s="200"/>
      <c r="AC250" s="210"/>
      <c r="AD250" s="210"/>
      <c r="AE250" s="200"/>
      <c r="AF250" s="200"/>
      <c r="AG250" s="209"/>
      <c r="AH250" s="201"/>
      <c r="AI250" s="202"/>
      <c r="AJ250" s="202"/>
      <c r="AK250" s="209"/>
      <c r="AL250" s="200"/>
      <c r="AM250" s="210"/>
      <c r="AN250" s="210"/>
    </row>
    <row r="251" spans="1:40" x14ac:dyDescent="0.25">
      <c r="F251" s="211"/>
      <c r="H251" s="200"/>
      <c r="I251" s="200"/>
      <c r="J251" s="329"/>
      <c r="K251" s="305"/>
      <c r="L251" s="211"/>
      <c r="M251" s="211"/>
      <c r="N251" s="211"/>
      <c r="O251" s="211"/>
      <c r="P251" s="211"/>
      <c r="Q251" s="211"/>
      <c r="R251" s="211"/>
      <c r="V251" s="211"/>
      <c r="Y251" s="200"/>
      <c r="Z251" s="305"/>
      <c r="AA251" s="211"/>
      <c r="AB251" s="211"/>
      <c r="AC251" s="211"/>
      <c r="AD251" s="211"/>
      <c r="AE251" s="211"/>
      <c r="AF251" s="211"/>
      <c r="AI251" s="211"/>
      <c r="AJ251" s="211"/>
      <c r="AK251" s="212"/>
      <c r="AL251" s="211"/>
      <c r="AM251" s="210"/>
      <c r="AN251" s="210"/>
    </row>
    <row r="252" spans="1:40" x14ac:dyDescent="0.25">
      <c r="A252" s="202"/>
      <c r="C252" s="154"/>
      <c r="F252" s="252"/>
      <c r="H252" s="252"/>
      <c r="I252" s="252"/>
      <c r="J252" s="329"/>
      <c r="K252" s="328"/>
      <c r="L252" s="200"/>
      <c r="M252" s="200"/>
      <c r="N252" s="210"/>
      <c r="O252" s="210"/>
      <c r="P252" s="200"/>
      <c r="Q252" s="200"/>
      <c r="R252" s="200"/>
      <c r="S252" s="200"/>
      <c r="T252" s="154"/>
      <c r="V252" s="252"/>
      <c r="Y252" s="252"/>
      <c r="Z252" s="328"/>
      <c r="AA252" s="200"/>
      <c r="AB252" s="200"/>
      <c r="AC252" s="210"/>
      <c r="AD252" s="210"/>
      <c r="AE252" s="200"/>
      <c r="AF252" s="200"/>
      <c r="AG252" s="209"/>
      <c r="AH252" s="210"/>
      <c r="AI252" s="200"/>
      <c r="AJ252" s="200"/>
      <c r="AK252" s="209"/>
      <c r="AL252" s="200"/>
      <c r="AM252" s="210"/>
      <c r="AN252" s="210"/>
    </row>
    <row r="253" spans="1:40" x14ac:dyDescent="0.25">
      <c r="A253" s="202"/>
      <c r="C253" s="154"/>
      <c r="F253" s="252"/>
      <c r="H253" s="252"/>
      <c r="I253" s="252"/>
      <c r="J253" s="329"/>
      <c r="K253" s="300"/>
      <c r="L253" s="200"/>
      <c r="M253" s="200"/>
      <c r="N253" s="210"/>
      <c r="O253" s="210"/>
      <c r="P253" s="200"/>
      <c r="Q253" s="200"/>
      <c r="R253" s="200"/>
      <c r="T253" s="154"/>
      <c r="V253" s="252"/>
      <c r="Y253" s="200"/>
      <c r="Z253" s="300"/>
      <c r="AA253" s="200"/>
      <c r="AB253" s="200"/>
      <c r="AC253" s="210"/>
      <c r="AD253" s="210"/>
      <c r="AE253" s="200"/>
      <c r="AF253" s="200"/>
      <c r="AG253" s="209"/>
      <c r="AH253" s="201"/>
      <c r="AI253" s="200"/>
      <c r="AJ253" s="200"/>
      <c r="AK253" s="209"/>
      <c r="AL253" s="200"/>
      <c r="AM253" s="210"/>
      <c r="AN253" s="210"/>
    </row>
    <row r="254" spans="1:40" x14ac:dyDescent="0.25">
      <c r="A254" s="202"/>
      <c r="C254" s="154"/>
      <c r="F254" s="252"/>
      <c r="H254" s="252"/>
      <c r="I254" s="252"/>
      <c r="J254" s="329"/>
      <c r="K254" s="300"/>
      <c r="L254" s="200"/>
      <c r="M254" s="200"/>
      <c r="N254" s="210"/>
      <c r="O254" s="210"/>
      <c r="P254" s="200"/>
      <c r="Q254" s="200"/>
      <c r="R254" s="200"/>
      <c r="T254" s="154"/>
      <c r="V254" s="252"/>
      <c r="Y254" s="200"/>
      <c r="Z254" s="300"/>
      <c r="AA254" s="200"/>
      <c r="AB254" s="200"/>
      <c r="AC254" s="210"/>
      <c r="AD254" s="210"/>
      <c r="AE254" s="200"/>
      <c r="AF254" s="200"/>
      <c r="AG254" s="209"/>
      <c r="AH254" s="201"/>
      <c r="AI254" s="200"/>
      <c r="AJ254" s="200"/>
      <c r="AK254" s="209"/>
      <c r="AL254" s="200"/>
      <c r="AM254" s="210"/>
      <c r="AN254" s="210"/>
    </row>
    <row r="255" spans="1:40" x14ac:dyDescent="0.25">
      <c r="F255" s="211"/>
      <c r="H255" s="211"/>
      <c r="I255" s="211"/>
      <c r="J255" s="329"/>
      <c r="K255" s="305"/>
      <c r="L255" s="211"/>
      <c r="M255" s="211"/>
      <c r="N255" s="211"/>
      <c r="O255" s="211"/>
      <c r="P255" s="211"/>
      <c r="Q255" s="211"/>
      <c r="R255" s="211"/>
      <c r="V255" s="211"/>
      <c r="Y255" s="211"/>
      <c r="Z255" s="305"/>
      <c r="AA255" s="211"/>
      <c r="AB255" s="211"/>
      <c r="AC255" s="211"/>
      <c r="AD255" s="211"/>
      <c r="AE255" s="211"/>
      <c r="AF255" s="211"/>
      <c r="AI255" s="211"/>
      <c r="AJ255" s="211"/>
      <c r="AK255" s="212"/>
      <c r="AL255" s="211"/>
      <c r="AM255" s="210"/>
      <c r="AN255" s="210"/>
    </row>
    <row r="256" spans="1:40" x14ac:dyDescent="0.25">
      <c r="A256" s="202"/>
      <c r="C256" s="154"/>
      <c r="F256" s="200"/>
      <c r="H256" s="200"/>
      <c r="I256" s="200"/>
      <c r="J256" s="334"/>
      <c r="K256" s="213"/>
      <c r="L256" s="200"/>
      <c r="M256" s="200"/>
      <c r="N256" s="210"/>
      <c r="O256" s="210"/>
      <c r="P256" s="200"/>
      <c r="Q256" s="200"/>
      <c r="R256" s="200"/>
      <c r="T256" s="154"/>
      <c r="V256" s="200"/>
      <c r="Y256" s="200"/>
      <c r="Z256" s="213"/>
      <c r="AA256" s="200"/>
      <c r="AB256" s="200"/>
      <c r="AC256" s="210"/>
      <c r="AD256" s="210"/>
      <c r="AE256" s="200"/>
      <c r="AF256" s="200"/>
      <c r="AG256" s="209"/>
      <c r="AH256" s="201"/>
      <c r="AI256" s="200"/>
      <c r="AJ256" s="200"/>
      <c r="AK256" s="209"/>
      <c r="AL256" s="200"/>
      <c r="AM256" s="210"/>
      <c r="AN256" s="210"/>
    </row>
    <row r="257" spans="1:40" x14ac:dyDescent="0.25">
      <c r="F257" s="211"/>
      <c r="H257" s="211"/>
      <c r="I257" s="211"/>
      <c r="J257" s="329"/>
      <c r="K257" s="305"/>
      <c r="L257" s="211"/>
      <c r="M257" s="211"/>
      <c r="N257" s="211"/>
      <c r="O257" s="211"/>
      <c r="P257" s="211"/>
      <c r="Q257" s="211"/>
      <c r="R257" s="211"/>
      <c r="V257" s="211"/>
      <c r="Y257" s="211"/>
      <c r="Z257" s="305"/>
      <c r="AA257" s="211"/>
      <c r="AB257" s="211"/>
      <c r="AC257" s="211"/>
      <c r="AD257" s="211"/>
      <c r="AE257" s="211"/>
      <c r="AF257" s="211"/>
      <c r="AI257" s="211"/>
      <c r="AJ257" s="211"/>
      <c r="AK257" s="212"/>
      <c r="AL257" s="211"/>
      <c r="AM257" s="210"/>
      <c r="AN257" s="210"/>
    </row>
    <row r="258" spans="1:40" x14ac:dyDescent="0.25">
      <c r="A258" s="202"/>
      <c r="C258" s="154"/>
      <c r="F258" s="200"/>
      <c r="H258" s="200"/>
      <c r="I258" s="200"/>
      <c r="J258" s="334"/>
      <c r="K258" s="213"/>
      <c r="L258" s="200"/>
      <c r="M258" s="200"/>
      <c r="N258" s="210"/>
      <c r="O258" s="210"/>
      <c r="P258" s="200"/>
      <c r="Q258" s="200"/>
      <c r="R258" s="200"/>
      <c r="T258" s="154"/>
      <c r="V258" s="200"/>
      <c r="Y258" s="200"/>
      <c r="Z258" s="213"/>
      <c r="AA258" s="200"/>
      <c r="AB258" s="200"/>
      <c r="AC258" s="210"/>
      <c r="AD258" s="210"/>
      <c r="AE258" s="200"/>
      <c r="AF258" s="200"/>
      <c r="AG258" s="209"/>
      <c r="AH258" s="201"/>
      <c r="AI258" s="200"/>
      <c r="AJ258" s="200"/>
      <c r="AK258" s="209"/>
      <c r="AL258" s="200"/>
      <c r="AM258" s="210"/>
      <c r="AN258" s="210"/>
    </row>
    <row r="259" spans="1:40" x14ac:dyDescent="0.25">
      <c r="A259" s="202"/>
      <c r="C259" s="154"/>
      <c r="F259" s="200"/>
      <c r="H259" s="252"/>
      <c r="I259" s="252"/>
      <c r="J259" s="329"/>
      <c r="K259" s="320"/>
      <c r="L259" s="200"/>
      <c r="M259" s="200"/>
      <c r="N259" s="210"/>
      <c r="O259" s="210"/>
      <c r="P259" s="200"/>
      <c r="Q259" s="200"/>
      <c r="R259" s="200"/>
      <c r="T259" s="154"/>
      <c r="V259" s="200"/>
      <c r="Y259" s="200"/>
      <c r="Z259" s="304"/>
      <c r="AA259" s="200"/>
      <c r="AB259" s="200"/>
      <c r="AC259" s="210"/>
      <c r="AD259" s="210"/>
      <c r="AE259" s="200"/>
      <c r="AF259" s="200"/>
      <c r="AG259" s="209"/>
      <c r="AH259" s="201"/>
      <c r="AI259" s="200"/>
      <c r="AJ259" s="200"/>
      <c r="AK259" s="209"/>
      <c r="AL259" s="200"/>
      <c r="AM259" s="210"/>
      <c r="AN259" s="210"/>
    </row>
    <row r="260" spans="1:40" x14ac:dyDescent="0.25">
      <c r="H260" s="211"/>
      <c r="I260" s="211"/>
      <c r="J260" s="329"/>
      <c r="K260" s="305"/>
      <c r="L260" s="211"/>
      <c r="M260" s="211"/>
      <c r="N260" s="211"/>
      <c r="O260" s="211"/>
      <c r="P260" s="211"/>
      <c r="Q260" s="211"/>
      <c r="R260" s="211"/>
      <c r="V260" s="211"/>
      <c r="Y260" s="211"/>
      <c r="Z260" s="305"/>
      <c r="AA260" s="211"/>
      <c r="AB260" s="211"/>
      <c r="AC260" s="211"/>
      <c r="AD260" s="211"/>
      <c r="AE260" s="211"/>
      <c r="AF260" s="211"/>
      <c r="AI260" s="211"/>
      <c r="AJ260" s="211"/>
      <c r="AK260" s="212"/>
      <c r="AL260" s="211"/>
      <c r="AM260" s="210"/>
      <c r="AN260" s="210"/>
    </row>
    <row r="261" spans="1:40" x14ac:dyDescent="0.25">
      <c r="F261" s="211"/>
      <c r="J261" s="394"/>
    </row>
    <row r="262" spans="1:40" x14ac:dyDescent="0.25">
      <c r="A262" s="202"/>
      <c r="C262" s="154"/>
      <c r="F262" s="200"/>
      <c r="H262" s="200"/>
      <c r="I262" s="200"/>
      <c r="J262" s="329"/>
      <c r="K262" s="305"/>
      <c r="L262" s="200"/>
      <c r="M262" s="200"/>
      <c r="N262" s="210"/>
      <c r="O262" s="210"/>
      <c r="P262" s="200"/>
      <c r="Q262" s="200"/>
      <c r="R262" s="200"/>
      <c r="S262" s="200"/>
      <c r="T262" s="154"/>
      <c r="V262" s="200"/>
      <c r="Y262" s="200"/>
      <c r="Z262" s="305"/>
      <c r="AA262" s="200"/>
      <c r="AB262" s="200"/>
      <c r="AC262" s="210"/>
      <c r="AD262" s="210"/>
      <c r="AE262" s="200"/>
      <c r="AF262" s="200"/>
      <c r="AG262" s="209"/>
      <c r="AH262" s="210"/>
      <c r="AI262" s="200"/>
      <c r="AJ262" s="200"/>
      <c r="AK262" s="209"/>
      <c r="AL262" s="200"/>
      <c r="AM262" s="210"/>
      <c r="AN262" s="210"/>
    </row>
    <row r="263" spans="1:40" x14ac:dyDescent="0.25">
      <c r="F263" s="211"/>
      <c r="H263" s="211"/>
      <c r="I263" s="211"/>
      <c r="J263" s="329"/>
      <c r="K263" s="305"/>
      <c r="L263" s="211"/>
      <c r="M263" s="211"/>
      <c r="N263" s="211"/>
      <c r="O263" s="211"/>
      <c r="P263" s="211"/>
      <c r="Q263" s="211"/>
      <c r="R263" s="211"/>
      <c r="S263" s="200"/>
      <c r="V263" s="211"/>
      <c r="Y263" s="211"/>
      <c r="Z263" s="305"/>
      <c r="AA263" s="211"/>
      <c r="AB263" s="211"/>
      <c r="AC263" s="211"/>
      <c r="AD263" s="211"/>
      <c r="AE263" s="211"/>
      <c r="AF263" s="211"/>
      <c r="AI263" s="211"/>
      <c r="AJ263" s="211"/>
      <c r="AK263" s="212"/>
      <c r="AL263" s="211"/>
      <c r="AM263" s="210"/>
      <c r="AN263" s="210"/>
    </row>
    <row r="264" spans="1:40" x14ac:dyDescent="0.25">
      <c r="A264" s="202"/>
      <c r="C264" s="154"/>
      <c r="J264" s="394"/>
      <c r="T264" s="154"/>
    </row>
    <row r="265" spans="1:40" x14ac:dyDescent="0.25">
      <c r="A265" s="202"/>
      <c r="C265" s="154"/>
      <c r="F265" s="200"/>
      <c r="H265" s="200"/>
      <c r="I265" s="200"/>
      <c r="J265" s="394"/>
      <c r="L265" s="200"/>
      <c r="M265" s="200"/>
      <c r="N265" s="210"/>
      <c r="O265" s="210"/>
      <c r="P265" s="252"/>
      <c r="Q265" s="252"/>
      <c r="R265" s="200"/>
      <c r="T265" s="154"/>
      <c r="V265" s="200"/>
      <c r="Y265" s="200"/>
      <c r="AA265" s="200"/>
      <c r="AB265" s="200"/>
      <c r="AC265" s="210"/>
      <c r="AD265" s="210"/>
      <c r="AE265" s="200"/>
      <c r="AF265" s="200"/>
      <c r="AG265" s="209"/>
      <c r="AH265" s="210"/>
      <c r="AI265" s="252"/>
      <c r="AJ265" s="252"/>
      <c r="AK265" s="209"/>
      <c r="AL265" s="200"/>
      <c r="AM265" s="210"/>
      <c r="AN265" s="210"/>
    </row>
    <row r="266" spans="1:40" x14ac:dyDescent="0.25">
      <c r="H266" s="211"/>
      <c r="I266" s="211"/>
      <c r="J266" s="329"/>
      <c r="K266" s="305"/>
      <c r="L266" s="211"/>
      <c r="M266" s="211"/>
      <c r="N266" s="211"/>
      <c r="O266" s="211"/>
      <c r="P266" s="211"/>
      <c r="Q266" s="211"/>
      <c r="R266" s="211"/>
      <c r="V266" s="211"/>
      <c r="Y266" s="211"/>
      <c r="Z266" s="305"/>
      <c r="AA266" s="211"/>
      <c r="AB266" s="211"/>
      <c r="AC266" s="211"/>
      <c r="AD266" s="211"/>
      <c r="AE266" s="211"/>
      <c r="AF266" s="211"/>
      <c r="AI266" s="211"/>
      <c r="AJ266" s="211"/>
      <c r="AK266" s="212"/>
      <c r="AL266" s="211"/>
    </row>
    <row r="267" spans="1:40" x14ac:dyDescent="0.25">
      <c r="F267" s="211"/>
      <c r="J267" s="394"/>
    </row>
    <row r="268" spans="1:40" x14ac:dyDescent="0.25">
      <c r="C268" s="154"/>
      <c r="J268" s="394"/>
      <c r="L268" s="200"/>
      <c r="M268" s="200"/>
      <c r="N268" s="200"/>
      <c r="O268" s="200"/>
      <c r="P268" s="200"/>
      <c r="Q268" s="200"/>
      <c r="R268" s="200"/>
      <c r="S268" s="200"/>
      <c r="T268" s="154"/>
      <c r="AA268" s="200"/>
      <c r="AB268" s="200"/>
      <c r="AC268" s="200"/>
      <c r="AD268" s="200"/>
      <c r="AI268" s="200"/>
      <c r="AJ268" s="200"/>
      <c r="AK268" s="209"/>
      <c r="AL268" s="200"/>
    </row>
    <row r="269" spans="1:40" x14ac:dyDescent="0.25">
      <c r="A269" s="154"/>
      <c r="J269" s="394"/>
    </row>
    <row r="270" spans="1:40" x14ac:dyDescent="0.25">
      <c r="J270" s="334"/>
      <c r="K270" s="202"/>
      <c r="Z270" s="202"/>
    </row>
    <row r="271" spans="1:40" x14ac:dyDescent="0.25">
      <c r="H271" s="154"/>
      <c r="I271" s="154"/>
      <c r="J271" s="394"/>
      <c r="Y271" s="154"/>
    </row>
    <row r="272" spans="1:40" x14ac:dyDescent="0.25">
      <c r="J272" s="334"/>
      <c r="K272" s="202"/>
      <c r="Z272" s="202"/>
    </row>
    <row r="273" spans="1:40" x14ac:dyDescent="0.25">
      <c r="J273" s="394"/>
      <c r="L273" s="154"/>
      <c r="M273" s="154"/>
      <c r="AA273" s="154"/>
      <c r="AB273" s="154"/>
    </row>
    <row r="274" spans="1:40" x14ac:dyDescent="0.25">
      <c r="A274" s="202"/>
      <c r="J274" s="394"/>
      <c r="R274" s="154"/>
      <c r="AK274" s="297"/>
      <c r="AL274" s="154"/>
    </row>
    <row r="275" spans="1:40" x14ac:dyDescent="0.25">
      <c r="A275" s="202"/>
      <c r="J275" s="394"/>
      <c r="R275" s="154"/>
      <c r="AK275" s="297"/>
      <c r="AL275" s="154"/>
    </row>
    <row r="276" spans="1:40" x14ac:dyDescent="0.25">
      <c r="A276" s="154"/>
      <c r="J276" s="394"/>
      <c r="R276" s="154"/>
      <c r="AK276" s="297"/>
      <c r="AL276" s="154"/>
    </row>
    <row r="277" spans="1:40" x14ac:dyDescent="0.25">
      <c r="J277" s="394"/>
      <c r="L277" s="154"/>
      <c r="M277" s="154"/>
      <c r="R277" s="202"/>
      <c r="AA277" s="154"/>
      <c r="AB277" s="154"/>
      <c r="AK277" s="209"/>
      <c r="AL277" s="202"/>
    </row>
    <row r="278" spans="1:40" x14ac:dyDescent="0.25">
      <c r="A278" s="102"/>
      <c r="B278" s="102"/>
      <c r="C278" s="102"/>
      <c r="D278" s="102"/>
      <c r="E278" s="102"/>
      <c r="F278" s="102"/>
      <c r="G278" s="102"/>
      <c r="H278" s="102"/>
      <c r="I278" s="102"/>
      <c r="J278" s="335"/>
      <c r="K278" s="102"/>
      <c r="L278" s="102"/>
      <c r="M278" s="102"/>
      <c r="N278" s="102"/>
      <c r="O278" s="102"/>
      <c r="P278" s="102"/>
      <c r="Q278" s="102"/>
      <c r="R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208"/>
      <c r="AH278" s="102"/>
      <c r="AI278" s="102"/>
      <c r="AJ278" s="102"/>
      <c r="AK278" s="208"/>
      <c r="AL278" s="102"/>
      <c r="AM278" s="102"/>
      <c r="AN278" s="102"/>
    </row>
    <row r="279" spans="1:40" x14ac:dyDescent="0.25">
      <c r="J279" s="394"/>
      <c r="L279" s="103"/>
      <c r="M279" s="103"/>
      <c r="N279" s="103"/>
      <c r="O279" s="103"/>
      <c r="R279" s="103"/>
      <c r="AA279" s="103"/>
      <c r="AB279" s="103"/>
      <c r="AC279" s="103"/>
      <c r="AD279" s="103"/>
      <c r="AE279" s="103"/>
      <c r="AF279" s="103"/>
      <c r="AG279" s="185"/>
      <c r="AH279" s="103"/>
      <c r="AK279" s="185"/>
      <c r="AL279" s="103"/>
      <c r="AM279" s="103"/>
      <c r="AN279" s="103"/>
    </row>
    <row r="280" spans="1:40" x14ac:dyDescent="0.25">
      <c r="J280" s="394"/>
      <c r="L280" s="103"/>
      <c r="M280" s="103"/>
      <c r="N280" s="103"/>
      <c r="O280" s="103"/>
      <c r="R280" s="103"/>
      <c r="Z280" s="103"/>
      <c r="AA280" s="103"/>
      <c r="AB280" s="103"/>
      <c r="AC280" s="103"/>
      <c r="AD280" s="103"/>
      <c r="AE280" s="103"/>
      <c r="AF280" s="103"/>
      <c r="AG280" s="185"/>
      <c r="AH280" s="103"/>
      <c r="AK280" s="185"/>
      <c r="AL280" s="103"/>
      <c r="AM280" s="103"/>
      <c r="AN280" s="103"/>
    </row>
    <row r="281" spans="1:40" x14ac:dyDescent="0.25">
      <c r="A281" s="103"/>
      <c r="C281" s="103"/>
      <c r="D281" s="103"/>
      <c r="E281" s="103"/>
      <c r="F281" s="103"/>
      <c r="J281" s="336"/>
      <c r="K281" s="103"/>
      <c r="L281" s="103"/>
      <c r="M281" s="103"/>
      <c r="N281" s="103"/>
      <c r="O281" s="103"/>
      <c r="P281" s="103"/>
      <c r="Q281" s="103"/>
      <c r="R281" s="103"/>
      <c r="T281" s="103"/>
      <c r="U281" s="103"/>
      <c r="V281" s="103"/>
      <c r="Z281" s="103"/>
      <c r="AA281" s="103"/>
      <c r="AB281" s="103"/>
      <c r="AC281" s="103"/>
      <c r="AD281" s="103"/>
      <c r="AE281" s="103"/>
      <c r="AF281" s="103"/>
      <c r="AG281" s="185"/>
      <c r="AH281" s="103"/>
      <c r="AI281" s="103"/>
      <c r="AJ281" s="103"/>
      <c r="AK281" s="185"/>
      <c r="AL281" s="103"/>
      <c r="AM281" s="103"/>
      <c r="AN281" s="103"/>
    </row>
    <row r="282" spans="1:40" x14ac:dyDescent="0.25">
      <c r="A282" s="103"/>
      <c r="C282" s="103"/>
      <c r="D282" s="103"/>
      <c r="E282" s="103"/>
      <c r="F282" s="103"/>
      <c r="H282" s="103"/>
      <c r="I282" s="103"/>
      <c r="J282" s="336"/>
      <c r="K282" s="103"/>
      <c r="L282" s="103"/>
      <c r="M282" s="103"/>
      <c r="N282" s="103"/>
      <c r="O282" s="103"/>
      <c r="P282" s="103"/>
      <c r="Q282" s="103"/>
      <c r="R282" s="103"/>
      <c r="T282" s="103"/>
      <c r="U282" s="103"/>
      <c r="V282" s="103"/>
      <c r="Y282" s="103"/>
      <c r="Z282" s="103"/>
      <c r="AA282" s="103"/>
      <c r="AB282" s="103"/>
      <c r="AC282" s="103"/>
      <c r="AD282" s="103"/>
      <c r="AE282" s="103"/>
      <c r="AF282" s="103"/>
      <c r="AG282" s="185"/>
      <c r="AH282" s="103"/>
      <c r="AI282" s="103"/>
      <c r="AJ282" s="103"/>
      <c r="AK282" s="185"/>
      <c r="AL282" s="103"/>
      <c r="AM282" s="103"/>
      <c r="AN282" s="103"/>
    </row>
    <row r="283" spans="1:40" x14ac:dyDescent="0.25">
      <c r="C283" s="103"/>
      <c r="D283" s="103"/>
      <c r="E283" s="103"/>
      <c r="F283" s="103"/>
      <c r="H283" s="103"/>
      <c r="I283" s="103"/>
      <c r="J283" s="336"/>
      <c r="K283" s="103"/>
      <c r="L283" s="103"/>
      <c r="M283" s="103"/>
      <c r="N283" s="103"/>
      <c r="O283" s="103"/>
      <c r="P283" s="103"/>
      <c r="Q283" s="103"/>
      <c r="R283" s="103"/>
      <c r="T283" s="103"/>
      <c r="U283" s="103"/>
      <c r="V283" s="103"/>
      <c r="Y283" s="103"/>
      <c r="Z283" s="103"/>
      <c r="AA283" s="103"/>
      <c r="AB283" s="103"/>
      <c r="AC283" s="103"/>
      <c r="AD283" s="103"/>
      <c r="AE283" s="103"/>
      <c r="AF283" s="103"/>
      <c r="AG283" s="185"/>
      <c r="AH283" s="103"/>
      <c r="AI283" s="103"/>
      <c r="AJ283" s="103"/>
      <c r="AK283" s="185"/>
      <c r="AL283" s="103"/>
      <c r="AM283" s="103"/>
      <c r="AN283" s="103"/>
    </row>
    <row r="284" spans="1:40" x14ac:dyDescent="0.25">
      <c r="A284" s="102"/>
      <c r="B284" s="102"/>
      <c r="C284" s="102"/>
      <c r="D284" s="102"/>
      <c r="E284" s="102"/>
      <c r="F284" s="102"/>
      <c r="G284" s="102"/>
      <c r="H284" s="102"/>
      <c r="I284" s="102"/>
      <c r="J284" s="335"/>
      <c r="K284" s="102"/>
      <c r="L284" s="102"/>
      <c r="M284" s="102"/>
      <c r="N284" s="102"/>
      <c r="O284" s="102"/>
      <c r="P284" s="102"/>
      <c r="Q284" s="102"/>
      <c r="R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208"/>
      <c r="AH284" s="102"/>
      <c r="AI284" s="102"/>
      <c r="AJ284" s="102"/>
      <c r="AK284" s="208"/>
      <c r="AL284" s="102"/>
      <c r="AM284" s="102"/>
      <c r="AN284" s="102"/>
    </row>
    <row r="285" spans="1:40" x14ac:dyDescent="0.25">
      <c r="H285" s="103"/>
      <c r="I285" s="103"/>
      <c r="J285" s="336"/>
      <c r="K285" s="103"/>
      <c r="L285" s="103"/>
      <c r="M285" s="103"/>
      <c r="N285" s="103"/>
      <c r="O285" s="103"/>
      <c r="P285" s="103"/>
      <c r="Q285" s="103"/>
      <c r="R285" s="103"/>
      <c r="Y285" s="103"/>
      <c r="Z285" s="103"/>
      <c r="AA285" s="103"/>
      <c r="AB285" s="103"/>
      <c r="AC285" s="103"/>
      <c r="AD285" s="103"/>
      <c r="AE285" s="103"/>
      <c r="AF285" s="103"/>
      <c r="AG285" s="185"/>
      <c r="AH285" s="103"/>
      <c r="AI285" s="103"/>
      <c r="AJ285" s="103"/>
      <c r="AK285" s="185"/>
      <c r="AL285" s="103"/>
      <c r="AM285" s="103"/>
      <c r="AN285" s="103"/>
    </row>
    <row r="286" spans="1:40" x14ac:dyDescent="0.25">
      <c r="A286" s="202"/>
      <c r="C286" s="154"/>
      <c r="D286" s="154"/>
      <c r="E286" s="154"/>
      <c r="J286" s="394"/>
      <c r="T286" s="154"/>
      <c r="U286" s="154"/>
    </row>
    <row r="287" spans="1:40" x14ac:dyDescent="0.25">
      <c r="D287" s="154"/>
      <c r="E287" s="154"/>
      <c r="J287" s="394"/>
      <c r="U287" s="154"/>
    </row>
    <row r="288" spans="1:40" x14ac:dyDescent="0.25">
      <c r="J288" s="394"/>
    </row>
    <row r="289" spans="1:40" x14ac:dyDescent="0.25">
      <c r="A289" s="202"/>
      <c r="C289" s="154"/>
      <c r="J289" s="394"/>
      <c r="T289" s="154"/>
    </row>
    <row r="290" spans="1:40" x14ac:dyDescent="0.25">
      <c r="A290" s="202"/>
      <c r="C290" s="154"/>
      <c r="F290" s="252"/>
      <c r="H290" s="252"/>
      <c r="I290" s="252"/>
      <c r="J290" s="329"/>
      <c r="K290" s="329"/>
      <c r="L290" s="200"/>
      <c r="M290" s="200"/>
      <c r="N290" s="210"/>
      <c r="O290" s="210"/>
      <c r="P290" s="200"/>
      <c r="Q290" s="200"/>
      <c r="R290" s="200"/>
      <c r="T290" s="154"/>
      <c r="V290" s="252"/>
      <c r="W290" s="200"/>
      <c r="X290" s="200"/>
      <c r="Y290" s="252"/>
      <c r="Z290" s="329"/>
      <c r="AA290" s="200"/>
      <c r="AB290" s="200"/>
      <c r="AC290" s="210"/>
      <c r="AD290" s="210"/>
      <c r="AE290" s="200"/>
      <c r="AF290" s="200"/>
      <c r="AG290" s="209"/>
      <c r="AH290" s="201"/>
      <c r="AI290" s="200"/>
      <c r="AJ290" s="200"/>
      <c r="AK290" s="209"/>
      <c r="AL290" s="200"/>
      <c r="AM290" s="210"/>
      <c r="AN290" s="210"/>
    </row>
    <row r="291" spans="1:40" x14ac:dyDescent="0.25">
      <c r="A291" s="202"/>
      <c r="C291" s="154"/>
      <c r="F291" s="200"/>
      <c r="H291" s="200"/>
      <c r="I291" s="200"/>
      <c r="J291" s="329"/>
      <c r="K291" s="305"/>
      <c r="L291" s="200"/>
      <c r="M291" s="200"/>
      <c r="N291" s="210"/>
      <c r="O291" s="210"/>
      <c r="P291" s="200"/>
      <c r="Q291" s="200"/>
      <c r="R291" s="200"/>
      <c r="T291" s="154"/>
      <c r="V291" s="252"/>
      <c r="W291" s="200"/>
      <c r="X291" s="200"/>
      <c r="Y291" s="252"/>
      <c r="Z291" s="305"/>
      <c r="AA291" s="200"/>
      <c r="AB291" s="200"/>
      <c r="AC291" s="210"/>
      <c r="AD291" s="210"/>
      <c r="AE291" s="200"/>
      <c r="AF291" s="200"/>
      <c r="AG291" s="209"/>
      <c r="AH291" s="201"/>
      <c r="AI291" s="200"/>
      <c r="AJ291" s="200"/>
      <c r="AK291" s="209"/>
      <c r="AL291" s="200"/>
      <c r="AM291" s="210"/>
      <c r="AN291" s="210"/>
    </row>
    <row r="292" spans="1:40" x14ac:dyDescent="0.25">
      <c r="A292" s="202"/>
      <c r="C292" s="154"/>
      <c r="F292" s="252"/>
      <c r="H292" s="252"/>
      <c r="I292" s="252"/>
      <c r="J292" s="329"/>
      <c r="K292" s="329"/>
      <c r="L292" s="200"/>
      <c r="M292" s="200"/>
      <c r="N292" s="210"/>
      <c r="O292" s="210"/>
      <c r="P292" s="200"/>
      <c r="Q292" s="200"/>
      <c r="R292" s="200"/>
      <c r="T292" s="154"/>
      <c r="V292" s="252"/>
      <c r="W292" s="200"/>
      <c r="X292" s="200"/>
      <c r="Y292" s="252"/>
      <c r="Z292" s="329"/>
      <c r="AA292" s="200"/>
      <c r="AB292" s="200"/>
      <c r="AC292" s="210"/>
      <c r="AD292" s="210"/>
      <c r="AE292" s="200"/>
      <c r="AF292" s="200"/>
      <c r="AG292" s="209"/>
      <c r="AH292" s="201"/>
      <c r="AI292" s="200"/>
      <c r="AJ292" s="200"/>
      <c r="AK292" s="209"/>
      <c r="AL292" s="200"/>
      <c r="AM292" s="210"/>
      <c r="AN292" s="210"/>
    </row>
    <row r="293" spans="1:40" x14ac:dyDescent="0.25">
      <c r="A293" s="202"/>
      <c r="C293" s="154"/>
      <c r="F293" s="252"/>
      <c r="H293" s="252"/>
      <c r="I293" s="252"/>
      <c r="J293" s="329"/>
      <c r="K293" s="329"/>
      <c r="L293" s="200"/>
      <c r="M293" s="200"/>
      <c r="N293" s="210"/>
      <c r="O293" s="210"/>
      <c r="P293" s="200"/>
      <c r="Q293" s="200"/>
      <c r="R293" s="200"/>
      <c r="T293" s="154"/>
      <c r="V293" s="252"/>
      <c r="W293" s="200"/>
      <c r="X293" s="200"/>
      <c r="Y293" s="252"/>
      <c r="Z293" s="329"/>
      <c r="AA293" s="200"/>
      <c r="AB293" s="200"/>
      <c r="AC293" s="210"/>
      <c r="AD293" s="210"/>
      <c r="AE293" s="200"/>
      <c r="AF293" s="200"/>
      <c r="AG293" s="209"/>
      <c r="AH293" s="201"/>
      <c r="AI293" s="200"/>
      <c r="AJ293" s="200"/>
      <c r="AK293" s="209"/>
      <c r="AL293" s="200"/>
      <c r="AM293" s="210"/>
      <c r="AN293" s="210"/>
    </row>
    <row r="294" spans="1:40" x14ac:dyDescent="0.25">
      <c r="A294" s="202"/>
      <c r="C294" s="154"/>
      <c r="F294" s="252"/>
      <c r="H294" s="252"/>
      <c r="I294" s="252"/>
      <c r="J294" s="329"/>
      <c r="K294" s="329"/>
      <c r="L294" s="200"/>
      <c r="M294" s="200"/>
      <c r="N294" s="210"/>
      <c r="O294" s="210"/>
      <c r="P294" s="200"/>
      <c r="Q294" s="200"/>
      <c r="R294" s="200"/>
      <c r="T294" s="154"/>
      <c r="V294" s="252"/>
      <c r="W294" s="200"/>
      <c r="X294" s="200"/>
      <c r="Y294" s="252"/>
      <c r="Z294" s="329"/>
      <c r="AA294" s="200"/>
      <c r="AB294" s="200"/>
      <c r="AC294" s="210"/>
      <c r="AD294" s="210"/>
      <c r="AE294" s="200"/>
      <c r="AF294" s="200"/>
      <c r="AG294" s="209"/>
      <c r="AH294" s="201"/>
      <c r="AI294" s="200"/>
      <c r="AJ294" s="200"/>
      <c r="AK294" s="209"/>
      <c r="AL294" s="200"/>
      <c r="AM294" s="210"/>
      <c r="AN294" s="210"/>
    </row>
    <row r="295" spans="1:40" x14ac:dyDescent="0.25">
      <c r="A295" s="202"/>
      <c r="C295" s="154"/>
      <c r="F295" s="200"/>
      <c r="H295" s="200"/>
      <c r="I295" s="200"/>
      <c r="J295" s="329"/>
      <c r="K295" s="329"/>
      <c r="L295" s="200"/>
      <c r="M295" s="200"/>
      <c r="N295" s="210"/>
      <c r="O295" s="210"/>
      <c r="P295" s="200"/>
      <c r="Q295" s="200"/>
      <c r="R295" s="200"/>
      <c r="T295" s="154"/>
      <c r="V295" s="252"/>
      <c r="W295" s="200"/>
      <c r="X295" s="200"/>
      <c r="Y295" s="252"/>
      <c r="Z295" s="329"/>
      <c r="AA295" s="200"/>
      <c r="AB295" s="200"/>
      <c r="AC295" s="210"/>
      <c r="AD295" s="210"/>
      <c r="AE295" s="200"/>
      <c r="AF295" s="200"/>
      <c r="AG295" s="209"/>
      <c r="AH295" s="201"/>
      <c r="AI295" s="200"/>
      <c r="AJ295" s="200"/>
      <c r="AK295" s="209"/>
      <c r="AL295" s="200"/>
      <c r="AM295" s="210"/>
      <c r="AN295" s="210"/>
    </row>
    <row r="296" spans="1:40" x14ac:dyDescent="0.25">
      <c r="A296" s="202"/>
      <c r="C296" s="154"/>
      <c r="F296" s="200"/>
      <c r="H296" s="200"/>
      <c r="I296" s="200"/>
      <c r="J296" s="329"/>
      <c r="K296" s="329"/>
      <c r="L296" s="200"/>
      <c r="M296" s="200"/>
      <c r="N296" s="210"/>
      <c r="O296" s="210"/>
      <c r="P296" s="200"/>
      <c r="Q296" s="200"/>
      <c r="R296" s="200"/>
      <c r="T296" s="154"/>
      <c r="V296" s="252"/>
      <c r="W296" s="200"/>
      <c r="X296" s="200"/>
      <c r="Y296" s="252"/>
      <c r="Z296" s="329"/>
      <c r="AA296" s="200"/>
      <c r="AB296" s="200"/>
      <c r="AC296" s="210"/>
      <c r="AD296" s="210"/>
      <c r="AE296" s="200"/>
      <c r="AF296" s="200"/>
      <c r="AG296" s="209"/>
      <c r="AH296" s="201"/>
      <c r="AI296" s="200"/>
      <c r="AJ296" s="200"/>
      <c r="AK296" s="209"/>
      <c r="AL296" s="200"/>
      <c r="AM296" s="210"/>
      <c r="AN296" s="210"/>
    </row>
    <row r="297" spans="1:40" x14ac:dyDescent="0.25">
      <c r="F297" s="331"/>
      <c r="H297" s="332"/>
      <c r="I297" s="332"/>
      <c r="J297" s="329"/>
      <c r="K297" s="329"/>
      <c r="L297" s="331"/>
      <c r="M297" s="331"/>
      <c r="N297" s="211"/>
      <c r="O297" s="211"/>
      <c r="P297" s="331"/>
      <c r="Q297" s="331"/>
      <c r="R297" s="331"/>
      <c r="V297" s="331"/>
      <c r="W297" s="200"/>
      <c r="X297" s="200"/>
      <c r="Y297" s="331"/>
      <c r="Z297" s="329"/>
      <c r="AA297" s="331"/>
      <c r="AB297" s="331"/>
      <c r="AC297" s="333"/>
      <c r="AD297" s="333"/>
      <c r="AE297" s="331"/>
      <c r="AF297" s="331"/>
      <c r="AG297" s="209"/>
      <c r="AH297" s="201"/>
      <c r="AI297" s="331"/>
      <c r="AJ297" s="331"/>
      <c r="AK297" s="208"/>
      <c r="AL297" s="331"/>
      <c r="AM297" s="210"/>
      <c r="AN297" s="210"/>
    </row>
    <row r="298" spans="1:40" x14ac:dyDescent="0.25">
      <c r="A298" s="202"/>
      <c r="C298" s="154"/>
      <c r="F298" s="200"/>
      <c r="H298" s="200"/>
      <c r="I298" s="200"/>
      <c r="J298" s="329"/>
      <c r="K298" s="329"/>
      <c r="L298" s="200"/>
      <c r="M298" s="200"/>
      <c r="N298" s="201"/>
      <c r="O298" s="201"/>
      <c r="P298" s="200"/>
      <c r="Q298" s="200"/>
      <c r="R298" s="200"/>
      <c r="T298" s="103"/>
      <c r="V298" s="200"/>
      <c r="W298" s="200"/>
      <c r="X298" s="200"/>
      <c r="Y298" s="200"/>
      <c r="Z298" s="329"/>
      <c r="AA298" s="200"/>
      <c r="AB298" s="200"/>
      <c r="AC298" s="201"/>
      <c r="AD298" s="201"/>
      <c r="AE298" s="200"/>
      <c r="AF298" s="200"/>
      <c r="AG298" s="209"/>
      <c r="AH298" s="201"/>
      <c r="AI298" s="200"/>
      <c r="AJ298" s="200"/>
      <c r="AK298" s="209"/>
      <c r="AL298" s="200"/>
      <c r="AM298" s="210"/>
      <c r="AN298" s="210"/>
    </row>
    <row r="299" spans="1:40" x14ac:dyDescent="0.25">
      <c r="F299" s="102"/>
      <c r="H299" s="102"/>
      <c r="I299" s="102"/>
      <c r="J299" s="394"/>
      <c r="L299" s="102"/>
      <c r="M299" s="102"/>
      <c r="N299" s="333"/>
      <c r="O299" s="333"/>
      <c r="P299" s="331"/>
      <c r="Q299" s="331"/>
      <c r="R299" s="331"/>
      <c r="V299" s="331"/>
      <c r="Y299" s="331"/>
      <c r="Z299" s="305"/>
      <c r="AA299" s="331"/>
      <c r="AB299" s="331"/>
      <c r="AC299" s="331"/>
      <c r="AD299" s="331"/>
      <c r="AE299" s="331"/>
      <c r="AF299" s="331"/>
      <c r="AI299" s="331"/>
      <c r="AJ299" s="331"/>
      <c r="AK299" s="208"/>
      <c r="AL299" s="331"/>
      <c r="AM299" s="333"/>
      <c r="AN299" s="333"/>
    </row>
    <row r="300" spans="1:40" x14ac:dyDescent="0.25">
      <c r="J300" s="394"/>
      <c r="AI300" s="202"/>
      <c r="AJ300" s="202"/>
    </row>
    <row r="301" spans="1:40" x14ac:dyDescent="0.25">
      <c r="J301" s="394"/>
    </row>
    <row r="302" spans="1:40" x14ac:dyDescent="0.25">
      <c r="J302" s="394"/>
    </row>
    <row r="303" spans="1:40" x14ac:dyDescent="0.25">
      <c r="J303" s="394"/>
    </row>
    <row r="304" spans="1:40" x14ac:dyDescent="0.25">
      <c r="J304" s="394"/>
      <c r="N304" s="200"/>
      <c r="O304" s="200"/>
      <c r="P304" s="200"/>
      <c r="Q304" s="200"/>
      <c r="R304" s="200"/>
      <c r="V304" s="200"/>
      <c r="Y304" s="200"/>
      <c r="Z304" s="213"/>
      <c r="AA304" s="200"/>
      <c r="AB304" s="200"/>
      <c r="AC304" s="210"/>
      <c r="AD304" s="210"/>
      <c r="AE304" s="200"/>
      <c r="AF304" s="200"/>
      <c r="AG304" s="209"/>
      <c r="AH304" s="201"/>
      <c r="AI304" s="200"/>
      <c r="AJ304" s="200"/>
      <c r="AK304" s="209"/>
      <c r="AL304" s="200"/>
      <c r="AM304" s="210"/>
      <c r="AN304" s="210"/>
    </row>
    <row r="305" spans="1:40" x14ac:dyDescent="0.25">
      <c r="A305" s="202"/>
      <c r="C305" s="154"/>
      <c r="D305" s="154"/>
      <c r="E305" s="154"/>
      <c r="J305" s="334"/>
      <c r="K305" s="334"/>
      <c r="T305" s="154"/>
      <c r="U305" s="154"/>
      <c r="Z305" s="334"/>
      <c r="AE305" s="200"/>
      <c r="AF305" s="200"/>
      <c r="AI305" s="200"/>
      <c r="AJ305" s="200"/>
      <c r="AK305" s="209"/>
      <c r="AL305" s="200"/>
      <c r="AM305" s="210"/>
      <c r="AN305" s="210"/>
    </row>
    <row r="306" spans="1:40" x14ac:dyDescent="0.25">
      <c r="D306" s="154"/>
      <c r="E306" s="154"/>
      <c r="F306" s="200"/>
      <c r="H306" s="200"/>
      <c r="I306" s="200"/>
      <c r="J306" s="329"/>
      <c r="K306" s="329"/>
      <c r="L306" s="200"/>
      <c r="M306" s="200"/>
      <c r="N306" s="210"/>
      <c r="O306" s="210"/>
      <c r="P306" s="200"/>
      <c r="Q306" s="200"/>
      <c r="R306" s="200"/>
      <c r="U306" s="154"/>
      <c r="V306" s="200"/>
      <c r="Y306" s="200"/>
      <c r="Z306" s="329"/>
      <c r="AA306" s="200"/>
      <c r="AB306" s="200"/>
      <c r="AC306" s="210"/>
      <c r="AD306" s="210"/>
      <c r="AE306" s="200"/>
      <c r="AF306" s="200"/>
      <c r="AG306" s="209"/>
      <c r="AH306" s="201"/>
      <c r="AI306" s="200"/>
      <c r="AJ306" s="200"/>
      <c r="AK306" s="209"/>
      <c r="AL306" s="200"/>
      <c r="AM306" s="210"/>
      <c r="AN306" s="210"/>
    </row>
    <row r="307" spans="1:40" x14ac:dyDescent="0.25">
      <c r="F307" s="200"/>
      <c r="H307" s="200"/>
      <c r="I307" s="200"/>
      <c r="J307" s="329"/>
      <c r="K307" s="305"/>
      <c r="L307" s="200"/>
      <c r="M307" s="200"/>
      <c r="N307" s="200"/>
      <c r="O307" s="200"/>
      <c r="P307" s="200"/>
      <c r="Q307" s="200"/>
      <c r="R307" s="200"/>
      <c r="V307" s="200"/>
      <c r="Y307" s="200"/>
      <c r="Z307" s="305"/>
      <c r="AA307" s="200"/>
      <c r="AB307" s="200"/>
      <c r="AC307" s="200"/>
      <c r="AD307" s="200"/>
      <c r="AE307" s="200"/>
      <c r="AF307" s="200"/>
      <c r="AG307" s="209"/>
      <c r="AH307" s="201"/>
      <c r="AI307" s="252"/>
      <c r="AJ307" s="252"/>
      <c r="AK307" s="209"/>
      <c r="AL307" s="200"/>
      <c r="AM307" s="210"/>
      <c r="AN307" s="210"/>
    </row>
    <row r="308" spans="1:40" x14ac:dyDescent="0.25">
      <c r="A308" s="202"/>
      <c r="C308" s="154"/>
      <c r="F308" s="252"/>
      <c r="H308" s="252"/>
      <c r="I308" s="252"/>
      <c r="J308" s="329"/>
      <c r="K308" s="304"/>
      <c r="L308" s="200"/>
      <c r="M308" s="200"/>
      <c r="N308" s="210"/>
      <c r="O308" s="210"/>
      <c r="P308" s="200"/>
      <c r="Q308" s="200"/>
      <c r="R308" s="200"/>
      <c r="T308" s="154"/>
      <c r="V308" s="252"/>
      <c r="Y308" s="252"/>
      <c r="Z308" s="304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F309" s="102"/>
      <c r="H309" s="102"/>
      <c r="I309" s="102"/>
      <c r="J309" s="394"/>
      <c r="L309" s="102"/>
      <c r="M309" s="102"/>
      <c r="N309" s="102"/>
      <c r="O309" s="102"/>
      <c r="P309" s="102"/>
      <c r="Q309" s="102"/>
      <c r="R309" s="102"/>
      <c r="V309" s="102"/>
      <c r="Y309" s="102"/>
      <c r="AA309" s="102"/>
      <c r="AB309" s="102"/>
      <c r="AC309" s="102"/>
      <c r="AD309" s="102"/>
      <c r="AE309" s="102"/>
      <c r="AF309" s="102"/>
      <c r="AG309" s="208"/>
      <c r="AH309" s="102"/>
      <c r="AI309" s="102"/>
      <c r="AJ309" s="102"/>
      <c r="AK309" s="208"/>
      <c r="AL309" s="102"/>
      <c r="AM309" s="102"/>
      <c r="AN309" s="102"/>
    </row>
    <row r="310" spans="1:40" x14ac:dyDescent="0.25">
      <c r="A310" s="202"/>
      <c r="C310" s="103"/>
      <c r="F310" s="252"/>
      <c r="H310" s="252"/>
      <c r="I310" s="252"/>
      <c r="J310" s="329"/>
      <c r="K310" s="300"/>
      <c r="L310" s="252"/>
      <c r="M310" s="252"/>
      <c r="N310" s="210"/>
      <c r="O310" s="210"/>
      <c r="P310" s="252"/>
      <c r="Q310" s="252"/>
      <c r="R310" s="252"/>
      <c r="T310" s="103"/>
      <c r="V310" s="200"/>
      <c r="Y310" s="200"/>
      <c r="Z310" s="213"/>
      <c r="AA310" s="200"/>
      <c r="AB310" s="200"/>
      <c r="AC310" s="210"/>
      <c r="AD310" s="210"/>
      <c r="AE310" s="202"/>
      <c r="AF310" s="202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F311" s="331"/>
      <c r="H311" s="331"/>
      <c r="I311" s="331"/>
      <c r="J311" s="329"/>
      <c r="K311" s="305"/>
      <c r="L311" s="331"/>
      <c r="M311" s="331"/>
      <c r="N311" s="331"/>
      <c r="O311" s="331"/>
      <c r="P311" s="331"/>
      <c r="Q311" s="331"/>
      <c r="R311" s="331"/>
      <c r="V311" s="102"/>
      <c r="Y311" s="102"/>
      <c r="AA311" s="102"/>
      <c r="AB311" s="102"/>
      <c r="AC311" s="102"/>
      <c r="AD311" s="102"/>
      <c r="AE311" s="102"/>
      <c r="AF311" s="102"/>
      <c r="AG311" s="208"/>
      <c r="AH311" s="102"/>
      <c r="AI311" s="102"/>
      <c r="AJ311" s="102"/>
      <c r="AK311" s="208"/>
      <c r="AL311" s="102"/>
      <c r="AM311" s="102"/>
      <c r="AN311" s="102"/>
    </row>
    <row r="312" spans="1:40" x14ac:dyDescent="0.25">
      <c r="F312" s="252"/>
      <c r="H312" s="252"/>
      <c r="I312" s="252"/>
      <c r="J312" s="329"/>
      <c r="K312" s="328"/>
      <c r="L312" s="200"/>
      <c r="M312" s="200"/>
      <c r="N312" s="210"/>
      <c r="O312" s="210"/>
      <c r="P312" s="200"/>
      <c r="Q312" s="200"/>
      <c r="R312" s="200"/>
    </row>
    <row r="313" spans="1:40" x14ac:dyDescent="0.25">
      <c r="A313" s="154"/>
      <c r="F313" s="252"/>
      <c r="H313" s="252"/>
      <c r="I313" s="252"/>
      <c r="J313" s="329"/>
      <c r="K313" s="300"/>
      <c r="L313" s="200"/>
      <c r="M313" s="200"/>
      <c r="N313" s="210"/>
      <c r="O313" s="210"/>
      <c r="P313" s="200"/>
      <c r="Q313" s="200"/>
      <c r="R313" s="200"/>
    </row>
    <row r="314" spans="1:40" x14ac:dyDescent="0.25">
      <c r="F314" s="252"/>
      <c r="H314" s="252"/>
      <c r="I314" s="252"/>
      <c r="J314" s="329"/>
      <c r="K314" s="300"/>
      <c r="L314" s="200"/>
      <c r="M314" s="200"/>
      <c r="N314" s="210"/>
      <c r="O314" s="210"/>
      <c r="P314" s="200"/>
      <c r="Q314" s="200"/>
      <c r="R314" s="200"/>
    </row>
    <row r="315" spans="1:40" x14ac:dyDescent="0.25">
      <c r="A315" s="154"/>
      <c r="J315" s="394"/>
    </row>
    <row r="316" spans="1:40" x14ac:dyDescent="0.25">
      <c r="J316" s="394"/>
    </row>
    <row r="317" spans="1:40" x14ac:dyDescent="0.25">
      <c r="J317" s="334"/>
      <c r="K317" s="202"/>
      <c r="Z317" s="202"/>
    </row>
    <row r="318" spans="1:40" x14ac:dyDescent="0.25">
      <c r="H318" s="154"/>
      <c r="I318" s="154"/>
      <c r="J318" s="394"/>
      <c r="Y318" s="154"/>
    </row>
    <row r="319" spans="1:40" x14ac:dyDescent="0.25">
      <c r="J319" s="334"/>
      <c r="K319" s="202"/>
      <c r="Z319" s="202"/>
    </row>
    <row r="320" spans="1:40" x14ac:dyDescent="0.25">
      <c r="J320" s="394"/>
      <c r="L320" s="154"/>
      <c r="M320" s="154"/>
      <c r="AA320" s="154"/>
      <c r="AB320" s="154"/>
    </row>
    <row r="321" spans="1:40" x14ac:dyDescent="0.25">
      <c r="A321" s="202"/>
      <c r="J321" s="394"/>
      <c r="R321" s="154"/>
      <c r="AK321" s="297"/>
      <c r="AL321" s="154"/>
    </row>
    <row r="322" spans="1:40" x14ac:dyDescent="0.25">
      <c r="A322" s="202"/>
      <c r="J322" s="394"/>
      <c r="R322" s="154"/>
      <c r="AK322" s="297"/>
      <c r="AL322" s="154"/>
    </row>
    <row r="323" spans="1:40" x14ac:dyDescent="0.25">
      <c r="A323" s="154"/>
      <c r="J323" s="394"/>
      <c r="R323" s="154"/>
      <c r="AK323" s="297"/>
      <c r="AL323" s="154"/>
    </row>
    <row r="324" spans="1:40" x14ac:dyDescent="0.25">
      <c r="J324" s="394"/>
      <c r="L324" s="154"/>
      <c r="M324" s="154"/>
      <c r="R324" s="202"/>
      <c r="AA324" s="154"/>
      <c r="AB324" s="154"/>
      <c r="AK324" s="209"/>
      <c r="AL324" s="202"/>
    </row>
    <row r="325" spans="1:40" x14ac:dyDescent="0.25">
      <c r="A325" s="102"/>
      <c r="B325" s="102"/>
      <c r="C325" s="102"/>
      <c r="D325" s="102"/>
      <c r="E325" s="102"/>
      <c r="F325" s="102"/>
      <c r="G325" s="102"/>
      <c r="H325" s="102"/>
      <c r="I325" s="102"/>
      <c r="J325" s="335"/>
      <c r="K325" s="102"/>
      <c r="L325" s="102"/>
      <c r="M325" s="102"/>
      <c r="N325" s="102"/>
      <c r="O325" s="102"/>
      <c r="P325" s="102"/>
      <c r="Q325" s="102"/>
      <c r="R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208"/>
      <c r="AH325" s="102"/>
      <c r="AI325" s="102"/>
      <c r="AJ325" s="102"/>
      <c r="AK325" s="208"/>
      <c r="AL325" s="102"/>
      <c r="AM325" s="102"/>
      <c r="AN325" s="102"/>
    </row>
    <row r="326" spans="1:40" x14ac:dyDescent="0.25">
      <c r="J326" s="394"/>
      <c r="L326" s="103"/>
      <c r="M326" s="103"/>
      <c r="N326" s="103"/>
      <c r="O326" s="103"/>
      <c r="R326" s="103"/>
      <c r="AA326" s="103"/>
      <c r="AB326" s="103"/>
      <c r="AC326" s="103"/>
      <c r="AD326" s="103"/>
      <c r="AE326" s="103"/>
      <c r="AF326" s="103"/>
      <c r="AG326" s="185"/>
      <c r="AH326" s="103"/>
      <c r="AK326" s="185"/>
      <c r="AL326" s="103"/>
      <c r="AM326" s="103"/>
      <c r="AN326" s="103"/>
    </row>
    <row r="327" spans="1:40" x14ac:dyDescent="0.25">
      <c r="J327" s="394"/>
      <c r="L327" s="103"/>
      <c r="M327" s="103"/>
      <c r="N327" s="103"/>
      <c r="O327" s="103"/>
      <c r="R327" s="103"/>
      <c r="Z327" s="103"/>
      <c r="AA327" s="103"/>
      <c r="AB327" s="103"/>
      <c r="AC327" s="103"/>
      <c r="AD327" s="103"/>
      <c r="AE327" s="103"/>
      <c r="AF327" s="103"/>
      <c r="AG327" s="185"/>
      <c r="AH327" s="103"/>
      <c r="AK327" s="185"/>
      <c r="AL327" s="103"/>
      <c r="AM327" s="103"/>
      <c r="AN327" s="103"/>
    </row>
    <row r="328" spans="1:40" x14ac:dyDescent="0.25">
      <c r="A328" s="103"/>
      <c r="C328" s="103"/>
      <c r="D328" s="103"/>
      <c r="E328" s="103"/>
      <c r="F328" s="103"/>
      <c r="J328" s="336"/>
      <c r="K328" s="103"/>
      <c r="L328" s="103"/>
      <c r="M328" s="103"/>
      <c r="N328" s="103"/>
      <c r="O328" s="103"/>
      <c r="P328" s="103"/>
      <c r="Q328" s="103"/>
      <c r="R328" s="103"/>
      <c r="T328" s="103"/>
      <c r="U328" s="103"/>
      <c r="V328" s="103"/>
      <c r="Z328" s="103"/>
      <c r="AA328" s="103"/>
      <c r="AB328" s="103"/>
      <c r="AC328" s="103"/>
      <c r="AD328" s="103"/>
      <c r="AE328" s="103"/>
      <c r="AF328" s="103"/>
      <c r="AG328" s="185"/>
      <c r="AH328" s="103"/>
      <c r="AI328" s="103"/>
      <c r="AJ328" s="103"/>
      <c r="AK328" s="185"/>
      <c r="AL328" s="103"/>
      <c r="AM328" s="103"/>
      <c r="AN328" s="103"/>
    </row>
    <row r="329" spans="1:40" x14ac:dyDescent="0.25">
      <c r="A329" s="103"/>
      <c r="C329" s="103"/>
      <c r="D329" s="103"/>
      <c r="E329" s="103"/>
      <c r="F329" s="103"/>
      <c r="H329" s="103"/>
      <c r="I329" s="103"/>
      <c r="J329" s="336"/>
      <c r="K329" s="103"/>
      <c r="L329" s="103"/>
      <c r="M329" s="103"/>
      <c r="N329" s="103"/>
      <c r="O329" s="103"/>
      <c r="P329" s="103"/>
      <c r="Q329" s="103"/>
      <c r="R329" s="103"/>
      <c r="T329" s="103"/>
      <c r="U329" s="103"/>
      <c r="V329" s="103"/>
      <c r="Y329" s="103"/>
      <c r="Z329" s="103"/>
      <c r="AA329" s="103"/>
      <c r="AB329" s="103"/>
      <c r="AC329" s="103"/>
      <c r="AD329" s="103"/>
      <c r="AE329" s="103"/>
      <c r="AF329" s="103"/>
      <c r="AG329" s="185"/>
      <c r="AH329" s="103"/>
      <c r="AI329" s="103"/>
      <c r="AJ329" s="103"/>
      <c r="AK329" s="185"/>
      <c r="AL329" s="103"/>
      <c r="AM329" s="103"/>
      <c r="AN329" s="103"/>
    </row>
    <row r="330" spans="1:40" x14ac:dyDescent="0.25">
      <c r="C330" s="103"/>
      <c r="D330" s="103"/>
      <c r="E330" s="103"/>
      <c r="F330" s="103"/>
      <c r="H330" s="103"/>
      <c r="I330" s="103"/>
      <c r="J330" s="336"/>
      <c r="K330" s="103"/>
      <c r="L330" s="103"/>
      <c r="M330" s="103"/>
      <c r="N330" s="103"/>
      <c r="O330" s="103"/>
      <c r="P330" s="103"/>
      <c r="Q330" s="103"/>
      <c r="R330" s="103"/>
      <c r="T330" s="103"/>
      <c r="U330" s="103"/>
      <c r="V330" s="103"/>
      <c r="Y330" s="103"/>
      <c r="Z330" s="103"/>
      <c r="AA330" s="103"/>
      <c r="AB330" s="103"/>
      <c r="AC330" s="103"/>
      <c r="AD330" s="103"/>
      <c r="AE330" s="103"/>
      <c r="AF330" s="103"/>
      <c r="AG330" s="185"/>
      <c r="AH330" s="103"/>
      <c r="AI330" s="103"/>
      <c r="AJ330" s="103"/>
      <c r="AK330" s="185"/>
      <c r="AL330" s="103"/>
      <c r="AM330" s="103"/>
      <c r="AN330" s="103"/>
    </row>
    <row r="331" spans="1:40" x14ac:dyDescent="0.25">
      <c r="A331" s="102"/>
      <c r="B331" s="102"/>
      <c r="C331" s="102"/>
      <c r="D331" s="102"/>
      <c r="E331" s="102"/>
      <c r="F331" s="102"/>
      <c r="G331" s="102"/>
      <c r="H331" s="102"/>
      <c r="I331" s="102"/>
      <c r="J331" s="335"/>
      <c r="K331" s="102"/>
      <c r="L331" s="102"/>
      <c r="M331" s="102"/>
      <c r="N331" s="102"/>
      <c r="O331" s="102"/>
      <c r="P331" s="102"/>
      <c r="Q331" s="102"/>
      <c r="R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208"/>
      <c r="AH331" s="102"/>
      <c r="AI331" s="102"/>
      <c r="AJ331" s="102"/>
      <c r="AK331" s="208"/>
      <c r="AL331" s="102"/>
      <c r="AM331" s="102"/>
      <c r="AN331" s="102"/>
    </row>
    <row r="332" spans="1:40" x14ac:dyDescent="0.25">
      <c r="H332" s="103"/>
      <c r="I332" s="103"/>
      <c r="J332" s="336"/>
      <c r="K332" s="103"/>
      <c r="L332" s="103"/>
      <c r="M332" s="103"/>
      <c r="N332" s="103"/>
      <c r="O332" s="103"/>
      <c r="P332" s="103"/>
      <c r="Q332" s="103"/>
      <c r="R332" s="103"/>
      <c r="Y332" s="103"/>
      <c r="Z332" s="103"/>
      <c r="AA332" s="103"/>
      <c r="AB332" s="103"/>
      <c r="AC332" s="103"/>
      <c r="AD332" s="103"/>
      <c r="AE332" s="103"/>
      <c r="AF332" s="103"/>
      <c r="AG332" s="185"/>
      <c r="AH332" s="103"/>
      <c r="AI332" s="103"/>
      <c r="AJ332" s="103"/>
      <c r="AK332" s="185"/>
      <c r="AL332" s="103"/>
      <c r="AM332" s="103"/>
      <c r="AN332" s="103"/>
    </row>
    <row r="333" spans="1:40" x14ac:dyDescent="0.25">
      <c r="A333" s="202"/>
      <c r="C333" s="154"/>
      <c r="D333" s="154"/>
      <c r="E333" s="154"/>
      <c r="J333" s="394"/>
      <c r="T333" s="154"/>
      <c r="U333" s="154"/>
    </row>
    <row r="334" spans="1:40" x14ac:dyDescent="0.25">
      <c r="J334" s="394"/>
    </row>
    <row r="335" spans="1:40" x14ac:dyDescent="0.25">
      <c r="A335" s="202"/>
      <c r="C335" s="154"/>
      <c r="J335" s="394"/>
      <c r="T335" s="154"/>
    </row>
    <row r="336" spans="1:40" x14ac:dyDescent="0.25">
      <c r="A336" s="202"/>
      <c r="C336" s="154"/>
      <c r="F336" s="252"/>
      <c r="H336" s="252"/>
      <c r="I336" s="252"/>
      <c r="J336" s="329"/>
      <c r="K336" s="305"/>
      <c r="L336" s="200"/>
      <c r="M336" s="200"/>
      <c r="N336" s="210"/>
      <c r="O336" s="210"/>
      <c r="P336" s="200"/>
      <c r="Q336" s="200"/>
      <c r="R336" s="200"/>
      <c r="T336" s="154"/>
      <c r="V336" s="252"/>
      <c r="Y336" s="252"/>
      <c r="Z336" s="305"/>
      <c r="AA336" s="200"/>
      <c r="AB336" s="200"/>
      <c r="AC336" s="210"/>
      <c r="AD336" s="210"/>
      <c r="AE336" s="200"/>
      <c r="AF336" s="200"/>
      <c r="AG336" s="209"/>
      <c r="AH336" s="201"/>
      <c r="AI336" s="200"/>
      <c r="AJ336" s="200"/>
      <c r="AK336" s="209"/>
      <c r="AL336" s="200"/>
      <c r="AM336" s="210"/>
      <c r="AN336" s="210"/>
    </row>
    <row r="337" spans="1:40" x14ac:dyDescent="0.25">
      <c r="A337" s="202"/>
      <c r="C337" s="154"/>
      <c r="J337" s="394"/>
      <c r="T337" s="154"/>
    </row>
    <row r="338" spans="1:40" x14ac:dyDescent="0.25">
      <c r="A338" s="202"/>
      <c r="C338" s="154"/>
      <c r="F338" s="252"/>
      <c r="H338" s="252"/>
      <c r="I338" s="252"/>
      <c r="J338" s="329"/>
      <c r="K338" s="329"/>
      <c r="L338" s="200"/>
      <c r="M338" s="200"/>
      <c r="N338" s="210"/>
      <c r="O338" s="210"/>
      <c r="P338" s="200"/>
      <c r="Q338" s="200"/>
      <c r="R338" s="200"/>
      <c r="T338" s="154"/>
      <c r="V338" s="200"/>
      <c r="Y338" s="200"/>
      <c r="Z338" s="329"/>
      <c r="AA338" s="200"/>
      <c r="AB338" s="200"/>
      <c r="AC338" s="210"/>
      <c r="AD338" s="210"/>
      <c r="AE338" s="200"/>
      <c r="AF338" s="200"/>
      <c r="AG338" s="209"/>
      <c r="AH338" s="201"/>
      <c r="AI338" s="200"/>
      <c r="AJ338" s="200"/>
      <c r="AK338" s="209"/>
      <c r="AL338" s="200"/>
      <c r="AM338" s="210"/>
      <c r="AN338" s="210"/>
    </row>
    <row r="339" spans="1:40" x14ac:dyDescent="0.25">
      <c r="A339" s="202"/>
      <c r="C339" s="154"/>
      <c r="F339" s="252"/>
      <c r="H339" s="252"/>
      <c r="I339" s="252"/>
      <c r="J339" s="329"/>
      <c r="K339" s="329"/>
      <c r="L339" s="200"/>
      <c r="M339" s="200"/>
      <c r="N339" s="210"/>
      <c r="O339" s="210"/>
      <c r="P339" s="200"/>
      <c r="Q339" s="200"/>
      <c r="R339" s="200"/>
      <c r="T339" s="154"/>
      <c r="V339" s="200"/>
      <c r="Y339" s="200"/>
      <c r="Z339" s="329"/>
      <c r="AA339" s="200"/>
      <c r="AB339" s="200"/>
      <c r="AC339" s="210"/>
      <c r="AD339" s="210"/>
      <c r="AE339" s="200"/>
      <c r="AF339" s="200"/>
      <c r="AG339" s="209"/>
      <c r="AH339" s="201"/>
      <c r="AI339" s="200"/>
      <c r="AJ339" s="200"/>
      <c r="AK339" s="209"/>
      <c r="AL339" s="200"/>
      <c r="AM339" s="210"/>
      <c r="AN339" s="210"/>
    </row>
    <row r="340" spans="1:40" x14ac:dyDescent="0.25">
      <c r="A340" s="202"/>
      <c r="C340" s="154"/>
      <c r="F340" s="252"/>
      <c r="H340" s="252"/>
      <c r="I340" s="252"/>
      <c r="J340" s="329"/>
      <c r="K340" s="329"/>
      <c r="L340" s="200"/>
      <c r="M340" s="200"/>
      <c r="N340" s="210"/>
      <c r="O340" s="210"/>
      <c r="P340" s="200"/>
      <c r="Q340" s="200"/>
      <c r="R340" s="200"/>
      <c r="T340" s="154"/>
      <c r="V340" s="200"/>
      <c r="Y340" s="200"/>
      <c r="Z340" s="329"/>
      <c r="AA340" s="200"/>
      <c r="AB340" s="200"/>
      <c r="AC340" s="210"/>
      <c r="AD340" s="210"/>
      <c r="AE340" s="200"/>
      <c r="AF340" s="200"/>
      <c r="AG340" s="209"/>
      <c r="AH340" s="201"/>
      <c r="AI340" s="200"/>
      <c r="AJ340" s="200"/>
      <c r="AK340" s="209"/>
      <c r="AL340" s="200"/>
      <c r="AM340" s="210"/>
      <c r="AN340" s="210"/>
    </row>
    <row r="341" spans="1:40" x14ac:dyDescent="0.25">
      <c r="A341" s="202"/>
      <c r="C341" s="154"/>
      <c r="F341" s="252"/>
      <c r="H341" s="252"/>
      <c r="I341" s="252"/>
      <c r="J341" s="329"/>
      <c r="K341" s="329"/>
      <c r="L341" s="200"/>
      <c r="M341" s="200"/>
      <c r="N341" s="210"/>
      <c r="O341" s="210"/>
      <c r="P341" s="200"/>
      <c r="Q341" s="200"/>
      <c r="R341" s="200"/>
      <c r="T341" s="154"/>
      <c r="V341" s="200"/>
      <c r="Y341" s="200"/>
      <c r="Z341" s="329"/>
      <c r="AA341" s="200"/>
      <c r="AB341" s="200"/>
      <c r="AC341" s="210"/>
      <c r="AD341" s="210"/>
      <c r="AE341" s="200"/>
      <c r="AF341" s="200"/>
      <c r="AG341" s="209"/>
      <c r="AH341" s="201"/>
      <c r="AI341" s="200"/>
      <c r="AJ341" s="200"/>
      <c r="AK341" s="209"/>
      <c r="AL341" s="200"/>
      <c r="AM341" s="210"/>
      <c r="AN341" s="210"/>
    </row>
    <row r="342" spans="1:40" x14ac:dyDescent="0.25">
      <c r="A342" s="202"/>
      <c r="C342" s="154"/>
      <c r="J342" s="334"/>
      <c r="K342" s="334"/>
      <c r="T342" s="154"/>
      <c r="Z342" s="334"/>
    </row>
    <row r="343" spans="1:40" x14ac:dyDescent="0.25">
      <c r="A343" s="202"/>
      <c r="C343" s="154"/>
      <c r="F343" s="252"/>
      <c r="H343" s="252"/>
      <c r="I343" s="252"/>
      <c r="J343" s="329"/>
      <c r="K343" s="329"/>
      <c r="L343" s="200"/>
      <c r="M343" s="200"/>
      <c r="N343" s="210"/>
      <c r="O343" s="210"/>
      <c r="P343" s="200"/>
      <c r="Q343" s="200"/>
      <c r="R343" s="200"/>
      <c r="T343" s="154"/>
      <c r="V343" s="200"/>
      <c r="Y343" s="200"/>
      <c r="Z343" s="329"/>
      <c r="AA343" s="200"/>
      <c r="AB343" s="200"/>
      <c r="AC343" s="210"/>
      <c r="AD343" s="210"/>
      <c r="AE343" s="200"/>
      <c r="AF343" s="200"/>
      <c r="AG343" s="209"/>
      <c r="AH343" s="201"/>
      <c r="AI343" s="200"/>
      <c r="AJ343" s="200"/>
      <c r="AK343" s="209"/>
      <c r="AL343" s="200"/>
      <c r="AM343" s="210"/>
      <c r="AN343" s="210"/>
    </row>
    <row r="344" spans="1:40" x14ac:dyDescent="0.25">
      <c r="A344" s="202"/>
      <c r="C344" s="154"/>
      <c r="F344" s="252"/>
      <c r="H344" s="252"/>
      <c r="I344" s="252"/>
      <c r="J344" s="329"/>
      <c r="K344" s="329"/>
      <c r="L344" s="200"/>
      <c r="M344" s="200"/>
      <c r="N344" s="210"/>
      <c r="O344" s="210"/>
      <c r="P344" s="200"/>
      <c r="Q344" s="200"/>
      <c r="R344" s="200"/>
      <c r="T344" s="154"/>
      <c r="V344" s="200"/>
      <c r="Y344" s="200"/>
      <c r="Z344" s="329"/>
      <c r="AA344" s="200"/>
      <c r="AB344" s="200"/>
      <c r="AC344" s="210"/>
      <c r="AD344" s="210"/>
      <c r="AE344" s="200"/>
      <c r="AF344" s="200"/>
      <c r="AG344" s="209"/>
      <c r="AH344" s="201"/>
      <c r="AI344" s="200"/>
      <c r="AJ344" s="200"/>
      <c r="AK344" s="209"/>
      <c r="AL344" s="200"/>
      <c r="AM344" s="210"/>
      <c r="AN344" s="210"/>
    </row>
    <row r="345" spans="1:40" x14ac:dyDescent="0.25">
      <c r="A345" s="202"/>
      <c r="C345" s="154"/>
      <c r="F345" s="252"/>
      <c r="H345" s="252"/>
      <c r="I345" s="252"/>
      <c r="J345" s="329"/>
      <c r="K345" s="329"/>
      <c r="L345" s="200"/>
      <c r="M345" s="200"/>
      <c r="N345" s="210"/>
      <c r="O345" s="210"/>
      <c r="P345" s="200"/>
      <c r="Q345" s="200"/>
      <c r="R345" s="200"/>
      <c r="T345" s="154"/>
      <c r="V345" s="200"/>
      <c r="Y345" s="200"/>
      <c r="Z345" s="329"/>
      <c r="AA345" s="200"/>
      <c r="AB345" s="200"/>
      <c r="AC345" s="210"/>
      <c r="AD345" s="210"/>
      <c r="AE345" s="200"/>
      <c r="AF345" s="200"/>
      <c r="AG345" s="209"/>
      <c r="AH345" s="201"/>
      <c r="AI345" s="200"/>
      <c r="AJ345" s="200"/>
      <c r="AK345" s="209"/>
      <c r="AL345" s="200"/>
      <c r="AM345" s="210"/>
      <c r="AN345" s="210"/>
    </row>
    <row r="346" spans="1:40" x14ac:dyDescent="0.25">
      <c r="A346" s="202"/>
      <c r="C346" s="154"/>
      <c r="J346" s="334"/>
      <c r="K346" s="334"/>
      <c r="T346" s="154"/>
      <c r="Z346" s="334"/>
    </row>
    <row r="347" spans="1:40" x14ac:dyDescent="0.25">
      <c r="A347" s="202"/>
      <c r="C347" s="154"/>
      <c r="F347" s="252"/>
      <c r="H347" s="252"/>
      <c r="I347" s="252"/>
      <c r="J347" s="329"/>
      <c r="K347" s="329"/>
      <c r="L347" s="200"/>
      <c r="M347" s="200"/>
      <c r="N347" s="210"/>
      <c r="O347" s="210"/>
      <c r="P347" s="200"/>
      <c r="Q347" s="200"/>
      <c r="R347" s="200"/>
      <c r="T347" s="154"/>
      <c r="V347" s="200"/>
      <c r="Y347" s="200"/>
      <c r="Z347" s="329"/>
      <c r="AA347" s="200"/>
      <c r="AB347" s="200"/>
      <c r="AC347" s="210"/>
      <c r="AD347" s="210"/>
      <c r="AE347" s="200"/>
      <c r="AF347" s="200"/>
      <c r="AG347" s="209"/>
      <c r="AH347" s="201"/>
      <c r="AI347" s="200"/>
      <c r="AJ347" s="200"/>
      <c r="AK347" s="209"/>
      <c r="AL347" s="200"/>
      <c r="AM347" s="210"/>
      <c r="AN347" s="210"/>
    </row>
    <row r="348" spans="1:40" x14ac:dyDescent="0.25">
      <c r="A348" s="202"/>
      <c r="C348" s="154"/>
      <c r="F348" s="252"/>
      <c r="H348" s="252"/>
      <c r="I348" s="252"/>
      <c r="J348" s="329"/>
      <c r="K348" s="329"/>
      <c r="L348" s="200"/>
      <c r="M348" s="200"/>
      <c r="N348" s="210"/>
      <c r="O348" s="210"/>
      <c r="P348" s="200"/>
      <c r="Q348" s="200"/>
      <c r="R348" s="200"/>
      <c r="T348" s="154"/>
      <c r="V348" s="200"/>
      <c r="Y348" s="200"/>
      <c r="Z348" s="329"/>
      <c r="AA348" s="200"/>
      <c r="AB348" s="200"/>
      <c r="AC348" s="210"/>
      <c r="AD348" s="210"/>
      <c r="AE348" s="200"/>
      <c r="AF348" s="200"/>
      <c r="AG348" s="209"/>
      <c r="AH348" s="201"/>
      <c r="AI348" s="200"/>
      <c r="AJ348" s="200"/>
      <c r="AK348" s="209"/>
      <c r="AL348" s="200"/>
      <c r="AM348" s="210"/>
      <c r="AN348" s="210"/>
    </row>
    <row r="349" spans="1:40" x14ac:dyDescent="0.25">
      <c r="A349" s="202"/>
      <c r="C349" s="154"/>
      <c r="J349" s="334"/>
      <c r="K349" s="334"/>
      <c r="T349" s="154"/>
      <c r="Z349" s="334"/>
    </row>
    <row r="350" spans="1:40" x14ac:dyDescent="0.25">
      <c r="A350" s="202"/>
      <c r="C350" s="154"/>
      <c r="F350" s="252"/>
      <c r="H350" s="252"/>
      <c r="I350" s="252"/>
      <c r="J350" s="329"/>
      <c r="K350" s="329"/>
      <c r="L350" s="200"/>
      <c r="M350" s="200"/>
      <c r="N350" s="210"/>
      <c r="O350" s="210"/>
      <c r="P350" s="200"/>
      <c r="Q350" s="200"/>
      <c r="R350" s="200"/>
      <c r="T350" s="154"/>
      <c r="V350" s="200"/>
      <c r="Y350" s="200"/>
      <c r="Z350" s="329"/>
      <c r="AA350" s="200"/>
      <c r="AB350" s="200"/>
      <c r="AC350" s="210"/>
      <c r="AD350" s="210"/>
      <c r="AE350" s="200"/>
      <c r="AF350" s="200"/>
      <c r="AG350" s="209"/>
      <c r="AH350" s="201"/>
      <c r="AI350" s="200"/>
      <c r="AJ350" s="200"/>
      <c r="AK350" s="209"/>
      <c r="AL350" s="200"/>
      <c r="AM350" s="210"/>
      <c r="AN350" s="210"/>
    </row>
    <row r="351" spans="1:40" x14ac:dyDescent="0.25">
      <c r="A351" s="202"/>
      <c r="C351" s="154"/>
      <c r="F351" s="252"/>
      <c r="H351" s="252"/>
      <c r="I351" s="252"/>
      <c r="J351" s="329"/>
      <c r="K351" s="329"/>
      <c r="L351" s="200"/>
      <c r="M351" s="200"/>
      <c r="N351" s="210"/>
      <c r="O351" s="210"/>
      <c r="P351" s="200"/>
      <c r="Q351" s="200"/>
      <c r="R351" s="200"/>
      <c r="T351" s="154"/>
      <c r="V351" s="200"/>
      <c r="Y351" s="200"/>
      <c r="Z351" s="329"/>
      <c r="AA351" s="200"/>
      <c r="AB351" s="200"/>
      <c r="AC351" s="210"/>
      <c r="AD351" s="210"/>
      <c r="AE351" s="200"/>
      <c r="AF351" s="200"/>
      <c r="AG351" s="209"/>
      <c r="AH351" s="201"/>
      <c r="AI351" s="200"/>
      <c r="AJ351" s="200"/>
      <c r="AK351" s="209"/>
      <c r="AL351" s="200"/>
      <c r="AM351" s="210"/>
      <c r="AN351" s="210"/>
    </row>
    <row r="352" spans="1:40" x14ac:dyDescent="0.25">
      <c r="A352" s="202"/>
      <c r="C352" s="154"/>
      <c r="F352" s="252"/>
      <c r="H352" s="252"/>
      <c r="I352" s="252"/>
      <c r="J352" s="329"/>
      <c r="K352" s="329"/>
      <c r="L352" s="200"/>
      <c r="M352" s="200"/>
      <c r="N352" s="210"/>
      <c r="O352" s="210"/>
      <c r="P352" s="200"/>
      <c r="Q352" s="200"/>
      <c r="R352" s="200"/>
      <c r="T352" s="154"/>
      <c r="V352" s="200"/>
      <c r="Y352" s="200"/>
      <c r="Z352" s="329"/>
      <c r="AA352" s="200"/>
      <c r="AB352" s="200"/>
      <c r="AC352" s="210"/>
      <c r="AD352" s="210"/>
      <c r="AE352" s="200"/>
      <c r="AF352" s="200"/>
      <c r="AG352" s="209"/>
      <c r="AH352" s="201"/>
      <c r="AI352" s="200"/>
      <c r="AJ352" s="200"/>
      <c r="AK352" s="209"/>
      <c r="AL352" s="200"/>
      <c r="AM352" s="210"/>
      <c r="AN352" s="210"/>
    </row>
    <row r="353" spans="1:40" x14ac:dyDescent="0.25">
      <c r="F353" s="211"/>
      <c r="H353" s="211"/>
      <c r="I353" s="211"/>
      <c r="J353" s="329"/>
      <c r="K353" s="329"/>
      <c r="L353" s="211"/>
      <c r="M353" s="211"/>
      <c r="N353" s="211"/>
      <c r="O353" s="211"/>
      <c r="P353" s="211"/>
      <c r="Q353" s="211"/>
      <c r="R353" s="211"/>
      <c r="V353" s="211"/>
      <c r="Y353" s="211"/>
      <c r="Z353" s="329"/>
      <c r="AA353" s="211"/>
      <c r="AB353" s="211"/>
      <c r="AC353" s="211"/>
      <c r="AD353" s="211"/>
      <c r="AE353" s="211"/>
      <c r="AF353" s="211"/>
      <c r="AI353" s="211"/>
      <c r="AJ353" s="211"/>
      <c r="AK353" s="212"/>
      <c r="AL353" s="211"/>
    </row>
    <row r="354" spans="1:40" x14ac:dyDescent="0.25">
      <c r="A354" s="202"/>
      <c r="C354" s="103"/>
      <c r="F354" s="200"/>
      <c r="H354" s="200"/>
      <c r="I354" s="200"/>
      <c r="J354" s="334"/>
      <c r="K354" s="334"/>
      <c r="L354" s="200"/>
      <c r="M354" s="200"/>
      <c r="N354" s="201"/>
      <c r="O354" s="201"/>
      <c r="P354" s="200"/>
      <c r="Q354" s="200"/>
      <c r="R354" s="200"/>
      <c r="T354" s="103"/>
      <c r="V354" s="200"/>
      <c r="Y354" s="200"/>
      <c r="Z354" s="334"/>
      <c r="AA354" s="200"/>
      <c r="AB354" s="200"/>
      <c r="AC354" s="200"/>
      <c r="AD354" s="200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F355" s="211"/>
      <c r="H355" s="211"/>
      <c r="I355" s="211"/>
      <c r="J355" s="329"/>
      <c r="K355" s="329"/>
      <c r="L355" s="211"/>
      <c r="M355" s="211"/>
      <c r="N355" s="211"/>
      <c r="O355" s="211"/>
      <c r="P355" s="211"/>
      <c r="Q355" s="211"/>
      <c r="R355" s="211"/>
      <c r="V355" s="211"/>
      <c r="Y355" s="211"/>
      <c r="Z355" s="329"/>
      <c r="AA355" s="211"/>
      <c r="AB355" s="211"/>
      <c r="AC355" s="211"/>
      <c r="AD355" s="211"/>
      <c r="AE355" s="211"/>
      <c r="AF355" s="211"/>
      <c r="AI355" s="211"/>
      <c r="AJ355" s="211"/>
      <c r="AK355" s="212"/>
      <c r="AL355" s="211"/>
    </row>
    <row r="356" spans="1:40" x14ac:dyDescent="0.25">
      <c r="A356" s="202"/>
      <c r="C356" s="154"/>
      <c r="J356" s="334"/>
      <c r="K356" s="334"/>
      <c r="T356" s="154"/>
      <c r="Z356" s="334"/>
    </row>
    <row r="357" spans="1:40" x14ac:dyDescent="0.25">
      <c r="A357" s="202"/>
      <c r="C357" s="154"/>
      <c r="J357" s="334"/>
      <c r="K357" s="334"/>
      <c r="T357" s="154"/>
      <c r="Z357" s="334"/>
    </row>
    <row r="358" spans="1:40" x14ac:dyDescent="0.25">
      <c r="A358" s="202"/>
      <c r="C358" s="154"/>
      <c r="F358" s="252"/>
      <c r="H358" s="252"/>
      <c r="I358" s="252"/>
      <c r="J358" s="329"/>
      <c r="K358" s="329"/>
      <c r="L358" s="200"/>
      <c r="M358" s="200"/>
      <c r="N358" s="210"/>
      <c r="O358" s="210"/>
      <c r="P358" s="200"/>
      <c r="Q358" s="200"/>
      <c r="R358" s="200"/>
      <c r="T358" s="154"/>
      <c r="V358" s="200"/>
      <c r="Y358" s="200"/>
      <c r="Z358" s="329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A359" s="202"/>
      <c r="C359" s="154"/>
      <c r="F359" s="252"/>
      <c r="H359" s="252"/>
      <c r="I359" s="252"/>
      <c r="J359" s="329"/>
      <c r="K359" s="329"/>
      <c r="L359" s="200"/>
      <c r="M359" s="200"/>
      <c r="N359" s="210"/>
      <c r="O359" s="210"/>
      <c r="P359" s="200"/>
      <c r="Q359" s="200"/>
      <c r="R359" s="200"/>
      <c r="T359" s="154"/>
      <c r="V359" s="200"/>
      <c r="Y359" s="200"/>
      <c r="Z359" s="329"/>
      <c r="AA359" s="200"/>
      <c r="AB359" s="200"/>
      <c r="AC359" s="210"/>
      <c r="AD359" s="210"/>
      <c r="AE359" s="200"/>
      <c r="AF359" s="200"/>
      <c r="AG359" s="209"/>
      <c r="AH359" s="201"/>
      <c r="AI359" s="200"/>
      <c r="AJ359" s="200"/>
      <c r="AK359" s="209"/>
      <c r="AL359" s="200"/>
      <c r="AM359" s="210"/>
      <c r="AN359" s="210"/>
    </row>
    <row r="360" spans="1:40" x14ac:dyDescent="0.25">
      <c r="A360" s="202"/>
      <c r="C360" s="154"/>
      <c r="F360" s="252"/>
      <c r="H360" s="252"/>
      <c r="I360" s="252"/>
      <c r="J360" s="329"/>
      <c r="K360" s="329"/>
      <c r="L360" s="200"/>
      <c r="M360" s="200"/>
      <c r="N360" s="210"/>
      <c r="O360" s="210"/>
      <c r="P360" s="200"/>
      <c r="Q360" s="200"/>
      <c r="R360" s="200"/>
      <c r="T360" s="154"/>
      <c r="V360" s="200"/>
      <c r="Y360" s="200"/>
      <c r="Z360" s="329"/>
      <c r="AA360" s="200"/>
      <c r="AB360" s="200"/>
      <c r="AC360" s="210"/>
      <c r="AD360" s="210"/>
      <c r="AE360" s="200"/>
      <c r="AF360" s="200"/>
      <c r="AG360" s="209"/>
      <c r="AH360" s="201"/>
      <c r="AI360" s="200"/>
      <c r="AJ360" s="200"/>
      <c r="AK360" s="209"/>
      <c r="AL360" s="200"/>
      <c r="AM360" s="210"/>
      <c r="AN360" s="210"/>
    </row>
    <row r="361" spans="1:40" x14ac:dyDescent="0.25">
      <c r="A361" s="202"/>
      <c r="C361" s="154"/>
      <c r="F361" s="252"/>
      <c r="H361" s="252"/>
      <c r="I361" s="252"/>
      <c r="J361" s="329"/>
      <c r="K361" s="329"/>
      <c r="L361" s="200"/>
      <c r="M361" s="200"/>
      <c r="N361" s="210"/>
      <c r="O361" s="210"/>
      <c r="P361" s="200"/>
      <c r="Q361" s="200"/>
      <c r="R361" s="200"/>
      <c r="T361" s="154"/>
      <c r="V361" s="200"/>
      <c r="Y361" s="200"/>
      <c r="Z361" s="329"/>
      <c r="AA361" s="200"/>
      <c r="AB361" s="200"/>
      <c r="AC361" s="210"/>
      <c r="AD361" s="210"/>
      <c r="AE361" s="200"/>
      <c r="AF361" s="200"/>
      <c r="AG361" s="209"/>
      <c r="AH361" s="201"/>
      <c r="AI361" s="200"/>
      <c r="AJ361" s="200"/>
      <c r="AK361" s="209"/>
      <c r="AL361" s="200"/>
      <c r="AM361" s="210"/>
      <c r="AN361" s="210"/>
    </row>
    <row r="362" spans="1:40" x14ac:dyDescent="0.25">
      <c r="A362" s="202"/>
      <c r="C362" s="154"/>
      <c r="F362" s="252"/>
      <c r="H362" s="252"/>
      <c r="I362" s="252"/>
      <c r="J362" s="329"/>
      <c r="K362" s="329"/>
      <c r="L362" s="200"/>
      <c r="M362" s="200"/>
      <c r="N362" s="210"/>
      <c r="O362" s="210"/>
      <c r="P362" s="200"/>
      <c r="Q362" s="200"/>
      <c r="R362" s="200"/>
      <c r="T362" s="154"/>
      <c r="V362" s="200"/>
      <c r="Y362" s="200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A363" s="202"/>
      <c r="C363" s="154"/>
      <c r="F363" s="252"/>
      <c r="H363" s="252"/>
      <c r="I363" s="252"/>
      <c r="J363" s="329"/>
      <c r="K363" s="329"/>
      <c r="L363" s="200"/>
      <c r="M363" s="200"/>
      <c r="N363" s="210"/>
      <c r="O363" s="210"/>
      <c r="P363" s="200"/>
      <c r="Q363" s="200"/>
      <c r="R363" s="200"/>
      <c r="T363" s="154"/>
      <c r="V363" s="200"/>
      <c r="Y363" s="200"/>
      <c r="Z363" s="329"/>
      <c r="AA363" s="200"/>
      <c r="AB363" s="200"/>
      <c r="AC363" s="210"/>
      <c r="AD363" s="210"/>
      <c r="AE363" s="200"/>
      <c r="AF363" s="200"/>
      <c r="AG363" s="209"/>
      <c r="AH363" s="201"/>
      <c r="AI363" s="200"/>
      <c r="AJ363" s="200"/>
      <c r="AK363" s="209"/>
      <c r="AL363" s="200"/>
      <c r="AM363" s="210"/>
      <c r="AN363" s="210"/>
    </row>
    <row r="364" spans="1:40" x14ac:dyDescent="0.25">
      <c r="A364" s="202"/>
      <c r="C364" s="154"/>
      <c r="F364" s="252"/>
      <c r="H364" s="252"/>
      <c r="I364" s="252"/>
      <c r="J364" s="329"/>
      <c r="K364" s="329"/>
      <c r="L364" s="200"/>
      <c r="M364" s="200"/>
      <c r="N364" s="210"/>
      <c r="O364" s="210"/>
      <c r="P364" s="200"/>
      <c r="Q364" s="200"/>
      <c r="R364" s="200"/>
      <c r="T364" s="154"/>
      <c r="V364" s="200"/>
      <c r="Y364" s="200"/>
      <c r="Z364" s="329"/>
      <c r="AA364" s="200"/>
      <c r="AB364" s="200"/>
      <c r="AC364" s="210"/>
      <c r="AD364" s="210"/>
      <c r="AE364" s="200"/>
      <c r="AF364" s="200"/>
      <c r="AG364" s="209"/>
      <c r="AH364" s="201"/>
      <c r="AI364" s="200"/>
      <c r="AJ364" s="200"/>
      <c r="AK364" s="209"/>
      <c r="AL364" s="200"/>
      <c r="AM364" s="210"/>
      <c r="AN364" s="210"/>
    </row>
    <row r="365" spans="1:40" x14ac:dyDescent="0.25">
      <c r="A365" s="202"/>
      <c r="C365" s="154"/>
      <c r="J365" s="334"/>
      <c r="K365" s="334"/>
      <c r="T365" s="154"/>
      <c r="Z365" s="334"/>
    </row>
    <row r="366" spans="1:40" x14ac:dyDescent="0.25">
      <c r="A366" s="202"/>
      <c r="C366" s="154"/>
      <c r="F366" s="252"/>
      <c r="H366" s="252"/>
      <c r="I366" s="252"/>
      <c r="J366" s="329"/>
      <c r="K366" s="329"/>
      <c r="L366" s="200"/>
      <c r="M366" s="200"/>
      <c r="N366" s="210"/>
      <c r="O366" s="210"/>
      <c r="P366" s="200"/>
      <c r="Q366" s="200"/>
      <c r="R366" s="200"/>
      <c r="T366" s="154"/>
      <c r="V366" s="200"/>
      <c r="Y366" s="200"/>
      <c r="Z366" s="329"/>
      <c r="AA366" s="200"/>
      <c r="AB366" s="200"/>
      <c r="AC366" s="210"/>
      <c r="AD366" s="210"/>
      <c r="AE366" s="200"/>
      <c r="AF366" s="200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A367" s="202"/>
      <c r="C367" s="154"/>
      <c r="F367" s="252"/>
      <c r="H367" s="252"/>
      <c r="I367" s="252"/>
      <c r="J367" s="329"/>
      <c r="K367" s="329"/>
      <c r="L367" s="200"/>
      <c r="M367" s="200"/>
      <c r="N367" s="210"/>
      <c r="O367" s="210"/>
      <c r="P367" s="200"/>
      <c r="Q367" s="200"/>
      <c r="R367" s="200"/>
      <c r="T367" s="154"/>
      <c r="V367" s="200"/>
      <c r="Y367" s="200"/>
      <c r="Z367" s="329"/>
      <c r="AA367" s="200"/>
      <c r="AB367" s="200"/>
      <c r="AC367" s="210"/>
      <c r="AD367" s="210"/>
      <c r="AE367" s="200"/>
      <c r="AF367" s="200"/>
      <c r="AG367" s="209"/>
      <c r="AH367" s="201"/>
      <c r="AI367" s="200"/>
      <c r="AJ367" s="200"/>
      <c r="AK367" s="209"/>
      <c r="AL367" s="200"/>
      <c r="AM367" s="210"/>
      <c r="AN367" s="210"/>
    </row>
    <row r="368" spans="1:40" x14ac:dyDescent="0.25">
      <c r="A368" s="202"/>
      <c r="C368" s="154"/>
      <c r="F368" s="252"/>
      <c r="H368" s="252"/>
      <c r="I368" s="252"/>
      <c r="J368" s="329"/>
      <c r="K368" s="329"/>
      <c r="L368" s="200"/>
      <c r="M368" s="200"/>
      <c r="N368" s="210"/>
      <c r="O368" s="210"/>
      <c r="P368" s="200"/>
      <c r="Q368" s="200"/>
      <c r="R368" s="200"/>
      <c r="T368" s="154"/>
      <c r="V368" s="200"/>
      <c r="Y368" s="200"/>
      <c r="Z368" s="329"/>
      <c r="AA368" s="200"/>
      <c r="AB368" s="200"/>
      <c r="AC368" s="210"/>
      <c r="AD368" s="210"/>
      <c r="AE368" s="200"/>
      <c r="AF368" s="200"/>
      <c r="AG368" s="209"/>
      <c r="AH368" s="201"/>
      <c r="AI368" s="200"/>
      <c r="AJ368" s="200"/>
      <c r="AK368" s="209"/>
      <c r="AL368" s="200"/>
      <c r="AM368" s="210"/>
      <c r="AN368" s="210"/>
    </row>
    <row r="369" spans="1:40" x14ac:dyDescent="0.25">
      <c r="A369" s="202"/>
      <c r="C369" s="154"/>
      <c r="F369" s="252"/>
      <c r="H369" s="252"/>
      <c r="I369" s="252"/>
      <c r="J369" s="329"/>
      <c r="K369" s="329"/>
      <c r="L369" s="200"/>
      <c r="M369" s="200"/>
      <c r="N369" s="210"/>
      <c r="O369" s="210"/>
      <c r="P369" s="200"/>
      <c r="Q369" s="200"/>
      <c r="R369" s="200"/>
      <c r="T369" s="154"/>
      <c r="V369" s="200"/>
      <c r="Y369" s="200"/>
      <c r="Z369" s="329"/>
      <c r="AA369" s="200"/>
      <c r="AB369" s="200"/>
      <c r="AC369" s="210"/>
      <c r="AD369" s="210"/>
      <c r="AE369" s="200"/>
      <c r="AF369" s="200"/>
      <c r="AG369" s="209"/>
      <c r="AH369" s="201"/>
      <c r="AI369" s="200"/>
      <c r="AJ369" s="200"/>
      <c r="AK369" s="209"/>
      <c r="AL369" s="200"/>
      <c r="AM369" s="210"/>
      <c r="AN369" s="210"/>
    </row>
    <row r="370" spans="1:40" x14ac:dyDescent="0.25">
      <c r="A370" s="202"/>
      <c r="C370" s="154"/>
      <c r="J370" s="334"/>
      <c r="K370" s="334"/>
      <c r="T370" s="154"/>
      <c r="Z370" s="334"/>
    </row>
    <row r="371" spans="1:40" x14ac:dyDescent="0.25">
      <c r="A371" s="202"/>
      <c r="C371" s="154"/>
      <c r="F371" s="252"/>
      <c r="H371" s="252"/>
      <c r="I371" s="252"/>
      <c r="J371" s="329"/>
      <c r="K371" s="329"/>
      <c r="L371" s="200"/>
      <c r="M371" s="200"/>
      <c r="N371" s="210"/>
      <c r="O371" s="210"/>
      <c r="P371" s="200"/>
      <c r="Q371" s="200"/>
      <c r="R371" s="200"/>
      <c r="T371" s="154"/>
      <c r="V371" s="200"/>
      <c r="Y371" s="200"/>
      <c r="Z371" s="329"/>
      <c r="AA371" s="200"/>
      <c r="AB371" s="200"/>
      <c r="AC371" s="210"/>
      <c r="AD371" s="210"/>
      <c r="AE371" s="200"/>
      <c r="AF371" s="200"/>
      <c r="AG371" s="209"/>
      <c r="AH371" s="201"/>
      <c r="AI371" s="200"/>
      <c r="AJ371" s="200"/>
      <c r="AK371" s="209"/>
      <c r="AL371" s="200"/>
      <c r="AM371" s="210"/>
      <c r="AN371" s="210"/>
    </row>
    <row r="372" spans="1:40" x14ac:dyDescent="0.25">
      <c r="A372" s="202"/>
      <c r="C372" s="154"/>
      <c r="F372" s="252"/>
      <c r="H372" s="252"/>
      <c r="I372" s="252"/>
      <c r="J372" s="329"/>
      <c r="K372" s="329"/>
      <c r="L372" s="200"/>
      <c r="M372" s="200"/>
      <c r="N372" s="210"/>
      <c r="O372" s="210"/>
      <c r="P372" s="200"/>
      <c r="Q372" s="200"/>
      <c r="R372" s="200"/>
      <c r="T372" s="154"/>
      <c r="V372" s="200"/>
      <c r="Y372" s="200"/>
      <c r="Z372" s="329"/>
      <c r="AA372" s="200"/>
      <c r="AB372" s="200"/>
      <c r="AC372" s="210"/>
      <c r="AD372" s="210"/>
      <c r="AE372" s="200"/>
      <c r="AF372" s="200"/>
      <c r="AG372" s="209"/>
      <c r="AH372" s="201"/>
      <c r="AI372" s="200"/>
      <c r="AJ372" s="200"/>
      <c r="AK372" s="209"/>
      <c r="AL372" s="200"/>
      <c r="AM372" s="210"/>
      <c r="AN372" s="210"/>
    </row>
    <row r="373" spans="1:40" x14ac:dyDescent="0.25">
      <c r="A373" s="202"/>
      <c r="C373" s="154"/>
      <c r="F373" s="252"/>
      <c r="H373" s="252"/>
      <c r="I373" s="252"/>
      <c r="J373" s="329"/>
      <c r="K373" s="329"/>
      <c r="L373" s="200"/>
      <c r="M373" s="200"/>
      <c r="N373" s="210"/>
      <c r="O373" s="210"/>
      <c r="P373" s="200"/>
      <c r="Q373" s="200"/>
      <c r="R373" s="200"/>
      <c r="T373" s="154"/>
      <c r="V373" s="200"/>
      <c r="Y373" s="200"/>
      <c r="Z373" s="329"/>
      <c r="AA373" s="200"/>
      <c r="AB373" s="200"/>
      <c r="AC373" s="210"/>
      <c r="AD373" s="210"/>
      <c r="AE373" s="200"/>
      <c r="AF373" s="200"/>
      <c r="AG373" s="209"/>
      <c r="AH373" s="201"/>
      <c r="AI373" s="200"/>
      <c r="AJ373" s="200"/>
      <c r="AK373" s="209"/>
      <c r="AL373" s="200"/>
      <c r="AM373" s="210"/>
      <c r="AN373" s="210"/>
    </row>
    <row r="374" spans="1:40" x14ac:dyDescent="0.25">
      <c r="A374" s="202"/>
      <c r="C374" s="154"/>
      <c r="F374" s="252"/>
      <c r="H374" s="252"/>
      <c r="I374" s="252"/>
      <c r="J374" s="329"/>
      <c r="K374" s="329"/>
      <c r="L374" s="200"/>
      <c r="M374" s="200"/>
      <c r="N374" s="210"/>
      <c r="O374" s="210"/>
      <c r="P374" s="200"/>
      <c r="Q374" s="200"/>
      <c r="R374" s="200"/>
      <c r="T374" s="154"/>
      <c r="V374" s="200"/>
      <c r="Y374" s="200"/>
      <c r="Z374" s="329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A375" s="202"/>
      <c r="C375" s="154"/>
      <c r="F375" s="252"/>
      <c r="H375" s="252"/>
      <c r="I375" s="252"/>
      <c r="J375" s="329"/>
      <c r="K375" s="329"/>
      <c r="L375" s="200"/>
      <c r="M375" s="200"/>
      <c r="N375" s="210"/>
      <c r="O375" s="210"/>
      <c r="P375" s="200"/>
      <c r="Q375" s="200"/>
      <c r="R375" s="200"/>
      <c r="T375" s="154"/>
      <c r="V375" s="200"/>
      <c r="Y375" s="200"/>
      <c r="Z375" s="329"/>
      <c r="AA375" s="200"/>
      <c r="AB375" s="200"/>
      <c r="AC375" s="210"/>
      <c r="AD375" s="210"/>
      <c r="AE375" s="200"/>
      <c r="AF375" s="200"/>
      <c r="AG375" s="209"/>
      <c r="AH375" s="201"/>
      <c r="AI375" s="200"/>
      <c r="AJ375" s="200"/>
      <c r="AK375" s="209"/>
      <c r="AL375" s="200"/>
      <c r="AM375" s="210"/>
      <c r="AN375" s="210"/>
    </row>
    <row r="376" spans="1:40" x14ac:dyDescent="0.25">
      <c r="F376" s="211"/>
      <c r="H376" s="211"/>
      <c r="I376" s="211"/>
      <c r="J376" s="329"/>
      <c r="K376" s="305"/>
      <c r="L376" s="211"/>
      <c r="M376" s="211"/>
      <c r="N376" s="211"/>
      <c r="O376" s="211"/>
      <c r="P376" s="211"/>
      <c r="Q376" s="211"/>
      <c r="R376" s="211"/>
      <c r="V376" s="211"/>
      <c r="Y376" s="211"/>
      <c r="Z376" s="329"/>
      <c r="AA376" s="211"/>
      <c r="AB376" s="211"/>
      <c r="AC376" s="211"/>
      <c r="AD376" s="211"/>
      <c r="AE376" s="211"/>
      <c r="AF376" s="211"/>
      <c r="AI376" s="211"/>
      <c r="AJ376" s="211"/>
      <c r="AK376" s="212"/>
      <c r="AL376" s="211"/>
    </row>
    <row r="377" spans="1:40" x14ac:dyDescent="0.25">
      <c r="A377" s="202"/>
      <c r="C377" s="154"/>
      <c r="F377" s="200"/>
      <c r="H377" s="200"/>
      <c r="I377" s="200"/>
      <c r="J377" s="394"/>
      <c r="L377" s="200"/>
      <c r="M377" s="200"/>
      <c r="N377" s="201"/>
      <c r="O377" s="201"/>
      <c r="P377" s="200"/>
      <c r="Q377" s="200"/>
      <c r="R377" s="200"/>
      <c r="T377" s="154"/>
      <c r="V377" s="200"/>
      <c r="Y377" s="200"/>
      <c r="AA377" s="200"/>
      <c r="AB377" s="200"/>
      <c r="AC377" s="210"/>
      <c r="AD377" s="210"/>
      <c r="AE377" s="200"/>
      <c r="AF377" s="200"/>
      <c r="AG377" s="209"/>
      <c r="AH377" s="201"/>
      <c r="AI377" s="200"/>
      <c r="AJ377" s="200"/>
      <c r="AK377" s="209"/>
      <c r="AL377" s="200"/>
      <c r="AM377" s="210"/>
      <c r="AN377" s="210"/>
    </row>
    <row r="378" spans="1:40" x14ac:dyDescent="0.25">
      <c r="F378" s="211"/>
      <c r="H378" s="211"/>
      <c r="I378" s="211"/>
      <c r="J378" s="329"/>
      <c r="K378" s="305"/>
      <c r="L378" s="211"/>
      <c r="M378" s="211"/>
      <c r="N378" s="211"/>
      <c r="O378" s="211"/>
      <c r="P378" s="211"/>
      <c r="Q378" s="211"/>
      <c r="R378" s="211"/>
      <c r="V378" s="211"/>
      <c r="Y378" s="211"/>
      <c r="Z378" s="305"/>
      <c r="AA378" s="211"/>
      <c r="AB378" s="211"/>
      <c r="AC378" s="211"/>
      <c r="AD378" s="211"/>
      <c r="AE378" s="211"/>
      <c r="AF378" s="211"/>
      <c r="AI378" s="211"/>
      <c r="AJ378" s="211"/>
      <c r="AK378" s="212"/>
      <c r="AL378" s="211"/>
    </row>
    <row r="379" spans="1:40" x14ac:dyDescent="0.25">
      <c r="A379" s="202"/>
      <c r="C379" s="154"/>
      <c r="J379" s="394"/>
      <c r="T379" s="154"/>
    </row>
    <row r="380" spans="1:40" x14ac:dyDescent="0.25">
      <c r="A380" s="202"/>
      <c r="C380" s="154"/>
      <c r="F380" s="252"/>
      <c r="H380" s="252"/>
      <c r="I380" s="252"/>
      <c r="J380" s="329"/>
      <c r="K380" s="300"/>
      <c r="L380" s="200"/>
      <c r="M380" s="200"/>
      <c r="N380" s="210"/>
      <c r="O380" s="210"/>
      <c r="P380" s="200"/>
      <c r="Q380" s="200"/>
      <c r="R380" s="200"/>
      <c r="T380" s="154"/>
      <c r="V380" s="200"/>
      <c r="Y380" s="200"/>
      <c r="Z380" s="300"/>
      <c r="AA380" s="200"/>
      <c r="AB380" s="200"/>
      <c r="AC380" s="210"/>
      <c r="AD380" s="210"/>
      <c r="AE380" s="200"/>
      <c r="AF380" s="200"/>
      <c r="AG380" s="209"/>
      <c r="AH380" s="201"/>
      <c r="AI380" s="200"/>
      <c r="AJ380" s="200"/>
      <c r="AK380" s="209"/>
      <c r="AL380" s="200"/>
      <c r="AM380" s="210"/>
      <c r="AN380" s="210"/>
    </row>
    <row r="381" spans="1:40" x14ac:dyDescent="0.25">
      <c r="A381" s="202"/>
      <c r="C381" s="154"/>
      <c r="F381" s="252"/>
      <c r="H381" s="252"/>
      <c r="I381" s="252"/>
      <c r="J381" s="329"/>
      <c r="K381" s="300"/>
      <c r="L381" s="200"/>
      <c r="M381" s="200"/>
      <c r="N381" s="210"/>
      <c r="O381" s="210"/>
      <c r="P381" s="200"/>
      <c r="Q381" s="200"/>
      <c r="R381" s="200"/>
      <c r="T381" s="154"/>
      <c r="V381" s="200"/>
      <c r="Y381" s="200"/>
      <c r="Z381" s="300"/>
      <c r="AA381" s="200"/>
      <c r="AB381" s="200"/>
      <c r="AC381" s="210"/>
      <c r="AD381" s="210"/>
      <c r="AE381" s="200"/>
      <c r="AF381" s="200"/>
      <c r="AG381" s="209"/>
      <c r="AH381" s="201"/>
      <c r="AI381" s="200"/>
      <c r="AJ381" s="200"/>
      <c r="AK381" s="209"/>
      <c r="AL381" s="200"/>
      <c r="AM381" s="210"/>
      <c r="AN381" s="210"/>
    </row>
    <row r="382" spans="1:40" x14ac:dyDescent="0.25">
      <c r="F382" s="211"/>
      <c r="H382" s="200"/>
      <c r="I382" s="200"/>
      <c r="J382" s="329"/>
      <c r="K382" s="305"/>
      <c r="L382" s="211"/>
      <c r="M382" s="211"/>
      <c r="N382" s="211"/>
      <c r="O382" s="211"/>
      <c r="P382" s="211"/>
      <c r="Q382" s="211"/>
      <c r="R382" s="211"/>
      <c r="V382" s="211"/>
      <c r="Y382" s="200"/>
      <c r="Z382" s="305"/>
      <c r="AA382" s="211"/>
      <c r="AB382" s="211"/>
      <c r="AC382" s="211"/>
      <c r="AD382" s="211"/>
      <c r="AE382" s="211"/>
      <c r="AF382" s="211"/>
      <c r="AI382" s="211"/>
      <c r="AJ382" s="211"/>
      <c r="AK382" s="212"/>
      <c r="AL382" s="211"/>
    </row>
    <row r="383" spans="1:40" x14ac:dyDescent="0.25">
      <c r="F383" s="200"/>
      <c r="H383" s="200"/>
      <c r="I383" s="200"/>
      <c r="J383" s="329"/>
      <c r="K383" s="305"/>
      <c r="L383" s="200"/>
      <c r="M383" s="200"/>
      <c r="N383" s="200"/>
      <c r="O383" s="200"/>
      <c r="P383" s="200"/>
      <c r="Q383" s="200"/>
      <c r="R383" s="200"/>
      <c r="V383" s="200"/>
      <c r="Y383" s="200"/>
      <c r="Z383" s="305"/>
      <c r="AA383" s="200"/>
      <c r="AB383" s="200"/>
      <c r="AC383" s="200"/>
      <c r="AD383" s="200"/>
      <c r="AE383" s="200"/>
      <c r="AF383" s="200"/>
      <c r="AI383" s="200"/>
      <c r="AJ383" s="200"/>
      <c r="AK383" s="209"/>
      <c r="AL383" s="200"/>
    </row>
    <row r="384" spans="1:40" x14ac:dyDescent="0.25">
      <c r="A384" s="202"/>
      <c r="C384" s="154"/>
      <c r="F384" s="200"/>
      <c r="H384" s="200"/>
      <c r="I384" s="200"/>
      <c r="J384" s="394"/>
      <c r="L384" s="200"/>
      <c r="M384" s="200"/>
      <c r="N384" s="210"/>
      <c r="O384" s="210"/>
      <c r="P384" s="200"/>
      <c r="Q384" s="200"/>
      <c r="R384" s="200"/>
      <c r="T384" s="154"/>
      <c r="V384" s="200"/>
      <c r="Y384" s="200"/>
      <c r="AA384" s="200"/>
      <c r="AB384" s="200"/>
      <c r="AC384" s="210"/>
      <c r="AD384" s="210"/>
      <c r="AE384" s="200"/>
      <c r="AF384" s="200"/>
      <c r="AG384" s="209"/>
      <c r="AH384" s="201"/>
      <c r="AI384" s="252"/>
      <c r="AJ384" s="252"/>
      <c r="AK384" s="209"/>
      <c r="AL384" s="200"/>
      <c r="AM384" s="210"/>
      <c r="AN384" s="210"/>
    </row>
    <row r="385" spans="1:38" x14ac:dyDescent="0.25">
      <c r="H385" s="211"/>
      <c r="I385" s="211"/>
      <c r="J385" s="329"/>
      <c r="K385" s="305"/>
      <c r="L385" s="211"/>
      <c r="M385" s="211"/>
      <c r="N385" s="211"/>
      <c r="O385" s="211"/>
      <c r="P385" s="211"/>
      <c r="Q385" s="211"/>
      <c r="R385" s="211"/>
      <c r="V385" s="211"/>
      <c r="Y385" s="211"/>
      <c r="Z385" s="305"/>
      <c r="AA385" s="211"/>
      <c r="AB385" s="211"/>
      <c r="AC385" s="211"/>
      <c r="AD385" s="211"/>
      <c r="AE385" s="211"/>
      <c r="AF385" s="211"/>
      <c r="AI385" s="211"/>
      <c r="AJ385" s="211"/>
      <c r="AK385" s="212"/>
      <c r="AL385" s="211"/>
    </row>
    <row r="386" spans="1:38" x14ac:dyDescent="0.25">
      <c r="F386" s="211"/>
      <c r="J386" s="394"/>
    </row>
    <row r="387" spans="1:38" x14ac:dyDescent="0.25">
      <c r="A387" s="154"/>
      <c r="J387" s="394"/>
      <c r="T387" s="154"/>
    </row>
    <row r="388" spans="1:38" x14ac:dyDescent="0.25">
      <c r="A388" s="154"/>
      <c r="J388" s="394"/>
      <c r="T388" s="154"/>
    </row>
    <row r="389" spans="1:38" x14ac:dyDescent="0.25">
      <c r="A389" s="154"/>
      <c r="J389" s="394"/>
      <c r="T389" s="154"/>
    </row>
    <row r="390" spans="1:38" x14ac:dyDescent="0.25">
      <c r="A390" s="154"/>
      <c r="J390" s="394"/>
      <c r="T390" s="154"/>
    </row>
    <row r="391" spans="1:38" x14ac:dyDescent="0.25">
      <c r="A391" s="154"/>
      <c r="J391" s="394"/>
      <c r="T391" s="154"/>
    </row>
    <row r="392" spans="1:38" x14ac:dyDescent="0.25">
      <c r="A392" s="154"/>
      <c r="J392" s="394"/>
      <c r="T392" s="154"/>
    </row>
    <row r="393" spans="1:38" x14ac:dyDescent="0.25">
      <c r="A393" s="154"/>
      <c r="J393" s="394"/>
      <c r="T393" s="154"/>
    </row>
    <row r="394" spans="1:38" x14ac:dyDescent="0.25">
      <c r="A394" s="154"/>
      <c r="J394" s="394"/>
      <c r="T394" s="154"/>
    </row>
    <row r="395" spans="1:38" x14ac:dyDescent="0.25">
      <c r="A395" s="154"/>
      <c r="J395" s="394"/>
      <c r="T395" s="154"/>
    </row>
    <row r="396" spans="1:38" x14ac:dyDescent="0.25">
      <c r="J396" s="394"/>
    </row>
    <row r="397" spans="1:38" x14ac:dyDescent="0.25">
      <c r="A397" s="154"/>
      <c r="J397" s="394"/>
    </row>
    <row r="398" spans="1:38" x14ac:dyDescent="0.25">
      <c r="J398" s="334"/>
      <c r="K398" s="202"/>
      <c r="Z398" s="202"/>
    </row>
    <row r="399" spans="1:38" x14ac:dyDescent="0.25">
      <c r="H399" s="154"/>
      <c r="I399" s="154"/>
      <c r="J399" s="394"/>
      <c r="Y399" s="154"/>
    </row>
    <row r="400" spans="1:38" x14ac:dyDescent="0.25">
      <c r="J400" s="334"/>
      <c r="K400" s="202"/>
      <c r="Z400" s="202"/>
    </row>
    <row r="401" spans="1:40" x14ac:dyDescent="0.25">
      <c r="J401" s="394"/>
      <c r="L401" s="154"/>
      <c r="M401" s="154"/>
      <c r="AA401" s="154"/>
      <c r="AB401" s="154"/>
    </row>
    <row r="402" spans="1:40" x14ac:dyDescent="0.25">
      <c r="A402" s="202"/>
      <c r="J402" s="394"/>
      <c r="R402" s="154"/>
      <c r="AK402" s="297"/>
      <c r="AL402" s="154"/>
    </row>
    <row r="403" spans="1:40" x14ac:dyDescent="0.25">
      <c r="A403" s="202"/>
      <c r="J403" s="394"/>
      <c r="R403" s="154"/>
      <c r="AK403" s="297"/>
      <c r="AL403" s="154"/>
    </row>
    <row r="404" spans="1:40" x14ac:dyDescent="0.25">
      <c r="A404" s="154"/>
      <c r="J404" s="394"/>
      <c r="R404" s="154"/>
      <c r="AK404" s="297"/>
      <c r="AL404" s="154"/>
    </row>
    <row r="405" spans="1:40" x14ac:dyDescent="0.25">
      <c r="J405" s="394"/>
      <c r="L405" s="154"/>
      <c r="M405" s="154"/>
      <c r="R405" s="202"/>
      <c r="AA405" s="154"/>
      <c r="AB405" s="154"/>
      <c r="AK405" s="209"/>
      <c r="AL405" s="202"/>
    </row>
    <row r="406" spans="1:40" x14ac:dyDescent="0.25">
      <c r="A406" s="102"/>
      <c r="B406" s="102"/>
      <c r="C406" s="102"/>
      <c r="D406" s="102"/>
      <c r="E406" s="102"/>
      <c r="F406" s="102"/>
      <c r="G406" s="102"/>
      <c r="H406" s="102"/>
      <c r="I406" s="102"/>
      <c r="J406" s="335"/>
      <c r="K406" s="102"/>
      <c r="L406" s="102"/>
      <c r="M406" s="102"/>
      <c r="N406" s="102"/>
      <c r="O406" s="102"/>
      <c r="P406" s="102"/>
      <c r="Q406" s="102"/>
      <c r="R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208"/>
      <c r="AH406" s="102"/>
      <c r="AI406" s="102"/>
      <c r="AJ406" s="102"/>
      <c r="AK406" s="208"/>
      <c r="AL406" s="102"/>
      <c r="AM406" s="102"/>
      <c r="AN406" s="102"/>
    </row>
    <row r="407" spans="1:40" x14ac:dyDescent="0.25">
      <c r="J407" s="394"/>
      <c r="L407" s="103"/>
      <c r="M407" s="103"/>
      <c r="N407" s="103"/>
      <c r="O407" s="103"/>
      <c r="R407" s="103"/>
      <c r="AA407" s="103"/>
      <c r="AB407" s="103"/>
      <c r="AC407" s="103"/>
      <c r="AD407" s="103"/>
      <c r="AE407" s="103"/>
      <c r="AF407" s="103"/>
      <c r="AG407" s="185"/>
      <c r="AH407" s="103"/>
      <c r="AK407" s="185"/>
      <c r="AL407" s="103"/>
      <c r="AM407" s="103"/>
      <c r="AN407" s="103"/>
    </row>
    <row r="408" spans="1:40" x14ac:dyDescent="0.25">
      <c r="J408" s="394"/>
      <c r="L408" s="103"/>
      <c r="M408" s="103"/>
      <c r="N408" s="103"/>
      <c r="O408" s="103"/>
      <c r="R408" s="103"/>
      <c r="Z408" s="103"/>
      <c r="AA408" s="103"/>
      <c r="AB408" s="103"/>
      <c r="AC408" s="103"/>
      <c r="AD408" s="103"/>
      <c r="AE408" s="103"/>
      <c r="AF408" s="103"/>
      <c r="AG408" s="185"/>
      <c r="AH408" s="103"/>
      <c r="AK408" s="185"/>
      <c r="AL408" s="103"/>
      <c r="AM408" s="103"/>
      <c r="AN408" s="103"/>
    </row>
    <row r="409" spans="1:40" x14ac:dyDescent="0.25">
      <c r="A409" s="103"/>
      <c r="C409" s="103"/>
      <c r="D409" s="103"/>
      <c r="E409" s="103"/>
      <c r="F409" s="103"/>
      <c r="J409" s="336"/>
      <c r="K409" s="103"/>
      <c r="L409" s="103"/>
      <c r="M409" s="103"/>
      <c r="N409" s="103"/>
      <c r="O409" s="103"/>
      <c r="P409" s="103"/>
      <c r="Q409" s="103"/>
      <c r="R409" s="103"/>
      <c r="T409" s="103"/>
      <c r="U409" s="103"/>
      <c r="V409" s="103"/>
      <c r="Z409" s="103"/>
      <c r="AA409" s="103"/>
      <c r="AB409" s="103"/>
      <c r="AC409" s="103"/>
      <c r="AD409" s="103"/>
      <c r="AE409" s="103"/>
      <c r="AF409" s="103"/>
      <c r="AG409" s="185"/>
      <c r="AH409" s="103"/>
      <c r="AI409" s="103"/>
      <c r="AJ409" s="103"/>
      <c r="AK409" s="185"/>
      <c r="AL409" s="103"/>
      <c r="AM409" s="103"/>
      <c r="AN409" s="103"/>
    </row>
    <row r="410" spans="1:40" x14ac:dyDescent="0.25">
      <c r="A410" s="103"/>
      <c r="C410" s="103"/>
      <c r="D410" s="103"/>
      <c r="E410" s="103"/>
      <c r="F410" s="103"/>
      <c r="H410" s="103"/>
      <c r="I410" s="103"/>
      <c r="J410" s="336"/>
      <c r="K410" s="103"/>
      <c r="L410" s="103"/>
      <c r="M410" s="103"/>
      <c r="N410" s="103"/>
      <c r="O410" s="103"/>
      <c r="P410" s="103"/>
      <c r="Q410" s="103"/>
      <c r="R410" s="103"/>
      <c r="T410" s="103"/>
      <c r="U410" s="103"/>
      <c r="V410" s="103"/>
      <c r="Y410" s="103"/>
      <c r="Z410" s="103"/>
      <c r="AA410" s="103"/>
      <c r="AB410" s="103"/>
      <c r="AC410" s="103"/>
      <c r="AD410" s="103"/>
      <c r="AE410" s="103"/>
      <c r="AF410" s="103"/>
      <c r="AG410" s="185"/>
      <c r="AH410" s="103"/>
      <c r="AI410" s="103"/>
      <c r="AJ410" s="103"/>
      <c r="AK410" s="185"/>
      <c r="AL410" s="103"/>
      <c r="AM410" s="103"/>
      <c r="AN410" s="103"/>
    </row>
    <row r="411" spans="1:40" x14ac:dyDescent="0.25">
      <c r="C411" s="103"/>
      <c r="D411" s="103"/>
      <c r="E411" s="103"/>
      <c r="F411" s="103"/>
      <c r="H411" s="103"/>
      <c r="I411" s="103"/>
      <c r="J411" s="336"/>
      <c r="K411" s="103"/>
      <c r="L411" s="103"/>
      <c r="M411" s="103"/>
      <c r="N411" s="103"/>
      <c r="O411" s="103"/>
      <c r="P411" s="103"/>
      <c r="Q411" s="103"/>
      <c r="R411" s="103"/>
      <c r="T411" s="103"/>
      <c r="U411" s="103"/>
      <c r="V411" s="103"/>
      <c r="Y411" s="103"/>
      <c r="Z411" s="103"/>
      <c r="AA411" s="103"/>
      <c r="AB411" s="103"/>
      <c r="AC411" s="103"/>
      <c r="AD411" s="103"/>
      <c r="AE411" s="103"/>
      <c r="AF411" s="103"/>
      <c r="AG411" s="185"/>
      <c r="AH411" s="103"/>
      <c r="AI411" s="103"/>
      <c r="AJ411" s="103"/>
      <c r="AK411" s="185"/>
      <c r="AL411" s="103"/>
      <c r="AM411" s="103"/>
      <c r="AN411" s="103"/>
    </row>
    <row r="412" spans="1:40" x14ac:dyDescent="0.25">
      <c r="A412" s="102"/>
      <c r="B412" s="102"/>
      <c r="C412" s="102"/>
      <c r="D412" s="102"/>
      <c r="E412" s="102"/>
      <c r="F412" s="102"/>
      <c r="G412" s="102"/>
      <c r="H412" s="102"/>
      <c r="I412" s="102"/>
      <c r="J412" s="335"/>
      <c r="K412" s="102"/>
      <c r="L412" s="102"/>
      <c r="M412" s="102"/>
      <c r="N412" s="102"/>
      <c r="O412" s="102"/>
      <c r="P412" s="102"/>
      <c r="Q412" s="102"/>
      <c r="R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208"/>
      <c r="AH412" s="102"/>
      <c r="AI412" s="102"/>
      <c r="AJ412" s="102"/>
      <c r="AK412" s="208"/>
      <c r="AL412" s="102"/>
      <c r="AM412" s="102"/>
      <c r="AN412" s="102"/>
    </row>
    <row r="413" spans="1:40" x14ac:dyDescent="0.25">
      <c r="H413" s="103"/>
      <c r="I413" s="103"/>
      <c r="J413" s="336"/>
      <c r="K413" s="103"/>
      <c r="L413" s="103"/>
      <c r="M413" s="103"/>
      <c r="N413" s="103"/>
      <c r="O413" s="103"/>
      <c r="P413" s="103"/>
      <c r="Q413" s="103"/>
      <c r="R413" s="103"/>
      <c r="Y413" s="103"/>
      <c r="Z413" s="103"/>
      <c r="AA413" s="103"/>
      <c r="AB413" s="103"/>
      <c r="AC413" s="103"/>
      <c r="AD413" s="103"/>
      <c r="AE413" s="103"/>
      <c r="AF413" s="103"/>
      <c r="AG413" s="185"/>
      <c r="AH413" s="103"/>
      <c r="AI413" s="103"/>
      <c r="AJ413" s="103"/>
      <c r="AK413" s="185"/>
      <c r="AL413" s="103"/>
      <c r="AM413" s="103"/>
      <c r="AN413" s="103"/>
    </row>
    <row r="414" spans="1:40" x14ac:dyDescent="0.25">
      <c r="A414" s="202"/>
      <c r="C414" s="154"/>
      <c r="D414" s="154"/>
      <c r="E414" s="154"/>
      <c r="J414" s="394"/>
      <c r="T414" s="154"/>
      <c r="U414" s="154"/>
    </row>
    <row r="415" spans="1:40" x14ac:dyDescent="0.25">
      <c r="A415" s="202"/>
      <c r="D415" s="154"/>
      <c r="E415" s="154"/>
      <c r="J415" s="394"/>
      <c r="U415" s="154"/>
    </row>
    <row r="416" spans="1:40" x14ac:dyDescent="0.25">
      <c r="J416" s="394"/>
    </row>
    <row r="417" spans="1:40" x14ac:dyDescent="0.25">
      <c r="A417" s="202"/>
      <c r="C417" s="154"/>
      <c r="F417" s="200"/>
      <c r="J417" s="334"/>
      <c r="K417" s="215"/>
      <c r="L417" s="200"/>
      <c r="M417" s="200"/>
      <c r="R417" s="200"/>
      <c r="T417" s="154"/>
      <c r="V417" s="200"/>
      <c r="Z417" s="215"/>
      <c r="AA417" s="200"/>
      <c r="AB417" s="200"/>
      <c r="AG417" s="209"/>
      <c r="AH417" s="200"/>
      <c r="AK417" s="209"/>
      <c r="AL417" s="200"/>
    </row>
    <row r="418" spans="1:40" x14ac:dyDescent="0.25">
      <c r="A418" s="202"/>
      <c r="C418" s="154"/>
      <c r="F418" s="200"/>
      <c r="J418" s="394"/>
      <c r="R418" s="200"/>
      <c r="T418" s="154"/>
      <c r="V418" s="200"/>
      <c r="AG418" s="209"/>
      <c r="AH418" s="200"/>
      <c r="AK418" s="209"/>
      <c r="AL418" s="200"/>
    </row>
    <row r="419" spans="1:40" x14ac:dyDescent="0.25">
      <c r="J419" s="394"/>
      <c r="AI419" s="200"/>
      <c r="AJ419" s="200"/>
      <c r="AK419" s="209"/>
      <c r="AL419" s="200"/>
      <c r="AM419" s="210"/>
      <c r="AN419" s="210"/>
    </row>
    <row r="420" spans="1:40" x14ac:dyDescent="0.25">
      <c r="A420" s="202"/>
      <c r="C420" s="154"/>
      <c r="F420" s="252"/>
      <c r="H420" s="252"/>
      <c r="I420" s="252"/>
      <c r="J420" s="329"/>
      <c r="K420" s="328"/>
      <c r="L420" s="200"/>
      <c r="M420" s="200"/>
      <c r="N420" s="210"/>
      <c r="O420" s="210"/>
      <c r="P420" s="200"/>
      <c r="Q420" s="200"/>
      <c r="R420" s="200"/>
      <c r="T420" s="154"/>
      <c r="V420" s="200"/>
      <c r="Y420" s="200"/>
      <c r="Z420" s="328"/>
      <c r="AA420" s="200"/>
      <c r="AB420" s="200"/>
      <c r="AC420" s="210"/>
      <c r="AD420" s="210"/>
      <c r="AE420" s="200"/>
      <c r="AF420" s="200"/>
      <c r="AG420" s="209"/>
      <c r="AH420" s="201"/>
      <c r="AI420" s="200"/>
      <c r="AJ420" s="200"/>
      <c r="AK420" s="209"/>
      <c r="AL420" s="200"/>
      <c r="AM420" s="210"/>
      <c r="AN420" s="210"/>
    </row>
    <row r="421" spans="1:40" x14ac:dyDescent="0.25">
      <c r="F421" s="200"/>
      <c r="H421" s="200"/>
      <c r="I421" s="200"/>
      <c r="J421" s="334"/>
      <c r="K421" s="213"/>
      <c r="L421" s="200"/>
      <c r="M421" s="200"/>
      <c r="P421" s="200"/>
      <c r="Q421" s="200"/>
      <c r="R421" s="200"/>
      <c r="V421" s="200"/>
      <c r="Y421" s="200"/>
      <c r="Z421" s="213"/>
      <c r="AA421" s="200"/>
      <c r="AB421" s="200"/>
      <c r="AI421" s="200"/>
      <c r="AJ421" s="200"/>
      <c r="AK421" s="209"/>
      <c r="AL421" s="200"/>
      <c r="AM421" s="210"/>
      <c r="AN421" s="210"/>
    </row>
    <row r="422" spans="1:40" x14ac:dyDescent="0.25">
      <c r="F422" s="200"/>
      <c r="J422" s="394"/>
      <c r="R422" s="200"/>
      <c r="V422" s="200"/>
      <c r="AK422" s="209"/>
      <c r="AL422" s="200"/>
      <c r="AM422" s="210"/>
      <c r="AN422" s="210"/>
    </row>
    <row r="423" spans="1:40" x14ac:dyDescent="0.25">
      <c r="A423" s="202"/>
      <c r="C423" s="154"/>
      <c r="F423" s="200"/>
      <c r="J423" s="334"/>
      <c r="K423" s="215"/>
      <c r="L423" s="200"/>
      <c r="M423" s="200"/>
      <c r="N423" s="210"/>
      <c r="O423" s="210"/>
      <c r="R423" s="200"/>
      <c r="T423" s="154"/>
      <c r="V423" s="200"/>
      <c r="Z423" s="215"/>
      <c r="AA423" s="200"/>
      <c r="AB423" s="200"/>
      <c r="AC423" s="210"/>
      <c r="AD423" s="210"/>
      <c r="AK423" s="209"/>
      <c r="AL423" s="200"/>
      <c r="AM423" s="210"/>
      <c r="AN423" s="210"/>
    </row>
    <row r="424" spans="1:40" x14ac:dyDescent="0.25">
      <c r="A424" s="202"/>
      <c r="C424" s="154"/>
      <c r="F424" s="200"/>
      <c r="H424" s="200"/>
      <c r="I424" s="200"/>
      <c r="J424" s="334"/>
      <c r="K424" s="215"/>
      <c r="L424" s="200"/>
      <c r="M424" s="200"/>
      <c r="N424" s="210"/>
      <c r="O424" s="210"/>
      <c r="P424" s="200"/>
      <c r="Q424" s="200"/>
      <c r="R424" s="200"/>
      <c r="T424" s="154"/>
      <c r="V424" s="200"/>
      <c r="Y424" s="200"/>
      <c r="Z424" s="215"/>
      <c r="AA424" s="200"/>
      <c r="AB424" s="200"/>
      <c r="AC424" s="210"/>
      <c r="AD424" s="210"/>
      <c r="AI424" s="200"/>
      <c r="AJ424" s="200"/>
      <c r="AK424" s="209"/>
      <c r="AL424" s="200"/>
      <c r="AM424" s="210"/>
      <c r="AN424" s="210"/>
    </row>
    <row r="425" spans="1:40" x14ac:dyDescent="0.25">
      <c r="A425" s="202"/>
      <c r="C425" s="154"/>
      <c r="J425" s="394"/>
      <c r="T425" s="154"/>
      <c r="AM425" s="210"/>
      <c r="AN425" s="210"/>
    </row>
    <row r="426" spans="1:40" x14ac:dyDescent="0.25">
      <c r="A426" s="202"/>
      <c r="C426" s="154"/>
      <c r="J426" s="394"/>
      <c r="T426" s="154"/>
      <c r="AM426" s="210"/>
      <c r="AN426" s="210"/>
    </row>
    <row r="427" spans="1:40" x14ac:dyDescent="0.25">
      <c r="J427" s="394"/>
      <c r="AM427" s="210"/>
      <c r="AN427" s="210"/>
    </row>
    <row r="428" spans="1:40" x14ac:dyDescent="0.25">
      <c r="A428" s="202"/>
      <c r="C428" s="154"/>
      <c r="F428" s="252"/>
      <c r="H428" s="252"/>
      <c r="I428" s="252"/>
      <c r="J428" s="329"/>
      <c r="K428" s="328"/>
      <c r="L428" s="200"/>
      <c r="M428" s="200"/>
      <c r="N428" s="210"/>
      <c r="O428" s="210"/>
      <c r="P428" s="200"/>
      <c r="Q428" s="200"/>
      <c r="R428" s="200"/>
      <c r="T428" s="154"/>
      <c r="V428" s="200"/>
      <c r="Y428" s="200"/>
      <c r="Z428" s="328"/>
      <c r="AA428" s="200"/>
      <c r="AB428" s="200"/>
      <c r="AC428" s="210"/>
      <c r="AD428" s="210"/>
      <c r="AE428" s="200"/>
      <c r="AF428" s="200"/>
      <c r="AG428" s="209"/>
      <c r="AH428" s="201"/>
      <c r="AI428" s="200"/>
      <c r="AJ428" s="200"/>
      <c r="AK428" s="209"/>
      <c r="AL428" s="200"/>
      <c r="AM428" s="210"/>
      <c r="AN428" s="210"/>
    </row>
    <row r="429" spans="1:40" x14ac:dyDescent="0.25">
      <c r="F429" s="211"/>
      <c r="H429" s="211"/>
      <c r="I429" s="211"/>
      <c r="J429" s="329"/>
      <c r="K429" s="305"/>
      <c r="L429" s="211"/>
      <c r="M429" s="211"/>
      <c r="N429" s="211"/>
      <c r="O429" s="211"/>
      <c r="P429" s="211"/>
      <c r="Q429" s="211"/>
      <c r="R429" s="211"/>
      <c r="V429" s="211"/>
      <c r="Y429" s="211"/>
      <c r="Z429" s="305"/>
      <c r="AA429" s="211"/>
      <c r="AB429" s="211"/>
      <c r="AC429" s="211"/>
      <c r="AD429" s="211"/>
      <c r="AE429" s="211"/>
      <c r="AF429" s="211"/>
      <c r="AI429" s="211"/>
      <c r="AJ429" s="211"/>
      <c r="AK429" s="212"/>
      <c r="AL429" s="211"/>
      <c r="AM429" s="210"/>
      <c r="AN429" s="210"/>
    </row>
    <row r="430" spans="1:40" x14ac:dyDescent="0.25">
      <c r="H430" s="200"/>
      <c r="I430" s="200"/>
      <c r="J430" s="394"/>
      <c r="Y430" s="200"/>
      <c r="AM430" s="210"/>
      <c r="AN430" s="210"/>
    </row>
    <row r="431" spans="1:40" x14ac:dyDescent="0.25">
      <c r="A431" s="202"/>
      <c r="C431" s="154"/>
      <c r="F431" s="200"/>
      <c r="H431" s="200"/>
      <c r="I431" s="200"/>
      <c r="J431" s="394"/>
      <c r="L431" s="200"/>
      <c r="M431" s="200"/>
      <c r="N431" s="210"/>
      <c r="O431" s="210"/>
      <c r="P431" s="252"/>
      <c r="Q431" s="252"/>
      <c r="R431" s="200"/>
      <c r="T431" s="154"/>
      <c r="V431" s="200"/>
      <c r="Y431" s="200"/>
      <c r="AA431" s="200"/>
      <c r="AB431" s="200"/>
      <c r="AC431" s="210"/>
      <c r="AD431" s="210"/>
      <c r="AE431" s="200"/>
      <c r="AF431" s="200"/>
      <c r="AG431" s="209"/>
      <c r="AH431" s="201"/>
      <c r="AI431" s="252"/>
      <c r="AJ431" s="252"/>
      <c r="AK431" s="209"/>
      <c r="AL431" s="200"/>
      <c r="AM431" s="210"/>
      <c r="AN431" s="210"/>
    </row>
    <row r="432" spans="1:40" x14ac:dyDescent="0.25">
      <c r="H432" s="211"/>
      <c r="I432" s="211"/>
      <c r="J432" s="329"/>
      <c r="K432" s="305"/>
      <c r="L432" s="211"/>
      <c r="M432" s="211"/>
      <c r="N432" s="211"/>
      <c r="O432" s="211"/>
      <c r="P432" s="211"/>
      <c r="Q432" s="211"/>
      <c r="R432" s="211"/>
      <c r="V432" s="211"/>
      <c r="Y432" s="211"/>
      <c r="Z432" s="305"/>
      <c r="AA432" s="211"/>
      <c r="AB432" s="211"/>
      <c r="AC432" s="211"/>
      <c r="AD432" s="211"/>
      <c r="AE432" s="211"/>
      <c r="AF432" s="211"/>
      <c r="AI432" s="211"/>
      <c r="AJ432" s="211"/>
      <c r="AK432" s="212"/>
      <c r="AL432" s="211"/>
      <c r="AM432" s="210"/>
      <c r="AN432" s="210"/>
    </row>
    <row r="433" spans="1:40" x14ac:dyDescent="0.25">
      <c r="F433" s="211"/>
      <c r="J433" s="394"/>
    </row>
    <row r="434" spans="1:40" x14ac:dyDescent="0.25">
      <c r="F434" s="200"/>
      <c r="H434" s="200"/>
      <c r="I434" s="200"/>
      <c r="J434" s="334"/>
      <c r="K434" s="213"/>
      <c r="L434" s="200"/>
      <c r="M434" s="200"/>
      <c r="N434" s="200"/>
      <c r="O434" s="200"/>
      <c r="P434" s="200"/>
      <c r="Q434" s="200"/>
      <c r="R434" s="200"/>
      <c r="V434" s="200"/>
      <c r="Y434" s="200"/>
      <c r="Z434" s="213"/>
      <c r="AA434" s="200"/>
      <c r="AB434" s="200"/>
      <c r="AC434" s="200"/>
      <c r="AD434" s="200"/>
      <c r="AE434" s="200"/>
      <c r="AF434" s="200"/>
      <c r="AG434" s="209"/>
      <c r="AH434" s="200"/>
      <c r="AI434" s="200"/>
      <c r="AJ434" s="200"/>
      <c r="AK434" s="209"/>
      <c r="AL434" s="200"/>
    </row>
    <row r="435" spans="1:40" x14ac:dyDescent="0.25">
      <c r="A435" s="154"/>
      <c r="J435" s="394"/>
    </row>
    <row r="436" spans="1:40" x14ac:dyDescent="0.25">
      <c r="J436" s="334"/>
      <c r="K436" s="202"/>
      <c r="Z436" s="202"/>
    </row>
    <row r="437" spans="1:40" x14ac:dyDescent="0.25">
      <c r="H437" s="154"/>
      <c r="I437" s="154"/>
      <c r="J437" s="394"/>
      <c r="Y437" s="154"/>
    </row>
    <row r="438" spans="1:40" x14ac:dyDescent="0.25">
      <c r="J438" s="334"/>
      <c r="K438" s="202"/>
      <c r="Z438" s="202"/>
    </row>
    <row r="439" spans="1:40" x14ac:dyDescent="0.25">
      <c r="J439" s="394"/>
      <c r="L439" s="154"/>
      <c r="M439" s="154"/>
      <c r="AA439" s="154"/>
      <c r="AB439" s="154"/>
    </row>
    <row r="440" spans="1:40" x14ac:dyDescent="0.25">
      <c r="A440" s="202"/>
      <c r="J440" s="394"/>
      <c r="R440" s="154"/>
      <c r="AK440" s="297"/>
      <c r="AL440" s="154"/>
    </row>
    <row r="441" spans="1:40" x14ac:dyDescent="0.25">
      <c r="A441" s="202"/>
      <c r="J441" s="394"/>
      <c r="R441" s="154"/>
      <c r="AK441" s="297"/>
      <c r="AL441" s="154"/>
    </row>
    <row r="442" spans="1:40" x14ac:dyDescent="0.25">
      <c r="A442" s="154"/>
      <c r="J442" s="394"/>
      <c r="R442" s="154"/>
      <c r="AK442" s="297"/>
      <c r="AL442" s="154"/>
    </row>
    <row r="443" spans="1:40" x14ac:dyDescent="0.25">
      <c r="J443" s="394"/>
      <c r="L443" s="154"/>
      <c r="M443" s="154"/>
      <c r="R443" s="202"/>
      <c r="AA443" s="154"/>
      <c r="AB443" s="154"/>
      <c r="AK443" s="209"/>
      <c r="AL443" s="202"/>
    </row>
    <row r="444" spans="1:40" x14ac:dyDescent="0.25">
      <c r="A444" s="102"/>
      <c r="B444" s="102"/>
      <c r="C444" s="102"/>
      <c r="D444" s="102"/>
      <c r="E444" s="102"/>
      <c r="F444" s="102"/>
      <c r="G444" s="102"/>
      <c r="H444" s="102"/>
      <c r="I444" s="102"/>
      <c r="J444" s="335"/>
      <c r="K444" s="102"/>
      <c r="L444" s="102"/>
      <c r="M444" s="102"/>
      <c r="N444" s="102"/>
      <c r="O444" s="102"/>
      <c r="P444" s="102"/>
      <c r="Q444" s="102"/>
      <c r="R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208"/>
      <c r="AH444" s="102"/>
      <c r="AI444" s="102"/>
      <c r="AJ444" s="102"/>
      <c r="AK444" s="208"/>
      <c r="AL444" s="102"/>
      <c r="AM444" s="102"/>
      <c r="AN444" s="102"/>
    </row>
    <row r="445" spans="1:40" x14ac:dyDescent="0.25">
      <c r="J445" s="394"/>
      <c r="L445" s="103"/>
      <c r="M445" s="103"/>
      <c r="N445" s="103"/>
      <c r="O445" s="103"/>
      <c r="R445" s="103"/>
      <c r="AA445" s="103"/>
      <c r="AB445" s="103"/>
      <c r="AC445" s="103"/>
      <c r="AD445" s="103"/>
      <c r="AE445" s="103"/>
      <c r="AF445" s="103"/>
      <c r="AG445" s="185"/>
      <c r="AH445" s="103"/>
      <c r="AK445" s="185"/>
      <c r="AL445" s="103"/>
      <c r="AM445" s="103"/>
      <c r="AN445" s="103"/>
    </row>
    <row r="446" spans="1:40" x14ac:dyDescent="0.25">
      <c r="J446" s="394"/>
      <c r="L446" s="103"/>
      <c r="M446" s="103"/>
      <c r="N446" s="103"/>
      <c r="O446" s="103"/>
      <c r="R446" s="103"/>
      <c r="Z446" s="103"/>
      <c r="AA446" s="103"/>
      <c r="AB446" s="103"/>
      <c r="AC446" s="103"/>
      <c r="AD446" s="103"/>
      <c r="AE446" s="103"/>
      <c r="AF446" s="103"/>
      <c r="AG446" s="185"/>
      <c r="AH446" s="103"/>
      <c r="AK446" s="185"/>
      <c r="AL446" s="103"/>
      <c r="AM446" s="103"/>
      <c r="AN446" s="103"/>
    </row>
    <row r="447" spans="1:40" x14ac:dyDescent="0.25">
      <c r="A447" s="103"/>
      <c r="C447" s="103"/>
      <c r="D447" s="103"/>
      <c r="E447" s="103"/>
      <c r="F447" s="103"/>
      <c r="J447" s="336"/>
      <c r="K447" s="103"/>
      <c r="L447" s="103"/>
      <c r="M447" s="103"/>
      <c r="N447" s="103"/>
      <c r="O447" s="103"/>
      <c r="P447" s="103"/>
      <c r="Q447" s="103"/>
      <c r="R447" s="103"/>
      <c r="T447" s="103"/>
      <c r="U447" s="103"/>
      <c r="V447" s="103"/>
      <c r="Z447" s="103"/>
      <c r="AA447" s="103"/>
      <c r="AB447" s="103"/>
      <c r="AC447" s="103"/>
      <c r="AD447" s="103"/>
      <c r="AE447" s="103"/>
      <c r="AF447" s="103"/>
      <c r="AG447" s="185"/>
      <c r="AH447" s="103"/>
      <c r="AI447" s="103"/>
      <c r="AJ447" s="103"/>
      <c r="AK447" s="185"/>
      <c r="AL447" s="103"/>
      <c r="AM447" s="103"/>
      <c r="AN447" s="103"/>
    </row>
    <row r="448" spans="1:40" x14ac:dyDescent="0.25">
      <c r="A448" s="103"/>
      <c r="C448" s="103"/>
      <c r="D448" s="103"/>
      <c r="E448" s="103"/>
      <c r="F448" s="103"/>
      <c r="H448" s="103"/>
      <c r="I448" s="103"/>
      <c r="J448" s="336"/>
      <c r="K448" s="103"/>
      <c r="L448" s="103"/>
      <c r="M448" s="103"/>
      <c r="N448" s="103"/>
      <c r="O448" s="103"/>
      <c r="P448" s="103"/>
      <c r="Q448" s="103"/>
      <c r="R448" s="103"/>
      <c r="T448" s="103"/>
      <c r="U448" s="103"/>
      <c r="V448" s="103"/>
      <c r="Y448" s="103"/>
      <c r="Z448" s="103"/>
      <c r="AA448" s="103"/>
      <c r="AB448" s="103"/>
      <c r="AC448" s="103"/>
      <c r="AD448" s="103"/>
      <c r="AE448" s="103"/>
      <c r="AF448" s="103"/>
      <c r="AG448" s="185"/>
      <c r="AH448" s="103"/>
      <c r="AI448" s="103"/>
      <c r="AJ448" s="103"/>
      <c r="AK448" s="185"/>
      <c r="AL448" s="103"/>
      <c r="AM448" s="103"/>
      <c r="AN448" s="103"/>
    </row>
    <row r="449" spans="1:40" x14ac:dyDescent="0.25">
      <c r="C449" s="103"/>
      <c r="D449" s="103"/>
      <c r="E449" s="103"/>
      <c r="F449" s="103"/>
      <c r="H449" s="103"/>
      <c r="I449" s="103"/>
      <c r="J449" s="336"/>
      <c r="K449" s="103"/>
      <c r="L449" s="103"/>
      <c r="M449" s="103"/>
      <c r="N449" s="103"/>
      <c r="O449" s="103"/>
      <c r="P449" s="103"/>
      <c r="Q449" s="103"/>
      <c r="R449" s="103"/>
      <c r="T449" s="103"/>
      <c r="U449" s="103"/>
      <c r="V449" s="103"/>
      <c r="Y449" s="103"/>
      <c r="Z449" s="103"/>
      <c r="AA449" s="103"/>
      <c r="AB449" s="103"/>
      <c r="AC449" s="103"/>
      <c r="AD449" s="103"/>
      <c r="AE449" s="103"/>
      <c r="AF449" s="103"/>
      <c r="AG449" s="185"/>
      <c r="AH449" s="103"/>
      <c r="AI449" s="103"/>
      <c r="AJ449" s="103"/>
      <c r="AK449" s="185"/>
      <c r="AL449" s="103"/>
      <c r="AM449" s="103"/>
      <c r="AN449" s="103"/>
    </row>
    <row r="450" spans="1:40" x14ac:dyDescent="0.25">
      <c r="A450" s="102"/>
      <c r="B450" s="102"/>
      <c r="C450" s="102"/>
      <c r="D450" s="102"/>
      <c r="E450" s="102"/>
      <c r="F450" s="102"/>
      <c r="G450" s="102"/>
      <c r="H450" s="102"/>
      <c r="I450" s="102"/>
      <c r="J450" s="335"/>
      <c r="K450" s="102"/>
      <c r="L450" s="102"/>
      <c r="M450" s="102"/>
      <c r="N450" s="102"/>
      <c r="O450" s="102"/>
      <c r="P450" s="102"/>
      <c r="Q450" s="102"/>
      <c r="R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208"/>
      <c r="AH450" s="102"/>
      <c r="AI450" s="102"/>
      <c r="AJ450" s="102"/>
      <c r="AK450" s="208"/>
      <c r="AL450" s="102"/>
      <c r="AM450" s="102"/>
      <c r="AN450" s="102"/>
    </row>
    <row r="451" spans="1:40" x14ac:dyDescent="0.25">
      <c r="H451" s="103"/>
      <c r="I451" s="103"/>
      <c r="J451" s="336"/>
      <c r="K451" s="103"/>
      <c r="L451" s="103"/>
      <c r="M451" s="103"/>
      <c r="N451" s="103"/>
      <c r="O451" s="103"/>
      <c r="P451" s="103"/>
      <c r="Q451" s="103"/>
      <c r="R451" s="103"/>
      <c r="Y451" s="103"/>
      <c r="Z451" s="103"/>
      <c r="AA451" s="103"/>
      <c r="AB451" s="103"/>
      <c r="AC451" s="103"/>
      <c r="AD451" s="103"/>
      <c r="AE451" s="103"/>
      <c r="AF451" s="103"/>
      <c r="AG451" s="185"/>
      <c r="AH451" s="103"/>
      <c r="AI451" s="103"/>
      <c r="AJ451" s="103"/>
      <c r="AK451" s="185"/>
      <c r="AL451" s="103"/>
      <c r="AM451" s="103"/>
      <c r="AN451" s="103"/>
    </row>
    <row r="452" spans="1:40" x14ac:dyDescent="0.25">
      <c r="A452" s="202"/>
      <c r="C452" s="154"/>
      <c r="D452" s="154"/>
      <c r="E452" s="154"/>
      <c r="J452" s="394"/>
      <c r="T452" s="154"/>
      <c r="U452" s="154"/>
      <c r="V452" s="200"/>
      <c r="W452" s="200"/>
      <c r="X452" s="200"/>
      <c r="Y452" s="200"/>
      <c r="Z452" s="328"/>
    </row>
    <row r="453" spans="1:40" x14ac:dyDescent="0.25">
      <c r="J453" s="394"/>
    </row>
    <row r="454" spans="1:40" x14ac:dyDescent="0.25">
      <c r="A454" s="202"/>
      <c r="C454" s="154"/>
      <c r="J454" s="394"/>
      <c r="T454" s="154"/>
      <c r="V454" s="200"/>
      <c r="W454" s="200"/>
      <c r="X454" s="200"/>
      <c r="Y454" s="200"/>
      <c r="Z454" s="328"/>
    </row>
    <row r="455" spans="1:40" x14ac:dyDescent="0.25">
      <c r="A455" s="202"/>
      <c r="C455" s="154"/>
      <c r="F455" s="252"/>
      <c r="H455" s="252"/>
      <c r="I455" s="252"/>
      <c r="J455" s="329"/>
      <c r="K455" s="329"/>
      <c r="L455" s="200"/>
      <c r="M455" s="200"/>
      <c r="N455" s="210"/>
      <c r="O455" s="210"/>
      <c r="P455" s="200"/>
      <c r="Q455" s="200"/>
      <c r="R455" s="200"/>
      <c r="T455" s="154"/>
      <c r="V455" s="200"/>
      <c r="W455" s="200"/>
      <c r="X455" s="200"/>
      <c r="Y455" s="200"/>
      <c r="Z455" s="329"/>
      <c r="AA455" s="200"/>
      <c r="AB455" s="200"/>
      <c r="AC455" s="210"/>
      <c r="AD455" s="210"/>
      <c r="AE455" s="200"/>
      <c r="AF455" s="200"/>
      <c r="AG455" s="209"/>
      <c r="AH455" s="201"/>
      <c r="AI455" s="200"/>
      <c r="AJ455" s="200"/>
      <c r="AK455" s="209"/>
      <c r="AL455" s="200"/>
      <c r="AM455" s="210"/>
      <c r="AN455" s="210"/>
    </row>
    <row r="456" spans="1:40" x14ac:dyDescent="0.25">
      <c r="A456" s="202"/>
      <c r="C456" s="154"/>
      <c r="F456" s="252"/>
      <c r="H456" s="252"/>
      <c r="I456" s="252"/>
      <c r="J456" s="329"/>
      <c r="K456" s="329"/>
      <c r="L456" s="200"/>
      <c r="M456" s="200"/>
      <c r="N456" s="210"/>
      <c r="O456" s="210"/>
      <c r="P456" s="200"/>
      <c r="Q456" s="200"/>
      <c r="R456" s="200"/>
      <c r="T456" s="154"/>
      <c r="V456" s="200"/>
      <c r="W456" s="200"/>
      <c r="X456" s="200"/>
      <c r="Y456" s="200"/>
      <c r="Z456" s="329"/>
      <c r="AA456" s="200"/>
      <c r="AB456" s="200"/>
      <c r="AC456" s="210"/>
      <c r="AD456" s="210"/>
      <c r="AE456" s="200"/>
      <c r="AF456" s="200"/>
      <c r="AG456" s="209"/>
      <c r="AH456" s="201"/>
      <c r="AI456" s="200"/>
      <c r="AJ456" s="200"/>
      <c r="AK456" s="209"/>
      <c r="AL456" s="200"/>
      <c r="AM456" s="210"/>
      <c r="AN456" s="210"/>
    </row>
    <row r="457" spans="1:40" x14ac:dyDescent="0.25">
      <c r="A457" s="202"/>
      <c r="C457" s="154"/>
      <c r="F457" s="252"/>
      <c r="H457" s="252"/>
      <c r="I457" s="252"/>
      <c r="J457" s="329"/>
      <c r="K457" s="329"/>
      <c r="L457" s="200"/>
      <c r="M457" s="200"/>
      <c r="N457" s="210"/>
      <c r="O457" s="210"/>
      <c r="P457" s="200"/>
      <c r="Q457" s="200"/>
      <c r="R457" s="200"/>
      <c r="T457" s="154"/>
      <c r="V457" s="200"/>
      <c r="W457" s="200"/>
      <c r="X457" s="200"/>
      <c r="Y457" s="200"/>
      <c r="Z457" s="329"/>
      <c r="AA457" s="200"/>
      <c r="AB457" s="200"/>
      <c r="AC457" s="210"/>
      <c r="AD457" s="210"/>
      <c r="AE457" s="200"/>
      <c r="AF457" s="200"/>
      <c r="AG457" s="209"/>
      <c r="AH457" s="201"/>
      <c r="AI457" s="200"/>
      <c r="AJ457" s="200"/>
      <c r="AK457" s="209"/>
      <c r="AL457" s="200"/>
      <c r="AM457" s="210"/>
      <c r="AN457" s="210"/>
    </row>
    <row r="458" spans="1:40" x14ac:dyDescent="0.25">
      <c r="A458" s="202"/>
      <c r="C458" s="154"/>
      <c r="F458" s="252"/>
      <c r="H458" s="252"/>
      <c r="I458" s="252"/>
      <c r="J458" s="329"/>
      <c r="K458" s="329"/>
      <c r="L458" s="200"/>
      <c r="M458" s="200"/>
      <c r="N458" s="210"/>
      <c r="O458" s="210"/>
      <c r="P458" s="200"/>
      <c r="Q458" s="200"/>
      <c r="R458" s="200"/>
      <c r="T458" s="154"/>
      <c r="V458" s="200"/>
      <c r="W458" s="200"/>
      <c r="X458" s="200"/>
      <c r="Y458" s="200"/>
      <c r="Z458" s="329"/>
      <c r="AA458" s="200"/>
      <c r="AB458" s="200"/>
      <c r="AC458" s="210"/>
      <c r="AD458" s="210"/>
      <c r="AE458" s="200"/>
      <c r="AF458" s="200"/>
      <c r="AG458" s="209"/>
      <c r="AH458" s="201"/>
      <c r="AI458" s="200"/>
      <c r="AJ458" s="200"/>
      <c r="AK458" s="209"/>
      <c r="AL458" s="200"/>
      <c r="AM458" s="210"/>
      <c r="AN458" s="210"/>
    </row>
    <row r="459" spans="1:40" x14ac:dyDescent="0.25">
      <c r="J459" s="334"/>
      <c r="K459" s="334"/>
      <c r="V459" s="200"/>
      <c r="W459" s="200"/>
      <c r="X459" s="200"/>
      <c r="Y459" s="200"/>
      <c r="Z459" s="329"/>
    </row>
    <row r="460" spans="1:40" x14ac:dyDescent="0.25">
      <c r="A460" s="202"/>
      <c r="C460" s="154"/>
      <c r="F460" s="252"/>
      <c r="H460" s="252"/>
      <c r="I460" s="252"/>
      <c r="J460" s="329"/>
      <c r="K460" s="329"/>
      <c r="L460" s="200"/>
      <c r="M460" s="200"/>
      <c r="N460" s="210"/>
      <c r="O460" s="210"/>
      <c r="P460" s="200"/>
      <c r="Q460" s="200"/>
      <c r="R460" s="200"/>
      <c r="T460" s="154"/>
      <c r="V460" s="200"/>
      <c r="W460" s="200"/>
      <c r="X460" s="200"/>
      <c r="Y460" s="200"/>
      <c r="Z460" s="329"/>
      <c r="AA460" s="200"/>
      <c r="AB460" s="200"/>
      <c r="AC460" s="210"/>
      <c r="AD460" s="210"/>
      <c r="AE460" s="200"/>
      <c r="AF460" s="200"/>
      <c r="AG460" s="209"/>
      <c r="AH460" s="201"/>
      <c r="AI460" s="200"/>
      <c r="AJ460" s="200"/>
      <c r="AK460" s="209"/>
      <c r="AL460" s="200"/>
      <c r="AM460" s="201"/>
      <c r="AN460" s="201"/>
    </row>
    <row r="461" spans="1:40" x14ac:dyDescent="0.25">
      <c r="A461" s="202"/>
      <c r="C461" s="154"/>
      <c r="J461" s="334"/>
      <c r="K461" s="334"/>
      <c r="T461" s="154"/>
      <c r="V461" s="200"/>
      <c r="W461" s="200"/>
      <c r="X461" s="200"/>
      <c r="Y461" s="200"/>
      <c r="Z461" s="329"/>
    </row>
    <row r="462" spans="1:40" x14ac:dyDescent="0.25">
      <c r="A462" s="202"/>
      <c r="C462" s="154"/>
      <c r="F462" s="252"/>
      <c r="H462" s="252"/>
      <c r="I462" s="252"/>
      <c r="J462" s="329"/>
      <c r="K462" s="329"/>
      <c r="L462" s="200"/>
      <c r="M462" s="200"/>
      <c r="N462" s="210"/>
      <c r="O462" s="210"/>
      <c r="P462" s="200"/>
      <c r="Q462" s="200"/>
      <c r="R462" s="200"/>
      <c r="T462" s="154"/>
      <c r="V462" s="200"/>
      <c r="W462" s="200"/>
      <c r="X462" s="200"/>
      <c r="Y462" s="200"/>
      <c r="Z462" s="329"/>
      <c r="AA462" s="200"/>
      <c r="AB462" s="200"/>
      <c r="AC462" s="210"/>
      <c r="AD462" s="210"/>
      <c r="AE462" s="200"/>
      <c r="AF462" s="200"/>
      <c r="AG462" s="209"/>
      <c r="AH462" s="201"/>
      <c r="AI462" s="200"/>
      <c r="AJ462" s="200"/>
      <c r="AK462" s="209"/>
      <c r="AL462" s="200"/>
      <c r="AM462" s="201"/>
      <c r="AN462" s="201"/>
    </row>
    <row r="463" spans="1:40" x14ac:dyDescent="0.25">
      <c r="J463" s="334"/>
      <c r="K463" s="334"/>
      <c r="Z463" s="334"/>
    </row>
    <row r="464" spans="1:40" x14ac:dyDescent="0.25">
      <c r="A464" s="202"/>
      <c r="C464" s="154"/>
      <c r="J464" s="334"/>
      <c r="K464" s="334"/>
      <c r="T464" s="154"/>
      <c r="V464" s="200"/>
      <c r="W464" s="200"/>
      <c r="X464" s="200"/>
      <c r="Y464" s="200"/>
      <c r="Z464" s="329"/>
    </row>
    <row r="465" spans="1:40" x14ac:dyDescent="0.25">
      <c r="A465" s="202"/>
      <c r="C465" s="154"/>
      <c r="F465" s="252"/>
      <c r="H465" s="252"/>
      <c r="I465" s="252"/>
      <c r="J465" s="329"/>
      <c r="K465" s="329"/>
      <c r="L465" s="200"/>
      <c r="M465" s="200"/>
      <c r="N465" s="210"/>
      <c r="O465" s="210"/>
      <c r="P465" s="200"/>
      <c r="Q465" s="200"/>
      <c r="R465" s="200"/>
      <c r="T465" s="154"/>
      <c r="V465" s="200"/>
      <c r="W465" s="200"/>
      <c r="X465" s="200"/>
      <c r="Y465" s="200"/>
      <c r="Z465" s="329"/>
      <c r="AA465" s="200"/>
      <c r="AB465" s="200"/>
      <c r="AC465" s="210"/>
      <c r="AD465" s="210"/>
      <c r="AE465" s="200"/>
      <c r="AF465" s="200"/>
      <c r="AG465" s="209"/>
      <c r="AH465" s="201"/>
      <c r="AI465" s="200"/>
      <c r="AJ465" s="200"/>
      <c r="AK465" s="209"/>
      <c r="AL465" s="200"/>
      <c r="AM465" s="201"/>
      <c r="AN465" s="201"/>
    </row>
    <row r="466" spans="1:40" x14ac:dyDescent="0.25">
      <c r="A466" s="202"/>
      <c r="C466" s="154"/>
      <c r="F466" s="252"/>
      <c r="H466" s="252"/>
      <c r="I466" s="252"/>
      <c r="J466" s="329"/>
      <c r="K466" s="329"/>
      <c r="L466" s="200"/>
      <c r="M466" s="200"/>
      <c r="N466" s="210"/>
      <c r="O466" s="210"/>
      <c r="P466" s="200"/>
      <c r="Q466" s="200"/>
      <c r="R466" s="200"/>
      <c r="T466" s="154"/>
      <c r="V466" s="200"/>
      <c r="W466" s="200"/>
      <c r="X466" s="200"/>
      <c r="Y466" s="200"/>
      <c r="Z466" s="329"/>
      <c r="AA466" s="200"/>
      <c r="AB466" s="200"/>
      <c r="AC466" s="210"/>
      <c r="AD466" s="210"/>
      <c r="AE466" s="200"/>
      <c r="AF466" s="200"/>
      <c r="AG466" s="209"/>
      <c r="AH466" s="201"/>
      <c r="AI466" s="200"/>
      <c r="AJ466" s="200"/>
      <c r="AK466" s="209"/>
      <c r="AL466" s="200"/>
      <c r="AM466" s="201"/>
      <c r="AN466" s="201"/>
    </row>
    <row r="467" spans="1:40" x14ac:dyDescent="0.25">
      <c r="F467" s="211"/>
      <c r="H467" s="211"/>
      <c r="I467" s="211"/>
      <c r="J467" s="329"/>
      <c r="K467" s="329"/>
      <c r="L467" s="211"/>
      <c r="M467" s="211"/>
      <c r="N467" s="211"/>
      <c r="O467" s="211"/>
      <c r="P467" s="211"/>
      <c r="Q467" s="211"/>
      <c r="R467" s="211"/>
      <c r="V467" s="211"/>
      <c r="Y467" s="211"/>
      <c r="Z467" s="305"/>
      <c r="AA467" s="211"/>
      <c r="AB467" s="211"/>
      <c r="AC467" s="211"/>
      <c r="AD467" s="211"/>
      <c r="AE467" s="211"/>
      <c r="AF467" s="211"/>
      <c r="AI467" s="211"/>
      <c r="AJ467" s="211"/>
      <c r="AK467" s="212"/>
      <c r="AL467" s="211"/>
    </row>
    <row r="468" spans="1:40" x14ac:dyDescent="0.25">
      <c r="A468" s="202"/>
      <c r="C468" s="154"/>
      <c r="F468" s="200"/>
      <c r="H468" s="200"/>
      <c r="I468" s="200"/>
      <c r="J468" s="394"/>
      <c r="L468" s="200"/>
      <c r="M468" s="200"/>
      <c r="N468" s="210"/>
      <c r="O468" s="210"/>
      <c r="P468" s="252"/>
      <c r="Q468" s="252"/>
      <c r="R468" s="200"/>
      <c r="T468" s="154"/>
      <c r="V468" s="200"/>
      <c r="W468" s="200"/>
      <c r="X468" s="200"/>
      <c r="Y468" s="200"/>
      <c r="Z468" s="328"/>
      <c r="AA468" s="200"/>
      <c r="AB468" s="200"/>
      <c r="AC468" s="210"/>
      <c r="AD468" s="210"/>
      <c r="AE468" s="200"/>
      <c r="AF468" s="200"/>
      <c r="AG468" s="209"/>
      <c r="AH468" s="201"/>
      <c r="AI468" s="252"/>
      <c r="AJ468" s="252"/>
      <c r="AK468" s="209"/>
      <c r="AL468" s="200"/>
      <c r="AM468" s="201"/>
      <c r="AN468" s="201"/>
    </row>
    <row r="469" spans="1:40" x14ac:dyDescent="0.25">
      <c r="H469" s="211"/>
      <c r="I469" s="211"/>
      <c r="J469" s="329"/>
      <c r="K469" s="305"/>
      <c r="L469" s="211"/>
      <c r="M469" s="211"/>
      <c r="N469" s="211"/>
      <c r="O469" s="211"/>
      <c r="P469" s="211"/>
      <c r="Q469" s="211"/>
      <c r="R469" s="211"/>
      <c r="V469" s="211"/>
      <c r="Y469" s="211"/>
      <c r="Z469" s="305"/>
      <c r="AA469" s="211"/>
      <c r="AB469" s="211"/>
      <c r="AC469" s="211"/>
      <c r="AD469" s="211"/>
      <c r="AE469" s="211"/>
      <c r="AF469" s="211"/>
      <c r="AI469" s="211"/>
      <c r="AJ469" s="211"/>
      <c r="AK469" s="212"/>
      <c r="AL469" s="211"/>
    </row>
    <row r="470" spans="1:40" x14ac:dyDescent="0.25">
      <c r="F470" s="211"/>
      <c r="J470" s="394"/>
    </row>
    <row r="471" spans="1:40" x14ac:dyDescent="0.25">
      <c r="C471" s="202"/>
      <c r="J471" s="394"/>
      <c r="T471" s="202"/>
    </row>
    <row r="472" spans="1:40" x14ac:dyDescent="0.25">
      <c r="A472" s="154"/>
      <c r="J472" s="394"/>
    </row>
    <row r="473" spans="1:40" x14ac:dyDescent="0.25">
      <c r="J473" s="334"/>
      <c r="K473" s="202"/>
      <c r="Z473" s="202"/>
    </row>
    <row r="474" spans="1:40" x14ac:dyDescent="0.25">
      <c r="H474" s="154"/>
      <c r="I474" s="154"/>
      <c r="J474" s="394"/>
      <c r="Y474" s="154"/>
    </row>
    <row r="475" spans="1:40" x14ac:dyDescent="0.25">
      <c r="J475" s="334"/>
      <c r="K475" s="202"/>
      <c r="Z475" s="202"/>
    </row>
    <row r="476" spans="1:40" x14ac:dyDescent="0.25">
      <c r="J476" s="394"/>
      <c r="L476" s="154"/>
      <c r="M476" s="154"/>
      <c r="AA476" s="154"/>
      <c r="AB476" s="154"/>
    </row>
    <row r="477" spans="1:40" x14ac:dyDescent="0.25">
      <c r="A477" s="202"/>
      <c r="J477" s="394"/>
      <c r="R477" s="154"/>
      <c r="AK477" s="297"/>
      <c r="AL477" s="154"/>
    </row>
    <row r="478" spans="1:40" x14ac:dyDescent="0.25">
      <c r="A478" s="202"/>
      <c r="J478" s="394"/>
      <c r="R478" s="154"/>
      <c r="AK478" s="297"/>
      <c r="AL478" s="154"/>
    </row>
    <row r="479" spans="1:40" x14ac:dyDescent="0.25">
      <c r="A479" s="154"/>
      <c r="J479" s="394"/>
      <c r="R479" s="154"/>
      <c r="AK479" s="297"/>
      <c r="AL479" s="154"/>
    </row>
    <row r="480" spans="1:40" x14ac:dyDescent="0.25">
      <c r="J480" s="394"/>
      <c r="L480" s="154"/>
      <c r="M480" s="154"/>
      <c r="R480" s="202"/>
      <c r="AA480" s="154"/>
      <c r="AB480" s="154"/>
      <c r="AK480" s="209"/>
      <c r="AL480" s="202"/>
    </row>
    <row r="481" spans="1:40" x14ac:dyDescent="0.25">
      <c r="A481" s="102"/>
      <c r="B481" s="102"/>
      <c r="C481" s="102"/>
      <c r="D481" s="102"/>
      <c r="E481" s="102"/>
      <c r="F481" s="102"/>
      <c r="G481" s="102"/>
      <c r="H481" s="102"/>
      <c r="I481" s="102"/>
      <c r="J481" s="335"/>
      <c r="K481" s="102"/>
      <c r="L481" s="102"/>
      <c r="M481" s="102"/>
      <c r="N481" s="102"/>
      <c r="O481" s="102"/>
      <c r="P481" s="102"/>
      <c r="Q481" s="102"/>
      <c r="R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208"/>
      <c r="AH481" s="102"/>
      <c r="AI481" s="102"/>
      <c r="AJ481" s="102"/>
      <c r="AK481" s="208"/>
      <c r="AL481" s="102"/>
      <c r="AM481" s="102"/>
      <c r="AN481" s="102"/>
    </row>
    <row r="482" spans="1:40" x14ac:dyDescent="0.25">
      <c r="J482" s="394"/>
      <c r="L482" s="103"/>
      <c r="M482" s="103"/>
      <c r="N482" s="103"/>
      <c r="O482" s="103"/>
      <c r="R482" s="103"/>
      <c r="AA482" s="103"/>
      <c r="AB482" s="103"/>
      <c r="AC482" s="103"/>
      <c r="AD482" s="103"/>
      <c r="AE482" s="103"/>
      <c r="AF482" s="103"/>
      <c r="AG482" s="185"/>
      <c r="AH482" s="103"/>
      <c r="AK482" s="185"/>
      <c r="AL482" s="103"/>
      <c r="AM482" s="103"/>
      <c r="AN482" s="103"/>
    </row>
    <row r="483" spans="1:40" x14ac:dyDescent="0.25">
      <c r="J483" s="394"/>
      <c r="L483" s="103"/>
      <c r="M483" s="103"/>
      <c r="N483" s="103"/>
      <c r="O483" s="103"/>
      <c r="R483" s="103"/>
      <c r="Z483" s="103"/>
      <c r="AA483" s="103"/>
      <c r="AB483" s="103"/>
      <c r="AC483" s="103"/>
      <c r="AD483" s="103"/>
      <c r="AE483" s="103"/>
      <c r="AF483" s="103"/>
      <c r="AG483" s="185"/>
      <c r="AH483" s="103"/>
      <c r="AK483" s="185"/>
      <c r="AL483" s="103"/>
      <c r="AM483" s="103"/>
      <c r="AN483" s="103"/>
    </row>
    <row r="484" spans="1:40" x14ac:dyDescent="0.25">
      <c r="A484" s="103"/>
      <c r="C484" s="103"/>
      <c r="D484" s="103"/>
      <c r="E484" s="103"/>
      <c r="F484" s="103"/>
      <c r="J484" s="336"/>
      <c r="K484" s="103"/>
      <c r="L484" s="103"/>
      <c r="M484" s="103"/>
      <c r="N484" s="103"/>
      <c r="O484" s="103"/>
      <c r="P484" s="103"/>
      <c r="Q484" s="103"/>
      <c r="R484" s="103"/>
      <c r="T484" s="103"/>
      <c r="U484" s="103"/>
      <c r="V484" s="103"/>
      <c r="Z484" s="103"/>
      <c r="AA484" s="103"/>
      <c r="AB484" s="103"/>
      <c r="AC484" s="103"/>
      <c r="AD484" s="103"/>
      <c r="AE484" s="103"/>
      <c r="AF484" s="103"/>
      <c r="AG484" s="185"/>
      <c r="AH484" s="103"/>
      <c r="AI484" s="103"/>
      <c r="AJ484" s="103"/>
      <c r="AK484" s="185"/>
      <c r="AL484" s="103"/>
      <c r="AM484" s="103"/>
      <c r="AN484" s="103"/>
    </row>
    <row r="485" spans="1:40" x14ac:dyDescent="0.25">
      <c r="A485" s="103"/>
      <c r="C485" s="103"/>
      <c r="D485" s="103"/>
      <c r="E485" s="103"/>
      <c r="F485" s="103"/>
      <c r="H485" s="103"/>
      <c r="I485" s="103"/>
      <c r="J485" s="336"/>
      <c r="K485" s="103"/>
      <c r="L485" s="103"/>
      <c r="M485" s="103"/>
      <c r="N485" s="103"/>
      <c r="O485" s="103"/>
      <c r="P485" s="103"/>
      <c r="Q485" s="103"/>
      <c r="R485" s="103"/>
      <c r="T485" s="103"/>
      <c r="U485" s="103"/>
      <c r="V485" s="103"/>
      <c r="Y485" s="103"/>
      <c r="Z485" s="103"/>
      <c r="AA485" s="103"/>
      <c r="AB485" s="103"/>
      <c r="AC485" s="103"/>
      <c r="AD485" s="103"/>
      <c r="AE485" s="103"/>
      <c r="AF485" s="103"/>
      <c r="AG485" s="185"/>
      <c r="AH485" s="103"/>
      <c r="AI485" s="103"/>
      <c r="AJ485" s="103"/>
      <c r="AK485" s="185"/>
      <c r="AL485" s="103"/>
      <c r="AM485" s="103"/>
      <c r="AN485" s="103"/>
    </row>
    <row r="486" spans="1:40" x14ac:dyDescent="0.25">
      <c r="C486" s="103"/>
      <c r="D486" s="103"/>
      <c r="E486" s="103"/>
      <c r="F486" s="103"/>
      <c r="H486" s="103"/>
      <c r="I486" s="103"/>
      <c r="J486" s="336"/>
      <c r="K486" s="103"/>
      <c r="L486" s="103"/>
      <c r="M486" s="103"/>
      <c r="N486" s="103"/>
      <c r="O486" s="103"/>
      <c r="P486" s="103"/>
      <c r="Q486" s="103"/>
      <c r="R486" s="103"/>
      <c r="T486" s="103"/>
      <c r="U486" s="103"/>
      <c r="V486" s="103"/>
      <c r="Y486" s="103"/>
      <c r="Z486" s="103"/>
      <c r="AA486" s="103"/>
      <c r="AB486" s="103"/>
      <c r="AC486" s="103"/>
      <c r="AD486" s="103"/>
      <c r="AE486" s="103"/>
      <c r="AF486" s="103"/>
      <c r="AG486" s="185"/>
      <c r="AH486" s="103"/>
      <c r="AI486" s="103"/>
      <c r="AJ486" s="103"/>
      <c r="AK486" s="185"/>
      <c r="AL486" s="103"/>
      <c r="AM486" s="103"/>
      <c r="AN486" s="103"/>
    </row>
    <row r="487" spans="1:40" x14ac:dyDescent="0.25">
      <c r="A487" s="102"/>
      <c r="B487" s="102"/>
      <c r="C487" s="102"/>
      <c r="D487" s="102"/>
      <c r="E487" s="102"/>
      <c r="F487" s="102"/>
      <c r="G487" s="102"/>
      <c r="H487" s="102"/>
      <c r="I487" s="102"/>
      <c r="J487" s="335"/>
      <c r="K487" s="102"/>
      <c r="L487" s="102"/>
      <c r="M487" s="102"/>
      <c r="N487" s="102"/>
      <c r="O487" s="102"/>
      <c r="P487" s="102"/>
      <c r="Q487" s="102"/>
      <c r="R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208"/>
      <c r="AH487" s="102"/>
      <c r="AI487" s="102"/>
      <c r="AJ487" s="102"/>
      <c r="AK487" s="208"/>
      <c r="AL487" s="102"/>
      <c r="AM487" s="102"/>
      <c r="AN487" s="102"/>
    </row>
    <row r="488" spans="1:40" x14ac:dyDescent="0.25">
      <c r="H488" s="103"/>
      <c r="I488" s="103"/>
      <c r="J488" s="336"/>
      <c r="K488" s="103"/>
      <c r="L488" s="103"/>
      <c r="M488" s="103"/>
      <c r="N488" s="103"/>
      <c r="O488" s="103"/>
      <c r="P488" s="103"/>
      <c r="Q488" s="103"/>
      <c r="R488" s="103"/>
      <c r="Y488" s="103"/>
      <c r="Z488" s="103"/>
      <c r="AA488" s="103"/>
      <c r="AB488" s="103"/>
      <c r="AC488" s="103"/>
      <c r="AD488" s="103"/>
      <c r="AE488" s="103"/>
      <c r="AF488" s="103"/>
      <c r="AG488" s="185"/>
      <c r="AH488" s="103"/>
      <c r="AI488" s="103"/>
      <c r="AJ488" s="103"/>
      <c r="AK488" s="185"/>
      <c r="AL488" s="103"/>
      <c r="AM488" s="103"/>
      <c r="AN488" s="103"/>
    </row>
    <row r="489" spans="1:40" x14ac:dyDescent="0.25">
      <c r="A489" s="202"/>
      <c r="C489" s="154"/>
      <c r="D489" s="154"/>
      <c r="E489" s="154"/>
      <c r="J489" s="394"/>
      <c r="T489" s="154"/>
      <c r="U489" s="154"/>
    </row>
    <row r="490" spans="1:40" x14ac:dyDescent="0.25">
      <c r="J490" s="394"/>
    </row>
    <row r="491" spans="1:40" x14ac:dyDescent="0.25">
      <c r="A491" s="202"/>
      <c r="C491" s="154"/>
      <c r="J491" s="394"/>
      <c r="T491" s="154"/>
    </row>
    <row r="492" spans="1:40" x14ac:dyDescent="0.25">
      <c r="A492" s="202"/>
      <c r="C492" s="154"/>
      <c r="J492" s="394"/>
      <c r="T492" s="154"/>
    </row>
    <row r="493" spans="1:40" x14ac:dyDescent="0.25">
      <c r="A493" s="202"/>
      <c r="C493" s="154"/>
      <c r="F493" s="252"/>
      <c r="H493" s="252"/>
      <c r="I493" s="252"/>
      <c r="J493" s="329"/>
      <c r="K493" s="329"/>
      <c r="L493" s="200"/>
      <c r="M493" s="200"/>
      <c r="N493" s="210"/>
      <c r="O493" s="210"/>
      <c r="P493" s="200"/>
      <c r="Q493" s="200"/>
      <c r="R493" s="200"/>
      <c r="T493" s="154"/>
      <c r="V493" s="200"/>
      <c r="W493" s="200"/>
      <c r="X493" s="200"/>
      <c r="Y493" s="200"/>
      <c r="Z493" s="329"/>
      <c r="AA493" s="200"/>
      <c r="AB493" s="200"/>
      <c r="AC493" s="210"/>
      <c r="AD493" s="210"/>
      <c r="AE493" s="200"/>
      <c r="AF493" s="200"/>
      <c r="AG493" s="209"/>
      <c r="AH493" s="201"/>
      <c r="AI493" s="200"/>
      <c r="AJ493" s="200"/>
      <c r="AK493" s="209"/>
      <c r="AL493" s="200"/>
      <c r="AM493" s="201"/>
      <c r="AN493" s="201"/>
    </row>
    <row r="494" spans="1:40" x14ac:dyDescent="0.25">
      <c r="A494" s="202"/>
      <c r="C494" s="154"/>
      <c r="F494" s="200"/>
      <c r="H494" s="200"/>
      <c r="I494" s="200"/>
      <c r="J494" s="334"/>
      <c r="K494" s="334"/>
      <c r="L494" s="200"/>
      <c r="M494" s="200"/>
      <c r="N494" s="210"/>
      <c r="O494" s="210"/>
      <c r="P494" s="200"/>
      <c r="Q494" s="200"/>
      <c r="R494" s="200"/>
      <c r="T494" s="154"/>
      <c r="V494" s="200"/>
      <c r="W494" s="200"/>
      <c r="X494" s="200"/>
      <c r="Y494" s="200"/>
      <c r="Z494" s="334"/>
      <c r="AA494" s="200"/>
      <c r="AB494" s="200"/>
      <c r="AC494" s="210"/>
      <c r="AD494" s="210"/>
      <c r="AE494" s="200"/>
      <c r="AF494" s="200"/>
      <c r="AG494" s="209"/>
      <c r="AH494" s="201"/>
      <c r="AI494" s="200"/>
      <c r="AJ494" s="200"/>
      <c r="AK494" s="209"/>
      <c r="AL494" s="200"/>
      <c r="AM494" s="201"/>
      <c r="AN494" s="201"/>
    </row>
    <row r="495" spans="1:40" x14ac:dyDescent="0.25">
      <c r="A495" s="202"/>
      <c r="C495" s="154"/>
      <c r="F495" s="200"/>
      <c r="H495" s="200"/>
      <c r="I495" s="200"/>
      <c r="J495" s="334"/>
      <c r="K495" s="334"/>
      <c r="L495" s="200"/>
      <c r="M495" s="200"/>
      <c r="N495" s="210"/>
      <c r="O495" s="210"/>
      <c r="P495" s="200"/>
      <c r="Q495" s="200"/>
      <c r="R495" s="200"/>
      <c r="T495" s="154"/>
      <c r="V495" s="200"/>
      <c r="W495" s="200"/>
      <c r="X495" s="200"/>
      <c r="Y495" s="200"/>
      <c r="Z495" s="334"/>
      <c r="AA495" s="200"/>
      <c r="AB495" s="200"/>
      <c r="AC495" s="210"/>
      <c r="AD495" s="210"/>
      <c r="AE495" s="200"/>
      <c r="AF495" s="200"/>
      <c r="AG495" s="209"/>
      <c r="AH495" s="201"/>
      <c r="AI495" s="200"/>
      <c r="AJ495" s="200"/>
      <c r="AK495" s="209"/>
      <c r="AL495" s="200"/>
      <c r="AM495" s="201"/>
      <c r="AN495" s="201"/>
    </row>
    <row r="496" spans="1:40" x14ac:dyDescent="0.25">
      <c r="A496" s="202"/>
      <c r="C496" s="154"/>
      <c r="F496" s="200"/>
      <c r="H496" s="200"/>
      <c r="I496" s="200"/>
      <c r="J496" s="334"/>
      <c r="K496" s="334"/>
      <c r="T496" s="154"/>
      <c r="V496" s="200"/>
      <c r="Z496" s="334"/>
    </row>
    <row r="497" spans="1:40" x14ac:dyDescent="0.25">
      <c r="A497" s="202"/>
      <c r="C497" s="154"/>
      <c r="F497" s="252"/>
      <c r="H497" s="252"/>
      <c r="I497" s="252"/>
      <c r="J497" s="329"/>
      <c r="K497" s="329"/>
      <c r="L497" s="200"/>
      <c r="M497" s="200"/>
      <c r="N497" s="210"/>
      <c r="O497" s="210"/>
      <c r="P497" s="200"/>
      <c r="Q497" s="200"/>
      <c r="R497" s="200"/>
      <c r="T497" s="154"/>
      <c r="V497" s="200"/>
      <c r="W497" s="200"/>
      <c r="X497" s="200"/>
      <c r="Y497" s="200"/>
      <c r="Z497" s="329"/>
      <c r="AA497" s="200"/>
      <c r="AB497" s="200"/>
      <c r="AC497" s="210"/>
      <c r="AD497" s="210"/>
      <c r="AE497" s="200"/>
      <c r="AF497" s="200"/>
      <c r="AG497" s="209"/>
      <c r="AH497" s="201"/>
      <c r="AI497" s="200"/>
      <c r="AJ497" s="200"/>
      <c r="AK497" s="209"/>
      <c r="AL497" s="200"/>
      <c r="AM497" s="201"/>
      <c r="AN497" s="201"/>
    </row>
    <row r="498" spans="1:40" x14ac:dyDescent="0.25">
      <c r="A498" s="202"/>
      <c r="C498" s="154"/>
      <c r="F498" s="200"/>
      <c r="H498" s="200"/>
      <c r="I498" s="200"/>
      <c r="J498" s="334"/>
      <c r="K498" s="334"/>
      <c r="T498" s="154"/>
      <c r="V498" s="200"/>
      <c r="W498" s="200"/>
      <c r="X498" s="200"/>
      <c r="Y498" s="200"/>
      <c r="Z498" s="334"/>
      <c r="AC498" s="210"/>
      <c r="AD498" s="210"/>
      <c r="AE498" s="200"/>
      <c r="AF498" s="200"/>
      <c r="AG498" s="209"/>
      <c r="AH498" s="201"/>
      <c r="AI498" s="200"/>
      <c r="AJ498" s="200"/>
      <c r="AK498" s="209"/>
      <c r="AL498" s="200"/>
      <c r="AM498" s="201"/>
      <c r="AN498" s="201"/>
    </row>
    <row r="499" spans="1:40" x14ac:dyDescent="0.25">
      <c r="A499" s="202"/>
      <c r="C499" s="154"/>
      <c r="F499" s="252"/>
      <c r="H499" s="252"/>
      <c r="I499" s="252"/>
      <c r="J499" s="329"/>
      <c r="K499" s="329"/>
      <c r="L499" s="200"/>
      <c r="M499" s="200"/>
      <c r="N499" s="210"/>
      <c r="O499" s="210"/>
      <c r="P499" s="200"/>
      <c r="Q499" s="200"/>
      <c r="R499" s="200"/>
      <c r="T499" s="154"/>
      <c r="V499" s="200"/>
      <c r="W499" s="200"/>
      <c r="X499" s="200"/>
      <c r="Y499" s="200"/>
      <c r="Z499" s="329"/>
      <c r="AA499" s="200"/>
      <c r="AB499" s="200"/>
      <c r="AC499" s="210"/>
      <c r="AD499" s="210"/>
      <c r="AE499" s="200"/>
      <c r="AF499" s="200"/>
      <c r="AG499" s="209"/>
      <c r="AH499" s="201"/>
      <c r="AI499" s="200"/>
      <c r="AJ499" s="200"/>
      <c r="AK499" s="209"/>
      <c r="AL499" s="200"/>
      <c r="AM499" s="201"/>
      <c r="AN499" s="201"/>
    </row>
    <row r="500" spans="1:40" x14ac:dyDescent="0.25">
      <c r="A500" s="202"/>
      <c r="C500" s="154"/>
      <c r="F500" s="200"/>
      <c r="H500" s="200"/>
      <c r="I500" s="200"/>
      <c r="J500" s="334"/>
      <c r="K500" s="334"/>
      <c r="L500" s="200"/>
      <c r="M500" s="200"/>
      <c r="N500" s="210"/>
      <c r="O500" s="210"/>
      <c r="P500" s="200"/>
      <c r="Q500" s="200"/>
      <c r="R500" s="200"/>
      <c r="T500" s="154"/>
      <c r="V500" s="200"/>
      <c r="W500" s="200"/>
      <c r="X500" s="200"/>
      <c r="Y500" s="200"/>
      <c r="Z500" s="334"/>
      <c r="AA500" s="200"/>
      <c r="AB500" s="200"/>
      <c r="AC500" s="210"/>
      <c r="AD500" s="210"/>
      <c r="AE500" s="200"/>
      <c r="AF500" s="200"/>
      <c r="AG500" s="209"/>
      <c r="AH500" s="201"/>
      <c r="AI500" s="200"/>
      <c r="AJ500" s="200"/>
      <c r="AK500" s="209"/>
      <c r="AL500" s="200"/>
      <c r="AM500" s="201"/>
      <c r="AN500" s="201"/>
    </row>
    <row r="501" spans="1:40" x14ac:dyDescent="0.25">
      <c r="F501" s="200"/>
      <c r="H501" s="200"/>
      <c r="I501" s="200"/>
      <c r="J501" s="334"/>
      <c r="K501" s="334"/>
      <c r="Z501" s="334"/>
    </row>
    <row r="502" spans="1:40" x14ac:dyDescent="0.25">
      <c r="A502" s="202"/>
      <c r="C502" s="154"/>
      <c r="F502" s="200"/>
      <c r="H502" s="252"/>
      <c r="I502" s="252"/>
      <c r="J502" s="329"/>
      <c r="K502" s="329"/>
      <c r="L502" s="200"/>
      <c r="M502" s="200"/>
      <c r="N502" s="210"/>
      <c r="O502" s="210"/>
      <c r="P502" s="200"/>
      <c r="Q502" s="200"/>
      <c r="R502" s="200"/>
      <c r="T502" s="154"/>
      <c r="V502" s="200"/>
      <c r="W502" s="200"/>
      <c r="X502" s="200"/>
      <c r="Y502" s="200"/>
      <c r="Z502" s="329"/>
      <c r="AA502" s="200"/>
      <c r="AB502" s="200"/>
      <c r="AC502" s="210"/>
      <c r="AD502" s="210"/>
      <c r="AE502" s="200"/>
      <c r="AF502" s="200"/>
      <c r="AG502" s="209"/>
      <c r="AH502" s="201"/>
      <c r="AI502" s="200"/>
      <c r="AJ502" s="200"/>
      <c r="AK502" s="209"/>
      <c r="AL502" s="200"/>
      <c r="AM502" s="201"/>
      <c r="AN502" s="201"/>
    </row>
    <row r="503" spans="1:40" x14ac:dyDescent="0.25">
      <c r="F503" s="211"/>
      <c r="H503" s="211"/>
      <c r="I503" s="211"/>
      <c r="J503" s="329"/>
      <c r="K503" s="329"/>
      <c r="L503" s="211"/>
      <c r="M503" s="211"/>
      <c r="N503" s="211"/>
      <c r="O503" s="211"/>
      <c r="P503" s="211"/>
      <c r="Q503" s="211"/>
      <c r="R503" s="211"/>
      <c r="V503" s="211"/>
      <c r="Y503" s="211"/>
      <c r="Z503" s="329"/>
      <c r="AA503" s="211"/>
      <c r="AB503" s="211"/>
      <c r="AC503" s="211"/>
      <c r="AD503" s="211"/>
      <c r="AE503" s="211"/>
      <c r="AF503" s="211"/>
      <c r="AI503" s="211"/>
      <c r="AJ503" s="211"/>
      <c r="AK503" s="212"/>
      <c r="AL503" s="211"/>
    </row>
    <row r="504" spans="1:40" x14ac:dyDescent="0.25">
      <c r="A504" s="202"/>
      <c r="C504" s="154"/>
      <c r="F504" s="200"/>
      <c r="H504" s="200"/>
      <c r="I504" s="200"/>
      <c r="J504" s="334"/>
      <c r="K504" s="334"/>
      <c r="L504" s="200"/>
      <c r="M504" s="200"/>
      <c r="N504" s="202"/>
      <c r="O504" s="202"/>
      <c r="P504" s="200"/>
      <c r="Q504" s="200"/>
      <c r="R504" s="200"/>
      <c r="T504" s="154"/>
      <c r="V504" s="200"/>
      <c r="Y504" s="200"/>
      <c r="Z504" s="334"/>
      <c r="AA504" s="200"/>
      <c r="AB504" s="200"/>
      <c r="AC504" s="201"/>
      <c r="AD504" s="201"/>
      <c r="AE504" s="200"/>
      <c r="AF504" s="200"/>
      <c r="AG504" s="209"/>
      <c r="AH504" s="201"/>
      <c r="AI504" s="200"/>
      <c r="AJ504" s="200"/>
      <c r="AK504" s="209"/>
      <c r="AL504" s="200"/>
      <c r="AM504" s="201"/>
      <c r="AN504" s="201"/>
    </row>
    <row r="505" spans="1:40" x14ac:dyDescent="0.25">
      <c r="F505" s="211"/>
      <c r="H505" s="211"/>
      <c r="I505" s="211"/>
      <c r="J505" s="329"/>
      <c r="K505" s="329"/>
      <c r="L505" s="211"/>
      <c r="M505" s="211"/>
      <c r="N505" s="211"/>
      <c r="O505" s="211"/>
      <c r="P505" s="211"/>
      <c r="Q505" s="211"/>
      <c r="R505" s="211"/>
      <c r="V505" s="211"/>
      <c r="Y505" s="211"/>
      <c r="Z505" s="329"/>
      <c r="AA505" s="211"/>
      <c r="AB505" s="211"/>
      <c r="AC505" s="211"/>
      <c r="AD505" s="211"/>
      <c r="AE505" s="211"/>
      <c r="AF505" s="211"/>
      <c r="AI505" s="211"/>
      <c r="AJ505" s="211"/>
      <c r="AK505" s="212"/>
      <c r="AL505" s="211"/>
    </row>
    <row r="506" spans="1:40" x14ac:dyDescent="0.25">
      <c r="J506" s="334"/>
      <c r="K506" s="334"/>
      <c r="Z506" s="334"/>
    </row>
    <row r="507" spans="1:40" x14ac:dyDescent="0.25">
      <c r="A507" s="202"/>
      <c r="C507" s="154"/>
      <c r="J507" s="334"/>
      <c r="K507" s="334"/>
      <c r="T507" s="154"/>
      <c r="Z507" s="334"/>
    </row>
    <row r="508" spans="1:40" x14ac:dyDescent="0.25">
      <c r="A508" s="202"/>
      <c r="C508" s="154"/>
      <c r="J508" s="334"/>
      <c r="K508" s="334"/>
      <c r="T508" s="154"/>
      <c r="Z508" s="334"/>
    </row>
    <row r="509" spans="1:40" x14ac:dyDescent="0.25">
      <c r="A509" s="202"/>
      <c r="C509" s="154"/>
      <c r="F509" s="252"/>
      <c r="H509" s="252"/>
      <c r="I509" s="252"/>
      <c r="J509" s="329"/>
      <c r="K509" s="329"/>
      <c r="L509" s="200"/>
      <c r="M509" s="200"/>
      <c r="N509" s="210"/>
      <c r="O509" s="210"/>
      <c r="P509" s="200"/>
      <c r="Q509" s="200"/>
      <c r="R509" s="200"/>
      <c r="T509" s="154"/>
      <c r="V509" s="200"/>
      <c r="W509" s="200"/>
      <c r="X509" s="200"/>
      <c r="Y509" s="200"/>
      <c r="Z509" s="329"/>
      <c r="AA509" s="200"/>
      <c r="AB509" s="200"/>
      <c r="AC509" s="210"/>
      <c r="AD509" s="210"/>
      <c r="AE509" s="200"/>
      <c r="AF509" s="200"/>
      <c r="AG509" s="209"/>
      <c r="AH509" s="201"/>
      <c r="AI509" s="200"/>
      <c r="AJ509" s="200"/>
      <c r="AK509" s="209"/>
      <c r="AL509" s="200"/>
      <c r="AM509" s="201"/>
      <c r="AN509" s="201"/>
    </row>
    <row r="510" spans="1:40" x14ac:dyDescent="0.25">
      <c r="A510" s="202"/>
      <c r="C510" s="154"/>
      <c r="J510" s="334"/>
      <c r="K510" s="334"/>
      <c r="T510" s="154"/>
      <c r="Z510" s="334"/>
    </row>
    <row r="511" spans="1:40" x14ac:dyDescent="0.25">
      <c r="A511" s="202"/>
      <c r="C511" s="154"/>
      <c r="F511" s="252"/>
      <c r="H511" s="252"/>
      <c r="I511" s="252"/>
      <c r="J511" s="329"/>
      <c r="K511" s="329"/>
      <c r="L511" s="200"/>
      <c r="M511" s="200"/>
      <c r="N511" s="210"/>
      <c r="O511" s="210"/>
      <c r="P511" s="200"/>
      <c r="Q511" s="200"/>
      <c r="R511" s="200"/>
      <c r="T511" s="154"/>
      <c r="V511" s="200"/>
      <c r="W511" s="200"/>
      <c r="X511" s="200"/>
      <c r="Y511" s="200"/>
      <c r="Z511" s="329"/>
      <c r="AA511" s="200"/>
      <c r="AB511" s="200"/>
      <c r="AC511" s="210"/>
      <c r="AD511" s="210"/>
      <c r="AE511" s="200"/>
      <c r="AF511" s="200"/>
      <c r="AG511" s="209"/>
      <c r="AH511" s="201"/>
      <c r="AI511" s="200"/>
      <c r="AJ511" s="200"/>
      <c r="AK511" s="209"/>
      <c r="AL511" s="200"/>
      <c r="AM511" s="201"/>
      <c r="AN511" s="201"/>
    </row>
    <row r="512" spans="1:40" x14ac:dyDescent="0.25">
      <c r="F512" s="211"/>
      <c r="H512" s="211"/>
      <c r="I512" s="211"/>
      <c r="J512" s="329"/>
      <c r="K512" s="329"/>
      <c r="L512" s="211"/>
      <c r="M512" s="211"/>
      <c r="N512" s="211"/>
      <c r="O512" s="211"/>
      <c r="P512" s="211"/>
      <c r="Q512" s="211"/>
      <c r="R512" s="211"/>
      <c r="V512" s="211"/>
      <c r="Y512" s="211"/>
      <c r="Z512" s="329"/>
      <c r="AA512" s="211"/>
      <c r="AB512" s="211"/>
      <c r="AC512" s="211"/>
      <c r="AD512" s="211"/>
      <c r="AE512" s="211"/>
      <c r="AF512" s="211"/>
      <c r="AI512" s="211"/>
      <c r="AJ512" s="211"/>
      <c r="AK512" s="212"/>
      <c r="AL512" s="211"/>
    </row>
    <row r="513" spans="1:40" x14ac:dyDescent="0.25">
      <c r="A513" s="202"/>
      <c r="C513" s="154"/>
      <c r="F513" s="200"/>
      <c r="H513" s="200"/>
      <c r="I513" s="200"/>
      <c r="J513" s="334"/>
      <c r="K513" s="334"/>
      <c r="L513" s="200"/>
      <c r="M513" s="200"/>
      <c r="N513" s="201"/>
      <c r="O513" s="201"/>
      <c r="P513" s="200"/>
      <c r="Q513" s="200"/>
      <c r="R513" s="200"/>
      <c r="T513" s="154"/>
      <c r="V513" s="200"/>
      <c r="Y513" s="200"/>
      <c r="Z513" s="334"/>
      <c r="AA513" s="200"/>
      <c r="AB513" s="200"/>
      <c r="AC513" s="201"/>
      <c r="AD513" s="201"/>
      <c r="AE513" s="200"/>
      <c r="AF513" s="200"/>
      <c r="AG513" s="209"/>
      <c r="AH513" s="201"/>
      <c r="AI513" s="200"/>
      <c r="AJ513" s="200"/>
      <c r="AK513" s="209"/>
      <c r="AL513" s="200"/>
      <c r="AM513" s="201"/>
      <c r="AN513" s="201"/>
    </row>
    <row r="514" spans="1:40" x14ac:dyDescent="0.25">
      <c r="F514" s="211"/>
      <c r="H514" s="211"/>
      <c r="I514" s="211"/>
      <c r="J514" s="329"/>
      <c r="K514" s="329"/>
      <c r="L514" s="211"/>
      <c r="M514" s="211"/>
      <c r="N514" s="211"/>
      <c r="O514" s="211"/>
      <c r="P514" s="211"/>
      <c r="Q514" s="211"/>
      <c r="R514" s="211"/>
      <c r="V514" s="211"/>
      <c r="Y514" s="211"/>
      <c r="Z514" s="305"/>
      <c r="AA514" s="211"/>
      <c r="AB514" s="211"/>
      <c r="AC514" s="211"/>
      <c r="AD514" s="211"/>
      <c r="AE514" s="211"/>
      <c r="AF514" s="211"/>
      <c r="AI514" s="211"/>
      <c r="AJ514" s="211"/>
      <c r="AK514" s="212"/>
      <c r="AL514" s="211"/>
    </row>
    <row r="515" spans="1:40" x14ac:dyDescent="0.25">
      <c r="J515" s="334"/>
      <c r="K515" s="334"/>
    </row>
    <row r="516" spans="1:40" x14ac:dyDescent="0.25">
      <c r="A516" s="202"/>
      <c r="C516" s="154"/>
      <c r="F516" s="200"/>
      <c r="H516" s="200"/>
      <c r="I516" s="200"/>
      <c r="J516" s="334"/>
      <c r="K516" s="334"/>
      <c r="L516" s="200"/>
      <c r="M516" s="200"/>
      <c r="N516" s="210"/>
      <c r="O516" s="210"/>
      <c r="P516" s="252"/>
      <c r="Q516" s="252"/>
      <c r="R516" s="200"/>
      <c r="T516" s="154"/>
      <c r="V516" s="200"/>
      <c r="Y516" s="200"/>
      <c r="AA516" s="200"/>
      <c r="AB516" s="200"/>
      <c r="AC516" s="201"/>
      <c r="AD516" s="201"/>
      <c r="AE516" s="200"/>
      <c r="AF516" s="200"/>
      <c r="AG516" s="209"/>
      <c r="AH516" s="201"/>
      <c r="AI516" s="252"/>
      <c r="AJ516" s="252"/>
      <c r="AK516" s="209"/>
      <c r="AL516" s="200"/>
      <c r="AM516" s="201"/>
      <c r="AN516" s="201"/>
    </row>
    <row r="517" spans="1:40" x14ac:dyDescent="0.25">
      <c r="H517" s="211"/>
      <c r="I517" s="211"/>
      <c r="J517" s="329"/>
      <c r="K517" s="329"/>
      <c r="L517" s="211"/>
      <c r="M517" s="211"/>
      <c r="N517" s="211"/>
      <c r="O517" s="211"/>
      <c r="P517" s="211"/>
      <c r="Q517" s="211"/>
      <c r="R517" s="211"/>
      <c r="V517" s="211"/>
      <c r="Y517" s="211"/>
      <c r="Z517" s="305"/>
      <c r="AA517" s="211"/>
      <c r="AB517" s="211"/>
      <c r="AC517" s="211"/>
      <c r="AD517" s="211"/>
      <c r="AE517" s="211"/>
      <c r="AF517" s="211"/>
      <c r="AI517" s="211"/>
      <c r="AJ517" s="211"/>
      <c r="AK517" s="212"/>
      <c r="AL517" s="211"/>
    </row>
    <row r="518" spans="1:40" x14ac:dyDescent="0.25">
      <c r="F518" s="211"/>
      <c r="J518" s="394"/>
    </row>
    <row r="519" spans="1:40" x14ac:dyDescent="0.25">
      <c r="C519" s="202"/>
      <c r="J519" s="394"/>
      <c r="T519" s="202"/>
    </row>
    <row r="520" spans="1:40" x14ac:dyDescent="0.25">
      <c r="A520" s="154"/>
      <c r="J520" s="394"/>
    </row>
    <row r="521" spans="1:40" x14ac:dyDescent="0.25">
      <c r="J521" s="334"/>
      <c r="K521" s="202"/>
      <c r="Z521" s="202"/>
    </row>
    <row r="522" spans="1:40" x14ac:dyDescent="0.25">
      <c r="H522" s="154"/>
      <c r="I522" s="154"/>
      <c r="J522" s="394"/>
      <c r="Y522" s="154"/>
    </row>
    <row r="523" spans="1:40" x14ac:dyDescent="0.25">
      <c r="J523" s="334"/>
      <c r="K523" s="202"/>
      <c r="Z523" s="202"/>
    </row>
    <row r="524" spans="1:40" x14ac:dyDescent="0.25">
      <c r="J524" s="394"/>
      <c r="L524" s="154"/>
      <c r="M524" s="154"/>
      <c r="AA524" s="154"/>
      <c r="AB524" s="154"/>
    </row>
    <row r="525" spans="1:40" x14ac:dyDescent="0.25">
      <c r="A525" s="202"/>
      <c r="J525" s="394"/>
      <c r="R525" s="154"/>
      <c r="AK525" s="297"/>
      <c r="AL525" s="154"/>
    </row>
    <row r="526" spans="1:40" x14ac:dyDescent="0.25">
      <c r="A526" s="202"/>
      <c r="J526" s="394"/>
      <c r="R526" s="154"/>
      <c r="AK526" s="297"/>
      <c r="AL526" s="154"/>
    </row>
    <row r="527" spans="1:40" x14ac:dyDescent="0.25">
      <c r="A527" s="154"/>
      <c r="J527" s="394"/>
      <c r="R527" s="154"/>
      <c r="AK527" s="297"/>
      <c r="AL527" s="154"/>
    </row>
    <row r="528" spans="1:40" x14ac:dyDescent="0.25">
      <c r="J528" s="394"/>
      <c r="L528" s="154"/>
      <c r="M528" s="154"/>
      <c r="R528" s="202"/>
      <c r="AA528" s="154"/>
      <c r="AB528" s="154"/>
      <c r="AK528" s="209"/>
      <c r="AL528" s="202"/>
    </row>
    <row r="529" spans="1:40" x14ac:dyDescent="0.25">
      <c r="A529" s="102"/>
      <c r="B529" s="102"/>
      <c r="C529" s="102"/>
      <c r="D529" s="102"/>
      <c r="E529" s="102"/>
      <c r="F529" s="102"/>
      <c r="G529" s="102"/>
      <c r="H529" s="102"/>
      <c r="I529" s="102"/>
      <c r="J529" s="335"/>
      <c r="K529" s="102"/>
      <c r="L529" s="102"/>
      <c r="M529" s="102"/>
      <c r="N529" s="102"/>
      <c r="O529" s="102"/>
      <c r="P529" s="102"/>
      <c r="Q529" s="102"/>
      <c r="R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208"/>
      <c r="AH529" s="102"/>
      <c r="AI529" s="102"/>
      <c r="AJ529" s="102"/>
      <c r="AK529" s="208"/>
      <c r="AL529" s="102"/>
      <c r="AM529" s="102"/>
      <c r="AN529" s="102"/>
    </row>
    <row r="530" spans="1:40" x14ac:dyDescent="0.25">
      <c r="J530" s="394"/>
      <c r="L530" s="103"/>
      <c r="M530" s="103"/>
      <c r="N530" s="103"/>
      <c r="O530" s="103"/>
      <c r="R530" s="103"/>
      <c r="AA530" s="103"/>
      <c r="AB530" s="103"/>
      <c r="AC530" s="103"/>
      <c r="AD530" s="103"/>
      <c r="AE530" s="103"/>
      <c r="AF530" s="103"/>
      <c r="AG530" s="185"/>
      <c r="AH530" s="103"/>
      <c r="AK530" s="185"/>
      <c r="AL530" s="103"/>
      <c r="AM530" s="103"/>
      <c r="AN530" s="103"/>
    </row>
    <row r="531" spans="1:40" x14ac:dyDescent="0.25">
      <c r="J531" s="394"/>
      <c r="L531" s="103"/>
      <c r="M531" s="103"/>
      <c r="N531" s="103"/>
      <c r="O531" s="103"/>
      <c r="R531" s="103"/>
      <c r="Z531" s="103"/>
      <c r="AA531" s="103"/>
      <c r="AB531" s="103"/>
      <c r="AC531" s="103"/>
      <c r="AD531" s="103"/>
      <c r="AE531" s="103"/>
      <c r="AF531" s="103"/>
      <c r="AG531" s="185"/>
      <c r="AH531" s="103"/>
      <c r="AK531" s="185"/>
      <c r="AL531" s="103"/>
      <c r="AM531" s="103"/>
      <c r="AN531" s="103"/>
    </row>
    <row r="532" spans="1:40" x14ac:dyDescent="0.25">
      <c r="A532" s="103"/>
      <c r="C532" s="103"/>
      <c r="D532" s="103"/>
      <c r="E532" s="103"/>
      <c r="F532" s="103"/>
      <c r="J532" s="336"/>
      <c r="K532" s="103"/>
      <c r="L532" s="103"/>
      <c r="M532" s="103"/>
      <c r="N532" s="103"/>
      <c r="O532" s="103"/>
      <c r="P532" s="103"/>
      <c r="Q532" s="103"/>
      <c r="R532" s="103"/>
      <c r="T532" s="103"/>
      <c r="U532" s="103"/>
      <c r="V532" s="103"/>
      <c r="Z532" s="103"/>
      <c r="AA532" s="103"/>
      <c r="AB532" s="103"/>
      <c r="AC532" s="103"/>
      <c r="AD532" s="103"/>
      <c r="AE532" s="103"/>
      <c r="AF532" s="103"/>
      <c r="AG532" s="185"/>
      <c r="AH532" s="103"/>
      <c r="AI532" s="103"/>
      <c r="AJ532" s="103"/>
      <c r="AK532" s="185"/>
      <c r="AL532" s="103"/>
      <c r="AM532" s="103"/>
      <c r="AN532" s="103"/>
    </row>
    <row r="533" spans="1:40" x14ac:dyDescent="0.25">
      <c r="A533" s="103"/>
      <c r="C533" s="103"/>
      <c r="D533" s="103"/>
      <c r="E533" s="103"/>
      <c r="F533" s="103"/>
      <c r="H533" s="103"/>
      <c r="I533" s="103"/>
      <c r="J533" s="336"/>
      <c r="K533" s="103"/>
      <c r="L533" s="103"/>
      <c r="M533" s="103"/>
      <c r="N533" s="103"/>
      <c r="O533" s="103"/>
      <c r="P533" s="103"/>
      <c r="Q533" s="103"/>
      <c r="R533" s="103"/>
      <c r="T533" s="103"/>
      <c r="U533" s="103"/>
      <c r="V533" s="103"/>
      <c r="Y533" s="103"/>
      <c r="Z533" s="103"/>
      <c r="AA533" s="103"/>
      <c r="AB533" s="103"/>
      <c r="AC533" s="103"/>
      <c r="AD533" s="103"/>
      <c r="AE533" s="103"/>
      <c r="AF533" s="103"/>
      <c r="AG533" s="185"/>
      <c r="AH533" s="103"/>
      <c r="AI533" s="103"/>
      <c r="AJ533" s="103"/>
      <c r="AK533" s="185"/>
      <c r="AL533" s="103"/>
      <c r="AM533" s="103"/>
      <c r="AN533" s="103"/>
    </row>
    <row r="534" spans="1:40" x14ac:dyDescent="0.25">
      <c r="C534" s="103"/>
      <c r="D534" s="103"/>
      <c r="E534" s="103"/>
      <c r="F534" s="103"/>
      <c r="H534" s="103"/>
      <c r="I534" s="103"/>
      <c r="J534" s="336"/>
      <c r="K534" s="103"/>
      <c r="L534" s="103"/>
      <c r="M534" s="103"/>
      <c r="N534" s="103"/>
      <c r="O534" s="103"/>
      <c r="P534" s="103"/>
      <c r="Q534" s="103"/>
      <c r="R534" s="103"/>
      <c r="T534" s="103"/>
      <c r="U534" s="103"/>
      <c r="V534" s="103"/>
      <c r="Y534" s="103"/>
      <c r="Z534" s="103"/>
      <c r="AA534" s="103"/>
      <c r="AB534" s="103"/>
      <c r="AC534" s="103"/>
      <c r="AD534" s="103"/>
      <c r="AE534" s="103"/>
      <c r="AF534" s="103"/>
      <c r="AG534" s="185"/>
      <c r="AH534" s="103"/>
      <c r="AI534" s="103"/>
      <c r="AJ534" s="103"/>
      <c r="AK534" s="185"/>
      <c r="AL534" s="103"/>
      <c r="AM534" s="103"/>
      <c r="AN534" s="103"/>
    </row>
    <row r="535" spans="1:40" x14ac:dyDescent="0.25">
      <c r="A535" s="102"/>
      <c r="B535" s="102"/>
      <c r="C535" s="102"/>
      <c r="D535" s="102"/>
      <c r="E535" s="102"/>
      <c r="F535" s="102"/>
      <c r="G535" s="102"/>
      <c r="H535" s="102"/>
      <c r="I535" s="102"/>
      <c r="J535" s="335"/>
      <c r="K535" s="102"/>
      <c r="L535" s="102"/>
      <c r="M535" s="102"/>
      <c r="N535" s="102"/>
      <c r="O535" s="102"/>
      <c r="P535" s="102"/>
      <c r="Q535" s="102"/>
      <c r="R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208"/>
      <c r="AH535" s="102"/>
      <c r="AI535" s="102"/>
      <c r="AJ535" s="102"/>
      <c r="AK535" s="208"/>
      <c r="AL535" s="102"/>
      <c r="AM535" s="102"/>
      <c r="AN535" s="102"/>
    </row>
    <row r="536" spans="1:40" x14ac:dyDescent="0.25">
      <c r="H536" s="103"/>
      <c r="I536" s="103"/>
      <c r="J536" s="336"/>
      <c r="K536" s="103"/>
      <c r="L536" s="103"/>
      <c r="M536" s="103"/>
      <c r="N536" s="103"/>
      <c r="O536" s="103"/>
      <c r="P536" s="103"/>
      <c r="Q536" s="103"/>
      <c r="R536" s="103"/>
      <c r="Y536" s="103"/>
      <c r="Z536" s="103"/>
      <c r="AA536" s="103"/>
      <c r="AB536" s="103"/>
      <c r="AC536" s="103"/>
      <c r="AD536" s="103"/>
      <c r="AE536" s="103"/>
      <c r="AF536" s="103"/>
      <c r="AG536" s="185"/>
      <c r="AH536" s="103"/>
      <c r="AI536" s="103"/>
      <c r="AJ536" s="103"/>
      <c r="AK536" s="185"/>
      <c r="AL536" s="103"/>
      <c r="AM536" s="103"/>
      <c r="AN536" s="103"/>
    </row>
    <row r="537" spans="1:40" x14ac:dyDescent="0.25">
      <c r="A537" s="202"/>
      <c r="C537" s="154"/>
      <c r="D537" s="154"/>
      <c r="E537" s="154"/>
      <c r="J537" s="394"/>
      <c r="T537" s="154"/>
      <c r="U537" s="154"/>
    </row>
    <row r="538" spans="1:40" x14ac:dyDescent="0.25">
      <c r="J538" s="394"/>
    </row>
    <row r="539" spans="1:40" x14ac:dyDescent="0.25">
      <c r="A539" s="202"/>
      <c r="C539" s="154"/>
      <c r="D539" s="154"/>
      <c r="E539" s="154"/>
      <c r="J539" s="394"/>
      <c r="T539" s="154"/>
      <c r="U539" s="154"/>
    </row>
    <row r="540" spans="1:40" x14ac:dyDescent="0.25">
      <c r="A540" s="202"/>
      <c r="C540" s="154"/>
      <c r="J540" s="394"/>
      <c r="T540" s="154"/>
    </row>
    <row r="541" spans="1:40" x14ac:dyDescent="0.25">
      <c r="A541" s="202"/>
      <c r="C541" s="154"/>
      <c r="J541" s="394"/>
      <c r="T541" s="154"/>
    </row>
    <row r="542" spans="1:40" x14ac:dyDescent="0.25">
      <c r="A542" s="202"/>
      <c r="C542" s="154"/>
      <c r="H542" s="252"/>
      <c r="I542" s="252"/>
      <c r="J542" s="329"/>
      <c r="K542" s="329"/>
      <c r="L542" s="200"/>
      <c r="M542" s="200"/>
      <c r="N542" s="210"/>
      <c r="O542" s="210"/>
      <c r="P542" s="200"/>
      <c r="Q542" s="200"/>
      <c r="R542" s="200"/>
      <c r="T542" s="154"/>
      <c r="V542" s="200"/>
      <c r="W542" s="200"/>
      <c r="X542" s="200"/>
      <c r="Y542" s="200"/>
      <c r="Z542" s="329"/>
      <c r="AA542" s="200"/>
      <c r="AB542" s="200"/>
      <c r="AC542" s="210"/>
      <c r="AD542" s="210"/>
      <c r="AE542" s="200"/>
      <c r="AF542" s="200"/>
      <c r="AG542" s="209"/>
      <c r="AH542" s="201"/>
      <c r="AI542" s="200"/>
      <c r="AJ542" s="200"/>
      <c r="AK542" s="209"/>
      <c r="AL542" s="200"/>
      <c r="AM542" s="210"/>
      <c r="AN542" s="210"/>
    </row>
    <row r="543" spans="1:40" x14ac:dyDescent="0.25">
      <c r="A543" s="202"/>
      <c r="C543" s="154"/>
      <c r="F543" s="252"/>
      <c r="J543" s="334"/>
      <c r="K543" s="334"/>
      <c r="T543" s="154"/>
      <c r="V543" s="200"/>
      <c r="W543" s="200"/>
      <c r="X543" s="200"/>
      <c r="Y543" s="200"/>
      <c r="Z543" s="329"/>
    </row>
    <row r="544" spans="1:40" x14ac:dyDescent="0.25">
      <c r="A544" s="202"/>
      <c r="C544" s="154"/>
      <c r="H544" s="252"/>
      <c r="I544" s="252"/>
      <c r="J544" s="329"/>
      <c r="K544" s="329"/>
      <c r="L544" s="200"/>
      <c r="M544" s="200"/>
      <c r="N544" s="210"/>
      <c r="O544" s="210"/>
      <c r="P544" s="200"/>
      <c r="Q544" s="200"/>
      <c r="R544" s="200"/>
      <c r="T544" s="154"/>
      <c r="V544" s="200"/>
      <c r="W544" s="200"/>
      <c r="X544" s="200"/>
      <c r="Y544" s="200"/>
      <c r="Z544" s="329"/>
      <c r="AA544" s="200"/>
      <c r="AB544" s="200"/>
      <c r="AC544" s="210"/>
      <c r="AD544" s="210"/>
      <c r="AE544" s="200"/>
      <c r="AF544" s="200"/>
      <c r="AG544" s="209"/>
      <c r="AH544" s="201"/>
      <c r="AI544" s="200"/>
      <c r="AJ544" s="200"/>
      <c r="AK544" s="209"/>
      <c r="AL544" s="200"/>
      <c r="AM544" s="210"/>
      <c r="AN544" s="210"/>
    </row>
    <row r="545" spans="1:40" x14ac:dyDescent="0.25">
      <c r="A545" s="202"/>
      <c r="C545" s="154"/>
      <c r="F545" s="252"/>
      <c r="J545" s="334"/>
      <c r="K545" s="334"/>
      <c r="T545" s="154"/>
      <c r="V545" s="200"/>
      <c r="W545" s="200"/>
      <c r="X545" s="200"/>
      <c r="Y545" s="200"/>
      <c r="Z545" s="329"/>
    </row>
    <row r="546" spans="1:40" x14ac:dyDescent="0.25">
      <c r="A546" s="202"/>
      <c r="C546" s="154"/>
      <c r="H546" s="252"/>
      <c r="I546" s="252"/>
      <c r="J546" s="329"/>
      <c r="K546" s="329"/>
      <c r="L546" s="200"/>
      <c r="M546" s="200"/>
      <c r="N546" s="210"/>
      <c r="O546" s="210"/>
      <c r="P546" s="200"/>
      <c r="Q546" s="200"/>
      <c r="R546" s="200"/>
      <c r="T546" s="154"/>
      <c r="V546" s="200"/>
      <c r="W546" s="200"/>
      <c r="X546" s="200"/>
      <c r="Y546" s="200"/>
      <c r="Z546" s="329"/>
      <c r="AA546" s="200"/>
      <c r="AB546" s="200"/>
      <c r="AC546" s="210"/>
      <c r="AD546" s="210"/>
      <c r="AE546" s="200"/>
      <c r="AF546" s="200"/>
      <c r="AG546" s="209"/>
      <c r="AH546" s="201"/>
      <c r="AI546" s="200"/>
      <c r="AJ546" s="200"/>
      <c r="AK546" s="209"/>
      <c r="AL546" s="200"/>
      <c r="AM546" s="210"/>
      <c r="AN546" s="210"/>
    </row>
    <row r="547" spans="1:40" x14ac:dyDescent="0.25">
      <c r="A547" s="202"/>
      <c r="C547" s="154"/>
      <c r="F547" s="252"/>
      <c r="J547" s="334"/>
      <c r="K547" s="334"/>
      <c r="T547" s="154"/>
      <c r="V547" s="200"/>
      <c r="W547" s="200"/>
      <c r="X547" s="200"/>
      <c r="Y547" s="200"/>
      <c r="Z547" s="329"/>
    </row>
    <row r="548" spans="1:40" x14ac:dyDescent="0.25">
      <c r="A548" s="202"/>
      <c r="C548" s="154"/>
      <c r="H548" s="252"/>
      <c r="I548" s="252"/>
      <c r="J548" s="329"/>
      <c r="K548" s="329"/>
      <c r="L548" s="200"/>
      <c r="M548" s="200"/>
      <c r="N548" s="210"/>
      <c r="O548" s="210"/>
      <c r="P548" s="200"/>
      <c r="Q548" s="200"/>
      <c r="R548" s="200"/>
      <c r="T548" s="154"/>
      <c r="V548" s="200"/>
      <c r="W548" s="200"/>
      <c r="X548" s="200"/>
      <c r="Y548" s="200"/>
      <c r="Z548" s="329"/>
      <c r="AA548" s="200"/>
      <c r="AB548" s="200"/>
      <c r="AC548" s="210"/>
      <c r="AD548" s="210"/>
      <c r="AE548" s="200"/>
      <c r="AF548" s="200"/>
      <c r="AG548" s="209"/>
      <c r="AH548" s="201"/>
      <c r="AI548" s="200"/>
      <c r="AJ548" s="200"/>
      <c r="AK548" s="209"/>
      <c r="AL548" s="200"/>
      <c r="AM548" s="210"/>
      <c r="AN548" s="210"/>
    </row>
    <row r="549" spans="1:40" x14ac:dyDescent="0.25">
      <c r="A549" s="202"/>
      <c r="C549" s="154"/>
      <c r="F549" s="252"/>
      <c r="J549" s="334"/>
      <c r="K549" s="334"/>
      <c r="T549" s="154"/>
      <c r="V549" s="200"/>
      <c r="W549" s="200"/>
      <c r="X549" s="200"/>
      <c r="Y549" s="200"/>
      <c r="Z549" s="329"/>
    </row>
    <row r="550" spans="1:40" x14ac:dyDescent="0.25">
      <c r="A550" s="202"/>
      <c r="C550" s="154"/>
      <c r="H550" s="252"/>
      <c r="I550" s="252"/>
      <c r="J550" s="329"/>
      <c r="K550" s="329"/>
      <c r="L550" s="200"/>
      <c r="M550" s="200"/>
      <c r="N550" s="210"/>
      <c r="O550" s="210"/>
      <c r="P550" s="200"/>
      <c r="Q550" s="200"/>
      <c r="R550" s="200"/>
      <c r="T550" s="154"/>
      <c r="V550" s="200"/>
      <c r="W550" s="200"/>
      <c r="X550" s="200"/>
      <c r="Y550" s="200"/>
      <c r="Z550" s="329"/>
      <c r="AA550" s="200"/>
      <c r="AB550" s="200"/>
      <c r="AC550" s="210"/>
      <c r="AD550" s="210"/>
      <c r="AE550" s="200"/>
      <c r="AF550" s="200"/>
      <c r="AG550" s="209"/>
      <c r="AH550" s="201"/>
      <c r="AI550" s="200"/>
      <c r="AJ550" s="200"/>
      <c r="AK550" s="209"/>
      <c r="AL550" s="200"/>
      <c r="AM550" s="210"/>
      <c r="AN550" s="210"/>
    </row>
    <row r="551" spans="1:40" x14ac:dyDescent="0.25">
      <c r="A551" s="202"/>
      <c r="C551" s="154"/>
      <c r="F551" s="252"/>
      <c r="J551" s="334"/>
      <c r="K551" s="334"/>
      <c r="T551" s="154"/>
      <c r="V551" s="200"/>
      <c r="W551" s="200"/>
      <c r="X551" s="200"/>
      <c r="Y551" s="200"/>
      <c r="Z551" s="329"/>
    </row>
    <row r="552" spans="1:40" x14ac:dyDescent="0.25">
      <c r="A552" s="202"/>
      <c r="C552" s="154"/>
      <c r="H552" s="252"/>
      <c r="I552" s="252"/>
      <c r="J552" s="329"/>
      <c r="K552" s="329"/>
      <c r="L552" s="200"/>
      <c r="M552" s="200"/>
      <c r="N552" s="210"/>
      <c r="O552" s="210"/>
      <c r="P552" s="200"/>
      <c r="Q552" s="200"/>
      <c r="R552" s="200"/>
      <c r="T552" s="154"/>
      <c r="V552" s="200"/>
      <c r="W552" s="200"/>
      <c r="X552" s="200"/>
      <c r="Y552" s="200"/>
      <c r="Z552" s="329"/>
      <c r="AA552" s="200"/>
      <c r="AB552" s="200"/>
      <c r="AC552" s="210"/>
      <c r="AD552" s="210"/>
      <c r="AE552" s="200"/>
      <c r="AF552" s="200"/>
      <c r="AG552" s="209"/>
      <c r="AH552" s="201"/>
      <c r="AI552" s="200"/>
      <c r="AJ552" s="200"/>
      <c r="AK552" s="209"/>
      <c r="AL552" s="200"/>
      <c r="AM552" s="210"/>
      <c r="AN552" s="210"/>
    </row>
    <row r="553" spans="1:40" x14ac:dyDescent="0.25">
      <c r="F553" s="252"/>
      <c r="H553" s="211"/>
      <c r="I553" s="211"/>
      <c r="J553" s="329"/>
      <c r="K553" s="329"/>
      <c r="L553" s="211"/>
      <c r="M553" s="211"/>
      <c r="N553" s="211"/>
      <c r="O553" s="211"/>
      <c r="P553" s="211"/>
      <c r="Q553" s="211"/>
      <c r="R553" s="211"/>
      <c r="V553" s="211"/>
      <c r="Y553" s="211"/>
      <c r="Z553" s="329"/>
      <c r="AA553" s="211"/>
      <c r="AB553" s="211"/>
      <c r="AC553" s="211"/>
      <c r="AD553" s="211"/>
      <c r="AE553" s="211"/>
      <c r="AF553" s="211"/>
      <c r="AI553" s="211"/>
      <c r="AJ553" s="211"/>
      <c r="AK553" s="212"/>
      <c r="AL553" s="211"/>
      <c r="AM553" s="210"/>
      <c r="AN553" s="210"/>
    </row>
    <row r="554" spans="1:40" x14ac:dyDescent="0.25">
      <c r="A554" s="202"/>
      <c r="C554" s="154"/>
      <c r="F554" s="211"/>
      <c r="H554" s="200"/>
      <c r="I554" s="200"/>
      <c r="J554" s="334"/>
      <c r="K554" s="334"/>
      <c r="L554" s="200"/>
      <c r="M554" s="200"/>
      <c r="N554" s="210"/>
      <c r="O554" s="210"/>
      <c r="P554" s="252"/>
      <c r="Q554" s="252"/>
      <c r="R554" s="200"/>
      <c r="T554" s="154"/>
      <c r="V554" s="200"/>
      <c r="W554" s="200"/>
      <c r="X554" s="200"/>
      <c r="Y554" s="200"/>
      <c r="Z554" s="329"/>
      <c r="AA554" s="200"/>
      <c r="AB554" s="200"/>
      <c r="AC554" s="210"/>
      <c r="AD554" s="210"/>
      <c r="AE554" s="200"/>
      <c r="AF554" s="200"/>
      <c r="AG554" s="209"/>
      <c r="AH554" s="201"/>
      <c r="AI554" s="252"/>
      <c r="AJ554" s="252"/>
      <c r="AK554" s="209"/>
      <c r="AL554" s="200"/>
      <c r="AM554" s="210"/>
      <c r="AN554" s="210"/>
    </row>
    <row r="555" spans="1:40" x14ac:dyDescent="0.25">
      <c r="F555" s="200"/>
      <c r="H555" s="211"/>
      <c r="I555" s="211"/>
      <c r="J555" s="329"/>
      <c r="K555" s="329"/>
      <c r="L555" s="211"/>
      <c r="M555" s="211"/>
      <c r="N555" s="211"/>
      <c r="O555" s="211"/>
      <c r="P555" s="211"/>
      <c r="Q555" s="211"/>
      <c r="R555" s="211"/>
      <c r="V555" s="211"/>
      <c r="Y555" s="211"/>
      <c r="Z555" s="329"/>
      <c r="AA555" s="211"/>
      <c r="AB555" s="211"/>
      <c r="AC555" s="211"/>
      <c r="AD555" s="211"/>
      <c r="AE555" s="211"/>
      <c r="AF555" s="211"/>
      <c r="AI555" s="211"/>
      <c r="AJ555" s="211"/>
      <c r="AK555" s="212"/>
      <c r="AL555" s="211"/>
    </row>
    <row r="556" spans="1:40" x14ac:dyDescent="0.25">
      <c r="A556" s="202"/>
      <c r="C556" s="154"/>
      <c r="D556" s="154"/>
      <c r="E556" s="154"/>
      <c r="F556" s="211"/>
      <c r="J556" s="334"/>
      <c r="K556" s="334"/>
      <c r="T556" s="154"/>
      <c r="U556" s="154"/>
      <c r="V556" s="200"/>
      <c r="W556" s="200"/>
      <c r="X556" s="200"/>
      <c r="Y556" s="200"/>
      <c r="Z556" s="329"/>
    </row>
    <row r="557" spans="1:40" x14ac:dyDescent="0.25">
      <c r="A557" s="202"/>
      <c r="C557" s="154"/>
      <c r="J557" s="334"/>
      <c r="K557" s="334"/>
      <c r="T557" s="154"/>
      <c r="V557" s="200"/>
      <c r="W557" s="200"/>
      <c r="X557" s="200"/>
      <c r="Y557" s="200"/>
      <c r="Z557" s="329"/>
    </row>
    <row r="558" spans="1:40" x14ac:dyDescent="0.25">
      <c r="A558" s="202"/>
      <c r="C558" s="154"/>
      <c r="J558" s="334"/>
      <c r="K558" s="334"/>
      <c r="T558" s="154"/>
      <c r="V558" s="200"/>
      <c r="W558" s="200"/>
      <c r="X558" s="200"/>
      <c r="Y558" s="200"/>
      <c r="Z558" s="329"/>
    </row>
    <row r="559" spans="1:40" x14ac:dyDescent="0.25">
      <c r="A559" s="202"/>
      <c r="C559" s="154"/>
      <c r="H559" s="252"/>
      <c r="I559" s="252"/>
      <c r="J559" s="329"/>
      <c r="K559" s="329"/>
      <c r="L559" s="200"/>
      <c r="M559" s="200"/>
      <c r="N559" s="210"/>
      <c r="O559" s="210"/>
      <c r="P559" s="200"/>
      <c r="Q559" s="200"/>
      <c r="R559" s="200"/>
      <c r="T559" s="154"/>
      <c r="V559" s="200"/>
      <c r="W559" s="200"/>
      <c r="X559" s="200"/>
      <c r="Y559" s="200"/>
      <c r="Z559" s="329"/>
      <c r="AA559" s="200"/>
      <c r="AB559" s="200"/>
      <c r="AC559" s="210"/>
      <c r="AD559" s="210"/>
      <c r="AE559" s="200"/>
      <c r="AF559" s="200"/>
      <c r="AG559" s="209"/>
      <c r="AH559" s="201"/>
      <c r="AI559" s="200"/>
      <c r="AJ559" s="200"/>
      <c r="AK559" s="209"/>
      <c r="AL559" s="200"/>
      <c r="AM559" s="210"/>
      <c r="AN559" s="210"/>
    </row>
    <row r="560" spans="1:40" x14ac:dyDescent="0.25">
      <c r="A560" s="202"/>
      <c r="C560" s="154"/>
      <c r="F560" s="252"/>
      <c r="J560" s="334"/>
      <c r="K560" s="334"/>
      <c r="T560" s="154"/>
      <c r="V560" s="200"/>
      <c r="W560" s="200"/>
      <c r="X560" s="200"/>
      <c r="Y560" s="200"/>
      <c r="Z560" s="329"/>
    </row>
    <row r="561" spans="1:40" x14ac:dyDescent="0.25">
      <c r="A561" s="202"/>
      <c r="C561" s="154"/>
      <c r="H561" s="252"/>
      <c r="I561" s="252"/>
      <c r="J561" s="329"/>
      <c r="K561" s="329"/>
      <c r="L561" s="200"/>
      <c r="M561" s="200"/>
      <c r="N561" s="210"/>
      <c r="O561" s="210"/>
      <c r="P561" s="200"/>
      <c r="Q561" s="200"/>
      <c r="R561" s="200"/>
      <c r="T561" s="154"/>
      <c r="V561" s="200"/>
      <c r="W561" s="200"/>
      <c r="X561" s="200"/>
      <c r="Y561" s="200"/>
      <c r="Z561" s="329"/>
      <c r="AA561" s="200"/>
      <c r="AB561" s="200"/>
      <c r="AC561" s="210"/>
      <c r="AD561" s="210"/>
      <c r="AE561" s="200"/>
      <c r="AF561" s="200"/>
      <c r="AG561" s="209"/>
      <c r="AH561" s="201"/>
      <c r="AI561" s="200"/>
      <c r="AJ561" s="200"/>
      <c r="AK561" s="209"/>
      <c r="AL561" s="200"/>
      <c r="AM561" s="210"/>
      <c r="AN561" s="210"/>
    </row>
    <row r="562" spans="1:40" x14ac:dyDescent="0.25">
      <c r="F562" s="252"/>
      <c r="H562" s="211"/>
      <c r="I562" s="211"/>
      <c r="J562" s="329"/>
      <c r="K562" s="329"/>
      <c r="L562" s="211"/>
      <c r="M562" s="211"/>
      <c r="N562" s="211"/>
      <c r="O562" s="211"/>
      <c r="P562" s="211"/>
      <c r="Q562" s="211"/>
      <c r="R562" s="211"/>
      <c r="V562" s="211"/>
      <c r="Y562" s="211"/>
      <c r="Z562" s="305"/>
      <c r="AA562" s="211"/>
      <c r="AB562" s="211"/>
      <c r="AC562" s="211"/>
      <c r="AD562" s="211"/>
      <c r="AE562" s="211"/>
      <c r="AF562" s="211"/>
      <c r="AI562" s="211"/>
      <c r="AJ562" s="211"/>
      <c r="AK562" s="212"/>
      <c r="AL562" s="211"/>
    </row>
    <row r="563" spans="1:40" x14ac:dyDescent="0.25">
      <c r="A563" s="202"/>
      <c r="C563" s="154"/>
      <c r="F563" s="211"/>
      <c r="H563" s="200"/>
      <c r="I563" s="200"/>
      <c r="L563" s="200"/>
      <c r="M563" s="200"/>
      <c r="N563" s="210"/>
      <c r="O563" s="210"/>
      <c r="P563" s="252"/>
      <c r="Q563" s="252"/>
      <c r="R563" s="200"/>
      <c r="T563" s="154"/>
      <c r="V563" s="200"/>
      <c r="W563" s="200"/>
      <c r="X563" s="200"/>
      <c r="Y563" s="200"/>
      <c r="Z563" s="328"/>
      <c r="AA563" s="200"/>
      <c r="AB563" s="200"/>
      <c r="AC563" s="210"/>
      <c r="AD563" s="210"/>
      <c r="AE563" s="200"/>
      <c r="AF563" s="200"/>
      <c r="AG563" s="209"/>
      <c r="AH563" s="201"/>
      <c r="AI563" s="252"/>
      <c r="AJ563" s="252"/>
      <c r="AK563" s="209"/>
      <c r="AL563" s="200"/>
      <c r="AM563" s="210"/>
      <c r="AN563" s="210"/>
    </row>
    <row r="564" spans="1:40" x14ac:dyDescent="0.25">
      <c r="F564" s="200"/>
      <c r="H564" s="211"/>
      <c r="I564" s="211"/>
      <c r="J564" s="305"/>
      <c r="K564" s="305"/>
      <c r="L564" s="211"/>
      <c r="M564" s="211"/>
      <c r="N564" s="211"/>
      <c r="O564" s="211"/>
      <c r="P564" s="211"/>
      <c r="Q564" s="211"/>
      <c r="R564" s="211"/>
      <c r="V564" s="211"/>
      <c r="Y564" s="211"/>
      <c r="Z564" s="305"/>
      <c r="AA564" s="211"/>
      <c r="AB564" s="211"/>
      <c r="AC564" s="211"/>
      <c r="AD564" s="211"/>
      <c r="AE564" s="211"/>
      <c r="AF564" s="211"/>
      <c r="AI564" s="211"/>
      <c r="AJ564" s="211"/>
      <c r="AK564" s="212"/>
      <c r="AL564" s="211"/>
    </row>
    <row r="565" spans="1:40" x14ac:dyDescent="0.25">
      <c r="A565" s="202"/>
      <c r="C565" s="154"/>
      <c r="D565" s="154"/>
      <c r="E565" s="154"/>
      <c r="F565" s="211"/>
      <c r="T565" s="154"/>
      <c r="U565" s="154"/>
      <c r="V565" s="200"/>
      <c r="W565" s="200"/>
      <c r="X565" s="200"/>
      <c r="Y565" s="200"/>
      <c r="Z565" s="328"/>
    </row>
    <row r="566" spans="1:40" x14ac:dyDescent="0.25">
      <c r="A566" s="202"/>
      <c r="C566" s="154"/>
      <c r="T566" s="154"/>
      <c r="V566" s="200"/>
      <c r="W566" s="200"/>
      <c r="X566" s="200"/>
      <c r="Y566" s="200"/>
      <c r="Z566" s="328"/>
    </row>
    <row r="567" spans="1:40" x14ac:dyDescent="0.25">
      <c r="A567" s="202"/>
      <c r="C567" s="154"/>
      <c r="H567" s="252"/>
      <c r="I567" s="252"/>
      <c r="J567" s="328"/>
      <c r="K567" s="328"/>
      <c r="L567" s="200"/>
      <c r="M567" s="200"/>
      <c r="N567" s="210"/>
      <c r="O567" s="210"/>
      <c r="P567" s="200"/>
      <c r="Q567" s="200"/>
      <c r="R567" s="200"/>
      <c r="T567" s="154"/>
      <c r="V567" s="200"/>
      <c r="W567" s="200"/>
      <c r="X567" s="200"/>
      <c r="Y567" s="200"/>
      <c r="Z567" s="328"/>
      <c r="AA567" s="200"/>
      <c r="AB567" s="200"/>
      <c r="AC567" s="210"/>
      <c r="AD567" s="210"/>
      <c r="AE567" s="200"/>
      <c r="AF567" s="200"/>
      <c r="AG567" s="209"/>
      <c r="AH567" s="201"/>
      <c r="AI567" s="200"/>
      <c r="AJ567" s="200"/>
      <c r="AK567" s="209"/>
      <c r="AL567" s="200"/>
      <c r="AM567" s="210"/>
      <c r="AN567" s="210"/>
    </row>
    <row r="568" spans="1:40" x14ac:dyDescent="0.25">
      <c r="A568" s="202"/>
      <c r="C568" s="154"/>
      <c r="F568" s="252"/>
      <c r="T568" s="154"/>
      <c r="V568" s="200"/>
      <c r="W568" s="200"/>
      <c r="X568" s="200"/>
      <c r="Y568" s="200"/>
      <c r="Z568" s="328"/>
    </row>
    <row r="569" spans="1:40" x14ac:dyDescent="0.25">
      <c r="A569" s="202"/>
      <c r="C569" s="154"/>
      <c r="H569" s="252"/>
      <c r="I569" s="252"/>
      <c r="J569" s="328"/>
      <c r="K569" s="328"/>
      <c r="L569" s="200"/>
      <c r="M569" s="200"/>
      <c r="N569" s="210"/>
      <c r="O569" s="210"/>
      <c r="P569" s="200"/>
      <c r="Q569" s="200"/>
      <c r="R569" s="200"/>
      <c r="T569" s="154"/>
      <c r="V569" s="200"/>
      <c r="W569" s="200"/>
      <c r="X569" s="200"/>
      <c r="Y569" s="200"/>
      <c r="Z569" s="328"/>
      <c r="AA569" s="200"/>
      <c r="AB569" s="200"/>
      <c r="AC569" s="210"/>
      <c r="AD569" s="210"/>
      <c r="AE569" s="200"/>
      <c r="AF569" s="200"/>
      <c r="AG569" s="209"/>
      <c r="AH569" s="201"/>
      <c r="AI569" s="200"/>
      <c r="AJ569" s="200"/>
      <c r="AK569" s="209"/>
      <c r="AL569" s="200"/>
      <c r="AM569" s="210"/>
      <c r="AN569" s="210"/>
    </row>
    <row r="570" spans="1:40" x14ac:dyDescent="0.25">
      <c r="A570" s="202"/>
      <c r="C570" s="154"/>
      <c r="F570" s="252"/>
      <c r="T570" s="154"/>
      <c r="V570" s="200"/>
      <c r="W570" s="200"/>
      <c r="X570" s="200"/>
      <c r="Y570" s="200"/>
      <c r="Z570" s="328"/>
    </row>
    <row r="571" spans="1:40" x14ac:dyDescent="0.25">
      <c r="A571" s="202"/>
      <c r="C571" s="154"/>
      <c r="H571" s="252"/>
      <c r="I571" s="252"/>
      <c r="J571" s="328"/>
      <c r="K571" s="328"/>
      <c r="L571" s="200"/>
      <c r="M571" s="200"/>
      <c r="N571" s="210"/>
      <c r="O571" s="210"/>
      <c r="P571" s="200"/>
      <c r="Q571" s="200"/>
      <c r="R571" s="200"/>
      <c r="T571" s="154"/>
      <c r="V571" s="200"/>
      <c r="W571" s="200"/>
      <c r="X571" s="200"/>
      <c r="Y571" s="200"/>
      <c r="Z571" s="328"/>
      <c r="AA571" s="200"/>
      <c r="AB571" s="200"/>
      <c r="AC571" s="210"/>
      <c r="AD571" s="210"/>
      <c r="AE571" s="200"/>
      <c r="AF571" s="200"/>
      <c r="AG571" s="209"/>
      <c r="AH571" s="201"/>
      <c r="AI571" s="200"/>
      <c r="AJ571" s="200"/>
      <c r="AK571" s="209"/>
      <c r="AL571" s="200"/>
      <c r="AM571" s="210"/>
      <c r="AN571" s="210"/>
    </row>
    <row r="572" spans="1:40" x14ac:dyDescent="0.25">
      <c r="A572" s="202"/>
      <c r="C572" s="154"/>
      <c r="F572" s="252"/>
      <c r="T572" s="154"/>
      <c r="V572" s="200"/>
      <c r="W572" s="200"/>
      <c r="X572" s="200"/>
      <c r="Y572" s="200"/>
      <c r="Z572" s="328"/>
    </row>
    <row r="573" spans="1:40" x14ac:dyDescent="0.25">
      <c r="A573" s="202"/>
      <c r="C573" s="154"/>
      <c r="H573" s="252"/>
      <c r="I573" s="252"/>
      <c r="J573" s="328"/>
      <c r="K573" s="328"/>
      <c r="L573" s="200"/>
      <c r="M573" s="200"/>
      <c r="N573" s="210"/>
      <c r="O573" s="210"/>
      <c r="P573" s="200"/>
      <c r="Q573" s="200"/>
      <c r="R573" s="200"/>
      <c r="T573" s="154"/>
      <c r="V573" s="200"/>
      <c r="W573" s="200"/>
      <c r="X573" s="200"/>
      <c r="Y573" s="200"/>
      <c r="Z573" s="328"/>
      <c r="AA573" s="200"/>
      <c r="AB573" s="200"/>
      <c r="AC573" s="210"/>
      <c r="AD573" s="210"/>
      <c r="AE573" s="200"/>
      <c r="AF573" s="200"/>
      <c r="AG573" s="209"/>
      <c r="AH573" s="201"/>
      <c r="AI573" s="200"/>
      <c r="AJ573" s="200"/>
      <c r="AK573" s="209"/>
      <c r="AL573" s="200"/>
      <c r="AM573" s="210"/>
      <c r="AN573" s="210"/>
    </row>
    <row r="574" spans="1:40" x14ac:dyDescent="0.25">
      <c r="F574" s="252"/>
      <c r="H574" s="211"/>
      <c r="I574" s="211"/>
      <c r="J574" s="305"/>
      <c r="K574" s="305"/>
      <c r="L574" s="211"/>
      <c r="M574" s="211"/>
      <c r="N574" s="211"/>
      <c r="O574" s="211"/>
      <c r="P574" s="211"/>
      <c r="Q574" s="211"/>
      <c r="R574" s="211"/>
      <c r="V574" s="211"/>
      <c r="Y574" s="211"/>
      <c r="Z574" s="305"/>
      <c r="AA574" s="211"/>
      <c r="AB574" s="211"/>
      <c r="AC574" s="211"/>
      <c r="AD574" s="211"/>
      <c r="AE574" s="211"/>
      <c r="AF574" s="211"/>
      <c r="AI574" s="211"/>
      <c r="AJ574" s="211"/>
      <c r="AK574" s="212"/>
      <c r="AL574" s="211"/>
    </row>
    <row r="575" spans="1:40" x14ac:dyDescent="0.25">
      <c r="A575" s="202"/>
      <c r="C575" s="154"/>
      <c r="F575" s="211"/>
      <c r="H575" s="200"/>
      <c r="I575" s="200"/>
      <c r="L575" s="200"/>
      <c r="M575" s="200"/>
      <c r="N575" s="210"/>
      <c r="O575" s="210"/>
      <c r="P575" s="252"/>
      <c r="Q575" s="252"/>
      <c r="R575" s="200"/>
      <c r="T575" s="154"/>
      <c r="V575" s="200"/>
      <c r="W575" s="200"/>
      <c r="X575" s="200"/>
      <c r="Y575" s="200"/>
      <c r="Z575" s="328"/>
      <c r="AA575" s="200"/>
      <c r="AB575" s="200"/>
      <c r="AC575" s="210"/>
      <c r="AD575" s="210"/>
      <c r="AE575" s="200"/>
      <c r="AF575" s="200"/>
      <c r="AG575" s="209"/>
      <c r="AH575" s="201"/>
      <c r="AI575" s="252"/>
      <c r="AJ575" s="252"/>
      <c r="AK575" s="209"/>
      <c r="AL575" s="200"/>
      <c r="AM575" s="210"/>
      <c r="AN575" s="210"/>
    </row>
    <row r="576" spans="1:40" x14ac:dyDescent="0.25">
      <c r="F576" s="200"/>
      <c r="H576" s="211"/>
      <c r="I576" s="211"/>
      <c r="J576" s="305"/>
      <c r="K576" s="305"/>
      <c r="L576" s="211"/>
      <c r="M576" s="211"/>
      <c r="N576" s="211"/>
      <c r="O576" s="211"/>
      <c r="P576" s="211"/>
      <c r="Q576" s="211"/>
      <c r="R576" s="211"/>
      <c r="V576" s="211"/>
      <c r="Y576" s="211"/>
      <c r="Z576" s="305"/>
      <c r="AA576" s="211"/>
      <c r="AB576" s="211"/>
      <c r="AC576" s="211"/>
      <c r="AD576" s="211"/>
      <c r="AE576" s="211"/>
      <c r="AF576" s="211"/>
      <c r="AI576" s="211"/>
      <c r="AJ576" s="211"/>
      <c r="AK576" s="212"/>
      <c r="AL576" s="211"/>
    </row>
    <row r="577" spans="1:40" x14ac:dyDescent="0.25">
      <c r="A577" s="202"/>
      <c r="C577" s="154"/>
      <c r="F577" s="211"/>
      <c r="H577" s="200"/>
      <c r="I577" s="200"/>
      <c r="L577" s="200"/>
      <c r="M577" s="200"/>
      <c r="N577" s="210"/>
      <c r="O577" s="210"/>
      <c r="P577" s="200"/>
      <c r="Q577" s="200"/>
      <c r="R577" s="200"/>
      <c r="T577" s="154"/>
      <c r="V577" s="200"/>
      <c r="W577" s="200"/>
      <c r="X577" s="200"/>
      <c r="Y577" s="200"/>
      <c r="AA577" s="200"/>
      <c r="AB577" s="200"/>
      <c r="AC577" s="210"/>
      <c r="AD577" s="210"/>
      <c r="AE577" s="200"/>
      <c r="AF577" s="200"/>
      <c r="AG577" s="209"/>
      <c r="AH577" s="201"/>
      <c r="AI577" s="200"/>
      <c r="AJ577" s="200"/>
      <c r="AK577" s="209"/>
      <c r="AL577" s="200"/>
      <c r="AM577" s="201"/>
      <c r="AN577" s="201"/>
    </row>
    <row r="578" spans="1:40" x14ac:dyDescent="0.25">
      <c r="F578" s="200"/>
      <c r="H578" s="211"/>
      <c r="I578" s="211"/>
      <c r="J578" s="305"/>
      <c r="K578" s="305"/>
      <c r="L578" s="211"/>
      <c r="M578" s="211"/>
      <c r="N578" s="211"/>
      <c r="O578" s="211"/>
      <c r="P578" s="211"/>
      <c r="Q578" s="211"/>
      <c r="R578" s="211"/>
      <c r="V578" s="211"/>
      <c r="Y578" s="211"/>
      <c r="Z578" s="305"/>
      <c r="AA578" s="211"/>
      <c r="AB578" s="211"/>
      <c r="AC578" s="211"/>
      <c r="AD578" s="211"/>
      <c r="AE578" s="211"/>
      <c r="AF578" s="211"/>
      <c r="AI578" s="211"/>
      <c r="AJ578" s="211"/>
      <c r="AK578" s="212"/>
      <c r="AL578" s="211"/>
    </row>
    <row r="580" spans="1:40" x14ac:dyDescent="0.25">
      <c r="C580" s="202"/>
      <c r="F580" s="211"/>
      <c r="T580" s="202"/>
    </row>
    <row r="581" spans="1:40" x14ac:dyDescent="0.25">
      <c r="A581" s="154"/>
    </row>
    <row r="582" spans="1:40" x14ac:dyDescent="0.25">
      <c r="J582" s="202"/>
      <c r="K582" s="202"/>
      <c r="Z582" s="202"/>
    </row>
    <row r="583" spans="1:40" x14ac:dyDescent="0.25">
      <c r="H583" s="154"/>
      <c r="I583" s="154"/>
      <c r="Y583" s="154"/>
    </row>
    <row r="584" spans="1:40" x14ac:dyDescent="0.25">
      <c r="J584" s="202"/>
      <c r="K584" s="202"/>
      <c r="Z584" s="202"/>
    </row>
    <row r="585" spans="1:40" x14ac:dyDescent="0.25">
      <c r="L585" s="154"/>
      <c r="M585" s="154"/>
      <c r="AA585" s="154"/>
      <c r="AB585" s="154"/>
    </row>
    <row r="586" spans="1:40" x14ac:dyDescent="0.25">
      <c r="A586" s="202"/>
      <c r="R586" s="154"/>
      <c r="AK586" s="297"/>
      <c r="AL586" s="154"/>
    </row>
    <row r="587" spans="1:40" x14ac:dyDescent="0.25">
      <c r="A587" s="202"/>
      <c r="R587" s="154"/>
      <c r="AK587" s="297"/>
      <c r="AL587" s="154"/>
    </row>
    <row r="588" spans="1:40" x14ac:dyDescent="0.25">
      <c r="A588" s="154"/>
      <c r="R588" s="154"/>
      <c r="AK588" s="297"/>
      <c r="AL588" s="154"/>
    </row>
    <row r="589" spans="1:40" x14ac:dyDescent="0.25">
      <c r="L589" s="154"/>
      <c r="M589" s="154"/>
      <c r="R589" s="202"/>
      <c r="AA589" s="154"/>
      <c r="AB589" s="154"/>
      <c r="AK589" s="209"/>
      <c r="AL589" s="202"/>
    </row>
    <row r="590" spans="1:40" x14ac:dyDescent="0.25">
      <c r="A590" s="102"/>
      <c r="B590" s="102"/>
      <c r="C590" s="102"/>
      <c r="D590" s="102"/>
      <c r="E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208"/>
      <c r="AH590" s="102"/>
      <c r="AI590" s="102"/>
      <c r="AJ590" s="102"/>
      <c r="AK590" s="208"/>
      <c r="AL590" s="102"/>
      <c r="AM590" s="102"/>
      <c r="AN590" s="102"/>
    </row>
    <row r="591" spans="1:40" x14ac:dyDescent="0.25">
      <c r="F591" s="102"/>
      <c r="L591" s="103"/>
      <c r="M591" s="103"/>
      <c r="N591" s="103"/>
      <c r="O591" s="103"/>
      <c r="R591" s="103"/>
      <c r="AA591" s="103"/>
      <c r="AB591" s="103"/>
      <c r="AC591" s="103"/>
      <c r="AD591" s="103"/>
      <c r="AE591" s="103"/>
      <c r="AF591" s="103"/>
      <c r="AG591" s="185"/>
      <c r="AH591" s="103"/>
      <c r="AK591" s="185"/>
      <c r="AL591" s="103"/>
      <c r="AM591" s="103"/>
      <c r="AN591" s="103"/>
    </row>
    <row r="592" spans="1:40" x14ac:dyDescent="0.25">
      <c r="L592" s="103"/>
      <c r="M592" s="103"/>
      <c r="N592" s="103"/>
      <c r="O592" s="103"/>
      <c r="R592" s="103"/>
      <c r="Z592" s="103"/>
      <c r="AA592" s="103"/>
      <c r="AB592" s="103"/>
      <c r="AC592" s="103"/>
      <c r="AD592" s="103"/>
      <c r="AE592" s="103"/>
      <c r="AF592" s="103"/>
      <c r="AG592" s="185"/>
      <c r="AH592" s="103"/>
      <c r="AK592" s="185"/>
      <c r="AL592" s="103"/>
      <c r="AM592" s="103"/>
      <c r="AN592" s="103"/>
    </row>
    <row r="593" spans="1:40" x14ac:dyDescent="0.25">
      <c r="A593" s="103"/>
      <c r="C593" s="103"/>
      <c r="D593" s="103"/>
      <c r="E593" s="103"/>
      <c r="J593" s="103"/>
      <c r="K593" s="103"/>
      <c r="L593" s="103"/>
      <c r="M593" s="103"/>
      <c r="N593" s="103"/>
      <c r="O593" s="103"/>
      <c r="P593" s="103"/>
      <c r="Q593" s="103"/>
      <c r="R593" s="103"/>
      <c r="T593" s="103"/>
      <c r="U593" s="103"/>
      <c r="V593" s="103"/>
      <c r="Z593" s="103"/>
      <c r="AA593" s="103"/>
      <c r="AB593" s="103"/>
      <c r="AC593" s="103"/>
      <c r="AD593" s="103"/>
      <c r="AE593" s="103"/>
      <c r="AF593" s="103"/>
      <c r="AG593" s="185"/>
      <c r="AH593" s="103"/>
      <c r="AI593" s="103"/>
      <c r="AJ593" s="103"/>
      <c r="AK593" s="185"/>
      <c r="AL593" s="103"/>
      <c r="AM593" s="103"/>
      <c r="AN593" s="103"/>
    </row>
    <row r="594" spans="1:40" x14ac:dyDescent="0.25">
      <c r="A594" s="103"/>
      <c r="C594" s="103"/>
      <c r="D594" s="103"/>
      <c r="E594" s="103"/>
      <c r="F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T594" s="103"/>
      <c r="U594" s="103"/>
      <c r="V594" s="103"/>
      <c r="Y594" s="103"/>
      <c r="Z594" s="103"/>
      <c r="AA594" s="103"/>
      <c r="AB594" s="103"/>
      <c r="AC594" s="103"/>
      <c r="AD594" s="103"/>
      <c r="AE594" s="103"/>
      <c r="AF594" s="103"/>
      <c r="AG594" s="185"/>
      <c r="AH594" s="103"/>
      <c r="AI594" s="103"/>
      <c r="AJ594" s="103"/>
      <c r="AK594" s="185"/>
      <c r="AL594" s="103"/>
      <c r="AM594" s="103"/>
      <c r="AN594" s="103"/>
    </row>
    <row r="595" spans="1:40" x14ac:dyDescent="0.25">
      <c r="C595" s="103"/>
      <c r="D595" s="103"/>
      <c r="E595" s="103"/>
      <c r="F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T595" s="103"/>
      <c r="U595" s="103"/>
      <c r="V595" s="103"/>
      <c r="Y595" s="103"/>
      <c r="Z595" s="103"/>
      <c r="AA595" s="103"/>
      <c r="AB595" s="103"/>
      <c r="AC595" s="103"/>
      <c r="AD595" s="103"/>
      <c r="AE595" s="103"/>
      <c r="AF595" s="103"/>
      <c r="AG595" s="185"/>
      <c r="AH595" s="103"/>
      <c r="AI595" s="103"/>
      <c r="AJ595" s="103"/>
      <c r="AK595" s="185"/>
      <c r="AL595" s="103"/>
      <c r="AM595" s="103"/>
      <c r="AN595" s="103"/>
    </row>
    <row r="596" spans="1:40" x14ac:dyDescent="0.25">
      <c r="A596" s="102"/>
      <c r="B596" s="102"/>
      <c r="C596" s="102"/>
      <c r="D596" s="102"/>
      <c r="E596" s="102"/>
      <c r="F596" s="103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208"/>
      <c r="AH596" s="102"/>
      <c r="AI596" s="102"/>
      <c r="AJ596" s="102"/>
      <c r="AK596" s="208"/>
      <c r="AL596" s="102"/>
      <c r="AM596" s="102"/>
      <c r="AN596" s="102"/>
    </row>
    <row r="597" spans="1:40" x14ac:dyDescent="0.25">
      <c r="F597" s="102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Y597" s="103"/>
      <c r="Z597" s="103"/>
      <c r="AA597" s="103"/>
      <c r="AB597" s="103"/>
      <c r="AC597" s="103"/>
      <c r="AD597" s="103"/>
      <c r="AE597" s="103"/>
      <c r="AF597" s="103"/>
      <c r="AG597" s="185"/>
      <c r="AH597" s="103"/>
      <c r="AI597" s="103"/>
      <c r="AJ597" s="103"/>
      <c r="AK597" s="185"/>
      <c r="AL597" s="103"/>
      <c r="AM597" s="103"/>
      <c r="AN597" s="103"/>
    </row>
    <row r="598" spans="1:40" x14ac:dyDescent="0.25">
      <c r="A598" s="202"/>
      <c r="C598" s="154"/>
      <c r="D598" s="154"/>
      <c r="E598" s="154"/>
      <c r="H598" s="200"/>
      <c r="I598" s="200"/>
      <c r="J598" s="213"/>
      <c r="K598" s="213"/>
      <c r="L598" s="200"/>
      <c r="M598" s="200"/>
      <c r="N598" s="213"/>
      <c r="O598" s="213"/>
      <c r="P598" s="200"/>
      <c r="Q598" s="200"/>
      <c r="R598" s="200"/>
      <c r="T598" s="154"/>
      <c r="U598" s="154"/>
      <c r="V598" s="200"/>
      <c r="Y598" s="200"/>
      <c r="Z598" s="213"/>
      <c r="AA598" s="200"/>
      <c r="AB598" s="200"/>
      <c r="AC598" s="213"/>
      <c r="AD598" s="213"/>
      <c r="AE598" s="200"/>
      <c r="AF598" s="200"/>
      <c r="AG598" s="209"/>
      <c r="AH598" s="201"/>
      <c r="AI598" s="200"/>
      <c r="AJ598" s="200"/>
      <c r="AK598" s="209"/>
      <c r="AL598" s="200"/>
      <c r="AM598" s="210"/>
      <c r="AN598" s="210"/>
    </row>
    <row r="599" spans="1:40" x14ac:dyDescent="0.25">
      <c r="F599" s="200"/>
      <c r="H599" s="211"/>
      <c r="I599" s="211"/>
      <c r="J599" s="305"/>
      <c r="K599" s="305"/>
      <c r="L599" s="211"/>
      <c r="M599" s="211"/>
      <c r="N599" s="211"/>
      <c r="O599" s="211"/>
      <c r="P599" s="211"/>
      <c r="Q599" s="211"/>
      <c r="R599" s="211"/>
      <c r="V599" s="211"/>
      <c r="Y599" s="211"/>
      <c r="Z599" s="305"/>
      <c r="AA599" s="211"/>
      <c r="AB599" s="211"/>
      <c r="AC599" s="211"/>
      <c r="AD599" s="211"/>
      <c r="AE599" s="211"/>
      <c r="AF599" s="211"/>
      <c r="AI599" s="211"/>
      <c r="AJ599" s="211"/>
      <c r="AK599" s="212"/>
      <c r="AL599" s="211"/>
      <c r="AM599" s="210"/>
      <c r="AN599" s="210"/>
    </row>
    <row r="600" spans="1:40" x14ac:dyDescent="0.25">
      <c r="A600" s="202"/>
      <c r="C600" s="154"/>
      <c r="F600" s="211"/>
      <c r="H600" s="200"/>
      <c r="I600" s="200"/>
      <c r="J600" s="213"/>
      <c r="K600" s="213"/>
      <c r="L600" s="200"/>
      <c r="M600" s="200"/>
      <c r="N600" s="213"/>
      <c r="O600" s="213"/>
      <c r="P600" s="200"/>
      <c r="Q600" s="200"/>
      <c r="R600" s="200"/>
      <c r="T600" s="154"/>
      <c r="V600" s="200"/>
      <c r="Y600" s="200"/>
      <c r="Z600" s="213"/>
      <c r="AA600" s="200"/>
      <c r="AB600" s="200"/>
      <c r="AC600" s="213"/>
      <c r="AD600" s="213"/>
      <c r="AE600" s="200"/>
      <c r="AF600" s="200"/>
      <c r="AG600" s="209"/>
      <c r="AH600" s="201"/>
      <c r="AI600" s="200"/>
      <c r="AJ600" s="200"/>
      <c r="AK600" s="209"/>
      <c r="AL600" s="200"/>
      <c r="AM600" s="210"/>
      <c r="AN600" s="210"/>
    </row>
    <row r="601" spans="1:40" x14ac:dyDescent="0.25">
      <c r="F601" s="200"/>
      <c r="H601" s="200"/>
      <c r="I601" s="200"/>
      <c r="J601" s="213"/>
      <c r="K601" s="213"/>
      <c r="L601" s="200"/>
      <c r="M601" s="200"/>
      <c r="N601" s="213"/>
      <c r="O601" s="213"/>
      <c r="P601" s="200"/>
      <c r="Q601" s="200"/>
      <c r="R601" s="200"/>
      <c r="V601" s="200"/>
      <c r="Y601" s="200"/>
      <c r="Z601" s="213"/>
      <c r="AA601" s="200"/>
      <c r="AB601" s="200"/>
      <c r="AC601" s="213"/>
      <c r="AD601" s="213"/>
      <c r="AG601" s="209"/>
      <c r="AH601" s="201"/>
      <c r="AI601" s="200"/>
      <c r="AJ601" s="200"/>
      <c r="AK601" s="209"/>
      <c r="AL601" s="200"/>
      <c r="AM601" s="210"/>
      <c r="AN601" s="210"/>
    </row>
    <row r="602" spans="1:40" x14ac:dyDescent="0.25">
      <c r="A602" s="202"/>
      <c r="C602" s="154"/>
      <c r="D602" s="154"/>
      <c r="E602" s="154"/>
      <c r="F602" s="200"/>
      <c r="H602" s="200"/>
      <c r="I602" s="200"/>
      <c r="J602" s="213"/>
      <c r="K602" s="213"/>
      <c r="L602" s="200"/>
      <c r="M602" s="200"/>
      <c r="N602" s="213"/>
      <c r="O602" s="213"/>
      <c r="P602" s="200"/>
      <c r="Q602" s="200"/>
      <c r="R602" s="200"/>
      <c r="T602" s="154"/>
      <c r="U602" s="154"/>
      <c r="V602" s="200"/>
      <c r="Y602" s="200"/>
      <c r="Z602" s="213"/>
      <c r="AA602" s="200"/>
      <c r="AB602" s="200"/>
      <c r="AC602" s="213"/>
      <c r="AD602" s="213"/>
      <c r="AE602" s="200"/>
      <c r="AF602" s="200"/>
      <c r="AG602" s="209"/>
      <c r="AH602" s="201"/>
      <c r="AI602" s="200"/>
      <c r="AJ602" s="200"/>
      <c r="AK602" s="209"/>
      <c r="AL602" s="200"/>
      <c r="AM602" s="210"/>
      <c r="AN602" s="210"/>
    </row>
    <row r="603" spans="1:40" x14ac:dyDescent="0.25">
      <c r="A603" s="202"/>
      <c r="C603" s="154"/>
      <c r="D603" s="154"/>
      <c r="E603" s="154"/>
      <c r="F603" s="200"/>
      <c r="H603" s="200"/>
      <c r="I603" s="200"/>
      <c r="J603" s="213"/>
      <c r="K603" s="213"/>
      <c r="L603" s="200"/>
      <c r="M603" s="200"/>
      <c r="N603" s="213"/>
      <c r="O603" s="213"/>
      <c r="P603" s="200"/>
      <c r="Q603" s="200"/>
      <c r="R603" s="200"/>
      <c r="T603" s="154"/>
      <c r="U603" s="154"/>
      <c r="V603" s="200"/>
      <c r="Y603" s="200"/>
      <c r="Z603" s="213"/>
      <c r="AA603" s="200"/>
      <c r="AB603" s="200"/>
      <c r="AC603" s="213"/>
      <c r="AD603" s="213"/>
      <c r="AE603" s="200"/>
      <c r="AF603" s="200"/>
      <c r="AG603" s="209"/>
      <c r="AH603" s="201"/>
      <c r="AI603" s="200"/>
      <c r="AJ603" s="200"/>
      <c r="AK603" s="209"/>
      <c r="AL603" s="200"/>
      <c r="AM603" s="210"/>
      <c r="AN603" s="210"/>
    </row>
    <row r="604" spans="1:40" x14ac:dyDescent="0.25">
      <c r="A604" s="202"/>
      <c r="C604" s="154"/>
      <c r="D604" s="154"/>
      <c r="E604" s="154"/>
      <c r="F604" s="200"/>
      <c r="H604" s="200"/>
      <c r="I604" s="200"/>
      <c r="J604" s="213"/>
      <c r="K604" s="213"/>
      <c r="L604" s="200"/>
      <c r="M604" s="200"/>
      <c r="N604" s="213"/>
      <c r="O604" s="213"/>
      <c r="P604" s="200"/>
      <c r="Q604" s="200"/>
      <c r="R604" s="200"/>
      <c r="T604" s="154"/>
      <c r="U604" s="154"/>
      <c r="V604" s="200"/>
      <c r="Y604" s="200"/>
      <c r="Z604" s="213"/>
      <c r="AA604" s="200"/>
      <c r="AB604" s="200"/>
      <c r="AC604" s="213"/>
      <c r="AD604" s="213"/>
      <c r="AE604" s="200"/>
      <c r="AF604" s="200"/>
      <c r="AG604" s="209"/>
      <c r="AH604" s="201"/>
      <c r="AI604" s="200"/>
      <c r="AJ604" s="200"/>
      <c r="AK604" s="209"/>
      <c r="AL604" s="200"/>
      <c r="AM604" s="210"/>
      <c r="AN604" s="210"/>
    </row>
    <row r="605" spans="1:40" x14ac:dyDescent="0.25">
      <c r="A605" s="202"/>
      <c r="C605" s="154"/>
      <c r="D605" s="154"/>
      <c r="E605" s="154"/>
      <c r="F605" s="200"/>
      <c r="H605" s="200"/>
      <c r="I605" s="200"/>
      <c r="J605" s="213"/>
      <c r="K605" s="213"/>
      <c r="L605" s="200"/>
      <c r="M605" s="200"/>
      <c r="N605" s="213"/>
      <c r="O605" s="213"/>
      <c r="P605" s="200"/>
      <c r="Q605" s="200"/>
      <c r="R605" s="200"/>
      <c r="T605" s="154"/>
      <c r="U605" s="154"/>
      <c r="V605" s="200"/>
      <c r="Y605" s="200"/>
      <c r="Z605" s="213"/>
      <c r="AA605" s="200"/>
      <c r="AB605" s="200"/>
      <c r="AC605" s="213"/>
      <c r="AD605" s="213"/>
      <c r="AE605" s="200"/>
      <c r="AF605" s="200"/>
      <c r="AG605" s="209"/>
      <c r="AH605" s="201"/>
      <c r="AI605" s="200"/>
      <c r="AJ605" s="200"/>
      <c r="AK605" s="209"/>
      <c r="AL605" s="200"/>
      <c r="AM605" s="210"/>
      <c r="AN605" s="210"/>
    </row>
    <row r="606" spans="1:40" x14ac:dyDescent="0.25">
      <c r="A606" s="202"/>
      <c r="C606" s="154"/>
      <c r="D606" s="154"/>
      <c r="E606" s="154"/>
      <c r="F606" s="200"/>
      <c r="H606" s="200"/>
      <c r="I606" s="200"/>
      <c r="J606" s="213"/>
      <c r="K606" s="213"/>
      <c r="L606" s="200"/>
      <c r="M606" s="200"/>
      <c r="N606" s="213"/>
      <c r="O606" s="213"/>
      <c r="P606" s="200"/>
      <c r="Q606" s="200"/>
      <c r="R606" s="200"/>
      <c r="T606" s="154"/>
      <c r="U606" s="154"/>
      <c r="V606" s="200"/>
      <c r="Y606" s="200"/>
      <c r="Z606" s="213"/>
      <c r="AA606" s="200"/>
      <c r="AB606" s="200"/>
      <c r="AC606" s="213"/>
      <c r="AD606" s="213"/>
      <c r="AE606" s="200"/>
      <c r="AF606" s="200"/>
      <c r="AG606" s="209"/>
      <c r="AH606" s="201"/>
      <c r="AI606" s="200"/>
      <c r="AJ606" s="200"/>
      <c r="AK606" s="209"/>
      <c r="AL606" s="200"/>
      <c r="AM606" s="210"/>
      <c r="AN606" s="210"/>
    </row>
    <row r="607" spans="1:40" x14ac:dyDescent="0.25">
      <c r="A607" s="202"/>
      <c r="C607" s="154"/>
      <c r="D607" s="154"/>
      <c r="E607" s="154"/>
      <c r="F607" s="200"/>
      <c r="H607" s="200"/>
      <c r="I607" s="200"/>
      <c r="J607" s="213"/>
      <c r="K607" s="213"/>
      <c r="L607" s="200"/>
      <c r="M607" s="200"/>
      <c r="N607" s="213"/>
      <c r="O607" s="213"/>
      <c r="P607" s="200"/>
      <c r="Q607" s="200"/>
      <c r="R607" s="200"/>
      <c r="T607" s="154"/>
      <c r="U607" s="154"/>
      <c r="V607" s="200"/>
      <c r="Y607" s="200"/>
      <c r="Z607" s="213"/>
      <c r="AA607" s="200"/>
      <c r="AB607" s="200"/>
      <c r="AC607" s="213"/>
      <c r="AD607" s="213"/>
      <c r="AE607" s="200"/>
      <c r="AF607" s="200"/>
      <c r="AG607" s="209"/>
      <c r="AH607" s="201"/>
      <c r="AI607" s="200"/>
      <c r="AJ607" s="200"/>
      <c r="AK607" s="209"/>
      <c r="AL607" s="200"/>
      <c r="AM607" s="210"/>
      <c r="AN607" s="210"/>
    </row>
    <row r="608" spans="1:40" x14ac:dyDescent="0.25">
      <c r="F608" s="200"/>
      <c r="H608" s="211"/>
      <c r="I608" s="211"/>
      <c r="J608" s="305"/>
      <c r="K608" s="305"/>
      <c r="L608" s="211"/>
      <c r="M608" s="211"/>
      <c r="N608" s="211"/>
      <c r="O608" s="211"/>
      <c r="P608" s="211"/>
      <c r="Q608" s="211"/>
      <c r="R608" s="211"/>
      <c r="V608" s="211"/>
      <c r="Y608" s="211"/>
      <c r="Z608" s="305"/>
      <c r="AA608" s="211"/>
      <c r="AB608" s="211"/>
      <c r="AC608" s="211"/>
      <c r="AD608" s="211"/>
      <c r="AE608" s="211"/>
      <c r="AF608" s="211"/>
      <c r="AI608" s="211"/>
      <c r="AJ608" s="211"/>
      <c r="AK608" s="212"/>
      <c r="AL608" s="211"/>
      <c r="AM608" s="210"/>
      <c r="AN608" s="210"/>
    </row>
    <row r="609" spans="1:40" x14ac:dyDescent="0.25">
      <c r="A609" s="202"/>
      <c r="C609" s="154"/>
      <c r="F609" s="211"/>
      <c r="H609" s="200"/>
      <c r="I609" s="200"/>
      <c r="J609" s="213"/>
      <c r="K609" s="213"/>
      <c r="L609" s="200"/>
      <c r="M609" s="200"/>
      <c r="N609" s="213"/>
      <c r="O609" s="213"/>
      <c r="P609" s="200"/>
      <c r="Q609" s="200"/>
      <c r="R609" s="200"/>
      <c r="T609" s="154"/>
      <c r="V609" s="200"/>
      <c r="Y609" s="200"/>
      <c r="Z609" s="213"/>
      <c r="AA609" s="200"/>
      <c r="AB609" s="200"/>
      <c r="AC609" s="213"/>
      <c r="AD609" s="213"/>
      <c r="AE609" s="200"/>
      <c r="AF609" s="200"/>
      <c r="AG609" s="209"/>
      <c r="AH609" s="201"/>
      <c r="AI609" s="200"/>
      <c r="AJ609" s="200"/>
      <c r="AK609" s="209"/>
      <c r="AL609" s="200"/>
      <c r="AM609" s="210"/>
      <c r="AN609" s="210"/>
    </row>
    <row r="610" spans="1:40" x14ac:dyDescent="0.25">
      <c r="F610" s="200"/>
      <c r="H610" s="200"/>
      <c r="I610" s="200"/>
      <c r="J610" s="213"/>
      <c r="K610" s="213"/>
      <c r="L610" s="200"/>
      <c r="M610" s="200"/>
      <c r="N610" s="213"/>
      <c r="O610" s="213"/>
      <c r="P610" s="200"/>
      <c r="Q610" s="200"/>
      <c r="R610" s="200"/>
      <c r="V610" s="200"/>
      <c r="Y610" s="200"/>
      <c r="Z610" s="213"/>
      <c r="AA610" s="200"/>
      <c r="AB610" s="200"/>
      <c r="AC610" s="213"/>
      <c r="AD610" s="213"/>
      <c r="AG610" s="209"/>
      <c r="AH610" s="201"/>
      <c r="AI610" s="200"/>
      <c r="AJ610" s="200"/>
      <c r="AK610" s="209"/>
      <c r="AL610" s="200"/>
      <c r="AM610" s="210"/>
      <c r="AN610" s="210"/>
    </row>
    <row r="611" spans="1:40" x14ac:dyDescent="0.25">
      <c r="A611" s="202"/>
      <c r="C611" s="154"/>
      <c r="D611" s="154"/>
      <c r="E611" s="154"/>
      <c r="F611" s="200"/>
      <c r="H611" s="200"/>
      <c r="I611" s="200"/>
      <c r="J611" s="213"/>
      <c r="K611" s="213"/>
      <c r="L611" s="200"/>
      <c r="M611" s="200"/>
      <c r="N611" s="213"/>
      <c r="O611" s="213"/>
      <c r="P611" s="200"/>
      <c r="Q611" s="200"/>
      <c r="R611" s="200"/>
      <c r="T611" s="154"/>
      <c r="U611" s="154"/>
      <c r="V611" s="200"/>
      <c r="Y611" s="200"/>
      <c r="Z611" s="213"/>
      <c r="AA611" s="200"/>
      <c r="AB611" s="200"/>
      <c r="AC611" s="213"/>
      <c r="AD611" s="213"/>
      <c r="AE611" s="200"/>
      <c r="AF611" s="200"/>
      <c r="AG611" s="209"/>
      <c r="AH611" s="201"/>
      <c r="AI611" s="200"/>
      <c r="AJ611" s="200"/>
      <c r="AK611" s="209"/>
      <c r="AL611" s="200"/>
      <c r="AM611" s="210"/>
      <c r="AN611" s="210"/>
    </row>
    <row r="612" spans="1:40" x14ac:dyDescent="0.25">
      <c r="F612" s="200"/>
      <c r="H612" s="211"/>
      <c r="I612" s="211"/>
      <c r="J612" s="305"/>
      <c r="K612" s="305"/>
      <c r="L612" s="211"/>
      <c r="M612" s="211"/>
      <c r="N612" s="211"/>
      <c r="O612" s="211"/>
      <c r="P612" s="211"/>
      <c r="Q612" s="211"/>
      <c r="R612" s="211"/>
      <c r="V612" s="211"/>
      <c r="Y612" s="211"/>
      <c r="Z612" s="305"/>
      <c r="AA612" s="211"/>
      <c r="AB612" s="211"/>
      <c r="AC612" s="211"/>
      <c r="AD612" s="211"/>
      <c r="AE612" s="211"/>
      <c r="AF612" s="211"/>
      <c r="AI612" s="211"/>
      <c r="AJ612" s="211"/>
      <c r="AK612" s="212"/>
      <c r="AL612" s="211"/>
      <c r="AM612" s="210"/>
      <c r="AN612" s="210"/>
    </row>
    <row r="613" spans="1:40" x14ac:dyDescent="0.25">
      <c r="A613" s="202"/>
      <c r="C613" s="154"/>
      <c r="F613" s="211"/>
      <c r="H613" s="200"/>
      <c r="I613" s="200"/>
      <c r="J613" s="213"/>
      <c r="K613" s="213"/>
      <c r="L613" s="200"/>
      <c r="M613" s="200"/>
      <c r="N613" s="213"/>
      <c r="O613" s="213"/>
      <c r="P613" s="200"/>
      <c r="Q613" s="200"/>
      <c r="R613" s="200"/>
      <c r="T613" s="154"/>
      <c r="V613" s="200"/>
      <c r="Y613" s="200"/>
      <c r="Z613" s="213"/>
      <c r="AA613" s="200"/>
      <c r="AB613" s="200"/>
      <c r="AC613" s="213"/>
      <c r="AD613" s="213"/>
      <c r="AE613" s="200"/>
      <c r="AF613" s="200"/>
      <c r="AG613" s="209"/>
      <c r="AH613" s="201"/>
      <c r="AI613" s="200"/>
      <c r="AJ613" s="200"/>
      <c r="AK613" s="209"/>
      <c r="AL613" s="200"/>
      <c r="AM613" s="210"/>
      <c r="AN613" s="210"/>
    </row>
    <row r="614" spans="1:40" x14ac:dyDescent="0.25">
      <c r="F614" s="200"/>
      <c r="H614" s="200"/>
      <c r="I614" s="200"/>
      <c r="J614" s="213"/>
      <c r="K614" s="213"/>
      <c r="L614" s="200"/>
      <c r="M614" s="200"/>
      <c r="N614" s="213"/>
      <c r="O614" s="213"/>
      <c r="P614" s="200"/>
      <c r="Q614" s="200"/>
      <c r="R614" s="200"/>
      <c r="V614" s="200"/>
      <c r="Y614" s="200"/>
      <c r="Z614" s="213"/>
      <c r="AA614" s="200"/>
      <c r="AB614" s="200"/>
      <c r="AC614" s="213"/>
      <c r="AD614" s="213"/>
      <c r="AG614" s="209"/>
      <c r="AH614" s="201"/>
      <c r="AI614" s="200"/>
      <c r="AJ614" s="200"/>
      <c r="AK614" s="209"/>
      <c r="AL614" s="200"/>
      <c r="AM614" s="210"/>
      <c r="AN614" s="210"/>
    </row>
    <row r="615" spans="1:40" x14ac:dyDescent="0.25">
      <c r="A615" s="202"/>
      <c r="C615" s="154"/>
      <c r="D615" s="154"/>
      <c r="E615" s="154"/>
      <c r="F615" s="200"/>
      <c r="H615" s="200"/>
      <c r="I615" s="200"/>
      <c r="J615" s="213"/>
      <c r="K615" s="213"/>
      <c r="L615" s="200"/>
      <c r="M615" s="200"/>
      <c r="N615" s="213"/>
      <c r="O615" s="213"/>
      <c r="P615" s="200"/>
      <c r="Q615" s="200"/>
      <c r="R615" s="200"/>
      <c r="T615" s="154"/>
      <c r="U615" s="154"/>
      <c r="V615" s="200"/>
      <c r="Y615" s="200"/>
      <c r="Z615" s="213"/>
      <c r="AA615" s="200"/>
      <c r="AB615" s="200"/>
      <c r="AC615" s="213"/>
      <c r="AD615" s="213"/>
      <c r="AE615" s="200"/>
      <c r="AF615" s="200"/>
      <c r="AG615" s="209"/>
      <c r="AH615" s="201"/>
      <c r="AI615" s="200"/>
      <c r="AJ615" s="200"/>
      <c r="AK615" s="209"/>
      <c r="AL615" s="200"/>
      <c r="AM615" s="210"/>
      <c r="AN615" s="210"/>
    </row>
    <row r="616" spans="1:40" x14ac:dyDescent="0.25">
      <c r="A616" s="202"/>
      <c r="C616" s="154"/>
      <c r="D616" s="154"/>
      <c r="E616" s="154"/>
      <c r="F616" s="200"/>
      <c r="G616" s="200"/>
      <c r="H616" s="200"/>
      <c r="I616" s="200"/>
      <c r="J616" s="213"/>
      <c r="K616" s="213"/>
      <c r="L616" s="200"/>
      <c r="M616" s="200"/>
      <c r="N616" s="213"/>
      <c r="O616" s="213"/>
      <c r="P616" s="200"/>
      <c r="Q616" s="200"/>
      <c r="R616" s="200"/>
      <c r="T616" s="154"/>
      <c r="U616" s="154"/>
      <c r="V616" s="200"/>
      <c r="W616" s="200"/>
      <c r="X616" s="200"/>
      <c r="Y616" s="200"/>
      <c r="Z616" s="213"/>
      <c r="AA616" s="200"/>
      <c r="AB616" s="200"/>
      <c r="AC616" s="213"/>
      <c r="AD616" s="213"/>
      <c r="AE616" s="200"/>
      <c r="AF616" s="200"/>
      <c r="AG616" s="209"/>
      <c r="AH616" s="201"/>
      <c r="AI616" s="200"/>
      <c r="AJ616" s="200"/>
      <c r="AK616" s="209"/>
      <c r="AL616" s="200"/>
      <c r="AM616" s="210"/>
      <c r="AN616" s="210"/>
    </row>
    <row r="617" spans="1:40" x14ac:dyDescent="0.25">
      <c r="A617" s="202"/>
      <c r="C617" s="154"/>
      <c r="D617" s="154"/>
      <c r="E617" s="154"/>
      <c r="F617" s="200"/>
      <c r="G617" s="200"/>
      <c r="H617" s="200"/>
      <c r="I617" s="200"/>
      <c r="J617" s="213"/>
      <c r="K617" s="213"/>
      <c r="L617" s="200"/>
      <c r="M617" s="200"/>
      <c r="N617" s="213"/>
      <c r="O617" s="213"/>
      <c r="P617" s="200"/>
      <c r="Q617" s="200"/>
      <c r="R617" s="200"/>
      <c r="T617" s="154"/>
      <c r="U617" s="154"/>
      <c r="V617" s="200"/>
      <c r="W617" s="200"/>
      <c r="X617" s="200"/>
      <c r="Y617" s="200"/>
      <c r="Z617" s="213"/>
      <c r="AA617" s="200"/>
      <c r="AB617" s="200"/>
      <c r="AC617" s="213"/>
      <c r="AD617" s="213"/>
      <c r="AE617" s="200"/>
      <c r="AF617" s="200"/>
      <c r="AG617" s="209"/>
      <c r="AH617" s="201"/>
      <c r="AI617" s="200"/>
      <c r="AJ617" s="200"/>
      <c r="AK617" s="209"/>
      <c r="AL617" s="200"/>
      <c r="AM617" s="210"/>
      <c r="AN617" s="210"/>
    </row>
    <row r="618" spans="1:40" x14ac:dyDescent="0.25">
      <c r="A618" s="202"/>
      <c r="C618" s="154"/>
      <c r="D618" s="154"/>
      <c r="E618" s="154"/>
      <c r="F618" s="200"/>
      <c r="H618" s="200"/>
      <c r="I618" s="200"/>
      <c r="J618" s="213"/>
      <c r="K618" s="213"/>
      <c r="L618" s="200"/>
      <c r="M618" s="200"/>
      <c r="N618" s="213"/>
      <c r="O618" s="213"/>
      <c r="P618" s="200"/>
      <c r="Q618" s="200"/>
      <c r="R618" s="200"/>
      <c r="T618" s="154"/>
      <c r="U618" s="154"/>
      <c r="V618" s="200"/>
      <c r="Y618" s="200"/>
      <c r="Z618" s="213"/>
      <c r="AA618" s="200"/>
      <c r="AB618" s="200"/>
      <c r="AC618" s="213"/>
      <c r="AD618" s="213"/>
      <c r="AE618" s="200"/>
      <c r="AF618" s="200"/>
      <c r="AG618" s="209"/>
      <c r="AH618" s="201"/>
      <c r="AI618" s="200"/>
      <c r="AJ618" s="200"/>
      <c r="AK618" s="209"/>
      <c r="AL618" s="200"/>
      <c r="AM618" s="210"/>
      <c r="AN618" s="210"/>
    </row>
    <row r="619" spans="1:40" x14ac:dyDescent="0.25">
      <c r="A619" s="202"/>
      <c r="C619" s="154"/>
      <c r="D619" s="154"/>
      <c r="E619" s="154"/>
      <c r="F619" s="200"/>
      <c r="H619" s="200"/>
      <c r="I619" s="200"/>
      <c r="J619" s="213"/>
      <c r="K619" s="213"/>
      <c r="L619" s="200"/>
      <c r="M619" s="200"/>
      <c r="N619" s="213"/>
      <c r="O619" s="213"/>
      <c r="P619" s="200"/>
      <c r="Q619" s="200"/>
      <c r="R619" s="200"/>
      <c r="T619" s="154"/>
      <c r="U619" s="154"/>
      <c r="V619" s="200"/>
      <c r="Y619" s="200"/>
      <c r="Z619" s="213"/>
      <c r="AA619" s="200"/>
      <c r="AB619" s="200"/>
      <c r="AC619" s="213"/>
      <c r="AD619" s="213"/>
      <c r="AE619" s="200"/>
      <c r="AF619" s="200"/>
      <c r="AG619" s="209"/>
      <c r="AH619" s="201"/>
      <c r="AI619" s="200"/>
      <c r="AJ619" s="200"/>
      <c r="AK619" s="209"/>
      <c r="AL619" s="200"/>
      <c r="AM619" s="210"/>
      <c r="AN619" s="210"/>
    </row>
    <row r="620" spans="1:40" x14ac:dyDescent="0.25">
      <c r="A620" s="202"/>
      <c r="C620" s="154"/>
      <c r="D620" s="154"/>
      <c r="E620" s="154"/>
      <c r="F620" s="200"/>
      <c r="H620" s="200"/>
      <c r="I620" s="200"/>
      <c r="J620" s="213"/>
      <c r="K620" s="213"/>
      <c r="L620" s="200"/>
      <c r="M620" s="200"/>
      <c r="N620" s="213"/>
      <c r="O620" s="213"/>
      <c r="P620" s="200"/>
      <c r="Q620" s="200"/>
      <c r="R620" s="200"/>
      <c r="T620" s="154"/>
      <c r="U620" s="154"/>
      <c r="V620" s="200"/>
      <c r="Y620" s="200"/>
      <c r="Z620" s="213"/>
      <c r="AA620" s="200"/>
      <c r="AB620" s="200"/>
      <c r="AC620" s="213"/>
      <c r="AD620" s="213"/>
      <c r="AE620" s="200"/>
      <c r="AF620" s="200"/>
      <c r="AG620" s="209"/>
      <c r="AH620" s="201"/>
      <c r="AI620" s="200"/>
      <c r="AJ620" s="200"/>
      <c r="AK620" s="209"/>
      <c r="AL620" s="200"/>
      <c r="AM620" s="210"/>
      <c r="AN620" s="210"/>
    </row>
    <row r="621" spans="1:40" x14ac:dyDescent="0.25">
      <c r="A621" s="202"/>
      <c r="C621" s="154"/>
      <c r="D621" s="154"/>
      <c r="E621" s="154"/>
      <c r="F621" s="200"/>
      <c r="H621" s="200"/>
      <c r="I621" s="200"/>
      <c r="J621" s="213"/>
      <c r="K621" s="213"/>
      <c r="L621" s="200"/>
      <c r="M621" s="200"/>
      <c r="N621" s="213"/>
      <c r="O621" s="213"/>
      <c r="P621" s="200"/>
      <c r="Q621" s="200"/>
      <c r="R621" s="200"/>
      <c r="T621" s="154"/>
      <c r="U621" s="154"/>
      <c r="V621" s="200"/>
      <c r="Y621" s="200"/>
      <c r="Z621" s="213"/>
      <c r="AA621" s="200"/>
      <c r="AB621" s="200"/>
      <c r="AC621" s="213"/>
      <c r="AD621" s="213"/>
      <c r="AE621" s="200"/>
      <c r="AF621" s="200"/>
      <c r="AG621" s="209"/>
      <c r="AH621" s="201"/>
      <c r="AI621" s="200"/>
      <c r="AJ621" s="200"/>
      <c r="AK621" s="209"/>
      <c r="AL621" s="200"/>
      <c r="AM621" s="210"/>
      <c r="AN621" s="210"/>
    </row>
    <row r="622" spans="1:40" x14ac:dyDescent="0.25">
      <c r="F622" s="200"/>
      <c r="H622" s="211"/>
      <c r="I622" s="211"/>
      <c r="J622" s="305"/>
      <c r="K622" s="305"/>
      <c r="L622" s="211"/>
      <c r="M622" s="211"/>
      <c r="N622" s="211"/>
      <c r="O622" s="211"/>
      <c r="P622" s="211"/>
      <c r="Q622" s="211"/>
      <c r="R622" s="211"/>
      <c r="V622" s="211"/>
      <c r="Y622" s="211"/>
      <c r="Z622" s="305"/>
      <c r="AA622" s="211"/>
      <c r="AB622" s="211"/>
      <c r="AC622" s="211"/>
      <c r="AD622" s="211"/>
      <c r="AE622" s="211"/>
      <c r="AF622" s="211"/>
      <c r="AI622" s="211"/>
      <c r="AJ622" s="211"/>
      <c r="AK622" s="212"/>
      <c r="AL622" s="211"/>
      <c r="AM622" s="210"/>
      <c r="AN622" s="210"/>
    </row>
    <row r="623" spans="1:40" x14ac:dyDescent="0.25">
      <c r="A623" s="202"/>
      <c r="C623" s="154"/>
      <c r="F623" s="211"/>
      <c r="H623" s="200"/>
      <c r="I623" s="200"/>
      <c r="J623" s="213"/>
      <c r="K623" s="213"/>
      <c r="L623" s="200"/>
      <c r="M623" s="200"/>
      <c r="N623" s="213"/>
      <c r="O623" s="213"/>
      <c r="P623" s="200"/>
      <c r="Q623" s="200"/>
      <c r="R623" s="200"/>
      <c r="T623" s="154"/>
      <c r="V623" s="200"/>
      <c r="Y623" s="200"/>
      <c r="Z623" s="213"/>
      <c r="AA623" s="200"/>
      <c r="AB623" s="200"/>
      <c r="AC623" s="213"/>
      <c r="AD623" s="213"/>
      <c r="AE623" s="200"/>
      <c r="AF623" s="200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F624" s="200"/>
      <c r="V624" s="200"/>
      <c r="Y624" s="200"/>
      <c r="Z624" s="305"/>
      <c r="AA624" s="200"/>
      <c r="AB624" s="200"/>
      <c r="AC624" s="200"/>
      <c r="AD624" s="200"/>
      <c r="AE624" s="200"/>
      <c r="AF624" s="200"/>
      <c r="AI624" s="200"/>
      <c r="AJ624" s="200"/>
      <c r="AK624" s="209"/>
      <c r="AL624" s="200"/>
      <c r="AM624" s="210"/>
      <c r="AN624" s="210"/>
    </row>
    <row r="625" spans="1:40" x14ac:dyDescent="0.25">
      <c r="A625" s="202"/>
      <c r="C625" s="154"/>
      <c r="D625" s="154"/>
      <c r="E625" s="154"/>
      <c r="L625" s="200"/>
      <c r="M625" s="200"/>
      <c r="N625" s="213"/>
      <c r="O625" s="213"/>
      <c r="P625" s="202"/>
      <c r="Q625" s="202"/>
      <c r="R625" s="200"/>
      <c r="T625" s="154"/>
      <c r="U625" s="154"/>
      <c r="AA625" s="200"/>
      <c r="AB625" s="200"/>
      <c r="AC625" s="213"/>
      <c r="AD625" s="213"/>
      <c r="AE625" s="200"/>
      <c r="AF625" s="200"/>
      <c r="AG625" s="209"/>
      <c r="AH625" s="201"/>
      <c r="AI625" s="202"/>
      <c r="AJ625" s="202"/>
      <c r="AK625" s="209"/>
      <c r="AL625" s="200"/>
      <c r="AM625" s="210"/>
      <c r="AN625" s="210"/>
    </row>
    <row r="626" spans="1:40" x14ac:dyDescent="0.25">
      <c r="A626" s="202"/>
      <c r="D626" s="154"/>
      <c r="E626" s="154"/>
      <c r="H626" s="252"/>
      <c r="I626" s="252"/>
      <c r="J626" s="213"/>
      <c r="K626" s="213"/>
      <c r="L626" s="200"/>
      <c r="M626" s="200"/>
      <c r="N626" s="213"/>
      <c r="O626" s="213"/>
      <c r="P626" s="252"/>
      <c r="Q626" s="252"/>
      <c r="R626" s="200"/>
      <c r="U626" s="154"/>
      <c r="V626" s="200"/>
      <c r="Y626" s="200"/>
      <c r="Z626" s="213"/>
      <c r="AA626" s="200"/>
      <c r="AB626" s="200"/>
      <c r="AC626" s="213"/>
      <c r="AD626" s="213"/>
      <c r="AE626" s="200"/>
      <c r="AF626" s="200"/>
      <c r="AG626" s="209"/>
      <c r="AH626" s="201"/>
      <c r="AI626" s="200"/>
      <c r="AJ626" s="200"/>
      <c r="AK626" s="209"/>
      <c r="AL626" s="200"/>
      <c r="AM626" s="210"/>
      <c r="AN626" s="210"/>
    </row>
    <row r="627" spans="1:40" x14ac:dyDescent="0.25">
      <c r="F627" s="252"/>
      <c r="H627" s="211"/>
      <c r="I627" s="211"/>
      <c r="J627" s="305"/>
      <c r="K627" s="305"/>
      <c r="L627" s="211"/>
      <c r="M627" s="211"/>
      <c r="N627" s="211"/>
      <c r="O627" s="211"/>
      <c r="P627" s="211"/>
      <c r="Q627" s="211"/>
      <c r="R627" s="211"/>
      <c r="V627" s="211"/>
      <c r="Y627" s="211"/>
      <c r="Z627" s="305"/>
      <c r="AA627" s="211"/>
      <c r="AB627" s="211"/>
      <c r="AC627" s="211"/>
      <c r="AD627" s="211"/>
      <c r="AE627" s="211"/>
      <c r="AF627" s="211"/>
      <c r="AI627" s="211"/>
      <c r="AJ627" s="211"/>
      <c r="AK627" s="212"/>
      <c r="AL627" s="211"/>
      <c r="AM627" s="210"/>
      <c r="AN627" s="210"/>
    </row>
    <row r="628" spans="1:40" x14ac:dyDescent="0.25">
      <c r="A628" s="202"/>
      <c r="C628" s="154"/>
      <c r="F628" s="211"/>
      <c r="H628" s="200"/>
      <c r="I628" s="200"/>
      <c r="J628" s="213"/>
      <c r="K628" s="213"/>
      <c r="L628" s="200"/>
      <c r="M628" s="200"/>
      <c r="N628" s="213"/>
      <c r="O628" s="213"/>
      <c r="P628" s="200"/>
      <c r="Q628" s="200"/>
      <c r="R628" s="200"/>
      <c r="T628" s="154"/>
      <c r="V628" s="200"/>
      <c r="Y628" s="200"/>
      <c r="Z628" s="213"/>
      <c r="AA628" s="200"/>
      <c r="AB628" s="200"/>
      <c r="AC628" s="213"/>
      <c r="AD628" s="213"/>
      <c r="AE628" s="200"/>
      <c r="AF628" s="200"/>
      <c r="AG628" s="209"/>
      <c r="AH628" s="201"/>
      <c r="AI628" s="200"/>
      <c r="AJ628" s="200"/>
      <c r="AK628" s="209"/>
      <c r="AL628" s="200"/>
      <c r="AM628" s="210"/>
      <c r="AN628" s="210"/>
    </row>
    <row r="629" spans="1:40" x14ac:dyDescent="0.25">
      <c r="F629" s="200"/>
      <c r="H629" s="200"/>
      <c r="I629" s="200"/>
      <c r="J629" s="213"/>
      <c r="K629" s="213"/>
      <c r="L629" s="200"/>
      <c r="M629" s="200"/>
      <c r="N629" s="213"/>
      <c r="O629" s="213"/>
      <c r="P629" s="200"/>
      <c r="Q629" s="200"/>
      <c r="R629" s="200"/>
      <c r="V629" s="200"/>
      <c r="Y629" s="200"/>
      <c r="Z629" s="213"/>
      <c r="AA629" s="200"/>
      <c r="AB629" s="200"/>
      <c r="AC629" s="213"/>
      <c r="AD629" s="213"/>
      <c r="AG629" s="209"/>
      <c r="AH629" s="201"/>
      <c r="AI629" s="200"/>
      <c r="AJ629" s="200"/>
      <c r="AK629" s="209"/>
      <c r="AL629" s="200"/>
      <c r="AM629" s="210"/>
      <c r="AN629" s="210"/>
    </row>
    <row r="630" spans="1:40" x14ac:dyDescent="0.25">
      <c r="A630" s="202"/>
      <c r="D630" s="154"/>
      <c r="E630" s="154"/>
      <c r="F630" s="200"/>
      <c r="H630" s="200"/>
      <c r="I630" s="200"/>
      <c r="J630" s="213"/>
      <c r="K630" s="213"/>
      <c r="L630" s="252"/>
      <c r="M630" s="252"/>
      <c r="N630" s="213"/>
      <c r="O630" s="213"/>
      <c r="P630" s="200"/>
      <c r="Q630" s="200"/>
      <c r="R630" s="200"/>
      <c r="U630" s="154"/>
      <c r="V630" s="200"/>
      <c r="Y630" s="200"/>
      <c r="Z630" s="213"/>
      <c r="AA630" s="252"/>
      <c r="AB630" s="252"/>
      <c r="AC630" s="213"/>
      <c r="AD630" s="213"/>
      <c r="AE630" s="200"/>
      <c r="AF630" s="200"/>
      <c r="AG630" s="209"/>
      <c r="AH630" s="201"/>
      <c r="AI630" s="200"/>
      <c r="AJ630" s="200"/>
      <c r="AK630" s="209"/>
      <c r="AL630" s="200"/>
      <c r="AM630" s="210"/>
      <c r="AN630" s="210"/>
    </row>
    <row r="631" spans="1:40" x14ac:dyDescent="0.25">
      <c r="A631" s="202"/>
      <c r="D631" s="154"/>
      <c r="E631" s="154"/>
      <c r="F631" s="200"/>
      <c r="H631" s="200"/>
      <c r="I631" s="200"/>
      <c r="J631" s="213"/>
      <c r="K631" s="213"/>
      <c r="L631" s="252"/>
      <c r="M631" s="252"/>
      <c r="N631" s="213"/>
      <c r="O631" s="213"/>
      <c r="P631" s="200"/>
      <c r="Q631" s="200"/>
      <c r="R631" s="200"/>
      <c r="U631" s="154"/>
      <c r="V631" s="200"/>
      <c r="Y631" s="200"/>
      <c r="Z631" s="213"/>
      <c r="AA631" s="252"/>
      <c r="AB631" s="252"/>
      <c r="AC631" s="213"/>
      <c r="AD631" s="213"/>
      <c r="AE631" s="200"/>
      <c r="AF631" s="200"/>
      <c r="AG631" s="209"/>
      <c r="AH631" s="201"/>
      <c r="AI631" s="200"/>
      <c r="AJ631" s="200"/>
      <c r="AK631" s="209"/>
      <c r="AL631" s="200"/>
      <c r="AM631" s="210"/>
      <c r="AN631" s="210"/>
    </row>
    <row r="632" spans="1:40" x14ac:dyDescent="0.25">
      <c r="A632" s="202"/>
      <c r="D632" s="154"/>
      <c r="E632" s="154"/>
      <c r="F632" s="200"/>
      <c r="H632" s="200"/>
      <c r="I632" s="200"/>
      <c r="J632" s="213"/>
      <c r="K632" s="213"/>
      <c r="L632" s="252"/>
      <c r="M632" s="252"/>
      <c r="N632" s="213"/>
      <c r="O632" s="213"/>
      <c r="P632" s="200"/>
      <c r="Q632" s="200"/>
      <c r="R632" s="200"/>
      <c r="U632" s="154"/>
      <c r="V632" s="200"/>
      <c r="Y632" s="200"/>
      <c r="Z632" s="213"/>
      <c r="AA632" s="252"/>
      <c r="AB632" s="252"/>
      <c r="AC632" s="213"/>
      <c r="AD632" s="213"/>
      <c r="AE632" s="200"/>
      <c r="AF632" s="200"/>
      <c r="AG632" s="209"/>
      <c r="AH632" s="201"/>
      <c r="AI632" s="200"/>
      <c r="AJ632" s="200"/>
      <c r="AK632" s="209"/>
      <c r="AL632" s="200"/>
      <c r="AM632" s="210"/>
      <c r="AN632" s="210"/>
    </row>
    <row r="633" spans="1:40" x14ac:dyDescent="0.25">
      <c r="F633" s="200"/>
      <c r="H633" s="211"/>
      <c r="I633" s="211"/>
      <c r="J633" s="305"/>
      <c r="K633" s="305"/>
      <c r="L633" s="211"/>
      <c r="M633" s="211"/>
      <c r="N633" s="211"/>
      <c r="O633" s="211"/>
      <c r="P633" s="211"/>
      <c r="Q633" s="211"/>
      <c r="R633" s="211"/>
      <c r="V633" s="211"/>
      <c r="Y633" s="211"/>
      <c r="Z633" s="305"/>
      <c r="AA633" s="211"/>
      <c r="AB633" s="211"/>
      <c r="AC633" s="211"/>
      <c r="AD633" s="211"/>
      <c r="AE633" s="211"/>
      <c r="AF633" s="211"/>
      <c r="AI633" s="211"/>
      <c r="AJ633" s="211"/>
      <c r="AK633" s="212"/>
      <c r="AL633" s="211"/>
      <c r="AM633" s="210"/>
      <c r="AN633" s="210"/>
    </row>
    <row r="634" spans="1:40" x14ac:dyDescent="0.25">
      <c r="A634" s="202"/>
      <c r="C634" s="154"/>
      <c r="F634" s="211"/>
      <c r="H634" s="200"/>
      <c r="I634" s="200"/>
      <c r="J634" s="213"/>
      <c r="K634" s="213"/>
      <c r="L634" s="200"/>
      <c r="M634" s="200"/>
      <c r="N634" s="213"/>
      <c r="O634" s="213"/>
      <c r="P634" s="200"/>
      <c r="Q634" s="200"/>
      <c r="R634" s="200"/>
      <c r="T634" s="154"/>
      <c r="V634" s="200"/>
      <c r="Y634" s="200"/>
      <c r="Z634" s="213"/>
      <c r="AA634" s="200"/>
      <c r="AB634" s="200"/>
      <c r="AC634" s="213"/>
      <c r="AD634" s="213"/>
      <c r="AE634" s="200"/>
      <c r="AF634" s="200"/>
      <c r="AG634" s="209"/>
      <c r="AH634" s="201"/>
      <c r="AI634" s="200"/>
      <c r="AJ634" s="200"/>
      <c r="AK634" s="209"/>
      <c r="AL634" s="200"/>
      <c r="AM634" s="210"/>
      <c r="AN634" s="210"/>
    </row>
    <row r="635" spans="1:40" x14ac:dyDescent="0.25">
      <c r="F635" s="200"/>
      <c r="H635" s="200"/>
      <c r="I635" s="200"/>
      <c r="J635" s="213"/>
      <c r="K635" s="213"/>
      <c r="L635" s="200"/>
      <c r="M635" s="200"/>
      <c r="N635" s="213"/>
      <c r="O635" s="213"/>
      <c r="P635" s="200"/>
      <c r="Q635" s="200"/>
      <c r="R635" s="200"/>
      <c r="V635" s="200"/>
      <c r="Y635" s="200"/>
      <c r="Z635" s="213"/>
      <c r="AA635" s="200"/>
      <c r="AB635" s="200"/>
      <c r="AC635" s="213"/>
      <c r="AD635" s="213"/>
      <c r="AG635" s="209"/>
      <c r="AH635" s="201"/>
      <c r="AI635" s="200"/>
      <c r="AJ635" s="200"/>
      <c r="AK635" s="209"/>
      <c r="AL635" s="200"/>
      <c r="AM635" s="210"/>
      <c r="AN635" s="210"/>
    </row>
    <row r="636" spans="1:40" x14ac:dyDescent="0.25">
      <c r="A636" s="202"/>
      <c r="C636" s="154"/>
      <c r="F636" s="200"/>
      <c r="H636" s="200"/>
      <c r="I636" s="200"/>
      <c r="J636" s="213"/>
      <c r="K636" s="213"/>
      <c r="L636" s="200"/>
      <c r="M636" s="200"/>
      <c r="N636" s="213"/>
      <c r="O636" s="213"/>
      <c r="P636" s="200"/>
      <c r="Q636" s="200"/>
      <c r="R636" s="200"/>
      <c r="T636" s="154"/>
      <c r="V636" s="200"/>
      <c r="Y636" s="200"/>
      <c r="Z636" s="213"/>
      <c r="AA636" s="200"/>
      <c r="AB636" s="200"/>
      <c r="AC636" s="213"/>
      <c r="AD636" s="213"/>
      <c r="AE636" s="200"/>
      <c r="AF636" s="200"/>
      <c r="AG636" s="209"/>
      <c r="AH636" s="201"/>
      <c r="AI636" s="200"/>
      <c r="AJ636" s="200"/>
      <c r="AK636" s="209"/>
      <c r="AL636" s="200"/>
      <c r="AM636" s="210"/>
      <c r="AN636" s="210"/>
    </row>
    <row r="637" spans="1:40" x14ac:dyDescent="0.25">
      <c r="F637" s="200"/>
      <c r="H637" s="211"/>
      <c r="I637" s="211"/>
      <c r="J637" s="305"/>
      <c r="K637" s="305"/>
      <c r="L637" s="211"/>
      <c r="M637" s="211"/>
      <c r="N637" s="211"/>
      <c r="O637" s="211"/>
      <c r="P637" s="211"/>
      <c r="Q637" s="211"/>
      <c r="R637" s="211"/>
      <c r="V637" s="211"/>
      <c r="Y637" s="211"/>
      <c r="Z637" s="305"/>
      <c r="AA637" s="211"/>
      <c r="AB637" s="211"/>
      <c r="AC637" s="211"/>
      <c r="AD637" s="211"/>
      <c r="AE637" s="211"/>
      <c r="AF637" s="211"/>
      <c r="AI637" s="211"/>
      <c r="AJ637" s="211"/>
      <c r="AK637" s="212"/>
      <c r="AL637" s="211"/>
    </row>
    <row r="639" spans="1:40" x14ac:dyDescent="0.25">
      <c r="C639" s="154"/>
      <c r="F639" s="211"/>
      <c r="L639" s="200"/>
      <c r="M639" s="200"/>
      <c r="P639" s="200"/>
      <c r="Q639" s="200"/>
      <c r="R639" s="200"/>
      <c r="T639" s="154"/>
    </row>
    <row r="640" spans="1:40" x14ac:dyDescent="0.25">
      <c r="A640" s="154"/>
      <c r="L640" s="200"/>
      <c r="M640" s="200"/>
      <c r="P640" s="200"/>
      <c r="Q640" s="200"/>
      <c r="R640" s="200"/>
    </row>
    <row r="641" spans="12:18" x14ac:dyDescent="0.25">
      <c r="L641" s="200"/>
      <c r="M641" s="200"/>
      <c r="P641" s="200"/>
      <c r="Q641" s="200"/>
      <c r="R641" s="200"/>
    </row>
    <row r="642" spans="12:18" x14ac:dyDescent="0.25">
      <c r="L642" s="200"/>
      <c r="M642" s="200"/>
      <c r="P642" s="200"/>
      <c r="Q642" s="200"/>
      <c r="R642" s="200"/>
    </row>
    <row r="643" spans="12:18" x14ac:dyDescent="0.25">
      <c r="L643" s="200"/>
      <c r="M643" s="200"/>
      <c r="P643" s="200"/>
      <c r="Q643" s="200"/>
      <c r="R643" s="200"/>
    </row>
    <row r="644" spans="12:18" x14ac:dyDescent="0.25">
      <c r="L644" s="200"/>
      <c r="M644" s="200"/>
      <c r="P644" s="200"/>
      <c r="Q644" s="200"/>
      <c r="R644" s="200"/>
    </row>
    <row r="645" spans="12:18" x14ac:dyDescent="0.25">
      <c r="L645" s="200"/>
      <c r="M645" s="200"/>
      <c r="P645" s="200"/>
      <c r="Q645" s="200"/>
      <c r="R645" s="200"/>
    </row>
    <row r="678" spans="49:49" x14ac:dyDescent="0.25">
      <c r="AW678" s="200"/>
    </row>
    <row r="679" spans="49:49" x14ac:dyDescent="0.25">
      <c r="AW679" s="200"/>
    </row>
    <row r="680" spans="49:49" x14ac:dyDescent="0.25">
      <c r="AW680" s="200"/>
    </row>
    <row r="681" spans="49:49" x14ac:dyDescent="0.25">
      <c r="AW681" s="200"/>
    </row>
    <row r="682" spans="49:49" x14ac:dyDescent="0.25">
      <c r="AW682" s="200"/>
    </row>
    <row r="683" spans="49:49" x14ac:dyDescent="0.25">
      <c r="AW683" s="200"/>
    </row>
    <row r="686" spans="49:49" x14ac:dyDescent="0.25">
      <c r="AW686" s="200"/>
    </row>
    <row r="687" spans="49:49" x14ac:dyDescent="0.25">
      <c r="AW687" s="200"/>
    </row>
    <row r="688" spans="49:49" x14ac:dyDescent="0.25">
      <c r="AW688" s="200"/>
    </row>
    <row r="689" spans="49:49" x14ac:dyDescent="0.25">
      <c r="AW689" s="200"/>
    </row>
    <row r="690" spans="49:49" x14ac:dyDescent="0.25">
      <c r="AW690" s="200"/>
    </row>
    <row r="691" spans="49:49" x14ac:dyDescent="0.25">
      <c r="AW691" s="200"/>
    </row>
    <row r="692" spans="49:49" x14ac:dyDescent="0.25">
      <c r="AW692" s="200"/>
    </row>
    <row r="693" spans="49:49" x14ac:dyDescent="0.25">
      <c r="AW693" s="200"/>
    </row>
    <row r="696" spans="49:49" x14ac:dyDescent="0.25">
      <c r="AW696" s="200"/>
    </row>
    <row r="697" spans="49:49" x14ac:dyDescent="0.25">
      <c r="AW697" s="200"/>
    </row>
    <row r="700" spans="49:49" x14ac:dyDescent="0.25">
      <c r="AW700" s="200"/>
    </row>
    <row r="701" spans="49:49" x14ac:dyDescent="0.25">
      <c r="AW701" s="200"/>
    </row>
    <row r="702" spans="49:49" x14ac:dyDescent="0.25">
      <c r="AW702" s="200"/>
    </row>
    <row r="703" spans="49:49" x14ac:dyDescent="0.25">
      <c r="AW703" s="200"/>
    </row>
    <row r="709" spans="45:69" x14ac:dyDescent="0.25">
      <c r="AY709" s="202"/>
    </row>
    <row r="710" spans="45:69" x14ac:dyDescent="0.25">
      <c r="AY710" s="202"/>
    </row>
    <row r="711" spans="45:69" x14ac:dyDescent="0.25">
      <c r="AY711" s="154"/>
    </row>
    <row r="712" spans="45:69" x14ac:dyDescent="0.25">
      <c r="AY712" s="154"/>
    </row>
    <row r="713" spans="45:69" x14ac:dyDescent="0.25">
      <c r="AS713" s="202"/>
      <c r="BD713" s="154"/>
    </row>
    <row r="714" spans="45:69" x14ac:dyDescent="0.25">
      <c r="AS714" s="202"/>
      <c r="BD714" s="154"/>
    </row>
    <row r="715" spans="45:69" x14ac:dyDescent="0.25">
      <c r="AS715" s="154"/>
      <c r="BD715" s="154"/>
    </row>
    <row r="716" spans="45:69" x14ac:dyDescent="0.25">
      <c r="BD716" s="202"/>
    </row>
    <row r="717" spans="45:69" x14ac:dyDescent="0.25"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</row>
    <row r="718" spans="45:69" x14ac:dyDescent="0.25">
      <c r="AX718" s="154"/>
    </row>
    <row r="719" spans="45:69" x14ac:dyDescent="0.25">
      <c r="AX719" s="102"/>
      <c r="AY719" s="102"/>
      <c r="AZ719" s="102"/>
      <c r="BA719" s="102"/>
      <c r="BC719" s="103"/>
      <c r="BD719" s="103"/>
    </row>
    <row r="720" spans="45:69" x14ac:dyDescent="0.25">
      <c r="AV720" s="103"/>
      <c r="AW720" s="103"/>
      <c r="AZ720" s="103"/>
      <c r="BA720" s="103"/>
      <c r="BC720" s="103"/>
      <c r="BD720" s="103"/>
      <c r="BE720" s="103"/>
      <c r="BG720" s="102"/>
      <c r="BH720" s="154"/>
      <c r="BK720" s="102"/>
      <c r="BM720" s="102"/>
      <c r="BN720" s="154"/>
      <c r="BQ720" s="102"/>
    </row>
    <row r="721" spans="45:69" x14ac:dyDescent="0.25"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H721" s="103"/>
      <c r="BI721" s="103"/>
      <c r="BJ721" s="103"/>
      <c r="BN721" s="103"/>
      <c r="BO721" s="103"/>
      <c r="BP721" s="103"/>
    </row>
    <row r="722" spans="45:69" x14ac:dyDescent="0.25">
      <c r="AS722" s="103"/>
      <c r="AU722" s="154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G722" s="103"/>
      <c r="BH722" s="103"/>
      <c r="BI722" s="103"/>
      <c r="BJ722" s="103"/>
      <c r="BK722" s="103"/>
      <c r="BM722" s="103"/>
      <c r="BN722" s="103"/>
      <c r="BO722" s="103"/>
      <c r="BP722" s="103"/>
      <c r="BQ722" s="103"/>
    </row>
    <row r="723" spans="45:69" x14ac:dyDescent="0.25">
      <c r="AS723" s="103"/>
      <c r="AU723" s="154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G723" s="103"/>
      <c r="BH723" s="103"/>
      <c r="BI723" s="103"/>
      <c r="BJ723" s="103"/>
      <c r="BK723" s="103"/>
      <c r="BM723" s="103"/>
      <c r="BN723" s="103"/>
      <c r="BO723" s="103"/>
      <c r="BP723" s="103"/>
      <c r="BQ723" s="103"/>
    </row>
    <row r="724" spans="45:69" x14ac:dyDescent="0.25"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G724" s="102"/>
      <c r="BH724" s="102"/>
      <c r="BI724" s="102"/>
      <c r="BJ724" s="102"/>
      <c r="BK724" s="102"/>
      <c r="BM724" s="102"/>
      <c r="BN724" s="102"/>
      <c r="BO724" s="102"/>
      <c r="BP724" s="102"/>
      <c r="BQ724" s="102"/>
    </row>
    <row r="725" spans="45:69" x14ac:dyDescent="0.25"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</row>
    <row r="726" spans="45:69" x14ac:dyDescent="0.25">
      <c r="AS726" s="202"/>
      <c r="AU726" s="154"/>
      <c r="AV726" s="103"/>
      <c r="AY726" s="213"/>
    </row>
    <row r="727" spans="45:69" x14ac:dyDescent="0.25">
      <c r="AS727" s="202"/>
      <c r="AV727" s="103"/>
      <c r="AW727" s="200"/>
      <c r="AX727" s="334"/>
      <c r="AY727" s="334"/>
      <c r="AZ727" s="334"/>
      <c r="BA727" s="210"/>
      <c r="BB727" s="334"/>
      <c r="BC727" s="213"/>
      <c r="BD727" s="213"/>
      <c r="BE727" s="210"/>
      <c r="BG727" s="334"/>
      <c r="BH727" s="334"/>
      <c r="BI727" s="334"/>
      <c r="BJ727" s="334"/>
      <c r="BK727" s="334"/>
      <c r="BM727" s="334"/>
      <c r="BN727" s="334"/>
      <c r="BO727" s="334"/>
      <c r="BP727" s="334"/>
      <c r="BQ727" s="334"/>
    </row>
    <row r="728" spans="45:69" x14ac:dyDescent="0.25">
      <c r="AS728" s="202"/>
      <c r="AV728" s="103"/>
      <c r="AW728" s="200"/>
      <c r="AX728" s="334"/>
      <c r="AY728" s="334"/>
      <c r="AZ728" s="334"/>
      <c r="BA728" s="210"/>
      <c r="BB728" s="334"/>
      <c r="BC728" s="213"/>
      <c r="BD728" s="213"/>
      <c r="BE728" s="210"/>
      <c r="BG728" s="334"/>
      <c r="BH728" s="334"/>
      <c r="BI728" s="334"/>
      <c r="BJ728" s="334"/>
      <c r="BK728" s="334"/>
      <c r="BM728" s="334"/>
      <c r="BN728" s="334"/>
      <c r="BO728" s="334"/>
      <c r="BP728" s="334"/>
      <c r="BQ728" s="334"/>
    </row>
    <row r="729" spans="45:69" x14ac:dyDescent="0.25">
      <c r="AS729" s="202"/>
      <c r="AV729" s="103"/>
      <c r="AW729" s="200"/>
      <c r="AX729" s="334"/>
      <c r="AY729" s="334"/>
      <c r="AZ729" s="334"/>
      <c r="BA729" s="210"/>
      <c r="BB729" s="334"/>
      <c r="BC729" s="213"/>
      <c r="BD729" s="213"/>
      <c r="BE729" s="210"/>
      <c r="BG729" s="334"/>
      <c r="BH729" s="334"/>
      <c r="BI729" s="334"/>
      <c r="BJ729" s="334"/>
      <c r="BK729" s="334"/>
      <c r="BM729" s="334"/>
      <c r="BN729" s="334"/>
      <c r="BO729" s="334"/>
      <c r="BP729" s="334"/>
      <c r="BQ729" s="334"/>
    </row>
    <row r="730" spans="45:69" x14ac:dyDescent="0.25">
      <c r="AS730" s="202"/>
      <c r="AV730" s="103"/>
      <c r="AW730" s="200"/>
      <c r="AX730" s="334"/>
      <c r="AY730" s="334"/>
      <c r="AZ730" s="334"/>
      <c r="BA730" s="210"/>
      <c r="BB730" s="334"/>
      <c r="BC730" s="213"/>
      <c r="BD730" s="213"/>
      <c r="BE730" s="210"/>
      <c r="BG730" s="334"/>
      <c r="BH730" s="334"/>
      <c r="BI730" s="334"/>
      <c r="BJ730" s="334"/>
      <c r="BK730" s="334"/>
      <c r="BM730" s="334"/>
      <c r="BN730" s="334"/>
      <c r="BO730" s="334"/>
      <c r="BP730" s="334"/>
      <c r="BQ730" s="334"/>
    </row>
    <row r="731" spans="45:69" x14ac:dyDescent="0.25">
      <c r="AS731" s="202"/>
      <c r="AV731" s="103"/>
      <c r="AW731" s="200"/>
      <c r="AX731" s="334"/>
      <c r="AY731" s="334"/>
      <c r="AZ731" s="334"/>
      <c r="BA731" s="210"/>
      <c r="BB731" s="334"/>
      <c r="BC731" s="213"/>
      <c r="BD731" s="213"/>
      <c r="BE731" s="210"/>
      <c r="BG731" s="334"/>
      <c r="BH731" s="334"/>
      <c r="BI731" s="334"/>
      <c r="BJ731" s="334"/>
      <c r="BK731" s="334"/>
      <c r="BM731" s="334"/>
      <c r="BN731" s="334"/>
      <c r="BO731" s="334"/>
      <c r="BP731" s="334"/>
      <c r="BQ731" s="334"/>
    </row>
    <row r="732" spans="45:69" x14ac:dyDescent="0.25">
      <c r="AS732" s="202"/>
      <c r="AV732" s="103"/>
      <c r="AW732" s="200"/>
      <c r="AX732" s="334"/>
      <c r="AY732" s="334"/>
      <c r="AZ732" s="334"/>
      <c r="BA732" s="210"/>
      <c r="BB732" s="334"/>
      <c r="BC732" s="213"/>
      <c r="BD732" s="213"/>
      <c r="BE732" s="210"/>
      <c r="BG732" s="334"/>
      <c r="BH732" s="334"/>
      <c r="BI732" s="334"/>
      <c r="BJ732" s="334"/>
      <c r="BK732" s="334"/>
      <c r="BM732" s="334"/>
      <c r="BN732" s="334"/>
      <c r="BO732" s="334"/>
      <c r="BP732" s="334"/>
      <c r="BQ732" s="334"/>
    </row>
    <row r="733" spans="45:69" x14ac:dyDescent="0.25">
      <c r="AS733" s="202"/>
      <c r="AV733" s="103"/>
      <c r="AW733" s="200"/>
      <c r="AX733" s="334"/>
      <c r="AY733" s="334"/>
      <c r="AZ733" s="334"/>
      <c r="BA733" s="210"/>
      <c r="BB733" s="334"/>
      <c r="BC733" s="213"/>
      <c r="BD733" s="213"/>
      <c r="BE733" s="210"/>
      <c r="BG733" s="334"/>
      <c r="BH733" s="334"/>
      <c r="BI733" s="334"/>
      <c r="BJ733" s="334"/>
      <c r="BK733" s="334"/>
      <c r="BM733" s="334"/>
      <c r="BN733" s="334"/>
      <c r="BO733" s="334"/>
      <c r="BP733" s="334"/>
      <c r="BQ733" s="334"/>
    </row>
    <row r="734" spans="45:69" x14ac:dyDescent="0.25">
      <c r="AY734" s="213"/>
      <c r="AZ734" s="334"/>
      <c r="BA734" s="210"/>
      <c r="BB734" s="334"/>
      <c r="BC734" s="213"/>
      <c r="BD734" s="213"/>
      <c r="BE734" s="210"/>
      <c r="BK734" s="334"/>
      <c r="BQ734" s="334"/>
    </row>
    <row r="735" spans="45:69" x14ac:dyDescent="0.25">
      <c r="AS735" s="202"/>
      <c r="AV735" s="103"/>
      <c r="AY735" s="213"/>
      <c r="AZ735" s="334"/>
      <c r="BA735" s="210"/>
      <c r="BB735" s="334"/>
      <c r="BC735" s="213"/>
      <c r="BD735" s="213"/>
      <c r="BE735" s="210"/>
      <c r="BK735" s="334"/>
      <c r="BQ735" s="334"/>
    </row>
    <row r="736" spans="45:69" x14ac:dyDescent="0.25">
      <c r="AS736" s="202"/>
      <c r="AV736" s="103"/>
      <c r="AW736" s="200"/>
      <c r="AX736" s="334"/>
      <c r="AY736" s="334"/>
      <c r="AZ736" s="334"/>
      <c r="BA736" s="210"/>
      <c r="BB736" s="334"/>
      <c r="BC736" s="213"/>
      <c r="BD736" s="213"/>
      <c r="BE736" s="210"/>
      <c r="BG736" s="334"/>
      <c r="BH736" s="334"/>
      <c r="BI736" s="334"/>
      <c r="BJ736" s="334"/>
      <c r="BK736" s="334"/>
      <c r="BM736" s="334"/>
      <c r="BN736" s="334"/>
      <c r="BO736" s="334"/>
      <c r="BP736" s="334"/>
      <c r="BQ736" s="334"/>
    </row>
    <row r="737" spans="45:69" x14ac:dyDescent="0.25">
      <c r="AS737" s="202"/>
      <c r="AV737" s="103"/>
      <c r="AW737" s="200"/>
      <c r="AX737" s="334"/>
      <c r="AY737" s="334"/>
      <c r="AZ737" s="334"/>
      <c r="BA737" s="210"/>
      <c r="BB737" s="334"/>
      <c r="BC737" s="213"/>
      <c r="BD737" s="213"/>
      <c r="BE737" s="210"/>
      <c r="BG737" s="334"/>
      <c r="BH737" s="334"/>
      <c r="BI737" s="334"/>
      <c r="BJ737" s="334"/>
      <c r="BK737" s="334"/>
      <c r="BM737" s="334"/>
      <c r="BN737" s="334"/>
      <c r="BO737" s="334"/>
      <c r="BP737" s="334"/>
      <c r="BQ737" s="334"/>
    </row>
    <row r="738" spans="45:69" x14ac:dyDescent="0.25">
      <c r="AS738" s="202"/>
      <c r="AV738" s="103"/>
      <c r="AW738" s="200"/>
      <c r="AX738" s="334"/>
      <c r="AY738" s="334"/>
      <c r="AZ738" s="334"/>
      <c r="BA738" s="210"/>
      <c r="BB738" s="334"/>
      <c r="BC738" s="213"/>
      <c r="BD738" s="213"/>
      <c r="BE738" s="210"/>
      <c r="BG738" s="334"/>
      <c r="BH738" s="334"/>
      <c r="BI738" s="334"/>
      <c r="BJ738" s="334"/>
      <c r="BK738" s="334"/>
      <c r="BM738" s="334"/>
      <c r="BN738" s="334"/>
      <c r="BO738" s="334"/>
      <c r="BP738" s="334"/>
      <c r="BQ738" s="334"/>
    </row>
    <row r="739" spans="45:69" x14ac:dyDescent="0.25">
      <c r="AS739" s="202"/>
      <c r="AV739" s="103"/>
      <c r="AW739" s="200"/>
      <c r="AX739" s="334"/>
      <c r="AY739" s="334"/>
      <c r="AZ739" s="334"/>
      <c r="BA739" s="210"/>
      <c r="BB739" s="334"/>
      <c r="BC739" s="213"/>
      <c r="BD739" s="213"/>
      <c r="BE739" s="210"/>
      <c r="BG739" s="334"/>
      <c r="BH739" s="334"/>
      <c r="BI739" s="334"/>
      <c r="BJ739" s="334"/>
      <c r="BK739" s="334"/>
      <c r="BM739" s="334"/>
      <c r="BN739" s="334"/>
      <c r="BO739" s="334"/>
      <c r="BP739" s="334"/>
      <c r="BQ739" s="334"/>
    </row>
    <row r="740" spans="45:69" x14ac:dyDescent="0.25">
      <c r="AS740" s="202"/>
      <c r="AV740" s="103"/>
      <c r="AW740" s="200"/>
      <c r="AX740" s="334"/>
      <c r="AY740" s="334"/>
      <c r="AZ740" s="334"/>
      <c r="BA740" s="210"/>
      <c r="BB740" s="334"/>
      <c r="BC740" s="213"/>
      <c r="BD740" s="213"/>
      <c r="BE740" s="210"/>
      <c r="BG740" s="334"/>
      <c r="BH740" s="334"/>
      <c r="BI740" s="334"/>
      <c r="BJ740" s="334"/>
      <c r="BK740" s="334"/>
      <c r="BM740" s="334"/>
      <c r="BN740" s="334"/>
      <c r="BO740" s="334"/>
      <c r="BP740" s="334"/>
      <c r="BQ740" s="334"/>
    </row>
    <row r="741" spans="45:69" x14ac:dyDescent="0.25">
      <c r="AS741" s="202"/>
      <c r="AV741" s="103"/>
      <c r="AW741" s="200"/>
      <c r="AX741" s="334"/>
      <c r="AY741" s="334"/>
      <c r="AZ741" s="334"/>
      <c r="BA741" s="210"/>
      <c r="BB741" s="334"/>
      <c r="BC741" s="213"/>
      <c r="BD741" s="213"/>
      <c r="BE741" s="210"/>
      <c r="BG741" s="334"/>
      <c r="BH741" s="334"/>
      <c r="BI741" s="334"/>
      <c r="BJ741" s="334"/>
      <c r="BK741" s="334"/>
      <c r="BM741" s="334"/>
      <c r="BN741" s="334"/>
      <c r="BO741" s="334"/>
      <c r="BP741" s="334"/>
      <c r="BQ741" s="334"/>
    </row>
    <row r="742" spans="45:69" x14ac:dyDescent="0.25">
      <c r="AS742" s="202"/>
      <c r="AV742" s="103"/>
      <c r="AW742" s="200"/>
      <c r="AX742" s="334"/>
      <c r="AY742" s="334"/>
      <c r="AZ742" s="334"/>
      <c r="BA742" s="210"/>
      <c r="BB742" s="334"/>
      <c r="BC742" s="213"/>
      <c r="BD742" s="213"/>
      <c r="BE742" s="210"/>
      <c r="BG742" s="334"/>
      <c r="BH742" s="334"/>
      <c r="BI742" s="334"/>
      <c r="BJ742" s="334"/>
      <c r="BK742" s="334"/>
      <c r="BM742" s="334"/>
      <c r="BN742" s="334"/>
      <c r="BO742" s="334"/>
      <c r="BP742" s="334"/>
      <c r="BQ742" s="334"/>
    </row>
    <row r="743" spans="45:69" x14ac:dyDescent="0.25">
      <c r="AS743" s="202"/>
      <c r="AV743" s="103"/>
      <c r="AW743" s="200"/>
      <c r="AX743" s="334"/>
      <c r="AY743" s="334"/>
      <c r="AZ743" s="334"/>
      <c r="BA743" s="210"/>
      <c r="BB743" s="334"/>
      <c r="BC743" s="213"/>
      <c r="BD743" s="213"/>
      <c r="BE743" s="210"/>
      <c r="BG743" s="334"/>
      <c r="BH743" s="334"/>
      <c r="BI743" s="334"/>
      <c r="BJ743" s="334"/>
      <c r="BK743" s="334"/>
      <c r="BM743" s="334"/>
      <c r="BN743" s="334"/>
      <c r="BO743" s="334"/>
      <c r="BP743" s="334"/>
      <c r="BQ743" s="334"/>
    </row>
    <row r="744" spans="45:69" x14ac:dyDescent="0.25">
      <c r="AY744" s="213"/>
      <c r="AZ744" s="334"/>
      <c r="BA744" s="210"/>
      <c r="BB744" s="334"/>
      <c r="BC744" s="213"/>
      <c r="BD744" s="213"/>
      <c r="BE744" s="210"/>
      <c r="BK744" s="334"/>
      <c r="BQ744" s="334"/>
    </row>
    <row r="745" spans="45:69" x14ac:dyDescent="0.25">
      <c r="AU745" s="154"/>
      <c r="AZ745" s="334"/>
      <c r="BB745" s="334"/>
      <c r="BG745" s="334"/>
      <c r="BH745" s="334"/>
      <c r="BJ745" s="334"/>
      <c r="BK745" s="334"/>
    </row>
    <row r="746" spans="45:69" x14ac:dyDescent="0.25">
      <c r="AZ746" s="334"/>
      <c r="BB746" s="334"/>
    </row>
    <row r="747" spans="45:69" x14ac:dyDescent="0.25">
      <c r="AS747" s="154"/>
      <c r="AZ747" s="334"/>
      <c r="BB747" s="334"/>
      <c r="BI747" s="334"/>
    </row>
    <row r="748" spans="45:69" x14ac:dyDescent="0.25">
      <c r="AY748" s="202"/>
      <c r="AZ748" s="334"/>
      <c r="BB748" s="334"/>
    </row>
    <row r="749" spans="45:69" x14ac:dyDescent="0.25">
      <c r="AY749" s="334"/>
      <c r="BB749" s="334"/>
    </row>
    <row r="750" spans="45:69" x14ac:dyDescent="0.25">
      <c r="AY750" s="154"/>
      <c r="AZ750" s="334"/>
      <c r="BB750" s="334"/>
    </row>
    <row r="751" spans="45:69" x14ac:dyDescent="0.25">
      <c r="AY751" s="154"/>
      <c r="AZ751" s="334"/>
      <c r="BB751" s="334"/>
    </row>
    <row r="752" spans="45:69" x14ac:dyDescent="0.25">
      <c r="AS752" s="202"/>
      <c r="AZ752" s="334"/>
      <c r="BB752" s="334"/>
      <c r="BD752" s="154"/>
    </row>
    <row r="753" spans="45:75" x14ac:dyDescent="0.25">
      <c r="AS753" s="202"/>
      <c r="AZ753" s="334"/>
      <c r="BB753" s="334"/>
      <c r="BD753" s="154"/>
    </row>
    <row r="754" spans="45:75" x14ac:dyDescent="0.25">
      <c r="AS754" s="154"/>
      <c r="AZ754" s="334"/>
      <c r="BB754" s="334"/>
      <c r="BD754" s="154"/>
    </row>
    <row r="755" spans="45:75" x14ac:dyDescent="0.25">
      <c r="AZ755" s="334"/>
      <c r="BB755" s="334"/>
      <c r="BD755" s="202"/>
    </row>
    <row r="756" spans="45:75" x14ac:dyDescent="0.25">
      <c r="AS756" s="102"/>
      <c r="AT756" s="102"/>
      <c r="AU756" s="102"/>
      <c r="AV756" s="102"/>
      <c r="AW756" s="102"/>
      <c r="AX756" s="102"/>
      <c r="AY756" s="102"/>
      <c r="AZ756" s="335"/>
      <c r="BA756" s="102"/>
      <c r="BB756" s="335"/>
      <c r="BC756" s="102"/>
      <c r="BD756" s="102"/>
      <c r="BE756" s="102"/>
    </row>
    <row r="757" spans="45:75" x14ac:dyDescent="0.25">
      <c r="AX757" s="154"/>
      <c r="AZ757" s="334"/>
      <c r="BB757" s="334"/>
    </row>
    <row r="758" spans="45:75" x14ac:dyDescent="0.25">
      <c r="AX758" s="102"/>
      <c r="AY758" s="102"/>
      <c r="AZ758" s="335"/>
      <c r="BA758" s="102"/>
      <c r="BB758" s="334"/>
      <c r="BC758" s="103"/>
      <c r="BD758" s="103"/>
    </row>
    <row r="759" spans="45:75" x14ac:dyDescent="0.25">
      <c r="AV759" s="103"/>
      <c r="AW759" s="103"/>
      <c r="AZ759" s="336"/>
      <c r="BA759" s="103"/>
      <c r="BB759" s="334"/>
      <c r="BC759" s="103"/>
      <c r="BD759" s="103"/>
      <c r="BE759" s="103"/>
      <c r="BG759" s="102"/>
      <c r="BH759" s="102"/>
      <c r="BI759" s="154"/>
      <c r="BM759" s="102"/>
      <c r="BN759" s="102"/>
      <c r="BP759" s="102"/>
      <c r="BQ759" s="102"/>
      <c r="BR759" s="154"/>
      <c r="BV759" s="102"/>
      <c r="BW759" s="102"/>
    </row>
    <row r="760" spans="45:75" x14ac:dyDescent="0.25">
      <c r="AV760" s="103"/>
      <c r="AW760" s="103"/>
      <c r="AX760" s="103"/>
      <c r="AY760" s="103"/>
      <c r="AZ760" s="336"/>
      <c r="BA760" s="103"/>
      <c r="BB760" s="336"/>
      <c r="BC760" s="103"/>
      <c r="BD760" s="103"/>
      <c r="BE760" s="103"/>
      <c r="BH760" s="103"/>
      <c r="BI760" s="103"/>
      <c r="BJ760" s="103"/>
      <c r="BK760" s="103"/>
      <c r="BL760" s="103"/>
      <c r="BM760" s="103"/>
      <c r="BQ760" s="103"/>
      <c r="BR760" s="103"/>
      <c r="BS760" s="103"/>
      <c r="BT760" s="103"/>
      <c r="BU760" s="103"/>
      <c r="BV760" s="103"/>
    </row>
    <row r="761" spans="45:75" x14ac:dyDescent="0.25">
      <c r="AS761" s="103"/>
      <c r="AU761" s="154"/>
      <c r="AV761" s="103"/>
      <c r="AW761" s="103"/>
      <c r="AX761" s="103"/>
      <c r="AY761" s="103"/>
      <c r="AZ761" s="336"/>
      <c r="BA761" s="103"/>
      <c r="BB761" s="336"/>
      <c r="BC761" s="103"/>
      <c r="BD761" s="103"/>
      <c r="BE761" s="103"/>
      <c r="BG761" s="103"/>
      <c r="BH761" s="103"/>
      <c r="BI761" s="103"/>
      <c r="BJ761" s="103"/>
      <c r="BK761" s="103"/>
      <c r="BL761" s="103"/>
      <c r="BM761" s="103"/>
      <c r="BN761" s="103"/>
      <c r="BP761" s="103"/>
      <c r="BQ761" s="103"/>
      <c r="BR761" s="103"/>
      <c r="BS761" s="103"/>
      <c r="BT761" s="103"/>
      <c r="BU761" s="103"/>
      <c r="BV761" s="103"/>
      <c r="BW761" s="103"/>
    </row>
    <row r="762" spans="45:75" x14ac:dyDescent="0.25">
      <c r="AS762" s="103"/>
      <c r="AU762" s="154"/>
      <c r="AV762" s="103"/>
      <c r="AW762" s="103"/>
      <c r="AX762" s="103"/>
      <c r="AY762" s="103"/>
      <c r="AZ762" s="336"/>
      <c r="BA762" s="103"/>
      <c r="BB762" s="336"/>
      <c r="BC762" s="103"/>
      <c r="BD762" s="103"/>
      <c r="BE762" s="103"/>
      <c r="BG762" s="103"/>
      <c r="BH762" s="103"/>
      <c r="BI762" s="103"/>
      <c r="BJ762" s="103"/>
      <c r="BK762" s="103"/>
      <c r="BL762" s="103"/>
      <c r="BM762" s="103"/>
      <c r="BN762" s="103"/>
      <c r="BP762" s="103"/>
      <c r="BQ762" s="103"/>
      <c r="BR762" s="103"/>
      <c r="BS762" s="103"/>
      <c r="BT762" s="103"/>
      <c r="BU762" s="103"/>
      <c r="BV762" s="103"/>
      <c r="BW762" s="103"/>
    </row>
    <row r="763" spans="45:75" x14ac:dyDescent="0.25">
      <c r="AS763" s="102"/>
      <c r="AT763" s="102"/>
      <c r="AU763" s="102"/>
      <c r="AV763" s="102"/>
      <c r="AW763" s="102"/>
      <c r="AX763" s="102"/>
      <c r="AY763" s="102"/>
      <c r="AZ763" s="335"/>
      <c r="BA763" s="102"/>
      <c r="BB763" s="335"/>
      <c r="BC763" s="102"/>
      <c r="BD763" s="102"/>
      <c r="BE763" s="102"/>
      <c r="BG763" s="102"/>
      <c r="BH763" s="102"/>
      <c r="BI763" s="102"/>
      <c r="BJ763" s="102"/>
      <c r="BK763" s="102"/>
      <c r="BL763" s="102"/>
      <c r="BM763" s="102"/>
      <c r="BN763" s="102"/>
      <c r="BP763" s="102"/>
      <c r="BQ763" s="102"/>
      <c r="BR763" s="102"/>
      <c r="BS763" s="102"/>
      <c r="BT763" s="102"/>
      <c r="BU763" s="102"/>
      <c r="BV763" s="102"/>
      <c r="BW763" s="102"/>
    </row>
    <row r="764" spans="45:75" x14ac:dyDescent="0.25">
      <c r="AV764" s="103"/>
      <c r="AW764" s="103"/>
      <c r="AX764" s="103"/>
      <c r="AY764" s="103"/>
      <c r="AZ764" s="336"/>
      <c r="BA764" s="103"/>
      <c r="BB764" s="336"/>
      <c r="BC764" s="103"/>
      <c r="BD764" s="103"/>
      <c r="BE764" s="103"/>
      <c r="BG764" s="334"/>
      <c r="BH764" s="334"/>
      <c r="BI764" s="334"/>
      <c r="BJ764" s="334"/>
      <c r="BK764" s="334"/>
      <c r="BL764" s="334"/>
      <c r="BM764" s="334"/>
      <c r="BN764" s="334"/>
      <c r="BO764" s="334"/>
      <c r="BP764" s="334"/>
      <c r="BQ764" s="334"/>
      <c r="BR764" s="334"/>
      <c r="BS764" s="334"/>
      <c r="BT764" s="334"/>
      <c r="BU764" s="334"/>
      <c r="BV764" s="334"/>
      <c r="BW764" s="334"/>
    </row>
    <row r="765" spans="45:75" x14ac:dyDescent="0.25">
      <c r="AS765" s="202"/>
      <c r="AU765" s="154"/>
      <c r="AV765" s="202"/>
      <c r="AW765" s="200"/>
      <c r="AX765" s="334"/>
      <c r="AY765" s="334"/>
      <c r="AZ765" s="334"/>
      <c r="BA765" s="201"/>
      <c r="BB765" s="334"/>
      <c r="BC765" s="334"/>
      <c r="BD765" s="334"/>
      <c r="BE765" s="201"/>
      <c r="BG765" s="334"/>
      <c r="BH765" s="334"/>
      <c r="BI765" s="334"/>
      <c r="BJ765" s="334"/>
      <c r="BK765" s="334"/>
      <c r="BL765" s="334"/>
      <c r="BM765" s="334"/>
      <c r="BN765" s="334"/>
      <c r="BO765" s="334"/>
      <c r="BP765" s="334"/>
      <c r="BQ765" s="334"/>
      <c r="BR765" s="334"/>
      <c r="BS765" s="334"/>
      <c r="BT765" s="334"/>
      <c r="BU765" s="334"/>
      <c r="BV765" s="334"/>
      <c r="BW765" s="334"/>
    </row>
    <row r="766" spans="45:75" x14ac:dyDescent="0.25">
      <c r="AS766" s="202"/>
      <c r="AV766" s="202"/>
      <c r="AW766" s="200"/>
      <c r="AX766" s="334"/>
      <c r="AY766" s="334"/>
      <c r="AZ766" s="334"/>
      <c r="BA766" s="201"/>
      <c r="BB766" s="334"/>
      <c r="BC766" s="334"/>
      <c r="BD766" s="334"/>
      <c r="BE766" s="201"/>
      <c r="BG766" s="334"/>
      <c r="BH766" s="334"/>
      <c r="BI766" s="334"/>
      <c r="BJ766" s="334"/>
      <c r="BK766" s="334"/>
      <c r="BL766" s="334"/>
      <c r="BM766" s="334"/>
      <c r="BN766" s="334"/>
      <c r="BO766" s="334"/>
      <c r="BP766" s="334"/>
      <c r="BQ766" s="334"/>
      <c r="BR766" s="334"/>
      <c r="BS766" s="334"/>
      <c r="BT766" s="334"/>
      <c r="BU766" s="334"/>
      <c r="BV766" s="334"/>
      <c r="BW766" s="334"/>
    </row>
    <row r="767" spans="45:75" x14ac:dyDescent="0.25">
      <c r="AS767" s="202"/>
      <c r="AV767" s="202"/>
      <c r="AW767" s="200"/>
      <c r="AX767" s="334"/>
      <c r="AY767" s="334"/>
      <c r="AZ767" s="334"/>
      <c r="BA767" s="201"/>
      <c r="BB767" s="334"/>
      <c r="BC767" s="334"/>
      <c r="BD767" s="334"/>
      <c r="BE767" s="201"/>
      <c r="BG767" s="334"/>
      <c r="BH767" s="334"/>
      <c r="BI767" s="334"/>
      <c r="BJ767" s="334"/>
      <c r="BK767" s="334"/>
      <c r="BL767" s="334"/>
      <c r="BM767" s="334"/>
      <c r="BN767" s="334"/>
      <c r="BO767" s="334"/>
      <c r="BP767" s="334"/>
      <c r="BQ767" s="334"/>
      <c r="BR767" s="334"/>
      <c r="BS767" s="334"/>
      <c r="BT767" s="334"/>
      <c r="BU767" s="334"/>
      <c r="BV767" s="334"/>
      <c r="BW767" s="334"/>
    </row>
    <row r="768" spans="45:75" x14ac:dyDescent="0.25">
      <c r="AS768" s="202"/>
      <c r="AV768" s="202"/>
      <c r="AW768" s="200"/>
      <c r="AX768" s="334"/>
      <c r="AY768" s="334"/>
      <c r="AZ768" s="334"/>
      <c r="BA768" s="201"/>
      <c r="BB768" s="334"/>
      <c r="BC768" s="334"/>
      <c r="BD768" s="334"/>
      <c r="BE768" s="201"/>
      <c r="BG768" s="334"/>
      <c r="BH768" s="334"/>
      <c r="BI768" s="334"/>
      <c r="BJ768" s="334"/>
      <c r="BK768" s="334"/>
      <c r="BL768" s="334"/>
      <c r="BM768" s="334"/>
      <c r="BN768" s="334"/>
      <c r="BO768" s="334"/>
      <c r="BP768" s="334"/>
      <c r="BQ768" s="334"/>
      <c r="BR768" s="334"/>
      <c r="BS768" s="334"/>
      <c r="BT768" s="334"/>
      <c r="BU768" s="334"/>
      <c r="BV768" s="334"/>
      <c r="BW768" s="334"/>
    </row>
    <row r="769" spans="45:75" x14ac:dyDescent="0.25">
      <c r="AS769" s="202"/>
      <c r="AV769" s="202"/>
      <c r="AW769" s="200"/>
      <c r="AX769" s="334"/>
      <c r="AY769" s="334"/>
      <c r="AZ769" s="334"/>
      <c r="BA769" s="201"/>
      <c r="BB769" s="334"/>
      <c r="BC769" s="334"/>
      <c r="BD769" s="334"/>
      <c r="BE769" s="201"/>
      <c r="BG769" s="334"/>
      <c r="BH769" s="334"/>
      <c r="BI769" s="334"/>
      <c r="BJ769" s="334"/>
      <c r="BK769" s="334"/>
      <c r="BL769" s="334"/>
      <c r="BM769" s="334"/>
      <c r="BN769" s="334"/>
      <c r="BO769" s="334"/>
      <c r="BP769" s="334"/>
      <c r="BQ769" s="334"/>
      <c r="BR769" s="334"/>
      <c r="BS769" s="334"/>
      <c r="BT769" s="334"/>
      <c r="BU769" s="334"/>
      <c r="BV769" s="334"/>
      <c r="BW769" s="334"/>
    </row>
    <row r="770" spans="45:75" x14ac:dyDescent="0.25">
      <c r="AS770" s="202"/>
      <c r="AV770" s="202"/>
      <c r="AW770" s="200"/>
      <c r="AX770" s="334"/>
      <c r="AY770" s="334"/>
      <c r="AZ770" s="334"/>
      <c r="BA770" s="201"/>
      <c r="BB770" s="334"/>
      <c r="BC770" s="334"/>
      <c r="BD770" s="334"/>
      <c r="BE770" s="201"/>
      <c r="BG770" s="334"/>
      <c r="BH770" s="334"/>
      <c r="BI770" s="334"/>
      <c r="BJ770" s="334"/>
      <c r="BK770" s="334"/>
      <c r="BL770" s="334"/>
      <c r="BM770" s="334"/>
      <c r="BN770" s="334"/>
      <c r="BO770" s="334"/>
      <c r="BP770" s="334"/>
      <c r="BQ770" s="334"/>
      <c r="BR770" s="334"/>
      <c r="BS770" s="334"/>
      <c r="BT770" s="334"/>
      <c r="BU770" s="334"/>
      <c r="BV770" s="334"/>
      <c r="BW770" s="334"/>
    </row>
    <row r="771" spans="45:75" x14ac:dyDescent="0.25">
      <c r="AS771" s="202"/>
      <c r="AV771" s="202"/>
      <c r="AW771" s="200"/>
      <c r="AX771" s="334"/>
      <c r="AY771" s="334"/>
      <c r="AZ771" s="334"/>
      <c r="BA771" s="201"/>
      <c r="BB771" s="334"/>
      <c r="BC771" s="334"/>
      <c r="BD771" s="334"/>
      <c r="BE771" s="201"/>
      <c r="BG771" s="334"/>
      <c r="BH771" s="334"/>
      <c r="BI771" s="334"/>
      <c r="BJ771" s="334"/>
      <c r="BK771" s="334"/>
      <c r="BL771" s="334"/>
      <c r="BM771" s="334"/>
      <c r="BN771" s="334"/>
      <c r="BO771" s="334"/>
      <c r="BP771" s="334"/>
      <c r="BQ771" s="334"/>
      <c r="BR771" s="334"/>
      <c r="BS771" s="334"/>
      <c r="BT771" s="334"/>
      <c r="BU771" s="334"/>
      <c r="BV771" s="334"/>
      <c r="BW771" s="334"/>
    </row>
    <row r="772" spans="45:75" x14ac:dyDescent="0.25">
      <c r="AS772" s="202"/>
      <c r="AV772" s="202"/>
      <c r="AW772" s="200"/>
      <c r="AX772" s="334"/>
      <c r="AY772" s="334"/>
      <c r="AZ772" s="334"/>
      <c r="BA772" s="201"/>
      <c r="BB772" s="334"/>
      <c r="BC772" s="334"/>
      <c r="BD772" s="334"/>
      <c r="BE772" s="201"/>
      <c r="BG772" s="334"/>
      <c r="BH772" s="334"/>
      <c r="BI772" s="334"/>
      <c r="BJ772" s="334"/>
      <c r="BK772" s="334"/>
      <c r="BL772" s="334"/>
      <c r="BM772" s="334"/>
      <c r="BN772" s="334"/>
      <c r="BO772" s="334"/>
      <c r="BP772" s="334"/>
      <c r="BQ772" s="334"/>
      <c r="BR772" s="334"/>
      <c r="BS772" s="334"/>
      <c r="BT772" s="334"/>
      <c r="BU772" s="334"/>
      <c r="BV772" s="334"/>
      <c r="BW772" s="334"/>
    </row>
    <row r="773" spans="45:75" x14ac:dyDescent="0.25">
      <c r="AS773" s="202"/>
      <c r="AV773" s="202"/>
      <c r="AW773" s="200"/>
      <c r="AX773" s="334"/>
      <c r="AY773" s="334"/>
      <c r="AZ773" s="334"/>
      <c r="BA773" s="201"/>
      <c r="BB773" s="334"/>
      <c r="BC773" s="334"/>
      <c r="BD773" s="334"/>
      <c r="BE773" s="201"/>
      <c r="BG773" s="334"/>
      <c r="BH773" s="334"/>
      <c r="BI773" s="334"/>
      <c r="BJ773" s="334"/>
      <c r="BK773" s="334"/>
      <c r="BL773" s="334"/>
      <c r="BM773" s="334"/>
      <c r="BN773" s="334"/>
      <c r="BO773" s="334"/>
      <c r="BP773" s="334"/>
      <c r="BQ773" s="334"/>
      <c r="BR773" s="334"/>
      <c r="BS773" s="334"/>
      <c r="BT773" s="334"/>
      <c r="BU773" s="334"/>
      <c r="BV773" s="334"/>
      <c r="BW773" s="334"/>
    </row>
    <row r="774" spans="45:75" x14ac:dyDescent="0.25">
      <c r="AS774" s="202"/>
      <c r="AV774" s="202"/>
      <c r="AW774" s="200"/>
      <c r="AX774" s="334"/>
      <c r="AY774" s="334"/>
      <c r="AZ774" s="334"/>
      <c r="BA774" s="201"/>
      <c r="BB774" s="334"/>
      <c r="BC774" s="334"/>
      <c r="BD774" s="334"/>
      <c r="BE774" s="201"/>
      <c r="BG774" s="334"/>
      <c r="BH774" s="334"/>
      <c r="BI774" s="334"/>
      <c r="BJ774" s="334"/>
      <c r="BK774" s="334"/>
      <c r="BL774" s="334"/>
      <c r="BM774" s="334"/>
      <c r="BN774" s="334"/>
      <c r="BO774" s="334"/>
      <c r="BP774" s="334"/>
      <c r="BQ774" s="334"/>
      <c r="BR774" s="334"/>
      <c r="BS774" s="334"/>
      <c r="BT774" s="334"/>
      <c r="BU774" s="334"/>
      <c r="BV774" s="334"/>
      <c r="BW774" s="334"/>
    </row>
    <row r="775" spans="45:75" x14ac:dyDescent="0.25">
      <c r="AS775" s="202"/>
      <c r="AV775" s="202"/>
      <c r="AW775" s="200"/>
      <c r="AX775" s="334"/>
      <c r="AY775" s="334"/>
      <c r="AZ775" s="334"/>
      <c r="BA775" s="201"/>
      <c r="BB775" s="334"/>
      <c r="BC775" s="334"/>
      <c r="BD775" s="334"/>
      <c r="BE775" s="201"/>
      <c r="BG775" s="334"/>
      <c r="BH775" s="334"/>
      <c r="BI775" s="334"/>
      <c r="BJ775" s="334"/>
      <c r="BK775" s="334"/>
      <c r="BL775" s="334"/>
      <c r="BM775" s="334"/>
      <c r="BN775" s="334"/>
      <c r="BO775" s="334"/>
      <c r="BP775" s="334"/>
      <c r="BQ775" s="334"/>
      <c r="BR775" s="334"/>
      <c r="BS775" s="334"/>
      <c r="BT775" s="334"/>
      <c r="BU775" s="334"/>
      <c r="BV775" s="334"/>
      <c r="BW775" s="334"/>
    </row>
    <row r="776" spans="45:75" x14ac:dyDescent="0.25">
      <c r="AS776" s="202"/>
      <c r="AV776" s="202"/>
      <c r="AW776" s="200"/>
      <c r="AX776" s="334"/>
      <c r="AY776" s="334"/>
      <c r="AZ776" s="334"/>
      <c r="BA776" s="201"/>
      <c r="BB776" s="334"/>
      <c r="BC776" s="334"/>
      <c r="BD776" s="334"/>
      <c r="BE776" s="201"/>
      <c r="BG776" s="334"/>
      <c r="BH776" s="334"/>
      <c r="BI776" s="334"/>
      <c r="BJ776" s="334"/>
      <c r="BK776" s="334"/>
      <c r="BL776" s="334"/>
      <c r="BM776" s="334"/>
      <c r="BN776" s="334"/>
      <c r="BO776" s="334"/>
      <c r="BP776" s="334"/>
      <c r="BQ776" s="334"/>
      <c r="BR776" s="334"/>
      <c r="BS776" s="334"/>
      <c r="BT776" s="334"/>
      <c r="BU776" s="334"/>
      <c r="BV776" s="334"/>
      <c r="BW776" s="334"/>
    </row>
    <row r="777" spans="45:75" x14ac:dyDescent="0.25">
      <c r="AS777" s="202"/>
      <c r="AV777" s="202"/>
      <c r="AW777" s="200"/>
      <c r="AX777" s="334"/>
      <c r="AY777" s="334"/>
      <c r="AZ777" s="334"/>
      <c r="BA777" s="201"/>
      <c r="BB777" s="334"/>
      <c r="BC777" s="334"/>
      <c r="BD777" s="334"/>
      <c r="BE777" s="201"/>
      <c r="BG777" s="334"/>
      <c r="BH777" s="334"/>
      <c r="BI777" s="334"/>
      <c r="BJ777" s="334"/>
      <c r="BK777" s="334"/>
      <c r="BL777" s="334"/>
      <c r="BM777" s="334"/>
      <c r="BN777" s="334"/>
      <c r="BO777" s="334"/>
      <c r="BP777" s="334"/>
      <c r="BQ777" s="334"/>
      <c r="BR777" s="334"/>
      <c r="BS777" s="334"/>
      <c r="BT777" s="334"/>
      <c r="BU777" s="334"/>
      <c r="BV777" s="334"/>
      <c r="BW777" s="334"/>
    </row>
    <row r="778" spans="45:75" x14ac:dyDescent="0.25">
      <c r="AS778" s="202"/>
      <c r="AV778" s="202"/>
      <c r="AW778" s="200"/>
      <c r="AX778" s="334"/>
      <c r="AY778" s="334"/>
      <c r="AZ778" s="334"/>
      <c r="BA778" s="201"/>
      <c r="BB778" s="334"/>
      <c r="BC778" s="334"/>
      <c r="BD778" s="334"/>
      <c r="BE778" s="201"/>
      <c r="BG778" s="334"/>
      <c r="BH778" s="334"/>
      <c r="BI778" s="334"/>
      <c r="BJ778" s="334"/>
      <c r="BK778" s="334"/>
      <c r="BL778" s="334"/>
      <c r="BM778" s="334"/>
      <c r="BN778" s="334"/>
      <c r="BO778" s="334"/>
      <c r="BP778" s="334"/>
      <c r="BQ778" s="334"/>
      <c r="BR778" s="334"/>
      <c r="BS778" s="334"/>
      <c r="BT778" s="334"/>
      <c r="BU778" s="334"/>
      <c r="BV778" s="334"/>
      <c r="BW778" s="334"/>
    </row>
    <row r="779" spans="45:75" x14ac:dyDescent="0.25">
      <c r="AS779" s="202"/>
      <c r="AV779" s="202"/>
      <c r="AW779" s="200"/>
      <c r="AX779" s="334"/>
      <c r="AY779" s="334"/>
      <c r="AZ779" s="334"/>
      <c r="BA779" s="201"/>
      <c r="BB779" s="334"/>
      <c r="BC779" s="334"/>
      <c r="BD779" s="334"/>
      <c r="BE779" s="201"/>
      <c r="BG779" s="334"/>
      <c r="BH779" s="334"/>
      <c r="BI779" s="334"/>
      <c r="BJ779" s="334"/>
      <c r="BK779" s="334"/>
      <c r="BL779" s="334"/>
      <c r="BM779" s="334"/>
      <c r="BN779" s="334"/>
      <c r="BO779" s="334"/>
      <c r="BP779" s="334"/>
      <c r="BQ779" s="334"/>
      <c r="BR779" s="334"/>
      <c r="BS779" s="334"/>
      <c r="BT779" s="334"/>
      <c r="BU779" s="334"/>
      <c r="BV779" s="334"/>
      <c r="BW779" s="334"/>
    </row>
    <row r="780" spans="45:75" x14ac:dyDescent="0.25">
      <c r="AS780" s="202"/>
      <c r="AV780" s="202"/>
      <c r="AW780" s="200"/>
      <c r="AX780" s="334"/>
      <c r="AY780" s="334"/>
      <c r="AZ780" s="334"/>
      <c r="BA780" s="201"/>
      <c r="BB780" s="334"/>
      <c r="BC780" s="334"/>
      <c r="BD780" s="334"/>
      <c r="BE780" s="201"/>
      <c r="BG780" s="334"/>
      <c r="BH780" s="334"/>
      <c r="BI780" s="334"/>
      <c r="BJ780" s="334"/>
      <c r="BK780" s="334"/>
      <c r="BL780" s="334"/>
      <c r="BM780" s="334"/>
      <c r="BN780" s="334"/>
      <c r="BO780" s="334"/>
      <c r="BP780" s="334"/>
      <c r="BQ780" s="334"/>
      <c r="BR780" s="334"/>
      <c r="BS780" s="334"/>
      <c r="BT780" s="334"/>
      <c r="BU780" s="334"/>
      <c r="BV780" s="334"/>
      <c r="BW780" s="334"/>
    </row>
    <row r="781" spans="45:75" x14ac:dyDescent="0.25">
      <c r="AS781" s="202"/>
      <c r="AV781" s="202"/>
      <c r="AW781" s="200"/>
      <c r="AX781" s="334"/>
      <c r="AY781" s="334"/>
      <c r="AZ781" s="334"/>
      <c r="BA781" s="201"/>
      <c r="BB781" s="334"/>
      <c r="BC781" s="334"/>
      <c r="BD781" s="334"/>
      <c r="BE781" s="201"/>
      <c r="BG781" s="334"/>
      <c r="BH781" s="334"/>
      <c r="BI781" s="334"/>
      <c r="BJ781" s="334"/>
      <c r="BK781" s="334"/>
      <c r="BL781" s="334"/>
      <c r="BM781" s="334"/>
      <c r="BN781" s="334"/>
      <c r="BO781" s="334"/>
      <c r="BP781" s="334"/>
      <c r="BQ781" s="334"/>
      <c r="BR781" s="334"/>
      <c r="BS781" s="334"/>
      <c r="BT781" s="334"/>
      <c r="BU781" s="334"/>
      <c r="BV781" s="334"/>
      <c r="BW781" s="334"/>
    </row>
    <row r="782" spans="45:75" x14ac:dyDescent="0.25">
      <c r="AS782" s="202"/>
      <c r="AV782" s="202"/>
      <c r="AW782" s="200"/>
      <c r="AX782" s="334"/>
      <c r="AY782" s="334"/>
      <c r="AZ782" s="334"/>
      <c r="BA782" s="201"/>
      <c r="BB782" s="334"/>
      <c r="BC782" s="334"/>
      <c r="BD782" s="334"/>
      <c r="BE782" s="201"/>
      <c r="BG782" s="334"/>
      <c r="BH782" s="334"/>
      <c r="BI782" s="334"/>
      <c r="BJ782" s="334"/>
      <c r="BK782" s="334"/>
      <c r="BL782" s="334"/>
      <c r="BM782" s="334"/>
      <c r="BN782" s="334"/>
      <c r="BO782" s="334"/>
      <c r="BP782" s="334"/>
      <c r="BQ782" s="334"/>
      <c r="BR782" s="334"/>
      <c r="BS782" s="334"/>
      <c r="BT782" s="334"/>
      <c r="BU782" s="334"/>
      <c r="BV782" s="334"/>
      <c r="BW782" s="334"/>
    </row>
    <row r="783" spans="45:75" x14ac:dyDescent="0.25">
      <c r="AS783" s="202"/>
      <c r="AV783" s="202"/>
      <c r="AW783" s="200"/>
      <c r="AX783" s="334"/>
      <c r="AY783" s="334"/>
      <c r="AZ783" s="334"/>
      <c r="BA783" s="201"/>
      <c r="BB783" s="334"/>
      <c r="BC783" s="334"/>
      <c r="BD783" s="334"/>
      <c r="BE783" s="201"/>
      <c r="BG783" s="334"/>
      <c r="BH783" s="334"/>
      <c r="BI783" s="334"/>
      <c r="BJ783" s="334"/>
      <c r="BK783" s="334"/>
      <c r="BL783" s="334"/>
      <c r="BM783" s="334"/>
      <c r="BN783" s="334"/>
      <c r="BO783" s="334"/>
      <c r="BP783" s="334"/>
      <c r="BQ783" s="334"/>
      <c r="BR783" s="334"/>
      <c r="BS783" s="334"/>
      <c r="BT783" s="334"/>
      <c r="BU783" s="334"/>
      <c r="BV783" s="334"/>
      <c r="BW783" s="334"/>
    </row>
    <row r="784" spans="45:75" x14ac:dyDescent="0.25">
      <c r="AS784" s="202"/>
      <c r="AV784" s="202"/>
      <c r="AW784" s="200"/>
      <c r="AX784" s="334"/>
      <c r="AY784" s="334"/>
      <c r="AZ784" s="334"/>
      <c r="BA784" s="201"/>
      <c r="BB784" s="334"/>
      <c r="BC784" s="334"/>
      <c r="BD784" s="334"/>
      <c r="BE784" s="201"/>
      <c r="BG784" s="334"/>
      <c r="BH784" s="334"/>
      <c r="BI784" s="334"/>
      <c r="BJ784" s="334"/>
      <c r="BK784" s="334"/>
      <c r="BL784" s="334"/>
      <c r="BM784" s="334"/>
      <c r="BN784" s="334"/>
      <c r="BO784" s="334"/>
      <c r="BP784" s="334"/>
      <c r="BQ784" s="334"/>
      <c r="BR784" s="334"/>
      <c r="BS784" s="334"/>
      <c r="BT784" s="334"/>
      <c r="BU784" s="334"/>
      <c r="BV784" s="334"/>
      <c r="BW784" s="334"/>
    </row>
    <row r="785" spans="45:75" x14ac:dyDescent="0.25">
      <c r="AS785" s="202"/>
      <c r="AV785" s="202"/>
      <c r="AW785" s="200"/>
      <c r="AX785" s="334"/>
      <c r="AY785" s="334"/>
      <c r="AZ785" s="334"/>
      <c r="BA785" s="201"/>
      <c r="BB785" s="334"/>
      <c r="BC785" s="334"/>
      <c r="BD785" s="334"/>
      <c r="BE785" s="201"/>
      <c r="BG785" s="334"/>
      <c r="BH785" s="334"/>
      <c r="BI785" s="334"/>
      <c r="BJ785" s="334"/>
      <c r="BK785" s="334"/>
      <c r="BL785" s="334"/>
      <c r="BM785" s="334"/>
      <c r="BN785" s="334"/>
      <c r="BO785" s="334"/>
      <c r="BP785" s="334"/>
      <c r="BQ785" s="334"/>
      <c r="BR785" s="334"/>
      <c r="BS785" s="334"/>
      <c r="BT785" s="334"/>
      <c r="BU785" s="334"/>
      <c r="BV785" s="334"/>
      <c r="BW785" s="334"/>
    </row>
    <row r="786" spans="45:75" x14ac:dyDescent="0.25">
      <c r="AW786" s="200"/>
      <c r="AX786" s="334"/>
      <c r="AY786" s="334"/>
      <c r="AZ786" s="334"/>
      <c r="BA786" s="201"/>
      <c r="BB786" s="334"/>
      <c r="BC786" s="334"/>
      <c r="BD786" s="334"/>
      <c r="BE786" s="201"/>
      <c r="BG786" s="102"/>
      <c r="BH786" s="102"/>
      <c r="BI786" s="154"/>
      <c r="BM786" s="102"/>
      <c r="BN786" s="102"/>
      <c r="BO786" s="334"/>
      <c r="BP786" s="102"/>
      <c r="BQ786" s="102"/>
      <c r="BR786" s="154"/>
      <c r="BV786" s="102"/>
      <c r="BW786" s="102"/>
    </row>
    <row r="787" spans="45:75" x14ac:dyDescent="0.25">
      <c r="AS787" s="202"/>
      <c r="AU787" s="154"/>
      <c r="AV787" s="103"/>
      <c r="AW787" s="200"/>
      <c r="AX787" s="334"/>
      <c r="AY787" s="334"/>
      <c r="AZ787" s="334"/>
      <c r="BA787" s="201"/>
      <c r="BB787" s="334"/>
      <c r="BC787" s="334"/>
      <c r="BD787" s="334"/>
      <c r="BE787" s="201"/>
      <c r="BG787" s="336"/>
      <c r="BH787" s="334"/>
      <c r="BI787" s="334"/>
      <c r="BJ787" s="334"/>
      <c r="BK787" s="336"/>
      <c r="BL787" s="337"/>
      <c r="BM787" s="334"/>
      <c r="BN787" s="336"/>
      <c r="BO787" s="334"/>
      <c r="BP787" s="336"/>
      <c r="BQ787" s="334"/>
      <c r="BR787" s="334"/>
      <c r="BS787" s="334"/>
      <c r="BT787" s="336"/>
      <c r="BU787" s="337"/>
      <c r="BV787" s="334"/>
      <c r="BW787" s="336"/>
    </row>
    <row r="788" spans="45:75" x14ac:dyDescent="0.25">
      <c r="AS788" s="202"/>
      <c r="AV788" s="103"/>
      <c r="AW788" s="200"/>
      <c r="AX788" s="334"/>
      <c r="AY788" s="334"/>
      <c r="AZ788" s="334"/>
      <c r="BA788" s="201"/>
      <c r="BB788" s="334"/>
      <c r="BC788" s="334"/>
      <c r="BD788" s="334"/>
      <c r="BE788" s="201"/>
      <c r="BG788" s="334"/>
      <c r="BH788" s="334"/>
      <c r="BI788" s="334"/>
      <c r="BJ788" s="334"/>
      <c r="BK788" s="334"/>
      <c r="BL788" s="337"/>
      <c r="BM788" s="334"/>
      <c r="BN788" s="334"/>
      <c r="BO788" s="334"/>
      <c r="BP788" s="334"/>
      <c r="BQ788" s="334"/>
      <c r="BR788" s="334"/>
      <c r="BS788" s="334"/>
      <c r="BT788" s="334"/>
      <c r="BU788" s="337"/>
      <c r="BV788" s="334"/>
      <c r="BW788" s="334"/>
    </row>
    <row r="789" spans="45:75" x14ac:dyDescent="0.25">
      <c r="AS789" s="202"/>
      <c r="AV789" s="103"/>
      <c r="AW789" s="200"/>
      <c r="AX789" s="334"/>
      <c r="AY789" s="334"/>
      <c r="AZ789" s="334"/>
      <c r="BA789" s="201"/>
      <c r="BB789" s="334"/>
      <c r="BC789" s="334"/>
      <c r="BD789" s="334"/>
      <c r="BE789" s="201"/>
      <c r="BG789" s="334"/>
      <c r="BH789" s="334"/>
      <c r="BI789" s="334"/>
      <c r="BJ789" s="334"/>
      <c r="BK789" s="334"/>
      <c r="BL789" s="337"/>
      <c r="BM789" s="334"/>
      <c r="BN789" s="334"/>
      <c r="BO789" s="334"/>
      <c r="BP789" s="334"/>
      <c r="BQ789" s="334"/>
      <c r="BR789" s="334"/>
      <c r="BS789" s="334"/>
      <c r="BT789" s="334"/>
      <c r="BU789" s="337"/>
      <c r="BV789" s="334"/>
      <c r="BW789" s="334"/>
    </row>
    <row r="790" spans="45:75" x14ac:dyDescent="0.25">
      <c r="AS790" s="202"/>
      <c r="AV790" s="103"/>
      <c r="AW790" s="200"/>
      <c r="AX790" s="334"/>
      <c r="AY790" s="334"/>
      <c r="AZ790" s="334"/>
      <c r="BA790" s="201"/>
      <c r="BB790" s="334"/>
      <c r="BC790" s="334"/>
      <c r="BD790" s="334"/>
      <c r="BE790" s="201"/>
      <c r="BG790" s="334"/>
      <c r="BH790" s="334"/>
      <c r="BI790" s="334"/>
      <c r="BJ790" s="334"/>
      <c r="BK790" s="334"/>
      <c r="BL790" s="337"/>
      <c r="BM790" s="334"/>
      <c r="BN790" s="334"/>
      <c r="BO790" s="334"/>
      <c r="BP790" s="334"/>
      <c r="BQ790" s="334"/>
      <c r="BR790" s="334"/>
      <c r="BS790" s="334"/>
      <c r="BT790" s="334"/>
      <c r="BU790" s="337"/>
      <c r="BV790" s="334"/>
      <c r="BW790" s="334"/>
    </row>
    <row r="791" spans="45:75" x14ac:dyDescent="0.25">
      <c r="AX791" s="334"/>
      <c r="AY791" s="334"/>
      <c r="AZ791" s="334"/>
      <c r="BA791" s="201"/>
      <c r="BB791" s="334"/>
      <c r="BC791" s="334"/>
      <c r="BD791" s="334"/>
      <c r="BE791" s="201"/>
      <c r="BG791" s="334"/>
      <c r="BH791" s="334"/>
      <c r="BI791" s="334"/>
      <c r="BJ791" s="334"/>
      <c r="BK791" s="334"/>
      <c r="BL791" s="334"/>
      <c r="BM791" s="334"/>
      <c r="BN791" s="334"/>
      <c r="BO791" s="334"/>
      <c r="BP791" s="334"/>
      <c r="BQ791" s="334"/>
      <c r="BR791" s="334"/>
      <c r="BS791" s="334"/>
      <c r="BT791" s="334"/>
      <c r="BU791" s="334"/>
      <c r="BV791" s="334"/>
    </row>
    <row r="792" spans="45:75" x14ac:dyDescent="0.25">
      <c r="AU792" s="154"/>
    </row>
    <row r="793" spans="45:75" x14ac:dyDescent="0.25">
      <c r="AU793" s="154"/>
      <c r="AZ793" s="334"/>
      <c r="BA793" s="201"/>
      <c r="BB793" s="334"/>
      <c r="BC793" s="334"/>
      <c r="BD793" s="334"/>
      <c r="BE793" s="201"/>
      <c r="BG793" s="334"/>
      <c r="BH793" s="334"/>
      <c r="BI793" s="334"/>
      <c r="BJ793" s="334"/>
      <c r="BK793" s="334"/>
      <c r="BL793" s="334"/>
      <c r="BM793" s="334"/>
      <c r="BN793" s="334"/>
      <c r="BO793" s="334"/>
      <c r="BP793" s="334"/>
      <c r="BQ793" s="334"/>
      <c r="BR793" s="334"/>
      <c r="BS793" s="334"/>
      <c r="BT793" s="334"/>
      <c r="BU793" s="334"/>
      <c r="BV793" s="334"/>
    </row>
    <row r="794" spans="45:75" x14ac:dyDescent="0.25">
      <c r="AS794" s="154"/>
      <c r="AZ794" s="334"/>
      <c r="BB794" s="334"/>
    </row>
    <row r="795" spans="45:75" x14ac:dyDescent="0.25">
      <c r="AY795" s="202"/>
      <c r="AZ795" s="334"/>
      <c r="BB795" s="334"/>
      <c r="BO795" s="334"/>
      <c r="BP795" s="334"/>
      <c r="BQ795" s="334"/>
      <c r="BR795" s="334"/>
      <c r="BS795" s="334"/>
      <c r="BT795" s="334"/>
      <c r="BU795" s="334"/>
      <c r="BV795" s="334"/>
    </row>
    <row r="796" spans="45:75" x14ac:dyDescent="0.25">
      <c r="AY796" s="334"/>
      <c r="AZ796" s="334"/>
      <c r="BB796" s="334"/>
      <c r="BO796" s="334"/>
      <c r="BP796" s="334"/>
      <c r="BQ796" s="334"/>
      <c r="BR796" s="334"/>
      <c r="BS796" s="334"/>
      <c r="BT796" s="334"/>
      <c r="BU796" s="334"/>
      <c r="BV796" s="334"/>
    </row>
    <row r="797" spans="45:75" x14ac:dyDescent="0.25">
      <c r="AY797" s="154"/>
      <c r="AZ797" s="334"/>
      <c r="BB797" s="334"/>
      <c r="BO797" s="334"/>
      <c r="BP797" s="334"/>
      <c r="BQ797" s="334"/>
      <c r="BR797" s="334"/>
      <c r="BS797" s="334"/>
      <c r="BT797" s="334"/>
      <c r="BU797" s="334"/>
      <c r="BV797" s="334"/>
    </row>
    <row r="798" spans="45:75" x14ac:dyDescent="0.25">
      <c r="AY798" s="154"/>
      <c r="AZ798" s="334"/>
      <c r="BB798" s="334"/>
      <c r="BO798" s="334"/>
      <c r="BP798" s="334"/>
      <c r="BQ798" s="334"/>
      <c r="BR798" s="334"/>
      <c r="BS798" s="334"/>
      <c r="BT798" s="334"/>
      <c r="BU798" s="334"/>
      <c r="BV798" s="334"/>
    </row>
    <row r="799" spans="45:75" x14ac:dyDescent="0.25">
      <c r="AS799" s="202"/>
      <c r="AZ799" s="334"/>
      <c r="BB799" s="334"/>
      <c r="BD799" s="154"/>
      <c r="BO799" s="334"/>
      <c r="BP799" s="334"/>
      <c r="BQ799" s="334"/>
      <c r="BR799" s="334"/>
      <c r="BS799" s="334"/>
      <c r="BT799" s="334"/>
      <c r="BU799" s="334"/>
      <c r="BV799" s="334"/>
    </row>
    <row r="800" spans="45:75" x14ac:dyDescent="0.25">
      <c r="AS800" s="202"/>
      <c r="AZ800" s="334"/>
      <c r="BB800" s="334"/>
      <c r="BD800" s="154"/>
      <c r="BO800" s="334"/>
      <c r="BP800" s="334"/>
      <c r="BQ800" s="334"/>
      <c r="BR800" s="334"/>
      <c r="BS800" s="334"/>
      <c r="BT800" s="334"/>
      <c r="BU800" s="334"/>
      <c r="BV800" s="334"/>
    </row>
    <row r="801" spans="45:74" x14ac:dyDescent="0.25">
      <c r="AS801" s="154"/>
      <c r="AZ801" s="334"/>
      <c r="BB801" s="334"/>
      <c r="BD801" s="154"/>
      <c r="BO801" s="334"/>
      <c r="BP801" s="334"/>
      <c r="BQ801" s="334"/>
      <c r="BR801" s="334"/>
      <c r="BS801" s="334"/>
      <c r="BT801" s="334"/>
      <c r="BU801" s="334"/>
      <c r="BV801" s="334"/>
    </row>
    <row r="802" spans="45:74" x14ac:dyDescent="0.25">
      <c r="AZ802" s="334"/>
      <c r="BB802" s="334"/>
      <c r="BD802" s="202"/>
      <c r="BO802" s="334"/>
      <c r="BP802" s="334"/>
      <c r="BQ802" s="334"/>
      <c r="BR802" s="334"/>
      <c r="BS802" s="334"/>
      <c r="BT802" s="334"/>
      <c r="BU802" s="334"/>
      <c r="BV802" s="334"/>
    </row>
    <row r="803" spans="45:74" x14ac:dyDescent="0.25">
      <c r="AS803" s="102"/>
      <c r="AT803" s="102"/>
      <c r="AU803" s="102"/>
      <c r="AV803" s="102"/>
      <c r="AW803" s="102"/>
      <c r="AX803" s="102"/>
      <c r="AY803" s="102"/>
      <c r="AZ803" s="335"/>
      <c r="BA803" s="102"/>
      <c r="BB803" s="335"/>
      <c r="BC803" s="102"/>
      <c r="BD803" s="102"/>
      <c r="BE803" s="102"/>
      <c r="BO803" s="334"/>
      <c r="BP803" s="334"/>
      <c r="BQ803" s="334"/>
      <c r="BR803" s="334"/>
      <c r="BS803" s="334"/>
      <c r="BT803" s="334"/>
      <c r="BU803" s="334"/>
      <c r="BV803" s="334"/>
    </row>
    <row r="804" spans="45:74" x14ac:dyDescent="0.25">
      <c r="AX804" s="154"/>
      <c r="AZ804" s="334"/>
      <c r="BB804" s="334"/>
      <c r="BO804" s="334"/>
      <c r="BP804" s="334"/>
      <c r="BQ804" s="334"/>
      <c r="BR804" s="334"/>
      <c r="BS804" s="334"/>
      <c r="BT804" s="334"/>
      <c r="BU804" s="334"/>
      <c r="BV804" s="334"/>
    </row>
    <row r="805" spans="45:74" x14ac:dyDescent="0.25">
      <c r="AX805" s="102"/>
      <c r="AY805" s="102"/>
      <c r="AZ805" s="335"/>
      <c r="BA805" s="102"/>
      <c r="BB805" s="334"/>
      <c r="BC805" s="103"/>
      <c r="BD805" s="103"/>
      <c r="BO805" s="334"/>
      <c r="BP805" s="334"/>
      <c r="BQ805" s="334"/>
      <c r="BR805" s="334"/>
      <c r="BS805" s="334"/>
      <c r="BT805" s="334"/>
      <c r="BU805" s="334"/>
      <c r="BV805" s="334"/>
    </row>
    <row r="806" spans="45:74" x14ac:dyDescent="0.25">
      <c r="AV806" s="103"/>
      <c r="AW806" s="103"/>
      <c r="AZ806" s="336"/>
      <c r="BA806" s="103"/>
      <c r="BB806" s="334"/>
      <c r="BC806" s="103"/>
      <c r="BD806" s="103"/>
      <c r="BE806" s="103"/>
      <c r="BG806" s="102"/>
      <c r="BH806" s="154"/>
      <c r="BK806" s="102"/>
      <c r="BM806" s="102"/>
      <c r="BN806" s="154"/>
      <c r="BQ806" s="102"/>
    </row>
    <row r="807" spans="45:74" x14ac:dyDescent="0.25">
      <c r="AV807" s="103"/>
      <c r="AW807" s="103"/>
      <c r="AX807" s="103"/>
      <c r="AY807" s="103"/>
      <c r="AZ807" s="336"/>
      <c r="BA807" s="103"/>
      <c r="BB807" s="336"/>
      <c r="BC807" s="103"/>
      <c r="BD807" s="103"/>
      <c r="BE807" s="103"/>
      <c r="BH807" s="103"/>
      <c r="BI807" s="103"/>
      <c r="BN807" s="103"/>
      <c r="BO807" s="103"/>
    </row>
    <row r="808" spans="45:74" x14ac:dyDescent="0.25">
      <c r="AS808" s="103"/>
      <c r="AU808" s="154"/>
      <c r="AV808" s="103"/>
      <c r="AW808" s="103"/>
      <c r="AX808" s="103"/>
      <c r="AY808" s="103"/>
      <c r="AZ808" s="336"/>
      <c r="BA808" s="103"/>
      <c r="BB808" s="336"/>
      <c r="BC808" s="103"/>
      <c r="BD808" s="103"/>
      <c r="BE808" s="103"/>
      <c r="BG808" s="103"/>
      <c r="BH808" s="103"/>
      <c r="BI808" s="103"/>
      <c r="BJ808" s="103"/>
      <c r="BK808" s="103"/>
      <c r="BM808" s="103"/>
      <c r="BN808" s="103"/>
      <c r="BO808" s="103"/>
      <c r="BP808" s="103"/>
      <c r="BQ808" s="103"/>
    </row>
    <row r="809" spans="45:74" x14ac:dyDescent="0.25">
      <c r="AS809" s="103"/>
      <c r="AU809" s="154"/>
      <c r="AV809" s="103"/>
      <c r="AW809" s="103"/>
      <c r="AX809" s="103"/>
      <c r="AY809" s="103"/>
      <c r="AZ809" s="336"/>
      <c r="BA809" s="103"/>
      <c r="BB809" s="336"/>
      <c r="BC809" s="103"/>
      <c r="BD809" s="103"/>
      <c r="BE809" s="103"/>
      <c r="BG809" s="103"/>
      <c r="BH809" s="103"/>
      <c r="BI809" s="103"/>
      <c r="BJ809" s="103"/>
      <c r="BK809" s="103"/>
      <c r="BM809" s="103"/>
      <c r="BN809" s="103"/>
      <c r="BO809" s="103"/>
      <c r="BP809" s="103"/>
      <c r="BQ809" s="103"/>
    </row>
    <row r="810" spans="45:74" x14ac:dyDescent="0.25">
      <c r="AS810" s="102"/>
      <c r="AT810" s="102"/>
      <c r="AU810" s="102"/>
      <c r="AV810" s="102"/>
      <c r="AW810" s="102"/>
      <c r="AX810" s="102"/>
      <c r="AY810" s="102"/>
      <c r="AZ810" s="335"/>
      <c r="BA810" s="102"/>
      <c r="BB810" s="335"/>
      <c r="BC810" s="102"/>
      <c r="BD810" s="102"/>
      <c r="BE810" s="102"/>
      <c r="BG810" s="102"/>
      <c r="BH810" s="102"/>
      <c r="BI810" s="102"/>
      <c r="BJ810" s="102"/>
      <c r="BK810" s="102"/>
      <c r="BM810" s="102"/>
      <c r="BN810" s="102"/>
      <c r="BO810" s="102"/>
      <c r="BP810" s="102"/>
      <c r="BQ810" s="102"/>
    </row>
    <row r="811" spans="45:74" x14ac:dyDescent="0.25">
      <c r="AV811" s="103"/>
      <c r="AW811" s="103"/>
      <c r="AX811" s="103"/>
      <c r="AY811" s="103"/>
      <c r="AZ811" s="336"/>
      <c r="BA811" s="103"/>
      <c r="BB811" s="336"/>
      <c r="BC811" s="103"/>
      <c r="BD811" s="103"/>
      <c r="BE811" s="103"/>
      <c r="BG811" s="334"/>
      <c r="BH811" s="334"/>
      <c r="BI811" s="334"/>
      <c r="BJ811" s="334"/>
      <c r="BK811" s="334"/>
      <c r="BL811" s="334"/>
      <c r="BM811" s="334"/>
      <c r="BN811" s="334"/>
      <c r="BO811" s="334"/>
      <c r="BP811" s="334"/>
      <c r="BQ811" s="334"/>
    </row>
    <row r="812" spans="45:74" x14ac:dyDescent="0.25">
      <c r="AS812" s="202"/>
      <c r="AT812" s="154"/>
      <c r="AV812" s="200"/>
      <c r="AW812" s="200"/>
      <c r="AX812" s="334"/>
      <c r="AY812" s="334"/>
      <c r="AZ812" s="334"/>
      <c r="BA812" s="201"/>
      <c r="BB812" s="334"/>
      <c r="BC812" s="334"/>
      <c r="BD812" s="334"/>
      <c r="BE812" s="201"/>
      <c r="BG812" s="334"/>
      <c r="BH812" s="334"/>
      <c r="BI812" s="334"/>
      <c r="BJ812" s="334"/>
      <c r="BK812" s="334"/>
      <c r="BL812" s="334"/>
      <c r="BM812" s="334"/>
      <c r="BN812" s="334"/>
      <c r="BO812" s="334"/>
      <c r="BP812" s="334"/>
      <c r="BQ812" s="334"/>
      <c r="BR812" s="334"/>
      <c r="BS812" s="334"/>
    </row>
    <row r="813" spans="45:74" x14ac:dyDescent="0.25">
      <c r="AS813" s="202"/>
      <c r="AV813" s="200"/>
      <c r="AW813" s="200"/>
      <c r="AX813" s="334"/>
      <c r="AY813" s="334"/>
      <c r="AZ813" s="334"/>
      <c r="BA813" s="201"/>
      <c r="BB813" s="334"/>
      <c r="BC813" s="334"/>
      <c r="BD813" s="334"/>
      <c r="BE813" s="201"/>
      <c r="BG813" s="334"/>
      <c r="BH813" s="334"/>
      <c r="BI813" s="334"/>
      <c r="BJ813" s="334"/>
      <c r="BK813" s="334"/>
      <c r="BL813" s="334"/>
      <c r="BM813" s="334"/>
      <c r="BN813" s="334"/>
      <c r="BO813" s="334"/>
      <c r="BP813" s="334"/>
      <c r="BQ813" s="334"/>
      <c r="BR813" s="334"/>
      <c r="BS813" s="334"/>
    </row>
    <row r="814" spans="45:74" x14ac:dyDescent="0.25">
      <c r="AS814" s="202"/>
      <c r="AV814" s="200"/>
      <c r="AW814" s="200"/>
      <c r="AX814" s="334"/>
      <c r="AY814" s="334"/>
      <c r="AZ814" s="334"/>
      <c r="BA814" s="201"/>
      <c r="BB814" s="334"/>
      <c r="BC814" s="334"/>
      <c r="BD814" s="334"/>
      <c r="BE814" s="201"/>
      <c r="BG814" s="334"/>
      <c r="BH814" s="334"/>
      <c r="BI814" s="334"/>
      <c r="BJ814" s="334"/>
      <c r="BK814" s="334"/>
      <c r="BL814" s="334"/>
      <c r="BM814" s="334"/>
      <c r="BN814" s="334"/>
      <c r="BO814" s="334"/>
      <c r="BP814" s="334"/>
      <c r="BQ814" s="334"/>
      <c r="BR814" s="334"/>
      <c r="BS814" s="334"/>
    </row>
    <row r="815" spans="45:74" x14ac:dyDescent="0.25">
      <c r="AS815" s="202"/>
      <c r="AV815" s="200"/>
      <c r="AW815" s="200"/>
      <c r="AX815" s="334"/>
      <c r="AY815" s="334"/>
      <c r="AZ815" s="334"/>
      <c r="BA815" s="201"/>
      <c r="BB815" s="334"/>
      <c r="BC815" s="334"/>
      <c r="BD815" s="334"/>
      <c r="BE815" s="201"/>
      <c r="BG815" s="334"/>
      <c r="BH815" s="334"/>
      <c r="BI815" s="334"/>
      <c r="BJ815" s="334"/>
      <c r="BK815" s="334"/>
      <c r="BL815" s="334"/>
      <c r="BM815" s="334"/>
      <c r="BN815" s="334"/>
      <c r="BO815" s="334"/>
      <c r="BP815" s="334"/>
      <c r="BQ815" s="334"/>
      <c r="BR815" s="334"/>
      <c r="BS815" s="334"/>
    </row>
    <row r="816" spans="45:74" x14ac:dyDescent="0.25">
      <c r="AS816" s="202"/>
      <c r="AV816" s="200"/>
      <c r="AW816" s="200"/>
      <c r="AX816" s="334"/>
      <c r="AY816" s="334"/>
      <c r="AZ816" s="334"/>
      <c r="BA816" s="201"/>
      <c r="BB816" s="334"/>
      <c r="BC816" s="334"/>
      <c r="BD816" s="334"/>
      <c r="BE816" s="201"/>
      <c r="BG816" s="334"/>
      <c r="BH816" s="334"/>
      <c r="BI816" s="334"/>
      <c r="BJ816" s="334"/>
      <c r="BK816" s="334"/>
      <c r="BL816" s="334"/>
      <c r="BM816" s="334"/>
      <c r="BN816" s="334"/>
      <c r="BO816" s="334"/>
      <c r="BP816" s="334"/>
      <c r="BQ816" s="334"/>
      <c r="BR816" s="334"/>
      <c r="BS816" s="334"/>
    </row>
    <row r="817" spans="45:71" x14ac:dyDescent="0.25">
      <c r="AS817" s="202"/>
      <c r="AV817" s="200"/>
      <c r="AW817" s="200"/>
      <c r="AX817" s="334"/>
      <c r="AY817" s="334"/>
      <c r="AZ817" s="334"/>
      <c r="BA817" s="201"/>
      <c r="BB817" s="334"/>
      <c r="BC817" s="334"/>
      <c r="BD817" s="334"/>
      <c r="BE817" s="201"/>
      <c r="BG817" s="334"/>
      <c r="BH817" s="334"/>
      <c r="BI817" s="334"/>
      <c r="BJ817" s="334"/>
      <c r="BK817" s="334"/>
      <c r="BL817" s="334"/>
      <c r="BM817" s="334"/>
      <c r="BN817" s="334"/>
      <c r="BO817" s="334"/>
      <c r="BP817" s="334"/>
      <c r="BQ817" s="334"/>
      <c r="BR817" s="334"/>
      <c r="BS817" s="334"/>
    </row>
    <row r="818" spans="45:71" x14ac:dyDescent="0.25">
      <c r="AS818" s="202"/>
      <c r="AV818" s="200"/>
      <c r="AW818" s="200"/>
      <c r="AX818" s="334"/>
      <c r="AY818" s="334"/>
      <c r="AZ818" s="334"/>
      <c r="BA818" s="201"/>
      <c r="BB818" s="334"/>
      <c r="BC818" s="334"/>
      <c r="BD818" s="334"/>
      <c r="BE818" s="201"/>
      <c r="BG818" s="334"/>
      <c r="BH818" s="334"/>
      <c r="BI818" s="334"/>
      <c r="BJ818" s="334"/>
      <c r="BK818" s="334"/>
      <c r="BL818" s="334"/>
      <c r="BM818" s="334"/>
      <c r="BN818" s="334"/>
      <c r="BO818" s="334"/>
      <c r="BP818" s="334"/>
      <c r="BQ818" s="334"/>
      <c r="BR818" s="334"/>
      <c r="BS818" s="334"/>
    </row>
    <row r="819" spans="45:71" x14ac:dyDescent="0.25">
      <c r="AS819" s="202"/>
      <c r="AV819" s="200"/>
      <c r="AW819" s="200"/>
      <c r="AX819" s="334"/>
      <c r="AY819" s="334"/>
      <c r="AZ819" s="334"/>
      <c r="BA819" s="201"/>
      <c r="BB819" s="334"/>
      <c r="BC819" s="334"/>
      <c r="BD819" s="334"/>
      <c r="BE819" s="201"/>
      <c r="BG819" s="334"/>
      <c r="BH819" s="334"/>
      <c r="BI819" s="334"/>
      <c r="BJ819" s="334"/>
      <c r="BK819" s="334"/>
      <c r="BL819" s="334"/>
      <c r="BM819" s="334"/>
      <c r="BN819" s="334"/>
      <c r="BO819" s="334"/>
      <c r="BP819" s="334"/>
      <c r="BQ819" s="334"/>
      <c r="BR819" s="334"/>
      <c r="BS819" s="334"/>
    </row>
    <row r="820" spans="45:71" x14ac:dyDescent="0.25">
      <c r="AS820" s="202"/>
      <c r="AV820" s="200"/>
      <c r="AW820" s="200"/>
      <c r="AX820" s="334"/>
      <c r="AY820" s="334"/>
      <c r="AZ820" s="334"/>
      <c r="BA820" s="201"/>
      <c r="BB820" s="334"/>
      <c r="BC820" s="334"/>
      <c r="BD820" s="334"/>
      <c r="BE820" s="201"/>
      <c r="BG820" s="334"/>
      <c r="BH820" s="334"/>
      <c r="BI820" s="334"/>
      <c r="BJ820" s="334"/>
      <c r="BK820" s="334"/>
      <c r="BL820" s="334"/>
      <c r="BM820" s="334"/>
      <c r="BN820" s="334"/>
      <c r="BO820" s="334"/>
      <c r="BP820" s="334"/>
      <c r="BQ820" s="334"/>
      <c r="BR820" s="334"/>
      <c r="BS820" s="334"/>
    </row>
    <row r="821" spans="45:71" x14ac:dyDescent="0.25">
      <c r="AS821" s="202"/>
      <c r="AV821" s="200"/>
      <c r="AW821" s="200"/>
      <c r="AX821" s="334"/>
      <c r="AY821" s="334"/>
      <c r="AZ821" s="334"/>
      <c r="BA821" s="201"/>
      <c r="BB821" s="334"/>
      <c r="BC821" s="334"/>
      <c r="BD821" s="334"/>
      <c r="BE821" s="201"/>
      <c r="BG821" s="334"/>
      <c r="BH821" s="334"/>
      <c r="BI821" s="334"/>
      <c r="BJ821" s="334"/>
      <c r="BK821" s="334"/>
      <c r="BL821" s="334"/>
      <c r="BM821" s="334"/>
      <c r="BN821" s="334"/>
      <c r="BO821" s="334"/>
      <c r="BP821" s="334"/>
      <c r="BQ821" s="334"/>
      <c r="BR821" s="334"/>
      <c r="BS821" s="334"/>
    </row>
    <row r="822" spans="45:71" x14ac:dyDescent="0.25">
      <c r="AS822" s="202"/>
      <c r="AV822" s="200"/>
      <c r="AW822" s="200"/>
      <c r="AX822" s="334"/>
      <c r="AY822" s="334"/>
      <c r="AZ822" s="334"/>
      <c r="BA822" s="201"/>
      <c r="BB822" s="334"/>
      <c r="BC822" s="334"/>
      <c r="BD822" s="334"/>
      <c r="BE822" s="201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  <c r="BR822" s="334"/>
      <c r="BS822" s="334"/>
    </row>
    <row r="823" spans="45:71" x14ac:dyDescent="0.25">
      <c r="AS823" s="202"/>
      <c r="AV823" s="200"/>
      <c r="AW823" s="200"/>
      <c r="AX823" s="334"/>
      <c r="AY823" s="334"/>
      <c r="AZ823" s="334"/>
      <c r="BA823" s="201"/>
      <c r="BB823" s="334"/>
      <c r="BC823" s="334"/>
      <c r="BD823" s="334"/>
      <c r="BE823" s="201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</row>
    <row r="824" spans="45:71" x14ac:dyDescent="0.25">
      <c r="AS824" s="202"/>
      <c r="AV824" s="200"/>
      <c r="AW824" s="200"/>
      <c r="AX824" s="334"/>
      <c r="AY824" s="334"/>
      <c r="AZ824" s="334"/>
      <c r="BA824" s="201"/>
      <c r="BB824" s="334"/>
      <c r="BC824" s="334"/>
      <c r="BD824" s="334"/>
      <c r="BE824" s="201"/>
      <c r="BG824" s="334"/>
      <c r="BH824" s="334"/>
      <c r="BI824" s="334"/>
      <c r="BJ824" s="334"/>
      <c r="BK824" s="334"/>
      <c r="BL824" s="334"/>
      <c r="BM824" s="334"/>
      <c r="BN824" s="334"/>
      <c r="BO824" s="334"/>
      <c r="BP824" s="334"/>
      <c r="BQ824" s="334"/>
      <c r="BR824" s="334"/>
      <c r="BS824" s="334"/>
    </row>
    <row r="825" spans="45:71" x14ac:dyDescent="0.25">
      <c r="AS825" s="202"/>
      <c r="AV825" s="200"/>
      <c r="AW825" s="200"/>
      <c r="AX825" s="334"/>
      <c r="AY825" s="334"/>
      <c r="AZ825" s="334"/>
      <c r="BA825" s="201"/>
      <c r="BB825" s="334"/>
      <c r="BC825" s="334"/>
      <c r="BD825" s="334"/>
      <c r="BE825" s="201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  <c r="BR825" s="334"/>
      <c r="BS825" s="334"/>
    </row>
    <row r="826" spans="45:71" x14ac:dyDescent="0.25">
      <c r="AS826" s="202"/>
      <c r="AV826" s="200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</row>
    <row r="827" spans="45:71" x14ac:dyDescent="0.25">
      <c r="AS827" s="202"/>
      <c r="AV827" s="200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</row>
    <row r="828" spans="45:71" x14ac:dyDescent="0.25">
      <c r="AS828" s="202"/>
      <c r="AV828" s="200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</row>
    <row r="829" spans="45:71" x14ac:dyDescent="0.25">
      <c r="AS829" s="202"/>
      <c r="AV829" s="200"/>
      <c r="AW829" s="200"/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</row>
    <row r="830" spans="45:71" x14ac:dyDescent="0.25">
      <c r="AZ830" s="334"/>
      <c r="BB830" s="334"/>
      <c r="BC830" s="334"/>
      <c r="BD830" s="334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</row>
    <row r="831" spans="45:71" x14ac:dyDescent="0.25">
      <c r="AS831" s="202"/>
      <c r="AT831" s="154"/>
      <c r="AV831" s="200"/>
      <c r="AW831" s="200"/>
      <c r="AX831" s="334"/>
      <c r="AY831" s="334"/>
      <c r="AZ831" s="334"/>
      <c r="BA831" s="201"/>
      <c r="BB831" s="334"/>
      <c r="BC831" s="334"/>
      <c r="BD831" s="334"/>
      <c r="BE831" s="201"/>
    </row>
    <row r="832" spans="45:71" x14ac:dyDescent="0.25">
      <c r="AS832" s="202"/>
      <c r="AV832" s="200"/>
      <c r="AW832" s="200"/>
      <c r="AX832" s="334"/>
      <c r="AY832" s="334"/>
      <c r="AZ832" s="334"/>
      <c r="BA832" s="201"/>
      <c r="BB832" s="334"/>
      <c r="BC832" s="334"/>
      <c r="BD832" s="334"/>
      <c r="BE832" s="201"/>
    </row>
    <row r="833" spans="45:57" x14ac:dyDescent="0.25">
      <c r="AS833" s="202"/>
      <c r="AV833" s="200"/>
      <c r="AW833" s="200"/>
      <c r="AX833" s="334"/>
      <c r="AY833" s="334"/>
      <c r="AZ833" s="334"/>
      <c r="BA833" s="201"/>
      <c r="BB833" s="334"/>
      <c r="BC833" s="334"/>
      <c r="BD833" s="334"/>
      <c r="BE833" s="201"/>
    </row>
    <row r="834" spans="45:57" x14ac:dyDescent="0.25">
      <c r="AS834" s="202"/>
      <c r="AV834" s="200"/>
      <c r="AW834" s="200"/>
      <c r="AX834" s="334"/>
      <c r="AY834" s="334"/>
      <c r="AZ834" s="334"/>
      <c r="BA834" s="201"/>
      <c r="BB834" s="334"/>
      <c r="BC834" s="334"/>
      <c r="BD834" s="334"/>
      <c r="BE834" s="201"/>
    </row>
    <row r="835" spans="45:57" x14ac:dyDescent="0.25">
      <c r="AS835" s="202"/>
      <c r="AV835" s="200"/>
      <c r="AW835" s="200"/>
      <c r="AX835" s="334"/>
      <c r="AY835" s="334"/>
      <c r="AZ835" s="334"/>
      <c r="BA835" s="201"/>
      <c r="BB835" s="334"/>
      <c r="BC835" s="334"/>
      <c r="BD835" s="334"/>
      <c r="BE835" s="201"/>
    </row>
    <row r="836" spans="45:57" x14ac:dyDescent="0.25">
      <c r="AS836" s="202"/>
      <c r="AV836" s="200"/>
      <c r="AW836" s="200"/>
      <c r="AX836" s="334"/>
      <c r="AY836" s="334"/>
      <c r="AZ836" s="334"/>
      <c r="BA836" s="201"/>
      <c r="BB836" s="334"/>
      <c r="BC836" s="334"/>
      <c r="BD836" s="334"/>
      <c r="BE836" s="201"/>
    </row>
    <row r="837" spans="45:57" x14ac:dyDescent="0.25">
      <c r="AS837" s="202"/>
      <c r="AV837" s="200"/>
      <c r="AW837" s="200"/>
      <c r="AX837" s="334"/>
      <c r="AY837" s="334"/>
      <c r="AZ837" s="334"/>
      <c r="BA837" s="201"/>
      <c r="BB837" s="334"/>
      <c r="BC837" s="334"/>
      <c r="BD837" s="334"/>
      <c r="BE837" s="201"/>
    </row>
    <row r="838" spans="45:57" x14ac:dyDescent="0.25">
      <c r="AS838" s="202"/>
      <c r="AV838" s="200"/>
      <c r="AW838" s="200"/>
      <c r="AX838" s="334"/>
      <c r="AY838" s="334"/>
      <c r="AZ838" s="334"/>
      <c r="BA838" s="201"/>
      <c r="BB838" s="334"/>
      <c r="BC838" s="334"/>
      <c r="BD838" s="334"/>
      <c r="BE838" s="201"/>
    </row>
    <row r="839" spans="45:57" x14ac:dyDescent="0.25">
      <c r="AS839" s="202"/>
      <c r="AV839" s="200"/>
      <c r="AW839" s="200"/>
      <c r="AX839" s="334"/>
      <c r="AY839" s="334"/>
      <c r="AZ839" s="334"/>
      <c r="BA839" s="201"/>
      <c r="BB839" s="334"/>
      <c r="BC839" s="334"/>
      <c r="BD839" s="334"/>
      <c r="BE839" s="201"/>
    </row>
    <row r="840" spans="45:57" x14ac:dyDescent="0.25">
      <c r="AS840" s="202"/>
      <c r="AV840" s="200"/>
      <c r="AW840" s="200"/>
      <c r="AX840" s="334"/>
      <c r="AY840" s="334"/>
      <c r="AZ840" s="334"/>
      <c r="BA840" s="201"/>
      <c r="BB840" s="334"/>
      <c r="BC840" s="334"/>
      <c r="BD840" s="334"/>
      <c r="BE840" s="201"/>
    </row>
    <row r="841" spans="45:57" x14ac:dyDescent="0.25">
      <c r="AS841" s="202"/>
      <c r="AV841" s="200"/>
      <c r="AW841" s="200"/>
      <c r="AX841" s="334"/>
      <c r="AY841" s="334"/>
      <c r="AZ841" s="334"/>
      <c r="BA841" s="201"/>
      <c r="BB841" s="334"/>
      <c r="BC841" s="334"/>
      <c r="BD841" s="334"/>
      <c r="BE841" s="201"/>
    </row>
    <row r="842" spans="45:57" x14ac:dyDescent="0.25">
      <c r="AS842" s="202"/>
      <c r="AV842" s="200"/>
      <c r="AW842" s="200"/>
      <c r="AX842" s="334"/>
      <c r="AY842" s="334"/>
      <c r="AZ842" s="334"/>
      <c r="BA842" s="201"/>
      <c r="BB842" s="334"/>
      <c r="BC842" s="334"/>
      <c r="BD842" s="334"/>
      <c r="BE842" s="201"/>
    </row>
    <row r="843" spans="45:57" x14ac:dyDescent="0.25">
      <c r="AS843" s="202"/>
      <c r="AV843" s="200"/>
      <c r="AW843" s="200"/>
      <c r="AX843" s="334"/>
      <c r="AY843" s="334"/>
      <c r="AZ843" s="334"/>
      <c r="BA843" s="201"/>
      <c r="BB843" s="334"/>
      <c r="BC843" s="334"/>
      <c r="BD843" s="334"/>
      <c r="BE843" s="201"/>
    </row>
    <row r="844" spans="45:57" x14ac:dyDescent="0.25">
      <c r="AS844" s="202"/>
      <c r="AV844" s="200"/>
      <c r="AW844" s="200"/>
      <c r="AX844" s="334"/>
      <c r="AY844" s="334"/>
      <c r="AZ844" s="334"/>
      <c r="BA844" s="201"/>
      <c r="BB844" s="334"/>
      <c r="BC844" s="334"/>
      <c r="BD844" s="334"/>
      <c r="BE844" s="201"/>
    </row>
    <row r="845" spans="45:57" x14ac:dyDescent="0.25">
      <c r="AS845" s="202"/>
      <c r="AV845" s="200"/>
      <c r="AW845" s="200"/>
      <c r="AX845" s="334"/>
      <c r="AY845" s="334"/>
      <c r="AZ845" s="334"/>
      <c r="BA845" s="201"/>
      <c r="BB845" s="334"/>
      <c r="BC845" s="334"/>
      <c r="BD845" s="334"/>
      <c r="BE845" s="201"/>
    </row>
    <row r="846" spans="45:57" x14ac:dyDescent="0.25">
      <c r="AS846" s="202"/>
      <c r="AV846" s="200"/>
      <c r="AW846" s="200"/>
      <c r="AX846" s="334"/>
      <c r="AY846" s="334"/>
      <c r="AZ846" s="334"/>
      <c r="BA846" s="201"/>
      <c r="BB846" s="334"/>
      <c r="BC846" s="334"/>
      <c r="BD846" s="334"/>
      <c r="BE846" s="201"/>
    </row>
    <row r="847" spans="45:57" x14ac:dyDescent="0.25">
      <c r="AS847" s="202"/>
      <c r="AV847" s="200"/>
      <c r="AW847" s="200"/>
      <c r="AX847" s="334"/>
      <c r="AY847" s="334"/>
      <c r="AZ847" s="334"/>
      <c r="BA847" s="201"/>
      <c r="BB847" s="334"/>
      <c r="BC847" s="334"/>
      <c r="BD847" s="334"/>
      <c r="BE847" s="201"/>
    </row>
    <row r="848" spans="45:57" x14ac:dyDescent="0.25">
      <c r="AS848" s="202"/>
      <c r="AV848" s="200"/>
      <c r="AW848" s="200"/>
      <c r="AX848" s="334"/>
      <c r="AY848" s="334"/>
      <c r="AZ848" s="334"/>
      <c r="BA848" s="201"/>
      <c r="BB848" s="334"/>
      <c r="BC848" s="334"/>
      <c r="BD848" s="334"/>
      <c r="BE848" s="201"/>
    </row>
    <row r="849" spans="45:57" x14ac:dyDescent="0.25">
      <c r="BB849" s="334"/>
    </row>
    <row r="850" spans="45:57" x14ac:dyDescent="0.25">
      <c r="AU850" s="154"/>
      <c r="BB850" s="334"/>
    </row>
    <row r="851" spans="45:57" x14ac:dyDescent="0.25">
      <c r="AU851" s="154"/>
    </row>
    <row r="852" spans="45:57" x14ac:dyDescent="0.25">
      <c r="AU852" s="154"/>
      <c r="BB852" s="334"/>
    </row>
    <row r="853" spans="45:57" x14ac:dyDescent="0.25">
      <c r="AS853" s="154"/>
      <c r="AZ853" s="334"/>
      <c r="BB853" s="334"/>
    </row>
    <row r="854" spans="45:57" x14ac:dyDescent="0.25">
      <c r="AY854" s="202"/>
      <c r="AZ854" s="334"/>
      <c r="BB854" s="334"/>
    </row>
    <row r="855" spans="45:57" x14ac:dyDescent="0.25">
      <c r="AY855" s="334"/>
      <c r="AZ855" s="334"/>
      <c r="BB855" s="334"/>
    </row>
    <row r="856" spans="45:57" x14ac:dyDescent="0.25">
      <c r="AY856" s="154"/>
      <c r="AZ856" s="334"/>
      <c r="BB856" s="334"/>
    </row>
    <row r="857" spans="45:57" x14ac:dyDescent="0.25">
      <c r="AY857" s="154"/>
      <c r="AZ857" s="334"/>
      <c r="BB857" s="334"/>
    </row>
    <row r="858" spans="45:57" x14ac:dyDescent="0.25">
      <c r="AS858" s="202"/>
      <c r="AZ858" s="334"/>
      <c r="BB858" s="334"/>
      <c r="BD858" s="154"/>
    </row>
    <row r="859" spans="45:57" x14ac:dyDescent="0.25">
      <c r="AS859" s="202"/>
      <c r="AZ859" s="334"/>
      <c r="BB859" s="334"/>
      <c r="BD859" s="154"/>
    </row>
    <row r="860" spans="45:57" x14ac:dyDescent="0.25">
      <c r="AS860" s="154"/>
      <c r="AZ860" s="334"/>
      <c r="BB860" s="334"/>
      <c r="BD860" s="154"/>
    </row>
    <row r="861" spans="45:57" x14ac:dyDescent="0.25">
      <c r="AZ861" s="334"/>
      <c r="BB861" s="334"/>
      <c r="BD861" s="202"/>
    </row>
    <row r="862" spans="45:57" x14ac:dyDescent="0.25">
      <c r="AS862" s="102"/>
      <c r="AT862" s="102"/>
      <c r="AU862" s="102"/>
      <c r="AV862" s="102"/>
      <c r="AW862" s="102"/>
      <c r="AX862" s="102"/>
      <c r="AY862" s="102"/>
      <c r="AZ862" s="335"/>
      <c r="BA862" s="102"/>
      <c r="BB862" s="335"/>
      <c r="BC862" s="102"/>
      <c r="BD862" s="102"/>
      <c r="BE862" s="102"/>
    </row>
    <row r="863" spans="45:57" x14ac:dyDescent="0.25">
      <c r="AX863" s="154"/>
      <c r="AZ863" s="334"/>
      <c r="BB863" s="334"/>
    </row>
    <row r="864" spans="45:57" x14ac:dyDescent="0.25">
      <c r="AX864" s="102"/>
      <c r="AY864" s="102"/>
      <c r="AZ864" s="335"/>
      <c r="BA864" s="102"/>
      <c r="BB864" s="334"/>
      <c r="BC864" s="103"/>
      <c r="BD864" s="103"/>
    </row>
    <row r="865" spans="45:57" x14ac:dyDescent="0.25">
      <c r="AV865" s="103"/>
      <c r="AW865" s="103"/>
      <c r="AZ865" s="336"/>
      <c r="BA865" s="103"/>
      <c r="BB865" s="334"/>
      <c r="BC865" s="103"/>
      <c r="BD865" s="103"/>
      <c r="BE865" s="103"/>
    </row>
    <row r="866" spans="45:57" x14ac:dyDescent="0.25">
      <c r="AV866" s="103"/>
      <c r="AW866" s="103"/>
      <c r="AX866" s="103"/>
      <c r="AY866" s="103"/>
      <c r="AZ866" s="336"/>
      <c r="BA866" s="103"/>
      <c r="BB866" s="336"/>
      <c r="BC866" s="103"/>
      <c r="BD866" s="103"/>
      <c r="BE866" s="103"/>
    </row>
    <row r="867" spans="45:57" x14ac:dyDescent="0.25">
      <c r="AS867" s="103"/>
      <c r="AU867" s="154"/>
      <c r="AV867" s="103"/>
      <c r="AW867" s="103"/>
      <c r="AX867" s="103"/>
      <c r="AY867" s="103"/>
      <c r="AZ867" s="336"/>
      <c r="BA867" s="103"/>
      <c r="BB867" s="336"/>
      <c r="BC867" s="103"/>
      <c r="BD867" s="103"/>
      <c r="BE867" s="103"/>
    </row>
    <row r="868" spans="45:57" x14ac:dyDescent="0.25">
      <c r="AS868" s="103"/>
      <c r="AU868" s="154"/>
      <c r="AV868" s="103"/>
      <c r="AW868" s="103"/>
      <c r="AX868" s="103"/>
      <c r="AY868" s="103"/>
      <c r="AZ868" s="336"/>
      <c r="BA868" s="103"/>
      <c r="BB868" s="336"/>
      <c r="BC868" s="103"/>
      <c r="BD868" s="103"/>
      <c r="BE868" s="103"/>
    </row>
    <row r="869" spans="45:57" x14ac:dyDescent="0.25">
      <c r="AS869" s="102"/>
      <c r="AT869" s="102"/>
      <c r="AU869" s="102"/>
      <c r="AV869" s="102"/>
      <c r="AW869" s="102"/>
      <c r="AX869" s="102"/>
      <c r="AY869" s="102"/>
      <c r="AZ869" s="335"/>
      <c r="BA869" s="102"/>
      <c r="BB869" s="335"/>
      <c r="BC869" s="102"/>
      <c r="BD869" s="102"/>
      <c r="BE869" s="102"/>
    </row>
    <row r="870" spans="45:57" x14ac:dyDescent="0.25">
      <c r="AV870" s="103"/>
      <c r="AW870" s="103"/>
      <c r="AX870" s="103"/>
      <c r="AY870" s="103"/>
      <c r="AZ870" s="336"/>
      <c r="BA870" s="103"/>
      <c r="BB870" s="336"/>
      <c r="BC870" s="103"/>
      <c r="BD870" s="103"/>
      <c r="BE870" s="103"/>
    </row>
    <row r="871" spans="45:57" x14ac:dyDescent="0.25">
      <c r="AS871" s="202"/>
      <c r="AT871" s="154"/>
      <c r="AV871" s="200"/>
      <c r="AW871" s="200"/>
      <c r="AX871" s="334"/>
      <c r="AY871" s="334"/>
      <c r="AZ871" s="334"/>
      <c r="BA871" s="201"/>
      <c r="BB871" s="334"/>
      <c r="BC871" s="334"/>
      <c r="BD871" s="334"/>
      <c r="BE871" s="201"/>
    </row>
    <row r="872" spans="45:57" x14ac:dyDescent="0.25">
      <c r="AS872" s="202"/>
      <c r="AV872" s="200"/>
      <c r="AW872" s="200"/>
      <c r="AX872" s="334"/>
      <c r="AY872" s="334"/>
      <c r="AZ872" s="334"/>
      <c r="BA872" s="201"/>
      <c r="BB872" s="334"/>
      <c r="BC872" s="334"/>
      <c r="BD872" s="334"/>
      <c r="BE872" s="201"/>
    </row>
    <row r="873" spans="45:57" x14ac:dyDescent="0.25">
      <c r="AS873" s="202"/>
      <c r="AV873" s="200"/>
      <c r="AW873" s="200"/>
      <c r="AX873" s="334"/>
      <c r="AY873" s="334"/>
      <c r="AZ873" s="334"/>
      <c r="BA873" s="201"/>
      <c r="BB873" s="334"/>
      <c r="BC873" s="334"/>
      <c r="BD873" s="334"/>
      <c r="BE873" s="201"/>
    </row>
    <row r="874" spans="45:57" x14ac:dyDescent="0.25">
      <c r="AS874" s="202"/>
      <c r="AV874" s="200"/>
      <c r="AW874" s="200"/>
      <c r="AX874" s="334"/>
      <c r="AY874" s="334"/>
      <c r="AZ874" s="334"/>
      <c r="BA874" s="201"/>
      <c r="BB874" s="334"/>
      <c r="BC874" s="334"/>
      <c r="BD874" s="334"/>
      <c r="BE874" s="201"/>
    </row>
    <row r="875" spans="45:57" x14ac:dyDescent="0.25">
      <c r="AS875" s="202"/>
      <c r="AV875" s="200"/>
      <c r="AW875" s="200"/>
      <c r="AX875" s="334"/>
      <c r="AY875" s="334"/>
      <c r="AZ875" s="334"/>
      <c r="BA875" s="201"/>
      <c r="BB875" s="334"/>
      <c r="BC875" s="334"/>
      <c r="BD875" s="334"/>
      <c r="BE875" s="201"/>
    </row>
    <row r="876" spans="45:57" x14ac:dyDescent="0.25">
      <c r="AS876" s="202"/>
      <c r="AV876" s="200"/>
      <c r="AW876" s="200"/>
      <c r="AX876" s="334"/>
      <c r="AY876" s="334"/>
      <c r="AZ876" s="334"/>
      <c r="BA876" s="201"/>
      <c r="BB876" s="334"/>
      <c r="BC876" s="334"/>
      <c r="BD876" s="334"/>
      <c r="BE876" s="201"/>
    </row>
    <row r="877" spans="45:57" x14ac:dyDescent="0.25">
      <c r="AS877" s="202"/>
      <c r="AV877" s="200"/>
      <c r="AW877" s="200"/>
      <c r="AX877" s="334"/>
      <c r="AY877" s="334"/>
      <c r="AZ877" s="334"/>
      <c r="BA877" s="201"/>
      <c r="BB877" s="334"/>
      <c r="BC877" s="334"/>
      <c r="BD877" s="334"/>
      <c r="BE877" s="201"/>
    </row>
    <row r="878" spans="45:57" x14ac:dyDescent="0.25">
      <c r="AS878" s="202"/>
      <c r="AV878" s="200"/>
      <c r="AW878" s="200"/>
      <c r="AX878" s="334"/>
      <c r="AY878" s="334"/>
      <c r="AZ878" s="334"/>
      <c r="BA878" s="201"/>
      <c r="BB878" s="334"/>
      <c r="BC878" s="334"/>
      <c r="BD878" s="334"/>
      <c r="BE878" s="201"/>
    </row>
    <row r="879" spans="45:57" x14ac:dyDescent="0.25">
      <c r="AS879" s="202"/>
      <c r="AV879" s="200"/>
      <c r="AW879" s="200"/>
      <c r="AX879" s="334"/>
      <c r="AY879" s="334"/>
      <c r="AZ879" s="334"/>
      <c r="BA879" s="201"/>
      <c r="BB879" s="334"/>
      <c r="BC879" s="334"/>
      <c r="BD879" s="334"/>
      <c r="BE879" s="201"/>
    </row>
    <row r="880" spans="45:57" x14ac:dyDescent="0.25">
      <c r="AS880" s="202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</row>
    <row r="881" spans="45:57" x14ac:dyDescent="0.25">
      <c r="AV881" s="200"/>
      <c r="AW881" s="200"/>
      <c r="BB881" s="334"/>
    </row>
    <row r="882" spans="45:57" x14ac:dyDescent="0.25">
      <c r="AS882" s="202"/>
      <c r="AT882" s="154"/>
      <c r="AV882" s="200"/>
      <c r="AW882" s="200"/>
      <c r="AX882" s="334"/>
      <c r="AY882" s="334"/>
      <c r="AZ882" s="334"/>
      <c r="BA882" s="201"/>
      <c r="BB882" s="334"/>
      <c r="BC882" s="334"/>
      <c r="BD882" s="334"/>
      <c r="BE882" s="201"/>
    </row>
    <row r="883" spans="45:57" x14ac:dyDescent="0.25">
      <c r="AS883" s="202"/>
      <c r="AV883" s="200"/>
      <c r="AW883" s="200"/>
      <c r="AX883" s="334"/>
      <c r="AY883" s="334"/>
      <c r="AZ883" s="334"/>
      <c r="BA883" s="201"/>
      <c r="BB883" s="334"/>
      <c r="BC883" s="334"/>
      <c r="BD883" s="334"/>
      <c r="BE883" s="201"/>
    </row>
    <row r="884" spans="45:57" x14ac:dyDescent="0.25">
      <c r="AS884" s="202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</row>
    <row r="885" spans="45:57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</row>
    <row r="886" spans="45:57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</row>
    <row r="887" spans="45:57" x14ac:dyDescent="0.25">
      <c r="AS887" s="202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</row>
    <row r="888" spans="45:57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</row>
    <row r="889" spans="45:57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57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57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3" spans="45:57" x14ac:dyDescent="0.25">
      <c r="AU893" s="154"/>
    </row>
    <row r="894" spans="45:57" x14ac:dyDescent="0.25">
      <c r="AU894" s="154"/>
    </row>
    <row r="895" spans="45:57" x14ac:dyDescent="0.25">
      <c r="AU895" s="154"/>
    </row>
    <row r="896" spans="45:57" x14ac:dyDescent="0.25">
      <c r="AS896" s="154"/>
    </row>
    <row r="917" spans="52:71" x14ac:dyDescent="0.25">
      <c r="AZ917" s="334"/>
      <c r="BB917" s="334"/>
      <c r="BC917" s="334"/>
      <c r="BD917" s="334"/>
      <c r="BG917" s="334"/>
      <c r="BH917" s="334"/>
      <c r="BI917" s="334"/>
      <c r="BJ917" s="334"/>
      <c r="BK917" s="334"/>
      <c r="BL917" s="334"/>
      <c r="BM917" s="334"/>
      <c r="BN917" s="334"/>
      <c r="BO917" s="334"/>
      <c r="BP917" s="334"/>
      <c r="BQ917" s="334"/>
      <c r="BR917" s="334"/>
      <c r="BS917" s="334"/>
    </row>
    <row r="918" spans="52:71" x14ac:dyDescent="0.25">
      <c r="AZ918" s="334"/>
      <c r="BB918" s="334"/>
      <c r="BC918" s="334"/>
      <c r="BD918" s="334"/>
      <c r="BG918" s="334"/>
      <c r="BH918" s="334"/>
      <c r="BI918" s="334"/>
      <c r="BJ918" s="334"/>
      <c r="BK918" s="334"/>
      <c r="BL918" s="334"/>
      <c r="BM918" s="334"/>
      <c r="BN918" s="334"/>
      <c r="BO918" s="334"/>
      <c r="BP918" s="334"/>
      <c r="BQ918" s="334"/>
      <c r="BR918" s="334"/>
      <c r="BS918" s="334"/>
    </row>
    <row r="919" spans="52:71" x14ac:dyDescent="0.25">
      <c r="AZ919" s="334"/>
      <c r="BB919" s="334"/>
      <c r="BC919" s="334"/>
      <c r="BD919" s="334"/>
      <c r="BG919" s="334"/>
      <c r="BH919" s="334"/>
      <c r="BI919" s="334"/>
      <c r="BJ919" s="334"/>
      <c r="BK919" s="334"/>
      <c r="BL919" s="334"/>
      <c r="BM919" s="334"/>
      <c r="BN919" s="334"/>
      <c r="BO919" s="334"/>
      <c r="BP919" s="334"/>
      <c r="BQ919" s="334"/>
      <c r="BR919" s="334"/>
      <c r="BS919" s="334"/>
    </row>
    <row r="920" spans="52:71" x14ac:dyDescent="0.25">
      <c r="AZ920" s="334"/>
      <c r="BB920" s="334"/>
      <c r="BC920" s="334"/>
      <c r="BD920" s="334"/>
      <c r="BG920" s="334"/>
      <c r="BH920" s="334"/>
      <c r="BI920" s="334"/>
      <c r="BJ920" s="334"/>
      <c r="BK920" s="334"/>
      <c r="BL920" s="334"/>
      <c r="BM920" s="334"/>
      <c r="BN920" s="334"/>
      <c r="BO920" s="334"/>
      <c r="BP920" s="334"/>
      <c r="BQ920" s="334"/>
      <c r="BR920" s="334"/>
      <c r="BS920" s="334"/>
    </row>
    <row r="921" spans="52:71" x14ac:dyDescent="0.25">
      <c r="AZ921" s="334"/>
      <c r="BB921" s="334"/>
      <c r="BC921" s="334"/>
      <c r="BD921" s="334"/>
      <c r="BG921" s="334"/>
      <c r="BH921" s="334"/>
      <c r="BI921" s="334"/>
      <c r="BJ921" s="334"/>
      <c r="BK921" s="334"/>
      <c r="BL921" s="334"/>
      <c r="BM921" s="334"/>
      <c r="BN921" s="334"/>
      <c r="BO921" s="334"/>
      <c r="BP921" s="334"/>
      <c r="BQ921" s="334"/>
      <c r="BR921" s="334"/>
      <c r="BS921" s="334"/>
    </row>
    <row r="922" spans="52:71" x14ac:dyDescent="0.25">
      <c r="AZ922" s="334"/>
      <c r="BB922" s="334"/>
      <c r="BC922" s="334"/>
      <c r="BD922" s="334"/>
      <c r="BG922" s="334"/>
      <c r="BH922" s="334"/>
      <c r="BI922" s="334"/>
      <c r="BJ922" s="334"/>
      <c r="BK922" s="334"/>
      <c r="BL922" s="334"/>
      <c r="BM922" s="334"/>
      <c r="BN922" s="334"/>
      <c r="BO922" s="334"/>
      <c r="BP922" s="334"/>
      <c r="BQ922" s="334"/>
      <c r="BR922" s="334"/>
      <c r="BS922" s="334"/>
    </row>
    <row r="923" spans="52:71" x14ac:dyDescent="0.25">
      <c r="AZ923" s="334"/>
      <c r="BB923" s="334"/>
      <c r="BC923" s="334"/>
      <c r="BD923" s="334"/>
      <c r="BG923" s="334"/>
      <c r="BH923" s="334"/>
      <c r="BI923" s="334"/>
      <c r="BJ923" s="334"/>
      <c r="BK923" s="334"/>
      <c r="BL923" s="334"/>
      <c r="BM923" s="334"/>
      <c r="BN923" s="334"/>
      <c r="BO923" s="334"/>
      <c r="BP923" s="334"/>
      <c r="BQ923" s="334"/>
      <c r="BR923" s="334"/>
      <c r="BS923" s="334"/>
    </row>
    <row r="924" spans="52:71" x14ac:dyDescent="0.25">
      <c r="AZ924" s="334"/>
      <c r="BB924" s="334"/>
      <c r="BC924" s="334"/>
      <c r="BD924" s="334"/>
      <c r="BG924" s="334"/>
      <c r="BH924" s="334"/>
      <c r="BI924" s="334"/>
      <c r="BJ924" s="334"/>
      <c r="BK924" s="334"/>
      <c r="BL924" s="334"/>
      <c r="BM924" s="334"/>
      <c r="BN924" s="334"/>
      <c r="BO924" s="334"/>
      <c r="BP924" s="334"/>
      <c r="BQ924" s="334"/>
      <c r="BR924" s="334"/>
      <c r="BS924" s="334"/>
    </row>
    <row r="925" spans="52:71" x14ac:dyDescent="0.25">
      <c r="AZ925" s="334"/>
      <c r="BB925" s="334"/>
      <c r="BC925" s="334"/>
      <c r="BD925" s="334"/>
      <c r="BG925" s="334"/>
      <c r="BH925" s="334"/>
      <c r="BI925" s="334"/>
      <c r="BJ925" s="334"/>
      <c r="BK925" s="334"/>
      <c r="BL925" s="334"/>
      <c r="BM925" s="334"/>
      <c r="BN925" s="334"/>
      <c r="BO925" s="334"/>
      <c r="BP925" s="334"/>
      <c r="BQ925" s="334"/>
      <c r="BR925" s="334"/>
      <c r="BS925" s="334"/>
    </row>
    <row r="926" spans="52:71" x14ac:dyDescent="0.25">
      <c r="AZ926" s="334"/>
      <c r="BB926" s="334"/>
      <c r="BC926" s="334"/>
      <c r="BD926" s="334"/>
      <c r="BG926" s="334"/>
      <c r="BH926" s="334"/>
      <c r="BI926" s="334"/>
      <c r="BJ926" s="334"/>
      <c r="BK926" s="334"/>
      <c r="BL926" s="334"/>
      <c r="BM926" s="334"/>
      <c r="BN926" s="334"/>
      <c r="BO926" s="334"/>
      <c r="BP926" s="334"/>
      <c r="BQ926" s="334"/>
      <c r="BR926" s="334"/>
      <c r="BS926" s="334"/>
    </row>
    <row r="927" spans="52:71" x14ac:dyDescent="0.25">
      <c r="AZ927" s="334"/>
      <c r="BB927" s="334"/>
      <c r="BC927" s="334"/>
      <c r="BD927" s="334"/>
      <c r="BG927" s="334"/>
      <c r="BH927" s="334"/>
      <c r="BI927" s="334"/>
      <c r="BJ927" s="334"/>
      <c r="BK927" s="334"/>
      <c r="BL927" s="334"/>
      <c r="BM927" s="334"/>
      <c r="BN927" s="334"/>
      <c r="BO927" s="334"/>
      <c r="BP927" s="334"/>
      <c r="BQ927" s="334"/>
      <c r="BR927" s="334"/>
      <c r="BS927" s="334"/>
    </row>
    <row r="928" spans="52:71" x14ac:dyDescent="0.25">
      <c r="AZ928" s="334"/>
      <c r="BB928" s="334"/>
      <c r="BC928" s="334"/>
      <c r="BD928" s="334"/>
      <c r="BG928" s="334"/>
      <c r="BH928" s="334"/>
      <c r="BI928" s="334"/>
      <c r="BJ928" s="334"/>
      <c r="BK928" s="334"/>
      <c r="BL928" s="334"/>
      <c r="BM928" s="334"/>
      <c r="BN928" s="334"/>
      <c r="BO928" s="334"/>
      <c r="BP928" s="334"/>
      <c r="BQ928" s="334"/>
      <c r="BR928" s="334"/>
      <c r="BS928" s="334"/>
    </row>
    <row r="929" spans="52:71" x14ac:dyDescent="0.25">
      <c r="AZ929" s="334"/>
      <c r="BG929" s="334"/>
      <c r="BH929" s="334"/>
      <c r="BI929" s="334"/>
      <c r="BJ929" s="334"/>
      <c r="BK929" s="334"/>
      <c r="BL929" s="334"/>
      <c r="BM929" s="334"/>
      <c r="BN929" s="334"/>
      <c r="BO929" s="334"/>
      <c r="BP929" s="334"/>
      <c r="BQ929" s="334"/>
      <c r="BR929" s="334"/>
      <c r="BS929" s="334"/>
    </row>
    <row r="930" spans="52:71" x14ac:dyDescent="0.25">
      <c r="AZ930" s="334"/>
      <c r="BG930" s="334"/>
      <c r="BH930" s="334"/>
      <c r="BI930" s="334"/>
      <c r="BJ930" s="334"/>
      <c r="BK930" s="334"/>
      <c r="BL930" s="334"/>
      <c r="BM930" s="334"/>
      <c r="BN930" s="334"/>
      <c r="BO930" s="334"/>
      <c r="BP930" s="334"/>
      <c r="BQ930" s="334"/>
      <c r="BR930" s="334"/>
      <c r="BS930" s="334"/>
    </row>
    <row r="931" spans="52:71" x14ac:dyDescent="0.25">
      <c r="AZ931" s="334"/>
      <c r="BG931" s="334"/>
      <c r="BH931" s="334"/>
      <c r="BI931" s="334"/>
      <c r="BJ931" s="334"/>
      <c r="BK931" s="334"/>
      <c r="BL931" s="334"/>
      <c r="BM931" s="334"/>
      <c r="BN931" s="334"/>
      <c r="BO931" s="334"/>
      <c r="BP931" s="334"/>
      <c r="BQ931" s="334"/>
      <c r="BR931" s="334"/>
      <c r="BS931" s="334"/>
    </row>
    <row r="932" spans="52:71" x14ac:dyDescent="0.25">
      <c r="AZ932" s="334"/>
      <c r="BG932" s="334"/>
      <c r="BH932" s="334"/>
      <c r="BI932" s="334"/>
      <c r="BJ932" s="334"/>
      <c r="BK932" s="334"/>
      <c r="BL932" s="334"/>
      <c r="BM932" s="334"/>
      <c r="BN932" s="334"/>
      <c r="BO932" s="334"/>
      <c r="BP932" s="334"/>
      <c r="BQ932" s="334"/>
      <c r="BR932" s="334"/>
      <c r="BS932" s="334"/>
    </row>
    <row r="933" spans="52:71" x14ac:dyDescent="0.25">
      <c r="AZ933" s="334"/>
      <c r="BG933" s="334"/>
      <c r="BH933" s="334"/>
      <c r="BI933" s="334"/>
      <c r="BJ933" s="334"/>
      <c r="BK933" s="334"/>
      <c r="BL933" s="334"/>
      <c r="BM933" s="334"/>
      <c r="BN933" s="334"/>
      <c r="BO933" s="334"/>
      <c r="BP933" s="334"/>
      <c r="BQ933" s="334"/>
      <c r="BR933" s="334"/>
      <c r="BS933" s="334"/>
    </row>
    <row r="934" spans="52:71" x14ac:dyDescent="0.25">
      <c r="AZ934" s="334"/>
      <c r="BG934" s="334"/>
      <c r="BH934" s="334"/>
      <c r="BI934" s="334"/>
      <c r="BJ934" s="334"/>
      <c r="BK934" s="334"/>
      <c r="BL934" s="334"/>
      <c r="BM934" s="334"/>
      <c r="BN934" s="334"/>
      <c r="BO934" s="334"/>
      <c r="BP934" s="334"/>
      <c r="BQ934" s="334"/>
      <c r="BR934" s="334"/>
      <c r="BS934" s="334"/>
    </row>
    <row r="935" spans="52:71" x14ac:dyDescent="0.25">
      <c r="AZ935" s="334"/>
      <c r="BG935" s="334"/>
      <c r="BH935" s="334"/>
      <c r="BI935" s="334"/>
      <c r="BJ935" s="334"/>
      <c r="BK935" s="334"/>
      <c r="BL935" s="334"/>
      <c r="BM935" s="334"/>
      <c r="BN935" s="334"/>
      <c r="BO935" s="334"/>
      <c r="BP935" s="334"/>
      <c r="BQ935" s="334"/>
      <c r="BR935" s="334"/>
      <c r="BS935" s="334"/>
    </row>
    <row r="936" spans="52:71" x14ac:dyDescent="0.25">
      <c r="AZ936" s="334"/>
    </row>
    <row r="937" spans="52:71" x14ac:dyDescent="0.25">
      <c r="AZ937" s="334"/>
    </row>
    <row r="951" spans="1:28" x14ac:dyDescent="0.25">
      <c r="A951" s="154"/>
    </row>
    <row r="954" spans="1:28" x14ac:dyDescent="0.25">
      <c r="Y954" s="154"/>
    </row>
    <row r="955" spans="1:28" x14ac:dyDescent="0.25">
      <c r="A955" s="154"/>
      <c r="H955" s="154"/>
      <c r="I955" s="154"/>
    </row>
    <row r="956" spans="1:28" x14ac:dyDescent="0.25">
      <c r="A956" s="154"/>
      <c r="V956" s="103"/>
      <c r="AA956" s="103"/>
      <c r="AB956" s="103"/>
    </row>
    <row r="957" spans="1:28" x14ac:dyDescent="0.25">
      <c r="A957" s="154"/>
      <c r="V957" s="102"/>
      <c r="AA957" s="102"/>
      <c r="AB957" s="102"/>
    </row>
    <row r="958" spans="1:28" x14ac:dyDescent="0.25">
      <c r="A958" s="154"/>
      <c r="U958" s="154"/>
      <c r="AA958" s="103"/>
      <c r="AB958" s="103"/>
    </row>
    <row r="959" spans="1:28" x14ac:dyDescent="0.25">
      <c r="A959" s="154"/>
    </row>
    <row r="960" spans="1:28" x14ac:dyDescent="0.25">
      <c r="A960" s="154"/>
      <c r="U960" s="154"/>
      <c r="AA960" s="103"/>
      <c r="AB960" s="103"/>
    </row>
    <row r="961" spans="1:28" x14ac:dyDescent="0.25">
      <c r="A961" s="154"/>
    </row>
    <row r="962" spans="1:28" x14ac:dyDescent="0.25">
      <c r="A962" s="154"/>
      <c r="U962" s="154"/>
      <c r="V962" s="338"/>
      <c r="AA962" s="103"/>
      <c r="AB962" s="103"/>
    </row>
    <row r="963" spans="1:28" x14ac:dyDescent="0.25">
      <c r="A963" s="154"/>
    </row>
    <row r="964" spans="1:28" x14ac:dyDescent="0.25">
      <c r="A964" s="154"/>
      <c r="U964" s="154"/>
      <c r="AA964" s="103"/>
      <c r="AB964" s="103"/>
    </row>
    <row r="965" spans="1:28" x14ac:dyDescent="0.25">
      <c r="A965" s="154"/>
    </row>
    <row r="966" spans="1:28" x14ac:dyDescent="0.25">
      <c r="A966" s="154"/>
      <c r="U966" s="154"/>
      <c r="AA966" s="103"/>
      <c r="AB966" s="103"/>
    </row>
    <row r="967" spans="1:28" x14ac:dyDescent="0.25">
      <c r="A967" s="154"/>
    </row>
    <row r="968" spans="1:28" x14ac:dyDescent="0.25">
      <c r="A968" s="154"/>
    </row>
    <row r="969" spans="1:28" x14ac:dyDescent="0.25">
      <c r="A969" s="154"/>
    </row>
    <row r="970" spans="1:28" x14ac:dyDescent="0.25">
      <c r="A970" s="154"/>
    </row>
    <row r="971" spans="1:28" x14ac:dyDescent="0.25">
      <c r="A971" s="154"/>
    </row>
    <row r="972" spans="1:28" x14ac:dyDescent="0.25">
      <c r="A972" s="154"/>
    </row>
    <row r="973" spans="1:28" x14ac:dyDescent="0.25">
      <c r="A973" s="154"/>
    </row>
    <row r="974" spans="1:28" x14ac:dyDescent="0.25">
      <c r="A974" s="154"/>
    </row>
    <row r="975" spans="1:28" x14ac:dyDescent="0.25">
      <c r="A975" s="154"/>
    </row>
    <row r="976" spans="1:28" x14ac:dyDescent="0.25">
      <c r="A976" s="154"/>
    </row>
    <row r="977" spans="1:9" x14ac:dyDescent="0.25">
      <c r="A977" s="154"/>
      <c r="H977" s="154"/>
      <c r="I977" s="154"/>
    </row>
    <row r="980" spans="1:9" x14ac:dyDescent="0.25">
      <c r="A980" s="154"/>
    </row>
    <row r="983" spans="1:9" x14ac:dyDescent="0.25">
      <c r="A983" s="154"/>
    </row>
    <row r="986" spans="1:9" x14ac:dyDescent="0.25">
      <c r="A986" s="154"/>
    </row>
    <row r="987" spans="1:9" x14ac:dyDescent="0.25">
      <c r="A987" s="154"/>
    </row>
    <row r="988" spans="1:9" x14ac:dyDescent="0.25">
      <c r="A988" s="154"/>
    </row>
    <row r="989" spans="1:9" x14ac:dyDescent="0.25">
      <c r="A989" s="154"/>
    </row>
    <row r="990" spans="1:9" x14ac:dyDescent="0.25">
      <c r="A990" s="154"/>
    </row>
    <row r="991" spans="1:9" x14ac:dyDescent="0.25">
      <c r="A991" s="154"/>
    </row>
    <row r="992" spans="1:9" x14ac:dyDescent="0.25">
      <c r="A992" s="154"/>
    </row>
    <row r="993" spans="1:1" x14ac:dyDescent="0.25">
      <c r="A993" s="154"/>
    </row>
    <row r="994" spans="1:1" x14ac:dyDescent="0.25">
      <c r="A994" s="154"/>
    </row>
    <row r="995" spans="1:1" x14ac:dyDescent="0.25">
      <c r="A995" s="154"/>
    </row>
    <row r="996" spans="1:1" x14ac:dyDescent="0.25">
      <c r="A996" s="154"/>
    </row>
    <row r="997" spans="1:1" x14ac:dyDescent="0.25">
      <c r="A997" s="154"/>
    </row>
    <row r="998" spans="1:1" x14ac:dyDescent="0.25">
      <c r="A998" s="154"/>
    </row>
    <row r="999" spans="1:1" x14ac:dyDescent="0.25">
      <c r="A999" s="154"/>
    </row>
    <row r="1000" spans="1:1" x14ac:dyDescent="0.25">
      <c r="A1000" s="154"/>
    </row>
    <row r="1001" spans="1:1" x14ac:dyDescent="0.25">
      <c r="A1001" s="154"/>
    </row>
    <row r="1002" spans="1:1" x14ac:dyDescent="0.25">
      <c r="A1002" s="154"/>
    </row>
    <row r="1003" spans="1:1" x14ac:dyDescent="0.25">
      <c r="A1003" s="154"/>
    </row>
    <row r="1004" spans="1:1" x14ac:dyDescent="0.25">
      <c r="A1004" s="154"/>
    </row>
    <row r="1005" spans="1:1" x14ac:dyDescent="0.25">
      <c r="A1005" s="154"/>
    </row>
    <row r="1006" spans="1:1" x14ac:dyDescent="0.25">
      <c r="A1006" s="154"/>
    </row>
    <row r="1007" spans="1:1" x14ac:dyDescent="0.25">
      <c r="A1007" s="154"/>
    </row>
    <row r="1008" spans="1:1" x14ac:dyDescent="0.25">
      <c r="A1008" s="154"/>
    </row>
    <row r="1009" spans="1:1" x14ac:dyDescent="0.25">
      <c r="A1009" s="154"/>
    </row>
    <row r="1010" spans="1:1" x14ac:dyDescent="0.25">
      <c r="A1010" s="154"/>
    </row>
    <row r="1011" spans="1:1" x14ac:dyDescent="0.25">
      <c r="A1011" s="154"/>
    </row>
    <row r="1012" spans="1:1" x14ac:dyDescent="0.25">
      <c r="A1012" s="154"/>
    </row>
    <row r="1013" spans="1:1" x14ac:dyDescent="0.25">
      <c r="A1013" s="154"/>
    </row>
    <row r="1014" spans="1:1" x14ac:dyDescent="0.25">
      <c r="A1014" s="154"/>
    </row>
    <row r="1015" spans="1:1" x14ac:dyDescent="0.25">
      <c r="A1015" s="154"/>
    </row>
    <row r="1016" spans="1:1" x14ac:dyDescent="0.25">
      <c r="A1016" s="154"/>
    </row>
    <row r="1017" spans="1:1" x14ac:dyDescent="0.25">
      <c r="A1017" s="154"/>
    </row>
    <row r="1018" spans="1:1" x14ac:dyDescent="0.25">
      <c r="A1018" s="154"/>
    </row>
    <row r="1019" spans="1:1" x14ac:dyDescent="0.25">
      <c r="A1019" s="154"/>
    </row>
    <row r="1020" spans="1:1" x14ac:dyDescent="0.25">
      <c r="A1020" s="154"/>
    </row>
    <row r="1025" spans="1:1" x14ac:dyDescent="0.25">
      <c r="A1025" s="154"/>
    </row>
    <row r="1026" spans="1:1" x14ac:dyDescent="0.25">
      <c r="A1026" s="154"/>
    </row>
    <row r="1029" spans="1:1" x14ac:dyDescent="0.25">
      <c r="A1029" s="154"/>
    </row>
    <row r="1031" spans="1:1" x14ac:dyDescent="0.25">
      <c r="A1031" s="154"/>
    </row>
    <row r="1033" spans="1:1" x14ac:dyDescent="0.25">
      <c r="A1033" s="154"/>
    </row>
    <row r="1035" spans="1:1" x14ac:dyDescent="0.25">
      <c r="A1035" s="154"/>
    </row>
    <row r="1038" spans="1:1" x14ac:dyDescent="0.25">
      <c r="A1038" s="154"/>
    </row>
    <row r="1039" spans="1:1" x14ac:dyDescent="0.25">
      <c r="A1039" s="154"/>
    </row>
    <row r="1040" spans="1:1" x14ac:dyDescent="0.25">
      <c r="A1040" s="154"/>
    </row>
    <row r="1041" spans="1:1" x14ac:dyDescent="0.25">
      <c r="A1041" s="154"/>
    </row>
    <row r="1042" spans="1:1" x14ac:dyDescent="0.25">
      <c r="A1042" s="154"/>
    </row>
    <row r="1043" spans="1:1" x14ac:dyDescent="0.25">
      <c r="A1043" s="154"/>
    </row>
    <row r="1044" spans="1:1" x14ac:dyDescent="0.25">
      <c r="A1044" s="154"/>
    </row>
    <row r="1045" spans="1:1" x14ac:dyDescent="0.25">
      <c r="A1045" s="154"/>
    </row>
  </sheetData>
  <customSheetViews>
    <customSheetView guid="{195DF303-1BBD-4236-94B5-47432850B006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"/>
      <headerFooter alignWithMargins="0"/>
    </customSheetView>
    <customSheetView guid="{0C49E549-011E-46F4-A82E-2CC8951A9C1E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2"/>
      <headerFooter alignWithMargins="0"/>
    </customSheetView>
    <customSheetView guid="{4BC93440-BA85-4935-A8C9-66DC6AE5DE5E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3"/>
      <headerFooter alignWithMargins="0"/>
    </customSheetView>
    <customSheetView guid="{2431C9E5-7CC2-4B8D-99C3-962247B1DBF5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4"/>
      <headerFooter alignWithMargins="0"/>
    </customSheetView>
    <customSheetView guid="{2EA35095-1ADC-4CC7-8C3C-B487D65FA247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5"/>
      <headerFooter alignWithMargins="0"/>
    </customSheetView>
    <customSheetView guid="{8FC77C99-DBF7-40B8-99B8-01B75826CDCB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8"/>
      <headerFooter alignWithMargins="0"/>
    </customSheetView>
    <customSheetView guid="{0BC1F393-8A13-47D5-BC6C-0C99615B5AB9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9"/>
      <headerFooter alignWithMargins="0"/>
    </customSheetView>
    <customSheetView guid="{18BDED73-BFA0-442E-87EC-CED86EE4CF94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0"/>
      <headerFooter alignWithMargins="0"/>
    </customSheetView>
    <customSheetView guid="{35F19056-2E6F-4935-B863-78836FE990BF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1"/>
      <headerFooter alignWithMargins="0"/>
    </customSheetView>
    <customSheetView guid="{F562D92E-120C-4AE9-9663-89E64D41DC53}" scale="75" fitToPage="1" topLeftCell="A41">
      <selection activeCell="P67" sqref="P6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34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8" transitionEvaluation="1" codeName="Sheet3"/>
  <dimension ref="A1:Q886"/>
  <sheetViews>
    <sheetView tabSelected="1" view="pageLayout" topLeftCell="A28" zoomScaleNormal="80" workbookViewId="0">
      <selection activeCell="L6" sqref="L6"/>
    </sheetView>
  </sheetViews>
  <sheetFormatPr defaultColWidth="9.77734375" defaultRowHeight="15.75" x14ac:dyDescent="0.25"/>
  <cols>
    <col min="1" max="1" width="5.109375" style="221" customWidth="1"/>
    <col min="2" max="2" width="0.33203125" style="221" customWidth="1"/>
    <col min="3" max="3" width="49.21875" style="221" customWidth="1"/>
    <col min="4" max="4" width="1.33203125" style="221" customWidth="1"/>
    <col min="5" max="5" width="14.77734375" style="221" customWidth="1"/>
    <col min="6" max="6" width="0.5546875" style="221" customWidth="1"/>
    <col min="7" max="7" width="14.77734375" style="221" customWidth="1"/>
    <col min="8" max="8" width="0.77734375" style="221" customWidth="1"/>
    <col min="9" max="9" width="12.44140625" style="221" customWidth="1"/>
    <col min="10" max="10" width="0.77734375" style="221" customWidth="1"/>
    <col min="11" max="11" width="9.21875" style="221" customWidth="1"/>
    <col min="12" max="12" width="3.109375" style="101" customWidth="1"/>
    <col min="13" max="13" width="13" style="101" customWidth="1"/>
    <col min="14" max="14" width="12.44140625" style="101" customWidth="1"/>
    <col min="15" max="15" width="14.33203125" style="101" bestFit="1" customWidth="1"/>
    <col min="16" max="16" width="13.109375" style="101" customWidth="1"/>
    <col min="17" max="17" width="12" style="101" customWidth="1"/>
    <col min="18" max="16384" width="9.77734375" style="221"/>
  </cols>
  <sheetData>
    <row r="1" spans="1:15" x14ac:dyDescent="0.25">
      <c r="A1" s="42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100"/>
    </row>
    <row r="2" spans="1:15" x14ac:dyDescent="0.25">
      <c r="A2" s="42" t="str">
        <f>CASE_NO</f>
        <v>CASE NO.   2017-00321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100"/>
    </row>
    <row r="3" spans="1:15" x14ac:dyDescent="0.25">
      <c r="A3" s="42" t="s">
        <v>531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100"/>
    </row>
    <row r="4" spans="1:15" x14ac:dyDescent="0.25">
      <c r="A4" s="42" t="str">
        <f>DATE</f>
        <v>FOR THE TWELVE MONTHS ENDED November 30, 2017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100"/>
    </row>
    <row r="5" spans="1:15" x14ac:dyDescent="0.25">
      <c r="A5" s="42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100"/>
    </row>
    <row r="6" spans="1:15" x14ac:dyDescent="0.25">
      <c r="A6" s="42"/>
      <c r="B6" s="41"/>
      <c r="C6" s="41"/>
      <c r="D6" s="41"/>
      <c r="E6" s="41"/>
      <c r="F6" s="41"/>
      <c r="G6" s="41"/>
      <c r="H6" s="41"/>
      <c r="I6" s="41"/>
      <c r="J6" s="41"/>
      <c r="K6" s="41"/>
      <c r="L6" s="100"/>
    </row>
    <row r="7" spans="1:15" x14ac:dyDescent="0.25">
      <c r="A7" s="43" t="str">
        <f>DATA_PERIOD</f>
        <v>DATA: __X__ BASE PERIOD   ____FORECASTED PERIOD</v>
      </c>
      <c r="I7" s="44" t="s">
        <v>186</v>
      </c>
    </row>
    <row r="8" spans="1:15" x14ac:dyDescent="0.25">
      <c r="A8" s="43" t="str">
        <f>TYPE</f>
        <v>TYPE OF FILING: _X_ ORIGINAL   ___UPDATED  ___ REVISED</v>
      </c>
      <c r="I8" s="44" t="s">
        <v>180</v>
      </c>
    </row>
    <row r="9" spans="1:15" x14ac:dyDescent="0.25">
      <c r="A9" s="44" t="s">
        <v>192</v>
      </c>
      <c r="I9" s="44" t="s">
        <v>3</v>
      </c>
    </row>
    <row r="10" spans="1:15" x14ac:dyDescent="0.25">
      <c r="A10" s="96" t="str">
        <f>TIME</f>
        <v>6 Months Actual and 6 Months Projected</v>
      </c>
      <c r="I10" s="43" t="str">
        <f>WIT</f>
        <v>B. L. SAILERS</v>
      </c>
    </row>
    <row r="11" spans="1:15" x14ac:dyDescent="0.25">
      <c r="A11" s="239" t="str">
        <f>INPUT!B5</f>
        <v>6 Months Actual Ending May 31, 2017</v>
      </c>
      <c r="B11" s="41"/>
      <c r="C11" s="41"/>
      <c r="D11" s="41"/>
      <c r="J11" s="41"/>
      <c r="K11" s="41"/>
      <c r="L11" s="100"/>
    </row>
    <row r="12" spans="1:15" x14ac:dyDescent="0.25">
      <c r="A12" s="240"/>
      <c r="B12" s="240"/>
      <c r="C12" s="240"/>
      <c r="D12" s="240"/>
      <c r="E12" s="240"/>
      <c r="F12" s="41"/>
      <c r="G12" s="41"/>
      <c r="H12" s="41"/>
      <c r="I12" s="41"/>
      <c r="J12" s="41"/>
      <c r="K12" s="41"/>
      <c r="L12" s="100"/>
    </row>
    <row r="13" spans="1:15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102"/>
    </row>
    <row r="14" spans="1:15" x14ac:dyDescent="0.25">
      <c r="K14" s="238"/>
      <c r="L14" s="103"/>
    </row>
    <row r="15" spans="1:15" x14ac:dyDescent="0.25">
      <c r="E15" s="238" t="s">
        <v>182</v>
      </c>
      <c r="G15" s="238" t="s">
        <v>182</v>
      </c>
      <c r="I15" s="238" t="s">
        <v>9</v>
      </c>
      <c r="K15" s="238" t="s">
        <v>207</v>
      </c>
      <c r="L15" s="103"/>
    </row>
    <row r="16" spans="1:15" x14ac:dyDescent="0.25">
      <c r="A16" s="238" t="s">
        <v>17</v>
      </c>
      <c r="C16" s="238" t="s">
        <v>18</v>
      </c>
      <c r="D16" s="238"/>
      <c r="E16" s="238" t="s">
        <v>206</v>
      </c>
      <c r="G16" s="238" t="s">
        <v>6</v>
      </c>
      <c r="I16" s="238" t="s">
        <v>183</v>
      </c>
      <c r="J16" s="238"/>
      <c r="K16" s="238" t="s">
        <v>9</v>
      </c>
      <c r="L16" s="103"/>
      <c r="M16" s="104"/>
      <c r="N16" s="104"/>
      <c r="O16" s="104"/>
    </row>
    <row r="17" spans="1:17" x14ac:dyDescent="0.25">
      <c r="A17" s="238" t="s">
        <v>24</v>
      </c>
      <c r="C17" s="238" t="s">
        <v>181</v>
      </c>
      <c r="D17" s="238"/>
      <c r="E17" s="238" t="s">
        <v>29</v>
      </c>
      <c r="G17" s="238" t="s">
        <v>29</v>
      </c>
      <c r="H17" s="238"/>
      <c r="I17" s="51" t="s">
        <v>185</v>
      </c>
      <c r="J17" s="238"/>
      <c r="K17" s="238" t="s">
        <v>183</v>
      </c>
      <c r="L17" s="103"/>
      <c r="M17" s="103"/>
      <c r="N17" s="105"/>
      <c r="O17" s="105"/>
    </row>
    <row r="18" spans="1:17" x14ac:dyDescent="0.25">
      <c r="A18" s="50"/>
      <c r="B18" s="50"/>
      <c r="C18" s="241" t="s">
        <v>35</v>
      </c>
      <c r="D18" s="242"/>
      <c r="E18" s="241" t="s">
        <v>36</v>
      </c>
      <c r="F18" s="243"/>
      <c r="G18" s="242" t="s">
        <v>37</v>
      </c>
      <c r="H18" s="242"/>
      <c r="I18" s="241" t="s">
        <v>184</v>
      </c>
      <c r="J18" s="242"/>
      <c r="K18" s="241" t="s">
        <v>187</v>
      </c>
      <c r="L18" s="105"/>
      <c r="M18" s="106"/>
      <c r="N18" s="106"/>
    </row>
    <row r="19" spans="1:17" x14ac:dyDescent="0.25">
      <c r="E19" s="244" t="s">
        <v>52</v>
      </c>
      <c r="F19" s="245"/>
      <c r="G19" s="244" t="s">
        <v>52</v>
      </c>
      <c r="H19" s="113"/>
      <c r="I19" s="244" t="s">
        <v>52</v>
      </c>
      <c r="J19" s="113"/>
      <c r="K19" s="113"/>
      <c r="L19" s="103"/>
    </row>
    <row r="20" spans="1:17" x14ac:dyDescent="0.25">
      <c r="C20" s="246" t="s">
        <v>532</v>
      </c>
      <c r="G20" s="238"/>
      <c r="H20" s="238"/>
      <c r="I20" s="238"/>
      <c r="J20" s="238"/>
      <c r="K20" s="238"/>
      <c r="L20" s="103"/>
    </row>
    <row r="21" spans="1:17" x14ac:dyDescent="0.25">
      <c r="A21" s="238">
        <v>1</v>
      </c>
      <c r="C21" s="44" t="s">
        <v>420</v>
      </c>
      <c r="D21" s="44"/>
      <c r="E21" s="4">
        <f>'Rate RS'!AN83</f>
        <v>129123808</v>
      </c>
      <c r="F21" s="2"/>
      <c r="G21" s="4">
        <f>'Rate RS'!R40</f>
        <v>151660244</v>
      </c>
      <c r="H21" s="4"/>
      <c r="I21" s="4">
        <f>G21-E21</f>
        <v>22536436</v>
      </c>
      <c r="J21" s="4"/>
      <c r="K21" s="65">
        <f>IF(E21=0,"-",ROUND(I21/E21,4))</f>
        <v>0.17449999999999999</v>
      </c>
      <c r="L21" s="107"/>
      <c r="M21" s="108"/>
      <c r="N21" s="108"/>
      <c r="P21" s="109"/>
    </row>
    <row r="22" spans="1:17" ht="20.100000000000001" customHeight="1" x14ac:dyDescent="0.25">
      <c r="A22" s="238">
        <v>2</v>
      </c>
      <c r="C22" s="247" t="s">
        <v>217</v>
      </c>
      <c r="E22" s="58">
        <f>E21</f>
        <v>129123808</v>
      </c>
      <c r="F22" s="55"/>
      <c r="G22" s="58">
        <f>G21</f>
        <v>151660244</v>
      </c>
      <c r="H22" s="54"/>
      <c r="I22" s="58">
        <f>I21</f>
        <v>22536436</v>
      </c>
      <c r="J22" s="4"/>
      <c r="K22" s="65">
        <f>IF(E22=0,"-",ROUND(I22/E22,4))</f>
        <v>0.17449999999999999</v>
      </c>
      <c r="L22" s="107"/>
      <c r="M22" s="108"/>
      <c r="O22" s="85"/>
      <c r="P22" s="110"/>
      <c r="Q22" s="85"/>
    </row>
    <row r="23" spans="1:17" x14ac:dyDescent="0.25">
      <c r="A23" s="236"/>
      <c r="E23" s="4"/>
      <c r="F23" s="2"/>
      <c r="G23" s="4"/>
      <c r="H23" s="4"/>
      <c r="I23" s="4"/>
      <c r="J23" s="4"/>
      <c r="K23" s="66"/>
      <c r="L23" s="107"/>
      <c r="M23" s="108"/>
      <c r="O23" s="85"/>
      <c r="P23" s="110"/>
      <c r="Q23" s="85"/>
    </row>
    <row r="24" spans="1:17" x14ac:dyDescent="0.25">
      <c r="A24" s="236"/>
      <c r="C24" s="246" t="s">
        <v>307</v>
      </c>
      <c r="E24" s="4"/>
      <c r="F24" s="2"/>
      <c r="G24" s="4"/>
      <c r="H24" s="4"/>
      <c r="I24" s="4"/>
      <c r="J24" s="4"/>
      <c r="K24" s="66"/>
      <c r="L24" s="107"/>
      <c r="M24" s="108"/>
      <c r="O24" s="85"/>
      <c r="P24" s="110"/>
      <c r="Q24" s="85"/>
    </row>
    <row r="25" spans="1:17" x14ac:dyDescent="0.25">
      <c r="A25" s="238">
        <v>3</v>
      </c>
      <c r="C25" s="44" t="s">
        <v>421</v>
      </c>
      <c r="D25" s="44"/>
      <c r="E25" s="4">
        <f>'Rate DS'!AO111</f>
        <v>91350197</v>
      </c>
      <c r="F25" s="2"/>
      <c r="G25" s="4">
        <f>'Rate DS'!R53</f>
        <v>104407142</v>
      </c>
      <c r="H25" s="4"/>
      <c r="I25" s="4">
        <f t="shared" ref="I25:I31" si="0">G25-E25</f>
        <v>13056945</v>
      </c>
      <c r="J25" s="4"/>
      <c r="K25" s="68">
        <f t="shared" ref="K25:K32" si="1">IF(E25=0,"-",ROUND(I25/E25,4))</f>
        <v>0.1429</v>
      </c>
      <c r="L25" s="107"/>
      <c r="M25" s="108"/>
      <c r="N25" s="108"/>
      <c r="O25" s="108"/>
      <c r="P25" s="85"/>
      <c r="Q25" s="85"/>
    </row>
    <row r="26" spans="1:17" x14ac:dyDescent="0.25">
      <c r="A26" s="238">
        <v>4</v>
      </c>
      <c r="C26" s="44" t="s">
        <v>492</v>
      </c>
      <c r="D26" s="44"/>
      <c r="E26" s="4">
        <f>'Rate DT-Pri'!AO137</f>
        <v>31328625</v>
      </c>
      <c r="F26" s="2"/>
      <c r="G26" s="4">
        <f>'Rate DT-Pri'!R65</f>
        <v>35313794</v>
      </c>
      <c r="H26" s="4"/>
      <c r="I26" s="4">
        <f t="shared" si="0"/>
        <v>3985169</v>
      </c>
      <c r="J26" s="4"/>
      <c r="K26" s="68">
        <f t="shared" si="1"/>
        <v>0.12720000000000001</v>
      </c>
      <c r="L26" s="107"/>
      <c r="M26" s="108"/>
      <c r="N26" s="108"/>
      <c r="O26" s="108"/>
      <c r="P26" s="85"/>
      <c r="Q26" s="85"/>
    </row>
    <row r="27" spans="1:17" x14ac:dyDescent="0.25">
      <c r="A27" s="238">
        <v>5</v>
      </c>
      <c r="C27" s="44" t="s">
        <v>493</v>
      </c>
      <c r="D27" s="44"/>
      <c r="E27" s="4">
        <f>'Rate DT-Sec'!AO133</f>
        <v>46568917</v>
      </c>
      <c r="F27" s="2"/>
      <c r="G27" s="4">
        <f>'Rate DT-Sec'!R63</f>
        <v>52959130</v>
      </c>
      <c r="H27" s="4"/>
      <c r="I27" s="4">
        <f>G27-E27</f>
        <v>6390213</v>
      </c>
      <c r="J27" s="4"/>
      <c r="K27" s="68">
        <f>IF(E27=0,"-",ROUND(I27/E27,4))</f>
        <v>0.13719999999999999</v>
      </c>
      <c r="L27" s="107"/>
      <c r="M27" s="108"/>
      <c r="N27" s="108"/>
      <c r="O27" s="108"/>
      <c r="P27" s="108"/>
      <c r="Q27" s="108"/>
    </row>
    <row r="28" spans="1:17" x14ac:dyDescent="0.25">
      <c r="A28" s="238">
        <v>6</v>
      </c>
      <c r="B28" s="222"/>
      <c r="C28" s="44" t="s">
        <v>537</v>
      </c>
      <c r="D28" s="44"/>
      <c r="E28" s="4">
        <f>'Rate EH'!AO95</f>
        <v>640693</v>
      </c>
      <c r="F28" s="2"/>
      <c r="G28" s="4">
        <f>'Rate EH'!R45</f>
        <v>731865</v>
      </c>
      <c r="H28" s="4"/>
      <c r="I28" s="4">
        <f>G28-E28</f>
        <v>91172</v>
      </c>
      <c r="J28" s="4"/>
      <c r="K28" s="68">
        <f t="shared" si="1"/>
        <v>0.14230000000000001</v>
      </c>
      <c r="L28" s="107"/>
      <c r="M28" s="108"/>
      <c r="N28" s="108"/>
      <c r="O28" s="85"/>
      <c r="P28" s="85"/>
      <c r="Q28" s="85"/>
    </row>
    <row r="29" spans="1:17" x14ac:dyDescent="0.25">
      <c r="A29" s="238">
        <v>7</v>
      </c>
      <c r="B29" s="222"/>
      <c r="C29" s="48" t="s">
        <v>422</v>
      </c>
      <c r="D29" s="44"/>
      <c r="E29" s="4">
        <f>'Rate SP GSFL'!AO107</f>
        <v>29375</v>
      </c>
      <c r="F29" s="2"/>
      <c r="G29" s="4">
        <f>'Rate SP GSFL'!R40</f>
        <v>32760</v>
      </c>
      <c r="H29" s="4"/>
      <c r="I29" s="4">
        <f>G29-E29</f>
        <v>3385</v>
      </c>
      <c r="J29" s="4"/>
      <c r="K29" s="68">
        <f t="shared" si="1"/>
        <v>0.1152</v>
      </c>
      <c r="L29" s="107"/>
      <c r="M29" s="108"/>
      <c r="N29" s="108"/>
      <c r="O29" s="85"/>
      <c r="P29" s="85"/>
      <c r="Q29" s="85"/>
    </row>
    <row r="30" spans="1:17" x14ac:dyDescent="0.25">
      <c r="A30" s="238">
        <v>8</v>
      </c>
      <c r="C30" s="44" t="s">
        <v>423</v>
      </c>
      <c r="D30" s="44"/>
      <c r="E30" s="4">
        <f>'Rate SP GSFL'!AO128</f>
        <v>596775</v>
      </c>
      <c r="F30" s="2"/>
      <c r="G30" s="4">
        <f>'Rate SP GSFL'!R61</f>
        <v>682442</v>
      </c>
      <c r="H30" s="4"/>
      <c r="I30" s="4">
        <f>G30-E30</f>
        <v>85667</v>
      </c>
      <c r="J30" s="4"/>
      <c r="K30" s="68">
        <f t="shared" si="1"/>
        <v>0.14349999999999999</v>
      </c>
      <c r="L30" s="107"/>
      <c r="M30" s="108"/>
      <c r="N30" s="108"/>
      <c r="O30" s="85"/>
      <c r="P30" s="85"/>
      <c r="Q30" s="85"/>
    </row>
    <row r="31" spans="1:17" x14ac:dyDescent="0.25">
      <c r="A31" s="238">
        <v>9</v>
      </c>
      <c r="C31" s="44" t="s">
        <v>424</v>
      </c>
      <c r="D31" s="44"/>
      <c r="E31" s="4">
        <f>'Rate DP'!AO102</f>
        <v>948402</v>
      </c>
      <c r="F31" s="2"/>
      <c r="G31" s="4">
        <f>'Rate DP'!R48</f>
        <v>1114960</v>
      </c>
      <c r="H31" s="4"/>
      <c r="I31" s="4">
        <f t="shared" si="0"/>
        <v>166558</v>
      </c>
      <c r="J31" s="4"/>
      <c r="K31" s="65">
        <f t="shared" si="1"/>
        <v>0.17560000000000001</v>
      </c>
      <c r="L31" s="107"/>
      <c r="M31" s="108"/>
      <c r="N31" s="108"/>
      <c r="O31" s="85"/>
      <c r="P31" s="85"/>
      <c r="Q31" s="85"/>
    </row>
    <row r="32" spans="1:17" ht="20.100000000000001" customHeight="1" x14ac:dyDescent="0.25">
      <c r="A32" s="236">
        <v>10</v>
      </c>
      <c r="C32" s="247" t="s">
        <v>188</v>
      </c>
      <c r="E32" s="58">
        <f>SUM(E25:E31)</f>
        <v>171462984</v>
      </c>
      <c r="F32" s="2"/>
      <c r="G32" s="58">
        <f>SUM(G25:G31)</f>
        <v>195242093</v>
      </c>
      <c r="H32" s="4"/>
      <c r="I32" s="58">
        <f>SUM(I25:I31)</f>
        <v>23779109</v>
      </c>
      <c r="J32" s="4"/>
      <c r="K32" s="65">
        <f t="shared" si="1"/>
        <v>0.13869999999999999</v>
      </c>
      <c r="L32" s="107"/>
      <c r="M32" s="108"/>
      <c r="O32" s="85"/>
      <c r="P32" s="85"/>
      <c r="Q32" s="85"/>
    </row>
    <row r="33" spans="1:17" x14ac:dyDescent="0.25">
      <c r="A33" s="236"/>
      <c r="E33" s="4"/>
      <c r="F33" s="2"/>
      <c r="G33" s="4"/>
      <c r="H33" s="4"/>
      <c r="I33" s="4"/>
      <c r="J33" s="4"/>
      <c r="K33" s="66"/>
      <c r="L33" s="107"/>
      <c r="M33" s="108"/>
      <c r="O33" s="85"/>
      <c r="P33" s="85"/>
      <c r="Q33" s="85"/>
    </row>
    <row r="34" spans="1:17" x14ac:dyDescent="0.25">
      <c r="A34" s="236"/>
      <c r="C34" s="246" t="s">
        <v>308</v>
      </c>
      <c r="E34" s="4"/>
      <c r="F34" s="2"/>
      <c r="G34" s="4"/>
      <c r="H34" s="4"/>
      <c r="I34" s="4"/>
      <c r="J34" s="4"/>
      <c r="K34" s="66"/>
      <c r="L34" s="107"/>
      <c r="M34" s="108"/>
      <c r="O34" s="85"/>
      <c r="P34" s="85"/>
      <c r="Q34" s="85"/>
    </row>
    <row r="35" spans="1:17" x14ac:dyDescent="0.25">
      <c r="A35" s="238">
        <v>11</v>
      </c>
      <c r="C35" s="44" t="s">
        <v>425</v>
      </c>
      <c r="D35" s="44"/>
      <c r="E35" s="52">
        <f>'Rate TT'!AO122</f>
        <v>12528693</v>
      </c>
      <c r="F35" s="2"/>
      <c r="G35" s="52">
        <f>'Rate TT'!R57</f>
        <v>13922324</v>
      </c>
      <c r="H35" s="4"/>
      <c r="I35" s="52">
        <f>G35-E35</f>
        <v>1393631</v>
      </c>
      <c r="J35" s="4"/>
      <c r="K35" s="65">
        <f>IF(E35=0,"-",ROUND(I35/E35,4))</f>
        <v>0.11119999999999999</v>
      </c>
      <c r="L35" s="107"/>
      <c r="M35" s="108"/>
      <c r="N35" s="108"/>
      <c r="O35" s="108"/>
      <c r="P35" s="108"/>
      <c r="Q35" s="108"/>
    </row>
    <row r="36" spans="1:17" ht="20.100000000000001" customHeight="1" x14ac:dyDescent="0.25">
      <c r="A36" s="238">
        <v>12</v>
      </c>
      <c r="C36" s="247" t="s">
        <v>189</v>
      </c>
      <c r="E36" s="58">
        <f>SUM(E35)</f>
        <v>12528693</v>
      </c>
      <c r="F36" s="2"/>
      <c r="G36" s="58">
        <f>SUM(G35)</f>
        <v>13922324</v>
      </c>
      <c r="H36" s="4"/>
      <c r="I36" s="58">
        <f>SUM(I35)</f>
        <v>1393631</v>
      </c>
      <c r="J36" s="4"/>
      <c r="K36" s="65">
        <f>IF(E36=0,"-",ROUND(I36/E36,4))</f>
        <v>0.11119999999999999</v>
      </c>
      <c r="L36" s="107"/>
      <c r="M36" s="108"/>
      <c r="O36" s="85"/>
      <c r="P36" s="85"/>
      <c r="Q36" s="108"/>
    </row>
    <row r="37" spans="1:17" x14ac:dyDescent="0.25">
      <c r="A37" s="236"/>
      <c r="E37" s="4"/>
      <c r="F37" s="2"/>
      <c r="G37" s="4"/>
      <c r="H37" s="4"/>
      <c r="I37" s="4"/>
      <c r="J37" s="4"/>
      <c r="K37" s="66"/>
      <c r="L37" s="107"/>
      <c r="M37" s="108"/>
      <c r="O37" s="85"/>
      <c r="P37" s="85"/>
      <c r="Q37" s="108"/>
    </row>
    <row r="38" spans="1:17" x14ac:dyDescent="0.25">
      <c r="A38" s="236"/>
      <c r="C38" s="246" t="s">
        <v>311</v>
      </c>
      <c r="E38" s="4"/>
      <c r="F38" s="2"/>
      <c r="G38" s="4"/>
      <c r="H38" s="4"/>
      <c r="I38" s="4"/>
      <c r="J38" s="4"/>
      <c r="K38" s="66"/>
      <c r="L38" s="107"/>
      <c r="M38" s="108"/>
      <c r="O38" s="85"/>
      <c r="P38" s="85"/>
      <c r="Q38" s="108"/>
    </row>
    <row r="39" spans="1:17" x14ac:dyDescent="0.25">
      <c r="A39" s="236">
        <v>13</v>
      </c>
      <c r="C39" s="49" t="s">
        <v>477</v>
      </c>
      <c r="E39" s="4">
        <f>'Rate DT RTP-P'!AO84</f>
        <v>0</v>
      </c>
      <c r="F39" s="2"/>
      <c r="G39" s="4">
        <f>'Rate DT RTP-P'!R39</f>
        <v>0</v>
      </c>
      <c r="H39" s="4"/>
      <c r="I39" s="54">
        <f>G39-E39</f>
        <v>0</v>
      </c>
      <c r="J39" s="4"/>
      <c r="K39" s="68" t="str">
        <f>IF(E39=0,"-",ROUND(I39/E39,4))</f>
        <v>-</v>
      </c>
      <c r="L39" s="107"/>
      <c r="M39" s="108"/>
      <c r="N39" s="108"/>
      <c r="O39" s="85"/>
      <c r="P39" s="85"/>
      <c r="Q39" s="108"/>
    </row>
    <row r="40" spans="1:17" x14ac:dyDescent="0.25">
      <c r="A40" s="236">
        <v>14</v>
      </c>
      <c r="C40" s="49" t="s">
        <v>495</v>
      </c>
      <c r="E40" s="4">
        <f>'Rate DT RTP-S'!AO89</f>
        <v>141597</v>
      </c>
      <c r="F40" s="2"/>
      <c r="G40" s="4">
        <f>'Rate DT RTP-S'!R42</f>
        <v>177120</v>
      </c>
      <c r="H40" s="4"/>
      <c r="I40" s="54">
        <f>G40-E40</f>
        <v>35523</v>
      </c>
      <c r="J40" s="4"/>
      <c r="K40" s="68">
        <f>IF(E40=0,"-",ROUND(I40/E40,4))</f>
        <v>0.25090000000000001</v>
      </c>
      <c r="L40" s="107"/>
      <c r="M40" s="108"/>
      <c r="N40" s="108"/>
      <c r="O40" s="85"/>
      <c r="P40" s="85"/>
      <c r="Q40" s="108"/>
    </row>
    <row r="41" spans="1:17" x14ac:dyDescent="0.25">
      <c r="A41" s="236">
        <v>15</v>
      </c>
      <c r="C41" s="49" t="s">
        <v>426</v>
      </c>
      <c r="E41" s="4">
        <f>'Rate DS RTP'!AO89</f>
        <v>25921</v>
      </c>
      <c r="F41" s="2"/>
      <c r="G41" s="4">
        <f>'Rate DS RTP'!R42</f>
        <v>28500</v>
      </c>
      <c r="H41" s="4"/>
      <c r="I41" s="54">
        <f>G41-E41</f>
        <v>2579</v>
      </c>
      <c r="J41" s="4"/>
      <c r="K41" s="68">
        <f>IF(E41=0,"-",ROUND(I41/E41,4))</f>
        <v>9.9500000000000005E-2</v>
      </c>
      <c r="L41" s="107"/>
      <c r="M41" s="108"/>
      <c r="N41" s="108"/>
      <c r="O41" s="85"/>
      <c r="P41" s="85"/>
      <c r="Q41" s="85"/>
    </row>
    <row r="42" spans="1:17" x14ac:dyDescent="0.25">
      <c r="A42" s="236">
        <v>16</v>
      </c>
      <c r="C42" s="49" t="s">
        <v>427</v>
      </c>
      <c r="E42" s="52">
        <f>'Rate TT RTP'!AO89</f>
        <v>414116</v>
      </c>
      <c r="F42" s="2"/>
      <c r="G42" s="52">
        <f>'Rate TT RTP'!R41</f>
        <v>462458</v>
      </c>
      <c r="H42" s="4"/>
      <c r="I42" s="52">
        <f>G42-E42</f>
        <v>48342</v>
      </c>
      <c r="J42" s="4"/>
      <c r="K42" s="65">
        <f>IF(E42=0,"-",ROUND(I42/E42,4))</f>
        <v>0.1167</v>
      </c>
      <c r="L42" s="107"/>
      <c r="M42" s="108"/>
      <c r="N42" s="108"/>
    </row>
    <row r="43" spans="1:17" ht="20.100000000000001" customHeight="1" x14ac:dyDescent="0.25">
      <c r="A43" s="236">
        <v>17</v>
      </c>
      <c r="C43" s="248" t="s">
        <v>344</v>
      </c>
      <c r="E43" s="52">
        <f>SUM(E39:E42)</f>
        <v>581634</v>
      </c>
      <c r="F43" s="2"/>
      <c r="G43" s="52">
        <f>SUM(G39:G42)</f>
        <v>668078</v>
      </c>
      <c r="H43" s="4"/>
      <c r="I43" s="52">
        <f>SUM(I39:I42)</f>
        <v>86444</v>
      </c>
      <c r="J43" s="4"/>
      <c r="K43" s="65">
        <f>IF(E43=0,"-",ROUND(I43/E43,4))</f>
        <v>0.14860000000000001</v>
      </c>
      <c r="L43" s="107"/>
      <c r="M43" s="108"/>
    </row>
    <row r="44" spans="1:17" x14ac:dyDescent="0.25">
      <c r="A44" s="236"/>
      <c r="C44" s="48"/>
      <c r="E44" s="4"/>
      <c r="F44" s="2"/>
      <c r="G44" s="4"/>
      <c r="H44" s="4"/>
      <c r="I44" s="4"/>
      <c r="J44" s="4"/>
      <c r="K44" s="66"/>
      <c r="L44" s="107"/>
      <c r="M44" s="108"/>
      <c r="Q44" s="111"/>
    </row>
    <row r="45" spans="1:17" x14ac:dyDescent="0.25">
      <c r="A45" s="236"/>
      <c r="C45" s="127" t="s">
        <v>533</v>
      </c>
      <c r="E45" s="4"/>
      <c r="F45" s="2"/>
      <c r="G45" s="4"/>
      <c r="H45" s="4"/>
      <c r="I45" s="4"/>
      <c r="J45" s="4"/>
      <c r="K45" s="66"/>
      <c r="L45" s="107"/>
      <c r="M45" s="108"/>
      <c r="Q45" s="111"/>
    </row>
    <row r="46" spans="1:17" x14ac:dyDescent="0.25">
      <c r="A46" s="238">
        <v>18</v>
      </c>
      <c r="C46" s="44" t="s">
        <v>428</v>
      </c>
      <c r="D46" s="44"/>
      <c r="E46" s="4">
        <f>'Rate SL'!AO433</f>
        <v>1346952</v>
      </c>
      <c r="F46" s="2"/>
      <c r="G46" s="4">
        <f>'Rate SL'!R211</f>
        <v>1506798</v>
      </c>
      <c r="H46" s="4"/>
      <c r="I46" s="4">
        <f t="shared" ref="I46:I53" si="2">G46-E46</f>
        <v>159846</v>
      </c>
      <c r="J46" s="4"/>
      <c r="K46" s="68">
        <f t="shared" ref="K46:K54" si="3">IF(E46=0,"-",ROUND(I46/E46,4))</f>
        <v>0.1187</v>
      </c>
      <c r="L46" s="107"/>
      <c r="M46" s="108"/>
    </row>
    <row r="47" spans="1:17" x14ac:dyDescent="0.25">
      <c r="A47" s="238">
        <v>19</v>
      </c>
      <c r="C47" s="44" t="s">
        <v>429</v>
      </c>
      <c r="D47" s="44"/>
      <c r="E47" s="4">
        <f>'Rate TL'!AO102</f>
        <v>71559</v>
      </c>
      <c r="F47" s="2"/>
      <c r="G47" s="4">
        <f>'Rate TL'!R49</f>
        <v>79965</v>
      </c>
      <c r="H47" s="4"/>
      <c r="I47" s="4">
        <f t="shared" si="2"/>
        <v>8406</v>
      </c>
      <c r="J47" s="4"/>
      <c r="K47" s="68">
        <f t="shared" si="3"/>
        <v>0.11749999999999999</v>
      </c>
      <c r="L47" s="107"/>
      <c r="M47" s="108"/>
      <c r="O47" s="109"/>
      <c r="P47" s="109"/>
    </row>
    <row r="48" spans="1:17" x14ac:dyDescent="0.25">
      <c r="A48" s="238">
        <v>20</v>
      </c>
      <c r="C48" s="44" t="s">
        <v>538</v>
      </c>
      <c r="D48" s="44"/>
      <c r="E48" s="4">
        <f>'Rate UOLS'!AO67</f>
        <v>202008</v>
      </c>
      <c r="F48" s="2"/>
      <c r="G48" s="4">
        <f>'Rate UOLS'!R30</f>
        <v>225658</v>
      </c>
      <c r="H48" s="4"/>
      <c r="I48" s="4">
        <f t="shared" si="2"/>
        <v>23650</v>
      </c>
      <c r="J48" s="4"/>
      <c r="K48" s="68">
        <f t="shared" si="3"/>
        <v>0.1171</v>
      </c>
      <c r="L48" s="107"/>
      <c r="M48" s="108"/>
    </row>
    <row r="49" spans="1:15" x14ac:dyDescent="0.25">
      <c r="A49" s="238">
        <v>21</v>
      </c>
      <c r="C49" s="48" t="s">
        <v>745</v>
      </c>
      <c r="D49" s="44"/>
      <c r="E49" s="4">
        <f>'Rate OL'!AO165</f>
        <v>16821</v>
      </c>
      <c r="F49" s="2"/>
      <c r="G49" s="4">
        <f>'Rate OL'!R79</f>
        <v>18810</v>
      </c>
      <c r="H49" s="4"/>
      <c r="I49" s="4">
        <f t="shared" si="2"/>
        <v>1989</v>
      </c>
      <c r="J49" s="4"/>
      <c r="K49" s="68">
        <f t="shared" si="3"/>
        <v>0.1182</v>
      </c>
      <c r="L49" s="107"/>
      <c r="M49" s="108"/>
    </row>
    <row r="50" spans="1:15" x14ac:dyDescent="0.25">
      <c r="A50" s="238">
        <v>22</v>
      </c>
      <c r="C50" s="48" t="s">
        <v>539</v>
      </c>
      <c r="D50" s="44"/>
      <c r="E50" s="4">
        <f>'Rate NSU'!AO99</f>
        <v>62007</v>
      </c>
      <c r="F50" s="2"/>
      <c r="G50" s="4">
        <f>'Rate NSU'!R47</f>
        <v>69359</v>
      </c>
      <c r="H50" s="4"/>
      <c r="I50" s="4">
        <f t="shared" si="2"/>
        <v>7352</v>
      </c>
      <c r="J50" s="4"/>
      <c r="K50" s="68">
        <f t="shared" si="3"/>
        <v>0.1186</v>
      </c>
      <c r="L50" s="107"/>
      <c r="M50" s="108"/>
    </row>
    <row r="51" spans="1:15" x14ac:dyDescent="0.25">
      <c r="A51" s="238">
        <v>23</v>
      </c>
      <c r="C51" s="44" t="s">
        <v>746</v>
      </c>
      <c r="D51" s="44"/>
      <c r="E51" s="54">
        <f>'Rate NSP'!AO123</f>
        <v>1456</v>
      </c>
      <c r="F51" s="55"/>
      <c r="G51" s="54">
        <f>'Rate NSP'!R58</f>
        <v>1630</v>
      </c>
      <c r="H51" s="54"/>
      <c r="I51" s="4">
        <f t="shared" si="2"/>
        <v>174</v>
      </c>
      <c r="J51" s="54"/>
      <c r="K51" s="68">
        <f t="shared" si="3"/>
        <v>0.1195</v>
      </c>
      <c r="L51" s="107"/>
      <c r="M51" s="108"/>
    </row>
    <row r="52" spans="1:15" x14ac:dyDescent="0.25">
      <c r="A52" s="238">
        <v>24</v>
      </c>
      <c r="C52" s="44" t="s">
        <v>540</v>
      </c>
      <c r="D52" s="44"/>
      <c r="E52" s="4">
        <f>'Rate SC'!AO149</f>
        <v>3713</v>
      </c>
      <c r="F52" s="4"/>
      <c r="G52" s="4">
        <f>'Rate SC'!R74</f>
        <v>4148</v>
      </c>
      <c r="H52" s="4"/>
      <c r="I52" s="4">
        <f t="shared" si="2"/>
        <v>435</v>
      </c>
      <c r="J52" s="4"/>
      <c r="K52" s="68">
        <f t="shared" si="3"/>
        <v>0.1172</v>
      </c>
      <c r="L52" s="107"/>
      <c r="M52" s="108"/>
    </row>
    <row r="53" spans="1:15" x14ac:dyDescent="0.25">
      <c r="A53" s="236">
        <v>25</v>
      </c>
      <c r="C53" s="44" t="s">
        <v>541</v>
      </c>
      <c r="D53" s="44"/>
      <c r="E53" s="52">
        <f>'Rate SE'!AO112</f>
        <v>191062</v>
      </c>
      <c r="F53" s="4"/>
      <c r="G53" s="52">
        <f>'Rate SE'!R54</f>
        <v>213712</v>
      </c>
      <c r="H53" s="4"/>
      <c r="I53" s="52">
        <f t="shared" si="2"/>
        <v>22650</v>
      </c>
      <c r="J53" s="4"/>
      <c r="K53" s="65">
        <f t="shared" si="3"/>
        <v>0.11849999999999999</v>
      </c>
      <c r="L53" s="107"/>
      <c r="M53" s="108"/>
    </row>
    <row r="54" spans="1:15" ht="20.100000000000001" customHeight="1" x14ac:dyDescent="0.25">
      <c r="A54" s="236">
        <v>26</v>
      </c>
      <c r="C54" s="247" t="s">
        <v>190</v>
      </c>
      <c r="E54" s="58">
        <f>SUM(E46:E53)</f>
        <v>1895578</v>
      </c>
      <c r="F54" s="2"/>
      <c r="G54" s="58">
        <f>SUM(G46:G53)</f>
        <v>2120080</v>
      </c>
      <c r="H54" s="4"/>
      <c r="I54" s="58">
        <f>SUM(I46:I53)</f>
        <v>224502</v>
      </c>
      <c r="J54" s="4"/>
      <c r="K54" s="65">
        <f t="shared" si="3"/>
        <v>0.11840000000000001</v>
      </c>
      <c r="L54" s="107"/>
      <c r="M54" s="108"/>
      <c r="N54" s="108"/>
    </row>
    <row r="55" spans="1:15" ht="9" customHeight="1" x14ac:dyDescent="0.25">
      <c r="A55" s="236"/>
      <c r="E55" s="54"/>
      <c r="F55" s="2"/>
      <c r="G55" s="54"/>
      <c r="H55" s="4"/>
      <c r="I55" s="54"/>
      <c r="J55" s="4"/>
      <c r="K55" s="65"/>
      <c r="L55" s="107"/>
      <c r="M55" s="108"/>
    </row>
    <row r="56" spans="1:15" ht="15.75" customHeight="1" x14ac:dyDescent="0.25">
      <c r="A56" s="238">
        <v>27</v>
      </c>
      <c r="C56" s="80" t="s">
        <v>433</v>
      </c>
      <c r="D56" s="44"/>
      <c r="E56" s="61">
        <f>'SCH M-2.2'!V57</f>
        <v>52074</v>
      </c>
      <c r="F56" s="2"/>
      <c r="G56" s="61">
        <f>'SCH M-2.3'!R57</f>
        <v>52074</v>
      </c>
      <c r="H56" s="2"/>
      <c r="I56" s="54">
        <f>G56-E56</f>
        <v>0</v>
      </c>
      <c r="J56" s="1"/>
      <c r="K56" s="68">
        <f>IF(E56=0,"-",ROUND(I56/E56,4))</f>
        <v>0</v>
      </c>
      <c r="L56" s="107"/>
      <c r="M56" s="108"/>
      <c r="N56" s="109"/>
      <c r="O56" s="109"/>
    </row>
    <row r="57" spans="1:15" ht="15.75" customHeight="1" x14ac:dyDescent="0.25">
      <c r="A57" s="238">
        <v>28</v>
      </c>
      <c r="C57" s="82" t="s">
        <v>434</v>
      </c>
      <c r="D57" s="44"/>
      <c r="E57" s="60">
        <f>+'SCH M-2.2'!V63</f>
        <v>7713</v>
      </c>
      <c r="F57" s="2"/>
      <c r="G57" s="60">
        <f>'SCH M-2.3'!R63</f>
        <v>7713</v>
      </c>
      <c r="H57" s="2"/>
      <c r="I57" s="52">
        <f>G57-E57</f>
        <v>0</v>
      </c>
      <c r="J57" s="1"/>
      <c r="K57" s="65">
        <f>IF(E57=0,"-",ROUND(I57/E57,4))</f>
        <v>0</v>
      </c>
      <c r="L57" s="107"/>
      <c r="M57" s="108"/>
      <c r="N57" s="108"/>
    </row>
    <row r="58" spans="1:15" ht="9" customHeight="1" x14ac:dyDescent="0.25">
      <c r="M58" s="108"/>
    </row>
    <row r="59" spans="1:15" ht="16.5" thickBot="1" x14ac:dyDescent="0.3">
      <c r="A59" s="236">
        <v>29</v>
      </c>
      <c r="C59" s="249" t="s">
        <v>476</v>
      </c>
      <c r="E59" s="53">
        <f>E54+E43+E36+E32+E22+E56+E57</f>
        <v>315652484</v>
      </c>
      <c r="F59" s="2"/>
      <c r="G59" s="53">
        <f>G54+G43+G36+G32+G22+G56+G57</f>
        <v>363672606</v>
      </c>
      <c r="H59" s="4"/>
      <c r="I59" s="53">
        <f>G59-E59</f>
        <v>48020122</v>
      </c>
      <c r="J59" s="4"/>
      <c r="K59" s="69">
        <f>IF(E59=0,"-",ROUND(I59/E59,4))</f>
        <v>0.15210000000000001</v>
      </c>
      <c r="M59" s="108"/>
    </row>
    <row r="60" spans="1:15" ht="16.5" thickTop="1" x14ac:dyDescent="0.25">
      <c r="M60" s="108"/>
    </row>
    <row r="61" spans="1:15" x14ac:dyDescent="0.25">
      <c r="C61" s="246" t="s">
        <v>545</v>
      </c>
      <c r="M61" s="108"/>
    </row>
    <row r="62" spans="1:15" x14ac:dyDescent="0.25">
      <c r="A62" s="238">
        <v>30</v>
      </c>
      <c r="C62" s="82" t="s">
        <v>679</v>
      </c>
      <c r="D62" s="44"/>
      <c r="E62" s="61">
        <f>'SCH M-2.2'!V58</f>
        <v>3984486</v>
      </c>
      <c r="F62" s="2"/>
      <c r="G62" s="61">
        <f>'SCH M-2.3'!R58</f>
        <v>3984486</v>
      </c>
      <c r="H62" s="2"/>
      <c r="I62" s="54">
        <f t="shared" ref="I62:I67" si="4">G62-E62</f>
        <v>0</v>
      </c>
      <c r="J62" s="1"/>
      <c r="K62" s="68">
        <f t="shared" ref="K62:K68" si="5">IF(E62=0,"-",ROUND(I62/E62,4))</f>
        <v>0</v>
      </c>
      <c r="L62" s="107"/>
      <c r="M62" s="108"/>
      <c r="N62" s="109"/>
    </row>
    <row r="63" spans="1:15" x14ac:dyDescent="0.25">
      <c r="A63" s="238">
        <v>31</v>
      </c>
      <c r="C63" s="81" t="s">
        <v>302</v>
      </c>
      <c r="E63" s="61">
        <f>'SCH M-2.2'!V59</f>
        <v>23092</v>
      </c>
      <c r="F63" s="2"/>
      <c r="G63" s="61">
        <f>+'SCH M-2.3'!R59</f>
        <v>23092</v>
      </c>
      <c r="H63" s="2"/>
      <c r="I63" s="54">
        <f t="shared" si="4"/>
        <v>0</v>
      </c>
      <c r="J63" s="1"/>
      <c r="K63" s="68">
        <f t="shared" si="5"/>
        <v>0</v>
      </c>
      <c r="L63" s="107"/>
      <c r="M63" s="108"/>
    </row>
    <row r="64" spans="1:15" x14ac:dyDescent="0.25">
      <c r="A64" s="238">
        <v>32</v>
      </c>
      <c r="C64" s="82" t="s">
        <v>542</v>
      </c>
      <c r="D64" s="44"/>
      <c r="E64" s="61">
        <f>'SCH M-2.2'!V60</f>
        <v>189382</v>
      </c>
      <c r="F64" s="2"/>
      <c r="G64" s="61">
        <f>+'SCH M-2.3'!R60</f>
        <v>189382</v>
      </c>
      <c r="H64" s="2"/>
      <c r="I64" s="54">
        <f t="shared" si="4"/>
        <v>0</v>
      </c>
      <c r="J64" s="1"/>
      <c r="K64" s="68">
        <f t="shared" si="5"/>
        <v>0</v>
      </c>
      <c r="L64" s="107"/>
      <c r="M64" s="108"/>
    </row>
    <row r="65" spans="1:16" x14ac:dyDescent="0.25">
      <c r="A65" s="238">
        <v>33</v>
      </c>
      <c r="C65" s="82" t="s">
        <v>624</v>
      </c>
      <c r="D65" s="44"/>
      <c r="E65" s="61">
        <f>'SCH M-2.2'!V61</f>
        <v>117775</v>
      </c>
      <c r="F65" s="2"/>
      <c r="G65" s="61">
        <f>+'SCH M-2.3'!R61</f>
        <v>117775</v>
      </c>
      <c r="H65" s="2"/>
      <c r="I65" s="54">
        <f t="shared" si="4"/>
        <v>0</v>
      </c>
      <c r="J65" s="1"/>
      <c r="K65" s="68">
        <f t="shared" ref="K65" si="6">IF(E65=0,"-",ROUND(I65/E65,4))</f>
        <v>0</v>
      </c>
      <c r="L65" s="107"/>
      <c r="M65" s="108"/>
    </row>
    <row r="66" spans="1:16" x14ac:dyDescent="0.25">
      <c r="A66" s="238">
        <v>34</v>
      </c>
      <c r="C66" s="82" t="s">
        <v>304</v>
      </c>
      <c r="D66" s="44"/>
      <c r="E66" s="61">
        <f>'SCH M-2.2'!V62</f>
        <v>930344</v>
      </c>
      <c r="F66" s="2"/>
      <c r="G66" s="61">
        <f>+'SCH M-2.3'!R62</f>
        <v>930344</v>
      </c>
      <c r="H66" s="2"/>
      <c r="I66" s="54">
        <f t="shared" si="4"/>
        <v>0</v>
      </c>
      <c r="J66" s="1"/>
      <c r="K66" s="68">
        <f t="shared" si="5"/>
        <v>0</v>
      </c>
      <c r="L66" s="107"/>
      <c r="M66" s="108"/>
    </row>
    <row r="67" spans="1:16" x14ac:dyDescent="0.25">
      <c r="A67" s="238">
        <v>35</v>
      </c>
      <c r="C67" s="44" t="s">
        <v>543</v>
      </c>
      <c r="D67" s="44"/>
      <c r="E67" s="61">
        <f>'SCH M-2.2'!V64</f>
        <v>19330403</v>
      </c>
      <c r="F67" s="2"/>
      <c r="G67" s="61">
        <f>+'SCH M-2.3'!R64</f>
        <v>19330403</v>
      </c>
      <c r="H67" s="2"/>
      <c r="I67" s="54">
        <f t="shared" si="4"/>
        <v>0</v>
      </c>
      <c r="J67" s="1"/>
      <c r="K67" s="65">
        <f t="shared" si="5"/>
        <v>0</v>
      </c>
      <c r="L67" s="107"/>
      <c r="M67" s="108"/>
    </row>
    <row r="68" spans="1:16" ht="20.100000000000001" customHeight="1" x14ac:dyDescent="0.25">
      <c r="A68" s="236">
        <v>36</v>
      </c>
      <c r="C68" s="247" t="s">
        <v>544</v>
      </c>
      <c r="E68" s="58">
        <f>SUM(E62:E67)</f>
        <v>24575482</v>
      </c>
      <c r="F68" s="2"/>
      <c r="G68" s="58">
        <f>SUM(G62:G67)</f>
        <v>24575482</v>
      </c>
      <c r="H68" s="4"/>
      <c r="I68" s="58">
        <f>SUM(I62:I67)</f>
        <v>0</v>
      </c>
      <c r="J68" s="4"/>
      <c r="K68" s="65">
        <f t="shared" si="5"/>
        <v>0</v>
      </c>
      <c r="L68" s="107"/>
      <c r="M68" s="108"/>
      <c r="P68" s="109"/>
    </row>
    <row r="69" spans="1:16" x14ac:dyDescent="0.25">
      <c r="A69" s="236"/>
      <c r="E69" s="4"/>
      <c r="F69" s="2"/>
      <c r="G69" s="4"/>
      <c r="H69" s="4"/>
      <c r="I69" s="4"/>
      <c r="J69" s="4"/>
      <c r="K69" s="66"/>
      <c r="L69" s="107"/>
      <c r="M69" s="108"/>
    </row>
    <row r="70" spans="1:16" ht="16.5" thickBot="1" x14ac:dyDescent="0.3">
      <c r="A70" s="238">
        <v>37</v>
      </c>
      <c r="C70" s="94" t="s">
        <v>191</v>
      </c>
      <c r="E70" s="53">
        <f>E68+E59</f>
        <v>340227966</v>
      </c>
      <c r="F70" s="2"/>
      <c r="G70" s="53">
        <f>G68+G59</f>
        <v>388248088</v>
      </c>
      <c r="H70" s="4"/>
      <c r="I70" s="53">
        <f>I68+I59</f>
        <v>48020122</v>
      </c>
      <c r="J70" s="4"/>
      <c r="K70" s="69">
        <f>IF(E70=0,"-",ROUND(I70/E70,4))</f>
        <v>0.1411</v>
      </c>
      <c r="L70" s="107"/>
      <c r="M70" s="108"/>
      <c r="N70" s="111"/>
    </row>
    <row r="71" spans="1:16" ht="16.5" thickTop="1" x14ac:dyDescent="0.25"/>
    <row r="75" spans="1:16" x14ac:dyDescent="0.25">
      <c r="C75" s="92" t="s">
        <v>195</v>
      </c>
      <c r="E75" s="2"/>
      <c r="F75" s="2"/>
      <c r="G75" s="2"/>
      <c r="H75" s="2"/>
      <c r="I75" s="2"/>
      <c r="J75" s="2"/>
      <c r="K75" s="67"/>
      <c r="L75" s="112"/>
      <c r="N75" s="111"/>
    </row>
    <row r="76" spans="1:16" x14ac:dyDescent="0.25">
      <c r="I76" s="91"/>
      <c r="J76" s="46"/>
      <c r="K76" s="236"/>
      <c r="L76" s="104"/>
    </row>
    <row r="77" spans="1:16" x14ac:dyDescent="0.25">
      <c r="K77" s="236"/>
      <c r="L77" s="104"/>
    </row>
    <row r="78" spans="1:16" x14ac:dyDescent="0.25">
      <c r="K78" s="236"/>
      <c r="L78" s="104"/>
    </row>
    <row r="79" spans="1:16" x14ac:dyDescent="0.25">
      <c r="K79" s="236"/>
      <c r="L79" s="104"/>
    </row>
    <row r="80" spans="1:16" x14ac:dyDescent="0.25">
      <c r="K80" s="236"/>
      <c r="L80" s="104"/>
    </row>
    <row r="81" spans="11:12" x14ac:dyDescent="0.25">
      <c r="K81" s="236"/>
      <c r="L81" s="104"/>
    </row>
    <row r="82" spans="11:12" x14ac:dyDescent="0.25">
      <c r="K82" s="236"/>
      <c r="L82" s="104"/>
    </row>
    <row r="83" spans="11:12" x14ac:dyDescent="0.25">
      <c r="K83" s="236"/>
      <c r="L83" s="104"/>
    </row>
    <row r="84" spans="11:12" x14ac:dyDescent="0.25">
      <c r="K84" s="236"/>
      <c r="L84" s="104"/>
    </row>
    <row r="85" spans="11:12" x14ac:dyDescent="0.25">
      <c r="K85" s="236"/>
      <c r="L85" s="104"/>
    </row>
    <row r="86" spans="11:12" x14ac:dyDescent="0.25">
      <c r="K86" s="236"/>
      <c r="L86" s="104"/>
    </row>
    <row r="87" spans="11:12" x14ac:dyDescent="0.25">
      <c r="K87" s="236"/>
      <c r="L87" s="104"/>
    </row>
    <row r="88" spans="11:12" x14ac:dyDescent="0.25">
      <c r="K88" s="236"/>
      <c r="L88" s="104"/>
    </row>
    <row r="89" spans="11:12" x14ac:dyDescent="0.25">
      <c r="K89" s="236"/>
      <c r="L89" s="104"/>
    </row>
    <row r="90" spans="11:12" x14ac:dyDescent="0.25">
      <c r="K90" s="236"/>
      <c r="L90" s="104"/>
    </row>
    <row r="91" spans="11:12" x14ac:dyDescent="0.25">
      <c r="K91" s="236"/>
      <c r="L91" s="104"/>
    </row>
    <row r="92" spans="11:12" x14ac:dyDescent="0.25">
      <c r="K92" s="236"/>
      <c r="L92" s="104"/>
    </row>
    <row r="93" spans="11:12" x14ac:dyDescent="0.25">
      <c r="K93" s="236"/>
      <c r="L93" s="104"/>
    </row>
    <row r="94" spans="11:12" x14ac:dyDescent="0.25">
      <c r="K94" s="236"/>
      <c r="L94" s="104"/>
    </row>
    <row r="95" spans="11:12" x14ac:dyDescent="0.25">
      <c r="K95" s="236"/>
      <c r="L95" s="104"/>
    </row>
    <row r="96" spans="11:12" x14ac:dyDescent="0.25">
      <c r="K96" s="236"/>
      <c r="L96" s="104"/>
    </row>
    <row r="97" spans="11:12" x14ac:dyDescent="0.25">
      <c r="K97" s="236"/>
      <c r="L97" s="104"/>
    </row>
    <row r="98" spans="11:12" x14ac:dyDescent="0.25">
      <c r="K98" s="236"/>
      <c r="L98" s="104"/>
    </row>
    <row r="99" spans="11:12" x14ac:dyDescent="0.25">
      <c r="K99" s="236"/>
      <c r="L99" s="104"/>
    </row>
    <row r="100" spans="11:12" x14ac:dyDescent="0.25">
      <c r="K100" s="236"/>
      <c r="L100" s="104"/>
    </row>
    <row r="101" spans="11:12" x14ac:dyDescent="0.25">
      <c r="K101" s="236"/>
      <c r="L101" s="104"/>
    </row>
    <row r="102" spans="11:12" x14ac:dyDescent="0.25">
      <c r="K102" s="236"/>
      <c r="L102" s="104"/>
    </row>
    <row r="103" spans="11:12" x14ac:dyDescent="0.25">
      <c r="K103" s="236"/>
      <c r="L103" s="104"/>
    </row>
    <row r="104" spans="11:12" x14ac:dyDescent="0.25">
      <c r="K104" s="236"/>
      <c r="L104" s="104"/>
    </row>
    <row r="105" spans="11:12" x14ac:dyDescent="0.25">
      <c r="K105" s="236"/>
      <c r="L105" s="104"/>
    </row>
    <row r="106" spans="11:12" x14ac:dyDescent="0.25">
      <c r="K106" s="236"/>
      <c r="L106" s="104"/>
    </row>
    <row r="107" spans="11:12" x14ac:dyDescent="0.25">
      <c r="K107" s="236"/>
      <c r="L107" s="104"/>
    </row>
    <row r="108" spans="11:12" x14ac:dyDescent="0.25">
      <c r="K108" s="236"/>
      <c r="L108" s="104"/>
    </row>
    <row r="109" spans="11:12" x14ac:dyDescent="0.25">
      <c r="K109" s="236"/>
      <c r="L109" s="104"/>
    </row>
    <row r="110" spans="11:12" x14ac:dyDescent="0.25">
      <c r="K110" s="236"/>
      <c r="L110" s="104"/>
    </row>
    <row r="111" spans="11:12" x14ac:dyDescent="0.25">
      <c r="K111" s="236"/>
      <c r="L111" s="104"/>
    </row>
    <row r="112" spans="11:12" x14ac:dyDescent="0.25">
      <c r="K112" s="236"/>
      <c r="L112" s="104"/>
    </row>
    <row r="113" spans="11:12" x14ac:dyDescent="0.25">
      <c r="K113" s="236"/>
      <c r="L113" s="104"/>
    </row>
    <row r="114" spans="11:12" x14ac:dyDescent="0.25">
      <c r="K114" s="236"/>
      <c r="L114" s="104"/>
    </row>
    <row r="115" spans="11:12" x14ac:dyDescent="0.25">
      <c r="K115" s="236"/>
      <c r="L115" s="104"/>
    </row>
    <row r="116" spans="11:12" x14ac:dyDescent="0.25">
      <c r="K116" s="236"/>
      <c r="L116" s="104"/>
    </row>
    <row r="117" spans="11:12" x14ac:dyDescent="0.25">
      <c r="K117" s="236"/>
      <c r="L117" s="104"/>
    </row>
    <row r="118" spans="11:12" x14ac:dyDescent="0.25">
      <c r="K118" s="236"/>
      <c r="L118" s="104"/>
    </row>
    <row r="119" spans="11:12" x14ac:dyDescent="0.25">
      <c r="K119" s="236"/>
      <c r="L119" s="104"/>
    </row>
    <row r="120" spans="11:12" x14ac:dyDescent="0.25">
      <c r="K120" s="236"/>
      <c r="L120" s="104"/>
    </row>
    <row r="121" spans="11:12" x14ac:dyDescent="0.25">
      <c r="K121" s="236"/>
      <c r="L121" s="104"/>
    </row>
    <row r="122" spans="11:12" x14ac:dyDescent="0.25">
      <c r="K122" s="236"/>
      <c r="L122" s="104"/>
    </row>
    <row r="123" spans="11:12" x14ac:dyDescent="0.25">
      <c r="K123" s="236"/>
      <c r="L123" s="104"/>
    </row>
    <row r="124" spans="11:12" x14ac:dyDescent="0.25">
      <c r="K124" s="236"/>
      <c r="L124" s="104"/>
    </row>
    <row r="125" spans="11:12" x14ac:dyDescent="0.25">
      <c r="K125" s="236"/>
      <c r="L125" s="104"/>
    </row>
    <row r="126" spans="11:12" x14ac:dyDescent="0.25">
      <c r="K126" s="236"/>
      <c r="L126" s="104"/>
    </row>
    <row r="127" spans="11:12" x14ac:dyDescent="0.25">
      <c r="K127" s="236"/>
      <c r="L127" s="104"/>
    </row>
    <row r="128" spans="11:12" x14ac:dyDescent="0.25">
      <c r="K128" s="236"/>
      <c r="L128" s="104"/>
    </row>
    <row r="129" spans="11:12" x14ac:dyDescent="0.25">
      <c r="K129" s="236"/>
      <c r="L129" s="104"/>
    </row>
    <row r="130" spans="11:12" x14ac:dyDescent="0.25">
      <c r="K130" s="236"/>
      <c r="L130" s="104"/>
    </row>
    <row r="131" spans="11:12" x14ac:dyDescent="0.25">
      <c r="K131" s="236"/>
      <c r="L131" s="104"/>
    </row>
    <row r="132" spans="11:12" x14ac:dyDescent="0.25">
      <c r="K132" s="236"/>
      <c r="L132" s="104"/>
    </row>
    <row r="133" spans="11:12" x14ac:dyDescent="0.25">
      <c r="K133" s="236"/>
      <c r="L133" s="104"/>
    </row>
    <row r="134" spans="11:12" x14ac:dyDescent="0.25">
      <c r="K134" s="236"/>
      <c r="L134" s="104"/>
    </row>
    <row r="135" spans="11:12" x14ac:dyDescent="0.25">
      <c r="K135" s="236"/>
      <c r="L135" s="104"/>
    </row>
    <row r="136" spans="11:12" x14ac:dyDescent="0.25">
      <c r="K136" s="236"/>
      <c r="L136" s="104"/>
    </row>
    <row r="137" spans="11:12" x14ac:dyDescent="0.25">
      <c r="K137" s="236"/>
      <c r="L137" s="104"/>
    </row>
    <row r="138" spans="11:12" x14ac:dyDescent="0.25">
      <c r="K138" s="236"/>
      <c r="L138" s="104"/>
    </row>
    <row r="139" spans="11:12" x14ac:dyDescent="0.25">
      <c r="K139" s="236"/>
      <c r="L139" s="104"/>
    </row>
    <row r="140" spans="11:12" x14ac:dyDescent="0.25">
      <c r="K140" s="236"/>
      <c r="L140" s="104"/>
    </row>
    <row r="141" spans="11:12" x14ac:dyDescent="0.25">
      <c r="K141" s="236"/>
      <c r="L141" s="104"/>
    </row>
    <row r="142" spans="11:12" x14ac:dyDescent="0.25">
      <c r="K142" s="236"/>
      <c r="L142" s="104"/>
    </row>
    <row r="143" spans="11:12" x14ac:dyDescent="0.25">
      <c r="K143" s="236"/>
      <c r="L143" s="104"/>
    </row>
    <row r="144" spans="11:12" x14ac:dyDescent="0.25">
      <c r="K144" s="236"/>
      <c r="L144" s="104"/>
    </row>
    <row r="145" spans="11:12" x14ac:dyDescent="0.25">
      <c r="K145" s="236"/>
      <c r="L145" s="104"/>
    </row>
    <row r="146" spans="11:12" x14ac:dyDescent="0.25">
      <c r="K146" s="236"/>
      <c r="L146" s="104"/>
    </row>
    <row r="147" spans="11:12" x14ac:dyDescent="0.25">
      <c r="K147" s="236"/>
      <c r="L147" s="104"/>
    </row>
    <row r="148" spans="11:12" x14ac:dyDescent="0.25">
      <c r="K148" s="236"/>
      <c r="L148" s="104"/>
    </row>
    <row r="149" spans="11:12" x14ac:dyDescent="0.25">
      <c r="K149" s="236"/>
      <c r="L149" s="104"/>
    </row>
    <row r="150" spans="11:12" x14ac:dyDescent="0.25">
      <c r="K150" s="236"/>
      <c r="L150" s="104"/>
    </row>
    <row r="151" spans="11:12" x14ac:dyDescent="0.25">
      <c r="K151" s="236"/>
      <c r="L151" s="104"/>
    </row>
    <row r="152" spans="11:12" x14ac:dyDescent="0.25">
      <c r="K152" s="236"/>
      <c r="L152" s="104"/>
    </row>
    <row r="153" spans="11:12" x14ac:dyDescent="0.25">
      <c r="K153" s="236"/>
      <c r="L153" s="104"/>
    </row>
    <row r="154" spans="11:12" x14ac:dyDescent="0.25">
      <c r="K154" s="236"/>
      <c r="L154" s="104"/>
    </row>
    <row r="155" spans="11:12" x14ac:dyDescent="0.25">
      <c r="K155" s="236"/>
      <c r="L155" s="104"/>
    </row>
    <row r="156" spans="11:12" x14ac:dyDescent="0.25">
      <c r="K156" s="236"/>
      <c r="L156" s="104"/>
    </row>
    <row r="157" spans="11:12" x14ac:dyDescent="0.25">
      <c r="K157" s="236"/>
      <c r="L157" s="104"/>
    </row>
    <row r="158" spans="11:12" x14ac:dyDescent="0.25">
      <c r="K158" s="236"/>
      <c r="L158" s="104"/>
    </row>
    <row r="159" spans="11:12" x14ac:dyDescent="0.25">
      <c r="K159" s="236"/>
      <c r="L159" s="104"/>
    </row>
    <row r="160" spans="11:12" x14ac:dyDescent="0.25">
      <c r="K160" s="236"/>
      <c r="L160" s="104"/>
    </row>
    <row r="161" spans="11:12" x14ac:dyDescent="0.25">
      <c r="K161" s="236"/>
      <c r="L161" s="104"/>
    </row>
    <row r="162" spans="11:12" x14ac:dyDescent="0.25">
      <c r="K162" s="236"/>
      <c r="L162" s="104"/>
    </row>
    <row r="163" spans="11:12" x14ac:dyDescent="0.25">
      <c r="K163" s="236"/>
      <c r="L163" s="104"/>
    </row>
    <row r="164" spans="11:12" x14ac:dyDescent="0.25">
      <c r="K164" s="236"/>
      <c r="L164" s="104"/>
    </row>
    <row r="165" spans="11:12" x14ac:dyDescent="0.25">
      <c r="K165" s="236"/>
      <c r="L165" s="104"/>
    </row>
    <row r="166" spans="11:12" x14ac:dyDescent="0.25">
      <c r="K166" s="236"/>
      <c r="L166" s="104"/>
    </row>
    <row r="167" spans="11:12" x14ac:dyDescent="0.25">
      <c r="K167" s="236"/>
      <c r="L167" s="104"/>
    </row>
    <row r="168" spans="11:12" x14ac:dyDescent="0.25">
      <c r="K168" s="236"/>
      <c r="L168" s="104"/>
    </row>
    <row r="169" spans="11:12" x14ac:dyDescent="0.25">
      <c r="K169" s="236"/>
      <c r="L169" s="104"/>
    </row>
    <row r="170" spans="11:12" x14ac:dyDescent="0.25">
      <c r="K170" s="236"/>
      <c r="L170" s="104"/>
    </row>
    <row r="171" spans="11:12" x14ac:dyDescent="0.25">
      <c r="K171" s="236"/>
      <c r="L171" s="104"/>
    </row>
    <row r="172" spans="11:12" x14ac:dyDescent="0.25">
      <c r="K172" s="236"/>
      <c r="L172" s="104"/>
    </row>
    <row r="173" spans="11:12" x14ac:dyDescent="0.25">
      <c r="K173" s="236"/>
      <c r="L173" s="104"/>
    </row>
    <row r="174" spans="11:12" x14ac:dyDescent="0.25">
      <c r="K174" s="236"/>
      <c r="L174" s="104"/>
    </row>
    <row r="175" spans="11:12" x14ac:dyDescent="0.25">
      <c r="K175" s="236"/>
      <c r="L175" s="104"/>
    </row>
    <row r="176" spans="11:12" x14ac:dyDescent="0.25">
      <c r="K176" s="236"/>
      <c r="L176" s="104"/>
    </row>
    <row r="177" spans="11:12" x14ac:dyDescent="0.25">
      <c r="K177" s="236"/>
      <c r="L177" s="104"/>
    </row>
    <row r="178" spans="11:12" x14ac:dyDescent="0.25">
      <c r="K178" s="236"/>
      <c r="L178" s="104"/>
    </row>
    <row r="179" spans="11:12" x14ac:dyDescent="0.25">
      <c r="K179" s="236"/>
      <c r="L179" s="104"/>
    </row>
    <row r="180" spans="11:12" x14ac:dyDescent="0.25">
      <c r="K180" s="236"/>
      <c r="L180" s="104"/>
    </row>
    <row r="181" spans="11:12" x14ac:dyDescent="0.25">
      <c r="K181" s="236"/>
      <c r="L181" s="104"/>
    </row>
    <row r="182" spans="11:12" x14ac:dyDescent="0.25">
      <c r="K182" s="236"/>
      <c r="L182" s="104"/>
    </row>
    <row r="183" spans="11:12" x14ac:dyDescent="0.25">
      <c r="K183" s="236"/>
      <c r="L183" s="104"/>
    </row>
    <row r="184" spans="11:12" x14ac:dyDescent="0.25">
      <c r="K184" s="236"/>
      <c r="L184" s="104"/>
    </row>
    <row r="185" spans="11:12" x14ac:dyDescent="0.25">
      <c r="K185" s="236"/>
      <c r="L185" s="104"/>
    </row>
    <row r="186" spans="11:12" x14ac:dyDescent="0.25">
      <c r="K186" s="236"/>
      <c r="L186" s="104"/>
    </row>
    <row r="187" spans="11:12" x14ac:dyDescent="0.25">
      <c r="K187" s="236"/>
      <c r="L187" s="104"/>
    </row>
    <row r="188" spans="11:12" x14ac:dyDescent="0.25">
      <c r="K188" s="236"/>
      <c r="L188" s="104"/>
    </row>
    <row r="189" spans="11:12" x14ac:dyDescent="0.25">
      <c r="K189" s="236"/>
      <c r="L189" s="104"/>
    </row>
    <row r="190" spans="11:12" x14ac:dyDescent="0.25">
      <c r="K190" s="236"/>
      <c r="L190" s="104"/>
    </row>
    <row r="191" spans="11:12" x14ac:dyDescent="0.25">
      <c r="K191" s="236"/>
      <c r="L191" s="104"/>
    </row>
    <row r="192" spans="11:12" x14ac:dyDescent="0.25">
      <c r="K192" s="236"/>
      <c r="L192" s="104"/>
    </row>
    <row r="193" spans="11:12" x14ac:dyDescent="0.25">
      <c r="K193" s="236"/>
      <c r="L193" s="104"/>
    </row>
    <row r="194" spans="11:12" x14ac:dyDescent="0.25">
      <c r="K194" s="236"/>
      <c r="L194" s="104"/>
    </row>
    <row r="195" spans="11:12" x14ac:dyDescent="0.25">
      <c r="K195" s="236"/>
      <c r="L195" s="104"/>
    </row>
    <row r="196" spans="11:12" x14ac:dyDescent="0.25">
      <c r="K196" s="236"/>
      <c r="L196" s="104"/>
    </row>
    <row r="197" spans="11:12" x14ac:dyDescent="0.25">
      <c r="K197" s="236"/>
      <c r="L197" s="104"/>
    </row>
    <row r="198" spans="11:12" x14ac:dyDescent="0.25">
      <c r="K198" s="236"/>
      <c r="L198" s="104"/>
    </row>
    <row r="199" spans="11:12" x14ac:dyDescent="0.25">
      <c r="K199" s="236"/>
      <c r="L199" s="104"/>
    </row>
    <row r="200" spans="11:12" x14ac:dyDescent="0.25">
      <c r="K200" s="236"/>
      <c r="L200" s="104"/>
    </row>
    <row r="201" spans="11:12" x14ac:dyDescent="0.25">
      <c r="K201" s="236"/>
      <c r="L201" s="104"/>
    </row>
    <row r="202" spans="11:12" x14ac:dyDescent="0.25">
      <c r="K202" s="236"/>
      <c r="L202" s="104"/>
    </row>
    <row r="203" spans="11:12" x14ac:dyDescent="0.25">
      <c r="K203" s="236"/>
      <c r="L203" s="104"/>
    </row>
    <row r="204" spans="11:12" x14ac:dyDescent="0.25">
      <c r="K204" s="236"/>
      <c r="L204" s="104"/>
    </row>
    <row r="205" spans="11:12" x14ac:dyDescent="0.25">
      <c r="K205" s="236"/>
      <c r="L205" s="104"/>
    </row>
    <row r="206" spans="11:12" x14ac:dyDescent="0.25">
      <c r="K206" s="236"/>
      <c r="L206" s="104"/>
    </row>
    <row r="207" spans="11:12" x14ac:dyDescent="0.25">
      <c r="K207" s="236"/>
      <c r="L207" s="104"/>
    </row>
    <row r="208" spans="11:12" x14ac:dyDescent="0.25">
      <c r="K208" s="236"/>
      <c r="L208" s="104"/>
    </row>
    <row r="209" spans="11:12" x14ac:dyDescent="0.25">
      <c r="K209" s="236"/>
      <c r="L209" s="104"/>
    </row>
    <row r="210" spans="11:12" x14ac:dyDescent="0.25">
      <c r="K210" s="236"/>
      <c r="L210" s="104"/>
    </row>
    <row r="211" spans="11:12" x14ac:dyDescent="0.25">
      <c r="K211" s="236"/>
      <c r="L211" s="104"/>
    </row>
    <row r="212" spans="11:12" x14ac:dyDescent="0.25">
      <c r="K212" s="236"/>
      <c r="L212" s="104"/>
    </row>
    <row r="213" spans="11:12" x14ac:dyDescent="0.25">
      <c r="K213" s="236"/>
      <c r="L213" s="104"/>
    </row>
    <row r="214" spans="11:12" x14ac:dyDescent="0.25">
      <c r="K214" s="236"/>
      <c r="L214" s="104"/>
    </row>
    <row r="215" spans="11:12" x14ac:dyDescent="0.25">
      <c r="K215" s="236"/>
      <c r="L215" s="104"/>
    </row>
    <row r="216" spans="11:12" x14ac:dyDescent="0.25">
      <c r="K216" s="236"/>
      <c r="L216" s="104"/>
    </row>
    <row r="217" spans="11:12" x14ac:dyDescent="0.25">
      <c r="K217" s="236"/>
      <c r="L217" s="104"/>
    </row>
    <row r="218" spans="11:12" x14ac:dyDescent="0.25">
      <c r="K218" s="236"/>
      <c r="L218" s="104"/>
    </row>
    <row r="219" spans="11:12" x14ac:dyDescent="0.25">
      <c r="K219" s="236"/>
      <c r="L219" s="104"/>
    </row>
    <row r="220" spans="11:12" x14ac:dyDescent="0.25">
      <c r="K220" s="236"/>
      <c r="L220" s="104"/>
    </row>
    <row r="221" spans="11:12" x14ac:dyDescent="0.25">
      <c r="K221" s="236"/>
      <c r="L221" s="104"/>
    </row>
    <row r="222" spans="11:12" x14ac:dyDescent="0.25">
      <c r="K222" s="236"/>
      <c r="L222" s="104"/>
    </row>
    <row r="223" spans="11:12" x14ac:dyDescent="0.25">
      <c r="K223" s="236"/>
      <c r="L223" s="104"/>
    </row>
    <row r="224" spans="11:12" x14ac:dyDescent="0.25">
      <c r="K224" s="236"/>
      <c r="L224" s="104"/>
    </row>
    <row r="225" spans="11:12" x14ac:dyDescent="0.25">
      <c r="K225" s="236"/>
      <c r="L225" s="104"/>
    </row>
    <row r="226" spans="11:12" x14ac:dyDescent="0.25">
      <c r="K226" s="236"/>
      <c r="L226" s="104"/>
    </row>
    <row r="227" spans="11:12" x14ac:dyDescent="0.25">
      <c r="K227" s="236"/>
      <c r="L227" s="104"/>
    </row>
    <row r="228" spans="11:12" x14ac:dyDescent="0.25">
      <c r="K228" s="236"/>
      <c r="L228" s="104"/>
    </row>
    <row r="229" spans="11:12" x14ac:dyDescent="0.25">
      <c r="K229" s="236"/>
      <c r="L229" s="104"/>
    </row>
    <row r="230" spans="11:12" x14ac:dyDescent="0.25">
      <c r="K230" s="236"/>
      <c r="L230" s="104"/>
    </row>
    <row r="231" spans="11:12" x14ac:dyDescent="0.25">
      <c r="K231" s="236"/>
      <c r="L231" s="104"/>
    </row>
    <row r="232" spans="11:12" x14ac:dyDescent="0.25">
      <c r="K232" s="236"/>
      <c r="L232" s="104"/>
    </row>
    <row r="233" spans="11:12" x14ac:dyDescent="0.25">
      <c r="K233" s="236"/>
      <c r="L233" s="104"/>
    </row>
    <row r="234" spans="11:12" x14ac:dyDescent="0.25">
      <c r="K234" s="236"/>
      <c r="L234" s="104"/>
    </row>
    <row r="235" spans="11:12" x14ac:dyDescent="0.25">
      <c r="K235" s="236"/>
      <c r="L235" s="104"/>
    </row>
    <row r="236" spans="11:12" x14ac:dyDescent="0.25">
      <c r="K236" s="236"/>
      <c r="L236" s="104"/>
    </row>
    <row r="237" spans="11:12" x14ac:dyDescent="0.25">
      <c r="K237" s="236"/>
      <c r="L237" s="104"/>
    </row>
    <row r="238" spans="11:12" x14ac:dyDescent="0.25">
      <c r="K238" s="236"/>
      <c r="L238" s="104"/>
    </row>
    <row r="239" spans="11:12" x14ac:dyDescent="0.25">
      <c r="K239" s="236"/>
      <c r="L239" s="104"/>
    </row>
    <row r="240" spans="11:12" x14ac:dyDescent="0.25">
      <c r="K240" s="236"/>
      <c r="L240" s="104"/>
    </row>
    <row r="241" spans="11:12" x14ac:dyDescent="0.25">
      <c r="K241" s="236"/>
      <c r="L241" s="104"/>
    </row>
    <row r="242" spans="11:12" x14ac:dyDescent="0.25">
      <c r="K242" s="236"/>
      <c r="L242" s="104"/>
    </row>
    <row r="243" spans="11:12" x14ac:dyDescent="0.25">
      <c r="K243" s="236"/>
      <c r="L243" s="104"/>
    </row>
    <row r="244" spans="11:12" x14ac:dyDescent="0.25">
      <c r="K244" s="236"/>
      <c r="L244" s="104"/>
    </row>
    <row r="245" spans="11:12" x14ac:dyDescent="0.25">
      <c r="K245" s="236"/>
      <c r="L245" s="104"/>
    </row>
    <row r="246" spans="11:12" x14ac:dyDescent="0.25">
      <c r="K246" s="236"/>
      <c r="L246" s="104"/>
    </row>
    <row r="247" spans="11:12" x14ac:dyDescent="0.25">
      <c r="K247" s="236"/>
      <c r="L247" s="104"/>
    </row>
    <row r="248" spans="11:12" x14ac:dyDescent="0.25">
      <c r="K248" s="236"/>
      <c r="L248" s="104"/>
    </row>
    <row r="249" spans="11:12" x14ac:dyDescent="0.25">
      <c r="K249" s="236"/>
      <c r="L249" s="104"/>
    </row>
    <row r="250" spans="11:12" x14ac:dyDescent="0.25">
      <c r="K250" s="236"/>
      <c r="L250" s="104"/>
    </row>
    <row r="251" spans="11:12" x14ac:dyDescent="0.25">
      <c r="K251" s="236"/>
      <c r="L251" s="104"/>
    </row>
    <row r="252" spans="11:12" x14ac:dyDescent="0.25">
      <c r="K252" s="236"/>
      <c r="L252" s="104"/>
    </row>
    <row r="253" spans="11:12" x14ac:dyDescent="0.25">
      <c r="K253" s="236"/>
      <c r="L253" s="104"/>
    </row>
    <row r="254" spans="11:12" x14ac:dyDescent="0.25">
      <c r="K254" s="236"/>
      <c r="L254" s="104"/>
    </row>
    <row r="255" spans="11:12" x14ac:dyDescent="0.25">
      <c r="K255" s="236"/>
      <c r="L255" s="104"/>
    </row>
    <row r="256" spans="11:12" x14ac:dyDescent="0.25">
      <c r="K256" s="236"/>
      <c r="L256" s="104"/>
    </row>
    <row r="257" spans="11:12" x14ac:dyDescent="0.25">
      <c r="K257" s="236"/>
      <c r="L257" s="104"/>
    </row>
    <row r="258" spans="11:12" x14ac:dyDescent="0.25">
      <c r="K258" s="236"/>
      <c r="L258" s="104"/>
    </row>
    <row r="259" spans="11:12" x14ac:dyDescent="0.25">
      <c r="K259" s="236"/>
      <c r="L259" s="104"/>
    </row>
    <row r="260" spans="11:12" x14ac:dyDescent="0.25">
      <c r="K260" s="236"/>
      <c r="L260" s="104"/>
    </row>
    <row r="261" spans="11:12" x14ac:dyDescent="0.25">
      <c r="K261" s="236"/>
      <c r="L261" s="104"/>
    </row>
    <row r="262" spans="11:12" x14ac:dyDescent="0.25">
      <c r="K262" s="236"/>
      <c r="L262" s="104"/>
    </row>
    <row r="263" spans="11:12" x14ac:dyDescent="0.25">
      <c r="K263" s="236"/>
      <c r="L263" s="104"/>
    </row>
    <row r="264" spans="11:12" x14ac:dyDescent="0.25">
      <c r="K264" s="236"/>
      <c r="L264" s="104"/>
    </row>
    <row r="265" spans="11:12" x14ac:dyDescent="0.25">
      <c r="K265" s="236"/>
      <c r="L265" s="104"/>
    </row>
    <row r="266" spans="11:12" x14ac:dyDescent="0.25">
      <c r="K266" s="236"/>
      <c r="L266" s="104"/>
    </row>
    <row r="267" spans="11:12" x14ac:dyDescent="0.25">
      <c r="K267" s="236"/>
      <c r="L267" s="104"/>
    </row>
    <row r="268" spans="11:12" x14ac:dyDescent="0.25">
      <c r="K268" s="236"/>
      <c r="L268" s="104"/>
    </row>
    <row r="269" spans="11:12" x14ac:dyDescent="0.25">
      <c r="K269" s="236"/>
      <c r="L269" s="104"/>
    </row>
    <row r="270" spans="11:12" x14ac:dyDescent="0.25">
      <c r="K270" s="236"/>
      <c r="L270" s="104"/>
    </row>
    <row r="271" spans="11:12" x14ac:dyDescent="0.25">
      <c r="K271" s="236"/>
      <c r="L271" s="104"/>
    </row>
    <row r="272" spans="11:12" x14ac:dyDescent="0.25">
      <c r="K272" s="236"/>
      <c r="L272" s="104"/>
    </row>
    <row r="273" spans="11:12" x14ac:dyDescent="0.25">
      <c r="K273" s="236"/>
      <c r="L273" s="104"/>
    </row>
    <row r="274" spans="11:12" x14ac:dyDescent="0.25">
      <c r="K274" s="236"/>
      <c r="L274" s="104"/>
    </row>
    <row r="275" spans="11:12" x14ac:dyDescent="0.25">
      <c r="K275" s="236"/>
      <c r="L275" s="104"/>
    </row>
    <row r="276" spans="11:12" x14ac:dyDescent="0.25">
      <c r="K276" s="236"/>
      <c r="L276" s="104"/>
    </row>
    <row r="277" spans="11:12" x14ac:dyDescent="0.25">
      <c r="K277" s="236"/>
      <c r="L277" s="104"/>
    </row>
    <row r="278" spans="11:12" x14ac:dyDescent="0.25">
      <c r="K278" s="236"/>
      <c r="L278" s="104"/>
    </row>
    <row r="279" spans="11:12" x14ac:dyDescent="0.25">
      <c r="K279" s="236"/>
      <c r="L279" s="104"/>
    </row>
    <row r="280" spans="11:12" x14ac:dyDescent="0.25">
      <c r="K280" s="236"/>
      <c r="L280" s="104"/>
    </row>
    <row r="281" spans="11:12" x14ac:dyDescent="0.25">
      <c r="K281" s="236"/>
      <c r="L281" s="104"/>
    </row>
    <row r="282" spans="11:12" x14ac:dyDescent="0.25">
      <c r="K282" s="236"/>
      <c r="L282" s="104"/>
    </row>
    <row r="283" spans="11:12" x14ac:dyDescent="0.25">
      <c r="K283" s="236"/>
      <c r="L283" s="104"/>
    </row>
    <row r="284" spans="11:12" x14ac:dyDescent="0.25">
      <c r="K284" s="236"/>
      <c r="L284" s="104"/>
    </row>
    <row r="285" spans="11:12" x14ac:dyDescent="0.25">
      <c r="K285" s="236"/>
      <c r="L285" s="104"/>
    </row>
    <row r="286" spans="11:12" x14ac:dyDescent="0.25">
      <c r="K286" s="236"/>
      <c r="L286" s="104"/>
    </row>
    <row r="287" spans="11:12" x14ac:dyDescent="0.25">
      <c r="K287" s="236"/>
      <c r="L287" s="104"/>
    </row>
    <row r="288" spans="11:12" x14ac:dyDescent="0.25">
      <c r="K288" s="236"/>
      <c r="L288" s="104"/>
    </row>
    <row r="289" spans="11:12" x14ac:dyDescent="0.25">
      <c r="K289" s="236"/>
      <c r="L289" s="104"/>
    </row>
    <row r="290" spans="11:12" x14ac:dyDescent="0.25">
      <c r="K290" s="236"/>
      <c r="L290" s="104"/>
    </row>
    <row r="291" spans="11:12" x14ac:dyDescent="0.25">
      <c r="K291" s="236"/>
      <c r="L291" s="104"/>
    </row>
    <row r="292" spans="11:12" x14ac:dyDescent="0.25">
      <c r="K292" s="236"/>
      <c r="L292" s="104"/>
    </row>
    <row r="293" spans="11:12" x14ac:dyDescent="0.25">
      <c r="K293" s="236"/>
      <c r="L293" s="104"/>
    </row>
    <row r="294" spans="11:12" x14ac:dyDescent="0.25">
      <c r="K294" s="236"/>
      <c r="L294" s="104"/>
    </row>
    <row r="295" spans="11:12" x14ac:dyDescent="0.25">
      <c r="K295" s="236"/>
      <c r="L295" s="104"/>
    </row>
    <row r="296" spans="11:12" x14ac:dyDescent="0.25">
      <c r="K296" s="236"/>
      <c r="L296" s="104"/>
    </row>
    <row r="297" spans="11:12" x14ac:dyDescent="0.25">
      <c r="K297" s="236"/>
      <c r="L297" s="104"/>
    </row>
    <row r="298" spans="11:12" x14ac:dyDescent="0.25">
      <c r="K298" s="236"/>
      <c r="L298" s="104"/>
    </row>
    <row r="299" spans="11:12" x14ac:dyDescent="0.25">
      <c r="K299" s="236"/>
      <c r="L299" s="104"/>
    </row>
    <row r="300" spans="11:12" x14ac:dyDescent="0.25">
      <c r="K300" s="236"/>
      <c r="L300" s="104"/>
    </row>
    <row r="301" spans="11:12" x14ac:dyDescent="0.25">
      <c r="K301" s="236"/>
      <c r="L301" s="104"/>
    </row>
    <row r="302" spans="11:12" x14ac:dyDescent="0.25">
      <c r="K302" s="236"/>
      <c r="L302" s="104"/>
    </row>
    <row r="303" spans="11:12" x14ac:dyDescent="0.25">
      <c r="K303" s="236"/>
      <c r="L303" s="104"/>
    </row>
    <row r="304" spans="11:12" x14ac:dyDescent="0.25">
      <c r="K304" s="236"/>
      <c r="L304" s="104"/>
    </row>
    <row r="305" spans="11:12" x14ac:dyDescent="0.25">
      <c r="K305" s="236"/>
      <c r="L305" s="104"/>
    </row>
    <row r="306" spans="11:12" x14ac:dyDescent="0.25">
      <c r="K306" s="236"/>
      <c r="L306" s="104"/>
    </row>
    <row r="307" spans="11:12" x14ac:dyDescent="0.25">
      <c r="K307" s="236"/>
      <c r="L307" s="104"/>
    </row>
    <row r="308" spans="11:12" x14ac:dyDescent="0.25">
      <c r="K308" s="236"/>
      <c r="L308" s="104"/>
    </row>
    <row r="309" spans="11:12" x14ac:dyDescent="0.25">
      <c r="K309" s="236"/>
      <c r="L309" s="104"/>
    </row>
    <row r="310" spans="11:12" x14ac:dyDescent="0.25">
      <c r="K310" s="236"/>
      <c r="L310" s="104"/>
    </row>
    <row r="311" spans="11:12" x14ac:dyDescent="0.25">
      <c r="K311" s="236"/>
      <c r="L311" s="104"/>
    </row>
    <row r="312" spans="11:12" x14ac:dyDescent="0.25">
      <c r="K312" s="236"/>
      <c r="L312" s="104"/>
    </row>
    <row r="313" spans="11:12" x14ac:dyDescent="0.25">
      <c r="K313" s="236"/>
      <c r="L313" s="104"/>
    </row>
    <row r="314" spans="11:12" x14ac:dyDescent="0.25">
      <c r="K314" s="236"/>
      <c r="L314" s="104"/>
    </row>
    <row r="315" spans="11:12" x14ac:dyDescent="0.25">
      <c r="K315" s="236"/>
      <c r="L315" s="104"/>
    </row>
    <row r="316" spans="11:12" x14ac:dyDescent="0.25">
      <c r="K316" s="236"/>
      <c r="L316" s="104"/>
    </row>
    <row r="317" spans="11:12" x14ac:dyDescent="0.25">
      <c r="K317" s="236"/>
      <c r="L317" s="104"/>
    </row>
    <row r="318" spans="11:12" x14ac:dyDescent="0.25">
      <c r="K318" s="236"/>
      <c r="L318" s="104"/>
    </row>
    <row r="319" spans="11:12" x14ac:dyDescent="0.25">
      <c r="K319" s="236"/>
      <c r="L319" s="104"/>
    </row>
    <row r="320" spans="11:12" x14ac:dyDescent="0.25">
      <c r="K320" s="236"/>
      <c r="L320" s="104"/>
    </row>
    <row r="321" spans="11:12" x14ac:dyDescent="0.25">
      <c r="K321" s="236"/>
      <c r="L321" s="104"/>
    </row>
    <row r="322" spans="11:12" x14ac:dyDescent="0.25">
      <c r="K322" s="236"/>
      <c r="L322" s="104"/>
    </row>
    <row r="323" spans="11:12" x14ac:dyDescent="0.25">
      <c r="K323" s="236"/>
      <c r="L323" s="104"/>
    </row>
    <row r="324" spans="11:12" x14ac:dyDescent="0.25">
      <c r="K324" s="236"/>
      <c r="L324" s="104"/>
    </row>
    <row r="325" spans="11:12" x14ac:dyDescent="0.25">
      <c r="K325" s="236"/>
      <c r="L325" s="104"/>
    </row>
    <row r="326" spans="11:12" x14ac:dyDescent="0.25">
      <c r="K326" s="236"/>
      <c r="L326" s="104"/>
    </row>
    <row r="327" spans="11:12" x14ac:dyDescent="0.25">
      <c r="K327" s="236"/>
      <c r="L327" s="104"/>
    </row>
    <row r="328" spans="11:12" x14ac:dyDescent="0.25">
      <c r="K328" s="236"/>
      <c r="L328" s="104"/>
    </row>
    <row r="329" spans="11:12" x14ac:dyDescent="0.25">
      <c r="K329" s="236"/>
      <c r="L329" s="104"/>
    </row>
    <row r="330" spans="11:12" x14ac:dyDescent="0.25">
      <c r="K330" s="236"/>
      <c r="L330" s="104"/>
    </row>
    <row r="331" spans="11:12" x14ac:dyDescent="0.25">
      <c r="K331" s="236"/>
      <c r="L331" s="104"/>
    </row>
    <row r="332" spans="11:12" x14ac:dyDescent="0.25">
      <c r="K332" s="236"/>
      <c r="L332" s="104"/>
    </row>
    <row r="333" spans="11:12" x14ac:dyDescent="0.25">
      <c r="K333" s="236"/>
      <c r="L333" s="104"/>
    </row>
    <row r="334" spans="11:12" x14ac:dyDescent="0.25">
      <c r="K334" s="236"/>
      <c r="L334" s="104"/>
    </row>
    <row r="335" spans="11:12" x14ac:dyDescent="0.25">
      <c r="K335" s="236"/>
      <c r="L335" s="104"/>
    </row>
    <row r="336" spans="11:12" x14ac:dyDescent="0.25">
      <c r="K336" s="236"/>
      <c r="L336" s="104"/>
    </row>
    <row r="337" spans="11:12" x14ac:dyDescent="0.25">
      <c r="K337" s="236"/>
      <c r="L337" s="104"/>
    </row>
    <row r="338" spans="11:12" x14ac:dyDescent="0.25">
      <c r="K338" s="236"/>
      <c r="L338" s="104"/>
    </row>
    <row r="339" spans="11:12" x14ac:dyDescent="0.25">
      <c r="K339" s="236"/>
      <c r="L339" s="104"/>
    </row>
    <row r="340" spans="11:12" x14ac:dyDescent="0.25">
      <c r="K340" s="236"/>
      <c r="L340" s="104"/>
    </row>
    <row r="341" spans="11:12" x14ac:dyDescent="0.25">
      <c r="K341" s="236"/>
      <c r="L341" s="104"/>
    </row>
    <row r="342" spans="11:12" x14ac:dyDescent="0.25">
      <c r="K342" s="236"/>
      <c r="L342" s="104"/>
    </row>
    <row r="343" spans="11:12" x14ac:dyDescent="0.25">
      <c r="K343" s="236"/>
      <c r="L343" s="104"/>
    </row>
    <row r="344" spans="11:12" x14ac:dyDescent="0.25">
      <c r="K344" s="236"/>
      <c r="L344" s="104"/>
    </row>
    <row r="345" spans="11:12" x14ac:dyDescent="0.25">
      <c r="K345" s="236"/>
      <c r="L345" s="104"/>
    </row>
    <row r="346" spans="11:12" x14ac:dyDescent="0.25">
      <c r="K346" s="236"/>
      <c r="L346" s="104"/>
    </row>
    <row r="347" spans="11:12" x14ac:dyDescent="0.25">
      <c r="K347" s="236"/>
      <c r="L347" s="104"/>
    </row>
    <row r="348" spans="11:12" x14ac:dyDescent="0.25">
      <c r="K348" s="236"/>
      <c r="L348" s="104"/>
    </row>
    <row r="349" spans="11:12" x14ac:dyDescent="0.25">
      <c r="K349" s="236"/>
      <c r="L349" s="104"/>
    </row>
    <row r="350" spans="11:12" x14ac:dyDescent="0.25">
      <c r="K350" s="236"/>
      <c r="L350" s="104"/>
    </row>
    <row r="351" spans="11:12" x14ac:dyDescent="0.25">
      <c r="K351" s="236"/>
      <c r="L351" s="104"/>
    </row>
    <row r="352" spans="11:12" x14ac:dyDescent="0.25">
      <c r="K352" s="236"/>
      <c r="L352" s="104"/>
    </row>
    <row r="353" spans="11:12" x14ac:dyDescent="0.25">
      <c r="K353" s="236"/>
      <c r="L353" s="104"/>
    </row>
    <row r="354" spans="11:12" x14ac:dyDescent="0.25">
      <c r="K354" s="236"/>
      <c r="L354" s="104"/>
    </row>
    <row r="355" spans="11:12" x14ac:dyDescent="0.25">
      <c r="K355" s="236"/>
      <c r="L355" s="104"/>
    </row>
    <row r="356" spans="11:12" x14ac:dyDescent="0.25">
      <c r="K356" s="236"/>
      <c r="L356" s="104"/>
    </row>
    <row r="357" spans="11:12" x14ac:dyDescent="0.25">
      <c r="K357" s="236"/>
      <c r="L357" s="104"/>
    </row>
    <row r="358" spans="11:12" x14ac:dyDescent="0.25">
      <c r="K358" s="236"/>
      <c r="L358" s="104"/>
    </row>
    <row r="359" spans="11:12" x14ac:dyDescent="0.25">
      <c r="K359" s="236"/>
      <c r="L359" s="104"/>
    </row>
    <row r="360" spans="11:12" x14ac:dyDescent="0.25">
      <c r="K360" s="236"/>
      <c r="L360" s="104"/>
    </row>
    <row r="361" spans="11:12" x14ac:dyDescent="0.25">
      <c r="K361" s="236"/>
      <c r="L361" s="104"/>
    </row>
    <row r="362" spans="11:12" x14ac:dyDescent="0.25">
      <c r="K362" s="236"/>
      <c r="L362" s="104"/>
    </row>
    <row r="363" spans="11:12" x14ac:dyDescent="0.25">
      <c r="K363" s="236"/>
      <c r="L363" s="104"/>
    </row>
    <row r="364" spans="11:12" x14ac:dyDescent="0.25">
      <c r="K364" s="236"/>
      <c r="L364" s="104"/>
    </row>
    <row r="365" spans="11:12" x14ac:dyDescent="0.25">
      <c r="K365" s="236"/>
      <c r="L365" s="104"/>
    </row>
    <row r="366" spans="11:12" x14ac:dyDescent="0.25">
      <c r="K366" s="236"/>
      <c r="L366" s="104"/>
    </row>
    <row r="367" spans="11:12" x14ac:dyDescent="0.25">
      <c r="K367" s="236"/>
      <c r="L367" s="104"/>
    </row>
    <row r="368" spans="11:12" x14ac:dyDescent="0.25">
      <c r="K368" s="236"/>
      <c r="L368" s="104"/>
    </row>
    <row r="369" spans="11:12" x14ac:dyDescent="0.25">
      <c r="K369" s="236"/>
      <c r="L369" s="104"/>
    </row>
    <row r="370" spans="11:12" x14ac:dyDescent="0.25">
      <c r="K370" s="236"/>
      <c r="L370" s="104"/>
    </row>
    <row r="371" spans="11:12" x14ac:dyDescent="0.25">
      <c r="K371" s="236"/>
      <c r="L371" s="104"/>
    </row>
    <row r="372" spans="11:12" x14ac:dyDescent="0.25">
      <c r="K372" s="236"/>
      <c r="L372" s="104"/>
    </row>
    <row r="373" spans="11:12" x14ac:dyDescent="0.25">
      <c r="K373" s="236"/>
      <c r="L373" s="104"/>
    </row>
    <row r="374" spans="11:12" x14ac:dyDescent="0.25">
      <c r="K374" s="236"/>
      <c r="L374" s="104"/>
    </row>
    <row r="375" spans="11:12" x14ac:dyDescent="0.25">
      <c r="K375" s="236"/>
      <c r="L375" s="104"/>
    </row>
    <row r="376" spans="11:12" x14ac:dyDescent="0.25">
      <c r="K376" s="236"/>
      <c r="L376" s="104"/>
    </row>
    <row r="377" spans="11:12" x14ac:dyDescent="0.25">
      <c r="K377" s="236"/>
      <c r="L377" s="104"/>
    </row>
    <row r="378" spans="11:12" x14ac:dyDescent="0.25">
      <c r="K378" s="236"/>
      <c r="L378" s="104"/>
    </row>
    <row r="379" spans="11:12" x14ac:dyDescent="0.25">
      <c r="K379" s="236"/>
      <c r="L379" s="104"/>
    </row>
    <row r="380" spans="11:12" x14ac:dyDescent="0.25">
      <c r="K380" s="236"/>
      <c r="L380" s="104"/>
    </row>
    <row r="381" spans="11:12" x14ac:dyDescent="0.25">
      <c r="K381" s="236"/>
      <c r="L381" s="104"/>
    </row>
    <row r="382" spans="11:12" x14ac:dyDescent="0.25">
      <c r="K382" s="236"/>
      <c r="L382" s="104"/>
    </row>
    <row r="383" spans="11:12" x14ac:dyDescent="0.25">
      <c r="K383" s="236"/>
      <c r="L383" s="104"/>
    </row>
    <row r="384" spans="11:12" x14ac:dyDescent="0.25">
      <c r="K384" s="236"/>
      <c r="L384" s="104"/>
    </row>
    <row r="385" spans="11:12" x14ac:dyDescent="0.25">
      <c r="K385" s="236"/>
      <c r="L385" s="104"/>
    </row>
    <row r="386" spans="11:12" x14ac:dyDescent="0.25">
      <c r="K386" s="236"/>
      <c r="L386" s="104"/>
    </row>
    <row r="387" spans="11:12" x14ac:dyDescent="0.25">
      <c r="K387" s="236"/>
      <c r="L387" s="104"/>
    </row>
    <row r="388" spans="11:12" x14ac:dyDescent="0.25">
      <c r="K388" s="236"/>
      <c r="L388" s="104"/>
    </row>
    <row r="389" spans="11:12" x14ac:dyDescent="0.25">
      <c r="K389" s="236"/>
      <c r="L389" s="104"/>
    </row>
    <row r="390" spans="11:12" x14ac:dyDescent="0.25">
      <c r="K390" s="236"/>
      <c r="L390" s="104"/>
    </row>
    <row r="391" spans="11:12" x14ac:dyDescent="0.25">
      <c r="K391" s="236"/>
      <c r="L391" s="104"/>
    </row>
    <row r="392" spans="11:12" x14ac:dyDescent="0.25">
      <c r="K392" s="236"/>
      <c r="L392" s="104"/>
    </row>
    <row r="393" spans="11:12" x14ac:dyDescent="0.25">
      <c r="K393" s="236"/>
      <c r="L393" s="104"/>
    </row>
    <row r="394" spans="11:12" x14ac:dyDescent="0.25">
      <c r="K394" s="236"/>
      <c r="L394" s="104"/>
    </row>
    <row r="395" spans="11:12" x14ac:dyDescent="0.25">
      <c r="K395" s="236"/>
      <c r="L395" s="104"/>
    </row>
    <row r="396" spans="11:12" x14ac:dyDescent="0.25">
      <c r="K396" s="236"/>
      <c r="L396" s="104"/>
    </row>
    <row r="397" spans="11:12" x14ac:dyDescent="0.25">
      <c r="K397" s="236"/>
      <c r="L397" s="104"/>
    </row>
    <row r="398" spans="11:12" x14ac:dyDescent="0.25">
      <c r="K398" s="236"/>
      <c r="L398" s="104"/>
    </row>
    <row r="399" spans="11:12" x14ac:dyDescent="0.25">
      <c r="K399" s="236"/>
      <c r="L399" s="104"/>
    </row>
    <row r="400" spans="11:12" x14ac:dyDescent="0.25">
      <c r="K400" s="236"/>
      <c r="L400" s="104"/>
    </row>
    <row r="401" spans="11:12" x14ac:dyDescent="0.25">
      <c r="K401" s="236"/>
      <c r="L401" s="104"/>
    </row>
    <row r="402" spans="11:12" x14ac:dyDescent="0.25">
      <c r="K402" s="236"/>
      <c r="L402" s="104"/>
    </row>
    <row r="403" spans="11:12" x14ac:dyDescent="0.25">
      <c r="K403" s="236"/>
      <c r="L403" s="104"/>
    </row>
    <row r="404" spans="11:12" x14ac:dyDescent="0.25">
      <c r="K404" s="236"/>
      <c r="L404" s="104"/>
    </row>
    <row r="405" spans="11:12" x14ac:dyDescent="0.25">
      <c r="K405" s="236"/>
      <c r="L405" s="104"/>
    </row>
    <row r="406" spans="11:12" x14ac:dyDescent="0.25">
      <c r="K406" s="236"/>
      <c r="L406" s="104"/>
    </row>
    <row r="407" spans="11:12" x14ac:dyDescent="0.25">
      <c r="K407" s="236"/>
      <c r="L407" s="104"/>
    </row>
    <row r="408" spans="11:12" x14ac:dyDescent="0.25">
      <c r="K408" s="236"/>
      <c r="L408" s="104"/>
    </row>
    <row r="409" spans="11:12" x14ac:dyDescent="0.25">
      <c r="K409" s="236"/>
      <c r="L409" s="104"/>
    </row>
    <row r="410" spans="11:12" x14ac:dyDescent="0.25">
      <c r="K410" s="236"/>
      <c r="L410" s="104"/>
    </row>
    <row r="411" spans="11:12" x14ac:dyDescent="0.25">
      <c r="K411" s="236"/>
      <c r="L411" s="104"/>
    </row>
    <row r="412" spans="11:12" x14ac:dyDescent="0.25">
      <c r="K412" s="236"/>
      <c r="L412" s="104"/>
    </row>
    <row r="413" spans="11:12" x14ac:dyDescent="0.25">
      <c r="K413" s="236"/>
      <c r="L413" s="104"/>
    </row>
    <row r="414" spans="11:12" x14ac:dyDescent="0.25">
      <c r="K414" s="236"/>
      <c r="L414" s="104"/>
    </row>
    <row r="415" spans="11:12" x14ac:dyDescent="0.25">
      <c r="K415" s="236"/>
      <c r="L415" s="104"/>
    </row>
    <row r="416" spans="11:12" x14ac:dyDescent="0.25">
      <c r="K416" s="236"/>
      <c r="L416" s="104"/>
    </row>
    <row r="417" spans="11:12" x14ac:dyDescent="0.25">
      <c r="K417" s="236"/>
      <c r="L417" s="104"/>
    </row>
    <row r="418" spans="11:12" x14ac:dyDescent="0.25">
      <c r="K418" s="236"/>
      <c r="L418" s="104"/>
    </row>
    <row r="419" spans="11:12" x14ac:dyDescent="0.25">
      <c r="K419" s="236"/>
      <c r="L419" s="104"/>
    </row>
    <row r="420" spans="11:12" x14ac:dyDescent="0.25">
      <c r="K420" s="236"/>
      <c r="L420" s="104"/>
    </row>
    <row r="421" spans="11:12" x14ac:dyDescent="0.25">
      <c r="K421" s="236"/>
      <c r="L421" s="104"/>
    </row>
    <row r="422" spans="11:12" x14ac:dyDescent="0.25">
      <c r="K422" s="236"/>
      <c r="L422" s="104"/>
    </row>
    <row r="423" spans="11:12" x14ac:dyDescent="0.25">
      <c r="K423" s="236"/>
      <c r="L423" s="104"/>
    </row>
    <row r="424" spans="11:12" x14ac:dyDescent="0.25">
      <c r="K424" s="236"/>
      <c r="L424" s="104"/>
    </row>
    <row r="425" spans="11:12" x14ac:dyDescent="0.25">
      <c r="K425" s="236"/>
      <c r="L425" s="104"/>
    </row>
    <row r="426" spans="11:12" x14ac:dyDescent="0.25">
      <c r="K426" s="236"/>
      <c r="L426" s="104"/>
    </row>
    <row r="427" spans="11:12" x14ac:dyDescent="0.25">
      <c r="K427" s="236"/>
      <c r="L427" s="104"/>
    </row>
    <row r="428" spans="11:12" x14ac:dyDescent="0.25">
      <c r="K428" s="236"/>
      <c r="L428" s="104"/>
    </row>
    <row r="429" spans="11:12" x14ac:dyDescent="0.25">
      <c r="K429" s="236"/>
      <c r="L429" s="104"/>
    </row>
    <row r="430" spans="11:12" x14ac:dyDescent="0.25">
      <c r="K430" s="236"/>
      <c r="L430" s="104"/>
    </row>
    <row r="431" spans="11:12" x14ac:dyDescent="0.25">
      <c r="K431" s="236"/>
      <c r="L431" s="104"/>
    </row>
    <row r="432" spans="11:12" x14ac:dyDescent="0.25">
      <c r="K432" s="236"/>
      <c r="L432" s="104"/>
    </row>
    <row r="433" spans="11:12" x14ac:dyDescent="0.25">
      <c r="K433" s="236"/>
      <c r="L433" s="104"/>
    </row>
    <row r="434" spans="11:12" x14ac:dyDescent="0.25">
      <c r="K434" s="236"/>
      <c r="L434" s="104"/>
    </row>
    <row r="435" spans="11:12" x14ac:dyDescent="0.25">
      <c r="K435" s="236"/>
      <c r="L435" s="104"/>
    </row>
    <row r="436" spans="11:12" x14ac:dyDescent="0.25">
      <c r="K436" s="236"/>
      <c r="L436" s="104"/>
    </row>
    <row r="437" spans="11:12" x14ac:dyDescent="0.25">
      <c r="K437" s="236"/>
      <c r="L437" s="104"/>
    </row>
    <row r="438" spans="11:12" x14ac:dyDescent="0.25">
      <c r="K438" s="236"/>
      <c r="L438" s="104"/>
    </row>
    <row r="439" spans="11:12" x14ac:dyDescent="0.25">
      <c r="K439" s="236"/>
      <c r="L439" s="104"/>
    </row>
    <row r="440" spans="11:12" x14ac:dyDescent="0.25">
      <c r="K440" s="236"/>
      <c r="L440" s="104"/>
    </row>
    <row r="441" spans="11:12" x14ac:dyDescent="0.25">
      <c r="K441" s="236"/>
      <c r="L441" s="104"/>
    </row>
    <row r="442" spans="11:12" x14ac:dyDescent="0.25">
      <c r="K442" s="236"/>
      <c r="L442" s="104"/>
    </row>
    <row r="443" spans="11:12" x14ac:dyDescent="0.25">
      <c r="K443" s="236"/>
      <c r="L443" s="104"/>
    </row>
    <row r="444" spans="11:12" x14ac:dyDescent="0.25">
      <c r="K444" s="236"/>
      <c r="L444" s="104"/>
    </row>
    <row r="445" spans="11:12" x14ac:dyDescent="0.25">
      <c r="K445" s="236"/>
      <c r="L445" s="104"/>
    </row>
    <row r="446" spans="11:12" x14ac:dyDescent="0.25">
      <c r="K446" s="236"/>
      <c r="L446" s="104"/>
    </row>
    <row r="447" spans="11:12" x14ac:dyDescent="0.25">
      <c r="K447" s="236"/>
      <c r="L447" s="104"/>
    </row>
    <row r="448" spans="11:12" x14ac:dyDescent="0.25">
      <c r="K448" s="236"/>
      <c r="L448" s="104"/>
    </row>
    <row r="449" spans="11:12" x14ac:dyDescent="0.25">
      <c r="K449" s="236"/>
      <c r="L449" s="104"/>
    </row>
    <row r="450" spans="11:12" x14ac:dyDescent="0.25">
      <c r="K450" s="236"/>
      <c r="L450" s="104"/>
    </row>
    <row r="451" spans="11:12" x14ac:dyDescent="0.25">
      <c r="K451" s="236"/>
      <c r="L451" s="104"/>
    </row>
    <row r="452" spans="11:12" x14ac:dyDescent="0.25">
      <c r="K452" s="236"/>
      <c r="L452" s="104"/>
    </row>
    <row r="453" spans="11:12" x14ac:dyDescent="0.25">
      <c r="K453" s="236"/>
      <c r="L453" s="104"/>
    </row>
    <row r="454" spans="11:12" x14ac:dyDescent="0.25">
      <c r="K454" s="236"/>
      <c r="L454" s="104"/>
    </row>
    <row r="455" spans="11:12" x14ac:dyDescent="0.25">
      <c r="K455" s="236"/>
      <c r="L455" s="104"/>
    </row>
    <row r="456" spans="11:12" x14ac:dyDescent="0.25">
      <c r="K456" s="236"/>
      <c r="L456" s="104"/>
    </row>
    <row r="457" spans="11:12" x14ac:dyDescent="0.25">
      <c r="K457" s="236"/>
      <c r="L457" s="104"/>
    </row>
    <row r="458" spans="11:12" x14ac:dyDescent="0.25">
      <c r="K458" s="236"/>
      <c r="L458" s="104"/>
    </row>
    <row r="459" spans="11:12" x14ac:dyDescent="0.25">
      <c r="K459" s="236"/>
      <c r="L459" s="104"/>
    </row>
    <row r="460" spans="11:12" x14ac:dyDescent="0.25">
      <c r="K460" s="236"/>
      <c r="L460" s="104"/>
    </row>
    <row r="461" spans="11:12" x14ac:dyDescent="0.25">
      <c r="K461" s="236"/>
      <c r="L461" s="104"/>
    </row>
    <row r="462" spans="11:12" x14ac:dyDescent="0.25">
      <c r="K462" s="236"/>
      <c r="L462" s="104"/>
    </row>
    <row r="463" spans="11:12" x14ac:dyDescent="0.25">
      <c r="K463" s="236"/>
      <c r="L463" s="104"/>
    </row>
    <row r="464" spans="11:12" x14ac:dyDescent="0.25">
      <c r="K464" s="236"/>
      <c r="L464" s="104"/>
    </row>
    <row r="465" spans="11:12" x14ac:dyDescent="0.25">
      <c r="K465" s="236"/>
      <c r="L465" s="104"/>
    </row>
    <row r="466" spans="11:12" x14ac:dyDescent="0.25">
      <c r="K466" s="236"/>
      <c r="L466" s="104"/>
    </row>
    <row r="467" spans="11:12" x14ac:dyDescent="0.25">
      <c r="K467" s="236"/>
      <c r="L467" s="104"/>
    </row>
    <row r="468" spans="11:12" x14ac:dyDescent="0.25">
      <c r="K468" s="236"/>
      <c r="L468" s="104"/>
    </row>
    <row r="469" spans="11:12" x14ac:dyDescent="0.25">
      <c r="K469" s="236"/>
      <c r="L469" s="104"/>
    </row>
    <row r="470" spans="11:12" x14ac:dyDescent="0.25">
      <c r="K470" s="236"/>
      <c r="L470" s="104"/>
    </row>
    <row r="471" spans="11:12" x14ac:dyDescent="0.25">
      <c r="K471" s="236"/>
      <c r="L471" s="104"/>
    </row>
    <row r="472" spans="11:12" x14ac:dyDescent="0.25">
      <c r="K472" s="236"/>
      <c r="L472" s="104"/>
    </row>
    <row r="473" spans="11:12" x14ac:dyDescent="0.25">
      <c r="K473" s="236"/>
      <c r="L473" s="104"/>
    </row>
    <row r="474" spans="11:12" x14ac:dyDescent="0.25">
      <c r="K474" s="236"/>
      <c r="L474" s="104"/>
    </row>
    <row r="475" spans="11:12" x14ac:dyDescent="0.25">
      <c r="K475" s="236"/>
      <c r="L475" s="104"/>
    </row>
    <row r="476" spans="11:12" x14ac:dyDescent="0.25">
      <c r="K476" s="236"/>
      <c r="L476" s="104"/>
    </row>
    <row r="477" spans="11:12" x14ac:dyDescent="0.25">
      <c r="K477" s="236"/>
      <c r="L477" s="104"/>
    </row>
    <row r="478" spans="11:12" x14ac:dyDescent="0.25">
      <c r="K478" s="236"/>
      <c r="L478" s="104"/>
    </row>
    <row r="479" spans="11:12" x14ac:dyDescent="0.25">
      <c r="K479" s="236"/>
      <c r="L479" s="104"/>
    </row>
    <row r="480" spans="11:12" x14ac:dyDescent="0.25">
      <c r="K480" s="236"/>
      <c r="L480" s="104"/>
    </row>
    <row r="481" spans="11:12" x14ac:dyDescent="0.25">
      <c r="K481" s="236"/>
      <c r="L481" s="104"/>
    </row>
    <row r="482" spans="11:12" x14ac:dyDescent="0.25">
      <c r="K482" s="236"/>
      <c r="L482" s="104"/>
    </row>
    <row r="483" spans="11:12" x14ac:dyDescent="0.25">
      <c r="K483" s="236"/>
      <c r="L483" s="104"/>
    </row>
    <row r="484" spans="11:12" x14ac:dyDescent="0.25">
      <c r="K484" s="236"/>
      <c r="L484" s="104"/>
    </row>
    <row r="485" spans="11:12" x14ac:dyDescent="0.25">
      <c r="K485" s="236"/>
      <c r="L485" s="104"/>
    </row>
    <row r="486" spans="11:12" x14ac:dyDescent="0.25">
      <c r="K486" s="236"/>
      <c r="L486" s="104"/>
    </row>
    <row r="487" spans="11:12" x14ac:dyDescent="0.25">
      <c r="K487" s="236"/>
      <c r="L487" s="104"/>
    </row>
    <row r="488" spans="11:12" x14ac:dyDescent="0.25">
      <c r="K488" s="236"/>
      <c r="L488" s="104"/>
    </row>
    <row r="489" spans="11:12" x14ac:dyDescent="0.25">
      <c r="K489" s="236"/>
      <c r="L489" s="104"/>
    </row>
    <row r="490" spans="11:12" x14ac:dyDescent="0.25">
      <c r="K490" s="236"/>
      <c r="L490" s="104"/>
    </row>
    <row r="491" spans="11:12" x14ac:dyDescent="0.25">
      <c r="K491" s="236"/>
      <c r="L491" s="104"/>
    </row>
    <row r="492" spans="11:12" x14ac:dyDescent="0.25">
      <c r="K492" s="236"/>
      <c r="L492" s="104"/>
    </row>
    <row r="493" spans="11:12" x14ac:dyDescent="0.25">
      <c r="K493" s="236"/>
      <c r="L493" s="104"/>
    </row>
    <row r="494" spans="11:12" x14ac:dyDescent="0.25">
      <c r="K494" s="236"/>
      <c r="L494" s="104"/>
    </row>
    <row r="495" spans="11:12" x14ac:dyDescent="0.25">
      <c r="K495" s="236"/>
      <c r="L495" s="104"/>
    </row>
    <row r="496" spans="11:12" x14ac:dyDescent="0.25">
      <c r="K496" s="236"/>
      <c r="L496" s="104"/>
    </row>
    <row r="497" spans="11:12" x14ac:dyDescent="0.25">
      <c r="K497" s="236"/>
      <c r="L497" s="104"/>
    </row>
    <row r="498" spans="11:12" x14ac:dyDescent="0.25">
      <c r="K498" s="236"/>
      <c r="L498" s="104"/>
    </row>
    <row r="499" spans="11:12" x14ac:dyDescent="0.25">
      <c r="K499" s="236"/>
      <c r="L499" s="104"/>
    </row>
    <row r="500" spans="11:12" x14ac:dyDescent="0.25">
      <c r="K500" s="236"/>
      <c r="L500" s="104"/>
    </row>
    <row r="501" spans="11:12" x14ac:dyDescent="0.25">
      <c r="K501" s="236"/>
      <c r="L501" s="104"/>
    </row>
    <row r="502" spans="11:12" x14ac:dyDescent="0.25">
      <c r="K502" s="236"/>
      <c r="L502" s="104"/>
    </row>
    <row r="503" spans="11:12" x14ac:dyDescent="0.25">
      <c r="K503" s="236"/>
      <c r="L503" s="104"/>
    </row>
    <row r="504" spans="11:12" x14ac:dyDescent="0.25">
      <c r="K504" s="236"/>
      <c r="L504" s="104"/>
    </row>
    <row r="505" spans="11:12" x14ac:dyDescent="0.25">
      <c r="K505" s="236"/>
      <c r="L505" s="104"/>
    </row>
    <row r="506" spans="11:12" x14ac:dyDescent="0.25">
      <c r="K506" s="236"/>
      <c r="L506" s="104"/>
    </row>
    <row r="507" spans="11:12" x14ac:dyDescent="0.25">
      <c r="K507" s="236"/>
      <c r="L507" s="104"/>
    </row>
    <row r="508" spans="11:12" x14ac:dyDescent="0.25">
      <c r="K508" s="236"/>
      <c r="L508" s="104"/>
    </row>
    <row r="509" spans="11:12" x14ac:dyDescent="0.25">
      <c r="K509" s="236"/>
      <c r="L509" s="104"/>
    </row>
    <row r="510" spans="11:12" x14ac:dyDescent="0.25">
      <c r="K510" s="236"/>
      <c r="L510" s="104"/>
    </row>
    <row r="511" spans="11:12" x14ac:dyDescent="0.25">
      <c r="K511" s="236"/>
      <c r="L511" s="104"/>
    </row>
    <row r="512" spans="11:12" x14ac:dyDescent="0.25">
      <c r="K512" s="236"/>
      <c r="L512" s="104"/>
    </row>
    <row r="513" spans="11:12" x14ac:dyDescent="0.25">
      <c r="K513" s="236"/>
      <c r="L513" s="104"/>
    </row>
    <row r="514" spans="11:12" x14ac:dyDescent="0.25">
      <c r="K514" s="236"/>
      <c r="L514" s="104"/>
    </row>
    <row r="515" spans="11:12" x14ac:dyDescent="0.25">
      <c r="K515" s="236"/>
      <c r="L515" s="104"/>
    </row>
    <row r="516" spans="11:12" x14ac:dyDescent="0.25">
      <c r="K516" s="236"/>
      <c r="L516" s="104"/>
    </row>
    <row r="517" spans="11:12" x14ac:dyDescent="0.25">
      <c r="K517" s="236"/>
      <c r="L517" s="104"/>
    </row>
    <row r="518" spans="11:12" x14ac:dyDescent="0.25">
      <c r="K518" s="236"/>
      <c r="L518" s="104"/>
    </row>
    <row r="519" spans="11:12" x14ac:dyDescent="0.25">
      <c r="K519" s="236"/>
      <c r="L519" s="104"/>
    </row>
    <row r="520" spans="11:12" x14ac:dyDescent="0.25">
      <c r="K520" s="236"/>
      <c r="L520" s="104"/>
    </row>
    <row r="521" spans="11:12" x14ac:dyDescent="0.25">
      <c r="K521" s="236"/>
      <c r="L521" s="104"/>
    </row>
    <row r="522" spans="11:12" x14ac:dyDescent="0.25">
      <c r="K522" s="236"/>
      <c r="L522" s="104"/>
    </row>
    <row r="523" spans="11:12" x14ac:dyDescent="0.25">
      <c r="K523" s="236"/>
      <c r="L523" s="104"/>
    </row>
    <row r="524" spans="11:12" x14ac:dyDescent="0.25">
      <c r="K524" s="236"/>
      <c r="L524" s="104"/>
    </row>
    <row r="525" spans="11:12" x14ac:dyDescent="0.25">
      <c r="K525" s="236"/>
      <c r="L525" s="104"/>
    </row>
    <row r="526" spans="11:12" x14ac:dyDescent="0.25">
      <c r="K526" s="236"/>
      <c r="L526" s="104"/>
    </row>
    <row r="527" spans="11:12" x14ac:dyDescent="0.25">
      <c r="K527" s="236"/>
      <c r="L527" s="104"/>
    </row>
    <row r="528" spans="11:12" x14ac:dyDescent="0.25">
      <c r="K528" s="236"/>
      <c r="L528" s="104"/>
    </row>
    <row r="529" spans="11:12" x14ac:dyDescent="0.25">
      <c r="K529" s="236"/>
      <c r="L529" s="104"/>
    </row>
    <row r="530" spans="11:12" x14ac:dyDescent="0.25">
      <c r="K530" s="236"/>
      <c r="L530" s="104"/>
    </row>
    <row r="531" spans="11:12" x14ac:dyDescent="0.25">
      <c r="K531" s="236"/>
      <c r="L531" s="104"/>
    </row>
    <row r="532" spans="11:12" x14ac:dyDescent="0.25">
      <c r="K532" s="236"/>
      <c r="L532" s="104"/>
    </row>
    <row r="533" spans="11:12" x14ac:dyDescent="0.25">
      <c r="K533" s="236"/>
      <c r="L533" s="104"/>
    </row>
    <row r="534" spans="11:12" x14ac:dyDescent="0.25">
      <c r="K534" s="236"/>
      <c r="L534" s="104"/>
    </row>
    <row r="535" spans="11:12" x14ac:dyDescent="0.25">
      <c r="K535" s="236"/>
      <c r="L535" s="104"/>
    </row>
    <row r="536" spans="11:12" x14ac:dyDescent="0.25">
      <c r="K536" s="236"/>
      <c r="L536" s="104"/>
    </row>
    <row r="537" spans="11:12" x14ac:dyDescent="0.25">
      <c r="K537" s="236"/>
      <c r="L537" s="104"/>
    </row>
    <row r="538" spans="11:12" x14ac:dyDescent="0.25">
      <c r="K538" s="236"/>
      <c r="L538" s="104"/>
    </row>
    <row r="539" spans="11:12" x14ac:dyDescent="0.25">
      <c r="K539" s="236"/>
      <c r="L539" s="104"/>
    </row>
    <row r="540" spans="11:12" x14ac:dyDescent="0.25">
      <c r="K540" s="236"/>
      <c r="L540" s="104"/>
    </row>
    <row r="541" spans="11:12" x14ac:dyDescent="0.25">
      <c r="K541" s="236"/>
      <c r="L541" s="104"/>
    </row>
    <row r="542" spans="11:12" x14ac:dyDescent="0.25">
      <c r="K542" s="236"/>
      <c r="L542" s="104"/>
    </row>
    <row r="543" spans="11:12" x14ac:dyDescent="0.25">
      <c r="K543" s="236"/>
      <c r="L543" s="104"/>
    </row>
    <row r="544" spans="11:12" x14ac:dyDescent="0.25">
      <c r="K544" s="236"/>
      <c r="L544" s="104"/>
    </row>
    <row r="545" spans="11:12" x14ac:dyDescent="0.25">
      <c r="K545" s="236"/>
      <c r="L545" s="104"/>
    </row>
    <row r="546" spans="11:12" x14ac:dyDescent="0.25">
      <c r="K546" s="236"/>
      <c r="L546" s="104"/>
    </row>
    <row r="547" spans="11:12" x14ac:dyDescent="0.25">
      <c r="K547" s="236"/>
      <c r="L547" s="104"/>
    </row>
    <row r="548" spans="11:12" x14ac:dyDescent="0.25">
      <c r="K548" s="236"/>
      <c r="L548" s="104"/>
    </row>
    <row r="549" spans="11:12" x14ac:dyDescent="0.25">
      <c r="K549" s="236"/>
      <c r="L549" s="104"/>
    </row>
    <row r="550" spans="11:12" x14ac:dyDescent="0.25">
      <c r="K550" s="236"/>
      <c r="L550" s="104"/>
    </row>
    <row r="551" spans="11:12" x14ac:dyDescent="0.25">
      <c r="K551" s="236"/>
      <c r="L551" s="104"/>
    </row>
    <row r="552" spans="11:12" x14ac:dyDescent="0.25">
      <c r="K552" s="236"/>
      <c r="L552" s="104"/>
    </row>
    <row r="553" spans="11:12" x14ac:dyDescent="0.25">
      <c r="K553" s="236"/>
      <c r="L553" s="104"/>
    </row>
    <row r="554" spans="11:12" x14ac:dyDescent="0.25">
      <c r="K554" s="236"/>
      <c r="L554" s="104"/>
    </row>
    <row r="555" spans="11:12" x14ac:dyDescent="0.25">
      <c r="K555" s="236"/>
      <c r="L555" s="104"/>
    </row>
    <row r="556" spans="11:12" x14ac:dyDescent="0.25">
      <c r="K556" s="236"/>
      <c r="L556" s="104"/>
    </row>
    <row r="557" spans="11:12" x14ac:dyDescent="0.25">
      <c r="K557" s="236"/>
      <c r="L557" s="104"/>
    </row>
    <row r="558" spans="11:12" x14ac:dyDescent="0.25">
      <c r="K558" s="236"/>
      <c r="L558" s="104"/>
    </row>
    <row r="559" spans="11:12" x14ac:dyDescent="0.25">
      <c r="K559" s="236"/>
      <c r="L559" s="104"/>
    </row>
    <row r="560" spans="11:12" x14ac:dyDescent="0.25">
      <c r="K560" s="236"/>
      <c r="L560" s="104"/>
    </row>
    <row r="561" spans="11:12" x14ac:dyDescent="0.25">
      <c r="K561" s="236"/>
      <c r="L561" s="104"/>
    </row>
    <row r="562" spans="11:12" x14ac:dyDescent="0.25">
      <c r="K562" s="236"/>
      <c r="L562" s="104"/>
    </row>
    <row r="563" spans="11:12" x14ac:dyDescent="0.25">
      <c r="K563" s="236"/>
      <c r="L563" s="104"/>
    </row>
    <row r="564" spans="11:12" x14ac:dyDescent="0.25">
      <c r="K564" s="236"/>
      <c r="L564" s="104"/>
    </row>
    <row r="565" spans="11:12" x14ac:dyDescent="0.25">
      <c r="K565" s="236"/>
      <c r="L565" s="104"/>
    </row>
    <row r="566" spans="11:12" x14ac:dyDescent="0.25">
      <c r="K566" s="236"/>
      <c r="L566" s="104"/>
    </row>
    <row r="567" spans="11:12" x14ac:dyDescent="0.25">
      <c r="K567" s="236"/>
      <c r="L567" s="104"/>
    </row>
    <row r="568" spans="11:12" x14ac:dyDescent="0.25">
      <c r="K568" s="236"/>
      <c r="L568" s="104"/>
    </row>
    <row r="569" spans="11:12" x14ac:dyDescent="0.25">
      <c r="K569" s="236"/>
      <c r="L569" s="104"/>
    </row>
    <row r="570" spans="11:12" x14ac:dyDescent="0.25">
      <c r="K570" s="236"/>
      <c r="L570" s="104"/>
    </row>
    <row r="571" spans="11:12" x14ac:dyDescent="0.25">
      <c r="K571" s="236"/>
      <c r="L571" s="104"/>
    </row>
    <row r="572" spans="11:12" x14ac:dyDescent="0.25">
      <c r="K572" s="236"/>
      <c r="L572" s="104"/>
    </row>
    <row r="573" spans="11:12" x14ac:dyDescent="0.25">
      <c r="K573" s="236"/>
      <c r="L573" s="104"/>
    </row>
    <row r="574" spans="11:12" x14ac:dyDescent="0.25">
      <c r="K574" s="236"/>
      <c r="L574" s="104"/>
    </row>
    <row r="575" spans="11:12" x14ac:dyDescent="0.25">
      <c r="K575" s="236"/>
      <c r="L575" s="104"/>
    </row>
    <row r="576" spans="11:12" x14ac:dyDescent="0.25">
      <c r="K576" s="236"/>
      <c r="L576" s="104"/>
    </row>
    <row r="577" spans="11:12" x14ac:dyDescent="0.25">
      <c r="K577" s="236"/>
      <c r="L577" s="104"/>
    </row>
    <row r="578" spans="11:12" x14ac:dyDescent="0.25">
      <c r="K578" s="236"/>
      <c r="L578" s="104"/>
    </row>
    <row r="579" spans="11:12" x14ac:dyDescent="0.25">
      <c r="K579" s="236"/>
      <c r="L579" s="104"/>
    </row>
    <row r="580" spans="11:12" x14ac:dyDescent="0.25">
      <c r="K580" s="236"/>
      <c r="L580" s="104"/>
    </row>
    <row r="581" spans="11:12" x14ac:dyDescent="0.25">
      <c r="K581" s="236"/>
      <c r="L581" s="104"/>
    </row>
    <row r="582" spans="11:12" x14ac:dyDescent="0.25">
      <c r="K582" s="236"/>
      <c r="L582" s="104"/>
    </row>
    <row r="583" spans="11:12" x14ac:dyDescent="0.25">
      <c r="K583" s="236"/>
      <c r="L583" s="104"/>
    </row>
    <row r="584" spans="11:12" x14ac:dyDescent="0.25">
      <c r="K584" s="236"/>
      <c r="L584" s="104"/>
    </row>
    <row r="585" spans="11:12" x14ac:dyDescent="0.25">
      <c r="K585" s="236"/>
      <c r="L585" s="104"/>
    </row>
    <row r="586" spans="11:12" x14ac:dyDescent="0.25">
      <c r="K586" s="236"/>
      <c r="L586" s="104"/>
    </row>
    <row r="587" spans="11:12" x14ac:dyDescent="0.25">
      <c r="K587" s="236"/>
      <c r="L587" s="104"/>
    </row>
    <row r="588" spans="11:12" x14ac:dyDescent="0.25">
      <c r="K588" s="236"/>
      <c r="L588" s="104"/>
    </row>
    <row r="589" spans="11:12" x14ac:dyDescent="0.25">
      <c r="K589" s="236"/>
      <c r="L589" s="104"/>
    </row>
    <row r="590" spans="11:12" x14ac:dyDescent="0.25">
      <c r="K590" s="236"/>
      <c r="L590" s="104"/>
    </row>
    <row r="591" spans="11:12" x14ac:dyDescent="0.25">
      <c r="K591" s="236"/>
      <c r="L591" s="104"/>
    </row>
    <row r="592" spans="11:12" x14ac:dyDescent="0.25">
      <c r="K592" s="236"/>
      <c r="L592" s="104"/>
    </row>
    <row r="593" spans="11:12" x14ac:dyDescent="0.25">
      <c r="K593" s="236"/>
      <c r="L593" s="104"/>
    </row>
    <row r="594" spans="11:12" x14ac:dyDescent="0.25">
      <c r="K594" s="236"/>
      <c r="L594" s="104"/>
    </row>
    <row r="595" spans="11:12" x14ac:dyDescent="0.25">
      <c r="K595" s="236"/>
      <c r="L595" s="104"/>
    </row>
    <row r="596" spans="11:12" x14ac:dyDescent="0.25">
      <c r="K596" s="236"/>
      <c r="L596" s="104"/>
    </row>
    <row r="597" spans="11:12" x14ac:dyDescent="0.25">
      <c r="K597" s="236"/>
      <c r="L597" s="104"/>
    </row>
    <row r="598" spans="11:12" x14ac:dyDescent="0.25">
      <c r="K598" s="236"/>
      <c r="L598" s="104"/>
    </row>
    <row r="599" spans="11:12" x14ac:dyDescent="0.25">
      <c r="K599" s="236"/>
      <c r="L599" s="104"/>
    </row>
    <row r="600" spans="11:12" x14ac:dyDescent="0.25">
      <c r="K600" s="236"/>
      <c r="L600" s="104"/>
    </row>
    <row r="601" spans="11:12" x14ac:dyDescent="0.25">
      <c r="K601" s="236"/>
      <c r="L601" s="104"/>
    </row>
    <row r="602" spans="11:12" x14ac:dyDescent="0.25">
      <c r="K602" s="236"/>
      <c r="L602" s="104"/>
    </row>
    <row r="603" spans="11:12" x14ac:dyDescent="0.25">
      <c r="K603" s="236"/>
      <c r="L603" s="104"/>
    </row>
    <row r="604" spans="11:12" x14ac:dyDescent="0.25">
      <c r="K604" s="236"/>
      <c r="L604" s="104"/>
    </row>
    <row r="605" spans="11:12" x14ac:dyDescent="0.25">
      <c r="K605" s="236"/>
      <c r="L605" s="104"/>
    </row>
    <row r="606" spans="11:12" x14ac:dyDescent="0.25">
      <c r="K606" s="236"/>
      <c r="L606" s="104"/>
    </row>
    <row r="607" spans="11:12" x14ac:dyDescent="0.25">
      <c r="K607" s="236"/>
      <c r="L607" s="104"/>
    </row>
    <row r="608" spans="11:12" x14ac:dyDescent="0.25">
      <c r="K608" s="236"/>
      <c r="L608" s="104"/>
    </row>
    <row r="609" spans="11:12" x14ac:dyDescent="0.25">
      <c r="K609" s="236"/>
      <c r="L609" s="104"/>
    </row>
    <row r="610" spans="11:12" x14ac:dyDescent="0.25">
      <c r="K610" s="236"/>
      <c r="L610" s="104"/>
    </row>
    <row r="611" spans="11:12" x14ac:dyDescent="0.25">
      <c r="K611" s="236"/>
      <c r="L611" s="104"/>
    </row>
    <row r="612" spans="11:12" x14ac:dyDescent="0.25">
      <c r="K612" s="236"/>
      <c r="L612" s="104"/>
    </row>
    <row r="613" spans="11:12" x14ac:dyDescent="0.25">
      <c r="K613" s="236"/>
      <c r="L613" s="104"/>
    </row>
    <row r="614" spans="11:12" x14ac:dyDescent="0.25">
      <c r="K614" s="236"/>
      <c r="L614" s="104"/>
    </row>
    <row r="615" spans="11:12" x14ac:dyDescent="0.25">
      <c r="K615" s="236"/>
      <c r="L615" s="104"/>
    </row>
    <row r="616" spans="11:12" x14ac:dyDescent="0.25">
      <c r="K616" s="236"/>
      <c r="L616" s="104"/>
    </row>
    <row r="617" spans="11:12" x14ac:dyDescent="0.25">
      <c r="K617" s="236"/>
      <c r="L617" s="104"/>
    </row>
    <row r="618" spans="11:12" x14ac:dyDescent="0.25">
      <c r="K618" s="236"/>
      <c r="L618" s="104"/>
    </row>
    <row r="619" spans="11:12" x14ac:dyDescent="0.25">
      <c r="K619" s="236"/>
      <c r="L619" s="104"/>
    </row>
    <row r="620" spans="11:12" x14ac:dyDescent="0.25">
      <c r="K620" s="236"/>
      <c r="L620" s="104"/>
    </row>
    <row r="621" spans="11:12" x14ac:dyDescent="0.25">
      <c r="K621" s="236"/>
      <c r="L621" s="104"/>
    </row>
    <row r="622" spans="11:12" x14ac:dyDescent="0.25">
      <c r="K622" s="236"/>
      <c r="L622" s="104"/>
    </row>
    <row r="623" spans="11:12" x14ac:dyDescent="0.25">
      <c r="K623" s="236"/>
      <c r="L623" s="104"/>
    </row>
    <row r="624" spans="11:12" x14ac:dyDescent="0.25">
      <c r="K624" s="236"/>
      <c r="L624" s="104"/>
    </row>
    <row r="625" spans="11:12" x14ac:dyDescent="0.25">
      <c r="K625" s="236"/>
      <c r="L625" s="104"/>
    </row>
    <row r="626" spans="11:12" x14ac:dyDescent="0.25">
      <c r="K626" s="236"/>
      <c r="L626" s="104"/>
    </row>
    <row r="627" spans="11:12" x14ac:dyDescent="0.25">
      <c r="K627" s="236"/>
      <c r="L627" s="104"/>
    </row>
    <row r="628" spans="11:12" x14ac:dyDescent="0.25">
      <c r="K628" s="236"/>
      <c r="L628" s="104"/>
    </row>
    <row r="629" spans="11:12" x14ac:dyDescent="0.25">
      <c r="K629" s="236"/>
      <c r="L629" s="104"/>
    </row>
    <row r="630" spans="11:12" x14ac:dyDescent="0.25">
      <c r="K630" s="236"/>
      <c r="L630" s="104"/>
    </row>
    <row r="631" spans="11:12" x14ac:dyDescent="0.25">
      <c r="K631" s="236"/>
      <c r="L631" s="104"/>
    </row>
    <row r="632" spans="11:12" x14ac:dyDescent="0.25">
      <c r="K632" s="236"/>
      <c r="L632" s="104"/>
    </row>
    <row r="633" spans="11:12" x14ac:dyDescent="0.25">
      <c r="K633" s="236"/>
      <c r="L633" s="104"/>
    </row>
    <row r="634" spans="11:12" x14ac:dyDescent="0.25">
      <c r="K634" s="236"/>
      <c r="L634" s="104"/>
    </row>
    <row r="635" spans="11:12" x14ac:dyDescent="0.25">
      <c r="K635" s="236"/>
      <c r="L635" s="104"/>
    </row>
    <row r="636" spans="11:12" x14ac:dyDescent="0.25">
      <c r="K636" s="236"/>
      <c r="L636" s="104"/>
    </row>
    <row r="637" spans="11:12" x14ac:dyDescent="0.25">
      <c r="K637" s="236"/>
      <c r="L637" s="104"/>
    </row>
    <row r="638" spans="11:12" x14ac:dyDescent="0.25">
      <c r="K638" s="236"/>
      <c r="L638" s="104"/>
    </row>
    <row r="639" spans="11:12" x14ac:dyDescent="0.25">
      <c r="K639" s="236"/>
      <c r="L639" s="104"/>
    </row>
    <row r="640" spans="11:12" x14ac:dyDescent="0.25">
      <c r="K640" s="236"/>
      <c r="L640" s="104"/>
    </row>
    <row r="641" spans="11:12" x14ac:dyDescent="0.25">
      <c r="K641" s="236"/>
      <c r="L641" s="104"/>
    </row>
    <row r="642" spans="11:12" x14ac:dyDescent="0.25">
      <c r="K642" s="236"/>
      <c r="L642" s="104"/>
    </row>
    <row r="643" spans="11:12" x14ac:dyDescent="0.25">
      <c r="K643" s="236"/>
      <c r="L643" s="104"/>
    </row>
    <row r="644" spans="11:12" x14ac:dyDescent="0.25">
      <c r="K644" s="236"/>
      <c r="L644" s="104"/>
    </row>
    <row r="645" spans="11:12" x14ac:dyDescent="0.25">
      <c r="K645" s="236"/>
      <c r="L645" s="104"/>
    </row>
    <row r="646" spans="11:12" x14ac:dyDescent="0.25">
      <c r="K646" s="236"/>
      <c r="L646" s="104"/>
    </row>
    <row r="647" spans="11:12" x14ac:dyDescent="0.25">
      <c r="K647" s="236"/>
      <c r="L647" s="104"/>
    </row>
    <row r="648" spans="11:12" x14ac:dyDescent="0.25">
      <c r="K648" s="236"/>
      <c r="L648" s="104"/>
    </row>
    <row r="649" spans="11:12" x14ac:dyDescent="0.25">
      <c r="K649" s="236"/>
      <c r="L649" s="104"/>
    </row>
    <row r="650" spans="11:12" x14ac:dyDescent="0.25">
      <c r="K650" s="236"/>
      <c r="L650" s="104"/>
    </row>
    <row r="651" spans="11:12" x14ac:dyDescent="0.25">
      <c r="K651" s="236"/>
      <c r="L651" s="104"/>
    </row>
    <row r="652" spans="11:12" x14ac:dyDescent="0.25">
      <c r="K652" s="236"/>
      <c r="L652" s="104"/>
    </row>
    <row r="653" spans="11:12" x14ac:dyDescent="0.25">
      <c r="K653" s="236"/>
      <c r="L653" s="104"/>
    </row>
    <row r="654" spans="11:12" x14ac:dyDescent="0.25">
      <c r="K654" s="236"/>
      <c r="L654" s="104"/>
    </row>
    <row r="655" spans="11:12" x14ac:dyDescent="0.25">
      <c r="K655" s="236"/>
      <c r="L655" s="104"/>
    </row>
    <row r="656" spans="11:12" x14ac:dyDescent="0.25">
      <c r="K656" s="236"/>
      <c r="L656" s="104"/>
    </row>
    <row r="657" spans="11:12" x14ac:dyDescent="0.25">
      <c r="K657" s="236"/>
      <c r="L657" s="104"/>
    </row>
    <row r="658" spans="11:12" x14ac:dyDescent="0.25">
      <c r="K658" s="236"/>
      <c r="L658" s="104"/>
    </row>
    <row r="659" spans="11:12" x14ac:dyDescent="0.25">
      <c r="K659" s="236"/>
      <c r="L659" s="104"/>
    </row>
    <row r="660" spans="11:12" x14ac:dyDescent="0.25">
      <c r="K660" s="236"/>
      <c r="L660" s="104"/>
    </row>
    <row r="661" spans="11:12" x14ac:dyDescent="0.25">
      <c r="K661" s="236"/>
      <c r="L661" s="104"/>
    </row>
    <row r="662" spans="11:12" x14ac:dyDescent="0.25">
      <c r="K662" s="236"/>
      <c r="L662" s="104"/>
    </row>
    <row r="663" spans="11:12" x14ac:dyDescent="0.25">
      <c r="K663" s="236"/>
      <c r="L663" s="104"/>
    </row>
    <row r="664" spans="11:12" x14ac:dyDescent="0.25">
      <c r="K664" s="236"/>
      <c r="L664" s="104"/>
    </row>
    <row r="665" spans="11:12" x14ac:dyDescent="0.25">
      <c r="K665" s="236"/>
      <c r="L665" s="104"/>
    </row>
    <row r="666" spans="11:12" x14ac:dyDescent="0.25">
      <c r="K666" s="236"/>
      <c r="L666" s="104"/>
    </row>
    <row r="667" spans="11:12" x14ac:dyDescent="0.25">
      <c r="K667" s="236"/>
      <c r="L667" s="104"/>
    </row>
    <row r="668" spans="11:12" x14ac:dyDescent="0.25">
      <c r="K668" s="236"/>
      <c r="L668" s="104"/>
    </row>
    <row r="669" spans="11:12" x14ac:dyDescent="0.25">
      <c r="K669" s="236"/>
      <c r="L669" s="104"/>
    </row>
    <row r="670" spans="11:12" x14ac:dyDescent="0.25">
      <c r="K670" s="236"/>
      <c r="L670" s="104"/>
    </row>
    <row r="671" spans="11:12" x14ac:dyDescent="0.25">
      <c r="K671" s="236"/>
      <c r="L671" s="104"/>
    </row>
    <row r="672" spans="11:12" x14ac:dyDescent="0.25">
      <c r="K672" s="236"/>
      <c r="L672" s="104"/>
    </row>
    <row r="673" spans="11:12" x14ac:dyDescent="0.25">
      <c r="K673" s="236"/>
      <c r="L673" s="104"/>
    </row>
    <row r="674" spans="11:12" x14ac:dyDescent="0.25">
      <c r="K674" s="236"/>
      <c r="L674" s="104"/>
    </row>
    <row r="675" spans="11:12" x14ac:dyDescent="0.25">
      <c r="K675" s="236"/>
      <c r="L675" s="104"/>
    </row>
    <row r="676" spans="11:12" x14ac:dyDescent="0.25">
      <c r="K676" s="236"/>
      <c r="L676" s="104"/>
    </row>
    <row r="677" spans="11:12" x14ac:dyDescent="0.25">
      <c r="K677" s="236"/>
      <c r="L677" s="104"/>
    </row>
    <row r="678" spans="11:12" x14ac:dyDescent="0.25">
      <c r="K678" s="236"/>
      <c r="L678" s="104"/>
    </row>
    <row r="679" spans="11:12" x14ac:dyDescent="0.25">
      <c r="K679" s="236"/>
      <c r="L679" s="104"/>
    </row>
    <row r="680" spans="11:12" x14ac:dyDescent="0.25">
      <c r="K680" s="236"/>
      <c r="L680" s="104"/>
    </row>
    <row r="681" spans="11:12" x14ac:dyDescent="0.25">
      <c r="K681" s="236"/>
      <c r="L681" s="104"/>
    </row>
    <row r="682" spans="11:12" x14ac:dyDescent="0.25">
      <c r="K682" s="236"/>
      <c r="L682" s="104"/>
    </row>
    <row r="683" spans="11:12" x14ac:dyDescent="0.25">
      <c r="K683" s="236"/>
      <c r="L683" s="104"/>
    </row>
    <row r="684" spans="11:12" x14ac:dyDescent="0.25">
      <c r="K684" s="236"/>
      <c r="L684" s="104"/>
    </row>
    <row r="685" spans="11:12" x14ac:dyDescent="0.25">
      <c r="K685" s="236"/>
      <c r="L685" s="104"/>
    </row>
    <row r="686" spans="11:12" x14ac:dyDescent="0.25">
      <c r="K686" s="236"/>
      <c r="L686" s="104"/>
    </row>
    <row r="687" spans="11:12" x14ac:dyDescent="0.25">
      <c r="K687" s="236"/>
      <c r="L687" s="104"/>
    </row>
    <row r="688" spans="11:12" x14ac:dyDescent="0.25">
      <c r="K688" s="236"/>
      <c r="L688" s="104"/>
    </row>
    <row r="689" spans="11:12" x14ac:dyDescent="0.25">
      <c r="K689" s="236"/>
      <c r="L689" s="104"/>
    </row>
    <row r="690" spans="11:12" x14ac:dyDescent="0.25">
      <c r="K690" s="236"/>
      <c r="L690" s="104"/>
    </row>
    <row r="691" spans="11:12" x14ac:dyDescent="0.25">
      <c r="K691" s="236"/>
      <c r="L691" s="104"/>
    </row>
    <row r="692" spans="11:12" x14ac:dyDescent="0.25">
      <c r="K692" s="236"/>
      <c r="L692" s="104"/>
    </row>
    <row r="693" spans="11:12" x14ac:dyDescent="0.25">
      <c r="K693" s="236"/>
      <c r="L693" s="104"/>
    </row>
    <row r="694" spans="11:12" x14ac:dyDescent="0.25">
      <c r="K694" s="236"/>
      <c r="L694" s="104"/>
    </row>
    <row r="695" spans="11:12" x14ac:dyDescent="0.25">
      <c r="K695" s="236"/>
      <c r="L695" s="104"/>
    </row>
    <row r="696" spans="11:12" x14ac:dyDescent="0.25">
      <c r="K696" s="236"/>
      <c r="L696" s="104"/>
    </row>
    <row r="697" spans="11:12" x14ac:dyDescent="0.25">
      <c r="K697" s="236"/>
      <c r="L697" s="104"/>
    </row>
    <row r="698" spans="11:12" x14ac:dyDescent="0.25">
      <c r="K698" s="236"/>
      <c r="L698" s="104"/>
    </row>
    <row r="699" spans="11:12" x14ac:dyDescent="0.25">
      <c r="K699" s="236"/>
      <c r="L699" s="104"/>
    </row>
    <row r="700" spans="11:12" x14ac:dyDescent="0.25">
      <c r="K700" s="236"/>
      <c r="L700" s="104"/>
    </row>
    <row r="701" spans="11:12" x14ac:dyDescent="0.25">
      <c r="K701" s="236"/>
      <c r="L701" s="104"/>
    </row>
    <row r="702" spans="11:12" x14ac:dyDescent="0.25">
      <c r="K702" s="236"/>
      <c r="L702" s="104"/>
    </row>
    <row r="703" spans="11:12" x14ac:dyDescent="0.25">
      <c r="K703" s="236"/>
      <c r="L703" s="104"/>
    </row>
    <row r="704" spans="11:12" x14ac:dyDescent="0.25">
      <c r="K704" s="236"/>
      <c r="L704" s="104"/>
    </row>
    <row r="705" spans="11:12" x14ac:dyDescent="0.25">
      <c r="K705" s="236"/>
      <c r="L705" s="104"/>
    </row>
    <row r="706" spans="11:12" x14ac:dyDescent="0.25">
      <c r="K706" s="236"/>
      <c r="L706" s="104"/>
    </row>
    <row r="707" spans="11:12" x14ac:dyDescent="0.25">
      <c r="K707" s="236"/>
      <c r="L707" s="104"/>
    </row>
    <row r="708" spans="11:12" x14ac:dyDescent="0.25">
      <c r="K708" s="236"/>
      <c r="L708" s="104"/>
    </row>
    <row r="709" spans="11:12" x14ac:dyDescent="0.25">
      <c r="K709" s="236"/>
      <c r="L709" s="104"/>
    </row>
    <row r="710" spans="11:12" x14ac:dyDescent="0.25">
      <c r="K710" s="236"/>
      <c r="L710" s="104"/>
    </row>
    <row r="711" spans="11:12" x14ac:dyDescent="0.25">
      <c r="K711" s="236"/>
      <c r="L711" s="104"/>
    </row>
    <row r="712" spans="11:12" x14ac:dyDescent="0.25">
      <c r="K712" s="236"/>
      <c r="L712" s="104"/>
    </row>
    <row r="713" spans="11:12" x14ac:dyDescent="0.25">
      <c r="K713" s="236"/>
      <c r="L713" s="104"/>
    </row>
    <row r="714" spans="11:12" x14ac:dyDescent="0.25">
      <c r="K714" s="236"/>
      <c r="L714" s="104"/>
    </row>
    <row r="715" spans="11:12" x14ac:dyDescent="0.25">
      <c r="K715" s="236"/>
      <c r="L715" s="104"/>
    </row>
    <row r="716" spans="11:12" x14ac:dyDescent="0.25">
      <c r="K716" s="236"/>
      <c r="L716" s="104"/>
    </row>
    <row r="717" spans="11:12" x14ac:dyDescent="0.25">
      <c r="K717" s="236"/>
      <c r="L717" s="104"/>
    </row>
    <row r="718" spans="11:12" x14ac:dyDescent="0.25">
      <c r="K718" s="236"/>
      <c r="L718" s="104"/>
    </row>
    <row r="719" spans="11:12" x14ac:dyDescent="0.25">
      <c r="K719" s="236"/>
      <c r="L719" s="104"/>
    </row>
    <row r="720" spans="11:12" x14ac:dyDescent="0.25">
      <c r="K720" s="236"/>
      <c r="L720" s="104"/>
    </row>
    <row r="721" spans="11:12" x14ac:dyDescent="0.25">
      <c r="K721" s="236"/>
      <c r="L721" s="104"/>
    </row>
    <row r="722" spans="11:12" x14ac:dyDescent="0.25">
      <c r="K722" s="236"/>
      <c r="L722" s="104"/>
    </row>
    <row r="723" spans="11:12" x14ac:dyDescent="0.25">
      <c r="K723" s="236"/>
      <c r="L723" s="104"/>
    </row>
    <row r="724" spans="11:12" x14ac:dyDescent="0.25">
      <c r="K724" s="236"/>
      <c r="L724" s="104"/>
    </row>
    <row r="725" spans="11:12" x14ac:dyDescent="0.25">
      <c r="K725" s="236"/>
      <c r="L725" s="104"/>
    </row>
    <row r="726" spans="11:12" x14ac:dyDescent="0.25">
      <c r="K726" s="236"/>
      <c r="L726" s="104"/>
    </row>
    <row r="727" spans="11:12" x14ac:dyDescent="0.25">
      <c r="K727" s="236"/>
      <c r="L727" s="104"/>
    </row>
    <row r="728" spans="11:12" x14ac:dyDescent="0.25">
      <c r="K728" s="236"/>
      <c r="L728" s="104"/>
    </row>
    <row r="729" spans="11:12" x14ac:dyDescent="0.25">
      <c r="K729" s="236"/>
      <c r="L729" s="104"/>
    </row>
    <row r="730" spans="11:12" x14ac:dyDescent="0.25">
      <c r="K730" s="236"/>
      <c r="L730" s="104"/>
    </row>
    <row r="731" spans="11:12" x14ac:dyDescent="0.25">
      <c r="K731" s="236"/>
      <c r="L731" s="104"/>
    </row>
    <row r="732" spans="11:12" x14ac:dyDescent="0.25">
      <c r="K732" s="236"/>
      <c r="L732" s="104"/>
    </row>
    <row r="733" spans="11:12" x14ac:dyDescent="0.25">
      <c r="K733" s="236"/>
      <c r="L733" s="104"/>
    </row>
    <row r="734" spans="11:12" x14ac:dyDescent="0.25">
      <c r="K734" s="236"/>
      <c r="L734" s="104"/>
    </row>
    <row r="735" spans="11:12" x14ac:dyDescent="0.25">
      <c r="K735" s="236"/>
      <c r="L735" s="104"/>
    </row>
    <row r="736" spans="11:12" x14ac:dyDescent="0.25">
      <c r="K736" s="236"/>
      <c r="L736" s="104"/>
    </row>
    <row r="737" spans="11:12" x14ac:dyDescent="0.25">
      <c r="K737" s="236"/>
      <c r="L737" s="104"/>
    </row>
    <row r="738" spans="11:12" x14ac:dyDescent="0.25">
      <c r="K738" s="236"/>
      <c r="L738" s="104"/>
    </row>
    <row r="739" spans="11:12" x14ac:dyDescent="0.25">
      <c r="K739" s="236"/>
      <c r="L739" s="104"/>
    </row>
    <row r="740" spans="11:12" x14ac:dyDescent="0.25">
      <c r="K740" s="236"/>
      <c r="L740" s="104"/>
    </row>
    <row r="741" spans="11:12" x14ac:dyDescent="0.25">
      <c r="K741" s="236"/>
      <c r="L741" s="104"/>
    </row>
    <row r="742" spans="11:12" x14ac:dyDescent="0.25">
      <c r="K742" s="236"/>
      <c r="L742" s="104"/>
    </row>
    <row r="743" spans="11:12" x14ac:dyDescent="0.25">
      <c r="K743" s="236"/>
      <c r="L743" s="104"/>
    </row>
    <row r="744" spans="11:12" x14ac:dyDescent="0.25">
      <c r="K744" s="236"/>
      <c r="L744" s="104"/>
    </row>
    <row r="745" spans="11:12" x14ac:dyDescent="0.25">
      <c r="K745" s="236"/>
      <c r="L745" s="104"/>
    </row>
    <row r="746" spans="11:12" x14ac:dyDescent="0.25">
      <c r="K746" s="236"/>
      <c r="L746" s="104"/>
    </row>
    <row r="747" spans="11:12" x14ac:dyDescent="0.25">
      <c r="K747" s="236"/>
      <c r="L747" s="104"/>
    </row>
    <row r="748" spans="11:12" x14ac:dyDescent="0.25">
      <c r="K748" s="236"/>
      <c r="L748" s="104"/>
    </row>
    <row r="749" spans="11:12" x14ac:dyDescent="0.25">
      <c r="K749" s="236"/>
      <c r="L749" s="104"/>
    </row>
    <row r="750" spans="11:12" x14ac:dyDescent="0.25">
      <c r="K750" s="236"/>
      <c r="L750" s="104"/>
    </row>
    <row r="751" spans="11:12" x14ac:dyDescent="0.25">
      <c r="K751" s="236"/>
      <c r="L751" s="104"/>
    </row>
    <row r="752" spans="11:12" x14ac:dyDescent="0.25">
      <c r="K752" s="236"/>
      <c r="L752" s="104"/>
    </row>
    <row r="753" spans="11:12" x14ac:dyDescent="0.25">
      <c r="K753" s="236"/>
      <c r="L753" s="104"/>
    </row>
    <row r="754" spans="11:12" x14ac:dyDescent="0.25">
      <c r="K754" s="236"/>
      <c r="L754" s="104"/>
    </row>
    <row r="755" spans="11:12" x14ac:dyDescent="0.25">
      <c r="K755" s="236"/>
      <c r="L755" s="104"/>
    </row>
    <row r="756" spans="11:12" x14ac:dyDescent="0.25">
      <c r="K756" s="236"/>
      <c r="L756" s="104"/>
    </row>
    <row r="757" spans="11:12" x14ac:dyDescent="0.25">
      <c r="K757" s="236"/>
      <c r="L757" s="104"/>
    </row>
    <row r="758" spans="11:12" x14ac:dyDescent="0.25">
      <c r="K758" s="236"/>
      <c r="L758" s="104"/>
    </row>
    <row r="759" spans="11:12" x14ac:dyDescent="0.25">
      <c r="K759" s="236"/>
      <c r="L759" s="104"/>
    </row>
    <row r="760" spans="11:12" x14ac:dyDescent="0.25">
      <c r="K760" s="236"/>
      <c r="L760" s="104"/>
    </row>
    <row r="761" spans="11:12" x14ac:dyDescent="0.25">
      <c r="K761" s="236"/>
      <c r="L761" s="104"/>
    </row>
    <row r="762" spans="11:12" x14ac:dyDescent="0.25">
      <c r="K762" s="236"/>
      <c r="L762" s="104"/>
    </row>
    <row r="763" spans="11:12" x14ac:dyDescent="0.25">
      <c r="K763" s="236"/>
      <c r="L763" s="104"/>
    </row>
    <row r="764" spans="11:12" x14ac:dyDescent="0.25">
      <c r="K764" s="236"/>
      <c r="L764" s="104"/>
    </row>
    <row r="765" spans="11:12" x14ac:dyDescent="0.25">
      <c r="K765" s="236"/>
      <c r="L765" s="104"/>
    </row>
    <row r="766" spans="11:12" x14ac:dyDescent="0.25">
      <c r="K766" s="236"/>
      <c r="L766" s="104"/>
    </row>
    <row r="767" spans="11:12" x14ac:dyDescent="0.25">
      <c r="K767" s="236"/>
      <c r="L767" s="104"/>
    </row>
    <row r="768" spans="11:12" x14ac:dyDescent="0.25">
      <c r="K768" s="236"/>
      <c r="L768" s="104"/>
    </row>
    <row r="769" spans="11:12" x14ac:dyDescent="0.25">
      <c r="K769" s="236"/>
      <c r="L769" s="104"/>
    </row>
    <row r="770" spans="11:12" x14ac:dyDescent="0.25">
      <c r="K770" s="236"/>
      <c r="L770" s="104"/>
    </row>
    <row r="771" spans="11:12" x14ac:dyDescent="0.25">
      <c r="K771" s="236"/>
      <c r="L771" s="104"/>
    </row>
    <row r="772" spans="11:12" x14ac:dyDescent="0.25">
      <c r="K772" s="236"/>
      <c r="L772" s="104"/>
    </row>
    <row r="773" spans="11:12" x14ac:dyDescent="0.25">
      <c r="K773" s="236"/>
      <c r="L773" s="104"/>
    </row>
    <row r="774" spans="11:12" x14ac:dyDescent="0.25">
      <c r="K774" s="236"/>
      <c r="L774" s="104"/>
    </row>
    <row r="775" spans="11:12" x14ac:dyDescent="0.25">
      <c r="K775" s="236"/>
      <c r="L775" s="104"/>
    </row>
    <row r="776" spans="11:12" x14ac:dyDescent="0.25">
      <c r="K776" s="236"/>
      <c r="L776" s="104"/>
    </row>
    <row r="777" spans="11:12" x14ac:dyDescent="0.25">
      <c r="K777" s="236"/>
      <c r="L777" s="104"/>
    </row>
    <row r="778" spans="11:12" x14ac:dyDescent="0.25">
      <c r="K778" s="236"/>
      <c r="L778" s="104"/>
    </row>
    <row r="779" spans="11:12" x14ac:dyDescent="0.25">
      <c r="K779" s="236"/>
      <c r="L779" s="104"/>
    </row>
    <row r="780" spans="11:12" x14ac:dyDescent="0.25">
      <c r="K780" s="236"/>
      <c r="L780" s="104"/>
    </row>
    <row r="781" spans="11:12" x14ac:dyDescent="0.25">
      <c r="K781" s="236"/>
      <c r="L781" s="104"/>
    </row>
    <row r="782" spans="11:12" x14ac:dyDescent="0.25">
      <c r="K782" s="236"/>
      <c r="L782" s="104"/>
    </row>
    <row r="783" spans="11:12" x14ac:dyDescent="0.25">
      <c r="K783" s="236"/>
      <c r="L783" s="104"/>
    </row>
    <row r="784" spans="11:12" x14ac:dyDescent="0.25">
      <c r="K784" s="236"/>
      <c r="L784" s="104"/>
    </row>
    <row r="785" spans="11:12" x14ac:dyDescent="0.25">
      <c r="K785" s="236"/>
      <c r="L785" s="104"/>
    </row>
    <row r="786" spans="11:12" x14ac:dyDescent="0.25">
      <c r="K786" s="236"/>
      <c r="L786" s="104"/>
    </row>
    <row r="787" spans="11:12" x14ac:dyDescent="0.25">
      <c r="K787" s="236"/>
      <c r="L787" s="104"/>
    </row>
    <row r="788" spans="11:12" x14ac:dyDescent="0.25">
      <c r="K788" s="236"/>
      <c r="L788" s="104"/>
    </row>
    <row r="789" spans="11:12" x14ac:dyDescent="0.25">
      <c r="K789" s="236"/>
      <c r="L789" s="104"/>
    </row>
    <row r="790" spans="11:12" x14ac:dyDescent="0.25">
      <c r="K790" s="236"/>
      <c r="L790" s="104"/>
    </row>
    <row r="791" spans="11:12" x14ac:dyDescent="0.25">
      <c r="K791" s="236"/>
      <c r="L791" s="104"/>
    </row>
    <row r="792" spans="11:12" x14ac:dyDescent="0.25">
      <c r="K792" s="236"/>
      <c r="L792" s="104"/>
    </row>
    <row r="793" spans="11:12" x14ac:dyDescent="0.25">
      <c r="K793" s="236"/>
      <c r="L793" s="104"/>
    </row>
    <row r="794" spans="11:12" x14ac:dyDescent="0.25">
      <c r="K794" s="236"/>
      <c r="L794" s="104"/>
    </row>
    <row r="795" spans="11:12" x14ac:dyDescent="0.25">
      <c r="K795" s="236"/>
      <c r="L795" s="104"/>
    </row>
    <row r="796" spans="11:12" x14ac:dyDescent="0.25">
      <c r="K796" s="236"/>
      <c r="L796" s="104"/>
    </row>
    <row r="797" spans="11:12" x14ac:dyDescent="0.25">
      <c r="K797" s="236"/>
      <c r="L797" s="104"/>
    </row>
    <row r="798" spans="11:12" x14ac:dyDescent="0.25">
      <c r="K798" s="236"/>
      <c r="L798" s="104"/>
    </row>
    <row r="799" spans="11:12" x14ac:dyDescent="0.25">
      <c r="K799" s="236"/>
      <c r="L799" s="104"/>
    </row>
    <row r="800" spans="11:12" x14ac:dyDescent="0.25">
      <c r="K800" s="236"/>
      <c r="L800" s="104"/>
    </row>
    <row r="801" spans="11:12" x14ac:dyDescent="0.25">
      <c r="K801" s="236"/>
      <c r="L801" s="104"/>
    </row>
    <row r="802" spans="11:12" x14ac:dyDescent="0.25">
      <c r="K802" s="236"/>
      <c r="L802" s="104"/>
    </row>
    <row r="803" spans="11:12" x14ac:dyDescent="0.25">
      <c r="K803" s="236"/>
      <c r="L803" s="104"/>
    </row>
    <row r="804" spans="11:12" x14ac:dyDescent="0.25">
      <c r="K804" s="236"/>
      <c r="L804" s="104"/>
    </row>
    <row r="805" spans="11:12" x14ac:dyDescent="0.25">
      <c r="K805" s="236"/>
      <c r="L805" s="104"/>
    </row>
    <row r="806" spans="11:12" x14ac:dyDescent="0.25">
      <c r="K806" s="236"/>
      <c r="L806" s="104"/>
    </row>
    <row r="807" spans="11:12" x14ac:dyDescent="0.25">
      <c r="K807" s="236"/>
      <c r="L807" s="104"/>
    </row>
    <row r="808" spans="11:12" x14ac:dyDescent="0.25">
      <c r="K808" s="236"/>
      <c r="L808" s="104"/>
    </row>
    <row r="809" spans="11:12" x14ac:dyDescent="0.25">
      <c r="K809" s="236"/>
      <c r="L809" s="104"/>
    </row>
    <row r="810" spans="11:12" x14ac:dyDescent="0.25">
      <c r="K810" s="236"/>
      <c r="L810" s="104"/>
    </row>
    <row r="811" spans="11:12" x14ac:dyDescent="0.25">
      <c r="K811" s="236"/>
      <c r="L811" s="104"/>
    </row>
    <row r="812" spans="11:12" x14ac:dyDescent="0.25">
      <c r="K812" s="236"/>
      <c r="L812" s="104"/>
    </row>
    <row r="813" spans="11:12" x14ac:dyDescent="0.25">
      <c r="K813" s="236"/>
      <c r="L813" s="104"/>
    </row>
    <row r="814" spans="11:12" x14ac:dyDescent="0.25">
      <c r="K814" s="236"/>
      <c r="L814" s="104"/>
    </row>
    <row r="815" spans="11:12" x14ac:dyDescent="0.25">
      <c r="K815" s="236"/>
      <c r="L815" s="104"/>
    </row>
    <row r="816" spans="11:12" x14ac:dyDescent="0.25">
      <c r="K816" s="236"/>
      <c r="L816" s="104"/>
    </row>
    <row r="817" spans="11:12" x14ac:dyDescent="0.25">
      <c r="K817" s="236"/>
      <c r="L817" s="104"/>
    </row>
    <row r="818" spans="11:12" x14ac:dyDescent="0.25">
      <c r="K818" s="236"/>
      <c r="L818" s="104"/>
    </row>
    <row r="819" spans="11:12" x14ac:dyDescent="0.25">
      <c r="K819" s="236"/>
      <c r="L819" s="104"/>
    </row>
    <row r="820" spans="11:12" x14ac:dyDescent="0.25">
      <c r="K820" s="236"/>
      <c r="L820" s="104"/>
    </row>
    <row r="821" spans="11:12" x14ac:dyDescent="0.25">
      <c r="K821" s="236"/>
      <c r="L821" s="104"/>
    </row>
    <row r="822" spans="11:12" x14ac:dyDescent="0.25">
      <c r="K822" s="236"/>
      <c r="L822" s="104"/>
    </row>
    <row r="823" spans="11:12" x14ac:dyDescent="0.25">
      <c r="K823" s="236"/>
      <c r="L823" s="104"/>
    </row>
    <row r="824" spans="11:12" x14ac:dyDescent="0.25">
      <c r="K824" s="236"/>
      <c r="L824" s="104"/>
    </row>
    <row r="825" spans="11:12" x14ac:dyDescent="0.25">
      <c r="K825" s="236"/>
      <c r="L825" s="104"/>
    </row>
    <row r="826" spans="11:12" x14ac:dyDescent="0.25">
      <c r="K826" s="236"/>
      <c r="L826" s="104"/>
    </row>
    <row r="827" spans="11:12" x14ac:dyDescent="0.25">
      <c r="K827" s="236"/>
      <c r="L827" s="104"/>
    </row>
    <row r="828" spans="11:12" x14ac:dyDescent="0.25">
      <c r="K828" s="236"/>
      <c r="L828" s="104"/>
    </row>
    <row r="829" spans="11:12" x14ac:dyDescent="0.25">
      <c r="K829" s="236"/>
      <c r="L829" s="104"/>
    </row>
    <row r="830" spans="11:12" x14ac:dyDescent="0.25">
      <c r="K830" s="236"/>
      <c r="L830" s="104"/>
    </row>
    <row r="831" spans="11:12" x14ac:dyDescent="0.25">
      <c r="K831" s="236"/>
      <c r="L831" s="104"/>
    </row>
    <row r="832" spans="11:12" x14ac:dyDescent="0.25">
      <c r="K832" s="236"/>
      <c r="L832" s="104"/>
    </row>
    <row r="833" spans="11:12" x14ac:dyDescent="0.25">
      <c r="K833" s="236"/>
      <c r="L833" s="104"/>
    </row>
    <row r="834" spans="11:12" x14ac:dyDescent="0.25">
      <c r="K834" s="236"/>
      <c r="L834" s="104"/>
    </row>
    <row r="835" spans="11:12" x14ac:dyDescent="0.25">
      <c r="K835" s="236"/>
      <c r="L835" s="104"/>
    </row>
    <row r="836" spans="11:12" x14ac:dyDescent="0.25">
      <c r="K836" s="236"/>
      <c r="L836" s="104"/>
    </row>
    <row r="837" spans="11:12" x14ac:dyDescent="0.25">
      <c r="K837" s="236"/>
      <c r="L837" s="104"/>
    </row>
    <row r="838" spans="11:12" x14ac:dyDescent="0.25">
      <c r="K838" s="236"/>
      <c r="L838" s="104"/>
    </row>
    <row r="839" spans="11:12" x14ac:dyDescent="0.25">
      <c r="K839" s="236"/>
      <c r="L839" s="104"/>
    </row>
    <row r="840" spans="11:12" x14ac:dyDescent="0.25">
      <c r="K840" s="236"/>
      <c r="L840" s="104"/>
    </row>
    <row r="841" spans="11:12" x14ac:dyDescent="0.25">
      <c r="K841" s="236"/>
      <c r="L841" s="104"/>
    </row>
    <row r="842" spans="11:12" x14ac:dyDescent="0.25">
      <c r="K842" s="236"/>
      <c r="L842" s="104"/>
    </row>
    <row r="843" spans="11:12" x14ac:dyDescent="0.25">
      <c r="K843" s="236"/>
      <c r="L843" s="104"/>
    </row>
    <row r="844" spans="11:12" x14ac:dyDescent="0.25">
      <c r="K844" s="236"/>
      <c r="L844" s="104"/>
    </row>
    <row r="845" spans="11:12" x14ac:dyDescent="0.25">
      <c r="K845" s="236"/>
      <c r="L845" s="104"/>
    </row>
    <row r="846" spans="11:12" x14ac:dyDescent="0.25">
      <c r="K846" s="236"/>
      <c r="L846" s="104"/>
    </row>
    <row r="847" spans="11:12" x14ac:dyDescent="0.25">
      <c r="K847" s="236"/>
      <c r="L847" s="104"/>
    </row>
    <row r="848" spans="11:12" x14ac:dyDescent="0.25">
      <c r="K848" s="236"/>
      <c r="L848" s="104"/>
    </row>
    <row r="849" spans="11:12" x14ac:dyDescent="0.25">
      <c r="K849" s="236"/>
      <c r="L849" s="104"/>
    </row>
    <row r="850" spans="11:12" x14ac:dyDescent="0.25">
      <c r="K850" s="236"/>
      <c r="L850" s="104"/>
    </row>
    <row r="851" spans="11:12" x14ac:dyDescent="0.25">
      <c r="K851" s="236"/>
      <c r="L851" s="104"/>
    </row>
    <row r="852" spans="11:12" x14ac:dyDescent="0.25">
      <c r="K852" s="236"/>
      <c r="L852" s="104"/>
    </row>
    <row r="853" spans="11:12" x14ac:dyDescent="0.25">
      <c r="K853" s="236"/>
      <c r="L853" s="104"/>
    </row>
    <row r="854" spans="11:12" x14ac:dyDescent="0.25">
      <c r="K854" s="236"/>
      <c r="L854" s="104"/>
    </row>
    <row r="855" spans="11:12" x14ac:dyDescent="0.25">
      <c r="K855" s="236"/>
      <c r="L855" s="104"/>
    </row>
    <row r="856" spans="11:12" x14ac:dyDescent="0.25">
      <c r="K856" s="236"/>
      <c r="L856" s="104"/>
    </row>
    <row r="857" spans="11:12" x14ac:dyDescent="0.25">
      <c r="K857" s="236"/>
      <c r="L857" s="104"/>
    </row>
    <row r="858" spans="11:12" x14ac:dyDescent="0.25">
      <c r="K858" s="236"/>
      <c r="L858" s="104"/>
    </row>
    <row r="859" spans="11:12" x14ac:dyDescent="0.25">
      <c r="K859" s="236"/>
      <c r="L859" s="104"/>
    </row>
    <row r="860" spans="11:12" x14ac:dyDescent="0.25">
      <c r="K860" s="236"/>
      <c r="L860" s="104"/>
    </row>
    <row r="861" spans="11:12" x14ac:dyDescent="0.25">
      <c r="K861" s="236"/>
      <c r="L861" s="104"/>
    </row>
    <row r="862" spans="11:12" x14ac:dyDescent="0.25">
      <c r="K862" s="236"/>
      <c r="L862" s="104"/>
    </row>
    <row r="863" spans="11:12" x14ac:dyDescent="0.25">
      <c r="K863" s="236"/>
      <c r="L863" s="104"/>
    </row>
    <row r="864" spans="11:12" x14ac:dyDescent="0.25">
      <c r="K864" s="236"/>
      <c r="L864" s="104"/>
    </row>
    <row r="865" spans="11:12" x14ac:dyDescent="0.25">
      <c r="K865" s="236"/>
      <c r="L865" s="104"/>
    </row>
    <row r="866" spans="11:12" x14ac:dyDescent="0.25">
      <c r="K866" s="236"/>
      <c r="L866" s="104"/>
    </row>
    <row r="867" spans="11:12" x14ac:dyDescent="0.25">
      <c r="K867" s="236"/>
      <c r="L867" s="104"/>
    </row>
    <row r="868" spans="11:12" x14ac:dyDescent="0.25">
      <c r="K868" s="236"/>
      <c r="L868" s="104"/>
    </row>
    <row r="869" spans="11:12" x14ac:dyDescent="0.25">
      <c r="K869" s="236"/>
      <c r="L869" s="104"/>
    </row>
    <row r="870" spans="11:12" x14ac:dyDescent="0.25">
      <c r="K870" s="236"/>
      <c r="L870" s="104"/>
    </row>
    <row r="871" spans="11:12" x14ac:dyDescent="0.25">
      <c r="K871" s="236"/>
      <c r="L871" s="104"/>
    </row>
    <row r="872" spans="11:12" x14ac:dyDescent="0.25">
      <c r="K872" s="236"/>
      <c r="L872" s="104"/>
    </row>
    <row r="873" spans="11:12" x14ac:dyDescent="0.25">
      <c r="K873" s="236"/>
      <c r="L873" s="104"/>
    </row>
    <row r="874" spans="11:12" x14ac:dyDescent="0.25">
      <c r="K874" s="236"/>
      <c r="L874" s="104"/>
    </row>
    <row r="875" spans="11:12" x14ac:dyDescent="0.25">
      <c r="K875" s="236"/>
      <c r="L875" s="104"/>
    </row>
    <row r="876" spans="11:12" x14ac:dyDescent="0.25">
      <c r="K876" s="236"/>
      <c r="L876" s="104"/>
    </row>
    <row r="877" spans="11:12" x14ac:dyDescent="0.25">
      <c r="K877" s="236"/>
      <c r="L877" s="104"/>
    </row>
    <row r="878" spans="11:12" x14ac:dyDescent="0.25">
      <c r="K878" s="236"/>
      <c r="L878" s="104"/>
    </row>
    <row r="879" spans="11:12" x14ac:dyDescent="0.25">
      <c r="K879" s="236"/>
      <c r="L879" s="104"/>
    </row>
    <row r="880" spans="11:12" x14ac:dyDescent="0.25">
      <c r="K880" s="236"/>
      <c r="L880" s="104"/>
    </row>
    <row r="881" spans="11:12" x14ac:dyDescent="0.25">
      <c r="K881" s="236"/>
      <c r="L881" s="104"/>
    </row>
    <row r="882" spans="11:12" x14ac:dyDescent="0.25">
      <c r="K882" s="236"/>
      <c r="L882" s="104"/>
    </row>
    <row r="883" spans="11:12" x14ac:dyDescent="0.25">
      <c r="K883" s="236"/>
      <c r="L883" s="104"/>
    </row>
    <row r="884" spans="11:12" x14ac:dyDescent="0.25">
      <c r="K884" s="236"/>
      <c r="L884" s="104"/>
    </row>
    <row r="885" spans="11:12" x14ac:dyDescent="0.25">
      <c r="K885" s="236"/>
      <c r="L885" s="104"/>
    </row>
    <row r="886" spans="11:12" x14ac:dyDescent="0.25">
      <c r="K886" s="236"/>
      <c r="L886" s="104"/>
    </row>
  </sheetData>
  <customSheetViews>
    <customSheetView guid="{195DF303-1BBD-4236-94B5-47432850B006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"/>
      <headerFooter alignWithMargins="0"/>
    </customSheetView>
    <customSheetView guid="{0C49E549-011E-46F4-A82E-2CC8951A9C1E}" scale="75" fitToPage="1" showRuler="0">
      <selection activeCell="C36" sqref="C36"/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2"/>
      <headerFooter alignWithMargins="0"/>
    </customSheetView>
    <customSheetView guid="{4BC93440-BA85-4935-A8C9-66DC6AE5DE5E}" scale="75" fitToPage="1" showRuler="0" topLeftCell="A38">
      <selection activeCell="E58" activeCellId="2" sqref="E50 E52 E5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3"/>
      <headerFooter alignWithMargins="0"/>
    </customSheetView>
    <customSheetView guid="{2431C9E5-7CC2-4B8D-99C3-962247B1DBF5}" scale="75" fitToPage="1" showRuler="0">
      <selection activeCell="A18" sqref="A1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4"/>
      <headerFooter alignWithMargins="0"/>
    </customSheetView>
    <customSheetView guid="{2EA35095-1ADC-4CC7-8C3C-B487D65FA247}" scale="75" fitToPage="1" showRuler="0" topLeftCell="A25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K62"/>
      <rowBreaks count="1" manualBreakCount="1">
        <brk id="61" max="10" man="1"/>
      </rowBreaks>
      <pageMargins left="0.5" right="0.75" top="1" bottom="1" header="0.5" footer="0.5"/>
      <printOptions horizontalCentered="1"/>
      <pageSetup scale="67" orientation="portrait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7"/>
      <headerFooter alignWithMargins="0"/>
    </customSheetView>
    <customSheetView guid="{6B3D5C27-2FDE-4561-9575-1E98BFB869D0}" scale="75" fitToPage="1" showRuler="0" topLeftCell="D15">
      <selection activeCell="P24" sqref="P24"/>
      <rowBreaks count="1" manualBreakCount="1">
        <brk id="61" max="14" man="1"/>
      </rowBreaks>
      <pageMargins left="0.5" right="0.75" top="1" bottom="1" header="0.5" footer="0.5"/>
      <printOptions horizontalCentered="1"/>
      <pageSetup scale="52" orientation="portrait" horizontalDpi="300" verticalDpi="300" r:id="rId8"/>
      <headerFooter alignWithMargins="0"/>
    </customSheetView>
    <customSheetView guid="{0BC1F393-8A13-47D5-BC6C-0C99615B5AB9}" scale="75" fitToPage="1" showRuler="0">
      <rowBreaks count="1" manualBreakCount="1">
        <brk id="61" max="14" man="1"/>
      </rowBreaks>
      <pageMargins left="0.5" right="0.75" top="1" bottom="1" header="0.5" footer="0.5"/>
      <printOptions horizontalCentered="1"/>
      <pageSetup scale="48" orientation="portrait" horizontalDpi="300" verticalDpi="300" r:id="rId9"/>
      <headerFooter alignWithMargins="0"/>
    </customSheetView>
    <customSheetView guid="{18BDED73-BFA0-442E-87EC-CED86EE4CF94}" scale="70" fitToPage="1" showRuler="0" topLeftCell="A9">
      <selection activeCell="G64" sqref="G6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0"/>
      <headerFooter alignWithMargins="0"/>
    </customSheetView>
    <customSheetView guid="{35F19056-2E6F-4935-B863-78836FE990BF}" scale="70" fitToPage="1" showRuler="0" topLeftCell="A28">
      <selection activeCell="O44" sqref="O4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1"/>
      <headerFooter alignWithMargins="0"/>
    </customSheetView>
    <customSheetView guid="{F562D92E-120C-4AE9-9663-89E64D41DC53}" scale="70" fitToPage="1">
      <selection activeCell="A10" sqref="A10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2"/>
      <headerFooter alignWithMargins="0"/>
    </customSheetView>
  </customSheetViews>
  <phoneticPr fontId="9" type="noConversion"/>
  <printOptions horizontalCentered="1"/>
  <pageMargins left="0.75" right="0.75" top="1" bottom="1" header="0.5" footer="0.5"/>
  <pageSetup scale="47" orientation="portrait" horizontalDpi="300" verticalDpi="300" r:id="rId13"/>
  <headerFooter alignWithMargins="0">
    <oddHeader>&amp;C&amp;A&amp;R&amp;"Times New Roman,Bold"&amp;10KyPSC Case No. 2017-00321
STAFF-DR-01-053(B) Attachment
Page &amp;P of &amp;N</oddHeader>
    <oddFooter>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4"/>
  <dimension ref="A1:BW1083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.21875" style="101" customWidth="1"/>
    <col min="2" max="2" width="0.44140625" style="101" customWidth="1"/>
    <col min="3" max="3" width="6.77734375" style="101" customWidth="1"/>
    <col min="4" max="4" width="37.77734375" style="101" customWidth="1"/>
    <col min="5" max="5" width="0.7773437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1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19.88671875" style="101" bestFit="1" customWidth="1"/>
    <col min="19" max="19" width="6.77734375" style="101" customWidth="1"/>
    <col min="20" max="20" width="5.44140625" style="101" customWidth="1"/>
    <col min="21" max="21" width="0.5546875" style="101" customWidth="1"/>
    <col min="22" max="22" width="4.5546875" style="101" customWidth="1"/>
    <col min="23" max="23" width="38.5546875" style="101" customWidth="1"/>
    <col min="24" max="24" width="0.886718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2.33203125" style="101" customWidth="1"/>
    <col min="30" max="30" width="0.88671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554687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Y1" s="154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Y2" s="154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V3" s="211"/>
      <c r="Z3" s="202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V4" s="211"/>
      <c r="AA4" s="154"/>
      <c r="AB4" s="154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V5" s="329"/>
      <c r="AK5" s="297"/>
      <c r="AL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V6" s="329"/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772</v>
      </c>
      <c r="V7" s="329"/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V8" s="329"/>
      <c r="W8" s="100"/>
      <c r="AK8" s="297"/>
      <c r="AL8" s="154"/>
    </row>
    <row r="9" spans="1:40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M9" s="82"/>
      <c r="N9" s="80"/>
      <c r="O9" s="80"/>
      <c r="P9" s="80"/>
      <c r="Q9" s="80"/>
      <c r="R9" s="159" t="str">
        <f>WIT</f>
        <v>B. L. SAILERS</v>
      </c>
      <c r="V9" s="329"/>
      <c r="W9" s="273"/>
      <c r="AA9" s="154"/>
      <c r="AB9" s="154"/>
      <c r="AK9" s="209"/>
      <c r="AL9" s="202"/>
    </row>
    <row r="10" spans="1:40" x14ac:dyDescent="0.25">
      <c r="A10" s="187" t="s">
        <v>151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87"/>
      <c r="M10" s="187"/>
      <c r="N10" s="150"/>
      <c r="O10" s="150"/>
      <c r="P10" s="150"/>
      <c r="Q10" s="150"/>
      <c r="R10" s="187"/>
      <c r="T10" s="102"/>
      <c r="U10" s="102"/>
      <c r="V10" s="329"/>
      <c r="W10" s="100"/>
      <c r="X10" s="102"/>
      <c r="Y10" s="102"/>
      <c r="Z10" s="102"/>
      <c r="AA10" s="102"/>
      <c r="AB10" s="102"/>
      <c r="AC10" s="102"/>
      <c r="AD10" s="102"/>
      <c r="AE10" s="102"/>
      <c r="AF10" s="102"/>
      <c r="AG10" s="208"/>
      <c r="AH10" s="102"/>
      <c r="AI10" s="102"/>
      <c r="AJ10" s="102"/>
      <c r="AK10" s="208"/>
      <c r="AL10" s="102"/>
      <c r="AM10" s="102"/>
      <c r="AN10" s="102"/>
    </row>
    <row r="11" spans="1:40" x14ac:dyDescent="0.25">
      <c r="A11" s="151"/>
      <c r="B11" s="151"/>
      <c r="C11" s="151"/>
      <c r="D11" s="151"/>
      <c r="E11" s="151"/>
      <c r="F11" s="80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V11" s="329"/>
      <c r="W11" s="273"/>
      <c r="AA11" s="103"/>
      <c r="AB11" s="103"/>
      <c r="AC11" s="103"/>
      <c r="AD11" s="103"/>
      <c r="AE11" s="103"/>
      <c r="AF11" s="103"/>
      <c r="AG11" s="185"/>
      <c r="AH11" s="103"/>
      <c r="AK11" s="185"/>
      <c r="AL11" s="103"/>
      <c r="AM11" s="103"/>
      <c r="AN11" s="103"/>
    </row>
    <row r="12" spans="1:40" ht="18" customHeight="1" x14ac:dyDescent="0.25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93" t="s">
        <v>6</v>
      </c>
      <c r="M12" s="193"/>
      <c r="N12" s="193" t="s">
        <v>7</v>
      </c>
      <c r="O12" s="193"/>
      <c r="P12" s="152"/>
      <c r="Q12" s="152"/>
      <c r="R12" s="193" t="s">
        <v>6</v>
      </c>
      <c r="Z12" s="103"/>
      <c r="AA12" s="103"/>
      <c r="AB12" s="103"/>
      <c r="AC12" s="103"/>
      <c r="AD12" s="103"/>
      <c r="AE12" s="103"/>
      <c r="AF12" s="103"/>
      <c r="AG12" s="185"/>
      <c r="AH12" s="103"/>
      <c r="AK12" s="185"/>
      <c r="AL12" s="103"/>
      <c r="AM12" s="103"/>
      <c r="AN12" s="103"/>
    </row>
    <row r="13" spans="1:40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12</v>
      </c>
      <c r="M13" s="83"/>
      <c r="N13" s="83" t="s">
        <v>13</v>
      </c>
      <c r="O13" s="83"/>
      <c r="P13" s="80"/>
      <c r="Q13" s="80"/>
      <c r="R13" s="83" t="s">
        <v>11</v>
      </c>
      <c r="T13" s="103"/>
      <c r="U13" s="103"/>
      <c r="V13" s="103"/>
      <c r="Z13" s="103"/>
      <c r="AA13" s="103"/>
      <c r="AB13" s="103"/>
      <c r="AC13" s="103"/>
      <c r="AD13" s="103"/>
      <c r="AE13" s="103"/>
      <c r="AF13" s="103"/>
      <c r="AG13" s="185"/>
      <c r="AH13" s="103"/>
      <c r="AI13" s="103"/>
      <c r="AJ13" s="103"/>
      <c r="AK13" s="185"/>
      <c r="AL13" s="103"/>
      <c r="AM13" s="103"/>
      <c r="AN13" s="103"/>
    </row>
    <row r="14" spans="1:40" x14ac:dyDescent="0.25">
      <c r="A14" s="83" t="s">
        <v>17</v>
      </c>
      <c r="B14" s="80"/>
      <c r="C14" s="83" t="s">
        <v>18</v>
      </c>
      <c r="D14" s="83" t="s">
        <v>19</v>
      </c>
      <c r="E14" s="83"/>
      <c r="F14" s="83" t="s">
        <v>20</v>
      </c>
      <c r="G14" s="80"/>
      <c r="H14" s="80"/>
      <c r="I14" s="80"/>
      <c r="J14" s="83" t="s">
        <v>6</v>
      </c>
      <c r="K14" s="83"/>
      <c r="L14" s="83" t="s">
        <v>21</v>
      </c>
      <c r="M14" s="83"/>
      <c r="N14" s="83" t="s">
        <v>21</v>
      </c>
      <c r="O14" s="83"/>
      <c r="P14" s="83" t="s">
        <v>21</v>
      </c>
      <c r="Q14" s="83"/>
      <c r="R14" s="83" t="s">
        <v>9</v>
      </c>
      <c r="T14" s="103"/>
      <c r="U14" s="103"/>
      <c r="V14" s="103"/>
      <c r="Y14" s="103"/>
      <c r="Z14" s="103"/>
      <c r="AA14" s="103"/>
      <c r="AB14" s="103"/>
      <c r="AC14" s="103"/>
      <c r="AD14" s="103"/>
      <c r="AE14" s="103"/>
      <c r="AF14" s="103"/>
      <c r="AG14" s="185"/>
      <c r="AH14" s="103"/>
      <c r="AI14" s="103"/>
      <c r="AJ14" s="103"/>
      <c r="AK14" s="185"/>
      <c r="AL14" s="103"/>
      <c r="AM14" s="103"/>
      <c r="AN14" s="103"/>
    </row>
    <row r="15" spans="1:40" x14ac:dyDescent="0.25">
      <c r="A15" s="83" t="s">
        <v>24</v>
      </c>
      <c r="B15" s="80"/>
      <c r="C15" s="83" t="s">
        <v>25</v>
      </c>
      <c r="D15" s="83" t="s">
        <v>26</v>
      </c>
      <c r="E15" s="83"/>
      <c r="F15" s="83" t="s">
        <v>27</v>
      </c>
      <c r="G15" s="80"/>
      <c r="H15" s="83" t="s">
        <v>28</v>
      </c>
      <c r="I15" s="83"/>
      <c r="J15" s="196" t="s">
        <v>431</v>
      </c>
      <c r="K15" s="83"/>
      <c r="L15" s="83" t="s">
        <v>9</v>
      </c>
      <c r="M15" s="83"/>
      <c r="N15" s="83" t="s">
        <v>9</v>
      </c>
      <c r="O15" s="83"/>
      <c r="P15" s="83" t="s">
        <v>430</v>
      </c>
      <c r="Q15" s="83"/>
      <c r="R15" s="256" t="s">
        <v>30</v>
      </c>
      <c r="T15" s="102"/>
      <c r="U15" s="102"/>
      <c r="V15" s="102"/>
      <c r="W15" s="102"/>
      <c r="X15" s="102"/>
      <c r="Y15" s="104"/>
      <c r="Z15" s="102"/>
      <c r="AA15" s="102"/>
      <c r="AB15" s="102"/>
      <c r="AC15" s="102"/>
      <c r="AD15" s="102"/>
      <c r="AE15" s="102"/>
      <c r="AF15" s="102"/>
      <c r="AG15" s="208"/>
      <c r="AH15" s="102"/>
      <c r="AI15" s="102"/>
      <c r="AJ15" s="102"/>
      <c r="AK15" s="208"/>
      <c r="AL15" s="102"/>
      <c r="AM15" s="102"/>
      <c r="AN15" s="102"/>
    </row>
    <row r="16" spans="1:40" x14ac:dyDescent="0.25">
      <c r="A16" s="80"/>
      <c r="B16" s="80"/>
      <c r="C16" s="256" t="s">
        <v>35</v>
      </c>
      <c r="D16" s="256" t="s">
        <v>36</v>
      </c>
      <c r="E16" s="256"/>
      <c r="F16" s="256" t="s">
        <v>37</v>
      </c>
      <c r="G16" s="258"/>
      <c r="H16" s="256" t="s">
        <v>38</v>
      </c>
      <c r="I16" s="256"/>
      <c r="J16" s="256" t="s">
        <v>39</v>
      </c>
      <c r="K16" s="256"/>
      <c r="L16" s="256" t="s">
        <v>40</v>
      </c>
      <c r="M16" s="256"/>
      <c r="N16" s="256" t="s">
        <v>41</v>
      </c>
      <c r="O16" s="256"/>
      <c r="P16" s="256" t="s">
        <v>42</v>
      </c>
      <c r="Q16" s="256"/>
      <c r="R16" s="256" t="s">
        <v>43</v>
      </c>
      <c r="Y16" s="104"/>
      <c r="Z16" s="103"/>
      <c r="AA16" s="103" t="s">
        <v>680</v>
      </c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ht="17.100000000000001" customHeight="1" x14ac:dyDescent="0.25">
      <c r="A17" s="152"/>
      <c r="B17" s="152"/>
      <c r="C17" s="152"/>
      <c r="D17" s="152"/>
      <c r="E17" s="152"/>
      <c r="F17" s="152"/>
      <c r="G17" s="152"/>
      <c r="H17" s="376" t="s">
        <v>51</v>
      </c>
      <c r="I17" s="376"/>
      <c r="J17" s="375" t="s">
        <v>71</v>
      </c>
      <c r="K17" s="376"/>
      <c r="L17" s="376" t="s">
        <v>52</v>
      </c>
      <c r="M17" s="376"/>
      <c r="N17" s="376" t="s">
        <v>53</v>
      </c>
      <c r="O17" s="376"/>
      <c r="P17" s="376" t="s">
        <v>52</v>
      </c>
      <c r="Q17" s="376"/>
      <c r="R17" s="376" t="s">
        <v>52</v>
      </c>
      <c r="T17" s="154"/>
      <c r="U17" s="154"/>
      <c r="Y17" s="104"/>
      <c r="AA17" s="101" t="s">
        <v>522</v>
      </c>
    </row>
    <row r="18" spans="1:40" x14ac:dyDescent="0.25">
      <c r="A18" s="101">
        <v>1</v>
      </c>
      <c r="C18" s="417" t="s">
        <v>72</v>
      </c>
      <c r="D18" s="478" t="s">
        <v>82</v>
      </c>
      <c r="F18" s="85"/>
      <c r="G18" s="85"/>
      <c r="H18" s="345"/>
      <c r="I18" s="345"/>
      <c r="J18" s="476"/>
      <c r="K18" s="345"/>
      <c r="L18" s="345"/>
      <c r="M18" s="345"/>
      <c r="N18" s="345"/>
      <c r="O18" s="345"/>
      <c r="P18" s="345"/>
      <c r="Q18" s="345"/>
      <c r="R18" s="345"/>
      <c r="T18" s="154"/>
      <c r="U18" s="154"/>
    </row>
    <row r="19" spans="1:40" x14ac:dyDescent="0.25">
      <c r="A19" s="80">
        <v>2</v>
      </c>
      <c r="B19" s="80"/>
      <c r="C19" s="258"/>
      <c r="D19" s="253" t="s">
        <v>74</v>
      </c>
      <c r="E19" s="82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154"/>
    </row>
    <row r="20" spans="1:40" x14ac:dyDescent="0.25">
      <c r="A20" s="80"/>
      <c r="B20" s="80"/>
      <c r="C20" s="80"/>
      <c r="D20" s="82"/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154"/>
    </row>
    <row r="21" spans="1:40" x14ac:dyDescent="0.25">
      <c r="A21" s="159">
        <v>3</v>
      </c>
      <c r="B21" s="80"/>
      <c r="C21" s="265" t="s">
        <v>283</v>
      </c>
      <c r="D21" s="80"/>
      <c r="E21" s="80"/>
      <c r="F21" s="78"/>
      <c r="G21" s="70"/>
      <c r="H21" s="78"/>
      <c r="I21" s="78"/>
      <c r="J21" s="352"/>
      <c r="K21" s="352"/>
      <c r="L21" s="79"/>
      <c r="M21" s="79"/>
      <c r="N21" s="156"/>
      <c r="O21" s="156"/>
      <c r="P21" s="79"/>
      <c r="Q21" s="79"/>
      <c r="R21" s="79"/>
      <c r="Z21" s="202"/>
    </row>
    <row r="22" spans="1:40" x14ac:dyDescent="0.25">
      <c r="A22" s="159">
        <v>4</v>
      </c>
      <c r="B22" s="80"/>
      <c r="C22" s="82" t="s">
        <v>284</v>
      </c>
      <c r="D22" s="80"/>
      <c r="E22" s="80"/>
      <c r="F22" s="189">
        <v>6816</v>
      </c>
      <c r="G22" s="70"/>
      <c r="H22" s="189">
        <f>ROUND(F22*AA22/12,0)</f>
        <v>484504</v>
      </c>
      <c r="I22" s="79"/>
      <c r="J22" s="349">
        <f>ROUND(AC80+(AC80*LT_COS_RATE),2)</f>
        <v>8.16</v>
      </c>
      <c r="K22" s="352"/>
      <c r="L22" s="79">
        <f>ROUND(F22*J22,0)</f>
        <v>55619</v>
      </c>
      <c r="M22" s="79"/>
      <c r="N22" s="156">
        <f>ROUND((L22/L$54)*100,1)-0.1</f>
        <v>26.099999999999998</v>
      </c>
      <c r="O22" s="156"/>
      <c r="P22" s="79">
        <f>ROUND((P$54/H$54)*H22,0)</f>
        <v>498</v>
      </c>
      <c r="Q22" s="79"/>
      <c r="R22" s="79">
        <f>P22+L22</f>
        <v>56117</v>
      </c>
      <c r="S22" s="394"/>
      <c r="Y22" s="394"/>
      <c r="AA22" s="101">
        <v>853</v>
      </c>
    </row>
    <row r="23" spans="1:40" x14ac:dyDescent="0.25">
      <c r="A23" s="159">
        <v>5</v>
      </c>
      <c r="B23" s="80"/>
      <c r="C23" s="82" t="s">
        <v>285</v>
      </c>
      <c r="D23" s="80"/>
      <c r="E23" s="80"/>
      <c r="F23" s="189">
        <v>2328</v>
      </c>
      <c r="G23" s="70"/>
      <c r="H23" s="189">
        <f t="shared" ref="H23:H25" si="0">ROUND(F23*AA23/12,0)</f>
        <v>169556</v>
      </c>
      <c r="I23" s="79"/>
      <c r="J23" s="349">
        <f>ROUND(AC81+(AC81*LT_COS_RATE),2)</f>
        <v>8.19</v>
      </c>
      <c r="K23" s="352"/>
      <c r="L23" s="79">
        <f>ROUND(F23*J23,0)</f>
        <v>19066</v>
      </c>
      <c r="M23" s="79"/>
      <c r="N23" s="156">
        <f>ROUND((L23/L$54)*100,1)</f>
        <v>9</v>
      </c>
      <c r="O23" s="156"/>
      <c r="P23" s="79">
        <f>ROUND((P$54/H$54)*H23,0)</f>
        <v>174</v>
      </c>
      <c r="Q23" s="79"/>
      <c r="R23" s="79">
        <f>P23+L23</f>
        <v>19240</v>
      </c>
      <c r="S23" s="394"/>
      <c r="Y23" s="394"/>
      <c r="AA23" s="101">
        <v>874</v>
      </c>
    </row>
    <row r="24" spans="1:40" x14ac:dyDescent="0.25">
      <c r="A24" s="159">
        <v>6</v>
      </c>
      <c r="B24" s="80"/>
      <c r="C24" s="82" t="s">
        <v>286</v>
      </c>
      <c r="D24" s="80"/>
      <c r="E24" s="80"/>
      <c r="F24" s="189">
        <v>696</v>
      </c>
      <c r="G24" s="70"/>
      <c r="H24" s="189">
        <f t="shared" si="0"/>
        <v>50692</v>
      </c>
      <c r="I24" s="79"/>
      <c r="J24" s="349">
        <f>ROUND(AC82+(AC82*LT_COS_RATE),2)</f>
        <v>8.19</v>
      </c>
      <c r="K24" s="352"/>
      <c r="L24" s="79">
        <f>ROUND(F24*J24,0)</f>
        <v>5700</v>
      </c>
      <c r="M24" s="79"/>
      <c r="N24" s="156">
        <f>ROUND((L24/L$54)*100,1)</f>
        <v>2.7</v>
      </c>
      <c r="O24" s="156"/>
      <c r="P24" s="79">
        <f>ROUND((P$54/H$54)*H24,0)</f>
        <v>52</v>
      </c>
      <c r="Q24" s="79"/>
      <c r="R24" s="79">
        <f>P24+L24</f>
        <v>5752</v>
      </c>
      <c r="S24" s="394"/>
      <c r="Y24" s="394"/>
      <c r="AA24" s="101">
        <v>874</v>
      </c>
    </row>
    <row r="25" spans="1:40" x14ac:dyDescent="0.25">
      <c r="A25" s="159">
        <v>7</v>
      </c>
      <c r="B25" s="80"/>
      <c r="C25" s="82" t="s">
        <v>287</v>
      </c>
      <c r="D25" s="80"/>
      <c r="E25" s="80"/>
      <c r="F25" s="189">
        <v>132</v>
      </c>
      <c r="G25" s="70"/>
      <c r="H25" s="189">
        <f t="shared" si="0"/>
        <v>9614</v>
      </c>
      <c r="I25" s="79"/>
      <c r="J25" s="349">
        <f>ROUND(AC83+(AC83*LT_COS_RATE),2)</f>
        <v>8.19</v>
      </c>
      <c r="K25" s="352"/>
      <c r="L25" s="79">
        <f>ROUND(F25*J25,0)</f>
        <v>1081</v>
      </c>
      <c r="M25" s="79"/>
      <c r="N25" s="156">
        <f>ROUND((L25/L$54)*100,1)</f>
        <v>0.5</v>
      </c>
      <c r="O25" s="156"/>
      <c r="P25" s="79">
        <f>ROUND((P$54/H$54)*H25,0)</f>
        <v>10</v>
      </c>
      <c r="Q25" s="79"/>
      <c r="R25" s="79">
        <f>P25+L25</f>
        <v>1091</v>
      </c>
      <c r="S25" s="394"/>
      <c r="Y25" s="394"/>
      <c r="AA25" s="101">
        <v>874</v>
      </c>
    </row>
    <row r="26" spans="1:40" x14ac:dyDescent="0.25">
      <c r="A26" s="80"/>
      <c r="B26" s="80"/>
      <c r="C26" s="80"/>
      <c r="D26" s="80"/>
      <c r="E26" s="80"/>
      <c r="F26" s="80"/>
      <c r="G26" s="70"/>
      <c r="H26" s="70"/>
      <c r="I26" s="70"/>
      <c r="J26" s="80"/>
      <c r="K26" s="70"/>
      <c r="L26" s="70"/>
      <c r="M26" s="70"/>
      <c r="N26" s="70"/>
      <c r="O26" s="70"/>
      <c r="P26" s="70"/>
      <c r="Q26" s="70"/>
      <c r="R26" s="70"/>
      <c r="S26" s="394"/>
    </row>
    <row r="27" spans="1:40" x14ac:dyDescent="0.25">
      <c r="A27" s="202">
        <v>8</v>
      </c>
      <c r="C27" s="397" t="s">
        <v>528</v>
      </c>
      <c r="F27" s="200"/>
      <c r="G27" s="85"/>
      <c r="H27" s="163"/>
      <c r="I27" s="163"/>
      <c r="J27" s="329"/>
      <c r="K27" s="354"/>
      <c r="L27" s="163"/>
      <c r="M27" s="163"/>
      <c r="N27" s="198"/>
      <c r="O27" s="198"/>
      <c r="P27" s="163"/>
      <c r="Q27" s="163"/>
      <c r="R27" s="163"/>
      <c r="S27" s="334"/>
      <c r="V27" s="252"/>
      <c r="Y27" s="252"/>
      <c r="Z27" s="305"/>
      <c r="AA27" s="200"/>
      <c r="AB27" s="200"/>
      <c r="AC27" s="210"/>
      <c r="AD27" s="210"/>
      <c r="AE27" s="200"/>
      <c r="AF27" s="200"/>
      <c r="AI27" s="200"/>
      <c r="AJ27" s="200"/>
      <c r="AK27" s="209"/>
      <c r="AL27" s="200"/>
      <c r="AM27" s="210"/>
      <c r="AN27" s="210"/>
    </row>
    <row r="28" spans="1:40" x14ac:dyDescent="0.25">
      <c r="A28" s="202">
        <v>9</v>
      </c>
      <c r="C28" s="154" t="s">
        <v>458</v>
      </c>
      <c r="F28" s="252">
        <v>3144</v>
      </c>
      <c r="G28" s="85"/>
      <c r="H28" s="189">
        <f t="shared" ref="H28:H30" si="1">ROUND(F28*AA28/12,0)</f>
        <v>223486</v>
      </c>
      <c r="I28" s="163"/>
      <c r="J28" s="349">
        <f>ROUND(AC86+(AC86*LT_COS_RATE),2)</f>
        <v>8.16</v>
      </c>
      <c r="K28" s="433"/>
      <c r="L28" s="163">
        <f>ROUND(F28*J28,0)</f>
        <v>25655</v>
      </c>
      <c r="M28" s="163"/>
      <c r="N28" s="198">
        <f>ROUND((L28/L$54)*100,1)</f>
        <v>12.1</v>
      </c>
      <c r="O28" s="198"/>
      <c r="P28" s="163">
        <f>ROUND((P$54/H$54)*H28,0)</f>
        <v>230</v>
      </c>
      <c r="Q28" s="163"/>
      <c r="R28" s="163">
        <f>P28+L28</f>
        <v>25885</v>
      </c>
      <c r="S28" s="334"/>
      <c r="V28" s="252"/>
      <c r="Y28" s="394"/>
      <c r="Z28" s="305"/>
      <c r="AA28" s="101">
        <v>853</v>
      </c>
      <c r="AB28" s="200"/>
      <c r="AC28" s="210"/>
      <c r="AD28" s="210"/>
      <c r="AE28" s="200"/>
      <c r="AF28" s="200"/>
      <c r="AI28" s="200"/>
      <c r="AJ28" s="200"/>
      <c r="AK28" s="209"/>
      <c r="AL28" s="200"/>
      <c r="AM28" s="210"/>
      <c r="AN28" s="210"/>
    </row>
    <row r="29" spans="1:40" x14ac:dyDescent="0.25">
      <c r="A29" s="202">
        <v>10</v>
      </c>
      <c r="C29" s="154" t="s">
        <v>349</v>
      </c>
      <c r="F29" s="252">
        <v>0</v>
      </c>
      <c r="G29" s="85"/>
      <c r="H29" s="189">
        <f t="shared" si="1"/>
        <v>0</v>
      </c>
      <c r="I29" s="163"/>
      <c r="J29" s="349">
        <f>ROUND(AC87+(AC87*LT_COS_RATE),2)</f>
        <v>8.19</v>
      </c>
      <c r="K29" s="433"/>
      <c r="L29" s="163">
        <f>ROUND(F29*J29,0)</f>
        <v>0</v>
      </c>
      <c r="M29" s="163"/>
      <c r="N29" s="198">
        <f>ROUND((L29/L$54)*100,1)</f>
        <v>0</v>
      </c>
      <c r="O29" s="198"/>
      <c r="P29" s="163">
        <f>ROUND((P$54/H$54)*H29,0)</f>
        <v>0</v>
      </c>
      <c r="Q29" s="163"/>
      <c r="R29" s="163">
        <f>P29+L29</f>
        <v>0</v>
      </c>
      <c r="S29" s="334"/>
      <c r="V29" s="252"/>
      <c r="Y29" s="394"/>
      <c r="Z29" s="305"/>
      <c r="AA29" s="101">
        <v>874</v>
      </c>
      <c r="AB29" s="200"/>
      <c r="AC29" s="210"/>
      <c r="AD29" s="210"/>
      <c r="AE29" s="200"/>
      <c r="AF29" s="200"/>
      <c r="AI29" s="200"/>
      <c r="AJ29" s="200"/>
      <c r="AK29" s="209"/>
      <c r="AL29" s="200"/>
      <c r="AM29" s="210"/>
      <c r="AN29" s="210"/>
    </row>
    <row r="30" spans="1:40" x14ac:dyDescent="0.25">
      <c r="A30" s="202">
        <v>11</v>
      </c>
      <c r="C30" s="154" t="s">
        <v>286</v>
      </c>
      <c r="F30" s="252">
        <v>588</v>
      </c>
      <c r="G30" s="85"/>
      <c r="H30" s="189">
        <f t="shared" si="1"/>
        <v>42826</v>
      </c>
      <c r="I30" s="163"/>
      <c r="J30" s="349">
        <f>ROUND(AC88+(AC88*LT_COS_RATE),2)</f>
        <v>8.19</v>
      </c>
      <c r="K30" s="433"/>
      <c r="L30" s="163">
        <f>ROUND(F30*J30,0)</f>
        <v>4816</v>
      </c>
      <c r="M30" s="163"/>
      <c r="N30" s="198">
        <f>ROUND((L30/L$54)*100,1)</f>
        <v>2.2999999999999998</v>
      </c>
      <c r="O30" s="198"/>
      <c r="P30" s="163">
        <f>ROUND((P$54/H$54)*H30,0)</f>
        <v>44</v>
      </c>
      <c r="Q30" s="163"/>
      <c r="R30" s="163">
        <f>P30+L30</f>
        <v>4860</v>
      </c>
      <c r="S30" s="334"/>
      <c r="V30" s="252"/>
      <c r="Y30" s="394"/>
      <c r="Z30" s="305"/>
      <c r="AA30" s="101">
        <v>874</v>
      </c>
      <c r="AB30" s="200"/>
      <c r="AC30" s="210"/>
      <c r="AD30" s="210"/>
      <c r="AE30" s="200"/>
      <c r="AF30" s="200"/>
      <c r="AI30" s="200"/>
      <c r="AJ30" s="200"/>
      <c r="AK30" s="209"/>
      <c r="AL30" s="200"/>
      <c r="AM30" s="210"/>
      <c r="AN30" s="210"/>
    </row>
    <row r="31" spans="1:40" x14ac:dyDescent="0.25">
      <c r="A31" s="80"/>
      <c r="B31" s="80"/>
      <c r="C31" s="80"/>
      <c r="D31" s="80"/>
      <c r="E31" s="80"/>
      <c r="F31" s="80"/>
      <c r="G31" s="70"/>
      <c r="H31" s="70"/>
      <c r="I31" s="70"/>
      <c r="J31" s="80"/>
      <c r="K31" s="70"/>
      <c r="L31" s="70"/>
      <c r="M31" s="70"/>
      <c r="N31" s="70"/>
      <c r="O31" s="70"/>
      <c r="P31" s="70"/>
      <c r="Q31" s="70"/>
      <c r="R31" s="70"/>
      <c r="S31" s="394"/>
    </row>
    <row r="32" spans="1:40" x14ac:dyDescent="0.25">
      <c r="A32" s="159">
        <v>12</v>
      </c>
      <c r="B32" s="80"/>
      <c r="C32" s="265" t="s">
        <v>288</v>
      </c>
      <c r="D32" s="258"/>
      <c r="E32" s="80"/>
      <c r="F32" s="80"/>
      <c r="G32" s="70"/>
      <c r="H32" s="70"/>
      <c r="I32" s="70"/>
      <c r="J32" s="182"/>
      <c r="K32" s="70"/>
      <c r="L32" s="70"/>
      <c r="M32" s="70"/>
      <c r="N32" s="70"/>
      <c r="O32" s="70"/>
      <c r="P32" s="70"/>
      <c r="Q32" s="70"/>
      <c r="R32" s="70"/>
      <c r="S32" s="334"/>
      <c r="V32" s="211"/>
      <c r="Y32" s="394"/>
      <c r="Z32" s="252"/>
      <c r="AA32" s="200"/>
      <c r="AB32" s="200"/>
      <c r="AC32" s="210"/>
      <c r="AD32" s="210"/>
      <c r="AE32" s="200"/>
      <c r="AF32" s="200"/>
      <c r="AI32" s="200"/>
      <c r="AJ32" s="200"/>
      <c r="AK32" s="209"/>
      <c r="AL32" s="200"/>
    </row>
    <row r="33" spans="1:40" x14ac:dyDescent="0.25">
      <c r="A33" s="159">
        <v>13</v>
      </c>
      <c r="B33" s="80"/>
      <c r="C33" s="82" t="s">
        <v>284</v>
      </c>
      <c r="D33" s="80"/>
      <c r="E33" s="80"/>
      <c r="F33" s="225">
        <v>3192</v>
      </c>
      <c r="G33" s="70"/>
      <c r="H33" s="189">
        <f t="shared" ref="H33:H39" si="2">ROUND(F33*AA33/12,0)</f>
        <v>129542</v>
      </c>
      <c r="I33" s="78"/>
      <c r="J33" s="349">
        <f t="shared" ref="J33:J39" si="3">ROUND(AC91+(AC91*LT_COS_RATE),2)</f>
        <v>8.89</v>
      </c>
      <c r="K33" s="352"/>
      <c r="L33" s="79">
        <f t="shared" ref="L33:L39" si="4">ROUND(F33*J33,0)</f>
        <v>28377</v>
      </c>
      <c r="M33" s="79"/>
      <c r="N33" s="156">
        <f t="shared" ref="N33:N39" si="5">ROUND((L33/L$54)*100,1)</f>
        <v>13.4</v>
      </c>
      <c r="O33" s="156"/>
      <c r="P33" s="79">
        <f t="shared" ref="P33:P39" si="6">ROUND((P$54/H$54)*H33,0)</f>
        <v>133</v>
      </c>
      <c r="Q33" s="79"/>
      <c r="R33" s="79">
        <f t="shared" ref="R33:R39" si="7">P33+L33</f>
        <v>28510</v>
      </c>
      <c r="S33" s="334"/>
      <c r="V33" s="211"/>
      <c r="Y33" s="394"/>
      <c r="Z33" s="305"/>
      <c r="AA33" s="211">
        <v>487</v>
      </c>
      <c r="AB33" s="211"/>
      <c r="AC33" s="211"/>
      <c r="AD33" s="211"/>
      <c r="AE33" s="211"/>
      <c r="AF33" s="211"/>
      <c r="AI33" s="211"/>
      <c r="AJ33" s="211"/>
      <c r="AK33" s="212"/>
      <c r="AL33" s="211"/>
      <c r="AM33" s="210"/>
      <c r="AN33" s="210"/>
    </row>
    <row r="34" spans="1:40" x14ac:dyDescent="0.25">
      <c r="A34" s="159">
        <v>15</v>
      </c>
      <c r="B34" s="80"/>
      <c r="C34" s="82" t="s">
        <v>285</v>
      </c>
      <c r="D34" s="80"/>
      <c r="E34" s="80"/>
      <c r="F34" s="189">
        <v>2364</v>
      </c>
      <c r="G34" s="70"/>
      <c r="H34" s="189">
        <f t="shared" si="2"/>
        <v>104804</v>
      </c>
      <c r="I34" s="79"/>
      <c r="J34" s="349">
        <f t="shared" si="3"/>
        <v>9.01</v>
      </c>
      <c r="K34" s="268"/>
      <c r="L34" s="79">
        <f>ROUND(F34*J34,0)</f>
        <v>21300</v>
      </c>
      <c r="M34" s="79"/>
      <c r="N34" s="156">
        <f t="shared" si="5"/>
        <v>10</v>
      </c>
      <c r="O34" s="156"/>
      <c r="P34" s="79">
        <f t="shared" si="6"/>
        <v>108</v>
      </c>
      <c r="Q34" s="79"/>
      <c r="R34" s="79">
        <f>P34+L34</f>
        <v>21408</v>
      </c>
      <c r="S34" s="334"/>
      <c r="V34" s="252"/>
      <c r="Y34" s="394"/>
      <c r="Z34" s="305"/>
      <c r="AA34" s="200">
        <v>532</v>
      </c>
      <c r="AB34" s="200"/>
      <c r="AC34" s="210"/>
      <c r="AD34" s="210"/>
      <c r="AE34" s="200"/>
      <c r="AF34" s="200"/>
      <c r="AI34" s="200"/>
      <c r="AJ34" s="200"/>
      <c r="AK34" s="209"/>
      <c r="AL34" s="200"/>
      <c r="AM34" s="210"/>
      <c r="AN34" s="210"/>
    </row>
    <row r="35" spans="1:40" x14ac:dyDescent="0.25">
      <c r="A35" s="159">
        <v>16</v>
      </c>
      <c r="B35" s="80"/>
      <c r="C35" s="81" t="s">
        <v>289</v>
      </c>
      <c r="D35" s="80"/>
      <c r="E35" s="80"/>
      <c r="F35" s="189">
        <v>972</v>
      </c>
      <c r="G35" s="70"/>
      <c r="H35" s="189">
        <f t="shared" si="2"/>
        <v>39447</v>
      </c>
      <c r="I35" s="79"/>
      <c r="J35" s="349">
        <f t="shared" si="3"/>
        <v>8.89</v>
      </c>
      <c r="K35" s="268"/>
      <c r="L35" s="79">
        <f>ROUND(F35*J35,0)</f>
        <v>8641</v>
      </c>
      <c r="M35" s="79"/>
      <c r="N35" s="156">
        <f t="shared" si="5"/>
        <v>4.0999999999999996</v>
      </c>
      <c r="O35" s="156"/>
      <c r="P35" s="79">
        <f t="shared" si="6"/>
        <v>41</v>
      </c>
      <c r="Q35" s="79"/>
      <c r="R35" s="79">
        <f>P35+L35</f>
        <v>8682</v>
      </c>
      <c r="S35" s="334"/>
      <c r="V35" s="252"/>
      <c r="Y35" s="394"/>
      <c r="Z35" s="305"/>
      <c r="AA35" s="200">
        <v>487</v>
      </c>
      <c r="AB35" s="200"/>
      <c r="AC35" s="210"/>
      <c r="AD35" s="210"/>
      <c r="AE35" s="200"/>
      <c r="AF35" s="200"/>
      <c r="AI35" s="200"/>
      <c r="AJ35" s="200"/>
      <c r="AK35" s="209"/>
      <c r="AL35" s="200"/>
      <c r="AM35" s="210"/>
      <c r="AN35" s="210"/>
    </row>
    <row r="36" spans="1:40" x14ac:dyDescent="0.25">
      <c r="A36" s="159">
        <v>17</v>
      </c>
      <c r="B36" s="80"/>
      <c r="C36" s="82" t="s">
        <v>286</v>
      </c>
      <c r="D36" s="80"/>
      <c r="E36" s="80"/>
      <c r="F36" s="189">
        <v>1272</v>
      </c>
      <c r="G36" s="70"/>
      <c r="H36" s="189">
        <f t="shared" si="2"/>
        <v>56392</v>
      </c>
      <c r="I36" s="79"/>
      <c r="J36" s="349">
        <f t="shared" si="3"/>
        <v>9</v>
      </c>
      <c r="K36" s="268"/>
      <c r="L36" s="79">
        <f>ROUND(F36*J36,0)</f>
        <v>11448</v>
      </c>
      <c r="M36" s="79"/>
      <c r="N36" s="156">
        <f t="shared" si="5"/>
        <v>5.4</v>
      </c>
      <c r="O36" s="156"/>
      <c r="P36" s="79">
        <f t="shared" si="6"/>
        <v>58</v>
      </c>
      <c r="Q36" s="79"/>
      <c r="R36" s="79">
        <f>P36+L36</f>
        <v>11506</v>
      </c>
      <c r="S36" s="334"/>
      <c r="V36" s="252"/>
      <c r="Y36" s="394"/>
      <c r="Z36" s="305"/>
      <c r="AA36" s="200">
        <v>532</v>
      </c>
      <c r="AB36" s="200"/>
      <c r="AC36" s="210"/>
      <c r="AD36" s="210"/>
      <c r="AE36" s="200"/>
      <c r="AF36" s="200"/>
      <c r="AI36" s="200"/>
      <c r="AJ36" s="200"/>
      <c r="AK36" s="209"/>
      <c r="AL36" s="200"/>
      <c r="AM36" s="210"/>
      <c r="AN36" s="210"/>
    </row>
    <row r="37" spans="1:40" x14ac:dyDescent="0.25">
      <c r="A37" s="159">
        <v>19</v>
      </c>
      <c r="B37" s="80"/>
      <c r="C37" s="82" t="s">
        <v>287</v>
      </c>
      <c r="D37" s="80"/>
      <c r="E37" s="80"/>
      <c r="F37" s="189">
        <v>2580</v>
      </c>
      <c r="G37" s="70"/>
      <c r="H37" s="189">
        <f t="shared" si="2"/>
        <v>114380</v>
      </c>
      <c r="I37" s="79"/>
      <c r="J37" s="349">
        <f t="shared" si="3"/>
        <v>9</v>
      </c>
      <c r="K37" s="268"/>
      <c r="L37" s="79">
        <f>ROUND(F37*J37,0)</f>
        <v>23220</v>
      </c>
      <c r="M37" s="79"/>
      <c r="N37" s="156">
        <f t="shared" si="5"/>
        <v>10.9</v>
      </c>
      <c r="O37" s="156"/>
      <c r="P37" s="79">
        <f t="shared" si="6"/>
        <v>118</v>
      </c>
      <c r="Q37" s="79"/>
      <c r="R37" s="79">
        <f>P37+L37</f>
        <v>23338</v>
      </c>
      <c r="S37" s="334"/>
      <c r="V37" s="252"/>
      <c r="Y37" s="394"/>
      <c r="Z37" s="305"/>
      <c r="AA37" s="200">
        <v>532</v>
      </c>
      <c r="AB37" s="200"/>
      <c r="AC37" s="210"/>
      <c r="AD37" s="210"/>
      <c r="AE37" s="200"/>
      <c r="AF37" s="200"/>
      <c r="AI37" s="200"/>
      <c r="AJ37" s="200"/>
      <c r="AK37" s="209"/>
      <c r="AL37" s="200"/>
      <c r="AM37" s="210"/>
      <c r="AN37" s="210"/>
    </row>
    <row r="38" spans="1:40" x14ac:dyDescent="0.25">
      <c r="A38" s="159">
        <v>14</v>
      </c>
      <c r="B38" s="80"/>
      <c r="C38" s="82" t="s">
        <v>385</v>
      </c>
      <c r="D38" s="80"/>
      <c r="E38" s="80"/>
      <c r="F38" s="225">
        <v>0</v>
      </c>
      <c r="G38" s="70"/>
      <c r="H38" s="189">
        <f t="shared" si="2"/>
        <v>0</v>
      </c>
      <c r="I38" s="78"/>
      <c r="J38" s="349">
        <f t="shared" si="3"/>
        <v>8.89</v>
      </c>
      <c r="K38" s="352"/>
      <c r="L38" s="79">
        <f>ROUND(F38*J38,0)</f>
        <v>0</v>
      </c>
      <c r="M38" s="79"/>
      <c r="N38" s="156">
        <f t="shared" si="5"/>
        <v>0</v>
      </c>
      <c r="O38" s="156"/>
      <c r="P38" s="79">
        <f t="shared" si="6"/>
        <v>0</v>
      </c>
      <c r="Q38" s="79"/>
      <c r="R38" s="79">
        <f>P38+L38</f>
        <v>0</v>
      </c>
      <c r="S38" s="334"/>
      <c r="V38" s="211"/>
      <c r="Y38" s="394"/>
      <c r="Z38" s="305"/>
      <c r="AA38" s="211">
        <v>487</v>
      </c>
      <c r="AB38" s="211"/>
      <c r="AC38" s="211"/>
      <c r="AD38" s="211"/>
      <c r="AE38" s="211"/>
      <c r="AF38" s="211"/>
      <c r="AI38" s="211"/>
      <c r="AJ38" s="211"/>
      <c r="AK38" s="212"/>
      <c r="AL38" s="211"/>
      <c r="AM38" s="210"/>
      <c r="AN38" s="210"/>
    </row>
    <row r="39" spans="1:40" x14ac:dyDescent="0.25">
      <c r="A39" s="159">
        <v>18</v>
      </c>
      <c r="B39" s="80"/>
      <c r="C39" s="82" t="s">
        <v>349</v>
      </c>
      <c r="D39" s="80"/>
      <c r="E39" s="80"/>
      <c r="F39" s="189">
        <v>156</v>
      </c>
      <c r="G39" s="70"/>
      <c r="H39" s="189">
        <f t="shared" si="2"/>
        <v>6916</v>
      </c>
      <c r="I39" s="79"/>
      <c r="J39" s="349">
        <f t="shared" si="3"/>
        <v>9</v>
      </c>
      <c r="K39" s="268"/>
      <c r="L39" s="79">
        <f t="shared" si="4"/>
        <v>1404</v>
      </c>
      <c r="M39" s="79"/>
      <c r="N39" s="156">
        <f t="shared" si="5"/>
        <v>0.7</v>
      </c>
      <c r="O39" s="156"/>
      <c r="P39" s="79">
        <f t="shared" si="6"/>
        <v>7</v>
      </c>
      <c r="Q39" s="79"/>
      <c r="R39" s="79">
        <f t="shared" si="7"/>
        <v>1411</v>
      </c>
      <c r="S39" s="334"/>
      <c r="V39" s="252"/>
      <c r="Y39" s="394"/>
      <c r="Z39" s="305"/>
      <c r="AA39" s="200">
        <v>532</v>
      </c>
      <c r="AB39" s="200"/>
      <c r="AC39" s="210"/>
      <c r="AD39" s="210"/>
      <c r="AE39" s="200"/>
      <c r="AF39" s="200"/>
      <c r="AI39" s="200"/>
      <c r="AJ39" s="200"/>
      <c r="AK39" s="209"/>
      <c r="AL39" s="200"/>
      <c r="AM39" s="210"/>
      <c r="AN39" s="210"/>
    </row>
    <row r="40" spans="1:40" x14ac:dyDescent="0.25">
      <c r="A40" s="159"/>
      <c r="B40" s="80"/>
      <c r="C40" s="82"/>
      <c r="D40" s="80"/>
      <c r="E40" s="80"/>
      <c r="F40" s="189"/>
      <c r="G40" s="70"/>
      <c r="H40" s="79"/>
      <c r="I40" s="79"/>
      <c r="J40" s="349"/>
      <c r="K40" s="268"/>
      <c r="L40" s="79"/>
      <c r="M40" s="79"/>
      <c r="N40" s="156"/>
      <c r="O40" s="156"/>
      <c r="P40" s="79"/>
      <c r="Q40" s="79"/>
      <c r="R40" s="79"/>
      <c r="S40" s="334"/>
      <c r="V40" s="252"/>
      <c r="Y40" s="252"/>
      <c r="Z40" s="305"/>
      <c r="AA40" s="200"/>
      <c r="AB40" s="200"/>
      <c r="AC40" s="210"/>
      <c r="AD40" s="210"/>
      <c r="AE40" s="200"/>
      <c r="AF40" s="200"/>
      <c r="AI40" s="200"/>
      <c r="AJ40" s="200"/>
      <c r="AK40" s="209"/>
      <c r="AL40" s="200"/>
      <c r="AM40" s="210"/>
      <c r="AN40" s="210"/>
    </row>
    <row r="41" spans="1:40" x14ac:dyDescent="0.25">
      <c r="A41" s="159">
        <v>20</v>
      </c>
      <c r="B41" s="80"/>
      <c r="C41" s="253" t="s">
        <v>224</v>
      </c>
      <c r="D41" s="80"/>
      <c r="E41" s="80"/>
      <c r="F41" s="189"/>
      <c r="G41" s="70"/>
      <c r="H41" s="79"/>
      <c r="I41" s="79"/>
      <c r="J41" s="349"/>
      <c r="K41" s="268"/>
      <c r="L41" s="79"/>
      <c r="M41" s="79"/>
      <c r="N41" s="156"/>
      <c r="O41" s="156"/>
      <c r="P41" s="79"/>
      <c r="Q41" s="79"/>
      <c r="R41" s="79"/>
      <c r="S41" s="334"/>
      <c r="V41" s="252"/>
      <c r="Y41" s="252"/>
      <c r="Z41" s="305"/>
      <c r="AA41" s="200"/>
      <c r="AB41" s="200"/>
      <c r="AC41" s="210"/>
      <c r="AD41" s="210"/>
      <c r="AE41" s="200"/>
      <c r="AF41" s="200"/>
      <c r="AI41" s="200"/>
      <c r="AJ41" s="200"/>
      <c r="AK41" s="209"/>
      <c r="AL41" s="200"/>
      <c r="AM41" s="210"/>
      <c r="AN41" s="210"/>
    </row>
    <row r="42" spans="1:40" x14ac:dyDescent="0.25">
      <c r="A42" s="159">
        <v>21</v>
      </c>
      <c r="B42" s="80"/>
      <c r="C42" s="81" t="s">
        <v>292</v>
      </c>
      <c r="D42" s="80"/>
      <c r="E42" s="80"/>
      <c r="F42" s="225">
        <v>480</v>
      </c>
      <c r="G42" s="70"/>
      <c r="H42" s="189">
        <f t="shared" ref="H42:H44" si="8">ROUND(F42*AA42/12,0)</f>
        <v>40920</v>
      </c>
      <c r="I42" s="78"/>
      <c r="J42" s="349">
        <f>ROUND(AC100+(AC100*LT_COS_RATE),2)</f>
        <v>12.78</v>
      </c>
      <c r="K42" s="352"/>
      <c r="L42" s="79">
        <f>ROUND(F42*J42,0)</f>
        <v>6134</v>
      </c>
      <c r="M42" s="79"/>
      <c r="N42" s="156">
        <f>ROUND((L42/L$54)*100,1)</f>
        <v>2.9</v>
      </c>
      <c r="O42" s="156"/>
      <c r="P42" s="79">
        <f>ROUND((P$54/H$54)*H42,0)</f>
        <v>42</v>
      </c>
      <c r="Q42" s="79"/>
      <c r="R42" s="79">
        <f>P42+L42</f>
        <v>6176</v>
      </c>
      <c r="S42" s="334"/>
      <c r="V42" s="211"/>
      <c r="Y42" s="394"/>
      <c r="Z42" s="305"/>
      <c r="AA42" s="211">
        <v>1023</v>
      </c>
      <c r="AB42" s="211"/>
      <c r="AC42" s="211"/>
      <c r="AD42" s="211"/>
      <c r="AE42" s="211"/>
      <c r="AF42" s="211"/>
      <c r="AI42" s="211"/>
      <c r="AJ42" s="211"/>
      <c r="AK42" s="212"/>
      <c r="AL42" s="211"/>
      <c r="AM42" s="210"/>
      <c r="AN42" s="210"/>
    </row>
    <row r="43" spans="1:40" x14ac:dyDescent="0.25">
      <c r="A43" s="159">
        <v>22</v>
      </c>
      <c r="B43" s="80"/>
      <c r="C43" s="81" t="s">
        <v>291</v>
      </c>
      <c r="D43" s="80"/>
      <c r="E43" s="80"/>
      <c r="F43" s="225">
        <v>24</v>
      </c>
      <c r="G43" s="70"/>
      <c r="H43" s="189">
        <f t="shared" si="8"/>
        <v>3918</v>
      </c>
      <c r="I43" s="78"/>
      <c r="J43" s="349">
        <f>ROUND(AC101+(AC101*LT_COS_RATE),2)</f>
        <v>16.91</v>
      </c>
      <c r="K43" s="352"/>
      <c r="L43" s="79">
        <f>ROUND(F43*J43,0)</f>
        <v>406</v>
      </c>
      <c r="M43" s="79"/>
      <c r="N43" s="156">
        <f>ROUND((L43/L$54)*100,1)</f>
        <v>0.2</v>
      </c>
      <c r="O43" s="156"/>
      <c r="P43" s="79">
        <f>ROUND((P$54/H$54)*H43,0)</f>
        <v>4</v>
      </c>
      <c r="Q43" s="79"/>
      <c r="R43" s="79">
        <f>P43+L43</f>
        <v>410</v>
      </c>
      <c r="S43" s="334"/>
      <c r="Y43" s="394"/>
      <c r="AA43" s="200">
        <v>1959</v>
      </c>
      <c r="AB43" s="200"/>
      <c r="AC43" s="200"/>
      <c r="AD43" s="200"/>
      <c r="AI43" s="200"/>
      <c r="AJ43" s="200"/>
      <c r="AK43" s="209"/>
      <c r="AL43" s="200"/>
    </row>
    <row r="44" spans="1:40" x14ac:dyDescent="0.25">
      <c r="A44" s="101">
        <v>23</v>
      </c>
      <c r="C44" s="101" t="s">
        <v>290</v>
      </c>
      <c r="F44" s="287">
        <v>0</v>
      </c>
      <c r="G44" s="85"/>
      <c r="H44" s="189">
        <f t="shared" si="8"/>
        <v>0</v>
      </c>
      <c r="I44" s="230"/>
      <c r="J44" s="349">
        <f>ROUND(AC102+(AC102*LT_COS_RATE),2)</f>
        <v>16.91</v>
      </c>
      <c r="K44" s="433"/>
      <c r="L44" s="167">
        <f>ROUND(F44*J44,0)</f>
        <v>0</v>
      </c>
      <c r="M44" s="163"/>
      <c r="N44" s="341">
        <f>ROUND((L44/L$54)*100,1)</f>
        <v>0</v>
      </c>
      <c r="O44" s="198"/>
      <c r="P44" s="167">
        <f>ROUND((P$54/H$54)*H44,0)</f>
        <v>0</v>
      </c>
      <c r="Q44" s="163"/>
      <c r="R44" s="167">
        <f>P44+L44</f>
        <v>0</v>
      </c>
      <c r="S44" s="394"/>
      <c r="Y44" s="394"/>
      <c r="AA44" s="200">
        <v>1959</v>
      </c>
      <c r="AD44" s="200"/>
      <c r="AI44" s="200"/>
      <c r="AJ44" s="200"/>
      <c r="AK44" s="209"/>
      <c r="AL44" s="200"/>
    </row>
    <row r="45" spans="1:40" ht="20.100000000000001" customHeight="1" x14ac:dyDescent="0.25">
      <c r="A45" s="159">
        <v>24</v>
      </c>
      <c r="B45" s="80"/>
      <c r="C45" s="265" t="s">
        <v>598</v>
      </c>
      <c r="D45" s="80"/>
      <c r="F45" s="126">
        <f>SUM(F22:F44)</f>
        <v>24744</v>
      </c>
      <c r="G45" s="85"/>
      <c r="H45" s="126">
        <f>SUM(H22:H44)</f>
        <v>1476997</v>
      </c>
      <c r="I45" s="230"/>
      <c r="J45" s="349"/>
      <c r="K45" s="433"/>
      <c r="L45" s="126">
        <f>SUM(L22:L44)</f>
        <v>212867</v>
      </c>
      <c r="M45" s="163"/>
      <c r="N45" s="303">
        <f>ROUND((L45/L$54)*100,1)</f>
        <v>100.3</v>
      </c>
      <c r="O45" s="198"/>
      <c r="P45" s="126">
        <f>SUM(P22:P44)</f>
        <v>1519</v>
      </c>
      <c r="Q45" s="163"/>
      <c r="R45" s="126">
        <f>SUM(R22:R44)</f>
        <v>214386</v>
      </c>
      <c r="S45" s="394"/>
      <c r="Y45" s="394"/>
      <c r="AD45" s="200"/>
      <c r="AI45" s="200"/>
      <c r="AJ45" s="200"/>
      <c r="AK45" s="209"/>
      <c r="AL45" s="200"/>
    </row>
    <row r="46" spans="1:40" x14ac:dyDescent="0.25">
      <c r="A46" s="159"/>
      <c r="B46" s="80"/>
      <c r="C46" s="265"/>
      <c r="D46" s="80"/>
      <c r="F46" s="252"/>
      <c r="G46" s="85"/>
      <c r="H46" s="200"/>
      <c r="I46" s="230"/>
      <c r="J46" s="349"/>
      <c r="K46" s="433"/>
      <c r="L46" s="163"/>
      <c r="M46" s="163"/>
      <c r="N46" s="198"/>
      <c r="O46" s="198"/>
      <c r="P46" s="163"/>
      <c r="Q46" s="163"/>
      <c r="R46" s="163"/>
      <c r="S46" s="394"/>
      <c r="Y46" s="394"/>
      <c r="AD46" s="200"/>
      <c r="AI46" s="200"/>
      <c r="AJ46" s="200"/>
      <c r="AK46" s="209"/>
      <c r="AL46" s="200"/>
    </row>
    <row r="47" spans="1:40" x14ac:dyDescent="0.25">
      <c r="A47" s="159">
        <v>25</v>
      </c>
      <c r="B47" s="80"/>
      <c r="C47" s="253" t="s">
        <v>591</v>
      </c>
      <c r="D47" s="80"/>
      <c r="F47" s="252"/>
      <c r="G47" s="85"/>
      <c r="H47" s="200"/>
      <c r="I47" s="230"/>
      <c r="J47" s="349"/>
      <c r="K47" s="433"/>
      <c r="L47" s="163"/>
      <c r="M47" s="163"/>
      <c r="N47" s="198"/>
      <c r="O47" s="198"/>
      <c r="P47" s="163"/>
      <c r="Q47" s="163"/>
      <c r="R47" s="163"/>
      <c r="S47" s="394"/>
      <c r="Y47" s="394"/>
      <c r="AD47" s="200"/>
      <c r="AI47" s="200"/>
      <c r="AJ47" s="200"/>
      <c r="AK47" s="209"/>
      <c r="AL47" s="200"/>
    </row>
    <row r="48" spans="1:40" x14ac:dyDescent="0.25">
      <c r="A48" s="159">
        <v>26</v>
      </c>
      <c r="B48" s="80"/>
      <c r="C48" s="153" t="str">
        <f>ESM_Name</f>
        <v>ENVIRONMENTAL SURCHARGE MECHANISM RIDER (ESM)</v>
      </c>
      <c r="D48" s="80"/>
      <c r="E48" s="80"/>
      <c r="F48" s="163"/>
      <c r="G48" s="70"/>
      <c r="H48" s="163"/>
      <c r="I48" s="79"/>
      <c r="J48" s="430">
        <f>PRO_ESM</f>
        <v>0</v>
      </c>
      <c r="K48" s="433"/>
      <c r="L48" s="163">
        <f>ROUND($R$45*J48,0)</f>
        <v>0</v>
      </c>
      <c r="M48" s="163"/>
      <c r="N48" s="198">
        <f t="shared" ref="N48:N50" si="9">ROUND((L48/L$54)*100,1)</f>
        <v>0</v>
      </c>
      <c r="O48" s="198"/>
      <c r="P48" s="163"/>
      <c r="Q48" s="163"/>
      <c r="R48" s="163">
        <f t="shared" ref="R48:R50" si="10">P48+L48</f>
        <v>0</v>
      </c>
      <c r="S48" s="394"/>
      <c r="Y48" s="394"/>
      <c r="AD48" s="200"/>
      <c r="AI48" s="200"/>
      <c r="AJ48" s="200"/>
      <c r="AK48" s="209"/>
      <c r="AL48" s="200"/>
    </row>
    <row r="49" spans="1:47" x14ac:dyDescent="0.25">
      <c r="A49" s="159">
        <v>27</v>
      </c>
      <c r="B49" s="80"/>
      <c r="C49" s="153" t="str">
        <f>DCI_Name</f>
        <v>DISTRIBUTION CAPITAL INVESTMENT RIDER (DCI)</v>
      </c>
      <c r="D49" s="80"/>
      <c r="E49" s="80"/>
      <c r="F49" s="163"/>
      <c r="G49" s="70"/>
      <c r="H49" s="163"/>
      <c r="I49" s="79"/>
      <c r="J49" s="430">
        <f>PRO_DCI_SL</f>
        <v>0</v>
      </c>
      <c r="K49" s="433"/>
      <c r="L49" s="163">
        <f>ROUND($H$45*J49,0)</f>
        <v>0</v>
      </c>
      <c r="M49" s="163"/>
      <c r="N49" s="198">
        <f t="shared" si="9"/>
        <v>0</v>
      </c>
      <c r="O49" s="198"/>
      <c r="P49" s="163"/>
      <c r="Q49" s="163"/>
      <c r="R49" s="163">
        <f t="shared" si="10"/>
        <v>0</v>
      </c>
      <c r="S49" s="394"/>
      <c r="Y49" s="394"/>
      <c r="AD49" s="200"/>
      <c r="AI49" s="200"/>
      <c r="AJ49" s="200"/>
      <c r="AK49" s="209"/>
      <c r="AL49" s="200"/>
    </row>
    <row r="50" spans="1:47" x14ac:dyDescent="0.25">
      <c r="A50" s="159">
        <v>28</v>
      </c>
      <c r="B50" s="80"/>
      <c r="C50" s="153" t="str">
        <f>FTR_Name</f>
        <v>FERC TRANSMISSION COST RECOVERY RECONCILIATION (FTR)</v>
      </c>
      <c r="D50" s="80"/>
      <c r="E50" s="80"/>
      <c r="F50" s="163"/>
      <c r="G50" s="70"/>
      <c r="H50" s="163"/>
      <c r="I50" s="79"/>
      <c r="J50" s="430">
        <f>PRO_FTR_SL</f>
        <v>0</v>
      </c>
      <c r="K50" s="433"/>
      <c r="L50" s="163">
        <f>ROUND($H$45*J50,0)</f>
        <v>0</v>
      </c>
      <c r="M50" s="163"/>
      <c r="N50" s="198">
        <f t="shared" si="9"/>
        <v>0</v>
      </c>
      <c r="O50" s="198"/>
      <c r="P50" s="163"/>
      <c r="Q50" s="163"/>
      <c r="R50" s="163">
        <f t="shared" si="10"/>
        <v>0</v>
      </c>
      <c r="S50" s="394"/>
      <c r="Y50" s="394"/>
      <c r="AD50" s="200"/>
      <c r="AI50" s="200"/>
      <c r="AJ50" s="200"/>
      <c r="AK50" s="209"/>
      <c r="AL50" s="200"/>
    </row>
    <row r="51" spans="1:47" x14ac:dyDescent="0.25">
      <c r="A51" s="159">
        <v>29</v>
      </c>
      <c r="B51" s="80"/>
      <c r="C51" s="153" t="str">
        <f>PSM_Name</f>
        <v>PROFIT SHARING MECHANISM (PSM)</v>
      </c>
      <c r="D51" s="80"/>
      <c r="E51" s="80"/>
      <c r="F51" s="163"/>
      <c r="G51" s="70"/>
      <c r="H51" s="163"/>
      <c r="I51" s="79"/>
      <c r="J51" s="438">
        <f>PRO_PSM</f>
        <v>-4.5600000000000003E-4</v>
      </c>
      <c r="K51" s="433"/>
      <c r="L51" s="167">
        <f>ROUND($H$45*J51,0)</f>
        <v>-674</v>
      </c>
      <c r="M51" s="163"/>
      <c r="N51" s="166">
        <f>ROUND((L51/L$54)*100,1)</f>
        <v>-0.3</v>
      </c>
      <c r="O51" s="198"/>
      <c r="P51" s="167"/>
      <c r="Q51" s="163"/>
      <c r="R51" s="167">
        <f t="shared" ref="R51" si="11">P51+L51</f>
        <v>-674</v>
      </c>
      <c r="S51" s="394"/>
      <c r="Y51" s="394"/>
      <c r="AD51" s="200"/>
      <c r="AI51" s="200"/>
      <c r="AJ51" s="200"/>
      <c r="AK51" s="209"/>
      <c r="AL51" s="200"/>
    </row>
    <row r="52" spans="1:47" ht="20.100000000000001" customHeight="1" x14ac:dyDescent="0.25">
      <c r="A52" s="159">
        <v>30</v>
      </c>
      <c r="B52" s="80"/>
      <c r="C52" s="253" t="s">
        <v>585</v>
      </c>
      <c r="D52" s="80"/>
      <c r="F52" s="287"/>
      <c r="G52" s="85"/>
      <c r="H52" s="353"/>
      <c r="I52" s="230"/>
      <c r="J52" s="349"/>
      <c r="K52" s="433"/>
      <c r="L52" s="167">
        <f>SUM(L48:L51)</f>
        <v>-674</v>
      </c>
      <c r="M52" s="163"/>
      <c r="N52" s="170">
        <f>ROUND((L52/L$54)*100,1)</f>
        <v>-0.3</v>
      </c>
      <c r="O52" s="198"/>
      <c r="P52" s="169"/>
      <c r="Q52" s="163"/>
      <c r="R52" s="169">
        <f>SUM(R48:R51)</f>
        <v>-674</v>
      </c>
      <c r="S52" s="394"/>
      <c r="Y52" s="394"/>
      <c r="AD52" s="200"/>
      <c r="AI52" s="200"/>
      <c r="AJ52" s="200"/>
      <c r="AK52" s="209"/>
      <c r="AL52" s="200"/>
    </row>
    <row r="53" spans="1:47" x14ac:dyDescent="0.25">
      <c r="F53" s="252"/>
      <c r="G53" s="85"/>
      <c r="H53" s="200"/>
      <c r="I53" s="230"/>
      <c r="J53" s="349"/>
      <c r="K53" s="433"/>
      <c r="L53" s="163"/>
      <c r="M53" s="163"/>
      <c r="N53" s="198"/>
      <c r="O53" s="198"/>
      <c r="P53" s="163"/>
      <c r="Q53" s="163"/>
      <c r="R53" s="163"/>
      <c r="S53" s="394"/>
      <c r="Y53" s="394"/>
      <c r="AD53" s="200"/>
      <c r="AI53" s="200"/>
      <c r="AJ53" s="200"/>
      <c r="AK53" s="209"/>
      <c r="AL53" s="200"/>
    </row>
    <row r="54" spans="1:47" ht="20.100000000000001" customHeight="1" thickBot="1" x14ac:dyDescent="0.3">
      <c r="A54" s="159">
        <v>31</v>
      </c>
      <c r="B54" s="80"/>
      <c r="C54" s="253" t="s">
        <v>599</v>
      </c>
      <c r="D54" s="80"/>
      <c r="E54" s="80"/>
      <c r="F54" s="275">
        <f>SUM(F22:F44)</f>
        <v>24744</v>
      </c>
      <c r="G54" s="70"/>
      <c r="H54" s="275">
        <f>SUM(H22:H44)</f>
        <v>1476997</v>
      </c>
      <c r="I54" s="79"/>
      <c r="J54" s="352"/>
      <c r="K54" s="352"/>
      <c r="L54" s="275">
        <f>L52+L45</f>
        <v>212193</v>
      </c>
      <c r="M54" s="79"/>
      <c r="N54" s="448">
        <v>100</v>
      </c>
      <c r="O54" s="158"/>
      <c r="P54" s="435">
        <f>ROUND(H54*CUR_FAC,0)+1</f>
        <v>1519</v>
      </c>
      <c r="Q54" s="79"/>
      <c r="R54" s="275">
        <f>R52+R45</f>
        <v>213712</v>
      </c>
    </row>
    <row r="55" spans="1:47" ht="16.5" thickTop="1" x14ac:dyDescent="0.25">
      <c r="A55" s="80"/>
      <c r="B55" s="80"/>
      <c r="C55" s="80"/>
      <c r="D55" s="80"/>
      <c r="E55" s="80"/>
      <c r="F55" s="70"/>
      <c r="G55" s="70"/>
      <c r="H55" s="70"/>
      <c r="I55" s="70"/>
      <c r="J55" s="278"/>
      <c r="K55" s="70"/>
      <c r="L55" s="70"/>
      <c r="M55" s="70"/>
      <c r="N55" s="70"/>
      <c r="O55" s="70"/>
      <c r="P55" s="70"/>
      <c r="Q55" s="70"/>
      <c r="R55" s="70"/>
      <c r="T55" s="312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380"/>
      <c r="AH55" s="100"/>
      <c r="AI55" s="100"/>
      <c r="AJ55" s="100"/>
      <c r="AK55" s="380"/>
      <c r="AL55" s="100"/>
      <c r="AM55" s="100"/>
      <c r="AN55" s="100"/>
      <c r="AO55" s="100"/>
      <c r="AP55" s="100"/>
      <c r="AQ55" s="380"/>
    </row>
    <row r="56" spans="1:47" x14ac:dyDescent="0.25">
      <c r="B56" s="80"/>
      <c r="C56" s="173" t="s">
        <v>80</v>
      </c>
      <c r="D56" s="80"/>
      <c r="E56" s="80"/>
      <c r="F56" s="225"/>
      <c r="G56" s="80"/>
      <c r="H56" s="225"/>
      <c r="I56" s="225"/>
      <c r="J56" s="349"/>
      <c r="K56" s="283"/>
      <c r="L56" s="189"/>
      <c r="M56" s="189"/>
      <c r="N56" s="363"/>
      <c r="O56" s="363"/>
      <c r="P56" s="189"/>
      <c r="Q56" s="189"/>
      <c r="R56" s="189"/>
      <c r="AS56" s="200"/>
      <c r="AT56" s="200"/>
      <c r="AU56" s="210"/>
    </row>
    <row r="57" spans="1:47" x14ac:dyDescent="0.25">
      <c r="B57" s="80"/>
      <c r="C57" s="173" t="str">
        <f>"(2) REFLECTS FUEL COMPONENT OF "&amp;TEXT(PRO_FAC,"$0.000000;($0.000000)")&amp;" PER KWH."</f>
        <v>(2) REFLECTS FUEL COMPONENT OF $0.001028 PER KWH.</v>
      </c>
      <c r="D57" s="80"/>
      <c r="E57" s="80"/>
      <c r="F57" s="225"/>
      <c r="G57" s="80"/>
      <c r="H57" s="225"/>
      <c r="I57" s="225"/>
      <c r="J57" s="349"/>
      <c r="K57" s="283"/>
      <c r="L57" s="189"/>
      <c r="M57" s="189"/>
      <c r="N57" s="363"/>
      <c r="O57" s="363"/>
      <c r="P57" s="189"/>
      <c r="Q57" s="189"/>
      <c r="R57" s="189"/>
      <c r="AS57" s="200"/>
      <c r="AT57" s="200"/>
      <c r="AU57" s="210"/>
    </row>
    <row r="58" spans="1:47" x14ac:dyDescent="0.25">
      <c r="B58" s="80"/>
      <c r="C58" s="173" t="str">
        <f>"(3) REFLECTS FUEL COST RECOVERY INCLUDED IN BASE RATES OF "&amp;TEXT(PRO_BASE_FUEL,"$0.000000;($0.000000)")&amp;"  PER KWH."</f>
        <v>(3) REFLECTS FUEL COST RECOVERY INCLUDED IN BASE RATES OF $0.023837  PER KWH.</v>
      </c>
      <c r="D58" s="80"/>
      <c r="E58" s="80"/>
      <c r="F58" s="225"/>
      <c r="G58" s="80"/>
      <c r="H58" s="225"/>
      <c r="I58" s="225"/>
      <c r="J58" s="349"/>
      <c r="K58" s="283"/>
      <c r="L58" s="189"/>
      <c r="M58" s="189"/>
      <c r="N58" s="363"/>
      <c r="O58" s="363"/>
      <c r="P58" s="189"/>
      <c r="Q58" s="189"/>
      <c r="R58" s="189"/>
      <c r="T58" s="202"/>
      <c r="V58" s="154"/>
      <c r="Y58" s="200"/>
      <c r="AC58" s="215"/>
      <c r="AD58" s="215"/>
      <c r="AE58" s="200"/>
      <c r="AF58" s="200"/>
      <c r="AO58" s="200"/>
      <c r="AP58" s="200"/>
      <c r="AS58" s="200"/>
      <c r="AT58" s="200"/>
      <c r="AU58" s="210"/>
    </row>
    <row r="59" spans="1:47" x14ac:dyDescent="0.25">
      <c r="J59" s="394"/>
      <c r="L59" s="154"/>
      <c r="M59" s="154"/>
      <c r="T59" s="150" t="str">
        <f>NAME</f>
        <v>DUKE ENERGY KENTUCKY, INC.</v>
      </c>
      <c r="U59" s="150"/>
      <c r="V59" s="150"/>
      <c r="W59" s="150"/>
      <c r="X59" s="150"/>
      <c r="Y59" s="150"/>
      <c r="Z59" s="150"/>
      <c r="AA59" s="150"/>
      <c r="AB59" s="150"/>
      <c r="AC59" s="187"/>
      <c r="AD59" s="187"/>
      <c r="AE59" s="150"/>
      <c r="AF59" s="100"/>
      <c r="AG59" s="190"/>
      <c r="AH59" s="100"/>
      <c r="AI59" s="150"/>
      <c r="AJ59" s="150"/>
      <c r="AK59" s="190"/>
      <c r="AL59" s="150"/>
      <c r="AM59" s="150"/>
      <c r="AN59" s="100"/>
      <c r="AO59" s="150"/>
      <c r="AP59" s="150"/>
      <c r="AQ59" s="190"/>
      <c r="AR59" s="252"/>
    </row>
    <row r="60" spans="1:47" x14ac:dyDescent="0.25">
      <c r="F60" s="109"/>
      <c r="H60" s="109"/>
      <c r="I60" s="109"/>
      <c r="J60" s="394"/>
      <c r="K60" s="394"/>
      <c r="L60" s="211"/>
      <c r="M60" s="445"/>
      <c r="N60" s="477"/>
      <c r="O60" s="477"/>
      <c r="P60" s="109"/>
      <c r="Q60" s="109"/>
      <c r="R60" s="109"/>
      <c r="T60" s="150" t="str">
        <f>CASE_NO</f>
        <v>CASE NO.   2017-00321</v>
      </c>
      <c r="U60" s="150"/>
      <c r="V60" s="150"/>
      <c r="W60" s="150"/>
      <c r="X60" s="150"/>
      <c r="Y60" s="150"/>
      <c r="Z60" s="150"/>
      <c r="AA60" s="150"/>
      <c r="AB60" s="150"/>
      <c r="AC60" s="187"/>
      <c r="AD60" s="187"/>
      <c r="AE60" s="150"/>
      <c r="AF60" s="100"/>
      <c r="AG60" s="190"/>
      <c r="AH60" s="100"/>
      <c r="AI60" s="150"/>
      <c r="AJ60" s="150"/>
      <c r="AK60" s="190"/>
      <c r="AL60" s="150"/>
      <c r="AM60" s="150"/>
      <c r="AN60" s="100"/>
      <c r="AO60" s="150"/>
      <c r="AP60" s="150"/>
      <c r="AQ60" s="190"/>
      <c r="AR60" s="252"/>
    </row>
    <row r="61" spans="1:47" x14ac:dyDescent="0.25">
      <c r="A61" s="202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211"/>
      <c r="T61" s="187" t="str">
        <f>TITLE</f>
        <v>ANNUALIZED BASE YEAR REVENUES AT PROPOSED VS. MOST CURRENT RATES</v>
      </c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00"/>
      <c r="AG61" s="190"/>
      <c r="AH61" s="100"/>
      <c r="AI61" s="150"/>
      <c r="AJ61" s="150"/>
      <c r="AK61" s="190"/>
      <c r="AL61" s="150"/>
      <c r="AM61" s="150"/>
      <c r="AN61" s="100"/>
      <c r="AO61" s="150"/>
      <c r="AP61" s="150"/>
      <c r="AQ61" s="190"/>
      <c r="AR61" s="252"/>
    </row>
    <row r="62" spans="1:47" x14ac:dyDescent="0.25">
      <c r="A62" s="202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T62" s="150" t="str">
        <f>DATE</f>
        <v>FOR THE TWELVE MONTHS ENDED November 30, 2017</v>
      </c>
      <c r="U62" s="150"/>
      <c r="V62" s="150"/>
      <c r="W62" s="150"/>
      <c r="X62" s="150"/>
      <c r="Y62" s="150"/>
      <c r="Z62" s="150"/>
      <c r="AA62" s="150"/>
      <c r="AB62" s="150"/>
      <c r="AC62" s="187"/>
      <c r="AD62" s="187"/>
      <c r="AE62" s="150"/>
      <c r="AF62" s="100"/>
      <c r="AG62" s="190"/>
      <c r="AH62" s="100"/>
      <c r="AI62" s="150"/>
      <c r="AJ62" s="150"/>
      <c r="AK62" s="190"/>
      <c r="AL62" s="150"/>
      <c r="AM62" s="150"/>
      <c r="AN62" s="100"/>
      <c r="AO62" s="150"/>
      <c r="AP62" s="150"/>
      <c r="AQ62" s="190"/>
      <c r="AR62" s="200"/>
    </row>
    <row r="63" spans="1:47" x14ac:dyDescent="0.25">
      <c r="A63" s="154"/>
      <c r="J63" s="394"/>
      <c r="R63" s="154"/>
      <c r="T63" s="150" t="str">
        <f>SERVICE</f>
        <v>(ELECTRIC SERVICE)</v>
      </c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87"/>
      <c r="AF63" s="312"/>
      <c r="AG63" s="190"/>
      <c r="AH63" s="100"/>
      <c r="AI63" s="150"/>
      <c r="AJ63" s="150"/>
      <c r="AK63" s="190"/>
      <c r="AL63" s="150"/>
      <c r="AM63" s="150"/>
      <c r="AN63" s="100"/>
      <c r="AO63" s="150"/>
      <c r="AP63" s="150"/>
      <c r="AQ63" s="190"/>
      <c r="AR63" s="200"/>
    </row>
    <row r="64" spans="1:47" x14ac:dyDescent="0.25">
      <c r="A64" s="102"/>
      <c r="B64" s="102"/>
      <c r="C64" s="102"/>
      <c r="D64" s="102"/>
      <c r="E64" s="102"/>
      <c r="F64" s="102"/>
      <c r="G64" s="102"/>
      <c r="H64" s="102"/>
      <c r="I64" s="102"/>
      <c r="J64" s="335"/>
      <c r="K64" s="102"/>
      <c r="L64" s="102"/>
      <c r="M64" s="102"/>
      <c r="N64" s="102"/>
      <c r="O64" s="102"/>
      <c r="P64" s="102"/>
      <c r="Q64" s="102"/>
      <c r="R64" s="102"/>
      <c r="T64" s="159" t="str">
        <f>DATA_PERIOD</f>
        <v>DATA: __X__ BASE PERIOD   ____FORECASTED PERIOD</v>
      </c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G64" s="188"/>
      <c r="AI64" s="80"/>
      <c r="AJ64" s="80"/>
      <c r="AK64" s="188"/>
      <c r="AL64" s="80"/>
      <c r="AM64" s="80"/>
      <c r="AO64" s="82" t="s">
        <v>179</v>
      </c>
      <c r="AP64" s="82"/>
      <c r="AQ64" s="188"/>
    </row>
    <row r="65" spans="1:49" x14ac:dyDescent="0.25">
      <c r="J65" s="394"/>
      <c r="L65" s="103"/>
      <c r="M65" s="103"/>
      <c r="N65" s="103"/>
      <c r="O65" s="103"/>
      <c r="R65" s="103"/>
      <c r="T65" s="159" t="str">
        <f>TYPE</f>
        <v>TYPE OF FILING: _X_ ORIGINAL   ___UPDATED  ___ REVISED</v>
      </c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G65" s="188"/>
      <c r="AI65" s="80"/>
      <c r="AJ65" s="80"/>
      <c r="AK65" s="188"/>
      <c r="AL65" s="80"/>
      <c r="AM65" s="80"/>
      <c r="AO65" s="81" t="str">
        <f>R7</f>
        <v>PAGE  22 OF  22</v>
      </c>
      <c r="AP65" s="82"/>
      <c r="AQ65" s="188"/>
    </row>
    <row r="66" spans="1:49" x14ac:dyDescent="0.25">
      <c r="C66" s="103"/>
      <c r="D66" s="103"/>
      <c r="E66" s="103"/>
      <c r="F66" s="103"/>
      <c r="H66" s="103"/>
      <c r="I66" s="103"/>
      <c r="J66" s="336"/>
      <c r="K66" s="103"/>
      <c r="L66" s="103"/>
      <c r="M66" s="103"/>
      <c r="N66" s="103"/>
      <c r="O66" s="103"/>
      <c r="P66" s="103"/>
      <c r="Q66" s="103"/>
      <c r="R66" s="103"/>
      <c r="T66" s="82" t="s">
        <v>192</v>
      </c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188"/>
      <c r="AH66" s="80"/>
      <c r="AI66" s="80"/>
      <c r="AJ66" s="80"/>
      <c r="AK66" s="188"/>
      <c r="AL66" s="80"/>
      <c r="AM66" s="80"/>
      <c r="AN66" s="80"/>
      <c r="AO66" s="82" t="s">
        <v>3</v>
      </c>
      <c r="AP66" s="82"/>
      <c r="AQ66" s="188"/>
    </row>
    <row r="67" spans="1:49" x14ac:dyDescent="0.25">
      <c r="A67" s="102"/>
      <c r="B67" s="102"/>
      <c r="C67" s="102"/>
      <c r="D67" s="102"/>
      <c r="E67" s="102"/>
      <c r="F67" s="102"/>
      <c r="G67" s="102"/>
      <c r="H67" s="102"/>
      <c r="I67" s="102"/>
      <c r="J67" s="335"/>
      <c r="K67" s="102"/>
      <c r="L67" s="102"/>
      <c r="M67" s="102"/>
      <c r="N67" s="102"/>
      <c r="O67" s="102"/>
      <c r="P67" s="102"/>
      <c r="Q67" s="102"/>
      <c r="R67" s="102"/>
      <c r="T67" s="258" t="str">
        <f>TIME</f>
        <v>6 Months Actual and 6 Months Projected</v>
      </c>
      <c r="U67" s="80"/>
      <c r="V67" s="80"/>
      <c r="W67" s="80"/>
      <c r="X67" s="80"/>
      <c r="Y67" s="80"/>
      <c r="Z67" s="80"/>
      <c r="AA67" s="80"/>
      <c r="AB67" s="80"/>
      <c r="AC67" s="80"/>
      <c r="AD67" s="80"/>
      <c r="AF67" s="82"/>
      <c r="AG67" s="188"/>
      <c r="AH67" s="80"/>
      <c r="AI67" s="80"/>
      <c r="AJ67" s="80"/>
      <c r="AK67" s="188"/>
      <c r="AL67" s="80"/>
      <c r="AM67" s="80"/>
      <c r="AN67" s="80"/>
      <c r="AO67" s="189" t="str">
        <f>WIT</f>
        <v>B. L. SAILERS</v>
      </c>
      <c r="AP67" s="159"/>
      <c r="AQ67" s="188"/>
    </row>
    <row r="68" spans="1:49" x14ac:dyDescent="0.25">
      <c r="H68" s="103"/>
      <c r="I68" s="103"/>
      <c r="J68" s="336"/>
      <c r="K68" s="103"/>
      <c r="L68" s="103"/>
      <c r="M68" s="103"/>
      <c r="N68" s="103"/>
      <c r="O68" s="103"/>
      <c r="P68" s="103"/>
      <c r="Q68" s="103"/>
      <c r="R68" s="103"/>
      <c r="T68" s="187" t="s">
        <v>152</v>
      </c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87"/>
      <c r="AF68" s="187"/>
      <c r="AG68" s="190"/>
      <c r="AH68" s="150"/>
      <c r="AI68" s="150"/>
      <c r="AJ68" s="150"/>
      <c r="AK68" s="190"/>
      <c r="AL68" s="150"/>
      <c r="AM68" s="150"/>
      <c r="AN68" s="150"/>
      <c r="AO68" s="187"/>
      <c r="AP68" s="187"/>
      <c r="AQ68" s="190"/>
    </row>
    <row r="69" spans="1:49" x14ac:dyDescent="0.25">
      <c r="A69" s="202"/>
      <c r="C69" s="154"/>
      <c r="D69" s="154"/>
      <c r="E69" s="154"/>
      <c r="J69" s="394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91"/>
      <c r="AH69" s="151"/>
      <c r="AI69" s="151"/>
      <c r="AJ69" s="151"/>
      <c r="AK69" s="191"/>
      <c r="AL69" s="151"/>
      <c r="AM69" s="151"/>
      <c r="AN69" s="151"/>
      <c r="AO69" s="151"/>
      <c r="AP69" s="151"/>
      <c r="AQ69" s="191"/>
    </row>
    <row r="70" spans="1:49" ht="18" customHeight="1" x14ac:dyDescent="0.25">
      <c r="A70" s="202"/>
      <c r="C70" s="154"/>
      <c r="J70" s="394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93" t="s">
        <v>8</v>
      </c>
      <c r="AF70" s="193"/>
      <c r="AG70" s="194" t="s">
        <v>7</v>
      </c>
      <c r="AH70" s="193"/>
      <c r="AI70" s="193" t="s">
        <v>9</v>
      </c>
      <c r="AJ70" s="193"/>
      <c r="AK70" s="194" t="s">
        <v>10</v>
      </c>
      <c r="AL70" s="193"/>
      <c r="AM70" s="152"/>
      <c r="AN70" s="152"/>
      <c r="AO70" s="193" t="s">
        <v>8</v>
      </c>
      <c r="AP70" s="193"/>
      <c r="AQ70" s="194" t="s">
        <v>11</v>
      </c>
    </row>
    <row r="71" spans="1:49" x14ac:dyDescent="0.25">
      <c r="J71" s="394"/>
      <c r="T71" s="80"/>
      <c r="U71" s="80"/>
      <c r="V71" s="80"/>
      <c r="W71" s="80"/>
      <c r="X71" s="80"/>
      <c r="Y71" s="80"/>
      <c r="Z71" s="80"/>
      <c r="AA71" s="80"/>
      <c r="AB71" s="80"/>
      <c r="AC71" s="83" t="s">
        <v>14</v>
      </c>
      <c r="AD71" s="83"/>
      <c r="AE71" s="83" t="s">
        <v>12</v>
      </c>
      <c r="AF71" s="83"/>
      <c r="AG71" s="195" t="s">
        <v>13</v>
      </c>
      <c r="AH71" s="83"/>
      <c r="AI71" s="83" t="s">
        <v>15</v>
      </c>
      <c r="AJ71" s="83"/>
      <c r="AK71" s="195" t="s">
        <v>16</v>
      </c>
      <c r="AL71" s="83"/>
      <c r="AM71" s="80"/>
      <c r="AN71" s="80"/>
      <c r="AO71" s="83" t="s">
        <v>11</v>
      </c>
      <c r="AP71" s="83"/>
      <c r="AQ71" s="195" t="s">
        <v>9</v>
      </c>
    </row>
    <row r="72" spans="1:49" x14ac:dyDescent="0.25">
      <c r="A72" s="202"/>
      <c r="C72" s="154"/>
      <c r="F72" s="252"/>
      <c r="H72" s="252"/>
      <c r="I72" s="252"/>
      <c r="J72" s="329"/>
      <c r="K72" s="300"/>
      <c r="L72" s="200"/>
      <c r="M72" s="200"/>
      <c r="N72" s="210"/>
      <c r="O72" s="210"/>
      <c r="P72" s="202"/>
      <c r="Q72" s="202"/>
      <c r="R72" s="200"/>
      <c r="T72" s="83" t="s">
        <v>17</v>
      </c>
      <c r="U72" s="80"/>
      <c r="V72" s="83" t="s">
        <v>18</v>
      </c>
      <c r="W72" s="83" t="s">
        <v>19</v>
      </c>
      <c r="X72" s="83"/>
      <c r="Y72" s="83" t="s">
        <v>20</v>
      </c>
      <c r="Z72" s="80"/>
      <c r="AA72" s="80"/>
      <c r="AB72" s="80"/>
      <c r="AC72" s="83" t="s">
        <v>8</v>
      </c>
      <c r="AD72" s="83"/>
      <c r="AE72" s="83" t="s">
        <v>21</v>
      </c>
      <c r="AF72" s="83"/>
      <c r="AG72" s="195" t="s">
        <v>21</v>
      </c>
      <c r="AH72" s="83"/>
      <c r="AI72" s="83" t="s">
        <v>22</v>
      </c>
      <c r="AJ72" s="83"/>
      <c r="AK72" s="195" t="s">
        <v>22</v>
      </c>
      <c r="AL72" s="83"/>
      <c r="AM72" s="83" t="s">
        <v>21</v>
      </c>
      <c r="AN72" s="83"/>
      <c r="AO72" s="83" t="s">
        <v>9</v>
      </c>
      <c r="AP72" s="83"/>
      <c r="AQ72" s="195" t="s">
        <v>23</v>
      </c>
      <c r="AU72" s="104"/>
    </row>
    <row r="73" spans="1:49" x14ac:dyDescent="0.25">
      <c r="A73" s="202"/>
      <c r="C73" s="154"/>
      <c r="F73" s="252"/>
      <c r="H73" s="252"/>
      <c r="I73" s="252"/>
      <c r="J73" s="329"/>
      <c r="K73" s="300"/>
      <c r="L73" s="200"/>
      <c r="M73" s="200"/>
      <c r="N73" s="210"/>
      <c r="O73" s="210"/>
      <c r="P73" s="202"/>
      <c r="Q73" s="202"/>
      <c r="R73" s="200"/>
      <c r="T73" s="83" t="s">
        <v>24</v>
      </c>
      <c r="U73" s="80"/>
      <c r="V73" s="83" t="s">
        <v>25</v>
      </c>
      <c r="W73" s="83" t="s">
        <v>26</v>
      </c>
      <c r="X73" s="83"/>
      <c r="Y73" s="83" t="s">
        <v>27</v>
      </c>
      <c r="Z73" s="80"/>
      <c r="AA73" s="83" t="s">
        <v>28</v>
      </c>
      <c r="AB73" s="83"/>
      <c r="AC73" s="196" t="s">
        <v>431</v>
      </c>
      <c r="AD73" s="83"/>
      <c r="AE73" s="83" t="s">
        <v>9</v>
      </c>
      <c r="AF73" s="83"/>
      <c r="AG73" s="195" t="s">
        <v>9</v>
      </c>
      <c r="AH73" s="83"/>
      <c r="AI73" s="256" t="s">
        <v>31</v>
      </c>
      <c r="AJ73" s="256"/>
      <c r="AK73" s="257" t="s">
        <v>32</v>
      </c>
      <c r="AL73" s="83"/>
      <c r="AM73" s="83" t="s">
        <v>430</v>
      </c>
      <c r="AN73" s="83"/>
      <c r="AO73" s="256" t="s">
        <v>33</v>
      </c>
      <c r="AP73" s="256"/>
      <c r="AQ73" s="257" t="s">
        <v>34</v>
      </c>
      <c r="AU73" s="104"/>
      <c r="AW73" s="101" t="s">
        <v>403</v>
      </c>
    </row>
    <row r="74" spans="1:49" x14ac:dyDescent="0.25">
      <c r="A74" s="202"/>
      <c r="C74" s="154"/>
      <c r="F74" s="252"/>
      <c r="H74" s="252"/>
      <c r="I74" s="252"/>
      <c r="J74" s="329"/>
      <c r="K74" s="300"/>
      <c r="L74" s="200"/>
      <c r="M74" s="200"/>
      <c r="N74" s="210"/>
      <c r="O74" s="210"/>
      <c r="P74" s="202"/>
      <c r="Q74" s="202"/>
      <c r="R74" s="200"/>
      <c r="T74" s="80"/>
      <c r="U74" s="80"/>
      <c r="V74" s="256" t="s">
        <v>35</v>
      </c>
      <c r="W74" s="256" t="s">
        <v>36</v>
      </c>
      <c r="X74" s="256"/>
      <c r="Y74" s="256" t="s">
        <v>37</v>
      </c>
      <c r="Z74" s="258"/>
      <c r="AA74" s="256" t="s">
        <v>38</v>
      </c>
      <c r="AB74" s="256"/>
      <c r="AC74" s="256" t="s">
        <v>44</v>
      </c>
      <c r="AD74" s="256"/>
      <c r="AE74" s="256" t="s">
        <v>45</v>
      </c>
      <c r="AF74" s="256"/>
      <c r="AG74" s="257" t="s">
        <v>46</v>
      </c>
      <c r="AH74" s="256"/>
      <c r="AI74" s="256" t="s">
        <v>47</v>
      </c>
      <c r="AJ74" s="256"/>
      <c r="AK74" s="257" t="s">
        <v>48</v>
      </c>
      <c r="AL74" s="256"/>
      <c r="AM74" s="256" t="s">
        <v>42</v>
      </c>
      <c r="AN74" s="256"/>
      <c r="AO74" s="256" t="s">
        <v>49</v>
      </c>
      <c r="AP74" s="256"/>
      <c r="AQ74" s="257" t="s">
        <v>50</v>
      </c>
      <c r="AU74" s="104"/>
    </row>
    <row r="75" spans="1:49" ht="17.100000000000001" customHeight="1" x14ac:dyDescent="0.25">
      <c r="F75" s="211"/>
      <c r="H75" s="200"/>
      <c r="I75" s="200"/>
      <c r="J75" s="329"/>
      <c r="K75" s="305"/>
      <c r="L75" s="211"/>
      <c r="M75" s="211"/>
      <c r="N75" s="211"/>
      <c r="O75" s="211"/>
      <c r="P75" s="211"/>
      <c r="Q75" s="211"/>
      <c r="R75" s="211"/>
      <c r="T75" s="152"/>
      <c r="U75" s="152"/>
      <c r="V75" s="152"/>
      <c r="W75" s="152"/>
      <c r="X75" s="152"/>
      <c r="Y75" s="152"/>
      <c r="Z75" s="152"/>
      <c r="AA75" s="376" t="s">
        <v>51</v>
      </c>
      <c r="AB75" s="376"/>
      <c r="AC75" s="375" t="s">
        <v>71</v>
      </c>
      <c r="AD75" s="376"/>
      <c r="AE75" s="376" t="s">
        <v>52</v>
      </c>
      <c r="AF75" s="376"/>
      <c r="AG75" s="381" t="s">
        <v>53</v>
      </c>
      <c r="AH75" s="376"/>
      <c r="AI75" s="376" t="s">
        <v>52</v>
      </c>
      <c r="AJ75" s="376"/>
      <c r="AK75" s="381" t="s">
        <v>53</v>
      </c>
      <c r="AL75" s="376"/>
      <c r="AM75" s="376" t="s">
        <v>52</v>
      </c>
      <c r="AN75" s="376"/>
      <c r="AO75" s="376" t="s">
        <v>52</v>
      </c>
      <c r="AP75" s="376"/>
      <c r="AQ75" s="381" t="s">
        <v>53</v>
      </c>
    </row>
    <row r="76" spans="1:49" x14ac:dyDescent="0.25">
      <c r="A76" s="202"/>
      <c r="C76" s="154"/>
      <c r="F76" s="200"/>
      <c r="H76" s="200"/>
      <c r="I76" s="200"/>
      <c r="J76" s="329"/>
      <c r="K76" s="305"/>
      <c r="L76" s="200"/>
      <c r="M76" s="200"/>
      <c r="N76" s="210"/>
      <c r="O76" s="210"/>
      <c r="P76" s="200"/>
      <c r="Q76" s="200"/>
      <c r="R76" s="200"/>
      <c r="T76" s="159">
        <v>1</v>
      </c>
      <c r="U76" s="80"/>
      <c r="V76" s="253" t="s">
        <v>72</v>
      </c>
      <c r="W76" s="253" t="s">
        <v>73</v>
      </c>
      <c r="X76" s="82"/>
      <c r="Y76" s="70"/>
      <c r="Z76" s="70"/>
      <c r="AA76" s="70"/>
      <c r="AB76" s="70"/>
      <c r="AC76" s="70"/>
      <c r="AD76" s="70"/>
      <c r="AE76" s="70"/>
      <c r="AF76" s="70"/>
      <c r="AG76" s="164"/>
      <c r="AH76" s="70"/>
      <c r="AI76" s="70"/>
      <c r="AJ76" s="70"/>
      <c r="AK76" s="164"/>
      <c r="AL76" s="70"/>
      <c r="AM76" s="70"/>
      <c r="AN76" s="70"/>
      <c r="AO76" s="70"/>
      <c r="AP76" s="70"/>
      <c r="AQ76" s="164"/>
    </row>
    <row r="77" spans="1:49" x14ac:dyDescent="0.25">
      <c r="A77" s="202"/>
      <c r="C77" s="154"/>
      <c r="F77" s="252"/>
      <c r="H77" s="252"/>
      <c r="I77" s="252"/>
      <c r="J77" s="329"/>
      <c r="K77" s="328"/>
      <c r="L77" s="200"/>
      <c r="M77" s="200"/>
      <c r="N77" s="210"/>
      <c r="O77" s="210"/>
      <c r="P77" s="200"/>
      <c r="Q77" s="200"/>
      <c r="R77" s="200"/>
      <c r="S77" s="200"/>
      <c r="T77" s="80">
        <v>2</v>
      </c>
      <c r="U77" s="80"/>
      <c r="V77" s="258"/>
      <c r="W77" s="253" t="s">
        <v>74</v>
      </c>
      <c r="X77" s="82"/>
      <c r="Y77" s="70"/>
      <c r="Z77" s="70"/>
      <c r="AA77" s="70"/>
      <c r="AB77" s="70"/>
      <c r="AC77" s="70"/>
      <c r="AD77" s="70"/>
      <c r="AE77" s="70"/>
      <c r="AF77" s="70"/>
      <c r="AG77" s="164"/>
      <c r="AH77" s="70"/>
      <c r="AI77" s="70"/>
      <c r="AJ77" s="70"/>
      <c r="AK77" s="164"/>
      <c r="AL77" s="70"/>
      <c r="AM77" s="70"/>
      <c r="AN77" s="70"/>
      <c r="AO77" s="70"/>
      <c r="AP77" s="70"/>
      <c r="AQ77" s="164"/>
    </row>
    <row r="78" spans="1:49" x14ac:dyDescent="0.25">
      <c r="A78" s="202"/>
      <c r="C78" s="154"/>
      <c r="F78" s="252"/>
      <c r="H78" s="252"/>
      <c r="I78" s="252"/>
      <c r="J78" s="329"/>
      <c r="K78" s="300"/>
      <c r="L78" s="200"/>
      <c r="M78" s="200"/>
      <c r="N78" s="210"/>
      <c r="O78" s="210"/>
      <c r="P78" s="200"/>
      <c r="Q78" s="200"/>
      <c r="R78" s="200"/>
      <c r="T78" s="80"/>
      <c r="U78" s="80"/>
      <c r="V78" s="258"/>
      <c r="W78" s="258"/>
      <c r="X78" s="80"/>
      <c r="Y78" s="70"/>
      <c r="Z78" s="70"/>
      <c r="AA78" s="70"/>
      <c r="AB78" s="70"/>
      <c r="AC78" s="278"/>
      <c r="AD78" s="70"/>
      <c r="AE78" s="70"/>
      <c r="AF78" s="70"/>
      <c r="AG78" s="164"/>
      <c r="AH78" s="70"/>
      <c r="AI78" s="70"/>
      <c r="AJ78" s="70"/>
      <c r="AK78" s="164"/>
      <c r="AL78" s="70"/>
      <c r="AM78" s="70"/>
      <c r="AN78" s="70"/>
      <c r="AO78" s="70"/>
      <c r="AP78" s="70"/>
      <c r="AQ78" s="164"/>
    </row>
    <row r="79" spans="1:49" x14ac:dyDescent="0.25">
      <c r="A79" s="202"/>
      <c r="C79" s="154"/>
      <c r="F79" s="252"/>
      <c r="H79" s="252"/>
      <c r="I79" s="252"/>
      <c r="J79" s="329"/>
      <c r="K79" s="300"/>
      <c r="L79" s="200"/>
      <c r="M79" s="200"/>
      <c r="N79" s="210"/>
      <c r="O79" s="210"/>
      <c r="P79" s="200"/>
      <c r="Q79" s="200"/>
      <c r="R79" s="200"/>
      <c r="T79" s="159">
        <v>3</v>
      </c>
      <c r="U79" s="80"/>
      <c r="V79" s="265" t="s">
        <v>283</v>
      </c>
      <c r="W79" s="258"/>
      <c r="X79" s="80"/>
      <c r="Y79" s="78"/>
      <c r="Z79" s="79"/>
      <c r="AA79" s="78"/>
      <c r="AB79" s="78"/>
      <c r="AC79" s="352"/>
      <c r="AD79" s="352"/>
      <c r="AE79" s="79"/>
      <c r="AF79" s="79"/>
      <c r="AG79" s="155"/>
      <c r="AH79" s="156"/>
      <c r="AI79" s="79"/>
      <c r="AJ79" s="79"/>
      <c r="AK79" s="155"/>
      <c r="AL79" s="158"/>
      <c r="AM79" s="79"/>
      <c r="AN79" s="79"/>
      <c r="AO79" s="79"/>
      <c r="AP79" s="79"/>
      <c r="AQ79" s="155"/>
    </row>
    <row r="80" spans="1:49" x14ac:dyDescent="0.25">
      <c r="A80" s="202"/>
      <c r="C80" s="154"/>
      <c r="F80" s="252"/>
      <c r="H80" s="252"/>
      <c r="I80" s="252"/>
      <c r="J80" s="329"/>
      <c r="K80" s="300"/>
      <c r="L80" s="200"/>
      <c r="M80" s="200"/>
      <c r="N80" s="210"/>
      <c r="O80" s="210"/>
      <c r="P80" s="200"/>
      <c r="Q80" s="200"/>
      <c r="R80" s="200"/>
      <c r="T80" s="159">
        <v>4</v>
      </c>
      <c r="U80" s="80"/>
      <c r="V80" s="82" t="s">
        <v>284</v>
      </c>
      <c r="W80" s="80"/>
      <c r="X80" s="80"/>
      <c r="Y80" s="78">
        <f>F22</f>
        <v>6816</v>
      </c>
      <c r="Z80" s="79"/>
      <c r="AA80" s="78">
        <f>H22</f>
        <v>484504</v>
      </c>
      <c r="AB80" s="78"/>
      <c r="AC80" s="349">
        <v>7.29</v>
      </c>
      <c r="AD80" s="352"/>
      <c r="AE80" s="79">
        <f>ROUND(Y80*AC80,0)</f>
        <v>49689</v>
      </c>
      <c r="AF80" s="79"/>
      <c r="AG80" s="155">
        <f>ROUND((AE80/AE$112)*100,1)</f>
        <v>26.2</v>
      </c>
      <c r="AH80" s="156"/>
      <c r="AI80" s="79">
        <f>L22-AE80</f>
        <v>5930</v>
      </c>
      <c r="AJ80" s="79"/>
      <c r="AK80" s="155">
        <f>IF(AE80=0,"0.0 ",ROUND((AI80/AE80)*100,1))</f>
        <v>11.9</v>
      </c>
      <c r="AL80" s="158"/>
      <c r="AM80" s="79">
        <f>ROUND((AM$112/AA$112)*AA80,0)</f>
        <v>498</v>
      </c>
      <c r="AN80" s="79"/>
      <c r="AO80" s="79">
        <f>AM80+AE80</f>
        <v>50187</v>
      </c>
      <c r="AP80" s="79"/>
      <c r="AQ80" s="155">
        <f>IF(AO80=0,"0.0 ",ROUND((AI80/AO80)*100,1))</f>
        <v>11.8</v>
      </c>
      <c r="AU80" s="394"/>
      <c r="AW80" s="189">
        <f>853</f>
        <v>853</v>
      </c>
    </row>
    <row r="81" spans="1:49" x14ac:dyDescent="0.25">
      <c r="A81" s="202"/>
      <c r="C81" s="154"/>
      <c r="F81" s="252"/>
      <c r="H81" s="252"/>
      <c r="I81" s="252"/>
      <c r="J81" s="329"/>
      <c r="K81" s="300"/>
      <c r="L81" s="200"/>
      <c r="M81" s="200"/>
      <c r="N81" s="210"/>
      <c r="O81" s="210"/>
      <c r="P81" s="200"/>
      <c r="Q81" s="200"/>
      <c r="R81" s="200"/>
      <c r="T81" s="159">
        <v>5</v>
      </c>
      <c r="U81" s="80"/>
      <c r="V81" s="82" t="s">
        <v>285</v>
      </c>
      <c r="W81" s="80"/>
      <c r="X81" s="80"/>
      <c r="Y81" s="78">
        <f>F23</f>
        <v>2328</v>
      </c>
      <c r="Z81" s="79"/>
      <c r="AA81" s="78">
        <f>H23</f>
        <v>169556</v>
      </c>
      <c r="AB81" s="78"/>
      <c r="AC81" s="349">
        <v>7.32</v>
      </c>
      <c r="AD81" s="352"/>
      <c r="AE81" s="79">
        <f>ROUND(Y81*AC81,0)</f>
        <v>17041</v>
      </c>
      <c r="AF81" s="79"/>
      <c r="AG81" s="155">
        <f>ROUND((AE81/AE$112)*100,1)</f>
        <v>9</v>
      </c>
      <c r="AH81" s="156"/>
      <c r="AI81" s="79">
        <f>L23-AE81</f>
        <v>2025</v>
      </c>
      <c r="AJ81" s="79"/>
      <c r="AK81" s="157">
        <f>IF(AE81=0,"0.0 ",ROUND((AI81/AE81)*100,1))</f>
        <v>11.9</v>
      </c>
      <c r="AL81" s="158"/>
      <c r="AM81" s="79">
        <f>ROUND((AM$112/AA$112)*AA81,0)</f>
        <v>174</v>
      </c>
      <c r="AN81" s="79"/>
      <c r="AO81" s="79">
        <f>AM81+AE81</f>
        <v>17215</v>
      </c>
      <c r="AP81" s="79"/>
      <c r="AQ81" s="157">
        <f>IF(AO81=0,"0.0 ",ROUND((AI81/AO81)*100,1))</f>
        <v>11.8</v>
      </c>
      <c r="AU81" s="394"/>
      <c r="AW81" s="189">
        <v>874</v>
      </c>
    </row>
    <row r="82" spans="1:49" x14ac:dyDescent="0.25">
      <c r="A82" s="202"/>
      <c r="C82" s="154"/>
      <c r="F82" s="252"/>
      <c r="H82" s="252"/>
      <c r="I82" s="252"/>
      <c r="J82" s="329"/>
      <c r="K82" s="300"/>
      <c r="L82" s="200"/>
      <c r="M82" s="200"/>
      <c r="N82" s="210"/>
      <c r="O82" s="210"/>
      <c r="P82" s="200"/>
      <c r="Q82" s="200"/>
      <c r="R82" s="200"/>
      <c r="T82" s="159">
        <v>6</v>
      </c>
      <c r="U82" s="80"/>
      <c r="V82" s="82" t="s">
        <v>286</v>
      </c>
      <c r="W82" s="80"/>
      <c r="X82" s="80"/>
      <c r="Y82" s="78">
        <f>F24</f>
        <v>696</v>
      </c>
      <c r="Z82" s="70"/>
      <c r="AA82" s="78">
        <f>H24</f>
        <v>50692</v>
      </c>
      <c r="AB82" s="70"/>
      <c r="AC82" s="349">
        <v>7.32</v>
      </c>
      <c r="AD82" s="70"/>
      <c r="AE82" s="79">
        <f>ROUND(Y82*AC82,0)</f>
        <v>5095</v>
      </c>
      <c r="AF82" s="70"/>
      <c r="AG82" s="155">
        <f>ROUND((AE82/AE$112)*100,1)</f>
        <v>2.7</v>
      </c>
      <c r="AH82" s="70"/>
      <c r="AI82" s="79">
        <f>L24-AE82</f>
        <v>605</v>
      </c>
      <c r="AJ82" s="70"/>
      <c r="AK82" s="157">
        <f>IF(AE82=0,"0.0 ",ROUND((AI82/AE82)*100,1))</f>
        <v>11.9</v>
      </c>
      <c r="AL82" s="70"/>
      <c r="AM82" s="79">
        <f>ROUND((AM$112/AA$112)*AA82,0)</f>
        <v>52</v>
      </c>
      <c r="AN82" s="70"/>
      <c r="AO82" s="79">
        <f>AM82+AE82</f>
        <v>5147</v>
      </c>
      <c r="AP82" s="70"/>
      <c r="AQ82" s="157">
        <f>IF(AO82=0,"0.0 ",ROUND((AI82/AO82)*100,1))</f>
        <v>11.8</v>
      </c>
      <c r="AU82" s="394"/>
      <c r="AW82" s="189">
        <v>874</v>
      </c>
    </row>
    <row r="83" spans="1:49" x14ac:dyDescent="0.25">
      <c r="A83" s="202"/>
      <c r="C83" s="154"/>
      <c r="F83" s="252"/>
      <c r="H83" s="252"/>
      <c r="I83" s="252"/>
      <c r="J83" s="329"/>
      <c r="K83" s="300"/>
      <c r="L83" s="200"/>
      <c r="M83" s="200"/>
      <c r="N83" s="210"/>
      <c r="O83" s="210"/>
      <c r="P83" s="200"/>
      <c r="Q83" s="200"/>
      <c r="R83" s="200"/>
      <c r="T83" s="159">
        <v>7</v>
      </c>
      <c r="U83" s="80"/>
      <c r="V83" s="82" t="s">
        <v>287</v>
      </c>
      <c r="W83" s="80"/>
      <c r="X83" s="80"/>
      <c r="Y83" s="78">
        <f>F25</f>
        <v>132</v>
      </c>
      <c r="Z83" s="70"/>
      <c r="AA83" s="78">
        <f>H25</f>
        <v>9614</v>
      </c>
      <c r="AB83" s="70"/>
      <c r="AC83" s="349">
        <v>7.32</v>
      </c>
      <c r="AD83" s="70"/>
      <c r="AE83" s="79">
        <f>ROUND(Y83*AC83,0)</f>
        <v>966</v>
      </c>
      <c r="AF83" s="70"/>
      <c r="AG83" s="155">
        <f>ROUND((AE83/AE$112)*100,1)</f>
        <v>0.5</v>
      </c>
      <c r="AH83" s="70"/>
      <c r="AI83" s="79">
        <f>L25-AE83</f>
        <v>115</v>
      </c>
      <c r="AJ83" s="70"/>
      <c r="AK83" s="157">
        <f>IF(AE83=0,"0.0 ",ROUND((AI83/AE83)*100,1))</f>
        <v>11.9</v>
      </c>
      <c r="AL83" s="70"/>
      <c r="AM83" s="79">
        <f>ROUND((AM$112/AA$112)*AA83,0)</f>
        <v>10</v>
      </c>
      <c r="AN83" s="70"/>
      <c r="AO83" s="79">
        <f>AM83+AE83</f>
        <v>976</v>
      </c>
      <c r="AP83" s="70"/>
      <c r="AQ83" s="157">
        <f>IF(AO83=0,"0.0 ",ROUND((AI83/AO83)*100,1))</f>
        <v>11.8</v>
      </c>
      <c r="AU83" s="394"/>
      <c r="AW83" s="189">
        <v>874</v>
      </c>
    </row>
    <row r="84" spans="1:49" x14ac:dyDescent="0.25">
      <c r="A84" s="202"/>
      <c r="C84" s="154"/>
      <c r="F84" s="252"/>
      <c r="H84" s="252"/>
      <c r="I84" s="252"/>
      <c r="J84" s="329"/>
      <c r="K84" s="300"/>
      <c r="L84" s="200"/>
      <c r="M84" s="200"/>
      <c r="N84" s="210"/>
      <c r="O84" s="210"/>
      <c r="P84" s="200"/>
      <c r="Q84" s="200"/>
      <c r="R84" s="200"/>
      <c r="T84" s="80"/>
      <c r="U84" s="80"/>
      <c r="V84" s="80"/>
      <c r="W84" s="80"/>
      <c r="X84" s="80"/>
      <c r="Y84" s="70"/>
      <c r="Z84" s="70"/>
      <c r="AA84" s="70"/>
      <c r="AB84" s="70"/>
      <c r="AC84" s="80"/>
      <c r="AD84" s="70"/>
      <c r="AE84" s="70"/>
      <c r="AF84" s="70"/>
      <c r="AG84" s="164"/>
      <c r="AH84" s="70"/>
      <c r="AI84" s="70"/>
      <c r="AJ84" s="70"/>
      <c r="AK84" s="164"/>
      <c r="AL84" s="70"/>
      <c r="AM84" s="70"/>
      <c r="AN84" s="70"/>
      <c r="AO84" s="70"/>
      <c r="AP84" s="70"/>
      <c r="AQ84" s="164"/>
      <c r="AW84" s="80"/>
    </row>
    <row r="85" spans="1:49" x14ac:dyDescent="0.25">
      <c r="F85" s="200"/>
      <c r="H85" s="200"/>
      <c r="I85" s="200"/>
      <c r="J85" s="329"/>
      <c r="K85" s="305"/>
      <c r="L85" s="211"/>
      <c r="M85" s="211"/>
      <c r="N85" s="211"/>
      <c r="O85" s="211"/>
      <c r="P85" s="211"/>
      <c r="Q85" s="211"/>
      <c r="R85" s="211"/>
      <c r="T85" s="159">
        <v>8</v>
      </c>
      <c r="U85" s="80"/>
      <c r="V85" s="253" t="s">
        <v>528</v>
      </c>
      <c r="W85" s="80"/>
      <c r="X85" s="80"/>
      <c r="Y85" s="79"/>
      <c r="Z85" s="70"/>
      <c r="AA85" s="79"/>
      <c r="AB85" s="79"/>
      <c r="AC85" s="349"/>
      <c r="AD85" s="433"/>
      <c r="AE85" s="163"/>
      <c r="AF85" s="163"/>
      <c r="AG85" s="155"/>
      <c r="AH85" s="198"/>
      <c r="AI85" s="163"/>
      <c r="AJ85" s="163"/>
      <c r="AK85" s="172"/>
      <c r="AL85" s="199"/>
      <c r="AM85" s="163"/>
      <c r="AN85" s="163"/>
      <c r="AO85" s="163"/>
      <c r="AP85" s="163"/>
      <c r="AQ85" s="172"/>
      <c r="AW85" s="189"/>
    </row>
    <row r="86" spans="1:49" x14ac:dyDescent="0.25">
      <c r="F86" s="200"/>
      <c r="H86" s="200"/>
      <c r="I86" s="200"/>
      <c r="J86" s="329"/>
      <c r="K86" s="305"/>
      <c r="L86" s="211"/>
      <c r="M86" s="211"/>
      <c r="N86" s="211"/>
      <c r="O86" s="211"/>
      <c r="P86" s="211"/>
      <c r="Q86" s="211"/>
      <c r="R86" s="211"/>
      <c r="T86" s="159">
        <v>9</v>
      </c>
      <c r="U86" s="80"/>
      <c r="V86" s="82" t="s">
        <v>385</v>
      </c>
      <c r="W86" s="80"/>
      <c r="X86" s="80"/>
      <c r="Y86" s="78">
        <f>F28</f>
        <v>3144</v>
      </c>
      <c r="Z86" s="70"/>
      <c r="AA86" s="78">
        <f>H28</f>
        <v>223486</v>
      </c>
      <c r="AB86" s="79"/>
      <c r="AC86" s="349">
        <v>7.29</v>
      </c>
      <c r="AD86" s="433"/>
      <c r="AE86" s="163">
        <f>ROUND(Y86*AC86,0)</f>
        <v>22920</v>
      </c>
      <c r="AF86" s="163"/>
      <c r="AG86" s="155">
        <f>ROUND((AE86/AE$112)*100,1)</f>
        <v>12.1</v>
      </c>
      <c r="AH86" s="198"/>
      <c r="AI86" s="79">
        <f>L28-AE86</f>
        <v>2735</v>
      </c>
      <c r="AJ86" s="163"/>
      <c r="AK86" s="172">
        <f>IF(AE86=0,"0.0 ",ROUND((AI86/AE86)*100,1))</f>
        <v>11.9</v>
      </c>
      <c r="AL86" s="199"/>
      <c r="AM86" s="79">
        <f>ROUND((AM$112/AA$112)*AA86,0)</f>
        <v>230</v>
      </c>
      <c r="AN86" s="163"/>
      <c r="AO86" s="163">
        <f>AM86+AE86</f>
        <v>23150</v>
      </c>
      <c r="AP86" s="163"/>
      <c r="AQ86" s="172">
        <f>IF(AO86=0,"0.0 ",ROUND((AI86/AO86)*100,1))</f>
        <v>11.8</v>
      </c>
      <c r="AU86" s="394"/>
      <c r="AW86" s="189">
        <v>853</v>
      </c>
    </row>
    <row r="87" spans="1:49" x14ac:dyDescent="0.25">
      <c r="F87" s="200"/>
      <c r="H87" s="200"/>
      <c r="I87" s="200"/>
      <c r="J87" s="329"/>
      <c r="K87" s="305"/>
      <c r="L87" s="211"/>
      <c r="M87" s="211"/>
      <c r="N87" s="211"/>
      <c r="O87" s="211"/>
      <c r="P87" s="211"/>
      <c r="Q87" s="211"/>
      <c r="R87" s="211"/>
      <c r="T87" s="159">
        <v>10</v>
      </c>
      <c r="U87" s="80"/>
      <c r="V87" s="82" t="s">
        <v>529</v>
      </c>
      <c r="W87" s="80"/>
      <c r="X87" s="80"/>
      <c r="Y87" s="78">
        <f>F29</f>
        <v>0</v>
      </c>
      <c r="Z87" s="70"/>
      <c r="AA87" s="78">
        <f>H29</f>
        <v>0</v>
      </c>
      <c r="AB87" s="79"/>
      <c r="AC87" s="349">
        <v>7.32</v>
      </c>
      <c r="AD87" s="433"/>
      <c r="AE87" s="163">
        <f>ROUND(Y87*AC87,0)</f>
        <v>0</v>
      </c>
      <c r="AF87" s="163"/>
      <c r="AG87" s="155">
        <f>ROUND((AE87/AE$112)*100,1)</f>
        <v>0</v>
      </c>
      <c r="AH87" s="198"/>
      <c r="AI87" s="79">
        <f>L29-AE87</f>
        <v>0</v>
      </c>
      <c r="AJ87" s="163"/>
      <c r="AK87" s="172" t="str">
        <f>IF(AE87=0,"0.0 ",ROUND((AI87/AE87)*100,1))</f>
        <v xml:space="preserve">0.0 </v>
      </c>
      <c r="AL87" s="199"/>
      <c r="AM87" s="79">
        <f>ROUND((AM$112/AA$112)*AA87,0)</f>
        <v>0</v>
      </c>
      <c r="AN87" s="163"/>
      <c r="AO87" s="163">
        <f>AM87+AE87</f>
        <v>0</v>
      </c>
      <c r="AP87" s="163"/>
      <c r="AQ87" s="172" t="str">
        <f>IF(AO87=0,"0.0 ",ROUND((AI87/AO87)*100,1))</f>
        <v xml:space="preserve">0.0 </v>
      </c>
      <c r="AU87" s="394"/>
      <c r="AW87" s="189">
        <v>874</v>
      </c>
    </row>
    <row r="88" spans="1:49" x14ac:dyDescent="0.25">
      <c r="F88" s="200"/>
      <c r="H88" s="200"/>
      <c r="I88" s="200"/>
      <c r="J88" s="329"/>
      <c r="K88" s="305"/>
      <c r="L88" s="211"/>
      <c r="M88" s="211"/>
      <c r="N88" s="211"/>
      <c r="O88" s="211"/>
      <c r="P88" s="211"/>
      <c r="Q88" s="211"/>
      <c r="R88" s="211"/>
      <c r="T88" s="159">
        <v>11</v>
      </c>
      <c r="U88" s="80"/>
      <c r="V88" s="82" t="s">
        <v>530</v>
      </c>
      <c r="W88" s="80"/>
      <c r="X88" s="80"/>
      <c r="Y88" s="78">
        <f>F30</f>
        <v>588</v>
      </c>
      <c r="Z88" s="70"/>
      <c r="AA88" s="78">
        <f>H30</f>
        <v>42826</v>
      </c>
      <c r="AB88" s="163"/>
      <c r="AC88" s="329">
        <v>7.32</v>
      </c>
      <c r="AD88" s="433"/>
      <c r="AE88" s="163">
        <f>ROUND(Y88*AC88,0)</f>
        <v>4304</v>
      </c>
      <c r="AF88" s="163"/>
      <c r="AG88" s="197">
        <f>ROUND((AE88/AE$112)*100,1)</f>
        <v>2.2999999999999998</v>
      </c>
      <c r="AH88" s="198"/>
      <c r="AI88" s="79">
        <f>L30-AE88</f>
        <v>512</v>
      </c>
      <c r="AJ88" s="163"/>
      <c r="AK88" s="172">
        <f>IF(AE88=0,"0.0 ",ROUND((AI88/AE88)*100,1))</f>
        <v>11.9</v>
      </c>
      <c r="AL88" s="199"/>
      <c r="AM88" s="163">
        <f>ROUND((AM$112/AA$112)*AA88,0)</f>
        <v>44</v>
      </c>
      <c r="AN88" s="163"/>
      <c r="AO88" s="163">
        <f>AM88+AE88</f>
        <v>4348</v>
      </c>
      <c r="AP88" s="163"/>
      <c r="AQ88" s="172">
        <f>IF(AO88=0,"0.0 ",ROUND((AI88/AO88)*100,1))</f>
        <v>11.8</v>
      </c>
      <c r="AU88" s="394"/>
      <c r="AW88" s="200">
        <v>874</v>
      </c>
    </row>
    <row r="89" spans="1:49" x14ac:dyDescent="0.25">
      <c r="A89" s="202"/>
      <c r="C89" s="154"/>
      <c r="F89" s="252"/>
      <c r="H89" s="252"/>
      <c r="I89" s="252"/>
      <c r="J89" s="329"/>
      <c r="K89" s="300"/>
      <c r="L89" s="200"/>
      <c r="M89" s="200"/>
      <c r="N89" s="210"/>
      <c r="O89" s="210"/>
      <c r="P89" s="200"/>
      <c r="Q89" s="200"/>
      <c r="R89" s="200"/>
      <c r="T89" s="80"/>
      <c r="U89" s="80"/>
      <c r="V89" s="80"/>
      <c r="W89" s="80"/>
      <c r="X89" s="80"/>
      <c r="Y89" s="70"/>
      <c r="Z89" s="70"/>
      <c r="AA89" s="70"/>
      <c r="AB89" s="70"/>
      <c r="AC89" s="80"/>
      <c r="AD89" s="70"/>
      <c r="AE89" s="70"/>
      <c r="AF89" s="70"/>
      <c r="AG89" s="164"/>
      <c r="AH89" s="70"/>
      <c r="AI89" s="70"/>
      <c r="AJ89" s="70"/>
      <c r="AK89" s="164"/>
      <c r="AL89" s="70"/>
      <c r="AM89" s="70"/>
      <c r="AN89" s="70"/>
      <c r="AO89" s="70"/>
      <c r="AP89" s="70"/>
      <c r="AQ89" s="164"/>
      <c r="AW89" s="80"/>
    </row>
    <row r="90" spans="1:49" x14ac:dyDescent="0.25">
      <c r="A90" s="202"/>
      <c r="C90" s="154"/>
      <c r="F90" s="252"/>
      <c r="H90" s="252"/>
      <c r="I90" s="252"/>
      <c r="J90" s="329"/>
      <c r="K90" s="300"/>
      <c r="L90" s="200"/>
      <c r="M90" s="200"/>
      <c r="N90" s="210"/>
      <c r="O90" s="210"/>
      <c r="P90" s="200"/>
      <c r="Q90" s="200"/>
      <c r="R90" s="200"/>
      <c r="T90" s="159">
        <v>12</v>
      </c>
      <c r="U90" s="80"/>
      <c r="V90" s="265" t="s">
        <v>288</v>
      </c>
      <c r="W90" s="80"/>
      <c r="X90" s="80"/>
      <c r="Y90" s="70"/>
      <c r="Z90" s="70"/>
      <c r="AA90" s="70"/>
      <c r="AB90" s="70"/>
      <c r="AC90" s="182"/>
      <c r="AD90" s="70"/>
      <c r="AE90" s="70"/>
      <c r="AF90" s="70"/>
      <c r="AG90" s="164"/>
      <c r="AH90" s="70"/>
      <c r="AI90" s="70"/>
      <c r="AJ90" s="70"/>
      <c r="AK90" s="164"/>
      <c r="AL90" s="70"/>
      <c r="AM90" s="70"/>
      <c r="AN90" s="70"/>
      <c r="AO90" s="70"/>
      <c r="AP90" s="70"/>
      <c r="AQ90" s="164"/>
      <c r="AW90" s="80"/>
    </row>
    <row r="91" spans="1:49" x14ac:dyDescent="0.25">
      <c r="A91" s="202"/>
      <c r="C91" s="154"/>
      <c r="F91" s="252"/>
      <c r="H91" s="252"/>
      <c r="I91" s="252"/>
      <c r="J91" s="329"/>
      <c r="K91" s="300"/>
      <c r="L91" s="200"/>
      <c r="M91" s="200"/>
      <c r="N91" s="210"/>
      <c r="O91" s="210"/>
      <c r="P91" s="200"/>
      <c r="Q91" s="200"/>
      <c r="R91" s="200"/>
      <c r="T91" s="159">
        <v>13</v>
      </c>
      <c r="U91" s="80"/>
      <c r="V91" s="82" t="s">
        <v>284</v>
      </c>
      <c r="W91" s="80"/>
      <c r="X91" s="80"/>
      <c r="Y91" s="78">
        <f t="shared" ref="Y91" si="12">F33</f>
        <v>3192</v>
      </c>
      <c r="Z91" s="70"/>
      <c r="AA91" s="78">
        <f t="shared" ref="AA91" si="13">H33</f>
        <v>129542</v>
      </c>
      <c r="AB91" s="70"/>
      <c r="AC91" s="349">
        <v>7.95</v>
      </c>
      <c r="AD91" s="70"/>
      <c r="AE91" s="79">
        <f t="shared" ref="AE91:AE97" si="14">ROUND(Y91*AC91,0)</f>
        <v>25376</v>
      </c>
      <c r="AF91" s="70"/>
      <c r="AG91" s="155">
        <f t="shared" ref="AG91:AG97" si="15">ROUND((AE91/AE$112)*100,1)</f>
        <v>13.4</v>
      </c>
      <c r="AH91" s="70"/>
      <c r="AI91" s="79">
        <f t="shared" ref="AI91:AI97" si="16">L33-AE91</f>
        <v>3001</v>
      </c>
      <c r="AJ91" s="70"/>
      <c r="AK91" s="157">
        <f t="shared" ref="AK91:AK97" si="17">IF(AE91=0,"0.0 ",ROUND((AI91/AE91)*100,1))</f>
        <v>11.8</v>
      </c>
      <c r="AL91" s="70"/>
      <c r="AM91" s="79">
        <f t="shared" ref="AM91:AM97" si="18">ROUND((AM$112/AA$112)*AA91,0)</f>
        <v>133</v>
      </c>
      <c r="AN91" s="70"/>
      <c r="AO91" s="79">
        <f t="shared" ref="AO91:AO97" si="19">AM91+AE91</f>
        <v>25509</v>
      </c>
      <c r="AP91" s="70"/>
      <c r="AQ91" s="157">
        <f t="shared" ref="AQ91:AQ97" si="20">IF(AO91=0,"0.0 ",ROUND((AI91/AO91)*100,1))</f>
        <v>11.8</v>
      </c>
      <c r="AU91" s="394"/>
      <c r="AW91" s="225">
        <v>487</v>
      </c>
    </row>
    <row r="92" spans="1:49" x14ac:dyDescent="0.25">
      <c r="A92" s="202"/>
      <c r="C92" s="154"/>
      <c r="F92" s="252"/>
      <c r="H92" s="252"/>
      <c r="I92" s="252"/>
      <c r="J92" s="329"/>
      <c r="K92" s="300"/>
      <c r="L92" s="200"/>
      <c r="M92" s="200"/>
      <c r="N92" s="210"/>
      <c r="O92" s="210"/>
      <c r="P92" s="200"/>
      <c r="Q92" s="200"/>
      <c r="R92" s="200"/>
      <c r="T92" s="159">
        <v>15</v>
      </c>
      <c r="U92" s="80"/>
      <c r="V92" s="82" t="s">
        <v>285</v>
      </c>
      <c r="W92" s="80"/>
      <c r="X92" s="80"/>
      <c r="Y92" s="78">
        <f t="shared" ref="Y92:Y97" si="21">F34</f>
        <v>2364</v>
      </c>
      <c r="Z92" s="70"/>
      <c r="AA92" s="78">
        <f t="shared" ref="AA92:AA97" si="22">H34</f>
        <v>104804</v>
      </c>
      <c r="AB92" s="70"/>
      <c r="AC92" s="349">
        <v>8.0500000000000007</v>
      </c>
      <c r="AD92" s="70"/>
      <c r="AE92" s="79">
        <f>ROUND(Y92*AC92,0)</f>
        <v>19030</v>
      </c>
      <c r="AF92" s="70"/>
      <c r="AG92" s="155">
        <f t="shared" si="15"/>
        <v>10</v>
      </c>
      <c r="AH92" s="70"/>
      <c r="AI92" s="79">
        <f t="shared" si="16"/>
        <v>2270</v>
      </c>
      <c r="AJ92" s="70"/>
      <c r="AK92" s="157">
        <f>IF(AE92=0,"0.0 ",ROUND((AI92/AE92)*100,1))</f>
        <v>11.9</v>
      </c>
      <c r="AL92" s="70"/>
      <c r="AM92" s="79">
        <f t="shared" si="18"/>
        <v>108</v>
      </c>
      <c r="AN92" s="70"/>
      <c r="AO92" s="79">
        <f>AM92+AE92</f>
        <v>19138</v>
      </c>
      <c r="AP92" s="70"/>
      <c r="AQ92" s="157">
        <f>IF(AO92=0,"0.0 ",ROUND((AI92/AO92)*100,1))</f>
        <v>11.9</v>
      </c>
      <c r="AU92" s="394"/>
      <c r="AW92" s="189">
        <v>532</v>
      </c>
    </row>
    <row r="93" spans="1:49" x14ac:dyDescent="0.25">
      <c r="A93" s="202"/>
      <c r="C93" s="154"/>
      <c r="F93" s="252"/>
      <c r="H93" s="252"/>
      <c r="I93" s="252"/>
      <c r="J93" s="329"/>
      <c r="K93" s="300"/>
      <c r="L93" s="200"/>
      <c r="M93" s="200"/>
      <c r="N93" s="210"/>
      <c r="O93" s="210"/>
      <c r="P93" s="200"/>
      <c r="Q93" s="200"/>
      <c r="R93" s="200"/>
      <c r="T93" s="159">
        <v>16</v>
      </c>
      <c r="U93" s="80"/>
      <c r="V93" s="81" t="s">
        <v>289</v>
      </c>
      <c r="W93" s="80"/>
      <c r="X93" s="80"/>
      <c r="Y93" s="78">
        <f t="shared" si="21"/>
        <v>972</v>
      </c>
      <c r="Z93" s="70"/>
      <c r="AA93" s="78">
        <f t="shared" si="22"/>
        <v>39447</v>
      </c>
      <c r="AB93" s="70"/>
      <c r="AC93" s="349">
        <v>7.95</v>
      </c>
      <c r="AD93" s="70"/>
      <c r="AE93" s="79">
        <f>ROUND(Y93*AC93,0)</f>
        <v>7727</v>
      </c>
      <c r="AF93" s="70"/>
      <c r="AG93" s="155">
        <f t="shared" si="15"/>
        <v>4.0999999999999996</v>
      </c>
      <c r="AH93" s="70"/>
      <c r="AI93" s="79">
        <f t="shared" si="16"/>
        <v>914</v>
      </c>
      <c r="AJ93" s="70"/>
      <c r="AK93" s="157">
        <f>IF(AE93=0,"0.0 ",ROUND((AI93/AE93)*100,1))</f>
        <v>11.8</v>
      </c>
      <c r="AL93" s="70"/>
      <c r="AM93" s="79">
        <f t="shared" si="18"/>
        <v>41</v>
      </c>
      <c r="AN93" s="70"/>
      <c r="AO93" s="79">
        <f>AM93+AE93</f>
        <v>7768</v>
      </c>
      <c r="AP93" s="70"/>
      <c r="AQ93" s="157">
        <f>IF(AO93=0,"0.0 ",ROUND((AI93/AO93)*100,1))</f>
        <v>11.8</v>
      </c>
      <c r="AU93" s="394"/>
      <c r="AW93" s="189">
        <v>487</v>
      </c>
    </row>
    <row r="94" spans="1:49" x14ac:dyDescent="0.25">
      <c r="A94" s="202"/>
      <c r="C94" s="154"/>
      <c r="F94" s="200"/>
      <c r="H94" s="200"/>
      <c r="I94" s="200"/>
      <c r="J94" s="329"/>
      <c r="K94" s="305"/>
      <c r="L94" s="200"/>
      <c r="M94" s="200"/>
      <c r="N94" s="210"/>
      <c r="O94" s="210"/>
      <c r="P94" s="200"/>
      <c r="Q94" s="200"/>
      <c r="R94" s="200"/>
      <c r="T94" s="159">
        <v>17</v>
      </c>
      <c r="U94" s="80"/>
      <c r="V94" s="82" t="s">
        <v>286</v>
      </c>
      <c r="W94" s="80"/>
      <c r="X94" s="80"/>
      <c r="Y94" s="78">
        <f t="shared" si="21"/>
        <v>1272</v>
      </c>
      <c r="Z94" s="70"/>
      <c r="AA94" s="78">
        <f t="shared" si="22"/>
        <v>56392</v>
      </c>
      <c r="AB94" s="78"/>
      <c r="AC94" s="349">
        <v>8.0399999999999991</v>
      </c>
      <c r="AD94" s="352"/>
      <c r="AE94" s="79">
        <f>ROUND(Y94*AC94,0)</f>
        <v>10227</v>
      </c>
      <c r="AF94" s="79"/>
      <c r="AG94" s="155">
        <f t="shared" si="15"/>
        <v>5.4</v>
      </c>
      <c r="AH94" s="156"/>
      <c r="AI94" s="79">
        <f t="shared" si="16"/>
        <v>1221</v>
      </c>
      <c r="AJ94" s="79"/>
      <c r="AK94" s="157">
        <f>IF(AE94=0,"0.0 ",ROUND((AI94/AE94)*100,1))</f>
        <v>11.9</v>
      </c>
      <c r="AL94" s="158"/>
      <c r="AM94" s="79">
        <f t="shared" si="18"/>
        <v>58</v>
      </c>
      <c r="AN94" s="79"/>
      <c r="AO94" s="79">
        <f>AM94+AE94</f>
        <v>10285</v>
      </c>
      <c r="AP94" s="79"/>
      <c r="AQ94" s="157">
        <f>IF(AO94=0,"0.0 ",ROUND((AI94/AO94)*100,1))</f>
        <v>11.9</v>
      </c>
      <c r="AU94" s="394"/>
      <c r="AW94" s="189">
        <v>532</v>
      </c>
    </row>
    <row r="95" spans="1:49" x14ac:dyDescent="0.25">
      <c r="A95" s="202"/>
      <c r="C95" s="154"/>
      <c r="F95" s="200"/>
      <c r="H95" s="200"/>
      <c r="I95" s="200"/>
      <c r="J95" s="329"/>
      <c r="K95" s="305"/>
      <c r="L95" s="200"/>
      <c r="M95" s="200"/>
      <c r="N95" s="200"/>
      <c r="O95" s="200"/>
      <c r="P95" s="200"/>
      <c r="Q95" s="200"/>
      <c r="R95" s="200"/>
      <c r="T95" s="159">
        <v>19</v>
      </c>
      <c r="U95" s="80"/>
      <c r="V95" s="82" t="s">
        <v>287</v>
      </c>
      <c r="W95" s="80"/>
      <c r="X95" s="80"/>
      <c r="Y95" s="78">
        <f t="shared" si="21"/>
        <v>2580</v>
      </c>
      <c r="Z95" s="70"/>
      <c r="AA95" s="78">
        <f t="shared" si="22"/>
        <v>114380</v>
      </c>
      <c r="AB95" s="78"/>
      <c r="AC95" s="349">
        <v>8.0399999999999991</v>
      </c>
      <c r="AD95" s="268"/>
      <c r="AE95" s="79">
        <f>ROUND(Y95*AC95,0)</f>
        <v>20743</v>
      </c>
      <c r="AF95" s="79"/>
      <c r="AG95" s="155">
        <f t="shared" si="15"/>
        <v>10.9</v>
      </c>
      <c r="AH95" s="156"/>
      <c r="AI95" s="79">
        <f t="shared" si="16"/>
        <v>2477</v>
      </c>
      <c r="AJ95" s="79"/>
      <c r="AK95" s="157">
        <f>IF(AE95=0,"0.0 ",ROUND((AI95/AE95)*100,1))</f>
        <v>11.9</v>
      </c>
      <c r="AL95" s="158"/>
      <c r="AM95" s="79">
        <f t="shared" si="18"/>
        <v>118</v>
      </c>
      <c r="AN95" s="79"/>
      <c r="AO95" s="79">
        <f>AM95+AE95</f>
        <v>20861</v>
      </c>
      <c r="AP95" s="79"/>
      <c r="AQ95" s="157">
        <f>IF(AO95=0,"0.0 ",ROUND((AI95/AO95)*100,1))</f>
        <v>11.9</v>
      </c>
      <c r="AU95" s="394"/>
      <c r="AW95" s="189">
        <v>532</v>
      </c>
    </row>
    <row r="96" spans="1:49" x14ac:dyDescent="0.25">
      <c r="A96" s="202"/>
      <c r="C96" s="154"/>
      <c r="F96" s="252"/>
      <c r="H96" s="252"/>
      <c r="I96" s="252"/>
      <c r="J96" s="329"/>
      <c r="K96" s="300"/>
      <c r="L96" s="200"/>
      <c r="M96" s="200"/>
      <c r="N96" s="210"/>
      <c r="O96" s="210"/>
      <c r="P96" s="200"/>
      <c r="Q96" s="200"/>
      <c r="R96" s="200"/>
      <c r="T96" s="159">
        <v>14</v>
      </c>
      <c r="U96" s="80"/>
      <c r="V96" s="82" t="s">
        <v>385</v>
      </c>
      <c r="W96" s="80"/>
      <c r="X96" s="80"/>
      <c r="Y96" s="78">
        <f t="shared" si="21"/>
        <v>0</v>
      </c>
      <c r="Z96" s="70"/>
      <c r="AA96" s="78">
        <f t="shared" si="22"/>
        <v>0</v>
      </c>
      <c r="AB96" s="70"/>
      <c r="AC96" s="349">
        <v>7.95</v>
      </c>
      <c r="AD96" s="70"/>
      <c r="AE96" s="79">
        <f>ROUND(Y96*AC96,0)</f>
        <v>0</v>
      </c>
      <c r="AF96" s="70"/>
      <c r="AG96" s="155">
        <f t="shared" si="15"/>
        <v>0</v>
      </c>
      <c r="AH96" s="70"/>
      <c r="AI96" s="79">
        <f t="shared" si="16"/>
        <v>0</v>
      </c>
      <c r="AJ96" s="70"/>
      <c r="AK96" s="157" t="str">
        <f>IF(AE96=0,"0.0 ",ROUND((AI96/AE96)*100,1))</f>
        <v xml:space="preserve">0.0 </v>
      </c>
      <c r="AL96" s="70"/>
      <c r="AM96" s="79">
        <f t="shared" si="18"/>
        <v>0</v>
      </c>
      <c r="AN96" s="70"/>
      <c r="AO96" s="79">
        <f>AM96+AE96</f>
        <v>0</v>
      </c>
      <c r="AP96" s="70"/>
      <c r="AQ96" s="157" t="str">
        <f>IF(AO96=0,"0.0 ",ROUND((AI96/AO96)*100,1))</f>
        <v xml:space="preserve">0.0 </v>
      </c>
      <c r="AU96" s="394"/>
      <c r="AW96" s="225">
        <v>487</v>
      </c>
    </row>
    <row r="97" spans="1:49" x14ac:dyDescent="0.25">
      <c r="A97" s="202"/>
      <c r="C97" s="154"/>
      <c r="F97" s="200"/>
      <c r="H97" s="200"/>
      <c r="I97" s="200"/>
      <c r="J97" s="329"/>
      <c r="K97" s="305"/>
      <c r="L97" s="200"/>
      <c r="M97" s="200"/>
      <c r="N97" s="210"/>
      <c r="O97" s="210"/>
      <c r="P97" s="200"/>
      <c r="Q97" s="200"/>
      <c r="R97" s="200"/>
      <c r="T97" s="159">
        <v>18</v>
      </c>
      <c r="U97" s="80"/>
      <c r="V97" s="82" t="s">
        <v>349</v>
      </c>
      <c r="W97" s="80"/>
      <c r="X97" s="80"/>
      <c r="Y97" s="78">
        <f t="shared" si="21"/>
        <v>156</v>
      </c>
      <c r="Z97" s="70"/>
      <c r="AA97" s="78">
        <f t="shared" si="22"/>
        <v>6916</v>
      </c>
      <c r="AB97" s="78"/>
      <c r="AC97" s="349">
        <v>8.0399999999999991</v>
      </c>
      <c r="AD97" s="352"/>
      <c r="AE97" s="79">
        <f t="shared" si="14"/>
        <v>1254</v>
      </c>
      <c r="AF97" s="79"/>
      <c r="AG97" s="155">
        <f t="shared" si="15"/>
        <v>0.7</v>
      </c>
      <c r="AH97" s="156"/>
      <c r="AI97" s="79">
        <f t="shared" si="16"/>
        <v>150</v>
      </c>
      <c r="AJ97" s="79"/>
      <c r="AK97" s="157">
        <f t="shared" si="17"/>
        <v>12</v>
      </c>
      <c r="AL97" s="158"/>
      <c r="AM97" s="79">
        <f t="shared" si="18"/>
        <v>7</v>
      </c>
      <c r="AN97" s="79"/>
      <c r="AO97" s="79">
        <f t="shared" si="19"/>
        <v>1261</v>
      </c>
      <c r="AP97" s="79"/>
      <c r="AQ97" s="157">
        <f t="shared" si="20"/>
        <v>11.9</v>
      </c>
      <c r="AU97" s="394"/>
      <c r="AW97" s="189">
        <v>532</v>
      </c>
    </row>
    <row r="98" spans="1:49" x14ac:dyDescent="0.25">
      <c r="A98" s="202"/>
      <c r="C98" s="154"/>
      <c r="F98" s="200"/>
      <c r="H98" s="200"/>
      <c r="I98" s="200"/>
      <c r="J98" s="329"/>
      <c r="K98" s="305"/>
      <c r="L98" s="200"/>
      <c r="M98" s="200"/>
      <c r="N98" s="200"/>
      <c r="O98" s="200"/>
      <c r="P98" s="200"/>
      <c r="Q98" s="200"/>
      <c r="R98" s="200"/>
      <c r="T98" s="159"/>
      <c r="U98" s="80"/>
      <c r="V98" s="82"/>
      <c r="W98" s="80"/>
      <c r="X98" s="80"/>
      <c r="Y98" s="78"/>
      <c r="Z98" s="79"/>
      <c r="AA98" s="78"/>
      <c r="AB98" s="78"/>
      <c r="AC98" s="349"/>
      <c r="AD98" s="268"/>
      <c r="AE98" s="79"/>
      <c r="AF98" s="79"/>
      <c r="AG98" s="155"/>
      <c r="AH98" s="156"/>
      <c r="AI98" s="79"/>
      <c r="AJ98" s="79"/>
      <c r="AK98" s="155"/>
      <c r="AL98" s="158"/>
      <c r="AM98" s="79"/>
      <c r="AN98" s="79"/>
      <c r="AO98" s="79"/>
      <c r="AP98" s="79"/>
      <c r="AQ98" s="155"/>
      <c r="AW98" s="189"/>
    </row>
    <row r="99" spans="1:49" x14ac:dyDescent="0.25">
      <c r="A99" s="202"/>
      <c r="C99" s="154"/>
      <c r="F99" s="200"/>
      <c r="H99" s="200"/>
      <c r="I99" s="200"/>
      <c r="J99" s="329"/>
      <c r="K99" s="305"/>
      <c r="L99" s="200"/>
      <c r="M99" s="200"/>
      <c r="N99" s="200"/>
      <c r="O99" s="200"/>
      <c r="P99" s="200"/>
      <c r="Q99" s="200"/>
      <c r="R99" s="200"/>
      <c r="T99" s="159">
        <v>20</v>
      </c>
      <c r="U99" s="80"/>
      <c r="V99" s="253" t="s">
        <v>224</v>
      </c>
      <c r="W99" s="80"/>
      <c r="X99" s="80"/>
      <c r="Y99" s="78"/>
      <c r="Z99" s="79"/>
      <c r="AA99" s="78"/>
      <c r="AB99" s="78"/>
      <c r="AC99" s="349"/>
      <c r="AD99" s="268"/>
      <c r="AE99" s="79"/>
      <c r="AF99" s="79"/>
      <c r="AG99" s="155"/>
      <c r="AH99" s="156"/>
      <c r="AI99" s="79"/>
      <c r="AJ99" s="79"/>
      <c r="AK99" s="155"/>
      <c r="AL99" s="158"/>
      <c r="AM99" s="79"/>
      <c r="AN99" s="79"/>
      <c r="AO99" s="79"/>
      <c r="AP99" s="79"/>
      <c r="AQ99" s="155"/>
      <c r="AW99" s="189"/>
    </row>
    <row r="100" spans="1:49" x14ac:dyDescent="0.25">
      <c r="A100" s="202"/>
      <c r="C100" s="154"/>
      <c r="F100" s="200"/>
      <c r="H100" s="252"/>
      <c r="I100" s="252"/>
      <c r="J100" s="329"/>
      <c r="K100" s="329"/>
      <c r="L100" s="200"/>
      <c r="M100" s="200"/>
      <c r="N100" s="210"/>
      <c r="O100" s="210"/>
      <c r="P100" s="200"/>
      <c r="Q100" s="200"/>
      <c r="R100" s="200"/>
      <c r="T100" s="101">
        <v>21</v>
      </c>
      <c r="U100" s="80"/>
      <c r="V100" s="81" t="s">
        <v>292</v>
      </c>
      <c r="W100" s="80"/>
      <c r="X100" s="80"/>
      <c r="Y100" s="78">
        <f>F42</f>
        <v>480</v>
      </c>
      <c r="Z100" s="79"/>
      <c r="AA100" s="78">
        <f>H42</f>
        <v>40920</v>
      </c>
      <c r="AB100" s="78"/>
      <c r="AC100" s="349">
        <v>11.42</v>
      </c>
      <c r="AD100" s="352"/>
      <c r="AE100" s="79">
        <f>ROUND(Y100*AC100,0)</f>
        <v>5482</v>
      </c>
      <c r="AF100" s="79"/>
      <c r="AG100" s="155">
        <f>ROUND((AE100/AE$112)*100,1)</f>
        <v>2.9</v>
      </c>
      <c r="AH100" s="156"/>
      <c r="AI100" s="79">
        <f>L42-AE100</f>
        <v>652</v>
      </c>
      <c r="AJ100" s="79"/>
      <c r="AK100" s="157">
        <f>IF(AE100=0,"0.0 ",ROUND((AI100/AE100)*100,1))</f>
        <v>11.9</v>
      </c>
      <c r="AL100" s="158"/>
      <c r="AM100" s="79">
        <f>ROUND((AM$112/AA$112)*AA100,0)</f>
        <v>42</v>
      </c>
      <c r="AN100" s="79"/>
      <c r="AO100" s="79">
        <f>AM100+AE100</f>
        <v>5524</v>
      </c>
      <c r="AP100" s="79"/>
      <c r="AQ100" s="157">
        <f>IF(AO100=0,"0.0 ",ROUND((AI100/AO100)*100,1))</f>
        <v>11.8</v>
      </c>
      <c r="AU100" s="394"/>
      <c r="AW100" s="189">
        <v>1023</v>
      </c>
    </row>
    <row r="101" spans="1:49" x14ac:dyDescent="0.25">
      <c r="F101" s="200"/>
      <c r="H101" s="200"/>
      <c r="I101" s="200"/>
      <c r="J101" s="329"/>
      <c r="K101" s="305"/>
      <c r="L101" s="211"/>
      <c r="M101" s="211"/>
      <c r="N101" s="211"/>
      <c r="O101" s="211"/>
      <c r="P101" s="211"/>
      <c r="Q101" s="211"/>
      <c r="R101" s="211"/>
      <c r="T101" s="101">
        <v>22</v>
      </c>
      <c r="U101" s="80"/>
      <c r="V101" s="81" t="s">
        <v>291</v>
      </c>
      <c r="W101" s="80"/>
      <c r="X101" s="80"/>
      <c r="Y101" s="78">
        <f>F43</f>
        <v>24</v>
      </c>
      <c r="Z101" s="79"/>
      <c r="AA101" s="78">
        <f>H43</f>
        <v>3918</v>
      </c>
      <c r="AB101" s="78"/>
      <c r="AC101" s="349">
        <v>15.11</v>
      </c>
      <c r="AD101" s="352"/>
      <c r="AE101" s="79">
        <f>ROUND(Y101*AC101,0)</f>
        <v>363</v>
      </c>
      <c r="AF101" s="79"/>
      <c r="AG101" s="155">
        <f>ROUND((AE101/AE$112)*100,1)</f>
        <v>0.2</v>
      </c>
      <c r="AH101" s="156"/>
      <c r="AI101" s="163">
        <f>L43-AE101</f>
        <v>43</v>
      </c>
      <c r="AJ101" s="79"/>
      <c r="AK101" s="157">
        <f>IF(AE101=0,"0.0 ",ROUND((AI101/AE101)*100,1))</f>
        <v>11.8</v>
      </c>
      <c r="AL101" s="158"/>
      <c r="AM101" s="79">
        <f>ROUND((AM$112/AA$112)*AA101,0)</f>
        <v>4</v>
      </c>
      <c r="AN101" s="79"/>
      <c r="AO101" s="79">
        <f>AM101+AE101</f>
        <v>367</v>
      </c>
      <c r="AP101" s="79"/>
      <c r="AQ101" s="157">
        <f>IF(AO101=0,"0.0 ",ROUND((AI101/AO101)*100,1))</f>
        <v>11.7</v>
      </c>
      <c r="AU101" s="394"/>
      <c r="AW101" s="189">
        <v>1959</v>
      </c>
    </row>
    <row r="102" spans="1:49" x14ac:dyDescent="0.25">
      <c r="F102" s="200"/>
      <c r="H102" s="200"/>
      <c r="I102" s="200"/>
      <c r="J102" s="329"/>
      <c r="K102" s="305"/>
      <c r="L102" s="211"/>
      <c r="M102" s="211"/>
      <c r="N102" s="211"/>
      <c r="O102" s="211"/>
      <c r="P102" s="211"/>
      <c r="Q102" s="211"/>
      <c r="R102" s="211"/>
      <c r="T102" s="101">
        <v>23</v>
      </c>
      <c r="V102" s="101" t="s">
        <v>290</v>
      </c>
      <c r="W102" s="80"/>
      <c r="X102" s="80"/>
      <c r="Y102" s="286">
        <f>F44</f>
        <v>0</v>
      </c>
      <c r="Z102" s="163"/>
      <c r="AA102" s="286">
        <f>H44</f>
        <v>0</v>
      </c>
      <c r="AB102" s="230"/>
      <c r="AC102" s="329">
        <v>15.11</v>
      </c>
      <c r="AD102" s="433"/>
      <c r="AE102" s="167">
        <f>ROUND(Y102*AC102,0)</f>
        <v>0</v>
      </c>
      <c r="AF102" s="163"/>
      <c r="AG102" s="166">
        <f>ROUND((AE102/AE$112)*100,1)</f>
        <v>0</v>
      </c>
      <c r="AH102" s="198"/>
      <c r="AI102" s="167">
        <f>L44-AE102</f>
        <v>0</v>
      </c>
      <c r="AJ102" s="163"/>
      <c r="AK102" s="168" t="str">
        <f>IF(AE102=0,"0.0 ",ROUND((AI102/AE102)*100,1))</f>
        <v xml:space="preserve">0.0 </v>
      </c>
      <c r="AL102" s="199"/>
      <c r="AM102" s="167">
        <f>ROUND((AM$112/AA$112)*AA102,0)</f>
        <v>0</v>
      </c>
      <c r="AN102" s="163"/>
      <c r="AO102" s="167">
        <f>AM102+AE102</f>
        <v>0</v>
      </c>
      <c r="AP102" s="163"/>
      <c r="AQ102" s="172" t="str">
        <f>IF(AO102=0,"0.0 ",ROUND((AI102/AO102)*100,1))</f>
        <v xml:space="preserve">0.0 </v>
      </c>
      <c r="AU102" s="394"/>
      <c r="AW102" s="189">
        <v>1959</v>
      </c>
    </row>
    <row r="103" spans="1:49" ht="20.100000000000001" customHeight="1" x14ac:dyDescent="0.25">
      <c r="F103" s="200"/>
      <c r="H103" s="200"/>
      <c r="I103" s="200"/>
      <c r="J103" s="329"/>
      <c r="K103" s="305"/>
      <c r="L103" s="211"/>
      <c r="M103" s="211"/>
      <c r="N103" s="211"/>
      <c r="O103" s="211"/>
      <c r="P103" s="211"/>
      <c r="Q103" s="211"/>
      <c r="R103" s="211"/>
      <c r="T103" s="159">
        <v>24</v>
      </c>
      <c r="U103" s="80"/>
      <c r="V103" s="265" t="s">
        <v>598</v>
      </c>
      <c r="W103" s="80"/>
      <c r="X103" s="80"/>
      <c r="Y103" s="126">
        <f>SUM(Y80:Y102)</f>
        <v>24744</v>
      </c>
      <c r="Z103" s="163"/>
      <c r="AA103" s="126">
        <f>SUM(AA80:AA102)</f>
        <v>1476997</v>
      </c>
      <c r="AB103" s="230"/>
      <c r="AC103" s="329"/>
      <c r="AD103" s="433"/>
      <c r="AE103" s="126">
        <f>SUM(AE80:AE102)</f>
        <v>190217</v>
      </c>
      <c r="AF103" s="163"/>
      <c r="AG103" s="170">
        <f>ROUND((AE103/AE$112)*100,1)</f>
        <v>100.4</v>
      </c>
      <c r="AH103" s="198"/>
      <c r="AI103" s="126">
        <f>SUM(AI80:AI102)</f>
        <v>22650</v>
      </c>
      <c r="AJ103" s="163"/>
      <c r="AK103" s="171">
        <f>IF(AE103=0,"0.0 ",ROUND((AI103/AE103)*100,1))</f>
        <v>11.9</v>
      </c>
      <c r="AL103" s="199"/>
      <c r="AM103" s="126">
        <f>SUM(AM80:AM102)</f>
        <v>1519</v>
      </c>
      <c r="AN103" s="163"/>
      <c r="AO103" s="126">
        <f>SUM(AO80:AO102)</f>
        <v>191736</v>
      </c>
      <c r="AP103" s="163"/>
      <c r="AQ103" s="172">
        <f>IF(AO103=0,"0.0 ",ROUND((AI103/AO103)*100,1))</f>
        <v>11.8</v>
      </c>
      <c r="AU103" s="394"/>
      <c r="AW103" s="189"/>
    </row>
    <row r="104" spans="1:49" x14ac:dyDescent="0.25">
      <c r="F104" s="200"/>
      <c r="H104" s="200"/>
      <c r="I104" s="200"/>
      <c r="J104" s="329"/>
      <c r="K104" s="305"/>
      <c r="L104" s="211"/>
      <c r="M104" s="211"/>
      <c r="N104" s="211"/>
      <c r="O104" s="211"/>
      <c r="P104" s="211"/>
      <c r="Q104" s="211"/>
      <c r="R104" s="211"/>
      <c r="T104" s="159"/>
      <c r="U104" s="80"/>
      <c r="V104" s="265"/>
      <c r="W104" s="80"/>
      <c r="X104" s="80"/>
      <c r="Y104" s="230"/>
      <c r="Z104" s="163"/>
      <c r="AA104" s="230"/>
      <c r="AB104" s="230"/>
      <c r="AC104" s="329"/>
      <c r="AD104" s="433"/>
      <c r="AE104" s="163"/>
      <c r="AF104" s="163"/>
      <c r="AG104" s="197"/>
      <c r="AH104" s="198"/>
      <c r="AI104" s="163"/>
      <c r="AJ104" s="163"/>
      <c r="AK104" s="172"/>
      <c r="AL104" s="199"/>
      <c r="AM104" s="163"/>
      <c r="AN104" s="163"/>
      <c r="AO104" s="163"/>
      <c r="AP104" s="163"/>
      <c r="AQ104" s="172"/>
      <c r="AU104" s="394"/>
      <c r="AW104" s="189"/>
    </row>
    <row r="105" spans="1:49" x14ac:dyDescent="0.25">
      <c r="F105" s="200"/>
      <c r="H105" s="200"/>
      <c r="I105" s="200"/>
      <c r="J105" s="329"/>
      <c r="K105" s="305"/>
      <c r="L105" s="211"/>
      <c r="M105" s="211"/>
      <c r="N105" s="211"/>
      <c r="O105" s="211"/>
      <c r="P105" s="211"/>
      <c r="Q105" s="211"/>
      <c r="R105" s="211"/>
      <c r="T105" s="159">
        <f>A47</f>
        <v>25</v>
      </c>
      <c r="U105" s="80"/>
      <c r="V105" s="253" t="s">
        <v>591</v>
      </c>
      <c r="W105" s="80"/>
      <c r="X105" s="80"/>
      <c r="Y105" s="230"/>
      <c r="Z105" s="163"/>
      <c r="AA105" s="230"/>
      <c r="AB105" s="230"/>
      <c r="AC105" s="329"/>
      <c r="AD105" s="433"/>
      <c r="AE105" s="163"/>
      <c r="AF105" s="163"/>
      <c r="AG105" s="197"/>
      <c r="AH105" s="198"/>
      <c r="AI105" s="163"/>
      <c r="AJ105" s="163"/>
      <c r="AK105" s="172"/>
      <c r="AL105" s="199"/>
      <c r="AM105" s="163"/>
      <c r="AN105" s="163"/>
      <c r="AO105" s="163"/>
      <c r="AP105" s="163"/>
      <c r="AQ105" s="172"/>
      <c r="AU105" s="394"/>
      <c r="AW105" s="189"/>
    </row>
    <row r="106" spans="1:49" x14ac:dyDescent="0.25">
      <c r="F106" s="200"/>
      <c r="H106" s="200"/>
      <c r="I106" s="200"/>
      <c r="J106" s="329"/>
      <c r="K106" s="305"/>
      <c r="L106" s="211"/>
      <c r="M106" s="211"/>
      <c r="N106" s="211"/>
      <c r="O106" s="211"/>
      <c r="P106" s="211"/>
      <c r="Q106" s="211"/>
      <c r="R106" s="211"/>
      <c r="T106" s="159">
        <f t="shared" ref="T106:T110" si="23">A48</f>
        <v>26</v>
      </c>
      <c r="U106" s="80"/>
      <c r="V106" s="153" t="str">
        <f t="shared" ref="V106:V108" si="24">C48</f>
        <v>ENVIRONMENTAL SURCHARGE MECHANISM RIDER (ESM)</v>
      </c>
      <c r="W106" s="80"/>
      <c r="X106" s="80"/>
      <c r="Y106" s="230"/>
      <c r="Z106" s="163"/>
      <c r="AA106" s="230"/>
      <c r="AB106" s="230"/>
      <c r="AC106" s="401">
        <f>CUR_ESM</f>
        <v>0</v>
      </c>
      <c r="AD106" s="433"/>
      <c r="AE106" s="163">
        <f>ROUND($AO$103*AC106,0)</f>
        <v>0</v>
      </c>
      <c r="AF106" s="163"/>
      <c r="AG106" s="197">
        <f t="shared" ref="AG106:AG108" si="25">ROUND((AE106/AE$112)*100,1)</f>
        <v>0</v>
      </c>
      <c r="AH106" s="198"/>
      <c r="AI106" s="163">
        <f t="shared" ref="AI106:AI108" si="26">L48-AE106</f>
        <v>0</v>
      </c>
      <c r="AJ106" s="163"/>
      <c r="AK106" s="172" t="str">
        <f t="shared" ref="AK106:AK108" si="27">IF(AE106=0,"0.0 ",ROUND((AI106/AE106)*100,1))</f>
        <v xml:space="preserve">0.0 </v>
      </c>
      <c r="AL106" s="199"/>
      <c r="AM106" s="163"/>
      <c r="AN106" s="163"/>
      <c r="AO106" s="163">
        <f t="shared" ref="AO106:AO108" si="28">AM106+AE106</f>
        <v>0</v>
      </c>
      <c r="AP106" s="163"/>
      <c r="AQ106" s="172" t="str">
        <f t="shared" ref="AQ106:AQ108" si="29">IF(AO106=0,"0.0 ",ROUND((AI106/AO106)*100,1))</f>
        <v xml:space="preserve">0.0 </v>
      </c>
      <c r="AU106" s="394"/>
      <c r="AW106" s="189"/>
    </row>
    <row r="107" spans="1:49" x14ac:dyDescent="0.25">
      <c r="F107" s="200"/>
      <c r="H107" s="200"/>
      <c r="I107" s="200"/>
      <c r="J107" s="329"/>
      <c r="K107" s="305"/>
      <c r="L107" s="211"/>
      <c r="M107" s="211"/>
      <c r="N107" s="211"/>
      <c r="O107" s="211"/>
      <c r="P107" s="211"/>
      <c r="Q107" s="211"/>
      <c r="R107" s="211"/>
      <c r="T107" s="159">
        <f t="shared" si="23"/>
        <v>27</v>
      </c>
      <c r="U107" s="80"/>
      <c r="V107" s="153" t="str">
        <f t="shared" si="24"/>
        <v>DISTRIBUTION CAPITAL INVESTMENT RIDER (DCI)</v>
      </c>
      <c r="W107" s="80"/>
      <c r="X107" s="80"/>
      <c r="Y107" s="230"/>
      <c r="Z107" s="163"/>
      <c r="AA107" s="230"/>
      <c r="AB107" s="230"/>
      <c r="AC107" s="401">
        <f>CUR_DCI_SL</f>
        <v>0</v>
      </c>
      <c r="AD107" s="433"/>
      <c r="AE107" s="163">
        <f t="shared" ref="AE107:AE108" si="30">ROUND($AA$103*AC107,0)</f>
        <v>0</v>
      </c>
      <c r="AF107" s="163"/>
      <c r="AG107" s="197">
        <f t="shared" si="25"/>
        <v>0</v>
      </c>
      <c r="AH107" s="198"/>
      <c r="AI107" s="163">
        <f t="shared" si="26"/>
        <v>0</v>
      </c>
      <c r="AJ107" s="163"/>
      <c r="AK107" s="172" t="str">
        <f t="shared" si="27"/>
        <v xml:space="preserve">0.0 </v>
      </c>
      <c r="AL107" s="199"/>
      <c r="AM107" s="163"/>
      <c r="AN107" s="163"/>
      <c r="AO107" s="163">
        <f t="shared" si="28"/>
        <v>0</v>
      </c>
      <c r="AP107" s="163"/>
      <c r="AQ107" s="172" t="str">
        <f t="shared" si="29"/>
        <v xml:space="preserve">0.0 </v>
      </c>
      <c r="AU107" s="394"/>
      <c r="AW107" s="189"/>
    </row>
    <row r="108" spans="1:49" x14ac:dyDescent="0.25">
      <c r="F108" s="200"/>
      <c r="H108" s="200"/>
      <c r="I108" s="200"/>
      <c r="J108" s="329"/>
      <c r="K108" s="305"/>
      <c r="L108" s="211"/>
      <c r="M108" s="211"/>
      <c r="N108" s="211"/>
      <c r="O108" s="211"/>
      <c r="P108" s="211"/>
      <c r="Q108" s="211"/>
      <c r="R108" s="211"/>
      <c r="T108" s="159">
        <f t="shared" si="23"/>
        <v>28</v>
      </c>
      <c r="U108" s="80"/>
      <c r="V108" s="153" t="str">
        <f t="shared" si="24"/>
        <v>FERC TRANSMISSION COST RECOVERY RECONCILIATION (FTR)</v>
      </c>
      <c r="W108" s="80"/>
      <c r="X108" s="80"/>
      <c r="Y108" s="230"/>
      <c r="Z108" s="163"/>
      <c r="AA108" s="230"/>
      <c r="AB108" s="230"/>
      <c r="AC108" s="401">
        <f>CUR_FTR_SL</f>
        <v>0</v>
      </c>
      <c r="AD108" s="433"/>
      <c r="AE108" s="163">
        <f t="shared" si="30"/>
        <v>0</v>
      </c>
      <c r="AF108" s="163"/>
      <c r="AG108" s="197">
        <f t="shared" si="25"/>
        <v>0</v>
      </c>
      <c r="AH108" s="198"/>
      <c r="AI108" s="163">
        <f t="shared" si="26"/>
        <v>0</v>
      </c>
      <c r="AJ108" s="163"/>
      <c r="AK108" s="172" t="str">
        <f t="shared" si="27"/>
        <v xml:space="preserve">0.0 </v>
      </c>
      <c r="AL108" s="199"/>
      <c r="AM108" s="163"/>
      <c r="AN108" s="163"/>
      <c r="AO108" s="163">
        <f t="shared" si="28"/>
        <v>0</v>
      </c>
      <c r="AP108" s="163"/>
      <c r="AQ108" s="172" t="str">
        <f t="shared" si="29"/>
        <v xml:space="preserve">0.0 </v>
      </c>
      <c r="AU108" s="394"/>
      <c r="AW108" s="189"/>
    </row>
    <row r="109" spans="1:49" x14ac:dyDescent="0.25">
      <c r="F109" s="200"/>
      <c r="H109" s="200"/>
      <c r="I109" s="200"/>
      <c r="J109" s="329"/>
      <c r="K109" s="305"/>
      <c r="L109" s="211"/>
      <c r="M109" s="211"/>
      <c r="N109" s="211"/>
      <c r="O109" s="211"/>
      <c r="P109" s="211"/>
      <c r="Q109" s="211"/>
      <c r="R109" s="211"/>
      <c r="T109" s="159">
        <f t="shared" si="23"/>
        <v>29</v>
      </c>
      <c r="U109" s="80"/>
      <c r="V109" s="153" t="str">
        <f>C51</f>
        <v>PROFIT SHARING MECHANISM (PSM)</v>
      </c>
      <c r="W109" s="80"/>
      <c r="X109" s="80"/>
      <c r="Y109" s="230"/>
      <c r="Z109" s="163"/>
      <c r="AA109" s="230"/>
      <c r="AB109" s="230"/>
      <c r="AC109" s="288">
        <f>RS_PSM</f>
        <v>-4.5600000000000003E-4</v>
      </c>
      <c r="AD109" s="433"/>
      <c r="AE109" s="163">
        <f>ROUND($AA$103*AC109,0)</f>
        <v>-674</v>
      </c>
      <c r="AF109" s="163"/>
      <c r="AG109" s="166">
        <f>ROUND((AE109/AE$112)*100,1)</f>
        <v>-0.4</v>
      </c>
      <c r="AH109" s="198"/>
      <c r="AI109" s="167">
        <f>L51-AE109</f>
        <v>0</v>
      </c>
      <c r="AJ109" s="163"/>
      <c r="AK109" s="168">
        <f t="shared" ref="AK109:AK110" si="31">IF(AE109=0,"0.0 ",ROUND((AI109/AE109)*100,1))</f>
        <v>0</v>
      </c>
      <c r="AL109" s="199"/>
      <c r="AM109" s="167"/>
      <c r="AN109" s="163"/>
      <c r="AO109" s="167">
        <f t="shared" ref="AO109" si="32">AM109+AE109</f>
        <v>-674</v>
      </c>
      <c r="AP109" s="163"/>
      <c r="AQ109" s="172">
        <f t="shared" ref="AQ109:AQ110" si="33">IF(AO109=0,"0.0 ",ROUND((AI109/AO109)*100,1))</f>
        <v>0</v>
      </c>
      <c r="AU109" s="394"/>
      <c r="AW109" s="189"/>
    </row>
    <row r="110" spans="1:49" x14ac:dyDescent="0.25">
      <c r="F110" s="200"/>
      <c r="H110" s="200"/>
      <c r="I110" s="200"/>
      <c r="J110" s="329"/>
      <c r="K110" s="305"/>
      <c r="L110" s="211"/>
      <c r="M110" s="211"/>
      <c r="N110" s="211"/>
      <c r="O110" s="211"/>
      <c r="P110" s="211"/>
      <c r="Q110" s="211"/>
      <c r="R110" s="211"/>
      <c r="T110" s="159">
        <f t="shared" si="23"/>
        <v>30</v>
      </c>
      <c r="U110" s="80"/>
      <c r="V110" s="253" t="s">
        <v>585</v>
      </c>
      <c r="W110" s="80"/>
      <c r="X110" s="80"/>
      <c r="Y110" s="286"/>
      <c r="Z110" s="163"/>
      <c r="AA110" s="286"/>
      <c r="AB110" s="230"/>
      <c r="AC110" s="329"/>
      <c r="AD110" s="433"/>
      <c r="AE110" s="169">
        <f>SUM(AE106:AE109)</f>
        <v>-674</v>
      </c>
      <c r="AF110" s="163"/>
      <c r="AG110" s="170">
        <f>ROUND((AE110/AE$112)*100,1)</f>
        <v>-0.4</v>
      </c>
      <c r="AH110" s="198"/>
      <c r="AI110" s="169">
        <f>SUM(AI106:AI109)</f>
        <v>0</v>
      </c>
      <c r="AJ110" s="163"/>
      <c r="AK110" s="168">
        <f t="shared" si="31"/>
        <v>0</v>
      </c>
      <c r="AL110" s="199"/>
      <c r="AM110" s="169"/>
      <c r="AN110" s="163"/>
      <c r="AO110" s="169">
        <f>SUM(AO106:AO109)</f>
        <v>-674</v>
      </c>
      <c r="AP110" s="163"/>
      <c r="AQ110" s="172">
        <f t="shared" si="33"/>
        <v>0</v>
      </c>
      <c r="AU110" s="394"/>
      <c r="AW110" s="189"/>
    </row>
    <row r="111" spans="1:49" x14ac:dyDescent="0.25">
      <c r="F111" s="200"/>
      <c r="H111" s="200"/>
      <c r="I111" s="200"/>
      <c r="J111" s="329"/>
      <c r="K111" s="305"/>
      <c r="L111" s="211"/>
      <c r="M111" s="211"/>
      <c r="N111" s="211"/>
      <c r="O111" s="211"/>
      <c r="P111" s="211"/>
      <c r="Q111" s="211"/>
      <c r="R111" s="211"/>
      <c r="W111" s="80"/>
      <c r="X111" s="80"/>
      <c r="Y111" s="230"/>
      <c r="Z111" s="163"/>
      <c r="AA111" s="230"/>
      <c r="AB111" s="230"/>
      <c r="AC111" s="329"/>
      <c r="AD111" s="433"/>
      <c r="AE111" s="163"/>
      <c r="AF111" s="163"/>
      <c r="AG111" s="197"/>
      <c r="AH111" s="198"/>
      <c r="AI111" s="163"/>
      <c r="AJ111" s="163"/>
      <c r="AK111" s="172"/>
      <c r="AL111" s="199"/>
      <c r="AM111" s="163"/>
      <c r="AN111" s="163"/>
      <c r="AO111" s="163"/>
      <c r="AP111" s="163"/>
      <c r="AQ111" s="172"/>
      <c r="AU111" s="394"/>
      <c r="AW111" s="189"/>
    </row>
    <row r="112" spans="1:49" ht="20.100000000000001" customHeight="1" thickBot="1" x14ac:dyDescent="0.3">
      <c r="J112" s="394"/>
      <c r="T112" s="159">
        <f>A54</f>
        <v>31</v>
      </c>
      <c r="U112" s="80"/>
      <c r="V112" s="253" t="s">
        <v>599</v>
      </c>
      <c r="W112" s="80"/>
      <c r="X112" s="80"/>
      <c r="Y112" s="275">
        <f>Y103</f>
        <v>24744</v>
      </c>
      <c r="Z112" s="79"/>
      <c r="AA112" s="275">
        <f>AA103</f>
        <v>1476997</v>
      </c>
      <c r="AB112" s="79"/>
      <c r="AC112" s="352"/>
      <c r="AD112" s="352"/>
      <c r="AE112" s="275">
        <f>AE110+AE103</f>
        <v>189543</v>
      </c>
      <c r="AF112" s="79"/>
      <c r="AG112" s="291">
        <v>100</v>
      </c>
      <c r="AH112" s="158"/>
      <c r="AI112" s="275">
        <f>AI110+AI103</f>
        <v>22650</v>
      </c>
      <c r="AJ112" s="79"/>
      <c r="AK112" s="291">
        <f>ROUND((AI112/AE112)*100,1)</f>
        <v>11.9</v>
      </c>
      <c r="AL112" s="158"/>
      <c r="AM112" s="435">
        <f>ROUND(AA112*CUR_FAC,0)+1</f>
        <v>1519</v>
      </c>
      <c r="AN112" s="79"/>
      <c r="AO112" s="275">
        <f>AO110+AO103</f>
        <v>191062</v>
      </c>
      <c r="AP112" s="79"/>
      <c r="AQ112" s="197">
        <f>ROUND((AI112/AO112)*100,1)</f>
        <v>11.9</v>
      </c>
    </row>
    <row r="113" spans="1:43" ht="16.5" thickTop="1" x14ac:dyDescent="0.25">
      <c r="F113" s="200"/>
      <c r="H113" s="200"/>
      <c r="I113" s="200"/>
      <c r="J113" s="329"/>
      <c r="K113" s="305"/>
      <c r="L113" s="211"/>
      <c r="M113" s="211"/>
      <c r="N113" s="211"/>
      <c r="O113" s="211"/>
      <c r="P113" s="211"/>
      <c r="Q113" s="211"/>
      <c r="R113" s="211"/>
      <c r="T113" s="80"/>
      <c r="U113" s="80"/>
      <c r="V113" s="80"/>
      <c r="W113" s="80"/>
      <c r="X113" s="80"/>
      <c r="Y113" s="80"/>
      <c r="Z113" s="80"/>
      <c r="AA113" s="80"/>
      <c r="AB113" s="80"/>
      <c r="AC113" s="182"/>
      <c r="AD113" s="80"/>
      <c r="AE113" s="80"/>
      <c r="AF113" s="80"/>
      <c r="AG113" s="188"/>
      <c r="AH113" s="80"/>
      <c r="AI113" s="80"/>
      <c r="AJ113" s="80"/>
      <c r="AK113" s="188"/>
      <c r="AL113" s="80"/>
      <c r="AM113" s="80"/>
      <c r="AN113" s="80"/>
      <c r="AO113" s="80"/>
      <c r="AP113" s="80"/>
      <c r="AQ113" s="188"/>
    </row>
    <row r="114" spans="1:43" x14ac:dyDescent="0.25">
      <c r="A114" s="202"/>
      <c r="C114" s="154"/>
      <c r="F114" s="200"/>
      <c r="H114" s="200"/>
      <c r="I114" s="200"/>
      <c r="J114" s="334"/>
      <c r="K114" s="213"/>
      <c r="L114" s="200"/>
      <c r="M114" s="200"/>
      <c r="N114" s="210"/>
      <c r="O114" s="210"/>
      <c r="P114" s="200"/>
      <c r="Q114" s="200"/>
      <c r="R114" s="200"/>
      <c r="U114" s="80"/>
      <c r="V114" s="173" t="s">
        <v>80</v>
      </c>
      <c r="W114" s="80"/>
      <c r="X114" s="80"/>
      <c r="Y114" s="80"/>
      <c r="Z114" s="80"/>
      <c r="AA114" s="80"/>
      <c r="AB114" s="80"/>
      <c r="AC114" s="182"/>
      <c r="AD114" s="80"/>
      <c r="AE114" s="80"/>
      <c r="AF114" s="80"/>
      <c r="AG114" s="188"/>
      <c r="AH114" s="80"/>
      <c r="AI114" s="80"/>
      <c r="AJ114" s="80"/>
      <c r="AK114" s="188"/>
      <c r="AL114" s="80"/>
      <c r="AM114" s="80"/>
      <c r="AN114" s="80"/>
      <c r="AO114" s="80"/>
      <c r="AP114" s="80"/>
      <c r="AQ114" s="188"/>
    </row>
    <row r="115" spans="1:43" x14ac:dyDescent="0.25">
      <c r="A115" s="202"/>
      <c r="C115" s="154"/>
      <c r="F115" s="200"/>
      <c r="H115" s="200"/>
      <c r="I115" s="200"/>
      <c r="J115" s="334"/>
      <c r="K115" s="213"/>
      <c r="L115" s="200"/>
      <c r="M115" s="200"/>
      <c r="N115" s="210"/>
      <c r="O115" s="210"/>
      <c r="P115" s="200"/>
      <c r="Q115" s="200"/>
      <c r="R115" s="200"/>
      <c r="U115" s="80"/>
      <c r="V115" s="173" t="str">
        <f>"(2) REFLECTS FUEL COMPONENT OF "&amp;TEXT(CUR_FAC,"$0.000000;($0.000000)")&amp;" PER KWH."</f>
        <v>(2) REFLECTS FUEL COMPONENT OF $0.001028 PER KWH.</v>
      </c>
      <c r="W115" s="80"/>
      <c r="X115" s="80"/>
      <c r="Y115" s="80"/>
      <c r="Z115" s="80"/>
      <c r="AA115" s="80"/>
      <c r="AB115" s="80"/>
      <c r="AC115" s="182"/>
      <c r="AD115" s="80"/>
      <c r="AE115" s="80"/>
      <c r="AF115" s="80"/>
      <c r="AG115" s="188"/>
      <c r="AH115" s="80"/>
      <c r="AI115" s="80"/>
      <c r="AJ115" s="80"/>
      <c r="AK115" s="188"/>
      <c r="AL115" s="80"/>
      <c r="AM115" s="80"/>
      <c r="AN115" s="80"/>
      <c r="AO115" s="80"/>
      <c r="AP115" s="80"/>
      <c r="AQ115" s="188"/>
    </row>
    <row r="116" spans="1:43" x14ac:dyDescent="0.25">
      <c r="F116" s="200"/>
      <c r="H116" s="200"/>
      <c r="I116" s="200"/>
      <c r="J116" s="329"/>
      <c r="K116" s="305"/>
      <c r="L116" s="211"/>
      <c r="M116" s="211"/>
      <c r="N116" s="211"/>
      <c r="O116" s="211"/>
      <c r="P116" s="211"/>
      <c r="Q116" s="211"/>
      <c r="R116" s="211"/>
      <c r="U116" s="80"/>
      <c r="V116" s="173" t="str">
        <f>"(3) REFLECTS FUEL COST RECOVERY INCLUDED IN BASE RATES OF "&amp;TEXT(CUR_BASE_FUEL,"$0.000000;($0.000000)")&amp;"  PER KWH."</f>
        <v>(3) REFLECTS FUEL COST RECOVERY INCLUDED IN BASE RATES OF $0.023837  PER KWH.</v>
      </c>
      <c r="W116" s="80"/>
      <c r="X116" s="80"/>
      <c r="Y116" s="80"/>
      <c r="Z116" s="80"/>
      <c r="AA116" s="80"/>
      <c r="AB116" s="80"/>
      <c r="AC116" s="182"/>
      <c r="AD116" s="80"/>
      <c r="AE116" s="80"/>
      <c r="AF116" s="80"/>
      <c r="AG116" s="188"/>
      <c r="AH116" s="80"/>
      <c r="AI116" s="80"/>
      <c r="AJ116" s="80"/>
      <c r="AK116" s="188"/>
      <c r="AL116" s="80"/>
      <c r="AM116" s="80"/>
      <c r="AN116" s="80"/>
      <c r="AO116" s="80"/>
      <c r="AP116" s="80"/>
      <c r="AQ116" s="188"/>
    </row>
    <row r="117" spans="1:43" x14ac:dyDescent="0.25">
      <c r="A117" s="202"/>
      <c r="C117" s="154"/>
      <c r="F117" s="200"/>
      <c r="H117" s="200"/>
      <c r="I117" s="200"/>
      <c r="J117" s="334"/>
      <c r="K117" s="213"/>
      <c r="L117" s="200"/>
      <c r="M117" s="200"/>
      <c r="N117" s="210"/>
      <c r="O117" s="210"/>
      <c r="P117" s="200"/>
      <c r="Q117" s="200"/>
      <c r="R117" s="200"/>
      <c r="T117" s="82"/>
      <c r="U117" s="80"/>
      <c r="V117" s="80"/>
      <c r="W117" s="80"/>
      <c r="X117" s="80"/>
      <c r="Y117" s="80"/>
      <c r="Z117" s="80"/>
      <c r="AA117" s="80"/>
      <c r="AB117" s="80"/>
      <c r="AC117" s="182"/>
      <c r="AD117" s="80"/>
      <c r="AE117" s="80"/>
      <c r="AF117" s="80"/>
      <c r="AG117" s="188"/>
      <c r="AH117" s="80"/>
      <c r="AI117" s="80"/>
      <c r="AJ117" s="80"/>
      <c r="AK117" s="188"/>
      <c r="AL117" s="80"/>
      <c r="AM117" s="80"/>
      <c r="AN117" s="80"/>
      <c r="AO117" s="80"/>
      <c r="AP117" s="80"/>
      <c r="AQ117" s="188"/>
    </row>
    <row r="118" spans="1:43" x14ac:dyDescent="0.25">
      <c r="A118" s="202"/>
      <c r="C118" s="154"/>
      <c r="F118" s="252"/>
      <c r="H118" s="252"/>
      <c r="I118" s="252"/>
      <c r="J118" s="329"/>
      <c r="K118" s="320"/>
      <c r="L118" s="200"/>
      <c r="M118" s="200"/>
      <c r="N118" s="210"/>
      <c r="O118" s="210"/>
      <c r="P118" s="200"/>
      <c r="Q118" s="200"/>
      <c r="R118" s="200"/>
      <c r="V118" s="200"/>
      <c r="Y118" s="211"/>
      <c r="Z118" s="305"/>
      <c r="AA118" s="211"/>
      <c r="AB118" s="211"/>
      <c r="AC118" s="463"/>
      <c r="AD118" s="211"/>
      <c r="AE118" s="211"/>
      <c r="AF118" s="211"/>
      <c r="AI118" s="211"/>
      <c r="AJ118" s="211"/>
      <c r="AK118" s="212"/>
      <c r="AL118" s="211"/>
      <c r="AM118" s="210"/>
      <c r="AN118" s="210"/>
    </row>
    <row r="119" spans="1:43" x14ac:dyDescent="0.25">
      <c r="F119" s="211"/>
      <c r="H119" s="211"/>
      <c r="I119" s="211"/>
      <c r="J119" s="329"/>
      <c r="K119" s="305"/>
      <c r="L119" s="211"/>
      <c r="M119" s="211"/>
      <c r="N119" s="211"/>
      <c r="O119" s="211"/>
      <c r="P119" s="211"/>
      <c r="Q119" s="211"/>
      <c r="R119" s="211"/>
      <c r="T119" s="154"/>
      <c r="V119" s="200"/>
      <c r="Y119" s="200"/>
      <c r="Z119" s="305"/>
      <c r="AA119" s="200"/>
      <c r="AB119" s="200"/>
      <c r="AC119" s="334"/>
      <c r="AD119" s="200"/>
      <c r="AE119" s="200"/>
      <c r="AF119" s="200"/>
      <c r="AG119" s="209"/>
      <c r="AH119" s="201"/>
      <c r="AI119" s="200"/>
      <c r="AJ119" s="200"/>
      <c r="AK119" s="209"/>
      <c r="AL119" s="200"/>
      <c r="AM119" s="210"/>
      <c r="AN119" s="210"/>
    </row>
    <row r="120" spans="1:43" x14ac:dyDescent="0.25">
      <c r="A120" s="202"/>
      <c r="C120" s="154"/>
      <c r="F120" s="200"/>
      <c r="H120" s="200"/>
      <c r="I120" s="200"/>
      <c r="J120" s="329"/>
      <c r="K120" s="305"/>
      <c r="L120" s="200"/>
      <c r="M120" s="200"/>
      <c r="N120" s="210"/>
      <c r="O120" s="210"/>
      <c r="P120" s="200"/>
      <c r="Q120" s="200"/>
      <c r="R120" s="200"/>
      <c r="S120" s="200"/>
      <c r="T120" s="154"/>
      <c r="V120" s="200"/>
      <c r="Y120" s="200"/>
      <c r="Z120" s="329"/>
      <c r="AA120" s="200"/>
      <c r="AB120" s="200"/>
      <c r="AC120" s="334"/>
      <c r="AD120" s="210"/>
      <c r="AE120" s="200"/>
      <c r="AF120" s="200"/>
      <c r="AG120" s="209"/>
      <c r="AH120" s="201"/>
      <c r="AI120" s="200"/>
      <c r="AJ120" s="200"/>
      <c r="AK120" s="209"/>
      <c r="AL120" s="200"/>
      <c r="AM120" s="210"/>
      <c r="AN120" s="210"/>
    </row>
    <row r="121" spans="1:43" x14ac:dyDescent="0.25">
      <c r="F121" s="211"/>
      <c r="H121" s="211"/>
      <c r="I121" s="211"/>
      <c r="J121" s="329"/>
      <c r="K121" s="305"/>
      <c r="L121" s="211"/>
      <c r="M121" s="211"/>
      <c r="N121" s="211"/>
      <c r="O121" s="211"/>
      <c r="P121" s="211"/>
      <c r="Q121" s="211"/>
      <c r="R121" s="211"/>
      <c r="S121" s="200"/>
      <c r="T121" s="154"/>
      <c r="Y121" s="200"/>
      <c r="Z121" s="329"/>
      <c r="AA121" s="200"/>
      <c r="AB121" s="200"/>
      <c r="AC121" s="334"/>
      <c r="AD121" s="210"/>
      <c r="AE121" s="200"/>
      <c r="AF121" s="200"/>
      <c r="AG121" s="209"/>
      <c r="AH121" s="201"/>
      <c r="AI121" s="200"/>
      <c r="AJ121" s="200"/>
      <c r="AK121" s="209"/>
      <c r="AL121" s="200"/>
      <c r="AM121" s="210"/>
      <c r="AN121" s="210"/>
    </row>
    <row r="122" spans="1:43" x14ac:dyDescent="0.25">
      <c r="A122" s="202"/>
      <c r="C122" s="154"/>
      <c r="J122" s="394"/>
      <c r="V122" s="200"/>
      <c r="Y122" s="200"/>
      <c r="Z122" s="305"/>
      <c r="AA122" s="211"/>
      <c r="AB122" s="211"/>
      <c r="AC122" s="463"/>
      <c r="AD122" s="211"/>
      <c r="AE122" s="211"/>
      <c r="AF122" s="211"/>
      <c r="AI122" s="211"/>
      <c r="AJ122" s="211"/>
      <c r="AK122" s="212"/>
      <c r="AL122" s="211"/>
      <c r="AM122" s="210"/>
      <c r="AN122" s="210"/>
    </row>
    <row r="123" spans="1:43" x14ac:dyDescent="0.25">
      <c r="A123" s="202"/>
      <c r="C123" s="154"/>
      <c r="F123" s="200"/>
      <c r="H123" s="200"/>
      <c r="I123" s="200"/>
      <c r="J123" s="394"/>
      <c r="L123" s="200"/>
      <c r="M123" s="200"/>
      <c r="N123" s="210"/>
      <c r="O123" s="210"/>
      <c r="P123" s="252"/>
      <c r="Q123" s="252"/>
      <c r="R123" s="200"/>
      <c r="T123" s="154"/>
      <c r="V123" s="200"/>
      <c r="Y123" s="200"/>
      <c r="Z123" s="213"/>
      <c r="AA123" s="200"/>
      <c r="AB123" s="200"/>
      <c r="AC123" s="334"/>
      <c r="AD123" s="210"/>
      <c r="AE123" s="200"/>
      <c r="AF123" s="200"/>
      <c r="AG123" s="209"/>
      <c r="AH123" s="201"/>
      <c r="AI123" s="200"/>
      <c r="AJ123" s="200"/>
      <c r="AK123" s="209"/>
      <c r="AL123" s="200"/>
      <c r="AM123" s="210"/>
      <c r="AN123" s="210"/>
    </row>
    <row r="124" spans="1:43" x14ac:dyDescent="0.25">
      <c r="F124" s="211"/>
      <c r="H124" s="211"/>
      <c r="I124" s="211"/>
      <c r="J124" s="329"/>
      <c r="K124" s="305"/>
      <c r="L124" s="211"/>
      <c r="M124" s="211"/>
      <c r="N124" s="211"/>
      <c r="O124" s="211"/>
      <c r="P124" s="211"/>
      <c r="Q124" s="211"/>
      <c r="R124" s="211"/>
      <c r="V124" s="200"/>
      <c r="Y124" s="200"/>
      <c r="Z124" s="305"/>
      <c r="AA124" s="211"/>
      <c r="AB124" s="211"/>
      <c r="AC124" s="463"/>
      <c r="AD124" s="211"/>
      <c r="AE124" s="211"/>
      <c r="AF124" s="211"/>
      <c r="AI124" s="211"/>
      <c r="AJ124" s="211"/>
      <c r="AK124" s="212"/>
      <c r="AL124" s="211"/>
      <c r="AM124" s="210"/>
      <c r="AN124" s="210"/>
    </row>
    <row r="125" spans="1:43" x14ac:dyDescent="0.25">
      <c r="J125" s="394"/>
      <c r="T125" s="154"/>
      <c r="V125" s="200"/>
      <c r="Y125" s="200"/>
      <c r="Z125" s="213"/>
      <c r="AA125" s="200"/>
      <c r="AB125" s="200"/>
      <c r="AC125" s="334"/>
      <c r="AD125" s="210"/>
      <c r="AE125" s="200"/>
      <c r="AF125" s="200"/>
      <c r="AG125" s="209"/>
      <c r="AH125" s="201"/>
      <c r="AI125" s="200"/>
      <c r="AJ125" s="200"/>
      <c r="AK125" s="209"/>
      <c r="AL125" s="200"/>
      <c r="AM125" s="210"/>
      <c r="AN125" s="210"/>
    </row>
    <row r="126" spans="1:43" x14ac:dyDescent="0.25">
      <c r="C126" s="154"/>
      <c r="J126" s="394"/>
      <c r="L126" s="200"/>
      <c r="M126" s="200"/>
      <c r="N126" s="200"/>
      <c r="O126" s="200"/>
      <c r="P126" s="200"/>
      <c r="Q126" s="200"/>
      <c r="R126" s="200"/>
      <c r="S126" s="200"/>
      <c r="T126" s="154"/>
      <c r="V126" s="252"/>
      <c r="Y126" s="200"/>
      <c r="Z126" s="320"/>
      <c r="AA126" s="200"/>
      <c r="AB126" s="200"/>
      <c r="AC126" s="334"/>
      <c r="AD126" s="210"/>
      <c r="AE126" s="200"/>
      <c r="AF126" s="200"/>
      <c r="AG126" s="209"/>
      <c r="AH126" s="201"/>
      <c r="AI126" s="200"/>
      <c r="AJ126" s="200"/>
      <c r="AK126" s="209"/>
      <c r="AL126" s="200"/>
      <c r="AM126" s="210"/>
      <c r="AN126" s="210"/>
    </row>
    <row r="127" spans="1:43" x14ac:dyDescent="0.25">
      <c r="A127" s="154"/>
      <c r="J127" s="394"/>
      <c r="V127" s="211"/>
      <c r="Y127" s="211"/>
      <c r="Z127" s="305"/>
      <c r="AA127" s="211"/>
      <c r="AB127" s="211"/>
      <c r="AC127" s="463"/>
      <c r="AD127" s="211"/>
      <c r="AE127" s="211"/>
      <c r="AF127" s="211"/>
      <c r="AI127" s="211"/>
      <c r="AJ127" s="211"/>
      <c r="AK127" s="212"/>
      <c r="AL127" s="211"/>
      <c r="AM127" s="210"/>
      <c r="AN127" s="210"/>
    </row>
    <row r="128" spans="1:43" x14ac:dyDescent="0.25">
      <c r="J128" s="334"/>
      <c r="K128" s="202"/>
      <c r="T128" s="154"/>
      <c r="V128" s="200"/>
      <c r="Y128" s="200"/>
      <c r="Z128" s="305"/>
      <c r="AA128" s="200"/>
      <c r="AB128" s="200"/>
      <c r="AC128" s="334"/>
      <c r="AD128" s="210"/>
      <c r="AE128" s="200"/>
      <c r="AF128" s="200"/>
      <c r="AG128" s="209"/>
      <c r="AH128" s="210"/>
      <c r="AI128" s="200"/>
      <c r="AJ128" s="200"/>
      <c r="AK128" s="209"/>
      <c r="AL128" s="200"/>
      <c r="AM128" s="210"/>
      <c r="AN128" s="210"/>
    </row>
    <row r="129" spans="1:40" x14ac:dyDescent="0.25">
      <c r="H129" s="154"/>
      <c r="I129" s="154"/>
      <c r="J129" s="394"/>
      <c r="V129" s="211"/>
      <c r="Y129" s="211"/>
      <c r="Z129" s="305"/>
      <c r="AA129" s="211"/>
      <c r="AB129" s="211"/>
      <c r="AC129" s="463"/>
      <c r="AD129" s="211"/>
      <c r="AE129" s="211"/>
      <c r="AF129" s="211"/>
      <c r="AI129" s="211"/>
      <c r="AJ129" s="211"/>
      <c r="AK129" s="212"/>
      <c r="AL129" s="211"/>
      <c r="AM129" s="210"/>
      <c r="AN129" s="210"/>
    </row>
    <row r="130" spans="1:40" x14ac:dyDescent="0.25">
      <c r="J130" s="334"/>
      <c r="K130" s="202"/>
      <c r="T130" s="154"/>
      <c r="AC130" s="394"/>
    </row>
    <row r="131" spans="1:40" x14ac:dyDescent="0.25">
      <c r="J131" s="394"/>
      <c r="L131" s="154"/>
      <c r="M131" s="154"/>
      <c r="AA131" s="154"/>
      <c r="AB131" s="154"/>
      <c r="AC131" s="394"/>
    </row>
    <row r="132" spans="1:40" x14ac:dyDescent="0.25">
      <c r="A132" s="202"/>
      <c r="J132" s="394"/>
      <c r="R132" s="154"/>
      <c r="AC132" s="394"/>
      <c r="AK132" s="297"/>
      <c r="AL132" s="154"/>
    </row>
    <row r="133" spans="1:40" x14ac:dyDescent="0.25">
      <c r="A133" s="202"/>
      <c r="J133" s="394"/>
      <c r="R133" s="154"/>
      <c r="AC133" s="394"/>
      <c r="AK133" s="297"/>
      <c r="AL133" s="154"/>
    </row>
    <row r="134" spans="1:40" x14ac:dyDescent="0.25">
      <c r="A134" s="154"/>
      <c r="J134" s="394"/>
      <c r="R134" s="154"/>
      <c r="AC134" s="394"/>
      <c r="AK134" s="297"/>
      <c r="AL134" s="154"/>
    </row>
    <row r="135" spans="1:40" x14ac:dyDescent="0.25">
      <c r="J135" s="394"/>
      <c r="L135" s="154"/>
      <c r="M135" s="154"/>
      <c r="R135" s="202"/>
      <c r="AA135" s="154"/>
      <c r="AB135" s="154"/>
      <c r="AC135" s="394"/>
      <c r="AK135" s="209"/>
      <c r="AL135" s="202"/>
    </row>
    <row r="136" spans="1:40" x14ac:dyDescent="0.25">
      <c r="A136" s="102"/>
      <c r="B136" s="102"/>
      <c r="C136" s="102"/>
      <c r="D136" s="102"/>
      <c r="E136" s="102"/>
      <c r="F136" s="102"/>
      <c r="G136" s="102"/>
      <c r="H136" s="102"/>
      <c r="I136" s="102"/>
      <c r="J136" s="335"/>
      <c r="K136" s="102"/>
      <c r="L136" s="102"/>
      <c r="M136" s="102"/>
      <c r="N136" s="102"/>
      <c r="O136" s="102"/>
      <c r="P136" s="102"/>
      <c r="Q136" s="102"/>
      <c r="R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208"/>
      <c r="AH136" s="102"/>
      <c r="AI136" s="102"/>
      <c r="AJ136" s="102"/>
      <c r="AK136" s="208"/>
      <c r="AL136" s="102"/>
      <c r="AM136" s="102"/>
      <c r="AN136" s="102"/>
    </row>
    <row r="137" spans="1:40" x14ac:dyDescent="0.25">
      <c r="J137" s="394"/>
      <c r="L137" s="103"/>
      <c r="M137" s="103"/>
      <c r="N137" s="103"/>
      <c r="O137" s="103"/>
      <c r="R137" s="103"/>
      <c r="AA137" s="103"/>
      <c r="AB137" s="103"/>
      <c r="AC137" s="103"/>
      <c r="AD137" s="103"/>
      <c r="AE137" s="103"/>
      <c r="AF137" s="103"/>
      <c r="AG137" s="185"/>
      <c r="AH137" s="103"/>
      <c r="AK137" s="185"/>
      <c r="AL137" s="103"/>
      <c r="AM137" s="103"/>
      <c r="AN137" s="103"/>
    </row>
    <row r="138" spans="1:40" x14ac:dyDescent="0.25">
      <c r="J138" s="394"/>
      <c r="L138" s="103"/>
      <c r="M138" s="103"/>
      <c r="N138" s="103"/>
      <c r="O138" s="103"/>
      <c r="R138" s="103"/>
      <c r="Z138" s="103"/>
      <c r="AA138" s="103"/>
      <c r="AB138" s="103"/>
      <c r="AC138" s="103"/>
      <c r="AD138" s="103"/>
      <c r="AE138" s="103"/>
      <c r="AF138" s="103"/>
      <c r="AG138" s="185"/>
      <c r="AH138" s="103"/>
      <c r="AK138" s="185"/>
      <c r="AL138" s="103"/>
      <c r="AM138" s="103"/>
      <c r="AN138" s="103"/>
    </row>
    <row r="139" spans="1:40" x14ac:dyDescent="0.25">
      <c r="A139" s="103"/>
      <c r="C139" s="103"/>
      <c r="D139" s="103"/>
      <c r="E139" s="103"/>
      <c r="F139" s="103"/>
      <c r="J139" s="336"/>
      <c r="K139" s="103"/>
      <c r="L139" s="103"/>
      <c r="M139" s="103"/>
      <c r="N139" s="103"/>
      <c r="O139" s="103"/>
      <c r="P139" s="103"/>
      <c r="Q139" s="103"/>
      <c r="R139" s="103"/>
      <c r="T139" s="103"/>
      <c r="U139" s="103"/>
      <c r="V139" s="103"/>
      <c r="Z139" s="103"/>
      <c r="AA139" s="103"/>
      <c r="AB139" s="103"/>
      <c r="AC139" s="103"/>
      <c r="AD139" s="103"/>
      <c r="AE139" s="103"/>
      <c r="AF139" s="103"/>
      <c r="AG139" s="185"/>
      <c r="AH139" s="103"/>
      <c r="AI139" s="103"/>
      <c r="AJ139" s="103"/>
      <c r="AK139" s="185"/>
      <c r="AL139" s="103"/>
      <c r="AM139" s="103"/>
      <c r="AN139" s="103"/>
    </row>
    <row r="140" spans="1:40" x14ac:dyDescent="0.25">
      <c r="A140" s="103"/>
      <c r="C140" s="103"/>
      <c r="D140" s="103"/>
      <c r="E140" s="103"/>
      <c r="F140" s="103"/>
      <c r="H140" s="103"/>
      <c r="I140" s="103"/>
      <c r="J140" s="336"/>
      <c r="K140" s="103"/>
      <c r="L140" s="103"/>
      <c r="M140" s="103"/>
      <c r="N140" s="103"/>
      <c r="O140" s="103"/>
      <c r="P140" s="103"/>
      <c r="Q140" s="103"/>
      <c r="R140" s="103"/>
      <c r="T140" s="103"/>
      <c r="U140" s="103"/>
      <c r="V140" s="103"/>
      <c r="Y140" s="103"/>
      <c r="Z140" s="103"/>
      <c r="AA140" s="103"/>
      <c r="AB140" s="103"/>
      <c r="AC140" s="103"/>
      <c r="AD140" s="103"/>
      <c r="AE140" s="103"/>
      <c r="AF140" s="103"/>
      <c r="AG140" s="185"/>
      <c r="AH140" s="103"/>
      <c r="AI140" s="103"/>
      <c r="AJ140" s="103"/>
      <c r="AK140" s="185"/>
      <c r="AL140" s="103"/>
      <c r="AM140" s="103"/>
      <c r="AN140" s="103"/>
    </row>
    <row r="141" spans="1:40" x14ac:dyDescent="0.25">
      <c r="C141" s="103"/>
      <c r="D141" s="103"/>
      <c r="E141" s="103"/>
      <c r="F141" s="103"/>
      <c r="H141" s="103"/>
      <c r="I141" s="103"/>
      <c r="J141" s="336"/>
      <c r="K141" s="103"/>
      <c r="L141" s="103"/>
      <c r="M141" s="103"/>
      <c r="N141" s="103"/>
      <c r="O141" s="103"/>
      <c r="P141" s="103"/>
      <c r="Q141" s="103"/>
      <c r="R141" s="103"/>
      <c r="T141" s="103"/>
      <c r="U141" s="103"/>
      <c r="V141" s="103"/>
      <c r="Y141" s="103"/>
      <c r="Z141" s="103"/>
      <c r="AA141" s="103"/>
      <c r="AB141" s="103"/>
      <c r="AC141" s="103"/>
      <c r="AD141" s="103"/>
      <c r="AE141" s="103"/>
      <c r="AF141" s="103"/>
      <c r="AG141" s="185"/>
      <c r="AH141" s="103"/>
      <c r="AI141" s="103"/>
      <c r="AJ141" s="103"/>
      <c r="AK141" s="185"/>
      <c r="AL141" s="103"/>
      <c r="AM141" s="103"/>
      <c r="AN141" s="103"/>
    </row>
    <row r="142" spans="1:40" x14ac:dyDescent="0.25">
      <c r="A142" s="102"/>
      <c r="B142" s="102"/>
      <c r="C142" s="102"/>
      <c r="D142" s="102"/>
      <c r="E142" s="102"/>
      <c r="F142" s="102"/>
      <c r="G142" s="102"/>
      <c r="H142" s="102"/>
      <c r="I142" s="102"/>
      <c r="J142" s="335"/>
      <c r="K142" s="102"/>
      <c r="L142" s="102"/>
      <c r="M142" s="102"/>
      <c r="N142" s="102"/>
      <c r="O142" s="102"/>
      <c r="P142" s="102"/>
      <c r="Q142" s="102"/>
      <c r="R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208"/>
      <c r="AH142" s="102"/>
      <c r="AI142" s="102"/>
      <c r="AJ142" s="102"/>
      <c r="AK142" s="208"/>
      <c r="AL142" s="102"/>
      <c r="AM142" s="102"/>
      <c r="AN142" s="102"/>
    </row>
    <row r="143" spans="1:40" x14ac:dyDescent="0.25">
      <c r="H143" s="103"/>
      <c r="I143" s="103"/>
      <c r="J143" s="336"/>
      <c r="K143" s="103"/>
      <c r="L143" s="103"/>
      <c r="M143" s="103"/>
      <c r="N143" s="103"/>
      <c r="O143" s="103"/>
      <c r="P143" s="103"/>
      <c r="Q143" s="103"/>
      <c r="R143" s="103"/>
      <c r="Y143" s="103"/>
      <c r="Z143" s="103"/>
      <c r="AA143" s="103"/>
      <c r="AB143" s="103"/>
      <c r="AC143" s="103"/>
      <c r="AD143" s="103"/>
      <c r="AE143" s="103"/>
      <c r="AF143" s="103"/>
      <c r="AG143" s="185"/>
      <c r="AH143" s="103"/>
      <c r="AI143" s="103"/>
      <c r="AJ143" s="103"/>
      <c r="AK143" s="185"/>
      <c r="AL143" s="103"/>
      <c r="AM143" s="103"/>
      <c r="AN143" s="103"/>
    </row>
    <row r="144" spans="1:40" x14ac:dyDescent="0.25">
      <c r="A144" s="202"/>
      <c r="C144" s="154"/>
      <c r="D144" s="154"/>
      <c r="E144" s="154"/>
      <c r="J144" s="394"/>
      <c r="T144" s="154"/>
      <c r="U144" s="154"/>
    </row>
    <row r="145" spans="1:40" x14ac:dyDescent="0.25">
      <c r="A145" s="202"/>
      <c r="D145" s="154"/>
      <c r="E145" s="154"/>
      <c r="J145" s="394"/>
      <c r="U145" s="154"/>
    </row>
    <row r="146" spans="1:40" x14ac:dyDescent="0.25">
      <c r="J146" s="394"/>
    </row>
    <row r="147" spans="1:40" x14ac:dyDescent="0.25">
      <c r="A147" s="202"/>
      <c r="C147" s="154"/>
      <c r="F147" s="252"/>
      <c r="H147" s="252"/>
      <c r="I147" s="252"/>
      <c r="J147" s="329"/>
      <c r="K147" s="300"/>
      <c r="L147" s="200"/>
      <c r="M147" s="200"/>
      <c r="N147" s="210"/>
      <c r="O147" s="210"/>
      <c r="R147" s="200"/>
      <c r="T147" s="154"/>
      <c r="V147" s="200"/>
      <c r="Y147" s="252"/>
      <c r="Z147" s="300"/>
      <c r="AA147" s="200"/>
      <c r="AB147" s="200"/>
      <c r="AC147" s="210"/>
      <c r="AD147" s="210"/>
      <c r="AE147" s="200"/>
      <c r="AF147" s="200"/>
      <c r="AG147" s="325"/>
      <c r="AH147" s="326"/>
      <c r="AK147" s="209"/>
      <c r="AL147" s="200"/>
      <c r="AM147" s="327"/>
      <c r="AN147" s="327"/>
    </row>
    <row r="148" spans="1:40" x14ac:dyDescent="0.25">
      <c r="A148" s="202"/>
      <c r="C148" s="154"/>
      <c r="F148" s="252"/>
      <c r="H148" s="252"/>
      <c r="I148" s="252"/>
      <c r="J148" s="329"/>
      <c r="K148" s="300"/>
      <c r="L148" s="200"/>
      <c r="M148" s="200"/>
      <c r="N148" s="210"/>
      <c r="O148" s="210"/>
      <c r="P148" s="202"/>
      <c r="Q148" s="202"/>
      <c r="R148" s="200"/>
      <c r="T148" s="154"/>
      <c r="V148" s="200"/>
      <c r="Y148" s="252"/>
      <c r="Z148" s="300"/>
      <c r="AA148" s="200"/>
      <c r="AB148" s="200"/>
      <c r="AC148" s="210"/>
      <c r="AD148" s="210"/>
      <c r="AE148" s="200"/>
      <c r="AF148" s="200"/>
      <c r="AG148" s="209"/>
      <c r="AH148" s="201"/>
      <c r="AI148" s="202"/>
      <c r="AJ148" s="202"/>
      <c r="AK148" s="209"/>
      <c r="AL148" s="200"/>
      <c r="AM148" s="210"/>
      <c r="AN148" s="210"/>
    </row>
    <row r="149" spans="1:40" x14ac:dyDescent="0.25">
      <c r="F149" s="211"/>
      <c r="H149" s="200"/>
      <c r="I149" s="200"/>
      <c r="J149" s="329"/>
      <c r="K149" s="305"/>
      <c r="L149" s="211"/>
      <c r="M149" s="211"/>
      <c r="N149" s="211"/>
      <c r="O149" s="211"/>
      <c r="P149" s="211"/>
      <c r="Q149" s="211"/>
      <c r="R149" s="211"/>
      <c r="V149" s="211"/>
      <c r="Y149" s="200"/>
      <c r="Z149" s="305"/>
      <c r="AA149" s="211"/>
      <c r="AB149" s="211"/>
      <c r="AC149" s="211"/>
      <c r="AD149" s="211"/>
      <c r="AE149" s="211"/>
      <c r="AF149" s="211"/>
      <c r="AI149" s="211"/>
      <c r="AJ149" s="211"/>
      <c r="AK149" s="212"/>
      <c r="AL149" s="211"/>
      <c r="AM149" s="210"/>
      <c r="AN149" s="210"/>
    </row>
    <row r="150" spans="1:40" x14ac:dyDescent="0.25">
      <c r="A150" s="202"/>
      <c r="C150" s="154"/>
      <c r="F150" s="200"/>
      <c r="H150" s="200"/>
      <c r="I150" s="200"/>
      <c r="J150" s="329"/>
      <c r="K150" s="305"/>
      <c r="L150" s="200"/>
      <c r="M150" s="200"/>
      <c r="N150" s="210"/>
      <c r="O150" s="210"/>
      <c r="P150" s="200"/>
      <c r="Q150" s="200"/>
      <c r="R150" s="200"/>
      <c r="T150" s="154"/>
      <c r="V150" s="200"/>
      <c r="Y150" s="200"/>
      <c r="Z150" s="213"/>
      <c r="AA150" s="200"/>
      <c r="AB150" s="200"/>
      <c r="AC150" s="210"/>
      <c r="AD150" s="210"/>
      <c r="AE150" s="200"/>
      <c r="AF150" s="200"/>
      <c r="AG150" s="209"/>
      <c r="AH150" s="201"/>
      <c r="AI150" s="200"/>
      <c r="AJ150" s="200"/>
      <c r="AK150" s="209"/>
      <c r="AL150" s="200"/>
      <c r="AM150" s="210"/>
      <c r="AN150" s="210"/>
    </row>
    <row r="151" spans="1:40" x14ac:dyDescent="0.25">
      <c r="F151" s="211"/>
      <c r="H151" s="200"/>
      <c r="I151" s="200"/>
      <c r="J151" s="329"/>
      <c r="K151" s="305"/>
      <c r="L151" s="211"/>
      <c r="M151" s="211"/>
      <c r="N151" s="211"/>
      <c r="O151" s="211"/>
      <c r="P151" s="211"/>
      <c r="Q151" s="211"/>
      <c r="R151" s="211"/>
      <c r="V151" s="211"/>
      <c r="Y151" s="200"/>
      <c r="Z151" s="305"/>
      <c r="AA151" s="211"/>
      <c r="AB151" s="211"/>
      <c r="AC151" s="211"/>
      <c r="AD151" s="211"/>
      <c r="AE151" s="211"/>
      <c r="AF151" s="211"/>
      <c r="AI151" s="211"/>
      <c r="AJ151" s="211"/>
      <c r="AK151" s="212"/>
      <c r="AL151" s="211"/>
      <c r="AM151" s="210"/>
      <c r="AN151" s="210"/>
    </row>
    <row r="152" spans="1:40" x14ac:dyDescent="0.25">
      <c r="F152" s="200"/>
      <c r="H152" s="200"/>
      <c r="I152" s="200"/>
      <c r="J152" s="329"/>
      <c r="K152" s="305"/>
      <c r="L152" s="200"/>
      <c r="M152" s="200"/>
      <c r="N152" s="210"/>
      <c r="O152" s="210"/>
      <c r="P152" s="200"/>
      <c r="Q152" s="200"/>
      <c r="R152" s="200"/>
      <c r="V152" s="200"/>
      <c r="Y152" s="200"/>
      <c r="Z152" s="213"/>
      <c r="AA152" s="200"/>
      <c r="AB152" s="200"/>
      <c r="AC152" s="210"/>
      <c r="AD152" s="210"/>
      <c r="AE152" s="200"/>
      <c r="AF152" s="200"/>
      <c r="AG152" s="209"/>
      <c r="AH152" s="201"/>
      <c r="AI152" s="200"/>
      <c r="AJ152" s="200"/>
      <c r="AK152" s="209"/>
      <c r="AL152" s="200"/>
      <c r="AM152" s="210"/>
      <c r="AN152" s="210"/>
    </row>
    <row r="153" spans="1:40" x14ac:dyDescent="0.25">
      <c r="A153" s="202"/>
      <c r="C153" s="154"/>
      <c r="F153" s="252"/>
      <c r="H153" s="252"/>
      <c r="I153" s="252"/>
      <c r="J153" s="329"/>
      <c r="K153" s="300"/>
      <c r="L153" s="200"/>
      <c r="M153" s="200"/>
      <c r="N153" s="210"/>
      <c r="O153" s="210"/>
      <c r="P153" s="200"/>
      <c r="Q153" s="200"/>
      <c r="R153" s="200"/>
      <c r="T153" s="154"/>
      <c r="V153" s="252"/>
      <c r="Y153" s="200"/>
      <c r="Z153" s="300"/>
      <c r="AA153" s="200"/>
      <c r="AB153" s="200"/>
      <c r="AC153" s="210"/>
      <c r="AD153" s="210"/>
      <c r="AE153" s="200"/>
      <c r="AF153" s="200"/>
      <c r="AG153" s="325"/>
      <c r="AH153" s="326"/>
      <c r="AI153" s="200"/>
      <c r="AJ153" s="200"/>
      <c r="AK153" s="209"/>
      <c r="AL153" s="200"/>
      <c r="AM153" s="327"/>
      <c r="AN153" s="327"/>
    </row>
    <row r="154" spans="1:40" x14ac:dyDescent="0.25">
      <c r="A154" s="202"/>
      <c r="C154" s="154"/>
      <c r="F154" s="252"/>
      <c r="H154" s="252"/>
      <c r="I154" s="252"/>
      <c r="J154" s="329"/>
      <c r="K154" s="300"/>
      <c r="L154" s="200"/>
      <c r="M154" s="200"/>
      <c r="N154" s="210"/>
      <c r="O154" s="210"/>
      <c r="P154" s="200"/>
      <c r="Q154" s="200"/>
      <c r="R154" s="200"/>
      <c r="T154" s="154"/>
      <c r="V154" s="252"/>
      <c r="Y154" s="200"/>
      <c r="Z154" s="300"/>
      <c r="AA154" s="200"/>
      <c r="AB154" s="200"/>
      <c r="AC154" s="210"/>
      <c r="AD154" s="210"/>
      <c r="AE154" s="200"/>
      <c r="AF154" s="200"/>
      <c r="AG154" s="209"/>
      <c r="AH154" s="201"/>
      <c r="AI154" s="200"/>
      <c r="AJ154" s="200"/>
      <c r="AK154" s="209"/>
      <c r="AL154" s="200"/>
      <c r="AM154" s="210"/>
      <c r="AN154" s="210"/>
    </row>
    <row r="155" spans="1:40" x14ac:dyDescent="0.25">
      <c r="F155" s="200"/>
      <c r="H155" s="211"/>
      <c r="I155" s="211"/>
      <c r="J155" s="329"/>
      <c r="K155" s="305"/>
      <c r="L155" s="211"/>
      <c r="M155" s="211"/>
      <c r="N155" s="211"/>
      <c r="O155" s="211"/>
      <c r="P155" s="211"/>
      <c r="Q155" s="211"/>
      <c r="R155" s="211"/>
      <c r="V155" s="200"/>
      <c r="Y155" s="211"/>
      <c r="Z155" s="305"/>
      <c r="AA155" s="211"/>
      <c r="AB155" s="211"/>
      <c r="AC155" s="211"/>
      <c r="AD155" s="211"/>
      <c r="AE155" s="211"/>
      <c r="AF155" s="211"/>
      <c r="AI155" s="211"/>
      <c r="AJ155" s="211"/>
      <c r="AK155" s="212"/>
      <c r="AL155" s="211"/>
      <c r="AM155" s="210"/>
      <c r="AN155" s="210"/>
    </row>
    <row r="156" spans="1:40" x14ac:dyDescent="0.25">
      <c r="A156" s="202"/>
      <c r="C156" s="154"/>
      <c r="F156" s="200"/>
      <c r="H156" s="200"/>
      <c r="I156" s="200"/>
      <c r="J156" s="329"/>
      <c r="K156" s="305"/>
      <c r="L156" s="200"/>
      <c r="M156" s="200"/>
      <c r="N156" s="210"/>
      <c r="O156" s="210"/>
      <c r="P156" s="200"/>
      <c r="Q156" s="200"/>
      <c r="R156" s="200"/>
      <c r="T156" s="154"/>
      <c r="V156" s="200"/>
      <c r="Y156" s="200"/>
      <c r="Z156" s="305"/>
      <c r="AA156" s="200"/>
      <c r="AB156" s="200"/>
      <c r="AC156" s="210"/>
      <c r="AD156" s="210"/>
      <c r="AE156" s="200"/>
      <c r="AF156" s="200"/>
      <c r="AG156" s="209"/>
      <c r="AH156" s="201"/>
      <c r="AI156" s="200"/>
      <c r="AJ156" s="200"/>
      <c r="AK156" s="209"/>
      <c r="AL156" s="200"/>
      <c r="AM156" s="210"/>
      <c r="AN156" s="210"/>
    </row>
    <row r="157" spans="1:40" x14ac:dyDescent="0.25">
      <c r="F157" s="200"/>
      <c r="H157" s="211"/>
      <c r="I157" s="211"/>
      <c r="J157" s="329"/>
      <c r="K157" s="305"/>
      <c r="L157" s="211"/>
      <c r="M157" s="211"/>
      <c r="N157" s="211"/>
      <c r="O157" s="211"/>
      <c r="P157" s="211"/>
      <c r="Q157" s="211"/>
      <c r="R157" s="211"/>
      <c r="V157" s="200"/>
      <c r="Y157" s="211"/>
      <c r="Z157" s="305"/>
      <c r="AA157" s="211"/>
      <c r="AB157" s="211"/>
      <c r="AC157" s="211"/>
      <c r="AD157" s="211"/>
      <c r="AE157" s="211"/>
      <c r="AF157" s="211"/>
      <c r="AI157" s="211"/>
      <c r="AJ157" s="211"/>
      <c r="AK157" s="212"/>
      <c r="AL157" s="211"/>
      <c r="AM157" s="210"/>
      <c r="AN157" s="210"/>
    </row>
    <row r="158" spans="1:40" x14ac:dyDescent="0.25">
      <c r="F158" s="200"/>
      <c r="H158" s="200"/>
      <c r="I158" s="200"/>
      <c r="J158" s="329"/>
      <c r="K158" s="305"/>
      <c r="L158" s="200"/>
      <c r="M158" s="200"/>
      <c r="N158" s="200"/>
      <c r="O158" s="200"/>
      <c r="P158" s="200"/>
      <c r="Q158" s="200"/>
      <c r="R158" s="200"/>
      <c r="V158" s="200"/>
      <c r="Y158" s="200"/>
      <c r="Z158" s="305"/>
      <c r="AA158" s="200"/>
      <c r="AB158" s="200"/>
      <c r="AC158" s="200"/>
      <c r="AD158" s="200"/>
      <c r="AE158" s="200"/>
      <c r="AF158" s="200"/>
      <c r="AG158" s="209"/>
      <c r="AH158" s="201"/>
      <c r="AI158" s="200"/>
      <c r="AJ158" s="200"/>
      <c r="AK158" s="209"/>
      <c r="AL158" s="200"/>
      <c r="AM158" s="210"/>
      <c r="AN158" s="210"/>
    </row>
    <row r="159" spans="1:40" x14ac:dyDescent="0.25">
      <c r="A159" s="202"/>
      <c r="C159" s="154"/>
      <c r="F159" s="252"/>
      <c r="H159" s="252"/>
      <c r="I159" s="252"/>
      <c r="J159" s="329"/>
      <c r="K159" s="320"/>
      <c r="L159" s="200"/>
      <c r="M159" s="200"/>
      <c r="N159" s="210"/>
      <c r="O159" s="210"/>
      <c r="P159" s="252"/>
      <c r="Q159" s="252"/>
      <c r="R159" s="200"/>
      <c r="T159" s="154"/>
      <c r="V159" s="252"/>
      <c r="Y159" s="252"/>
      <c r="Z159" s="328"/>
      <c r="AA159" s="200"/>
      <c r="AB159" s="200"/>
      <c r="AC159" s="210"/>
      <c r="AD159" s="210"/>
      <c r="AE159" s="200"/>
      <c r="AF159" s="200"/>
      <c r="AG159" s="209"/>
      <c r="AH159" s="201"/>
      <c r="AI159" s="252"/>
      <c r="AJ159" s="252"/>
      <c r="AK159" s="209"/>
      <c r="AL159" s="200"/>
      <c r="AM159" s="210"/>
      <c r="AN159" s="210"/>
    </row>
    <row r="160" spans="1:40" x14ac:dyDescent="0.25">
      <c r="A160" s="202"/>
      <c r="C160" s="154"/>
      <c r="F160" s="252"/>
      <c r="H160" s="252"/>
      <c r="I160" s="252"/>
      <c r="J160" s="329"/>
      <c r="K160" s="320"/>
      <c r="L160" s="200"/>
      <c r="M160" s="200"/>
      <c r="N160" s="210"/>
      <c r="O160" s="210"/>
      <c r="P160" s="252"/>
      <c r="Q160" s="252"/>
      <c r="R160" s="200"/>
      <c r="T160" s="154"/>
      <c r="V160" s="252"/>
      <c r="Y160" s="200"/>
      <c r="Z160" s="304"/>
      <c r="AA160" s="200"/>
      <c r="AB160" s="200"/>
      <c r="AC160" s="210"/>
      <c r="AD160" s="210"/>
      <c r="AE160" s="200"/>
      <c r="AF160" s="200"/>
      <c r="AG160" s="209"/>
      <c r="AH160" s="201"/>
      <c r="AI160" s="252"/>
      <c r="AJ160" s="252"/>
      <c r="AK160" s="209"/>
      <c r="AL160" s="200"/>
      <c r="AM160" s="210"/>
      <c r="AN160" s="210"/>
    </row>
    <row r="161" spans="1:40" x14ac:dyDescent="0.25">
      <c r="A161" s="202"/>
      <c r="C161" s="154"/>
      <c r="F161" s="252"/>
      <c r="H161" s="252"/>
      <c r="I161" s="252"/>
      <c r="J161" s="329"/>
      <c r="K161" s="320"/>
      <c r="L161" s="200"/>
      <c r="M161" s="200"/>
      <c r="N161" s="210"/>
      <c r="O161" s="210"/>
      <c r="P161" s="252"/>
      <c r="Q161" s="252"/>
      <c r="R161" s="200"/>
      <c r="T161" s="154"/>
      <c r="V161" s="252"/>
      <c r="Y161" s="200"/>
      <c r="Z161" s="304"/>
      <c r="AA161" s="200"/>
      <c r="AB161" s="200"/>
      <c r="AC161" s="210"/>
      <c r="AD161" s="210"/>
      <c r="AE161" s="200"/>
      <c r="AF161" s="200"/>
      <c r="AG161" s="209"/>
      <c r="AH161" s="201"/>
      <c r="AI161" s="252"/>
      <c r="AJ161" s="252"/>
      <c r="AK161" s="209"/>
      <c r="AL161" s="200"/>
      <c r="AM161" s="210"/>
      <c r="AN161" s="210"/>
    </row>
    <row r="162" spans="1:40" x14ac:dyDescent="0.25">
      <c r="F162" s="211"/>
      <c r="H162" s="211"/>
      <c r="I162" s="211"/>
      <c r="J162" s="329"/>
      <c r="K162" s="305"/>
      <c r="L162" s="211"/>
      <c r="M162" s="211"/>
      <c r="N162" s="211"/>
      <c r="O162" s="211"/>
      <c r="P162" s="211"/>
      <c r="Q162" s="211"/>
      <c r="R162" s="211"/>
      <c r="V162" s="211"/>
      <c r="Y162" s="211"/>
      <c r="Z162" s="305"/>
      <c r="AA162" s="211"/>
      <c r="AB162" s="211"/>
      <c r="AC162" s="211"/>
      <c r="AD162" s="211"/>
      <c r="AE162" s="211"/>
      <c r="AF162" s="211"/>
      <c r="AI162" s="211"/>
      <c r="AJ162" s="211"/>
      <c r="AK162" s="212"/>
      <c r="AL162" s="211"/>
      <c r="AM162" s="210"/>
      <c r="AN162" s="210"/>
    </row>
    <row r="163" spans="1:40" x14ac:dyDescent="0.25">
      <c r="A163" s="202"/>
      <c r="C163" s="154"/>
      <c r="F163" s="200"/>
      <c r="H163" s="200"/>
      <c r="I163" s="200"/>
      <c r="J163" s="334"/>
      <c r="K163" s="213"/>
      <c r="L163" s="200"/>
      <c r="M163" s="200"/>
      <c r="N163" s="210"/>
      <c r="O163" s="210"/>
      <c r="P163" s="200"/>
      <c r="Q163" s="200"/>
      <c r="R163" s="200"/>
      <c r="T163" s="154"/>
      <c r="V163" s="200"/>
      <c r="Y163" s="200"/>
      <c r="Z163" s="213"/>
      <c r="AA163" s="200"/>
      <c r="AB163" s="200"/>
      <c r="AC163" s="210"/>
      <c r="AD163" s="210"/>
      <c r="AE163" s="200"/>
      <c r="AF163" s="200"/>
      <c r="AG163" s="209"/>
      <c r="AH163" s="201"/>
      <c r="AI163" s="200"/>
      <c r="AJ163" s="200"/>
      <c r="AK163" s="209"/>
      <c r="AL163" s="200"/>
      <c r="AM163" s="210"/>
      <c r="AN163" s="210"/>
    </row>
    <row r="164" spans="1:40" x14ac:dyDescent="0.25">
      <c r="F164" s="211"/>
      <c r="H164" s="211"/>
      <c r="I164" s="211"/>
      <c r="J164" s="329"/>
      <c r="K164" s="305"/>
      <c r="L164" s="211"/>
      <c r="M164" s="211"/>
      <c r="N164" s="211"/>
      <c r="O164" s="211"/>
      <c r="P164" s="211"/>
      <c r="Q164" s="211"/>
      <c r="R164" s="211"/>
      <c r="V164" s="211"/>
      <c r="Y164" s="211"/>
      <c r="Z164" s="305"/>
      <c r="AA164" s="211"/>
      <c r="AB164" s="211"/>
      <c r="AC164" s="211"/>
      <c r="AD164" s="211"/>
      <c r="AE164" s="211"/>
      <c r="AF164" s="211"/>
      <c r="AI164" s="211"/>
      <c r="AJ164" s="211"/>
      <c r="AK164" s="212"/>
      <c r="AL164" s="211"/>
      <c r="AM164" s="210"/>
      <c r="AN164" s="210"/>
    </row>
    <row r="165" spans="1:40" x14ac:dyDescent="0.25">
      <c r="A165" s="202"/>
      <c r="C165" s="154"/>
      <c r="F165" s="200"/>
      <c r="H165" s="200"/>
      <c r="I165" s="200"/>
      <c r="J165" s="334"/>
      <c r="K165" s="213"/>
      <c r="L165" s="200"/>
      <c r="M165" s="200"/>
      <c r="N165" s="210"/>
      <c r="O165" s="210"/>
      <c r="P165" s="200"/>
      <c r="Q165" s="200"/>
      <c r="R165" s="200"/>
      <c r="T165" s="154"/>
      <c r="V165" s="200"/>
      <c r="Y165" s="200"/>
      <c r="Z165" s="213"/>
      <c r="AA165" s="200"/>
      <c r="AB165" s="200"/>
      <c r="AC165" s="210"/>
      <c r="AD165" s="210"/>
      <c r="AE165" s="200"/>
      <c r="AF165" s="200"/>
      <c r="AG165" s="209"/>
      <c r="AH165" s="201"/>
      <c r="AI165" s="200"/>
      <c r="AJ165" s="200"/>
      <c r="AK165" s="209"/>
      <c r="AL165" s="200"/>
      <c r="AM165" s="210"/>
      <c r="AN165" s="210"/>
    </row>
    <row r="166" spans="1:40" x14ac:dyDescent="0.25">
      <c r="A166" s="202"/>
      <c r="C166" s="154"/>
      <c r="F166" s="200"/>
      <c r="H166" s="200"/>
      <c r="I166" s="200"/>
      <c r="J166" s="334"/>
      <c r="K166" s="213"/>
      <c r="L166" s="200"/>
      <c r="M166" s="200"/>
      <c r="N166" s="210"/>
      <c r="O166" s="210"/>
      <c r="P166" s="200"/>
      <c r="Q166" s="200"/>
      <c r="R166" s="200"/>
      <c r="T166" s="154"/>
      <c r="V166" s="200"/>
      <c r="Y166" s="200"/>
      <c r="Z166" s="213"/>
      <c r="AA166" s="200"/>
      <c r="AB166" s="200"/>
      <c r="AC166" s="210"/>
      <c r="AD166" s="210"/>
      <c r="AE166" s="200"/>
      <c r="AF166" s="200"/>
      <c r="AG166" s="209"/>
      <c r="AH166" s="201"/>
      <c r="AI166" s="200"/>
      <c r="AJ166" s="200"/>
      <c r="AK166" s="209"/>
      <c r="AL166" s="200"/>
      <c r="AM166" s="210"/>
      <c r="AN166" s="210"/>
    </row>
    <row r="167" spans="1:40" x14ac:dyDescent="0.25">
      <c r="F167" s="211"/>
      <c r="H167" s="211"/>
      <c r="I167" s="211"/>
      <c r="J167" s="329"/>
      <c r="K167" s="305"/>
      <c r="L167" s="211"/>
      <c r="M167" s="211"/>
      <c r="N167" s="211"/>
      <c r="O167" s="211"/>
      <c r="P167" s="211"/>
      <c r="Q167" s="211"/>
      <c r="R167" s="211"/>
      <c r="V167" s="211"/>
      <c r="Y167" s="211"/>
      <c r="Z167" s="305"/>
      <c r="AA167" s="211"/>
      <c r="AB167" s="211"/>
      <c r="AC167" s="211"/>
      <c r="AD167" s="211"/>
      <c r="AE167" s="211"/>
      <c r="AF167" s="211"/>
      <c r="AI167" s="211"/>
      <c r="AJ167" s="211"/>
      <c r="AK167" s="212"/>
      <c r="AL167" s="211"/>
      <c r="AM167" s="200"/>
      <c r="AN167" s="200"/>
    </row>
    <row r="168" spans="1:40" x14ac:dyDescent="0.25">
      <c r="F168" s="200"/>
      <c r="H168" s="200"/>
      <c r="I168" s="200"/>
      <c r="J168" s="334"/>
      <c r="K168" s="213"/>
      <c r="L168" s="200"/>
      <c r="M168" s="200"/>
      <c r="N168" s="200"/>
      <c r="O168" s="200"/>
      <c r="P168" s="200"/>
      <c r="Q168" s="200"/>
      <c r="R168" s="200"/>
      <c r="V168" s="200"/>
      <c r="Y168" s="200"/>
      <c r="Z168" s="213"/>
      <c r="AA168" s="200"/>
      <c r="AB168" s="200"/>
      <c r="AC168" s="200"/>
      <c r="AD168" s="200"/>
    </row>
    <row r="169" spans="1:40" x14ac:dyDescent="0.25">
      <c r="C169" s="154"/>
      <c r="F169" s="200"/>
      <c r="H169" s="200"/>
      <c r="I169" s="200"/>
      <c r="J169" s="334"/>
      <c r="K169" s="213"/>
      <c r="L169" s="200"/>
      <c r="M169" s="200"/>
      <c r="N169" s="200"/>
      <c r="O169" s="200"/>
      <c r="P169" s="200"/>
      <c r="Q169" s="200"/>
      <c r="R169" s="200"/>
      <c r="T169" s="154"/>
      <c r="V169" s="200"/>
      <c r="Y169" s="200"/>
      <c r="Z169" s="213"/>
      <c r="AA169" s="200"/>
      <c r="AB169" s="200"/>
      <c r="AC169" s="200"/>
      <c r="AD169" s="200"/>
    </row>
    <row r="170" spans="1:40" x14ac:dyDescent="0.25">
      <c r="A170" s="154"/>
      <c r="J170" s="394"/>
    </row>
    <row r="171" spans="1:40" x14ac:dyDescent="0.25">
      <c r="J171" s="334"/>
      <c r="K171" s="202"/>
      <c r="Z171" s="202"/>
    </row>
    <row r="172" spans="1:40" x14ac:dyDescent="0.25">
      <c r="H172" s="154"/>
      <c r="I172" s="154"/>
      <c r="J172" s="394"/>
      <c r="Y172" s="154"/>
    </row>
    <row r="173" spans="1:40" x14ac:dyDescent="0.25">
      <c r="J173" s="334"/>
      <c r="K173" s="202"/>
      <c r="Z173" s="202"/>
    </row>
    <row r="174" spans="1:40" x14ac:dyDescent="0.25">
      <c r="J174" s="394"/>
      <c r="L174" s="154"/>
      <c r="M174" s="154"/>
      <c r="AA174" s="154"/>
      <c r="AB174" s="154"/>
    </row>
    <row r="175" spans="1:40" x14ac:dyDescent="0.25">
      <c r="A175" s="202"/>
      <c r="J175" s="394"/>
      <c r="R175" s="154"/>
      <c r="AK175" s="297"/>
      <c r="AL175" s="154"/>
    </row>
    <row r="176" spans="1:40" x14ac:dyDescent="0.25">
      <c r="A176" s="202"/>
      <c r="J176" s="394"/>
      <c r="R176" s="154"/>
      <c r="AK176" s="297"/>
      <c r="AL176" s="154"/>
    </row>
    <row r="177" spans="1:40" x14ac:dyDescent="0.25">
      <c r="A177" s="154"/>
      <c r="J177" s="394"/>
      <c r="R177" s="154"/>
      <c r="AK177" s="297"/>
      <c r="AL177" s="154"/>
    </row>
    <row r="178" spans="1:40" x14ac:dyDescent="0.25">
      <c r="J178" s="394"/>
      <c r="L178" s="154"/>
      <c r="M178" s="154"/>
      <c r="R178" s="202"/>
      <c r="AA178" s="154"/>
      <c r="AB178" s="154"/>
      <c r="AK178" s="209"/>
      <c r="AL178" s="202"/>
    </row>
    <row r="179" spans="1:40" x14ac:dyDescent="0.25">
      <c r="A179" s="102"/>
      <c r="B179" s="102"/>
      <c r="C179" s="102"/>
      <c r="D179" s="102"/>
      <c r="E179" s="102"/>
      <c r="F179" s="102"/>
      <c r="G179" s="102"/>
      <c r="H179" s="102"/>
      <c r="I179" s="102"/>
      <c r="J179" s="335"/>
      <c r="K179" s="102"/>
      <c r="L179" s="102"/>
      <c r="M179" s="102"/>
      <c r="N179" s="102"/>
      <c r="O179" s="102"/>
      <c r="P179" s="102"/>
      <c r="Q179" s="102"/>
      <c r="R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208"/>
      <c r="AH179" s="102"/>
      <c r="AI179" s="102"/>
      <c r="AJ179" s="102"/>
      <c r="AK179" s="208"/>
      <c r="AL179" s="102"/>
      <c r="AM179" s="102"/>
      <c r="AN179" s="102"/>
    </row>
    <row r="180" spans="1:40" x14ac:dyDescent="0.25">
      <c r="J180" s="394"/>
      <c r="L180" s="103"/>
      <c r="M180" s="103"/>
      <c r="N180" s="103"/>
      <c r="O180" s="103"/>
      <c r="R180" s="103"/>
      <c r="AA180" s="103"/>
      <c r="AB180" s="103"/>
      <c r="AC180" s="103"/>
      <c r="AD180" s="103"/>
      <c r="AE180" s="103"/>
      <c r="AF180" s="103"/>
      <c r="AG180" s="185"/>
      <c r="AH180" s="103"/>
      <c r="AK180" s="185"/>
      <c r="AL180" s="103"/>
      <c r="AM180" s="103"/>
      <c r="AN180" s="103"/>
    </row>
    <row r="181" spans="1:40" x14ac:dyDescent="0.25">
      <c r="J181" s="394"/>
      <c r="L181" s="103"/>
      <c r="M181" s="103"/>
      <c r="N181" s="103"/>
      <c r="O181" s="103"/>
      <c r="R181" s="103"/>
      <c r="Z181" s="103"/>
      <c r="AA181" s="103"/>
      <c r="AB181" s="103"/>
      <c r="AC181" s="103"/>
      <c r="AD181" s="103"/>
      <c r="AE181" s="103"/>
      <c r="AF181" s="103"/>
      <c r="AG181" s="185"/>
      <c r="AH181" s="103"/>
      <c r="AK181" s="185"/>
      <c r="AL181" s="103"/>
      <c r="AM181" s="103"/>
      <c r="AN181" s="103"/>
    </row>
    <row r="182" spans="1:40" x14ac:dyDescent="0.25">
      <c r="A182" s="103"/>
      <c r="C182" s="103"/>
      <c r="D182" s="103"/>
      <c r="E182" s="103"/>
      <c r="F182" s="103"/>
      <c r="J182" s="336"/>
      <c r="K182" s="103"/>
      <c r="L182" s="103"/>
      <c r="M182" s="103"/>
      <c r="N182" s="103"/>
      <c r="O182" s="103"/>
      <c r="P182" s="103"/>
      <c r="Q182" s="103"/>
      <c r="R182" s="103"/>
      <c r="T182" s="103"/>
      <c r="U182" s="103"/>
      <c r="V182" s="103"/>
      <c r="Z182" s="103"/>
      <c r="AA182" s="103"/>
      <c r="AB182" s="103"/>
      <c r="AC182" s="103"/>
      <c r="AD182" s="103"/>
      <c r="AE182" s="103"/>
      <c r="AF182" s="103"/>
      <c r="AG182" s="185"/>
      <c r="AH182" s="103"/>
      <c r="AI182" s="103"/>
      <c r="AJ182" s="103"/>
      <c r="AK182" s="185"/>
      <c r="AL182" s="103"/>
      <c r="AM182" s="103"/>
      <c r="AN182" s="103"/>
    </row>
    <row r="183" spans="1:40" x14ac:dyDescent="0.25">
      <c r="A183" s="103"/>
      <c r="C183" s="103"/>
      <c r="D183" s="103"/>
      <c r="E183" s="103"/>
      <c r="F183" s="103"/>
      <c r="H183" s="103"/>
      <c r="I183" s="103"/>
      <c r="J183" s="336"/>
      <c r="K183" s="103"/>
      <c r="L183" s="103"/>
      <c r="M183" s="103"/>
      <c r="N183" s="103"/>
      <c r="O183" s="103"/>
      <c r="P183" s="103"/>
      <c r="Q183" s="103"/>
      <c r="R183" s="103"/>
      <c r="T183" s="103"/>
      <c r="U183" s="103"/>
      <c r="V183" s="103"/>
      <c r="Y183" s="103"/>
      <c r="Z183" s="103"/>
      <c r="AA183" s="103"/>
      <c r="AB183" s="103"/>
      <c r="AC183" s="103"/>
      <c r="AD183" s="103"/>
      <c r="AE183" s="103"/>
      <c r="AF183" s="103"/>
      <c r="AG183" s="185"/>
      <c r="AH183" s="103"/>
      <c r="AI183" s="103"/>
      <c r="AJ183" s="103"/>
      <c r="AK183" s="185"/>
      <c r="AL183" s="103"/>
      <c r="AM183" s="103"/>
      <c r="AN183" s="103"/>
    </row>
    <row r="184" spans="1:40" x14ac:dyDescent="0.25">
      <c r="C184" s="103"/>
      <c r="D184" s="103"/>
      <c r="E184" s="103"/>
      <c r="F184" s="103"/>
      <c r="H184" s="103"/>
      <c r="I184" s="103"/>
      <c r="J184" s="336"/>
      <c r="K184" s="103"/>
      <c r="L184" s="103"/>
      <c r="M184" s="103"/>
      <c r="N184" s="103"/>
      <c r="O184" s="103"/>
      <c r="P184" s="103"/>
      <c r="Q184" s="103"/>
      <c r="R184" s="103"/>
      <c r="T184" s="103"/>
      <c r="U184" s="103"/>
      <c r="V184" s="103"/>
      <c r="Y184" s="103"/>
      <c r="Z184" s="103"/>
      <c r="AA184" s="103"/>
      <c r="AB184" s="103"/>
      <c r="AC184" s="103"/>
      <c r="AD184" s="103"/>
      <c r="AE184" s="103"/>
      <c r="AF184" s="103"/>
      <c r="AG184" s="185"/>
      <c r="AH184" s="103"/>
      <c r="AI184" s="103"/>
      <c r="AJ184" s="103"/>
      <c r="AK184" s="185"/>
      <c r="AL184" s="103"/>
      <c r="AM184" s="103"/>
      <c r="AN184" s="103"/>
    </row>
    <row r="185" spans="1:40" x14ac:dyDescent="0.25">
      <c r="A185" s="102"/>
      <c r="B185" s="102"/>
      <c r="C185" s="102"/>
      <c r="D185" s="102"/>
      <c r="E185" s="102"/>
      <c r="F185" s="102"/>
      <c r="G185" s="102"/>
      <c r="H185" s="102"/>
      <c r="I185" s="102"/>
      <c r="J185" s="335"/>
      <c r="K185" s="102"/>
      <c r="L185" s="102"/>
      <c r="M185" s="102"/>
      <c r="N185" s="102"/>
      <c r="O185" s="102"/>
      <c r="P185" s="102"/>
      <c r="Q185" s="102"/>
      <c r="R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208"/>
      <c r="AH185" s="102"/>
      <c r="AI185" s="102"/>
      <c r="AJ185" s="102"/>
      <c r="AK185" s="208"/>
      <c r="AL185" s="102"/>
      <c r="AM185" s="102"/>
      <c r="AN185" s="102"/>
    </row>
    <row r="186" spans="1:40" x14ac:dyDescent="0.25">
      <c r="H186" s="103"/>
      <c r="I186" s="103"/>
      <c r="J186" s="336"/>
      <c r="K186" s="103"/>
      <c r="L186" s="103"/>
      <c r="M186" s="103"/>
      <c r="N186" s="103"/>
      <c r="O186" s="103"/>
      <c r="P186" s="103"/>
      <c r="Q186" s="103"/>
      <c r="R186" s="103"/>
      <c r="Y186" s="103"/>
      <c r="Z186" s="103"/>
      <c r="AA186" s="103"/>
      <c r="AB186" s="103"/>
      <c r="AC186" s="103"/>
      <c r="AD186" s="103"/>
      <c r="AE186" s="103"/>
      <c r="AF186" s="103"/>
      <c r="AG186" s="185"/>
      <c r="AH186" s="103"/>
      <c r="AI186" s="103"/>
      <c r="AJ186" s="103"/>
      <c r="AK186" s="185"/>
      <c r="AL186" s="103"/>
      <c r="AM186" s="103"/>
      <c r="AN186" s="103"/>
    </row>
    <row r="187" spans="1:40" x14ac:dyDescent="0.25">
      <c r="A187" s="202"/>
      <c r="C187" s="154"/>
      <c r="D187" s="154"/>
      <c r="E187" s="154"/>
      <c r="J187" s="394"/>
      <c r="T187" s="154"/>
      <c r="U187" s="154"/>
    </row>
    <row r="188" spans="1:40" x14ac:dyDescent="0.25">
      <c r="J188" s="394"/>
    </row>
    <row r="189" spans="1:40" x14ac:dyDescent="0.25">
      <c r="A189" s="202"/>
      <c r="C189" s="154"/>
      <c r="F189" s="252"/>
      <c r="H189" s="317"/>
      <c r="I189" s="317"/>
      <c r="J189" s="329"/>
      <c r="K189" s="300"/>
      <c r="L189" s="200"/>
      <c r="M189" s="200"/>
      <c r="N189" s="202"/>
      <c r="O189" s="202"/>
      <c r="P189" s="202"/>
      <c r="Q189" s="202"/>
      <c r="R189" s="200"/>
      <c r="T189" s="154"/>
      <c r="V189" s="200"/>
      <c r="Y189" s="202"/>
      <c r="Z189" s="300"/>
      <c r="AA189" s="200"/>
      <c r="AB189" s="200"/>
      <c r="AC189" s="202"/>
      <c r="AD189" s="202"/>
      <c r="AE189" s="200"/>
      <c r="AF189" s="200"/>
      <c r="AG189" s="325"/>
      <c r="AH189" s="326"/>
      <c r="AI189" s="200"/>
      <c r="AJ189" s="200"/>
      <c r="AK189" s="209"/>
      <c r="AL189" s="200"/>
      <c r="AM189" s="327"/>
      <c r="AN189" s="327"/>
    </row>
    <row r="190" spans="1:40" x14ac:dyDescent="0.25">
      <c r="F190" s="252"/>
      <c r="H190" s="317"/>
      <c r="I190" s="317"/>
      <c r="J190" s="329"/>
      <c r="K190" s="317"/>
      <c r="R190" s="200"/>
      <c r="V190" s="200"/>
      <c r="Z190" s="317"/>
    </row>
    <row r="191" spans="1:40" x14ac:dyDescent="0.25">
      <c r="A191" s="202"/>
      <c r="C191" s="154"/>
      <c r="F191" s="252"/>
      <c r="H191" s="252"/>
      <c r="I191" s="252"/>
      <c r="J191" s="329"/>
      <c r="K191" s="320"/>
      <c r="L191" s="200"/>
      <c r="M191" s="200"/>
      <c r="N191" s="210"/>
      <c r="O191" s="210"/>
      <c r="P191" s="252"/>
      <c r="Q191" s="252"/>
      <c r="R191" s="200"/>
      <c r="T191" s="154"/>
      <c r="V191" s="200"/>
      <c r="Y191" s="200"/>
      <c r="Z191" s="304"/>
      <c r="AA191" s="200"/>
      <c r="AB191" s="200"/>
      <c r="AC191" s="210"/>
      <c r="AD191" s="210"/>
      <c r="AE191" s="200"/>
      <c r="AF191" s="200"/>
      <c r="AG191" s="209"/>
      <c r="AH191" s="201"/>
      <c r="AI191" s="252"/>
      <c r="AJ191" s="252"/>
      <c r="AK191" s="209"/>
      <c r="AL191" s="200"/>
      <c r="AM191" s="210"/>
      <c r="AN191" s="210"/>
    </row>
    <row r="192" spans="1:40" x14ac:dyDescent="0.25">
      <c r="F192" s="211"/>
      <c r="H192" s="211"/>
      <c r="I192" s="211"/>
      <c r="J192" s="329"/>
      <c r="K192" s="305"/>
      <c r="L192" s="211"/>
      <c r="M192" s="211"/>
      <c r="N192" s="211"/>
      <c r="O192" s="211"/>
      <c r="P192" s="211"/>
      <c r="Q192" s="211"/>
      <c r="R192" s="211"/>
      <c r="V192" s="211"/>
      <c r="Y192" s="211"/>
      <c r="Z192" s="305"/>
      <c r="AA192" s="211"/>
      <c r="AB192" s="211"/>
      <c r="AC192" s="211"/>
      <c r="AD192" s="211"/>
      <c r="AE192" s="211"/>
      <c r="AF192" s="211"/>
      <c r="AI192" s="211"/>
      <c r="AJ192" s="211"/>
      <c r="AK192" s="212"/>
      <c r="AL192" s="211"/>
    </row>
    <row r="193" spans="1:40" x14ac:dyDescent="0.25">
      <c r="A193" s="202"/>
      <c r="D193" s="154"/>
      <c r="E193" s="154"/>
      <c r="F193" s="200"/>
      <c r="H193" s="200"/>
      <c r="I193" s="200"/>
      <c r="J193" s="334"/>
      <c r="K193" s="213"/>
      <c r="L193" s="200"/>
      <c r="M193" s="200"/>
      <c r="N193" s="210"/>
      <c r="O193" s="210"/>
      <c r="P193" s="200"/>
      <c r="Q193" s="200"/>
      <c r="R193" s="200"/>
      <c r="U193" s="154"/>
      <c r="V193" s="200"/>
      <c r="Y193" s="200"/>
      <c r="Z193" s="213"/>
      <c r="AA193" s="200"/>
      <c r="AB193" s="200"/>
      <c r="AC193" s="210"/>
      <c r="AD193" s="210"/>
      <c r="AE193" s="200"/>
      <c r="AF193" s="200"/>
      <c r="AG193" s="209"/>
      <c r="AH193" s="201"/>
      <c r="AI193" s="200"/>
      <c r="AJ193" s="200"/>
      <c r="AK193" s="209"/>
      <c r="AL193" s="200"/>
      <c r="AM193" s="210"/>
      <c r="AN193" s="210"/>
    </row>
    <row r="194" spans="1:40" x14ac:dyDescent="0.25">
      <c r="F194" s="211"/>
      <c r="H194" s="211"/>
      <c r="I194" s="211"/>
      <c r="J194" s="329"/>
      <c r="K194" s="305"/>
      <c r="L194" s="211"/>
      <c r="M194" s="211"/>
      <c r="N194" s="211"/>
      <c r="O194" s="211"/>
      <c r="P194" s="211"/>
      <c r="Q194" s="211"/>
      <c r="R194" s="211"/>
      <c r="V194" s="211"/>
      <c r="Y194" s="211"/>
      <c r="Z194" s="305"/>
      <c r="AA194" s="211"/>
      <c r="AB194" s="211"/>
      <c r="AC194" s="211"/>
      <c r="AD194" s="211"/>
      <c r="AE194" s="211"/>
      <c r="AF194" s="211"/>
      <c r="AI194" s="211"/>
      <c r="AJ194" s="211"/>
      <c r="AK194" s="212"/>
      <c r="AL194" s="211"/>
    </row>
    <row r="195" spans="1:40" x14ac:dyDescent="0.25">
      <c r="J195" s="394"/>
      <c r="R195" s="200"/>
    </row>
    <row r="196" spans="1:40" x14ac:dyDescent="0.25">
      <c r="J196" s="394"/>
      <c r="R196" s="200"/>
    </row>
    <row r="197" spans="1:40" x14ac:dyDescent="0.25">
      <c r="J197" s="394"/>
      <c r="R197" s="200"/>
    </row>
    <row r="198" spans="1:40" x14ac:dyDescent="0.25">
      <c r="A198" s="202"/>
      <c r="C198" s="154"/>
      <c r="D198" s="154"/>
      <c r="E198" s="154"/>
      <c r="H198" s="200"/>
      <c r="I198" s="200"/>
      <c r="J198" s="334"/>
      <c r="K198" s="213"/>
      <c r="L198" s="200"/>
      <c r="M198" s="200"/>
      <c r="N198" s="210"/>
      <c r="O198" s="210"/>
      <c r="P198" s="200"/>
      <c r="Q198" s="200"/>
      <c r="R198" s="200"/>
      <c r="T198" s="154"/>
      <c r="U198" s="154"/>
      <c r="Y198" s="200"/>
      <c r="Z198" s="213"/>
      <c r="AA198" s="200"/>
      <c r="AB198" s="200"/>
      <c r="AC198" s="210"/>
      <c r="AD198" s="210"/>
    </row>
    <row r="199" spans="1:40" x14ac:dyDescent="0.25">
      <c r="H199" s="200"/>
      <c r="I199" s="200"/>
      <c r="J199" s="334"/>
      <c r="K199" s="213"/>
      <c r="L199" s="200"/>
      <c r="M199" s="200"/>
      <c r="N199" s="210"/>
      <c r="O199" s="210"/>
      <c r="P199" s="200"/>
      <c r="Q199" s="200"/>
      <c r="R199" s="200"/>
      <c r="Y199" s="200"/>
      <c r="Z199" s="213"/>
      <c r="AA199" s="200"/>
      <c r="AB199" s="200"/>
      <c r="AC199" s="210"/>
      <c r="AD199" s="210"/>
    </row>
    <row r="200" spans="1:40" x14ac:dyDescent="0.25">
      <c r="A200" s="202"/>
      <c r="C200" s="154"/>
      <c r="F200" s="252"/>
      <c r="H200" s="252"/>
      <c r="I200" s="252"/>
      <c r="J200" s="336"/>
      <c r="K200" s="214"/>
      <c r="L200" s="252"/>
      <c r="M200" s="252"/>
      <c r="N200" s="210"/>
      <c r="O200" s="210"/>
      <c r="P200" s="200"/>
      <c r="Q200" s="200"/>
      <c r="R200" s="200"/>
      <c r="T200" s="154"/>
      <c r="V200" s="200"/>
      <c r="Y200" s="200"/>
      <c r="Z200" s="214"/>
      <c r="AA200" s="200"/>
      <c r="AB200" s="200"/>
      <c r="AC200" s="210"/>
      <c r="AD200" s="210"/>
      <c r="AE200" s="200"/>
      <c r="AF200" s="200"/>
      <c r="AG200" s="209"/>
      <c r="AH200" s="201"/>
      <c r="AI200" s="200"/>
      <c r="AJ200" s="200"/>
      <c r="AK200" s="209"/>
      <c r="AL200" s="200"/>
      <c r="AM200" s="210"/>
      <c r="AN200" s="210"/>
    </row>
    <row r="201" spans="1:40" x14ac:dyDescent="0.25">
      <c r="F201" s="252"/>
      <c r="H201" s="317"/>
      <c r="I201" s="317"/>
      <c r="J201" s="329"/>
      <c r="K201" s="317"/>
      <c r="R201" s="200"/>
      <c r="V201" s="200"/>
      <c r="Z201" s="317"/>
    </row>
    <row r="202" spans="1:40" x14ac:dyDescent="0.25">
      <c r="A202" s="202"/>
      <c r="C202" s="154"/>
      <c r="F202" s="252"/>
      <c r="H202" s="252"/>
      <c r="I202" s="252"/>
      <c r="J202" s="329"/>
      <c r="K202" s="300"/>
      <c r="L202" s="200"/>
      <c r="M202" s="200"/>
      <c r="N202" s="210"/>
      <c r="O202" s="210"/>
      <c r="P202" s="200"/>
      <c r="Q202" s="200"/>
      <c r="R202" s="200"/>
      <c r="T202" s="154"/>
      <c r="V202" s="200"/>
      <c r="Y202" s="200"/>
      <c r="Z202" s="300"/>
      <c r="AA202" s="200"/>
      <c r="AB202" s="200"/>
      <c r="AC202" s="210"/>
      <c r="AD202" s="210"/>
      <c r="AE202" s="200"/>
      <c r="AF202" s="200"/>
      <c r="AG202" s="209"/>
      <c r="AH202" s="201"/>
      <c r="AI202" s="200"/>
      <c r="AJ202" s="200"/>
      <c r="AK202" s="209"/>
      <c r="AL202" s="200"/>
      <c r="AM202" s="210"/>
      <c r="AN202" s="210"/>
    </row>
    <row r="203" spans="1:40" x14ac:dyDescent="0.25">
      <c r="F203" s="252"/>
      <c r="H203" s="317"/>
      <c r="I203" s="317"/>
      <c r="J203" s="329"/>
      <c r="K203" s="317"/>
      <c r="R203" s="200"/>
      <c r="V203" s="200"/>
      <c r="Z203" s="317"/>
    </row>
    <row r="204" spans="1:40" x14ac:dyDescent="0.25">
      <c r="A204" s="202"/>
      <c r="C204" s="154"/>
      <c r="F204" s="252"/>
      <c r="H204" s="252"/>
      <c r="I204" s="252"/>
      <c r="J204" s="329"/>
      <c r="K204" s="320"/>
      <c r="L204" s="200"/>
      <c r="M204" s="200"/>
      <c r="N204" s="210"/>
      <c r="O204" s="210"/>
      <c r="P204" s="200"/>
      <c r="Q204" s="200"/>
      <c r="R204" s="200"/>
      <c r="T204" s="154"/>
      <c r="V204" s="200"/>
      <c r="Y204" s="200"/>
      <c r="Z204" s="304"/>
      <c r="AA204" s="200"/>
      <c r="AB204" s="200"/>
      <c r="AC204" s="210"/>
      <c r="AD204" s="210"/>
      <c r="AE204" s="200"/>
      <c r="AF204" s="200"/>
      <c r="AG204" s="209"/>
      <c r="AH204" s="201"/>
      <c r="AI204" s="200"/>
      <c r="AJ204" s="200"/>
      <c r="AK204" s="209"/>
      <c r="AL204" s="200"/>
      <c r="AM204" s="210"/>
      <c r="AN204" s="210"/>
    </row>
    <row r="205" spans="1:40" x14ac:dyDescent="0.25">
      <c r="F205" s="211"/>
      <c r="H205" s="211"/>
      <c r="I205" s="211"/>
      <c r="J205" s="329"/>
      <c r="K205" s="305"/>
      <c r="L205" s="211"/>
      <c r="M205" s="211"/>
      <c r="N205" s="211"/>
      <c r="O205" s="211"/>
      <c r="P205" s="211"/>
      <c r="Q205" s="211"/>
      <c r="R205" s="211"/>
      <c r="S205" s="200"/>
      <c r="V205" s="211"/>
      <c r="Y205" s="211"/>
      <c r="Z205" s="305"/>
      <c r="AA205" s="211"/>
      <c r="AB205" s="211"/>
      <c r="AC205" s="211"/>
      <c r="AD205" s="211"/>
      <c r="AE205" s="211"/>
      <c r="AF205" s="211"/>
      <c r="AI205" s="211"/>
      <c r="AJ205" s="211"/>
      <c r="AK205" s="212"/>
      <c r="AL205" s="211"/>
    </row>
    <row r="206" spans="1:40" x14ac:dyDescent="0.25">
      <c r="A206" s="202"/>
      <c r="D206" s="154"/>
      <c r="E206" s="154"/>
      <c r="F206" s="200"/>
      <c r="H206" s="200"/>
      <c r="I206" s="200"/>
      <c r="J206" s="334"/>
      <c r="K206" s="213"/>
      <c r="L206" s="200"/>
      <c r="M206" s="200"/>
      <c r="N206" s="210"/>
      <c r="O206" s="210"/>
      <c r="P206" s="252"/>
      <c r="Q206" s="252"/>
      <c r="R206" s="200"/>
      <c r="S206" s="200"/>
      <c r="U206" s="154"/>
      <c r="V206" s="200"/>
      <c r="Y206" s="200"/>
      <c r="Z206" s="213"/>
      <c r="AA206" s="200"/>
      <c r="AB206" s="200"/>
      <c r="AC206" s="210"/>
      <c r="AD206" s="210"/>
      <c r="AE206" s="200"/>
      <c r="AF206" s="200"/>
      <c r="AG206" s="209"/>
      <c r="AH206" s="201"/>
      <c r="AI206" s="252"/>
      <c r="AJ206" s="252"/>
      <c r="AK206" s="209"/>
      <c r="AL206" s="200"/>
      <c r="AM206" s="210"/>
      <c r="AN206" s="210"/>
    </row>
    <row r="207" spans="1:40" x14ac:dyDescent="0.25">
      <c r="F207" s="211"/>
      <c r="H207" s="211"/>
      <c r="I207" s="211"/>
      <c r="J207" s="329"/>
      <c r="K207" s="305"/>
      <c r="L207" s="211"/>
      <c r="M207" s="211"/>
      <c r="N207" s="211"/>
      <c r="O207" s="211"/>
      <c r="P207" s="211"/>
      <c r="Q207" s="211"/>
      <c r="R207" s="211"/>
      <c r="S207" s="200"/>
      <c r="V207" s="211"/>
      <c r="Y207" s="211"/>
      <c r="Z207" s="305"/>
      <c r="AA207" s="211"/>
      <c r="AB207" s="211"/>
      <c r="AC207" s="211"/>
      <c r="AD207" s="211"/>
      <c r="AE207" s="211"/>
      <c r="AF207" s="211"/>
      <c r="AI207" s="211"/>
      <c r="AJ207" s="211"/>
      <c r="AK207" s="212"/>
      <c r="AL207" s="211"/>
    </row>
    <row r="208" spans="1:40" x14ac:dyDescent="0.25">
      <c r="J208" s="394"/>
      <c r="R208" s="200"/>
    </row>
    <row r="209" spans="1:40" x14ac:dyDescent="0.25">
      <c r="F209" s="200"/>
      <c r="H209" s="200"/>
      <c r="I209" s="200"/>
      <c r="J209" s="334"/>
      <c r="K209" s="213"/>
      <c r="L209" s="200"/>
      <c r="M209" s="200"/>
      <c r="N209" s="200"/>
      <c r="O209" s="200"/>
      <c r="P209" s="200"/>
      <c r="Q209" s="200"/>
      <c r="R209" s="200"/>
      <c r="V209" s="200"/>
      <c r="Y209" s="200"/>
      <c r="Z209" s="213"/>
      <c r="AA209" s="200"/>
      <c r="AB209" s="200"/>
      <c r="AC209" s="200"/>
      <c r="AD209" s="200"/>
    </row>
    <row r="210" spans="1:40" x14ac:dyDescent="0.25">
      <c r="C210" s="154"/>
      <c r="F210" s="200"/>
      <c r="H210" s="200"/>
      <c r="I210" s="200"/>
      <c r="J210" s="334"/>
      <c r="K210" s="213"/>
      <c r="L210" s="200"/>
      <c r="M210" s="200"/>
      <c r="N210" s="200"/>
      <c r="O210" s="200"/>
      <c r="P210" s="200"/>
      <c r="Q210" s="200"/>
      <c r="R210" s="200"/>
      <c r="T210" s="154"/>
      <c r="V210" s="200"/>
      <c r="Y210" s="200"/>
      <c r="Z210" s="213"/>
      <c r="AA210" s="200"/>
      <c r="AB210" s="200"/>
      <c r="AC210" s="200"/>
      <c r="AD210" s="200"/>
    </row>
    <row r="211" spans="1:40" x14ac:dyDescent="0.25">
      <c r="C211" s="154"/>
      <c r="J211" s="394"/>
      <c r="T211" s="154"/>
    </row>
    <row r="212" spans="1:40" x14ac:dyDescent="0.25">
      <c r="A212" s="154"/>
      <c r="J212" s="394"/>
    </row>
    <row r="213" spans="1:40" x14ac:dyDescent="0.25">
      <c r="J213" s="394"/>
    </row>
    <row r="214" spans="1:40" x14ac:dyDescent="0.25">
      <c r="J214" s="334"/>
      <c r="K214" s="202"/>
      <c r="Z214" s="202"/>
    </row>
    <row r="215" spans="1:40" x14ac:dyDescent="0.25">
      <c r="H215" s="154"/>
      <c r="I215" s="154"/>
      <c r="J215" s="394"/>
      <c r="Y215" s="154"/>
    </row>
    <row r="216" spans="1:40" x14ac:dyDescent="0.25">
      <c r="J216" s="334"/>
      <c r="K216" s="202"/>
      <c r="Z216" s="202"/>
    </row>
    <row r="217" spans="1:40" x14ac:dyDescent="0.25">
      <c r="J217" s="394"/>
      <c r="L217" s="154"/>
      <c r="M217" s="154"/>
      <c r="AA217" s="154"/>
      <c r="AB217" s="154"/>
    </row>
    <row r="218" spans="1:40" x14ac:dyDescent="0.25">
      <c r="A218" s="202"/>
      <c r="J218" s="394"/>
      <c r="R218" s="154"/>
      <c r="AK218" s="297"/>
      <c r="AL218" s="154"/>
    </row>
    <row r="219" spans="1:40" x14ac:dyDescent="0.25">
      <c r="A219" s="202"/>
      <c r="J219" s="394"/>
      <c r="R219" s="154"/>
      <c r="AK219" s="297"/>
      <c r="AL219" s="154"/>
    </row>
    <row r="220" spans="1:40" x14ac:dyDescent="0.25">
      <c r="A220" s="154"/>
      <c r="J220" s="394"/>
      <c r="R220" s="154"/>
      <c r="AK220" s="297"/>
      <c r="AL220" s="154"/>
    </row>
    <row r="221" spans="1:40" x14ac:dyDescent="0.25">
      <c r="J221" s="394"/>
      <c r="L221" s="154"/>
      <c r="M221" s="154"/>
      <c r="R221" s="202"/>
      <c r="AA221" s="154"/>
      <c r="AB221" s="154"/>
      <c r="AK221" s="209"/>
      <c r="AL221" s="202"/>
    </row>
    <row r="222" spans="1:40" x14ac:dyDescent="0.25">
      <c r="A222" s="102"/>
      <c r="B222" s="102"/>
      <c r="C222" s="102"/>
      <c r="D222" s="102"/>
      <c r="E222" s="102"/>
      <c r="F222" s="102"/>
      <c r="G222" s="102"/>
      <c r="H222" s="102"/>
      <c r="I222" s="102"/>
      <c r="J222" s="335"/>
      <c r="K222" s="102"/>
      <c r="L222" s="102"/>
      <c r="M222" s="102"/>
      <c r="N222" s="102"/>
      <c r="O222" s="102"/>
      <c r="P222" s="102"/>
      <c r="Q222" s="102"/>
      <c r="R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208"/>
      <c r="AH222" s="102"/>
      <c r="AI222" s="102"/>
      <c r="AJ222" s="102"/>
      <c r="AK222" s="208"/>
      <c r="AL222" s="102"/>
      <c r="AM222" s="102"/>
      <c r="AN222" s="102"/>
    </row>
    <row r="223" spans="1:40" x14ac:dyDescent="0.25">
      <c r="J223" s="394"/>
      <c r="L223" s="103"/>
      <c r="M223" s="103"/>
      <c r="N223" s="103"/>
      <c r="O223" s="103"/>
      <c r="R223" s="103"/>
      <c r="AA223" s="103"/>
      <c r="AB223" s="103"/>
      <c r="AC223" s="103"/>
      <c r="AD223" s="103"/>
      <c r="AE223" s="103"/>
      <c r="AF223" s="103"/>
      <c r="AG223" s="185"/>
      <c r="AH223" s="103"/>
      <c r="AK223" s="185"/>
      <c r="AL223" s="103"/>
      <c r="AM223" s="103"/>
      <c r="AN223" s="103"/>
    </row>
    <row r="224" spans="1:40" x14ac:dyDescent="0.25">
      <c r="J224" s="394"/>
      <c r="L224" s="103"/>
      <c r="M224" s="103"/>
      <c r="N224" s="103"/>
      <c r="O224" s="103"/>
      <c r="R224" s="103"/>
      <c r="Z224" s="103"/>
      <c r="AA224" s="103"/>
      <c r="AB224" s="103"/>
      <c r="AC224" s="103"/>
      <c r="AD224" s="103"/>
      <c r="AE224" s="103"/>
      <c r="AF224" s="103"/>
      <c r="AG224" s="185"/>
      <c r="AH224" s="103"/>
      <c r="AK224" s="185"/>
      <c r="AL224" s="103"/>
      <c r="AM224" s="103"/>
      <c r="AN224" s="103"/>
    </row>
    <row r="225" spans="1:40" x14ac:dyDescent="0.25">
      <c r="A225" s="103"/>
      <c r="C225" s="103"/>
      <c r="D225" s="103"/>
      <c r="E225" s="103"/>
      <c r="F225" s="103"/>
      <c r="J225" s="336"/>
      <c r="K225" s="103"/>
      <c r="L225" s="103"/>
      <c r="M225" s="103"/>
      <c r="N225" s="103"/>
      <c r="O225" s="103"/>
      <c r="P225" s="103"/>
      <c r="Q225" s="103"/>
      <c r="R225" s="103"/>
      <c r="T225" s="103"/>
      <c r="U225" s="103"/>
      <c r="V225" s="103"/>
      <c r="Z225" s="103"/>
      <c r="AA225" s="103"/>
      <c r="AB225" s="103"/>
      <c r="AC225" s="103"/>
      <c r="AD225" s="103"/>
      <c r="AE225" s="103"/>
      <c r="AF225" s="103"/>
      <c r="AG225" s="185"/>
      <c r="AH225" s="103"/>
      <c r="AI225" s="103"/>
      <c r="AJ225" s="103"/>
      <c r="AK225" s="185"/>
      <c r="AL225" s="103"/>
      <c r="AM225" s="103"/>
      <c r="AN225" s="103"/>
    </row>
    <row r="226" spans="1:40" x14ac:dyDescent="0.25">
      <c r="A226" s="103"/>
      <c r="C226" s="103"/>
      <c r="D226" s="103"/>
      <c r="E226" s="103"/>
      <c r="F226" s="103"/>
      <c r="H226" s="103"/>
      <c r="I226" s="103"/>
      <c r="J226" s="336"/>
      <c r="K226" s="103"/>
      <c r="L226" s="103"/>
      <c r="M226" s="103"/>
      <c r="N226" s="103"/>
      <c r="O226" s="103"/>
      <c r="P226" s="103"/>
      <c r="Q226" s="103"/>
      <c r="R226" s="103"/>
      <c r="T226" s="103"/>
      <c r="U226" s="103"/>
      <c r="V226" s="103"/>
      <c r="Y226" s="103"/>
      <c r="Z226" s="103"/>
      <c r="AA226" s="103"/>
      <c r="AB226" s="103"/>
      <c r="AC226" s="103"/>
      <c r="AD226" s="103"/>
      <c r="AE226" s="103"/>
      <c r="AF226" s="103"/>
      <c r="AG226" s="185"/>
      <c r="AH226" s="103"/>
      <c r="AI226" s="103"/>
      <c r="AJ226" s="103"/>
      <c r="AK226" s="185"/>
      <c r="AL226" s="103"/>
      <c r="AM226" s="103"/>
      <c r="AN226" s="103"/>
    </row>
    <row r="227" spans="1:40" x14ac:dyDescent="0.25">
      <c r="C227" s="103"/>
      <c r="D227" s="103"/>
      <c r="E227" s="103"/>
      <c r="F227" s="103"/>
      <c r="H227" s="103"/>
      <c r="I227" s="103"/>
      <c r="J227" s="336"/>
      <c r="K227" s="103"/>
      <c r="L227" s="103"/>
      <c r="M227" s="103"/>
      <c r="N227" s="103"/>
      <c r="O227" s="103"/>
      <c r="P227" s="103"/>
      <c r="Q227" s="103"/>
      <c r="R227" s="103"/>
      <c r="T227" s="103"/>
      <c r="U227" s="103"/>
      <c r="V227" s="103"/>
      <c r="Y227" s="103"/>
      <c r="Z227" s="103"/>
      <c r="AA227" s="103"/>
      <c r="AB227" s="103"/>
      <c r="AC227" s="103"/>
      <c r="AD227" s="103"/>
      <c r="AE227" s="103"/>
      <c r="AF227" s="103"/>
      <c r="AG227" s="185"/>
      <c r="AH227" s="103"/>
      <c r="AI227" s="103"/>
      <c r="AJ227" s="103"/>
      <c r="AK227" s="185"/>
      <c r="AL227" s="103"/>
      <c r="AM227" s="103"/>
      <c r="AN227" s="103"/>
    </row>
    <row r="228" spans="1:40" x14ac:dyDescent="0.25">
      <c r="A228" s="102"/>
      <c r="B228" s="102"/>
      <c r="C228" s="102"/>
      <c r="D228" s="102"/>
      <c r="E228" s="102"/>
      <c r="F228" s="102"/>
      <c r="G228" s="102"/>
      <c r="H228" s="102"/>
      <c r="I228" s="102"/>
      <c r="J228" s="335"/>
      <c r="K228" s="102"/>
      <c r="L228" s="102"/>
      <c r="M228" s="102"/>
      <c r="N228" s="102"/>
      <c r="O228" s="102"/>
      <c r="P228" s="102"/>
      <c r="Q228" s="102"/>
      <c r="R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208"/>
      <c r="AH228" s="102"/>
      <c r="AI228" s="102"/>
      <c r="AJ228" s="102"/>
      <c r="AK228" s="208"/>
      <c r="AL228" s="102"/>
      <c r="AM228" s="102"/>
      <c r="AN228" s="102"/>
    </row>
    <row r="229" spans="1:40" x14ac:dyDescent="0.25">
      <c r="H229" s="103"/>
      <c r="I229" s="103"/>
      <c r="J229" s="336"/>
      <c r="K229" s="103"/>
      <c r="L229" s="103"/>
      <c r="M229" s="103"/>
      <c r="N229" s="103"/>
      <c r="O229" s="103"/>
      <c r="P229" s="103"/>
      <c r="Q229" s="103"/>
      <c r="R229" s="103"/>
      <c r="Y229" s="103"/>
      <c r="Z229" s="103"/>
      <c r="AA229" s="103"/>
      <c r="AB229" s="103"/>
      <c r="AC229" s="103"/>
      <c r="AD229" s="103"/>
      <c r="AE229" s="103"/>
      <c r="AF229" s="103"/>
      <c r="AG229" s="185"/>
      <c r="AH229" s="103"/>
      <c r="AI229" s="103"/>
      <c r="AJ229" s="103"/>
      <c r="AK229" s="185"/>
      <c r="AL229" s="103"/>
      <c r="AM229" s="103"/>
      <c r="AN229" s="103"/>
    </row>
    <row r="230" spans="1:40" x14ac:dyDescent="0.25">
      <c r="A230" s="202"/>
      <c r="C230" s="154"/>
      <c r="D230" s="154"/>
      <c r="E230" s="154"/>
      <c r="J230" s="394"/>
      <c r="T230" s="154"/>
      <c r="U230" s="154"/>
    </row>
    <row r="231" spans="1:40" x14ac:dyDescent="0.25">
      <c r="A231" s="202"/>
      <c r="D231" s="154"/>
      <c r="E231" s="154"/>
      <c r="J231" s="394"/>
      <c r="U231" s="154"/>
    </row>
    <row r="232" spans="1:40" x14ac:dyDescent="0.25">
      <c r="J232" s="394"/>
    </row>
    <row r="233" spans="1:40" x14ac:dyDescent="0.25">
      <c r="A233" s="202"/>
      <c r="C233" s="154"/>
      <c r="F233" s="200"/>
      <c r="J233" s="334"/>
      <c r="K233" s="215"/>
      <c r="L233" s="200"/>
      <c r="M233" s="200"/>
      <c r="R233" s="200"/>
      <c r="T233" s="154"/>
      <c r="V233" s="200"/>
      <c r="Z233" s="215"/>
      <c r="AA233" s="200"/>
      <c r="AB233" s="200"/>
      <c r="AK233" s="209"/>
      <c r="AL233" s="200"/>
    </row>
    <row r="234" spans="1:40" x14ac:dyDescent="0.25">
      <c r="F234" s="200"/>
      <c r="J234" s="394"/>
      <c r="R234" s="200"/>
      <c r="V234" s="200"/>
      <c r="AK234" s="209"/>
      <c r="AL234" s="200"/>
    </row>
    <row r="235" spans="1:40" x14ac:dyDescent="0.25">
      <c r="A235" s="202"/>
      <c r="C235" s="154"/>
      <c r="F235" s="252"/>
      <c r="H235" s="252"/>
      <c r="I235" s="252"/>
      <c r="J235" s="329"/>
      <c r="K235" s="300"/>
      <c r="L235" s="200"/>
      <c r="M235" s="200"/>
      <c r="N235" s="210"/>
      <c r="O235" s="210"/>
      <c r="P235" s="200"/>
      <c r="Q235" s="200"/>
      <c r="R235" s="200"/>
      <c r="T235" s="154"/>
      <c r="V235" s="200"/>
      <c r="Y235" s="200"/>
      <c r="Z235" s="300"/>
      <c r="AA235" s="200"/>
      <c r="AB235" s="200"/>
      <c r="AC235" s="210"/>
      <c r="AD235" s="210"/>
      <c r="AE235" s="200"/>
      <c r="AF235" s="200"/>
      <c r="AG235" s="209"/>
      <c r="AH235" s="201"/>
      <c r="AI235" s="200"/>
      <c r="AJ235" s="200"/>
      <c r="AK235" s="209"/>
      <c r="AL235" s="200"/>
      <c r="AM235" s="210"/>
      <c r="AN235" s="210"/>
    </row>
    <row r="236" spans="1:40" x14ac:dyDescent="0.25">
      <c r="A236" s="202"/>
      <c r="C236" s="154"/>
      <c r="F236" s="252"/>
      <c r="H236" s="317"/>
      <c r="I236" s="317"/>
      <c r="J236" s="329"/>
      <c r="K236" s="300"/>
      <c r="L236" s="200"/>
      <c r="M236" s="200"/>
      <c r="N236" s="210"/>
      <c r="O236" s="210"/>
      <c r="P236" s="200"/>
      <c r="Q236" s="200"/>
      <c r="R236" s="200"/>
      <c r="T236" s="154"/>
      <c r="V236" s="200"/>
      <c r="Y236" s="200"/>
      <c r="Z236" s="300"/>
      <c r="AA236" s="200"/>
      <c r="AB236" s="200"/>
      <c r="AC236" s="210"/>
      <c r="AD236" s="210"/>
      <c r="AE236" s="200"/>
      <c r="AF236" s="200"/>
      <c r="AG236" s="209"/>
      <c r="AH236" s="201"/>
      <c r="AI236" s="200"/>
      <c r="AJ236" s="200"/>
      <c r="AK236" s="209"/>
      <c r="AL236" s="200"/>
      <c r="AM236" s="210"/>
      <c r="AN236" s="210"/>
    </row>
    <row r="237" spans="1:40" x14ac:dyDescent="0.25">
      <c r="F237" s="211"/>
      <c r="H237" s="200"/>
      <c r="I237" s="200"/>
      <c r="J237" s="329"/>
      <c r="K237" s="305"/>
      <c r="L237" s="211"/>
      <c r="M237" s="211"/>
      <c r="N237" s="211"/>
      <c r="O237" s="211"/>
      <c r="P237" s="211"/>
      <c r="Q237" s="211"/>
      <c r="R237" s="211"/>
      <c r="V237" s="211"/>
      <c r="Y237" s="200"/>
      <c r="Z237" s="305"/>
      <c r="AA237" s="211"/>
      <c r="AB237" s="211"/>
      <c r="AC237" s="211"/>
      <c r="AD237" s="211"/>
      <c r="AE237" s="211"/>
      <c r="AF237" s="211"/>
      <c r="AI237" s="211"/>
      <c r="AJ237" s="211"/>
      <c r="AK237" s="212"/>
      <c r="AL237" s="211"/>
    </row>
    <row r="238" spans="1:40" x14ac:dyDescent="0.25">
      <c r="A238" s="202"/>
      <c r="C238" s="154"/>
      <c r="F238" s="200"/>
      <c r="H238" s="200"/>
      <c r="I238" s="200"/>
      <c r="J238" s="334"/>
      <c r="K238" s="213"/>
      <c r="L238" s="200"/>
      <c r="M238" s="200"/>
      <c r="N238" s="210"/>
      <c r="O238" s="210"/>
      <c r="P238" s="200"/>
      <c r="Q238" s="200"/>
      <c r="R238" s="200"/>
      <c r="T238" s="154"/>
      <c r="V238" s="200"/>
      <c r="Y238" s="200"/>
      <c r="Z238" s="213"/>
      <c r="AA238" s="200"/>
      <c r="AB238" s="200"/>
      <c r="AC238" s="210"/>
      <c r="AD238" s="210"/>
      <c r="AE238" s="200"/>
      <c r="AF238" s="200"/>
      <c r="AG238" s="209"/>
      <c r="AH238" s="201"/>
      <c r="AI238" s="200"/>
      <c r="AJ238" s="200"/>
      <c r="AK238" s="209"/>
      <c r="AL238" s="200"/>
      <c r="AM238" s="210"/>
      <c r="AN238" s="210"/>
    </row>
    <row r="239" spans="1:40" x14ac:dyDescent="0.25">
      <c r="F239" s="211"/>
      <c r="H239" s="200"/>
      <c r="I239" s="200"/>
      <c r="J239" s="329"/>
      <c r="K239" s="305"/>
      <c r="L239" s="211"/>
      <c r="M239" s="211"/>
      <c r="N239" s="211"/>
      <c r="O239" s="211"/>
      <c r="P239" s="211"/>
      <c r="Q239" s="211"/>
      <c r="R239" s="211"/>
      <c r="V239" s="211"/>
      <c r="Y239" s="200"/>
      <c r="Z239" s="305"/>
      <c r="AA239" s="211"/>
      <c r="AB239" s="211"/>
      <c r="AC239" s="211"/>
      <c r="AD239" s="211"/>
      <c r="AE239" s="211"/>
      <c r="AF239" s="211"/>
      <c r="AI239" s="211"/>
      <c r="AJ239" s="211"/>
      <c r="AK239" s="212"/>
      <c r="AL239" s="211"/>
    </row>
    <row r="240" spans="1:40" x14ac:dyDescent="0.25">
      <c r="F240" s="200"/>
      <c r="J240" s="394"/>
      <c r="R240" s="200"/>
      <c r="V240" s="200"/>
      <c r="AK240" s="209"/>
      <c r="AL240" s="200"/>
    </row>
    <row r="241" spans="1:40" x14ac:dyDescent="0.25">
      <c r="A241" s="202"/>
      <c r="C241" s="154"/>
      <c r="F241" s="200"/>
      <c r="J241" s="394"/>
      <c r="R241" s="200"/>
      <c r="T241" s="154"/>
      <c r="V241" s="200"/>
      <c r="AK241" s="209"/>
      <c r="AL241" s="200"/>
    </row>
    <row r="242" spans="1:40" x14ac:dyDescent="0.25">
      <c r="F242" s="200"/>
      <c r="J242" s="394"/>
      <c r="R242" s="200"/>
      <c r="V242" s="200"/>
      <c r="AK242" s="209"/>
      <c r="AL242" s="200"/>
    </row>
    <row r="243" spans="1:40" x14ac:dyDescent="0.25">
      <c r="A243" s="202"/>
      <c r="C243" s="154"/>
      <c r="F243" s="200"/>
      <c r="H243" s="252"/>
      <c r="I243" s="252"/>
      <c r="J243" s="329"/>
      <c r="K243" s="320"/>
      <c r="L243" s="200"/>
      <c r="M243" s="200"/>
      <c r="N243" s="210"/>
      <c r="O243" s="210"/>
      <c r="P243" s="252"/>
      <c r="Q243" s="252"/>
      <c r="R243" s="200"/>
      <c r="T243" s="154"/>
      <c r="V243" s="200"/>
      <c r="Y243" s="200"/>
      <c r="Z243" s="304"/>
      <c r="AA243" s="200"/>
      <c r="AB243" s="200"/>
      <c r="AC243" s="210"/>
      <c r="AD243" s="210"/>
      <c r="AE243" s="200"/>
      <c r="AF243" s="200"/>
      <c r="AG243" s="209"/>
      <c r="AH243" s="201"/>
      <c r="AI243" s="252"/>
      <c r="AJ243" s="252"/>
      <c r="AK243" s="209"/>
      <c r="AL243" s="200"/>
      <c r="AM243" s="210"/>
      <c r="AN243" s="210"/>
    </row>
    <row r="244" spans="1:40" x14ac:dyDescent="0.25">
      <c r="H244" s="211"/>
      <c r="I244" s="211"/>
      <c r="J244" s="329"/>
      <c r="K244" s="305"/>
      <c r="L244" s="211"/>
      <c r="M244" s="211"/>
      <c r="N244" s="211"/>
      <c r="O244" s="211"/>
      <c r="P244" s="211"/>
      <c r="Q244" s="211"/>
      <c r="R244" s="211"/>
      <c r="V244" s="211"/>
      <c r="Y244" s="211"/>
      <c r="Z244" s="305"/>
      <c r="AA244" s="211"/>
      <c r="AB244" s="211"/>
      <c r="AC244" s="211"/>
      <c r="AD244" s="211"/>
      <c r="AE244" s="211"/>
      <c r="AF244" s="211"/>
      <c r="AI244" s="211"/>
      <c r="AJ244" s="211"/>
      <c r="AK244" s="212"/>
      <c r="AL244" s="211"/>
    </row>
    <row r="245" spans="1:40" x14ac:dyDescent="0.25">
      <c r="F245" s="211"/>
      <c r="J245" s="394"/>
    </row>
    <row r="246" spans="1:40" x14ac:dyDescent="0.25">
      <c r="A246" s="202"/>
      <c r="C246" s="154"/>
      <c r="F246" s="200"/>
      <c r="H246" s="200"/>
      <c r="I246" s="200"/>
      <c r="J246" s="334"/>
      <c r="K246" s="215"/>
      <c r="L246" s="200"/>
      <c r="M246" s="200"/>
      <c r="N246" s="210"/>
      <c r="O246" s="210"/>
      <c r="P246" s="200"/>
      <c r="Q246" s="200"/>
      <c r="R246" s="200"/>
      <c r="T246" s="154"/>
      <c r="V246" s="200"/>
      <c r="Y246" s="200"/>
      <c r="Z246" s="215"/>
      <c r="AA246" s="200"/>
      <c r="AB246" s="200"/>
      <c r="AC246" s="210"/>
      <c r="AD246" s="210"/>
      <c r="AE246" s="200"/>
      <c r="AF246" s="200"/>
      <c r="AG246" s="209"/>
      <c r="AH246" s="201"/>
      <c r="AI246" s="200"/>
      <c r="AJ246" s="200"/>
      <c r="AK246" s="209"/>
      <c r="AL246" s="200"/>
      <c r="AM246" s="210"/>
      <c r="AN246" s="210"/>
    </row>
    <row r="247" spans="1:40" x14ac:dyDescent="0.25">
      <c r="F247" s="211"/>
      <c r="H247" s="211"/>
      <c r="I247" s="211"/>
      <c r="J247" s="329"/>
      <c r="K247" s="305"/>
      <c r="L247" s="211"/>
      <c r="M247" s="211"/>
      <c r="N247" s="211"/>
      <c r="O247" s="211"/>
      <c r="P247" s="211"/>
      <c r="Q247" s="211"/>
      <c r="R247" s="211"/>
      <c r="V247" s="211"/>
      <c r="Y247" s="211"/>
      <c r="Z247" s="305"/>
      <c r="AA247" s="211"/>
      <c r="AB247" s="211"/>
      <c r="AC247" s="211"/>
      <c r="AD247" s="211"/>
      <c r="AE247" s="211"/>
      <c r="AF247" s="211"/>
      <c r="AI247" s="211"/>
      <c r="AJ247" s="211"/>
      <c r="AK247" s="212"/>
      <c r="AL247" s="211"/>
    </row>
    <row r="248" spans="1:40" x14ac:dyDescent="0.25">
      <c r="J248" s="394"/>
      <c r="R248" s="200"/>
      <c r="AG248" s="209"/>
      <c r="AH248" s="200"/>
    </row>
    <row r="249" spans="1:40" x14ac:dyDescent="0.25">
      <c r="F249" s="200"/>
      <c r="H249" s="200"/>
      <c r="I249" s="200"/>
      <c r="J249" s="334"/>
      <c r="K249" s="213"/>
      <c r="L249" s="200"/>
      <c r="M249" s="200"/>
      <c r="N249" s="200"/>
      <c r="O249" s="200"/>
      <c r="P249" s="200"/>
      <c r="Q249" s="200"/>
      <c r="R249" s="200"/>
      <c r="V249" s="200"/>
      <c r="Y249" s="200"/>
      <c r="Z249" s="213"/>
      <c r="AA249" s="200"/>
      <c r="AB249" s="200"/>
      <c r="AC249" s="200"/>
      <c r="AD249" s="200"/>
      <c r="AE249" s="200"/>
      <c r="AF249" s="200"/>
      <c r="AG249" s="209"/>
      <c r="AH249" s="200"/>
    </row>
    <row r="250" spans="1:40" x14ac:dyDescent="0.25">
      <c r="C250" s="154"/>
      <c r="F250" s="200"/>
      <c r="H250" s="200"/>
      <c r="I250" s="200"/>
      <c r="J250" s="334"/>
      <c r="K250" s="213"/>
      <c r="L250" s="200"/>
      <c r="M250" s="200"/>
      <c r="N250" s="200"/>
      <c r="O250" s="200"/>
      <c r="P250" s="200"/>
      <c r="Q250" s="200"/>
      <c r="R250" s="200"/>
      <c r="T250" s="154"/>
      <c r="V250" s="200"/>
      <c r="Y250" s="200"/>
      <c r="Z250" s="213"/>
      <c r="AA250" s="200"/>
      <c r="AB250" s="200"/>
      <c r="AC250" s="200"/>
      <c r="AD250" s="200"/>
      <c r="AE250" s="200"/>
      <c r="AF250" s="200"/>
      <c r="AG250" s="209"/>
      <c r="AH250" s="200"/>
    </row>
    <row r="251" spans="1:40" x14ac:dyDescent="0.25">
      <c r="A251" s="154"/>
      <c r="J251" s="394"/>
    </row>
    <row r="252" spans="1:40" x14ac:dyDescent="0.25">
      <c r="J252" s="394"/>
    </row>
    <row r="253" spans="1:40" x14ac:dyDescent="0.25">
      <c r="J253" s="334"/>
      <c r="K253" s="202"/>
      <c r="Z253" s="202"/>
    </row>
    <row r="254" spans="1:40" x14ac:dyDescent="0.25">
      <c r="H254" s="154"/>
      <c r="I254" s="154"/>
      <c r="J254" s="394"/>
      <c r="Y254" s="154"/>
    </row>
    <row r="255" spans="1:40" x14ac:dyDescent="0.25">
      <c r="J255" s="334"/>
      <c r="K255" s="202"/>
      <c r="Z255" s="202"/>
    </row>
    <row r="256" spans="1:40" x14ac:dyDescent="0.25">
      <c r="J256" s="394"/>
      <c r="L256" s="154"/>
      <c r="M256" s="154"/>
      <c r="AA256" s="154"/>
      <c r="AB256" s="154"/>
    </row>
    <row r="257" spans="1:40" x14ac:dyDescent="0.25">
      <c r="A257" s="202"/>
      <c r="J257" s="394"/>
      <c r="R257" s="154"/>
      <c r="AK257" s="297"/>
      <c r="AL257" s="154"/>
    </row>
    <row r="258" spans="1:40" x14ac:dyDescent="0.25">
      <c r="A258" s="202"/>
      <c r="J258" s="394"/>
      <c r="R258" s="154"/>
      <c r="AK258" s="297"/>
      <c r="AL258" s="154"/>
    </row>
    <row r="259" spans="1:40" x14ac:dyDescent="0.25">
      <c r="A259" s="154"/>
      <c r="J259" s="394"/>
      <c r="R259" s="154"/>
      <c r="AK259" s="297"/>
      <c r="AL259" s="154"/>
    </row>
    <row r="260" spans="1:40" x14ac:dyDescent="0.25">
      <c r="J260" s="394"/>
      <c r="L260" s="154"/>
      <c r="M260" s="154"/>
      <c r="R260" s="202"/>
      <c r="AA260" s="154"/>
      <c r="AB260" s="154"/>
      <c r="AK260" s="209"/>
      <c r="AL260" s="202"/>
    </row>
    <row r="261" spans="1:40" x14ac:dyDescent="0.25">
      <c r="A261" s="102"/>
      <c r="B261" s="102"/>
      <c r="C261" s="102"/>
      <c r="D261" s="102"/>
      <c r="E261" s="102"/>
      <c r="F261" s="102"/>
      <c r="G261" s="102"/>
      <c r="H261" s="102"/>
      <c r="I261" s="102"/>
      <c r="J261" s="335"/>
      <c r="K261" s="102"/>
      <c r="L261" s="102"/>
      <c r="M261" s="102"/>
      <c r="N261" s="102"/>
      <c r="O261" s="102"/>
      <c r="P261" s="102"/>
      <c r="Q261" s="102"/>
      <c r="R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208"/>
      <c r="AH261" s="102"/>
      <c r="AI261" s="102"/>
      <c r="AJ261" s="102"/>
      <c r="AK261" s="208"/>
      <c r="AL261" s="102"/>
      <c r="AM261" s="102"/>
      <c r="AN261" s="102"/>
    </row>
    <row r="262" spans="1:40" x14ac:dyDescent="0.25">
      <c r="J262" s="394"/>
      <c r="L262" s="103"/>
      <c r="M262" s="103"/>
      <c r="N262" s="103"/>
      <c r="O262" s="103"/>
      <c r="R262" s="103"/>
      <c r="AA262" s="103"/>
      <c r="AB262" s="103"/>
      <c r="AC262" s="103"/>
      <c r="AD262" s="103"/>
      <c r="AE262" s="103"/>
      <c r="AF262" s="103"/>
      <c r="AG262" s="185"/>
      <c r="AH262" s="103"/>
      <c r="AK262" s="185"/>
      <c r="AL262" s="103"/>
      <c r="AM262" s="103"/>
      <c r="AN262" s="103"/>
    </row>
    <row r="263" spans="1:40" x14ac:dyDescent="0.25">
      <c r="J263" s="394"/>
      <c r="L263" s="103"/>
      <c r="M263" s="103"/>
      <c r="N263" s="103"/>
      <c r="O263" s="103"/>
      <c r="R263" s="103"/>
      <c r="Z263" s="103"/>
      <c r="AA263" s="103"/>
      <c r="AB263" s="103"/>
      <c r="AC263" s="103"/>
      <c r="AD263" s="103"/>
      <c r="AE263" s="103"/>
      <c r="AF263" s="103"/>
      <c r="AG263" s="185"/>
      <c r="AH263" s="103"/>
      <c r="AK263" s="185"/>
      <c r="AL263" s="103"/>
      <c r="AM263" s="103"/>
      <c r="AN263" s="103"/>
    </row>
    <row r="264" spans="1:40" x14ac:dyDescent="0.25">
      <c r="A264" s="103"/>
      <c r="C264" s="103"/>
      <c r="D264" s="103"/>
      <c r="E264" s="103"/>
      <c r="F264" s="103"/>
      <c r="J264" s="336"/>
      <c r="K264" s="103"/>
      <c r="L264" s="103"/>
      <c r="M264" s="103"/>
      <c r="N264" s="103"/>
      <c r="O264" s="103"/>
      <c r="P264" s="103"/>
      <c r="Q264" s="103"/>
      <c r="R264" s="103"/>
      <c r="T264" s="103"/>
      <c r="U264" s="103"/>
      <c r="V264" s="103"/>
      <c r="Z264" s="103"/>
      <c r="AA264" s="103"/>
      <c r="AB264" s="103"/>
      <c r="AC264" s="103"/>
      <c r="AD264" s="103"/>
      <c r="AE264" s="103"/>
      <c r="AF264" s="103"/>
      <c r="AG264" s="185"/>
      <c r="AH264" s="103"/>
      <c r="AI264" s="103"/>
      <c r="AJ264" s="103"/>
      <c r="AK264" s="185"/>
      <c r="AL264" s="103"/>
      <c r="AM264" s="103"/>
      <c r="AN264" s="103"/>
    </row>
    <row r="265" spans="1:40" x14ac:dyDescent="0.25">
      <c r="A265" s="103"/>
      <c r="C265" s="103"/>
      <c r="D265" s="103"/>
      <c r="E265" s="103"/>
      <c r="F265" s="103"/>
      <c r="H265" s="103"/>
      <c r="I265" s="103"/>
      <c r="J265" s="336"/>
      <c r="K265" s="103"/>
      <c r="L265" s="103"/>
      <c r="M265" s="103"/>
      <c r="N265" s="103"/>
      <c r="O265" s="103"/>
      <c r="P265" s="103"/>
      <c r="Q265" s="103"/>
      <c r="R265" s="103"/>
      <c r="T265" s="103"/>
      <c r="U265" s="103"/>
      <c r="V265" s="103"/>
      <c r="Y265" s="103"/>
      <c r="Z265" s="103"/>
      <c r="AA265" s="103"/>
      <c r="AB265" s="103"/>
      <c r="AC265" s="103"/>
      <c r="AD265" s="103"/>
      <c r="AE265" s="103"/>
      <c r="AF265" s="103"/>
      <c r="AG265" s="185"/>
      <c r="AH265" s="103"/>
      <c r="AI265" s="103"/>
      <c r="AJ265" s="103"/>
      <c r="AK265" s="185"/>
      <c r="AL265" s="103"/>
      <c r="AM265" s="103"/>
      <c r="AN265" s="103"/>
    </row>
    <row r="266" spans="1:40" x14ac:dyDescent="0.25">
      <c r="C266" s="103"/>
      <c r="D266" s="103"/>
      <c r="E266" s="103"/>
      <c r="F266" s="103"/>
      <c r="H266" s="103"/>
      <c r="I266" s="103"/>
      <c r="J266" s="336"/>
      <c r="K266" s="103"/>
      <c r="L266" s="103"/>
      <c r="M266" s="103"/>
      <c r="N266" s="103"/>
      <c r="O266" s="103"/>
      <c r="P266" s="103"/>
      <c r="Q266" s="103"/>
      <c r="R266" s="103"/>
      <c r="T266" s="103"/>
      <c r="U266" s="103"/>
      <c r="V266" s="103"/>
      <c r="Y266" s="103"/>
      <c r="Z266" s="103"/>
      <c r="AA266" s="103"/>
      <c r="AB266" s="103"/>
      <c r="AC266" s="103"/>
      <c r="AD266" s="103"/>
      <c r="AE266" s="103"/>
      <c r="AF266" s="103"/>
      <c r="AG266" s="185"/>
      <c r="AH266" s="103"/>
      <c r="AI266" s="103"/>
      <c r="AJ266" s="103"/>
      <c r="AK266" s="185"/>
      <c r="AL266" s="103"/>
      <c r="AM266" s="103"/>
      <c r="AN266" s="103"/>
    </row>
    <row r="267" spans="1:40" x14ac:dyDescent="0.25">
      <c r="A267" s="102"/>
      <c r="B267" s="102"/>
      <c r="C267" s="102"/>
      <c r="D267" s="102"/>
      <c r="E267" s="102"/>
      <c r="F267" s="102"/>
      <c r="G267" s="102"/>
      <c r="H267" s="102"/>
      <c r="I267" s="102"/>
      <c r="J267" s="335"/>
      <c r="K267" s="102"/>
      <c r="L267" s="102"/>
      <c r="M267" s="102"/>
      <c r="N267" s="102"/>
      <c r="O267" s="102"/>
      <c r="P267" s="102"/>
      <c r="Q267" s="102"/>
      <c r="R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208"/>
      <c r="AH267" s="102"/>
      <c r="AI267" s="102"/>
      <c r="AJ267" s="102"/>
      <c r="AK267" s="208"/>
      <c r="AL267" s="102"/>
      <c r="AM267" s="102"/>
      <c r="AN267" s="102"/>
    </row>
    <row r="268" spans="1:40" x14ac:dyDescent="0.25">
      <c r="H268" s="103"/>
      <c r="I268" s="103"/>
      <c r="J268" s="336"/>
      <c r="K268" s="103"/>
      <c r="L268" s="103"/>
      <c r="M268" s="103"/>
      <c r="N268" s="103"/>
      <c r="O268" s="103"/>
      <c r="P268" s="103"/>
      <c r="Q268" s="103"/>
      <c r="R268" s="103"/>
      <c r="Y268" s="103"/>
      <c r="Z268" s="103"/>
      <c r="AA268" s="103"/>
      <c r="AB268" s="103"/>
      <c r="AC268" s="103"/>
      <c r="AD268" s="103"/>
      <c r="AE268" s="103"/>
      <c r="AF268" s="103"/>
      <c r="AG268" s="185"/>
      <c r="AH268" s="103"/>
      <c r="AI268" s="103"/>
      <c r="AJ268" s="103"/>
      <c r="AK268" s="185"/>
      <c r="AL268" s="103"/>
      <c r="AM268" s="103"/>
      <c r="AN268" s="103"/>
    </row>
    <row r="269" spans="1:40" x14ac:dyDescent="0.25">
      <c r="A269" s="202"/>
      <c r="C269" s="154"/>
      <c r="D269" s="154"/>
      <c r="E269" s="154"/>
      <c r="J269" s="394"/>
      <c r="T269" s="154"/>
      <c r="U269" s="154"/>
    </row>
    <row r="270" spans="1:40" x14ac:dyDescent="0.25">
      <c r="A270" s="202"/>
      <c r="C270" s="154"/>
      <c r="J270" s="394"/>
      <c r="T270" s="154"/>
    </row>
    <row r="271" spans="1:40" x14ac:dyDescent="0.25">
      <c r="J271" s="394"/>
    </row>
    <row r="272" spans="1:40" x14ac:dyDescent="0.25">
      <c r="A272" s="202"/>
      <c r="C272" s="154"/>
      <c r="F272" s="252"/>
      <c r="H272" s="252"/>
      <c r="I272" s="252"/>
      <c r="J272" s="329"/>
      <c r="K272" s="300"/>
      <c r="L272" s="200"/>
      <c r="M272" s="200"/>
      <c r="N272" s="210"/>
      <c r="O272" s="210"/>
      <c r="P272" s="202"/>
      <c r="Q272" s="202"/>
      <c r="R272" s="200"/>
      <c r="T272" s="154"/>
      <c r="V272" s="200"/>
      <c r="Y272" s="252"/>
      <c r="Z272" s="300"/>
      <c r="AA272" s="200"/>
      <c r="AB272" s="200"/>
      <c r="AC272" s="210"/>
      <c r="AD272" s="210"/>
      <c r="AE272" s="200"/>
      <c r="AF272" s="200"/>
      <c r="AG272" s="209"/>
      <c r="AH272" s="201"/>
      <c r="AI272" s="202"/>
      <c r="AJ272" s="202"/>
      <c r="AK272" s="209"/>
      <c r="AL272" s="200"/>
      <c r="AM272" s="210"/>
      <c r="AN272" s="210"/>
    </row>
    <row r="273" spans="1:40" x14ac:dyDescent="0.25">
      <c r="F273" s="211"/>
      <c r="H273" s="200"/>
      <c r="I273" s="200"/>
      <c r="J273" s="329"/>
      <c r="K273" s="305"/>
      <c r="L273" s="211"/>
      <c r="M273" s="211"/>
      <c r="N273" s="211"/>
      <c r="O273" s="211"/>
      <c r="P273" s="211"/>
      <c r="Q273" s="211"/>
      <c r="R273" s="211"/>
      <c r="V273" s="211"/>
      <c r="Y273" s="200"/>
      <c r="Z273" s="305"/>
      <c r="AA273" s="211"/>
      <c r="AB273" s="211"/>
      <c r="AC273" s="211"/>
      <c r="AD273" s="211"/>
      <c r="AE273" s="211"/>
      <c r="AF273" s="211"/>
      <c r="AI273" s="211"/>
      <c r="AJ273" s="211"/>
      <c r="AK273" s="212"/>
      <c r="AL273" s="211"/>
      <c r="AM273" s="210"/>
      <c r="AN273" s="210"/>
    </row>
    <row r="274" spans="1:40" x14ac:dyDescent="0.25">
      <c r="A274" s="202"/>
      <c r="C274" s="154"/>
      <c r="F274" s="252"/>
      <c r="H274" s="252"/>
      <c r="I274" s="252"/>
      <c r="J274" s="329"/>
      <c r="K274" s="328"/>
      <c r="L274" s="200"/>
      <c r="M274" s="200"/>
      <c r="N274" s="210"/>
      <c r="O274" s="210"/>
      <c r="P274" s="200"/>
      <c r="Q274" s="200"/>
      <c r="R274" s="200"/>
      <c r="S274" s="200"/>
      <c r="T274" s="154"/>
      <c r="V274" s="252"/>
      <c r="Y274" s="252"/>
      <c r="Z274" s="328"/>
      <c r="AA274" s="200"/>
      <c r="AB274" s="200"/>
      <c r="AC274" s="210"/>
      <c r="AD274" s="210"/>
      <c r="AE274" s="200"/>
      <c r="AF274" s="200"/>
      <c r="AG274" s="209"/>
      <c r="AH274" s="210"/>
      <c r="AI274" s="200"/>
      <c r="AJ274" s="200"/>
      <c r="AK274" s="209"/>
      <c r="AL274" s="200"/>
      <c r="AM274" s="210"/>
      <c r="AN274" s="210"/>
    </row>
    <row r="275" spans="1:40" x14ac:dyDescent="0.25">
      <c r="A275" s="202"/>
      <c r="C275" s="154"/>
      <c r="F275" s="252"/>
      <c r="H275" s="252"/>
      <c r="I275" s="252"/>
      <c r="J275" s="329"/>
      <c r="K275" s="300"/>
      <c r="L275" s="200"/>
      <c r="M275" s="200"/>
      <c r="N275" s="210"/>
      <c r="O275" s="210"/>
      <c r="P275" s="200"/>
      <c r="Q275" s="200"/>
      <c r="R275" s="200"/>
      <c r="T275" s="154"/>
      <c r="V275" s="252"/>
      <c r="Y275" s="200"/>
      <c r="Z275" s="300"/>
      <c r="AA275" s="200"/>
      <c r="AB275" s="200"/>
      <c r="AC275" s="210"/>
      <c r="AD275" s="210"/>
      <c r="AE275" s="200"/>
      <c r="AF275" s="200"/>
      <c r="AG275" s="209"/>
      <c r="AH275" s="201"/>
      <c r="AI275" s="200"/>
      <c r="AJ275" s="200"/>
      <c r="AK275" s="209"/>
      <c r="AL275" s="200"/>
      <c r="AM275" s="210"/>
      <c r="AN275" s="210"/>
    </row>
    <row r="276" spans="1:40" x14ac:dyDescent="0.25">
      <c r="A276" s="202"/>
      <c r="C276" s="154"/>
      <c r="F276" s="252"/>
      <c r="H276" s="252"/>
      <c r="I276" s="252"/>
      <c r="J276" s="329"/>
      <c r="K276" s="300"/>
      <c r="L276" s="200"/>
      <c r="M276" s="200"/>
      <c r="N276" s="210"/>
      <c r="O276" s="210"/>
      <c r="P276" s="200"/>
      <c r="Q276" s="200"/>
      <c r="R276" s="200"/>
      <c r="T276" s="154"/>
      <c r="V276" s="252"/>
      <c r="Y276" s="200"/>
      <c r="Z276" s="300"/>
      <c r="AA276" s="200"/>
      <c r="AB276" s="200"/>
      <c r="AC276" s="210"/>
      <c r="AD276" s="210"/>
      <c r="AE276" s="200"/>
      <c r="AF276" s="200"/>
      <c r="AG276" s="209"/>
      <c r="AH276" s="201"/>
      <c r="AI276" s="200"/>
      <c r="AJ276" s="200"/>
      <c r="AK276" s="209"/>
      <c r="AL276" s="200"/>
      <c r="AM276" s="210"/>
      <c r="AN276" s="210"/>
    </row>
    <row r="277" spans="1:40" x14ac:dyDescent="0.25">
      <c r="F277" s="211"/>
      <c r="H277" s="211"/>
      <c r="I277" s="211"/>
      <c r="J277" s="329"/>
      <c r="K277" s="305"/>
      <c r="L277" s="211"/>
      <c r="M277" s="211"/>
      <c r="N277" s="211"/>
      <c r="O277" s="211"/>
      <c r="P277" s="211"/>
      <c r="Q277" s="211"/>
      <c r="R277" s="211"/>
      <c r="V277" s="211"/>
      <c r="Y277" s="211"/>
      <c r="Z277" s="305"/>
      <c r="AA277" s="211"/>
      <c r="AB277" s="211"/>
      <c r="AC277" s="211"/>
      <c r="AD277" s="211"/>
      <c r="AE277" s="211"/>
      <c r="AF277" s="211"/>
      <c r="AI277" s="211"/>
      <c r="AJ277" s="211"/>
      <c r="AK277" s="212"/>
      <c r="AL277" s="211"/>
      <c r="AM277" s="210"/>
      <c r="AN277" s="210"/>
    </row>
    <row r="278" spans="1:40" x14ac:dyDescent="0.25">
      <c r="A278" s="202"/>
      <c r="C278" s="154"/>
      <c r="F278" s="200"/>
      <c r="H278" s="200"/>
      <c r="I278" s="200"/>
      <c r="J278" s="334"/>
      <c r="K278" s="213"/>
      <c r="L278" s="200"/>
      <c r="M278" s="200"/>
      <c r="N278" s="210"/>
      <c r="O278" s="210"/>
      <c r="P278" s="200"/>
      <c r="Q278" s="200"/>
      <c r="R278" s="200"/>
      <c r="T278" s="154"/>
      <c r="V278" s="200"/>
      <c r="Y278" s="200"/>
      <c r="Z278" s="213"/>
      <c r="AA278" s="200"/>
      <c r="AB278" s="200"/>
      <c r="AC278" s="210"/>
      <c r="AD278" s="210"/>
      <c r="AE278" s="200"/>
      <c r="AF278" s="200"/>
      <c r="AG278" s="209"/>
      <c r="AH278" s="201"/>
      <c r="AI278" s="200"/>
      <c r="AJ278" s="200"/>
      <c r="AK278" s="209"/>
      <c r="AL278" s="200"/>
      <c r="AM278" s="210"/>
      <c r="AN278" s="210"/>
    </row>
    <row r="279" spans="1:40" x14ac:dyDescent="0.25">
      <c r="F279" s="211"/>
      <c r="H279" s="211"/>
      <c r="I279" s="211"/>
      <c r="J279" s="329"/>
      <c r="K279" s="305"/>
      <c r="L279" s="211"/>
      <c r="M279" s="211"/>
      <c r="N279" s="211"/>
      <c r="O279" s="211"/>
      <c r="P279" s="211"/>
      <c r="Q279" s="211"/>
      <c r="R279" s="211"/>
      <c r="V279" s="211"/>
      <c r="Y279" s="211"/>
      <c r="Z279" s="305"/>
      <c r="AA279" s="211"/>
      <c r="AB279" s="211"/>
      <c r="AC279" s="211"/>
      <c r="AD279" s="211"/>
      <c r="AE279" s="211"/>
      <c r="AF279" s="211"/>
      <c r="AI279" s="211"/>
      <c r="AJ279" s="211"/>
      <c r="AK279" s="212"/>
      <c r="AL279" s="211"/>
      <c r="AM279" s="210"/>
      <c r="AN279" s="210"/>
    </row>
    <row r="280" spans="1:40" x14ac:dyDescent="0.25">
      <c r="A280" s="202"/>
      <c r="C280" s="154"/>
      <c r="F280" s="200"/>
      <c r="H280" s="200"/>
      <c r="I280" s="200"/>
      <c r="J280" s="334"/>
      <c r="K280" s="213"/>
      <c r="L280" s="200"/>
      <c r="M280" s="200"/>
      <c r="N280" s="210"/>
      <c r="O280" s="210"/>
      <c r="P280" s="200"/>
      <c r="Q280" s="200"/>
      <c r="R280" s="200"/>
      <c r="T280" s="154"/>
      <c r="V280" s="200"/>
      <c r="Y280" s="200"/>
      <c r="Z280" s="213"/>
      <c r="AA280" s="200"/>
      <c r="AB280" s="200"/>
      <c r="AC280" s="210"/>
      <c r="AD280" s="210"/>
      <c r="AE280" s="200"/>
      <c r="AF280" s="200"/>
      <c r="AG280" s="209"/>
      <c r="AH280" s="201"/>
      <c r="AI280" s="200"/>
      <c r="AJ280" s="200"/>
      <c r="AK280" s="209"/>
      <c r="AL280" s="200"/>
      <c r="AM280" s="210"/>
      <c r="AN280" s="210"/>
    </row>
    <row r="281" spans="1:40" x14ac:dyDescent="0.25">
      <c r="A281" s="202"/>
      <c r="C281" s="154"/>
      <c r="F281" s="200"/>
      <c r="H281" s="252"/>
      <c r="I281" s="252"/>
      <c r="J281" s="329"/>
      <c r="K281" s="320"/>
      <c r="L281" s="200"/>
      <c r="M281" s="200"/>
      <c r="N281" s="210"/>
      <c r="O281" s="210"/>
      <c r="P281" s="200"/>
      <c r="Q281" s="200"/>
      <c r="R281" s="200"/>
      <c r="T281" s="154"/>
      <c r="V281" s="200"/>
      <c r="Y281" s="200"/>
      <c r="Z281" s="304"/>
      <c r="AA281" s="200"/>
      <c r="AB281" s="200"/>
      <c r="AC281" s="210"/>
      <c r="AD281" s="210"/>
      <c r="AE281" s="200"/>
      <c r="AF281" s="200"/>
      <c r="AG281" s="209"/>
      <c r="AH281" s="201"/>
      <c r="AI281" s="200"/>
      <c r="AJ281" s="200"/>
      <c r="AK281" s="209"/>
      <c r="AL281" s="200"/>
      <c r="AM281" s="210"/>
      <c r="AN281" s="210"/>
    </row>
    <row r="282" spans="1:40" x14ac:dyDescent="0.25">
      <c r="H282" s="211"/>
      <c r="I282" s="211"/>
      <c r="J282" s="329"/>
      <c r="K282" s="305"/>
      <c r="L282" s="211"/>
      <c r="M282" s="211"/>
      <c r="N282" s="211"/>
      <c r="O282" s="211"/>
      <c r="P282" s="211"/>
      <c r="Q282" s="211"/>
      <c r="R282" s="211"/>
      <c r="V282" s="211"/>
      <c r="Y282" s="211"/>
      <c r="Z282" s="305"/>
      <c r="AA282" s="211"/>
      <c r="AB282" s="211"/>
      <c r="AC282" s="211"/>
      <c r="AD282" s="211"/>
      <c r="AE282" s="211"/>
      <c r="AF282" s="211"/>
      <c r="AI282" s="211"/>
      <c r="AJ282" s="211"/>
      <c r="AK282" s="212"/>
      <c r="AL282" s="211"/>
      <c r="AM282" s="210"/>
      <c r="AN282" s="210"/>
    </row>
    <row r="283" spans="1:40" x14ac:dyDescent="0.25">
      <c r="F283" s="211"/>
      <c r="J283" s="394"/>
    </row>
    <row r="284" spans="1:40" x14ac:dyDescent="0.25">
      <c r="A284" s="202"/>
      <c r="C284" s="154"/>
      <c r="F284" s="200"/>
      <c r="H284" s="200"/>
      <c r="I284" s="200"/>
      <c r="J284" s="329"/>
      <c r="K284" s="305"/>
      <c r="L284" s="200"/>
      <c r="M284" s="200"/>
      <c r="N284" s="210"/>
      <c r="O284" s="210"/>
      <c r="P284" s="200"/>
      <c r="Q284" s="200"/>
      <c r="R284" s="200"/>
      <c r="S284" s="200"/>
      <c r="T284" s="154"/>
      <c r="V284" s="200"/>
      <c r="Y284" s="200"/>
      <c r="Z284" s="305"/>
      <c r="AA284" s="200"/>
      <c r="AB284" s="200"/>
      <c r="AC284" s="210"/>
      <c r="AD284" s="210"/>
      <c r="AE284" s="200"/>
      <c r="AF284" s="200"/>
      <c r="AG284" s="209"/>
      <c r="AH284" s="210"/>
      <c r="AI284" s="200"/>
      <c r="AJ284" s="200"/>
      <c r="AK284" s="209"/>
      <c r="AL284" s="200"/>
      <c r="AM284" s="210"/>
      <c r="AN284" s="210"/>
    </row>
    <row r="285" spans="1:40" x14ac:dyDescent="0.25">
      <c r="F285" s="211"/>
      <c r="H285" s="211"/>
      <c r="I285" s="211"/>
      <c r="J285" s="329"/>
      <c r="K285" s="305"/>
      <c r="L285" s="211"/>
      <c r="M285" s="211"/>
      <c r="N285" s="211"/>
      <c r="O285" s="211"/>
      <c r="P285" s="211"/>
      <c r="Q285" s="211"/>
      <c r="R285" s="211"/>
      <c r="S285" s="200"/>
      <c r="V285" s="211"/>
      <c r="Y285" s="211"/>
      <c r="Z285" s="305"/>
      <c r="AA285" s="211"/>
      <c r="AB285" s="211"/>
      <c r="AC285" s="211"/>
      <c r="AD285" s="211"/>
      <c r="AE285" s="211"/>
      <c r="AF285" s="211"/>
      <c r="AI285" s="211"/>
      <c r="AJ285" s="211"/>
      <c r="AK285" s="212"/>
      <c r="AL285" s="211"/>
      <c r="AM285" s="210"/>
      <c r="AN285" s="210"/>
    </row>
    <row r="286" spans="1:40" x14ac:dyDescent="0.25">
      <c r="A286" s="202"/>
      <c r="C286" s="154"/>
      <c r="H286" s="252"/>
      <c r="I286" s="252"/>
      <c r="J286" s="329"/>
      <c r="K286" s="305"/>
      <c r="L286" s="200"/>
      <c r="M286" s="200"/>
      <c r="N286" s="210"/>
      <c r="O286" s="210"/>
      <c r="P286" s="200"/>
      <c r="Q286" s="200"/>
      <c r="R286" s="200"/>
      <c r="S286" s="200"/>
      <c r="T286" s="154"/>
      <c r="V286" s="252"/>
      <c r="Y286" s="252"/>
      <c r="Z286" s="305"/>
      <c r="AA286" s="200"/>
      <c r="AB286" s="200"/>
      <c r="AC286" s="210"/>
      <c r="AD286" s="210"/>
      <c r="AE286" s="200"/>
      <c r="AF286" s="200"/>
      <c r="AI286" s="200"/>
      <c r="AJ286" s="200"/>
      <c r="AK286" s="209"/>
      <c r="AL286" s="200"/>
      <c r="AM286" s="210"/>
      <c r="AN286" s="210"/>
    </row>
    <row r="287" spans="1:40" x14ac:dyDescent="0.25">
      <c r="F287" s="252"/>
      <c r="J287" s="394"/>
    </row>
    <row r="288" spans="1:40" x14ac:dyDescent="0.25">
      <c r="A288" s="202"/>
      <c r="C288" s="154"/>
      <c r="F288" s="252"/>
      <c r="H288" s="252"/>
      <c r="I288" s="252"/>
      <c r="J288" s="329"/>
      <c r="K288" s="300"/>
      <c r="L288" s="200"/>
      <c r="M288" s="200"/>
      <c r="N288" s="210"/>
      <c r="O288" s="210"/>
      <c r="P288" s="202"/>
      <c r="Q288" s="202"/>
      <c r="R288" s="200"/>
      <c r="T288" s="154"/>
      <c r="V288" s="200"/>
      <c r="Y288" s="252"/>
      <c r="Z288" s="300"/>
      <c r="AA288" s="200"/>
      <c r="AB288" s="200"/>
      <c r="AC288" s="210"/>
      <c r="AD288" s="210"/>
      <c r="AE288" s="200"/>
      <c r="AF288" s="200"/>
      <c r="AG288" s="209"/>
      <c r="AH288" s="201"/>
      <c r="AI288" s="202"/>
      <c r="AJ288" s="202"/>
      <c r="AK288" s="209"/>
      <c r="AL288" s="200"/>
      <c r="AM288" s="210"/>
      <c r="AN288" s="210"/>
    </row>
    <row r="289" spans="1:40" x14ac:dyDescent="0.25">
      <c r="F289" s="211"/>
      <c r="H289" s="200"/>
      <c r="I289" s="200"/>
      <c r="J289" s="329"/>
      <c r="K289" s="305"/>
      <c r="L289" s="211"/>
      <c r="M289" s="211"/>
      <c r="N289" s="211"/>
      <c r="O289" s="211"/>
      <c r="P289" s="211"/>
      <c r="Q289" s="211"/>
      <c r="R289" s="211"/>
      <c r="V289" s="211"/>
      <c r="Y289" s="200"/>
      <c r="Z289" s="305"/>
      <c r="AA289" s="211"/>
      <c r="AB289" s="211"/>
      <c r="AC289" s="211"/>
      <c r="AD289" s="211"/>
      <c r="AE289" s="211"/>
      <c r="AF289" s="211"/>
      <c r="AI289" s="211"/>
      <c r="AJ289" s="211"/>
      <c r="AK289" s="212"/>
      <c r="AL289" s="211"/>
      <c r="AM289" s="210"/>
      <c r="AN289" s="210"/>
    </row>
    <row r="290" spans="1:40" x14ac:dyDescent="0.25">
      <c r="A290" s="202"/>
      <c r="C290" s="154"/>
      <c r="F290" s="252"/>
      <c r="H290" s="252"/>
      <c r="I290" s="252"/>
      <c r="J290" s="329"/>
      <c r="K290" s="328"/>
      <c r="L290" s="200"/>
      <c r="M290" s="200"/>
      <c r="N290" s="210"/>
      <c r="O290" s="210"/>
      <c r="P290" s="200"/>
      <c r="Q290" s="200"/>
      <c r="R290" s="200"/>
      <c r="S290" s="200"/>
      <c r="T290" s="154"/>
      <c r="V290" s="252"/>
      <c r="Y290" s="252"/>
      <c r="Z290" s="328"/>
      <c r="AA290" s="200"/>
      <c r="AB290" s="200"/>
      <c r="AC290" s="210"/>
      <c r="AD290" s="210"/>
      <c r="AE290" s="200"/>
      <c r="AF290" s="200"/>
      <c r="AG290" s="209"/>
      <c r="AH290" s="210"/>
      <c r="AI290" s="200"/>
      <c r="AJ290" s="200"/>
      <c r="AK290" s="209"/>
      <c r="AL290" s="200"/>
      <c r="AM290" s="210"/>
      <c r="AN290" s="210"/>
    </row>
    <row r="291" spans="1:40" x14ac:dyDescent="0.25">
      <c r="A291" s="202"/>
      <c r="C291" s="154"/>
      <c r="F291" s="252"/>
      <c r="H291" s="252"/>
      <c r="I291" s="252"/>
      <c r="J291" s="329"/>
      <c r="K291" s="300"/>
      <c r="L291" s="200"/>
      <c r="M291" s="200"/>
      <c r="N291" s="210"/>
      <c r="O291" s="210"/>
      <c r="P291" s="200"/>
      <c r="Q291" s="200"/>
      <c r="R291" s="200"/>
      <c r="T291" s="154"/>
      <c r="V291" s="252"/>
      <c r="Y291" s="200"/>
      <c r="Z291" s="300"/>
      <c r="AA291" s="200"/>
      <c r="AB291" s="200"/>
      <c r="AC291" s="210"/>
      <c r="AD291" s="210"/>
      <c r="AE291" s="200"/>
      <c r="AF291" s="200"/>
      <c r="AG291" s="209"/>
      <c r="AH291" s="201"/>
      <c r="AI291" s="200"/>
      <c r="AJ291" s="200"/>
      <c r="AK291" s="209"/>
      <c r="AL291" s="200"/>
      <c r="AM291" s="210"/>
      <c r="AN291" s="210"/>
    </row>
    <row r="292" spans="1:40" x14ac:dyDescent="0.25">
      <c r="A292" s="202"/>
      <c r="C292" s="154"/>
      <c r="F292" s="252"/>
      <c r="H292" s="252"/>
      <c r="I292" s="252"/>
      <c r="J292" s="329"/>
      <c r="K292" s="300"/>
      <c r="L292" s="200"/>
      <c r="M292" s="200"/>
      <c r="N292" s="210"/>
      <c r="O292" s="210"/>
      <c r="P292" s="200"/>
      <c r="Q292" s="200"/>
      <c r="R292" s="200"/>
      <c r="T292" s="154"/>
      <c r="V292" s="252"/>
      <c r="Y292" s="200"/>
      <c r="Z292" s="300"/>
      <c r="AA292" s="200"/>
      <c r="AB292" s="200"/>
      <c r="AC292" s="210"/>
      <c r="AD292" s="210"/>
      <c r="AE292" s="200"/>
      <c r="AF292" s="200"/>
      <c r="AG292" s="209"/>
      <c r="AH292" s="201"/>
      <c r="AI292" s="200"/>
      <c r="AJ292" s="200"/>
      <c r="AK292" s="209"/>
      <c r="AL292" s="200"/>
      <c r="AM292" s="210"/>
      <c r="AN292" s="210"/>
    </row>
    <row r="293" spans="1:40" x14ac:dyDescent="0.25">
      <c r="F293" s="211"/>
      <c r="H293" s="211"/>
      <c r="I293" s="211"/>
      <c r="J293" s="329"/>
      <c r="K293" s="305"/>
      <c r="L293" s="211"/>
      <c r="M293" s="211"/>
      <c r="N293" s="211"/>
      <c r="O293" s="211"/>
      <c r="P293" s="211"/>
      <c r="Q293" s="211"/>
      <c r="R293" s="211"/>
      <c r="V293" s="211"/>
      <c r="Y293" s="211"/>
      <c r="Z293" s="305"/>
      <c r="AA293" s="211"/>
      <c r="AB293" s="211"/>
      <c r="AC293" s="211"/>
      <c r="AD293" s="211"/>
      <c r="AE293" s="211"/>
      <c r="AF293" s="211"/>
      <c r="AI293" s="211"/>
      <c r="AJ293" s="211"/>
      <c r="AK293" s="212"/>
      <c r="AL293" s="211"/>
      <c r="AM293" s="210"/>
      <c r="AN293" s="210"/>
    </row>
    <row r="294" spans="1:40" x14ac:dyDescent="0.25">
      <c r="A294" s="202"/>
      <c r="C294" s="154"/>
      <c r="F294" s="200"/>
      <c r="H294" s="200"/>
      <c r="I294" s="200"/>
      <c r="J294" s="334"/>
      <c r="K294" s="213"/>
      <c r="L294" s="200"/>
      <c r="M294" s="200"/>
      <c r="N294" s="210"/>
      <c r="O294" s="210"/>
      <c r="P294" s="200"/>
      <c r="Q294" s="200"/>
      <c r="R294" s="200"/>
      <c r="T294" s="154"/>
      <c r="V294" s="200"/>
      <c r="Y294" s="200"/>
      <c r="Z294" s="213"/>
      <c r="AA294" s="200"/>
      <c r="AB294" s="200"/>
      <c r="AC294" s="210"/>
      <c r="AD294" s="210"/>
      <c r="AE294" s="200"/>
      <c r="AF294" s="200"/>
      <c r="AG294" s="209"/>
      <c r="AH294" s="201"/>
      <c r="AI294" s="200"/>
      <c r="AJ294" s="200"/>
      <c r="AK294" s="209"/>
      <c r="AL294" s="200"/>
      <c r="AM294" s="210"/>
      <c r="AN294" s="210"/>
    </row>
    <row r="295" spans="1:40" x14ac:dyDescent="0.25">
      <c r="F295" s="211"/>
      <c r="H295" s="211"/>
      <c r="I295" s="211"/>
      <c r="J295" s="329"/>
      <c r="K295" s="305"/>
      <c r="L295" s="211"/>
      <c r="M295" s="211"/>
      <c r="N295" s="211"/>
      <c r="O295" s="211"/>
      <c r="P295" s="211"/>
      <c r="Q295" s="211"/>
      <c r="R295" s="211"/>
      <c r="V295" s="211"/>
      <c r="Y295" s="211"/>
      <c r="Z295" s="305"/>
      <c r="AA295" s="211"/>
      <c r="AB295" s="211"/>
      <c r="AC295" s="211"/>
      <c r="AD295" s="211"/>
      <c r="AE295" s="211"/>
      <c r="AF295" s="211"/>
      <c r="AI295" s="211"/>
      <c r="AJ295" s="211"/>
      <c r="AK295" s="212"/>
      <c r="AL295" s="211"/>
      <c r="AM295" s="210"/>
      <c r="AN295" s="210"/>
    </row>
    <row r="296" spans="1:40" x14ac:dyDescent="0.25">
      <c r="A296" s="202"/>
      <c r="C296" s="154"/>
      <c r="F296" s="200"/>
      <c r="H296" s="200"/>
      <c r="I296" s="200"/>
      <c r="J296" s="334"/>
      <c r="K296" s="213"/>
      <c r="L296" s="200"/>
      <c r="M296" s="200"/>
      <c r="N296" s="210"/>
      <c r="O296" s="210"/>
      <c r="P296" s="200"/>
      <c r="Q296" s="200"/>
      <c r="R296" s="200"/>
      <c r="T296" s="154"/>
      <c r="V296" s="200"/>
      <c r="Y296" s="200"/>
      <c r="Z296" s="213"/>
      <c r="AA296" s="200"/>
      <c r="AB296" s="200"/>
      <c r="AC296" s="210"/>
      <c r="AD296" s="210"/>
      <c r="AE296" s="200"/>
      <c r="AF296" s="200"/>
      <c r="AG296" s="209"/>
      <c r="AH296" s="201"/>
      <c r="AI296" s="200"/>
      <c r="AJ296" s="200"/>
      <c r="AK296" s="209"/>
      <c r="AL296" s="200"/>
      <c r="AM296" s="210"/>
      <c r="AN296" s="210"/>
    </row>
    <row r="297" spans="1:40" x14ac:dyDescent="0.25">
      <c r="A297" s="202"/>
      <c r="C297" s="154"/>
      <c r="F297" s="200"/>
      <c r="H297" s="252"/>
      <c r="I297" s="252"/>
      <c r="J297" s="329"/>
      <c r="K297" s="320"/>
      <c r="L297" s="200"/>
      <c r="M297" s="200"/>
      <c r="N297" s="210"/>
      <c r="O297" s="210"/>
      <c r="P297" s="200"/>
      <c r="Q297" s="200"/>
      <c r="R297" s="200"/>
      <c r="T297" s="154"/>
      <c r="V297" s="200"/>
      <c r="Y297" s="200"/>
      <c r="Z297" s="304"/>
      <c r="AA297" s="200"/>
      <c r="AB297" s="200"/>
      <c r="AC297" s="210"/>
      <c r="AD297" s="210"/>
      <c r="AE297" s="200"/>
      <c r="AF297" s="200"/>
      <c r="AG297" s="209"/>
      <c r="AH297" s="201"/>
      <c r="AI297" s="200"/>
      <c r="AJ297" s="200"/>
      <c r="AK297" s="209"/>
      <c r="AL297" s="200"/>
      <c r="AM297" s="210"/>
      <c r="AN297" s="210"/>
    </row>
    <row r="298" spans="1:40" x14ac:dyDescent="0.25">
      <c r="H298" s="211"/>
      <c r="I298" s="211"/>
      <c r="J298" s="329"/>
      <c r="K298" s="305"/>
      <c r="L298" s="211"/>
      <c r="M298" s="211"/>
      <c r="N298" s="211"/>
      <c r="O298" s="211"/>
      <c r="P298" s="211"/>
      <c r="Q298" s="211"/>
      <c r="R298" s="211"/>
      <c r="V298" s="211"/>
      <c r="Y298" s="211"/>
      <c r="Z298" s="305"/>
      <c r="AA298" s="211"/>
      <c r="AB298" s="211"/>
      <c r="AC298" s="211"/>
      <c r="AD298" s="211"/>
      <c r="AE298" s="211"/>
      <c r="AF298" s="211"/>
      <c r="AI298" s="211"/>
      <c r="AJ298" s="211"/>
      <c r="AK298" s="212"/>
      <c r="AL298" s="211"/>
      <c r="AM298" s="210"/>
      <c r="AN298" s="210"/>
    </row>
    <row r="299" spans="1:40" x14ac:dyDescent="0.25">
      <c r="F299" s="211"/>
      <c r="J299" s="394"/>
    </row>
    <row r="300" spans="1:40" x14ac:dyDescent="0.25">
      <c r="A300" s="202"/>
      <c r="C300" s="154"/>
      <c r="F300" s="200"/>
      <c r="H300" s="200"/>
      <c r="I300" s="200"/>
      <c r="J300" s="329"/>
      <c r="K300" s="305"/>
      <c r="L300" s="200"/>
      <c r="M300" s="200"/>
      <c r="N300" s="210"/>
      <c r="O300" s="210"/>
      <c r="P300" s="200"/>
      <c r="Q300" s="200"/>
      <c r="R300" s="200"/>
      <c r="S300" s="200"/>
      <c r="T300" s="154"/>
      <c r="V300" s="200"/>
      <c r="Y300" s="200"/>
      <c r="Z300" s="305"/>
      <c r="AA300" s="200"/>
      <c r="AB300" s="200"/>
      <c r="AC300" s="210"/>
      <c r="AD300" s="210"/>
      <c r="AE300" s="200"/>
      <c r="AF300" s="200"/>
      <c r="AG300" s="209"/>
      <c r="AH300" s="210"/>
      <c r="AI300" s="200"/>
      <c r="AJ300" s="200"/>
      <c r="AK300" s="209"/>
      <c r="AL300" s="200"/>
      <c r="AM300" s="210"/>
      <c r="AN300" s="210"/>
    </row>
    <row r="301" spans="1:40" x14ac:dyDescent="0.25">
      <c r="F301" s="211"/>
      <c r="H301" s="211"/>
      <c r="I301" s="211"/>
      <c r="J301" s="329"/>
      <c r="K301" s="305"/>
      <c r="L301" s="211"/>
      <c r="M301" s="211"/>
      <c r="N301" s="211"/>
      <c r="O301" s="211"/>
      <c r="P301" s="211"/>
      <c r="Q301" s="211"/>
      <c r="R301" s="211"/>
      <c r="S301" s="200"/>
      <c r="V301" s="211"/>
      <c r="Y301" s="211"/>
      <c r="Z301" s="305"/>
      <c r="AA301" s="211"/>
      <c r="AB301" s="211"/>
      <c r="AC301" s="211"/>
      <c r="AD301" s="211"/>
      <c r="AE301" s="211"/>
      <c r="AF301" s="211"/>
      <c r="AI301" s="211"/>
      <c r="AJ301" s="211"/>
      <c r="AK301" s="212"/>
      <c r="AL301" s="211"/>
      <c r="AM301" s="210"/>
      <c r="AN301" s="210"/>
    </row>
    <row r="302" spans="1:40" x14ac:dyDescent="0.25">
      <c r="A302" s="202"/>
      <c r="C302" s="154"/>
      <c r="J302" s="394"/>
      <c r="T302" s="154"/>
    </row>
    <row r="303" spans="1:40" x14ac:dyDescent="0.25">
      <c r="A303" s="202"/>
      <c r="C303" s="154"/>
      <c r="F303" s="200"/>
      <c r="H303" s="200"/>
      <c r="I303" s="200"/>
      <c r="J303" s="394"/>
      <c r="L303" s="200"/>
      <c r="M303" s="200"/>
      <c r="N303" s="210"/>
      <c r="O303" s="210"/>
      <c r="P303" s="252"/>
      <c r="Q303" s="252"/>
      <c r="R303" s="200"/>
      <c r="T303" s="154"/>
      <c r="V303" s="200"/>
      <c r="Y303" s="200"/>
      <c r="AA303" s="200"/>
      <c r="AB303" s="200"/>
      <c r="AC303" s="210"/>
      <c r="AD303" s="210"/>
      <c r="AE303" s="200"/>
      <c r="AF303" s="200"/>
      <c r="AG303" s="209"/>
      <c r="AH303" s="210"/>
      <c r="AI303" s="252"/>
      <c r="AJ303" s="252"/>
      <c r="AK303" s="209"/>
      <c r="AL303" s="200"/>
      <c r="AM303" s="210"/>
      <c r="AN303" s="210"/>
    </row>
    <row r="304" spans="1:40" x14ac:dyDescent="0.25">
      <c r="H304" s="211"/>
      <c r="I304" s="211"/>
      <c r="J304" s="329"/>
      <c r="K304" s="305"/>
      <c r="L304" s="211"/>
      <c r="M304" s="211"/>
      <c r="N304" s="211"/>
      <c r="O304" s="211"/>
      <c r="P304" s="211"/>
      <c r="Q304" s="211"/>
      <c r="R304" s="211"/>
      <c r="V304" s="211"/>
      <c r="Y304" s="211"/>
      <c r="Z304" s="305"/>
      <c r="AA304" s="211"/>
      <c r="AB304" s="211"/>
      <c r="AC304" s="211"/>
      <c r="AD304" s="211"/>
      <c r="AE304" s="211"/>
      <c r="AF304" s="211"/>
      <c r="AI304" s="211"/>
      <c r="AJ304" s="211"/>
      <c r="AK304" s="212"/>
      <c r="AL304" s="211"/>
    </row>
    <row r="305" spans="1:40" x14ac:dyDescent="0.25">
      <c r="F305" s="211"/>
      <c r="J305" s="394"/>
    </row>
    <row r="306" spans="1:40" x14ac:dyDescent="0.25">
      <c r="C306" s="154"/>
      <c r="J306" s="394"/>
      <c r="L306" s="200"/>
      <c r="M306" s="200"/>
      <c r="N306" s="200"/>
      <c r="O306" s="200"/>
      <c r="P306" s="200"/>
      <c r="Q306" s="200"/>
      <c r="R306" s="200"/>
      <c r="S306" s="200"/>
      <c r="T306" s="154"/>
      <c r="AA306" s="200"/>
      <c r="AB306" s="200"/>
      <c r="AC306" s="200"/>
      <c r="AD306" s="200"/>
      <c r="AI306" s="200"/>
      <c r="AJ306" s="200"/>
      <c r="AK306" s="209"/>
      <c r="AL306" s="200"/>
    </row>
    <row r="307" spans="1:40" x14ac:dyDescent="0.25">
      <c r="A307" s="154"/>
      <c r="J307" s="394"/>
    </row>
    <row r="308" spans="1:40" x14ac:dyDescent="0.25">
      <c r="J308" s="334"/>
      <c r="K308" s="202"/>
      <c r="Z308" s="202"/>
    </row>
    <row r="309" spans="1:40" x14ac:dyDescent="0.25">
      <c r="H309" s="154"/>
      <c r="I309" s="154"/>
      <c r="J309" s="394"/>
      <c r="Y309" s="154"/>
    </row>
    <row r="310" spans="1:40" x14ac:dyDescent="0.25">
      <c r="J310" s="334"/>
      <c r="K310" s="202"/>
      <c r="Z310" s="202"/>
    </row>
    <row r="311" spans="1:40" x14ac:dyDescent="0.25">
      <c r="J311" s="394"/>
      <c r="L311" s="154"/>
      <c r="M311" s="154"/>
      <c r="AA311" s="154"/>
      <c r="AB311" s="154"/>
    </row>
    <row r="312" spans="1:40" x14ac:dyDescent="0.25">
      <c r="A312" s="202"/>
      <c r="J312" s="394"/>
      <c r="R312" s="154"/>
      <c r="AK312" s="297"/>
      <c r="AL312" s="154"/>
    </row>
    <row r="313" spans="1:40" x14ac:dyDescent="0.25">
      <c r="A313" s="202"/>
      <c r="J313" s="394"/>
      <c r="R313" s="154"/>
      <c r="AK313" s="297"/>
      <c r="AL313" s="154"/>
    </row>
    <row r="314" spans="1:40" x14ac:dyDescent="0.25">
      <c r="A314" s="154"/>
      <c r="J314" s="394"/>
      <c r="R314" s="154"/>
      <c r="AK314" s="297"/>
      <c r="AL314" s="154"/>
    </row>
    <row r="315" spans="1:40" x14ac:dyDescent="0.25">
      <c r="J315" s="394"/>
      <c r="L315" s="154"/>
      <c r="M315" s="154"/>
      <c r="R315" s="202"/>
      <c r="AA315" s="154"/>
      <c r="AB315" s="154"/>
      <c r="AK315" s="209"/>
      <c r="AL315" s="202"/>
    </row>
    <row r="316" spans="1:40" x14ac:dyDescent="0.25">
      <c r="A316" s="102"/>
      <c r="B316" s="102"/>
      <c r="C316" s="102"/>
      <c r="D316" s="102"/>
      <c r="E316" s="102"/>
      <c r="F316" s="102"/>
      <c r="G316" s="102"/>
      <c r="H316" s="102"/>
      <c r="I316" s="102"/>
      <c r="J316" s="335"/>
      <c r="K316" s="102"/>
      <c r="L316" s="102"/>
      <c r="M316" s="102"/>
      <c r="N316" s="102"/>
      <c r="O316" s="102"/>
      <c r="P316" s="102"/>
      <c r="Q316" s="102"/>
      <c r="R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208"/>
      <c r="AH316" s="102"/>
      <c r="AI316" s="102"/>
      <c r="AJ316" s="102"/>
      <c r="AK316" s="208"/>
      <c r="AL316" s="102"/>
      <c r="AM316" s="102"/>
      <c r="AN316" s="102"/>
    </row>
    <row r="317" spans="1:40" x14ac:dyDescent="0.25">
      <c r="J317" s="394"/>
      <c r="L317" s="103"/>
      <c r="M317" s="103"/>
      <c r="N317" s="103"/>
      <c r="O317" s="103"/>
      <c r="R317" s="103"/>
      <c r="AA317" s="103"/>
      <c r="AB317" s="103"/>
      <c r="AC317" s="103"/>
      <c r="AD317" s="103"/>
      <c r="AE317" s="103"/>
      <c r="AF317" s="103"/>
      <c r="AG317" s="185"/>
      <c r="AH317" s="103"/>
      <c r="AK317" s="185"/>
      <c r="AL317" s="103"/>
      <c r="AM317" s="103"/>
      <c r="AN317" s="103"/>
    </row>
    <row r="318" spans="1:40" x14ac:dyDescent="0.25">
      <c r="J318" s="394"/>
      <c r="L318" s="103"/>
      <c r="M318" s="103"/>
      <c r="N318" s="103"/>
      <c r="O318" s="103"/>
      <c r="R318" s="103"/>
      <c r="Z318" s="103"/>
      <c r="AA318" s="103"/>
      <c r="AB318" s="103"/>
      <c r="AC318" s="103"/>
      <c r="AD318" s="103"/>
      <c r="AE318" s="103"/>
      <c r="AF318" s="103"/>
      <c r="AG318" s="185"/>
      <c r="AH318" s="103"/>
      <c r="AK318" s="185"/>
      <c r="AL318" s="103"/>
      <c r="AM318" s="103"/>
      <c r="AN318" s="103"/>
    </row>
    <row r="319" spans="1:40" x14ac:dyDescent="0.25">
      <c r="A319" s="103"/>
      <c r="C319" s="103"/>
      <c r="D319" s="103"/>
      <c r="E319" s="103"/>
      <c r="F319" s="103"/>
      <c r="J319" s="336"/>
      <c r="K319" s="103"/>
      <c r="L319" s="103"/>
      <c r="M319" s="103"/>
      <c r="N319" s="103"/>
      <c r="O319" s="103"/>
      <c r="P319" s="103"/>
      <c r="Q319" s="103"/>
      <c r="R319" s="103"/>
      <c r="T319" s="103"/>
      <c r="U319" s="103"/>
      <c r="V319" s="103"/>
      <c r="Z319" s="103"/>
      <c r="AA319" s="103"/>
      <c r="AB319" s="103"/>
      <c r="AC319" s="103"/>
      <c r="AD319" s="103"/>
      <c r="AE319" s="103"/>
      <c r="AF319" s="103"/>
      <c r="AG319" s="185"/>
      <c r="AH319" s="103"/>
      <c r="AI319" s="103"/>
      <c r="AJ319" s="103"/>
      <c r="AK319" s="185"/>
      <c r="AL319" s="103"/>
      <c r="AM319" s="103"/>
      <c r="AN319" s="103"/>
    </row>
    <row r="320" spans="1:40" x14ac:dyDescent="0.25">
      <c r="A320" s="103"/>
      <c r="C320" s="103"/>
      <c r="D320" s="103"/>
      <c r="E320" s="103"/>
      <c r="F320" s="103"/>
      <c r="H320" s="103"/>
      <c r="I320" s="103"/>
      <c r="J320" s="336"/>
      <c r="K320" s="103"/>
      <c r="L320" s="103"/>
      <c r="M320" s="103"/>
      <c r="N320" s="103"/>
      <c r="O320" s="103"/>
      <c r="P320" s="103"/>
      <c r="Q320" s="103"/>
      <c r="R320" s="103"/>
      <c r="T320" s="103"/>
      <c r="U320" s="103"/>
      <c r="V320" s="103"/>
      <c r="Y320" s="103"/>
      <c r="Z320" s="103"/>
      <c r="AA320" s="103"/>
      <c r="AB320" s="103"/>
      <c r="AC320" s="103"/>
      <c r="AD320" s="103"/>
      <c r="AE320" s="103"/>
      <c r="AF320" s="103"/>
      <c r="AG320" s="185"/>
      <c r="AH320" s="103"/>
      <c r="AI320" s="103"/>
      <c r="AJ320" s="103"/>
      <c r="AK320" s="185"/>
      <c r="AL320" s="103"/>
      <c r="AM320" s="103"/>
      <c r="AN320" s="103"/>
    </row>
    <row r="321" spans="1:40" x14ac:dyDescent="0.25">
      <c r="C321" s="103"/>
      <c r="D321" s="103"/>
      <c r="E321" s="103"/>
      <c r="F321" s="103"/>
      <c r="H321" s="103"/>
      <c r="I321" s="103"/>
      <c r="J321" s="336"/>
      <c r="K321" s="103"/>
      <c r="L321" s="103"/>
      <c r="M321" s="103"/>
      <c r="N321" s="103"/>
      <c r="O321" s="103"/>
      <c r="P321" s="103"/>
      <c r="Q321" s="103"/>
      <c r="R321" s="103"/>
      <c r="T321" s="103"/>
      <c r="U321" s="103"/>
      <c r="V321" s="103"/>
      <c r="Y321" s="103"/>
      <c r="Z321" s="103"/>
      <c r="AA321" s="103"/>
      <c r="AB321" s="103"/>
      <c r="AC321" s="103"/>
      <c r="AD321" s="103"/>
      <c r="AE321" s="103"/>
      <c r="AF321" s="103"/>
      <c r="AG321" s="185"/>
      <c r="AH321" s="103"/>
      <c r="AI321" s="103"/>
      <c r="AJ321" s="103"/>
      <c r="AK321" s="185"/>
      <c r="AL321" s="103"/>
      <c r="AM321" s="103"/>
      <c r="AN321" s="103"/>
    </row>
    <row r="322" spans="1:40" x14ac:dyDescent="0.25">
      <c r="A322" s="102"/>
      <c r="B322" s="102"/>
      <c r="C322" s="102"/>
      <c r="D322" s="102"/>
      <c r="E322" s="102"/>
      <c r="F322" s="102"/>
      <c r="G322" s="102"/>
      <c r="H322" s="102"/>
      <c r="I322" s="102"/>
      <c r="J322" s="335"/>
      <c r="K322" s="102"/>
      <c r="L322" s="102"/>
      <c r="M322" s="102"/>
      <c r="N322" s="102"/>
      <c r="O322" s="102"/>
      <c r="P322" s="102"/>
      <c r="Q322" s="102"/>
      <c r="R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208"/>
      <c r="AH322" s="102"/>
      <c r="AI322" s="102"/>
      <c r="AJ322" s="102"/>
      <c r="AK322" s="208"/>
      <c r="AL322" s="102"/>
      <c r="AM322" s="102"/>
      <c r="AN322" s="102"/>
    </row>
    <row r="323" spans="1:40" x14ac:dyDescent="0.25">
      <c r="H323" s="103"/>
      <c r="I323" s="103"/>
      <c r="J323" s="336"/>
      <c r="K323" s="103"/>
      <c r="L323" s="103"/>
      <c r="M323" s="103"/>
      <c r="N323" s="103"/>
      <c r="O323" s="103"/>
      <c r="P323" s="103"/>
      <c r="Q323" s="103"/>
      <c r="R323" s="103"/>
      <c r="Y323" s="103"/>
      <c r="Z323" s="103"/>
      <c r="AA323" s="103"/>
      <c r="AB323" s="103"/>
      <c r="AC323" s="103"/>
      <c r="AD323" s="103"/>
      <c r="AE323" s="103"/>
      <c r="AF323" s="103"/>
      <c r="AG323" s="185"/>
      <c r="AH323" s="103"/>
      <c r="AI323" s="103"/>
      <c r="AJ323" s="103"/>
      <c r="AK323" s="185"/>
      <c r="AL323" s="103"/>
      <c r="AM323" s="103"/>
      <c r="AN323" s="103"/>
    </row>
    <row r="324" spans="1:40" x14ac:dyDescent="0.25">
      <c r="A324" s="202"/>
      <c r="C324" s="154"/>
      <c r="D324" s="154"/>
      <c r="E324" s="154"/>
      <c r="J324" s="394"/>
      <c r="T324" s="154"/>
      <c r="U324" s="154"/>
    </row>
    <row r="325" spans="1:40" x14ac:dyDescent="0.25">
      <c r="D325" s="154"/>
      <c r="E325" s="154"/>
      <c r="J325" s="394"/>
      <c r="U325" s="154"/>
    </row>
    <row r="326" spans="1:40" x14ac:dyDescent="0.25">
      <c r="J326" s="394"/>
    </row>
    <row r="327" spans="1:40" x14ac:dyDescent="0.25">
      <c r="A327" s="202"/>
      <c r="C327" s="154"/>
      <c r="J327" s="394"/>
      <c r="T327" s="154"/>
    </row>
    <row r="328" spans="1:40" x14ac:dyDescent="0.25">
      <c r="A328" s="202"/>
      <c r="C328" s="154"/>
      <c r="F328" s="252"/>
      <c r="H328" s="252"/>
      <c r="I328" s="252"/>
      <c r="J328" s="329"/>
      <c r="K328" s="329"/>
      <c r="L328" s="200"/>
      <c r="M328" s="200"/>
      <c r="N328" s="210"/>
      <c r="O328" s="210"/>
      <c r="P328" s="200"/>
      <c r="Q328" s="200"/>
      <c r="R328" s="200"/>
      <c r="T328" s="154"/>
      <c r="V328" s="252"/>
      <c r="W328" s="200"/>
      <c r="X328" s="200"/>
      <c r="Y328" s="252"/>
      <c r="Z328" s="329"/>
      <c r="AA328" s="200"/>
      <c r="AB328" s="200"/>
      <c r="AC328" s="210"/>
      <c r="AD328" s="210"/>
      <c r="AE328" s="200"/>
      <c r="AF328" s="200"/>
      <c r="AG328" s="209"/>
      <c r="AH328" s="201"/>
      <c r="AI328" s="200"/>
      <c r="AJ328" s="200"/>
      <c r="AK328" s="209"/>
      <c r="AL328" s="200"/>
      <c r="AM328" s="210"/>
      <c r="AN328" s="210"/>
    </row>
    <row r="329" spans="1:40" x14ac:dyDescent="0.25">
      <c r="A329" s="202"/>
      <c r="C329" s="154"/>
      <c r="F329" s="200"/>
      <c r="H329" s="200"/>
      <c r="I329" s="200"/>
      <c r="J329" s="329"/>
      <c r="K329" s="305"/>
      <c r="L329" s="200"/>
      <c r="M329" s="200"/>
      <c r="N329" s="210"/>
      <c r="O329" s="210"/>
      <c r="P329" s="200"/>
      <c r="Q329" s="200"/>
      <c r="R329" s="200"/>
      <c r="T329" s="154"/>
      <c r="V329" s="252"/>
      <c r="W329" s="200"/>
      <c r="X329" s="200"/>
      <c r="Y329" s="252"/>
      <c r="Z329" s="305"/>
      <c r="AA329" s="200"/>
      <c r="AB329" s="200"/>
      <c r="AC329" s="210"/>
      <c r="AD329" s="210"/>
      <c r="AE329" s="200"/>
      <c r="AF329" s="200"/>
      <c r="AG329" s="209"/>
      <c r="AH329" s="201"/>
      <c r="AI329" s="200"/>
      <c r="AJ329" s="200"/>
      <c r="AK329" s="209"/>
      <c r="AL329" s="200"/>
      <c r="AM329" s="210"/>
      <c r="AN329" s="210"/>
    </row>
    <row r="330" spans="1:40" x14ac:dyDescent="0.25">
      <c r="A330" s="202"/>
      <c r="C330" s="154"/>
      <c r="F330" s="252"/>
      <c r="H330" s="252"/>
      <c r="I330" s="252"/>
      <c r="J330" s="329"/>
      <c r="K330" s="329"/>
      <c r="L330" s="200"/>
      <c r="M330" s="200"/>
      <c r="N330" s="210"/>
      <c r="O330" s="210"/>
      <c r="P330" s="200"/>
      <c r="Q330" s="200"/>
      <c r="R330" s="200"/>
      <c r="T330" s="154"/>
      <c r="V330" s="252"/>
      <c r="W330" s="200"/>
      <c r="X330" s="200"/>
      <c r="Y330" s="252"/>
      <c r="Z330" s="329"/>
      <c r="AA330" s="200"/>
      <c r="AB330" s="200"/>
      <c r="AC330" s="210"/>
      <c r="AD330" s="210"/>
      <c r="AE330" s="200"/>
      <c r="AF330" s="200"/>
      <c r="AG330" s="209"/>
      <c r="AH330" s="201"/>
      <c r="AI330" s="200"/>
      <c r="AJ330" s="200"/>
      <c r="AK330" s="209"/>
      <c r="AL330" s="200"/>
      <c r="AM330" s="210"/>
      <c r="AN330" s="210"/>
    </row>
    <row r="331" spans="1:40" x14ac:dyDescent="0.25">
      <c r="A331" s="202"/>
      <c r="C331" s="154"/>
      <c r="F331" s="252"/>
      <c r="H331" s="252"/>
      <c r="I331" s="252"/>
      <c r="J331" s="329"/>
      <c r="K331" s="329"/>
      <c r="L331" s="200"/>
      <c r="M331" s="200"/>
      <c r="N331" s="210"/>
      <c r="O331" s="210"/>
      <c r="P331" s="200"/>
      <c r="Q331" s="200"/>
      <c r="R331" s="200"/>
      <c r="T331" s="154"/>
      <c r="V331" s="252"/>
      <c r="W331" s="200"/>
      <c r="X331" s="200"/>
      <c r="Y331" s="252"/>
      <c r="Z331" s="329"/>
      <c r="AA331" s="200"/>
      <c r="AB331" s="200"/>
      <c r="AC331" s="210"/>
      <c r="AD331" s="210"/>
      <c r="AE331" s="200"/>
      <c r="AF331" s="200"/>
      <c r="AG331" s="209"/>
      <c r="AH331" s="201"/>
      <c r="AI331" s="200"/>
      <c r="AJ331" s="200"/>
      <c r="AK331" s="209"/>
      <c r="AL331" s="200"/>
      <c r="AM331" s="210"/>
      <c r="AN331" s="210"/>
    </row>
    <row r="332" spans="1:40" x14ac:dyDescent="0.25">
      <c r="A332" s="202"/>
      <c r="C332" s="154"/>
      <c r="F332" s="252"/>
      <c r="H332" s="252"/>
      <c r="I332" s="252"/>
      <c r="J332" s="329"/>
      <c r="K332" s="329"/>
      <c r="L332" s="200"/>
      <c r="M332" s="200"/>
      <c r="N332" s="210"/>
      <c r="O332" s="210"/>
      <c r="P332" s="200"/>
      <c r="Q332" s="200"/>
      <c r="R332" s="200"/>
      <c r="T332" s="154"/>
      <c r="V332" s="252"/>
      <c r="W332" s="200"/>
      <c r="X332" s="200"/>
      <c r="Y332" s="252"/>
      <c r="Z332" s="329"/>
      <c r="AA332" s="200"/>
      <c r="AB332" s="200"/>
      <c r="AC332" s="210"/>
      <c r="AD332" s="210"/>
      <c r="AE332" s="200"/>
      <c r="AF332" s="200"/>
      <c r="AG332" s="209"/>
      <c r="AH332" s="201"/>
      <c r="AI332" s="200"/>
      <c r="AJ332" s="200"/>
      <c r="AK332" s="209"/>
      <c r="AL332" s="200"/>
      <c r="AM332" s="210"/>
      <c r="AN332" s="210"/>
    </row>
    <row r="333" spans="1:40" x14ac:dyDescent="0.25">
      <c r="A333" s="202"/>
      <c r="C333" s="154"/>
      <c r="F333" s="200"/>
      <c r="H333" s="200"/>
      <c r="I333" s="200"/>
      <c r="J333" s="329"/>
      <c r="K333" s="329"/>
      <c r="L333" s="200"/>
      <c r="M333" s="200"/>
      <c r="N333" s="210"/>
      <c r="O333" s="210"/>
      <c r="P333" s="200"/>
      <c r="Q333" s="200"/>
      <c r="R333" s="200"/>
      <c r="T333" s="154"/>
      <c r="V333" s="252"/>
      <c r="W333" s="200"/>
      <c r="X333" s="200"/>
      <c r="Y333" s="252"/>
      <c r="Z333" s="329"/>
      <c r="AA333" s="200"/>
      <c r="AB333" s="200"/>
      <c r="AC333" s="210"/>
      <c r="AD333" s="210"/>
      <c r="AE333" s="200"/>
      <c r="AF333" s="200"/>
      <c r="AG333" s="209"/>
      <c r="AH333" s="201"/>
      <c r="AI333" s="200"/>
      <c r="AJ333" s="200"/>
      <c r="AK333" s="209"/>
      <c r="AL333" s="200"/>
      <c r="AM333" s="210"/>
      <c r="AN333" s="210"/>
    </row>
    <row r="334" spans="1:40" x14ac:dyDescent="0.25">
      <c r="A334" s="202"/>
      <c r="C334" s="154"/>
      <c r="F334" s="200"/>
      <c r="H334" s="200"/>
      <c r="I334" s="200"/>
      <c r="J334" s="329"/>
      <c r="K334" s="329"/>
      <c r="L334" s="200"/>
      <c r="M334" s="200"/>
      <c r="N334" s="210"/>
      <c r="O334" s="210"/>
      <c r="P334" s="200"/>
      <c r="Q334" s="200"/>
      <c r="R334" s="200"/>
      <c r="T334" s="154"/>
      <c r="V334" s="252"/>
      <c r="W334" s="200"/>
      <c r="X334" s="200"/>
      <c r="Y334" s="252"/>
      <c r="Z334" s="329"/>
      <c r="AA334" s="200"/>
      <c r="AB334" s="200"/>
      <c r="AC334" s="210"/>
      <c r="AD334" s="210"/>
      <c r="AE334" s="200"/>
      <c r="AF334" s="200"/>
      <c r="AG334" s="209"/>
      <c r="AH334" s="201"/>
      <c r="AI334" s="200"/>
      <c r="AJ334" s="200"/>
      <c r="AK334" s="209"/>
      <c r="AL334" s="200"/>
      <c r="AM334" s="210"/>
      <c r="AN334" s="210"/>
    </row>
    <row r="335" spans="1:40" x14ac:dyDescent="0.25">
      <c r="F335" s="331"/>
      <c r="H335" s="332"/>
      <c r="I335" s="332"/>
      <c r="J335" s="329"/>
      <c r="K335" s="329"/>
      <c r="L335" s="331"/>
      <c r="M335" s="331"/>
      <c r="N335" s="211"/>
      <c r="O335" s="211"/>
      <c r="P335" s="331"/>
      <c r="Q335" s="331"/>
      <c r="R335" s="331"/>
      <c r="V335" s="331"/>
      <c r="W335" s="200"/>
      <c r="X335" s="200"/>
      <c r="Y335" s="331"/>
      <c r="Z335" s="329"/>
      <c r="AA335" s="331"/>
      <c r="AB335" s="331"/>
      <c r="AC335" s="333"/>
      <c r="AD335" s="333"/>
      <c r="AE335" s="331"/>
      <c r="AF335" s="331"/>
      <c r="AG335" s="209"/>
      <c r="AH335" s="201"/>
      <c r="AI335" s="331"/>
      <c r="AJ335" s="331"/>
      <c r="AK335" s="208"/>
      <c r="AL335" s="331"/>
      <c r="AM335" s="210"/>
      <c r="AN335" s="210"/>
    </row>
    <row r="336" spans="1:40" x14ac:dyDescent="0.25">
      <c r="A336" s="202"/>
      <c r="C336" s="154"/>
      <c r="F336" s="200"/>
      <c r="H336" s="200"/>
      <c r="I336" s="200"/>
      <c r="J336" s="329"/>
      <c r="K336" s="329"/>
      <c r="L336" s="200"/>
      <c r="M336" s="200"/>
      <c r="N336" s="201"/>
      <c r="O336" s="201"/>
      <c r="P336" s="200"/>
      <c r="Q336" s="200"/>
      <c r="R336" s="200"/>
      <c r="T336" s="103"/>
      <c r="V336" s="200"/>
      <c r="W336" s="200"/>
      <c r="X336" s="200"/>
      <c r="Y336" s="200"/>
      <c r="Z336" s="329"/>
      <c r="AA336" s="200"/>
      <c r="AB336" s="200"/>
      <c r="AC336" s="201"/>
      <c r="AD336" s="201"/>
      <c r="AE336" s="200"/>
      <c r="AF336" s="200"/>
      <c r="AG336" s="209"/>
      <c r="AH336" s="201"/>
      <c r="AI336" s="200"/>
      <c r="AJ336" s="200"/>
      <c r="AK336" s="209"/>
      <c r="AL336" s="200"/>
      <c r="AM336" s="210"/>
      <c r="AN336" s="210"/>
    </row>
    <row r="337" spans="1:40" x14ac:dyDescent="0.25">
      <c r="F337" s="102"/>
      <c r="H337" s="102"/>
      <c r="I337" s="102"/>
      <c r="J337" s="394"/>
      <c r="L337" s="102"/>
      <c r="M337" s="102"/>
      <c r="N337" s="333"/>
      <c r="O337" s="333"/>
      <c r="P337" s="331"/>
      <c r="Q337" s="331"/>
      <c r="R337" s="331"/>
      <c r="V337" s="331"/>
      <c r="Y337" s="331"/>
      <c r="Z337" s="305"/>
      <c r="AA337" s="331"/>
      <c r="AB337" s="331"/>
      <c r="AC337" s="331"/>
      <c r="AD337" s="331"/>
      <c r="AE337" s="331"/>
      <c r="AF337" s="331"/>
      <c r="AI337" s="331"/>
      <c r="AJ337" s="331"/>
      <c r="AK337" s="208"/>
      <c r="AL337" s="331"/>
      <c r="AM337" s="333"/>
      <c r="AN337" s="333"/>
    </row>
    <row r="338" spans="1:40" x14ac:dyDescent="0.25">
      <c r="J338" s="394"/>
      <c r="AI338" s="202"/>
      <c r="AJ338" s="202"/>
    </row>
    <row r="339" spans="1:40" x14ac:dyDescent="0.25">
      <c r="J339" s="394"/>
    </row>
    <row r="340" spans="1:40" x14ac:dyDescent="0.25">
      <c r="J340" s="394"/>
    </row>
    <row r="341" spans="1:40" x14ac:dyDescent="0.25">
      <c r="J341" s="394"/>
    </row>
    <row r="342" spans="1:40" x14ac:dyDescent="0.25">
      <c r="J342" s="394"/>
      <c r="N342" s="200"/>
      <c r="O342" s="200"/>
      <c r="P342" s="200"/>
      <c r="Q342" s="200"/>
      <c r="R342" s="200"/>
      <c r="V342" s="200"/>
      <c r="Y342" s="200"/>
      <c r="Z342" s="213"/>
      <c r="AA342" s="200"/>
      <c r="AB342" s="200"/>
      <c r="AC342" s="210"/>
      <c r="AD342" s="210"/>
      <c r="AE342" s="200"/>
      <c r="AF342" s="200"/>
      <c r="AG342" s="209"/>
      <c r="AH342" s="201"/>
      <c r="AI342" s="200"/>
      <c r="AJ342" s="200"/>
      <c r="AK342" s="209"/>
      <c r="AL342" s="200"/>
      <c r="AM342" s="210"/>
      <c r="AN342" s="210"/>
    </row>
    <row r="343" spans="1:40" x14ac:dyDescent="0.25">
      <c r="A343" s="202"/>
      <c r="C343" s="154"/>
      <c r="D343" s="154"/>
      <c r="E343" s="154"/>
      <c r="J343" s="334"/>
      <c r="K343" s="334"/>
      <c r="T343" s="154"/>
      <c r="U343" s="154"/>
      <c r="Z343" s="334"/>
      <c r="AE343" s="200"/>
      <c r="AF343" s="200"/>
      <c r="AI343" s="200"/>
      <c r="AJ343" s="200"/>
      <c r="AK343" s="209"/>
      <c r="AL343" s="200"/>
      <c r="AM343" s="210"/>
      <c r="AN343" s="210"/>
    </row>
    <row r="344" spans="1:40" x14ac:dyDescent="0.25">
      <c r="D344" s="154"/>
      <c r="E344" s="154"/>
      <c r="F344" s="200"/>
      <c r="H344" s="200"/>
      <c r="I344" s="200"/>
      <c r="J344" s="329"/>
      <c r="K344" s="329"/>
      <c r="L344" s="200"/>
      <c r="M344" s="200"/>
      <c r="N344" s="210"/>
      <c r="O344" s="210"/>
      <c r="P344" s="200"/>
      <c r="Q344" s="200"/>
      <c r="R344" s="200"/>
      <c r="U344" s="154"/>
      <c r="V344" s="200"/>
      <c r="Y344" s="200"/>
      <c r="Z344" s="329"/>
      <c r="AA344" s="200"/>
      <c r="AB344" s="200"/>
      <c r="AC344" s="210"/>
      <c r="AD344" s="210"/>
      <c r="AE344" s="200"/>
      <c r="AF344" s="200"/>
      <c r="AG344" s="209"/>
      <c r="AH344" s="201"/>
      <c r="AI344" s="200"/>
      <c r="AJ344" s="200"/>
      <c r="AK344" s="209"/>
      <c r="AL344" s="200"/>
      <c r="AM344" s="210"/>
      <c r="AN344" s="210"/>
    </row>
    <row r="345" spans="1:40" x14ac:dyDescent="0.25">
      <c r="F345" s="200"/>
      <c r="H345" s="200"/>
      <c r="I345" s="200"/>
      <c r="J345" s="329"/>
      <c r="K345" s="305"/>
      <c r="L345" s="200"/>
      <c r="M345" s="200"/>
      <c r="N345" s="200"/>
      <c r="O345" s="200"/>
      <c r="P345" s="200"/>
      <c r="Q345" s="200"/>
      <c r="R345" s="200"/>
      <c r="V345" s="200"/>
      <c r="Y345" s="200"/>
      <c r="Z345" s="305"/>
      <c r="AA345" s="200"/>
      <c r="AB345" s="200"/>
      <c r="AC345" s="200"/>
      <c r="AD345" s="200"/>
      <c r="AE345" s="200"/>
      <c r="AF345" s="200"/>
      <c r="AG345" s="209"/>
      <c r="AH345" s="201"/>
      <c r="AI345" s="252"/>
      <c r="AJ345" s="252"/>
      <c r="AK345" s="209"/>
      <c r="AL345" s="200"/>
      <c r="AM345" s="210"/>
      <c r="AN345" s="210"/>
    </row>
    <row r="346" spans="1:40" x14ac:dyDescent="0.25">
      <c r="A346" s="202"/>
      <c r="C346" s="154"/>
      <c r="F346" s="252"/>
      <c r="H346" s="252"/>
      <c r="I346" s="252"/>
      <c r="J346" s="329"/>
      <c r="K346" s="304"/>
      <c r="L346" s="200"/>
      <c r="M346" s="200"/>
      <c r="N346" s="210"/>
      <c r="O346" s="210"/>
      <c r="P346" s="200"/>
      <c r="Q346" s="200"/>
      <c r="R346" s="200"/>
      <c r="T346" s="154"/>
      <c r="V346" s="252"/>
      <c r="Y346" s="252"/>
      <c r="Z346" s="304"/>
      <c r="AA346" s="200"/>
      <c r="AB346" s="200"/>
      <c r="AC346" s="210"/>
      <c r="AD346" s="210"/>
      <c r="AE346" s="200"/>
      <c r="AF346" s="200"/>
      <c r="AG346" s="209"/>
      <c r="AH346" s="201"/>
      <c r="AI346" s="200"/>
      <c r="AJ346" s="200"/>
      <c r="AK346" s="209"/>
      <c r="AL346" s="200"/>
      <c r="AM346" s="210"/>
      <c r="AN346" s="210"/>
    </row>
    <row r="347" spans="1:40" x14ac:dyDescent="0.25">
      <c r="F347" s="102"/>
      <c r="H347" s="102"/>
      <c r="I347" s="102"/>
      <c r="J347" s="394"/>
      <c r="L347" s="102"/>
      <c r="M347" s="102"/>
      <c r="N347" s="102"/>
      <c r="O347" s="102"/>
      <c r="P347" s="102"/>
      <c r="Q347" s="102"/>
      <c r="R347" s="102"/>
      <c r="V347" s="102"/>
      <c r="Y347" s="102"/>
      <c r="AA347" s="102"/>
      <c r="AB347" s="102"/>
      <c r="AC347" s="102"/>
      <c r="AD347" s="102"/>
      <c r="AE347" s="102"/>
      <c r="AF347" s="102"/>
      <c r="AG347" s="208"/>
      <c r="AH347" s="102"/>
      <c r="AI347" s="102"/>
      <c r="AJ347" s="102"/>
      <c r="AK347" s="208"/>
      <c r="AL347" s="102"/>
      <c r="AM347" s="102"/>
      <c r="AN347" s="102"/>
    </row>
    <row r="348" spans="1:40" x14ac:dyDescent="0.25">
      <c r="A348" s="202"/>
      <c r="C348" s="103"/>
      <c r="F348" s="252"/>
      <c r="H348" s="252"/>
      <c r="I348" s="252"/>
      <c r="J348" s="329"/>
      <c r="K348" s="300"/>
      <c r="L348" s="252"/>
      <c r="M348" s="252"/>
      <c r="N348" s="210"/>
      <c r="O348" s="210"/>
      <c r="P348" s="252"/>
      <c r="Q348" s="252"/>
      <c r="R348" s="252"/>
      <c r="T348" s="103"/>
      <c r="V348" s="200"/>
      <c r="Y348" s="200"/>
      <c r="Z348" s="213"/>
      <c r="AA348" s="200"/>
      <c r="AB348" s="200"/>
      <c r="AC348" s="210"/>
      <c r="AD348" s="210"/>
      <c r="AE348" s="202"/>
      <c r="AF348" s="202"/>
      <c r="AG348" s="209"/>
      <c r="AH348" s="201"/>
      <c r="AI348" s="200"/>
      <c r="AJ348" s="200"/>
      <c r="AK348" s="209"/>
      <c r="AL348" s="200"/>
      <c r="AM348" s="210"/>
      <c r="AN348" s="210"/>
    </row>
    <row r="349" spans="1:40" x14ac:dyDescent="0.25">
      <c r="F349" s="331"/>
      <c r="H349" s="331"/>
      <c r="I349" s="331"/>
      <c r="J349" s="329"/>
      <c r="K349" s="305"/>
      <c r="L349" s="331"/>
      <c r="M349" s="331"/>
      <c r="N349" s="331"/>
      <c r="O349" s="331"/>
      <c r="P349" s="331"/>
      <c r="Q349" s="331"/>
      <c r="R349" s="331"/>
      <c r="V349" s="102"/>
      <c r="Y349" s="102"/>
      <c r="AA349" s="102"/>
      <c r="AB349" s="102"/>
      <c r="AC349" s="102"/>
      <c r="AD349" s="102"/>
      <c r="AE349" s="102"/>
      <c r="AF349" s="102"/>
      <c r="AG349" s="208"/>
      <c r="AH349" s="102"/>
      <c r="AI349" s="102"/>
      <c r="AJ349" s="102"/>
      <c r="AK349" s="208"/>
      <c r="AL349" s="102"/>
      <c r="AM349" s="102"/>
      <c r="AN349" s="102"/>
    </row>
    <row r="350" spans="1:40" x14ac:dyDescent="0.25">
      <c r="F350" s="252"/>
      <c r="H350" s="252"/>
      <c r="I350" s="252"/>
      <c r="J350" s="329"/>
      <c r="K350" s="328"/>
      <c r="L350" s="200"/>
      <c r="M350" s="200"/>
      <c r="N350" s="210"/>
      <c r="O350" s="210"/>
      <c r="P350" s="200"/>
      <c r="Q350" s="200"/>
      <c r="R350" s="200"/>
    </row>
    <row r="351" spans="1:40" x14ac:dyDescent="0.25">
      <c r="A351" s="154"/>
      <c r="F351" s="252"/>
      <c r="H351" s="252"/>
      <c r="I351" s="252"/>
      <c r="J351" s="329"/>
      <c r="K351" s="300"/>
      <c r="L351" s="200"/>
      <c r="M351" s="200"/>
      <c r="N351" s="210"/>
      <c r="O351" s="210"/>
      <c r="P351" s="200"/>
      <c r="Q351" s="200"/>
      <c r="R351" s="200"/>
    </row>
    <row r="352" spans="1:40" x14ac:dyDescent="0.25">
      <c r="F352" s="252"/>
      <c r="H352" s="252"/>
      <c r="I352" s="252"/>
      <c r="J352" s="329"/>
      <c r="K352" s="300"/>
      <c r="L352" s="200"/>
      <c r="M352" s="200"/>
      <c r="N352" s="210"/>
      <c r="O352" s="210"/>
      <c r="P352" s="200"/>
      <c r="Q352" s="200"/>
      <c r="R352" s="200"/>
    </row>
    <row r="353" spans="1:40" x14ac:dyDescent="0.25">
      <c r="A353" s="154"/>
      <c r="J353" s="394"/>
    </row>
    <row r="354" spans="1:40" x14ac:dyDescent="0.25">
      <c r="J354" s="394"/>
    </row>
    <row r="355" spans="1:40" x14ac:dyDescent="0.25">
      <c r="J355" s="334"/>
      <c r="K355" s="202"/>
      <c r="Z355" s="202"/>
    </row>
    <row r="356" spans="1:40" x14ac:dyDescent="0.25">
      <c r="H356" s="154"/>
      <c r="I356" s="154"/>
      <c r="J356" s="394"/>
      <c r="Y356" s="154"/>
    </row>
    <row r="357" spans="1:40" x14ac:dyDescent="0.25">
      <c r="J357" s="334"/>
      <c r="K357" s="202"/>
      <c r="Z357" s="202"/>
    </row>
    <row r="358" spans="1:40" x14ac:dyDescent="0.25">
      <c r="J358" s="394"/>
      <c r="L358" s="154"/>
      <c r="M358" s="154"/>
      <c r="AA358" s="154"/>
      <c r="AB358" s="154"/>
    </row>
    <row r="359" spans="1:40" x14ac:dyDescent="0.25">
      <c r="A359" s="202"/>
      <c r="J359" s="394"/>
      <c r="R359" s="154"/>
      <c r="AK359" s="297"/>
      <c r="AL359" s="154"/>
    </row>
    <row r="360" spans="1:40" x14ac:dyDescent="0.25">
      <c r="A360" s="202"/>
      <c r="J360" s="394"/>
      <c r="R360" s="154"/>
      <c r="AK360" s="297"/>
      <c r="AL360" s="154"/>
    </row>
    <row r="361" spans="1:40" x14ac:dyDescent="0.25">
      <c r="A361" s="154"/>
      <c r="J361" s="394"/>
      <c r="R361" s="154"/>
      <c r="AK361" s="297"/>
      <c r="AL361" s="154"/>
    </row>
    <row r="362" spans="1:40" x14ac:dyDescent="0.25">
      <c r="J362" s="394"/>
      <c r="L362" s="154"/>
      <c r="M362" s="154"/>
      <c r="R362" s="202"/>
      <c r="AA362" s="154"/>
      <c r="AB362" s="154"/>
      <c r="AK362" s="209"/>
      <c r="AL362" s="202"/>
    </row>
    <row r="363" spans="1:40" x14ac:dyDescent="0.25">
      <c r="A363" s="102"/>
      <c r="B363" s="102"/>
      <c r="C363" s="102"/>
      <c r="D363" s="102"/>
      <c r="E363" s="102"/>
      <c r="F363" s="102"/>
      <c r="G363" s="102"/>
      <c r="H363" s="102"/>
      <c r="I363" s="102"/>
      <c r="J363" s="335"/>
      <c r="K363" s="102"/>
      <c r="L363" s="102"/>
      <c r="M363" s="102"/>
      <c r="N363" s="102"/>
      <c r="O363" s="102"/>
      <c r="P363" s="102"/>
      <c r="Q363" s="102"/>
      <c r="R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208"/>
      <c r="AH363" s="102"/>
      <c r="AI363" s="102"/>
      <c r="AJ363" s="102"/>
      <c r="AK363" s="208"/>
      <c r="AL363" s="102"/>
      <c r="AM363" s="102"/>
      <c r="AN363" s="102"/>
    </row>
    <row r="364" spans="1:40" x14ac:dyDescent="0.25">
      <c r="J364" s="394"/>
      <c r="L364" s="103"/>
      <c r="M364" s="103"/>
      <c r="N364" s="103"/>
      <c r="O364" s="103"/>
      <c r="R364" s="103"/>
      <c r="AA364" s="103"/>
      <c r="AB364" s="103"/>
      <c r="AC364" s="103"/>
      <c r="AD364" s="103"/>
      <c r="AE364" s="103"/>
      <c r="AF364" s="103"/>
      <c r="AG364" s="185"/>
      <c r="AH364" s="103"/>
      <c r="AK364" s="185"/>
      <c r="AL364" s="103"/>
      <c r="AM364" s="103"/>
      <c r="AN364" s="103"/>
    </row>
    <row r="365" spans="1:40" x14ac:dyDescent="0.25">
      <c r="J365" s="394"/>
      <c r="L365" s="103"/>
      <c r="M365" s="103"/>
      <c r="N365" s="103"/>
      <c r="O365" s="103"/>
      <c r="R365" s="103"/>
      <c r="Z365" s="103"/>
      <c r="AA365" s="103"/>
      <c r="AB365" s="103"/>
      <c r="AC365" s="103"/>
      <c r="AD365" s="103"/>
      <c r="AE365" s="103"/>
      <c r="AF365" s="103"/>
      <c r="AG365" s="185"/>
      <c r="AH365" s="103"/>
      <c r="AK365" s="185"/>
      <c r="AL365" s="103"/>
      <c r="AM365" s="103"/>
      <c r="AN365" s="103"/>
    </row>
    <row r="366" spans="1:40" x14ac:dyDescent="0.25">
      <c r="A366" s="103"/>
      <c r="C366" s="103"/>
      <c r="D366" s="103"/>
      <c r="E366" s="103"/>
      <c r="F366" s="103"/>
      <c r="J366" s="336"/>
      <c r="K366" s="103"/>
      <c r="L366" s="103"/>
      <c r="M366" s="103"/>
      <c r="N366" s="103"/>
      <c r="O366" s="103"/>
      <c r="P366" s="103"/>
      <c r="Q366" s="103"/>
      <c r="R366" s="103"/>
      <c r="T366" s="103"/>
      <c r="U366" s="103"/>
      <c r="V366" s="103"/>
      <c r="Z366" s="103"/>
      <c r="AA366" s="103"/>
      <c r="AB366" s="103"/>
      <c r="AC366" s="103"/>
      <c r="AD366" s="103"/>
      <c r="AE366" s="103"/>
      <c r="AF366" s="103"/>
      <c r="AG366" s="185"/>
      <c r="AH366" s="103"/>
      <c r="AI366" s="103"/>
      <c r="AJ366" s="103"/>
      <c r="AK366" s="185"/>
      <c r="AL366" s="103"/>
      <c r="AM366" s="103"/>
      <c r="AN366" s="103"/>
    </row>
    <row r="367" spans="1:40" x14ac:dyDescent="0.25">
      <c r="A367" s="103"/>
      <c r="C367" s="103"/>
      <c r="D367" s="103"/>
      <c r="E367" s="103"/>
      <c r="F367" s="103"/>
      <c r="H367" s="103"/>
      <c r="I367" s="103"/>
      <c r="J367" s="336"/>
      <c r="K367" s="103"/>
      <c r="L367" s="103"/>
      <c r="M367" s="103"/>
      <c r="N367" s="103"/>
      <c r="O367" s="103"/>
      <c r="P367" s="103"/>
      <c r="Q367" s="103"/>
      <c r="R367" s="103"/>
      <c r="T367" s="103"/>
      <c r="U367" s="103"/>
      <c r="V367" s="103"/>
      <c r="Y367" s="103"/>
      <c r="Z367" s="103"/>
      <c r="AA367" s="103"/>
      <c r="AB367" s="103"/>
      <c r="AC367" s="103"/>
      <c r="AD367" s="103"/>
      <c r="AE367" s="103"/>
      <c r="AF367" s="103"/>
      <c r="AG367" s="185"/>
      <c r="AH367" s="103"/>
      <c r="AI367" s="103"/>
      <c r="AJ367" s="103"/>
      <c r="AK367" s="185"/>
      <c r="AL367" s="103"/>
      <c r="AM367" s="103"/>
      <c r="AN367" s="103"/>
    </row>
    <row r="368" spans="1:40" x14ac:dyDescent="0.25">
      <c r="C368" s="103"/>
      <c r="D368" s="103"/>
      <c r="E368" s="103"/>
      <c r="F368" s="103"/>
      <c r="H368" s="103"/>
      <c r="I368" s="103"/>
      <c r="J368" s="336"/>
      <c r="K368" s="103"/>
      <c r="L368" s="103"/>
      <c r="M368" s="103"/>
      <c r="N368" s="103"/>
      <c r="O368" s="103"/>
      <c r="P368" s="103"/>
      <c r="Q368" s="103"/>
      <c r="R368" s="103"/>
      <c r="T368" s="103"/>
      <c r="U368" s="103"/>
      <c r="V368" s="103"/>
      <c r="Y368" s="103"/>
      <c r="Z368" s="103"/>
      <c r="AA368" s="103"/>
      <c r="AB368" s="103"/>
      <c r="AC368" s="103"/>
      <c r="AD368" s="103"/>
      <c r="AE368" s="103"/>
      <c r="AF368" s="103"/>
      <c r="AG368" s="185"/>
      <c r="AH368" s="103"/>
      <c r="AI368" s="103"/>
      <c r="AJ368" s="103"/>
      <c r="AK368" s="185"/>
      <c r="AL368" s="103"/>
      <c r="AM368" s="103"/>
      <c r="AN368" s="103"/>
    </row>
    <row r="369" spans="1:40" x14ac:dyDescent="0.25">
      <c r="A369" s="102"/>
      <c r="B369" s="102"/>
      <c r="C369" s="102"/>
      <c r="D369" s="102"/>
      <c r="E369" s="102"/>
      <c r="F369" s="102"/>
      <c r="G369" s="102"/>
      <c r="H369" s="102"/>
      <c r="I369" s="102"/>
      <c r="J369" s="335"/>
      <c r="K369" s="102"/>
      <c r="L369" s="102"/>
      <c r="M369" s="102"/>
      <c r="N369" s="102"/>
      <c r="O369" s="102"/>
      <c r="P369" s="102"/>
      <c r="Q369" s="102"/>
      <c r="R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208"/>
      <c r="AH369" s="102"/>
      <c r="AI369" s="102"/>
      <c r="AJ369" s="102"/>
      <c r="AK369" s="208"/>
      <c r="AL369" s="102"/>
      <c r="AM369" s="102"/>
      <c r="AN369" s="102"/>
    </row>
    <row r="370" spans="1:40" x14ac:dyDescent="0.25">
      <c r="H370" s="103"/>
      <c r="I370" s="103"/>
      <c r="J370" s="336"/>
      <c r="K370" s="103"/>
      <c r="L370" s="103"/>
      <c r="M370" s="103"/>
      <c r="N370" s="103"/>
      <c r="O370" s="103"/>
      <c r="P370" s="103"/>
      <c r="Q370" s="103"/>
      <c r="R370" s="103"/>
      <c r="Y370" s="103"/>
      <c r="Z370" s="103"/>
      <c r="AA370" s="103"/>
      <c r="AB370" s="103"/>
      <c r="AC370" s="103"/>
      <c r="AD370" s="103"/>
      <c r="AE370" s="103"/>
      <c r="AF370" s="103"/>
      <c r="AG370" s="185"/>
      <c r="AH370" s="103"/>
      <c r="AI370" s="103"/>
      <c r="AJ370" s="103"/>
      <c r="AK370" s="185"/>
      <c r="AL370" s="103"/>
      <c r="AM370" s="103"/>
      <c r="AN370" s="103"/>
    </row>
    <row r="371" spans="1:40" x14ac:dyDescent="0.25">
      <c r="A371" s="202"/>
      <c r="C371" s="154"/>
      <c r="D371" s="154"/>
      <c r="E371" s="154"/>
      <c r="J371" s="394"/>
      <c r="T371" s="154"/>
      <c r="U371" s="154"/>
    </row>
    <row r="372" spans="1:40" x14ac:dyDescent="0.25">
      <c r="J372" s="394"/>
    </row>
    <row r="373" spans="1:40" x14ac:dyDescent="0.25">
      <c r="A373" s="202"/>
      <c r="C373" s="154"/>
      <c r="J373" s="394"/>
      <c r="T373" s="154"/>
    </row>
    <row r="374" spans="1:40" x14ac:dyDescent="0.25">
      <c r="A374" s="202"/>
      <c r="C374" s="154"/>
      <c r="F374" s="252"/>
      <c r="H374" s="252"/>
      <c r="I374" s="252"/>
      <c r="J374" s="329"/>
      <c r="K374" s="305"/>
      <c r="L374" s="200"/>
      <c r="M374" s="200"/>
      <c r="N374" s="210"/>
      <c r="O374" s="210"/>
      <c r="P374" s="200"/>
      <c r="Q374" s="200"/>
      <c r="R374" s="200"/>
      <c r="T374" s="154"/>
      <c r="V374" s="252"/>
      <c r="Y374" s="252"/>
      <c r="Z374" s="305"/>
      <c r="AA374" s="200"/>
      <c r="AB374" s="200"/>
      <c r="AC374" s="210"/>
      <c r="AD374" s="210"/>
      <c r="AE374" s="200"/>
      <c r="AF374" s="200"/>
      <c r="AG374" s="209"/>
      <c r="AH374" s="201"/>
      <c r="AI374" s="200"/>
      <c r="AJ374" s="200"/>
      <c r="AK374" s="209"/>
      <c r="AL374" s="200"/>
      <c r="AM374" s="210"/>
      <c r="AN374" s="210"/>
    </row>
    <row r="375" spans="1:40" x14ac:dyDescent="0.25">
      <c r="A375" s="202"/>
      <c r="C375" s="154"/>
      <c r="J375" s="394"/>
      <c r="T375" s="154"/>
    </row>
    <row r="376" spans="1:40" x14ac:dyDescent="0.25">
      <c r="A376" s="202"/>
      <c r="C376" s="154"/>
      <c r="F376" s="252"/>
      <c r="H376" s="252"/>
      <c r="I376" s="252"/>
      <c r="J376" s="329"/>
      <c r="K376" s="329"/>
      <c r="L376" s="200"/>
      <c r="M376" s="200"/>
      <c r="N376" s="210"/>
      <c r="O376" s="210"/>
      <c r="P376" s="200"/>
      <c r="Q376" s="200"/>
      <c r="R376" s="200"/>
      <c r="T376" s="154"/>
      <c r="V376" s="200"/>
      <c r="Y376" s="200"/>
      <c r="Z376" s="329"/>
      <c r="AA376" s="200"/>
      <c r="AB376" s="200"/>
      <c r="AC376" s="210"/>
      <c r="AD376" s="210"/>
      <c r="AE376" s="200"/>
      <c r="AF376" s="200"/>
      <c r="AG376" s="209"/>
      <c r="AH376" s="201"/>
      <c r="AI376" s="200"/>
      <c r="AJ376" s="200"/>
      <c r="AK376" s="209"/>
      <c r="AL376" s="200"/>
      <c r="AM376" s="210"/>
      <c r="AN376" s="210"/>
    </row>
    <row r="377" spans="1:40" x14ac:dyDescent="0.25">
      <c r="A377" s="202"/>
      <c r="C377" s="154"/>
      <c r="F377" s="252"/>
      <c r="H377" s="252"/>
      <c r="I377" s="252"/>
      <c r="J377" s="329"/>
      <c r="K377" s="329"/>
      <c r="L377" s="200"/>
      <c r="M377" s="200"/>
      <c r="N377" s="210"/>
      <c r="O377" s="210"/>
      <c r="P377" s="200"/>
      <c r="Q377" s="200"/>
      <c r="R377" s="200"/>
      <c r="T377" s="154"/>
      <c r="V377" s="200"/>
      <c r="Y377" s="200"/>
      <c r="Z377" s="329"/>
      <c r="AA377" s="200"/>
      <c r="AB377" s="200"/>
      <c r="AC377" s="210"/>
      <c r="AD377" s="210"/>
      <c r="AE377" s="200"/>
      <c r="AF377" s="200"/>
      <c r="AG377" s="209"/>
      <c r="AH377" s="201"/>
      <c r="AI377" s="200"/>
      <c r="AJ377" s="200"/>
      <c r="AK377" s="209"/>
      <c r="AL377" s="200"/>
      <c r="AM377" s="210"/>
      <c r="AN377" s="210"/>
    </row>
    <row r="378" spans="1:40" x14ac:dyDescent="0.25">
      <c r="A378" s="202"/>
      <c r="C378" s="154"/>
      <c r="F378" s="252"/>
      <c r="H378" s="252"/>
      <c r="I378" s="252"/>
      <c r="J378" s="329"/>
      <c r="K378" s="329"/>
      <c r="L378" s="200"/>
      <c r="M378" s="200"/>
      <c r="N378" s="210"/>
      <c r="O378" s="210"/>
      <c r="P378" s="200"/>
      <c r="Q378" s="200"/>
      <c r="R378" s="200"/>
      <c r="T378" s="154"/>
      <c r="V378" s="200"/>
      <c r="Y378" s="200"/>
      <c r="Z378" s="329"/>
      <c r="AA378" s="200"/>
      <c r="AB378" s="200"/>
      <c r="AC378" s="210"/>
      <c r="AD378" s="210"/>
      <c r="AE378" s="200"/>
      <c r="AF378" s="200"/>
      <c r="AG378" s="209"/>
      <c r="AH378" s="201"/>
      <c r="AI378" s="200"/>
      <c r="AJ378" s="200"/>
      <c r="AK378" s="209"/>
      <c r="AL378" s="200"/>
      <c r="AM378" s="210"/>
      <c r="AN378" s="210"/>
    </row>
    <row r="379" spans="1:40" x14ac:dyDescent="0.25">
      <c r="A379" s="202"/>
      <c r="C379" s="154"/>
      <c r="F379" s="252"/>
      <c r="H379" s="252"/>
      <c r="I379" s="252"/>
      <c r="J379" s="329"/>
      <c r="K379" s="329"/>
      <c r="L379" s="200"/>
      <c r="M379" s="200"/>
      <c r="N379" s="210"/>
      <c r="O379" s="210"/>
      <c r="P379" s="200"/>
      <c r="Q379" s="200"/>
      <c r="R379" s="200"/>
      <c r="T379" s="154"/>
      <c r="V379" s="200"/>
      <c r="Y379" s="200"/>
      <c r="Z379" s="329"/>
      <c r="AA379" s="200"/>
      <c r="AB379" s="200"/>
      <c r="AC379" s="210"/>
      <c r="AD379" s="210"/>
      <c r="AE379" s="200"/>
      <c r="AF379" s="200"/>
      <c r="AG379" s="209"/>
      <c r="AH379" s="201"/>
      <c r="AI379" s="200"/>
      <c r="AJ379" s="200"/>
      <c r="AK379" s="209"/>
      <c r="AL379" s="200"/>
      <c r="AM379" s="210"/>
      <c r="AN379" s="210"/>
    </row>
    <row r="380" spans="1:40" x14ac:dyDescent="0.25">
      <c r="A380" s="202"/>
      <c r="C380" s="154"/>
      <c r="J380" s="334"/>
      <c r="K380" s="334"/>
      <c r="T380" s="154"/>
      <c r="Z380" s="334"/>
    </row>
    <row r="381" spans="1:40" x14ac:dyDescent="0.25">
      <c r="A381" s="202"/>
      <c r="C381" s="154"/>
      <c r="F381" s="252"/>
      <c r="H381" s="252"/>
      <c r="I381" s="252"/>
      <c r="J381" s="329"/>
      <c r="K381" s="329"/>
      <c r="L381" s="200"/>
      <c r="M381" s="200"/>
      <c r="N381" s="210"/>
      <c r="O381" s="210"/>
      <c r="P381" s="200"/>
      <c r="Q381" s="200"/>
      <c r="R381" s="200"/>
      <c r="T381" s="154"/>
      <c r="V381" s="200"/>
      <c r="Y381" s="200"/>
      <c r="Z381" s="329"/>
      <c r="AA381" s="200"/>
      <c r="AB381" s="200"/>
      <c r="AC381" s="210"/>
      <c r="AD381" s="210"/>
      <c r="AE381" s="200"/>
      <c r="AF381" s="200"/>
      <c r="AG381" s="209"/>
      <c r="AH381" s="201"/>
      <c r="AI381" s="200"/>
      <c r="AJ381" s="200"/>
      <c r="AK381" s="209"/>
      <c r="AL381" s="200"/>
      <c r="AM381" s="210"/>
      <c r="AN381" s="210"/>
    </row>
    <row r="382" spans="1:40" x14ac:dyDescent="0.25">
      <c r="A382" s="202"/>
      <c r="C382" s="154"/>
      <c r="F382" s="252"/>
      <c r="H382" s="252"/>
      <c r="I382" s="252"/>
      <c r="J382" s="329"/>
      <c r="K382" s="329"/>
      <c r="L382" s="200"/>
      <c r="M382" s="200"/>
      <c r="N382" s="210"/>
      <c r="O382" s="210"/>
      <c r="P382" s="200"/>
      <c r="Q382" s="200"/>
      <c r="R382" s="200"/>
      <c r="T382" s="154"/>
      <c r="V382" s="200"/>
      <c r="Y382" s="200"/>
      <c r="Z382" s="329"/>
      <c r="AA382" s="200"/>
      <c r="AB382" s="200"/>
      <c r="AC382" s="210"/>
      <c r="AD382" s="210"/>
      <c r="AE382" s="200"/>
      <c r="AF382" s="200"/>
      <c r="AG382" s="209"/>
      <c r="AH382" s="201"/>
      <c r="AI382" s="200"/>
      <c r="AJ382" s="200"/>
      <c r="AK382" s="209"/>
      <c r="AL382" s="200"/>
      <c r="AM382" s="210"/>
      <c r="AN382" s="210"/>
    </row>
    <row r="383" spans="1:40" x14ac:dyDescent="0.25">
      <c r="A383" s="202"/>
      <c r="C383" s="154"/>
      <c r="F383" s="252"/>
      <c r="H383" s="252"/>
      <c r="I383" s="252"/>
      <c r="J383" s="329"/>
      <c r="K383" s="329"/>
      <c r="L383" s="200"/>
      <c r="M383" s="200"/>
      <c r="N383" s="210"/>
      <c r="O383" s="210"/>
      <c r="P383" s="200"/>
      <c r="Q383" s="200"/>
      <c r="R383" s="200"/>
      <c r="T383" s="154"/>
      <c r="V383" s="200"/>
      <c r="Y383" s="200"/>
      <c r="Z383" s="329"/>
      <c r="AA383" s="200"/>
      <c r="AB383" s="200"/>
      <c r="AC383" s="210"/>
      <c r="AD383" s="210"/>
      <c r="AE383" s="200"/>
      <c r="AF383" s="200"/>
      <c r="AG383" s="209"/>
      <c r="AH383" s="201"/>
      <c r="AI383" s="200"/>
      <c r="AJ383" s="200"/>
      <c r="AK383" s="209"/>
      <c r="AL383" s="200"/>
      <c r="AM383" s="210"/>
      <c r="AN383" s="210"/>
    </row>
    <row r="384" spans="1:40" x14ac:dyDescent="0.25">
      <c r="A384" s="202"/>
      <c r="C384" s="154"/>
      <c r="J384" s="334"/>
      <c r="K384" s="334"/>
      <c r="T384" s="154"/>
      <c r="Z384" s="334"/>
    </row>
    <row r="385" spans="1:40" x14ac:dyDescent="0.25">
      <c r="A385" s="202"/>
      <c r="C385" s="154"/>
      <c r="F385" s="252"/>
      <c r="H385" s="252"/>
      <c r="I385" s="252"/>
      <c r="J385" s="329"/>
      <c r="K385" s="329"/>
      <c r="L385" s="200"/>
      <c r="M385" s="200"/>
      <c r="N385" s="210"/>
      <c r="O385" s="210"/>
      <c r="P385" s="200"/>
      <c r="Q385" s="200"/>
      <c r="R385" s="200"/>
      <c r="T385" s="154"/>
      <c r="V385" s="200"/>
      <c r="Y385" s="200"/>
      <c r="Z385" s="329"/>
      <c r="AA385" s="200"/>
      <c r="AB385" s="200"/>
      <c r="AC385" s="210"/>
      <c r="AD385" s="210"/>
      <c r="AE385" s="200"/>
      <c r="AF385" s="200"/>
      <c r="AG385" s="209"/>
      <c r="AH385" s="201"/>
      <c r="AI385" s="200"/>
      <c r="AJ385" s="200"/>
      <c r="AK385" s="209"/>
      <c r="AL385" s="200"/>
      <c r="AM385" s="210"/>
      <c r="AN385" s="210"/>
    </row>
    <row r="386" spans="1:40" x14ac:dyDescent="0.25">
      <c r="A386" s="202"/>
      <c r="C386" s="154"/>
      <c r="F386" s="252"/>
      <c r="H386" s="252"/>
      <c r="I386" s="252"/>
      <c r="J386" s="329"/>
      <c r="K386" s="329"/>
      <c r="L386" s="200"/>
      <c r="M386" s="200"/>
      <c r="N386" s="210"/>
      <c r="O386" s="210"/>
      <c r="P386" s="200"/>
      <c r="Q386" s="200"/>
      <c r="R386" s="200"/>
      <c r="T386" s="154"/>
      <c r="V386" s="200"/>
      <c r="Y386" s="200"/>
      <c r="Z386" s="329"/>
      <c r="AA386" s="200"/>
      <c r="AB386" s="200"/>
      <c r="AC386" s="210"/>
      <c r="AD386" s="210"/>
      <c r="AE386" s="200"/>
      <c r="AF386" s="200"/>
      <c r="AG386" s="209"/>
      <c r="AH386" s="201"/>
      <c r="AI386" s="200"/>
      <c r="AJ386" s="200"/>
      <c r="AK386" s="209"/>
      <c r="AL386" s="200"/>
      <c r="AM386" s="210"/>
      <c r="AN386" s="210"/>
    </row>
    <row r="387" spans="1:40" x14ac:dyDescent="0.25">
      <c r="A387" s="202"/>
      <c r="C387" s="154"/>
      <c r="J387" s="334"/>
      <c r="K387" s="334"/>
      <c r="T387" s="154"/>
      <c r="Z387" s="334"/>
    </row>
    <row r="388" spans="1:40" x14ac:dyDescent="0.25">
      <c r="A388" s="202"/>
      <c r="C388" s="154"/>
      <c r="F388" s="252"/>
      <c r="H388" s="252"/>
      <c r="I388" s="252"/>
      <c r="J388" s="329"/>
      <c r="K388" s="329"/>
      <c r="L388" s="200"/>
      <c r="M388" s="200"/>
      <c r="N388" s="210"/>
      <c r="O388" s="210"/>
      <c r="P388" s="200"/>
      <c r="Q388" s="200"/>
      <c r="R388" s="200"/>
      <c r="T388" s="154"/>
      <c r="V388" s="200"/>
      <c r="Y388" s="200"/>
      <c r="Z388" s="329"/>
      <c r="AA388" s="200"/>
      <c r="AB388" s="200"/>
      <c r="AC388" s="210"/>
      <c r="AD388" s="210"/>
      <c r="AE388" s="200"/>
      <c r="AF388" s="200"/>
      <c r="AG388" s="209"/>
      <c r="AH388" s="201"/>
      <c r="AI388" s="200"/>
      <c r="AJ388" s="200"/>
      <c r="AK388" s="209"/>
      <c r="AL388" s="200"/>
      <c r="AM388" s="210"/>
      <c r="AN388" s="210"/>
    </row>
    <row r="389" spans="1:40" x14ac:dyDescent="0.25">
      <c r="A389" s="202"/>
      <c r="C389" s="154"/>
      <c r="F389" s="252"/>
      <c r="H389" s="252"/>
      <c r="I389" s="252"/>
      <c r="J389" s="329"/>
      <c r="K389" s="329"/>
      <c r="L389" s="200"/>
      <c r="M389" s="200"/>
      <c r="N389" s="210"/>
      <c r="O389" s="210"/>
      <c r="P389" s="200"/>
      <c r="Q389" s="200"/>
      <c r="R389" s="200"/>
      <c r="T389" s="154"/>
      <c r="V389" s="200"/>
      <c r="Y389" s="200"/>
      <c r="Z389" s="329"/>
      <c r="AA389" s="200"/>
      <c r="AB389" s="200"/>
      <c r="AC389" s="210"/>
      <c r="AD389" s="210"/>
      <c r="AE389" s="200"/>
      <c r="AF389" s="200"/>
      <c r="AG389" s="209"/>
      <c r="AH389" s="201"/>
      <c r="AI389" s="200"/>
      <c r="AJ389" s="200"/>
      <c r="AK389" s="209"/>
      <c r="AL389" s="200"/>
      <c r="AM389" s="210"/>
      <c r="AN389" s="210"/>
    </row>
    <row r="390" spans="1:40" x14ac:dyDescent="0.25">
      <c r="A390" s="202"/>
      <c r="C390" s="154"/>
      <c r="F390" s="252"/>
      <c r="H390" s="252"/>
      <c r="I390" s="252"/>
      <c r="J390" s="329"/>
      <c r="K390" s="329"/>
      <c r="L390" s="200"/>
      <c r="M390" s="200"/>
      <c r="N390" s="210"/>
      <c r="O390" s="210"/>
      <c r="P390" s="200"/>
      <c r="Q390" s="200"/>
      <c r="R390" s="200"/>
      <c r="T390" s="154"/>
      <c r="V390" s="200"/>
      <c r="Y390" s="200"/>
      <c r="Z390" s="329"/>
      <c r="AA390" s="200"/>
      <c r="AB390" s="200"/>
      <c r="AC390" s="210"/>
      <c r="AD390" s="210"/>
      <c r="AE390" s="200"/>
      <c r="AF390" s="200"/>
      <c r="AG390" s="209"/>
      <c r="AH390" s="201"/>
      <c r="AI390" s="200"/>
      <c r="AJ390" s="200"/>
      <c r="AK390" s="209"/>
      <c r="AL390" s="200"/>
      <c r="AM390" s="210"/>
      <c r="AN390" s="210"/>
    </row>
    <row r="391" spans="1:40" x14ac:dyDescent="0.25">
      <c r="F391" s="211"/>
      <c r="H391" s="211"/>
      <c r="I391" s="211"/>
      <c r="J391" s="329"/>
      <c r="K391" s="329"/>
      <c r="L391" s="211"/>
      <c r="M391" s="211"/>
      <c r="N391" s="211"/>
      <c r="O391" s="211"/>
      <c r="P391" s="211"/>
      <c r="Q391" s="211"/>
      <c r="R391" s="211"/>
      <c r="V391" s="211"/>
      <c r="Y391" s="211"/>
      <c r="Z391" s="329"/>
      <c r="AA391" s="211"/>
      <c r="AB391" s="211"/>
      <c r="AC391" s="211"/>
      <c r="AD391" s="211"/>
      <c r="AE391" s="211"/>
      <c r="AF391" s="211"/>
      <c r="AI391" s="211"/>
      <c r="AJ391" s="211"/>
      <c r="AK391" s="212"/>
      <c r="AL391" s="211"/>
    </row>
    <row r="392" spans="1:40" x14ac:dyDescent="0.25">
      <c r="A392" s="202"/>
      <c r="C392" s="103"/>
      <c r="F392" s="200"/>
      <c r="H392" s="200"/>
      <c r="I392" s="200"/>
      <c r="J392" s="334"/>
      <c r="K392" s="334"/>
      <c r="L392" s="200"/>
      <c r="M392" s="200"/>
      <c r="N392" s="201"/>
      <c r="O392" s="201"/>
      <c r="P392" s="200"/>
      <c r="Q392" s="200"/>
      <c r="R392" s="200"/>
      <c r="T392" s="103"/>
      <c r="V392" s="200"/>
      <c r="Y392" s="200"/>
      <c r="Z392" s="334"/>
      <c r="AA392" s="200"/>
      <c r="AB392" s="200"/>
      <c r="AC392" s="200"/>
      <c r="AD392" s="20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F393" s="211"/>
      <c r="H393" s="211"/>
      <c r="I393" s="211"/>
      <c r="J393" s="329"/>
      <c r="K393" s="329"/>
      <c r="L393" s="211"/>
      <c r="M393" s="211"/>
      <c r="N393" s="211"/>
      <c r="O393" s="211"/>
      <c r="P393" s="211"/>
      <c r="Q393" s="211"/>
      <c r="R393" s="211"/>
      <c r="V393" s="211"/>
      <c r="Y393" s="211"/>
      <c r="Z393" s="329"/>
      <c r="AA393" s="211"/>
      <c r="AB393" s="211"/>
      <c r="AC393" s="211"/>
      <c r="AD393" s="211"/>
      <c r="AE393" s="211"/>
      <c r="AF393" s="211"/>
      <c r="AI393" s="211"/>
      <c r="AJ393" s="211"/>
      <c r="AK393" s="212"/>
      <c r="AL393" s="211"/>
    </row>
    <row r="394" spans="1:40" x14ac:dyDescent="0.25">
      <c r="A394" s="202"/>
      <c r="C394" s="154"/>
      <c r="J394" s="334"/>
      <c r="K394" s="334"/>
      <c r="T394" s="154"/>
      <c r="Z394" s="334"/>
    </row>
    <row r="395" spans="1:40" x14ac:dyDescent="0.25">
      <c r="A395" s="202"/>
      <c r="C395" s="154"/>
      <c r="J395" s="334"/>
      <c r="K395" s="334"/>
      <c r="T395" s="154"/>
      <c r="Z395" s="334"/>
    </row>
    <row r="396" spans="1:40" x14ac:dyDescent="0.25">
      <c r="A396" s="202"/>
      <c r="C396" s="154"/>
      <c r="F396" s="252"/>
      <c r="H396" s="252"/>
      <c r="I396" s="252"/>
      <c r="J396" s="329"/>
      <c r="K396" s="329"/>
      <c r="L396" s="200"/>
      <c r="M396" s="200"/>
      <c r="N396" s="210"/>
      <c r="O396" s="210"/>
      <c r="P396" s="200"/>
      <c r="Q396" s="200"/>
      <c r="R396" s="200"/>
      <c r="T396" s="154"/>
      <c r="V396" s="200"/>
      <c r="Y396" s="200"/>
      <c r="Z396" s="329"/>
      <c r="AA396" s="200"/>
      <c r="AB396" s="200"/>
      <c r="AC396" s="210"/>
      <c r="AD396" s="210"/>
      <c r="AE396" s="200"/>
      <c r="AF396" s="200"/>
      <c r="AG396" s="209"/>
      <c r="AH396" s="201"/>
      <c r="AI396" s="200"/>
      <c r="AJ396" s="200"/>
      <c r="AK396" s="209"/>
      <c r="AL396" s="200"/>
      <c r="AM396" s="210"/>
      <c r="AN396" s="210"/>
    </row>
    <row r="397" spans="1:40" x14ac:dyDescent="0.25">
      <c r="A397" s="202"/>
      <c r="C397" s="154"/>
      <c r="F397" s="252"/>
      <c r="H397" s="252"/>
      <c r="I397" s="252"/>
      <c r="J397" s="329"/>
      <c r="K397" s="329"/>
      <c r="L397" s="200"/>
      <c r="M397" s="200"/>
      <c r="N397" s="210"/>
      <c r="O397" s="210"/>
      <c r="P397" s="200"/>
      <c r="Q397" s="200"/>
      <c r="R397" s="200"/>
      <c r="T397" s="154"/>
      <c r="V397" s="200"/>
      <c r="Y397" s="200"/>
      <c r="Z397" s="329"/>
      <c r="AA397" s="200"/>
      <c r="AB397" s="200"/>
      <c r="AC397" s="210"/>
      <c r="AD397" s="210"/>
      <c r="AE397" s="200"/>
      <c r="AF397" s="200"/>
      <c r="AG397" s="209"/>
      <c r="AH397" s="201"/>
      <c r="AI397" s="200"/>
      <c r="AJ397" s="200"/>
      <c r="AK397" s="209"/>
      <c r="AL397" s="200"/>
      <c r="AM397" s="210"/>
      <c r="AN397" s="210"/>
    </row>
    <row r="398" spans="1:40" x14ac:dyDescent="0.25">
      <c r="A398" s="202"/>
      <c r="C398" s="154"/>
      <c r="F398" s="252"/>
      <c r="H398" s="252"/>
      <c r="I398" s="252"/>
      <c r="J398" s="329"/>
      <c r="K398" s="329"/>
      <c r="L398" s="200"/>
      <c r="M398" s="200"/>
      <c r="N398" s="210"/>
      <c r="O398" s="210"/>
      <c r="P398" s="200"/>
      <c r="Q398" s="200"/>
      <c r="R398" s="200"/>
      <c r="T398" s="154"/>
      <c r="V398" s="200"/>
      <c r="Y398" s="200"/>
      <c r="Z398" s="329"/>
      <c r="AA398" s="200"/>
      <c r="AB398" s="200"/>
      <c r="AC398" s="210"/>
      <c r="AD398" s="210"/>
      <c r="AE398" s="200"/>
      <c r="AF398" s="200"/>
      <c r="AG398" s="209"/>
      <c r="AH398" s="201"/>
      <c r="AI398" s="200"/>
      <c r="AJ398" s="200"/>
      <c r="AK398" s="209"/>
      <c r="AL398" s="200"/>
      <c r="AM398" s="210"/>
      <c r="AN398" s="210"/>
    </row>
    <row r="399" spans="1:40" x14ac:dyDescent="0.25">
      <c r="A399" s="202"/>
      <c r="C399" s="154"/>
      <c r="F399" s="252"/>
      <c r="H399" s="252"/>
      <c r="I399" s="252"/>
      <c r="J399" s="329"/>
      <c r="K399" s="329"/>
      <c r="L399" s="200"/>
      <c r="M399" s="200"/>
      <c r="N399" s="210"/>
      <c r="O399" s="210"/>
      <c r="P399" s="200"/>
      <c r="Q399" s="200"/>
      <c r="R399" s="200"/>
      <c r="T399" s="154"/>
      <c r="V399" s="200"/>
      <c r="Y399" s="200"/>
      <c r="Z399" s="329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A400" s="202"/>
      <c r="C400" s="154"/>
      <c r="F400" s="252"/>
      <c r="H400" s="252"/>
      <c r="I400" s="252"/>
      <c r="J400" s="329"/>
      <c r="K400" s="329"/>
      <c r="L400" s="200"/>
      <c r="M400" s="200"/>
      <c r="N400" s="210"/>
      <c r="O400" s="210"/>
      <c r="P400" s="200"/>
      <c r="Q400" s="200"/>
      <c r="R400" s="200"/>
      <c r="T400" s="154"/>
      <c r="V400" s="200"/>
      <c r="Y400" s="200"/>
      <c r="Z400" s="329"/>
      <c r="AA400" s="200"/>
      <c r="AB400" s="200"/>
      <c r="AC400" s="210"/>
      <c r="AD400" s="210"/>
      <c r="AE400" s="200"/>
      <c r="AF400" s="200"/>
      <c r="AG400" s="209"/>
      <c r="AH400" s="201"/>
      <c r="AI400" s="200"/>
      <c r="AJ400" s="200"/>
      <c r="AK400" s="209"/>
      <c r="AL400" s="200"/>
      <c r="AM400" s="210"/>
      <c r="AN400" s="210"/>
    </row>
    <row r="401" spans="1:40" x14ac:dyDescent="0.25">
      <c r="A401" s="202"/>
      <c r="C401" s="154"/>
      <c r="F401" s="252"/>
      <c r="H401" s="252"/>
      <c r="I401" s="252"/>
      <c r="J401" s="329"/>
      <c r="K401" s="329"/>
      <c r="L401" s="200"/>
      <c r="M401" s="200"/>
      <c r="N401" s="210"/>
      <c r="O401" s="210"/>
      <c r="P401" s="200"/>
      <c r="Q401" s="200"/>
      <c r="R401" s="200"/>
      <c r="T401" s="154"/>
      <c r="V401" s="200"/>
      <c r="Y401" s="200"/>
      <c r="Z401" s="329"/>
      <c r="AA401" s="200"/>
      <c r="AB401" s="200"/>
      <c r="AC401" s="210"/>
      <c r="AD401" s="210"/>
      <c r="AE401" s="200"/>
      <c r="AF401" s="200"/>
      <c r="AG401" s="209"/>
      <c r="AH401" s="201"/>
      <c r="AI401" s="200"/>
      <c r="AJ401" s="200"/>
      <c r="AK401" s="209"/>
      <c r="AL401" s="200"/>
      <c r="AM401" s="210"/>
      <c r="AN401" s="210"/>
    </row>
    <row r="402" spans="1:40" x14ac:dyDescent="0.25">
      <c r="A402" s="202"/>
      <c r="C402" s="154"/>
      <c r="F402" s="252"/>
      <c r="H402" s="252"/>
      <c r="I402" s="252"/>
      <c r="J402" s="329"/>
      <c r="K402" s="329"/>
      <c r="L402" s="200"/>
      <c r="M402" s="200"/>
      <c r="N402" s="210"/>
      <c r="O402" s="210"/>
      <c r="P402" s="200"/>
      <c r="Q402" s="200"/>
      <c r="R402" s="200"/>
      <c r="T402" s="154"/>
      <c r="V402" s="200"/>
      <c r="Y402" s="200"/>
      <c r="Z402" s="329"/>
      <c r="AA402" s="200"/>
      <c r="AB402" s="200"/>
      <c r="AC402" s="210"/>
      <c r="AD402" s="210"/>
      <c r="AE402" s="200"/>
      <c r="AF402" s="200"/>
      <c r="AG402" s="209"/>
      <c r="AH402" s="201"/>
      <c r="AI402" s="200"/>
      <c r="AJ402" s="200"/>
      <c r="AK402" s="209"/>
      <c r="AL402" s="200"/>
      <c r="AM402" s="210"/>
      <c r="AN402" s="210"/>
    </row>
    <row r="403" spans="1:40" x14ac:dyDescent="0.25">
      <c r="A403" s="202"/>
      <c r="C403" s="154"/>
      <c r="J403" s="334"/>
      <c r="K403" s="334"/>
      <c r="T403" s="154"/>
      <c r="Z403" s="334"/>
    </row>
    <row r="404" spans="1:40" x14ac:dyDescent="0.25">
      <c r="A404" s="202"/>
      <c r="C404" s="154"/>
      <c r="F404" s="252"/>
      <c r="H404" s="252"/>
      <c r="I404" s="252"/>
      <c r="J404" s="329"/>
      <c r="K404" s="329"/>
      <c r="L404" s="200"/>
      <c r="M404" s="200"/>
      <c r="N404" s="210"/>
      <c r="O404" s="210"/>
      <c r="P404" s="200"/>
      <c r="Q404" s="200"/>
      <c r="R404" s="200"/>
      <c r="T404" s="154"/>
      <c r="V404" s="200"/>
      <c r="Y404" s="200"/>
      <c r="Z404" s="329"/>
      <c r="AA404" s="200"/>
      <c r="AB404" s="200"/>
      <c r="AC404" s="210"/>
      <c r="AD404" s="210"/>
      <c r="AE404" s="200"/>
      <c r="AF404" s="200"/>
      <c r="AG404" s="209"/>
      <c r="AH404" s="201"/>
      <c r="AI404" s="200"/>
      <c r="AJ404" s="200"/>
      <c r="AK404" s="209"/>
      <c r="AL404" s="200"/>
      <c r="AM404" s="210"/>
      <c r="AN404" s="210"/>
    </row>
    <row r="405" spans="1:40" x14ac:dyDescent="0.25">
      <c r="A405" s="202"/>
      <c r="C405" s="154"/>
      <c r="F405" s="252"/>
      <c r="H405" s="252"/>
      <c r="I405" s="252"/>
      <c r="J405" s="329"/>
      <c r="K405" s="329"/>
      <c r="L405" s="200"/>
      <c r="M405" s="200"/>
      <c r="N405" s="210"/>
      <c r="O405" s="210"/>
      <c r="P405" s="200"/>
      <c r="Q405" s="200"/>
      <c r="R405" s="200"/>
      <c r="T405" s="154"/>
      <c r="V405" s="200"/>
      <c r="Y405" s="200"/>
      <c r="Z405" s="329"/>
      <c r="AA405" s="200"/>
      <c r="AB405" s="200"/>
      <c r="AC405" s="210"/>
      <c r="AD405" s="210"/>
      <c r="AE405" s="200"/>
      <c r="AF405" s="200"/>
      <c r="AG405" s="209"/>
      <c r="AH405" s="201"/>
      <c r="AI405" s="200"/>
      <c r="AJ405" s="200"/>
      <c r="AK405" s="209"/>
      <c r="AL405" s="200"/>
      <c r="AM405" s="210"/>
      <c r="AN405" s="210"/>
    </row>
    <row r="406" spans="1:40" x14ac:dyDescent="0.25">
      <c r="A406" s="202"/>
      <c r="C406" s="154"/>
      <c r="F406" s="252"/>
      <c r="H406" s="252"/>
      <c r="I406" s="252"/>
      <c r="J406" s="329"/>
      <c r="K406" s="329"/>
      <c r="L406" s="200"/>
      <c r="M406" s="200"/>
      <c r="N406" s="210"/>
      <c r="O406" s="210"/>
      <c r="P406" s="200"/>
      <c r="Q406" s="200"/>
      <c r="R406" s="200"/>
      <c r="T406" s="154"/>
      <c r="V406" s="200"/>
      <c r="Y406" s="200"/>
      <c r="Z406" s="329"/>
      <c r="AA406" s="200"/>
      <c r="AB406" s="200"/>
      <c r="AC406" s="210"/>
      <c r="AD406" s="210"/>
      <c r="AE406" s="200"/>
      <c r="AF406" s="200"/>
      <c r="AG406" s="209"/>
      <c r="AH406" s="201"/>
      <c r="AI406" s="200"/>
      <c r="AJ406" s="200"/>
      <c r="AK406" s="209"/>
      <c r="AL406" s="200"/>
      <c r="AM406" s="210"/>
      <c r="AN406" s="210"/>
    </row>
    <row r="407" spans="1:40" x14ac:dyDescent="0.25">
      <c r="A407" s="202"/>
      <c r="C407" s="154"/>
      <c r="F407" s="252"/>
      <c r="H407" s="252"/>
      <c r="I407" s="252"/>
      <c r="J407" s="329"/>
      <c r="K407" s="329"/>
      <c r="L407" s="200"/>
      <c r="M407" s="200"/>
      <c r="N407" s="210"/>
      <c r="O407" s="210"/>
      <c r="P407" s="200"/>
      <c r="Q407" s="200"/>
      <c r="R407" s="200"/>
      <c r="T407" s="154"/>
      <c r="V407" s="200"/>
      <c r="Y407" s="200"/>
      <c r="Z407" s="329"/>
      <c r="AA407" s="200"/>
      <c r="AB407" s="200"/>
      <c r="AC407" s="210"/>
      <c r="AD407" s="210"/>
      <c r="AE407" s="200"/>
      <c r="AF407" s="200"/>
      <c r="AG407" s="209"/>
      <c r="AH407" s="201"/>
      <c r="AI407" s="200"/>
      <c r="AJ407" s="200"/>
      <c r="AK407" s="209"/>
      <c r="AL407" s="200"/>
      <c r="AM407" s="210"/>
      <c r="AN407" s="210"/>
    </row>
    <row r="408" spans="1:40" x14ac:dyDescent="0.25">
      <c r="A408" s="202"/>
      <c r="C408" s="154"/>
      <c r="J408" s="334"/>
      <c r="K408" s="334"/>
      <c r="T408" s="154"/>
      <c r="Z408" s="334"/>
    </row>
    <row r="409" spans="1:40" x14ac:dyDescent="0.25">
      <c r="A409" s="202"/>
      <c r="C409" s="154"/>
      <c r="F409" s="252"/>
      <c r="H409" s="252"/>
      <c r="I409" s="252"/>
      <c r="J409" s="329"/>
      <c r="K409" s="329"/>
      <c r="L409" s="200"/>
      <c r="M409" s="200"/>
      <c r="N409" s="210"/>
      <c r="O409" s="210"/>
      <c r="P409" s="200"/>
      <c r="Q409" s="200"/>
      <c r="R409" s="200"/>
      <c r="T409" s="154"/>
      <c r="V409" s="200"/>
      <c r="Y409" s="200"/>
      <c r="Z409" s="329"/>
      <c r="AA409" s="200"/>
      <c r="AB409" s="200"/>
      <c r="AC409" s="210"/>
      <c r="AD409" s="210"/>
      <c r="AE409" s="200"/>
      <c r="AF409" s="200"/>
      <c r="AG409" s="209"/>
      <c r="AH409" s="201"/>
      <c r="AI409" s="200"/>
      <c r="AJ409" s="200"/>
      <c r="AK409" s="209"/>
      <c r="AL409" s="200"/>
      <c r="AM409" s="210"/>
      <c r="AN409" s="210"/>
    </row>
    <row r="410" spans="1:40" x14ac:dyDescent="0.25">
      <c r="A410" s="202"/>
      <c r="C410" s="154"/>
      <c r="F410" s="252"/>
      <c r="H410" s="252"/>
      <c r="I410" s="252"/>
      <c r="J410" s="329"/>
      <c r="K410" s="329"/>
      <c r="L410" s="200"/>
      <c r="M410" s="200"/>
      <c r="N410" s="210"/>
      <c r="O410" s="210"/>
      <c r="P410" s="200"/>
      <c r="Q410" s="200"/>
      <c r="R410" s="200"/>
      <c r="T410" s="154"/>
      <c r="V410" s="200"/>
      <c r="Y410" s="200"/>
      <c r="Z410" s="329"/>
      <c r="AA410" s="200"/>
      <c r="AB410" s="200"/>
      <c r="AC410" s="210"/>
      <c r="AD410" s="210"/>
      <c r="AE410" s="200"/>
      <c r="AF410" s="200"/>
      <c r="AG410" s="209"/>
      <c r="AH410" s="201"/>
      <c r="AI410" s="200"/>
      <c r="AJ410" s="200"/>
      <c r="AK410" s="209"/>
      <c r="AL410" s="200"/>
      <c r="AM410" s="210"/>
      <c r="AN410" s="210"/>
    </row>
    <row r="411" spans="1:40" x14ac:dyDescent="0.25">
      <c r="A411" s="202"/>
      <c r="C411" s="154"/>
      <c r="F411" s="252"/>
      <c r="H411" s="252"/>
      <c r="I411" s="252"/>
      <c r="J411" s="329"/>
      <c r="K411" s="329"/>
      <c r="L411" s="200"/>
      <c r="M411" s="200"/>
      <c r="N411" s="210"/>
      <c r="O411" s="210"/>
      <c r="P411" s="200"/>
      <c r="Q411" s="200"/>
      <c r="R411" s="200"/>
      <c r="T411" s="154"/>
      <c r="V411" s="200"/>
      <c r="Y411" s="200"/>
      <c r="Z411" s="329"/>
      <c r="AA411" s="200"/>
      <c r="AB411" s="200"/>
      <c r="AC411" s="210"/>
      <c r="AD411" s="210"/>
      <c r="AE411" s="200"/>
      <c r="AF411" s="200"/>
      <c r="AG411" s="209"/>
      <c r="AH411" s="201"/>
      <c r="AI411" s="200"/>
      <c r="AJ411" s="200"/>
      <c r="AK411" s="209"/>
      <c r="AL411" s="200"/>
      <c r="AM411" s="210"/>
      <c r="AN411" s="210"/>
    </row>
    <row r="412" spans="1:40" x14ac:dyDescent="0.25">
      <c r="A412" s="202"/>
      <c r="C412" s="154"/>
      <c r="F412" s="252"/>
      <c r="H412" s="252"/>
      <c r="I412" s="252"/>
      <c r="J412" s="329"/>
      <c r="K412" s="329"/>
      <c r="L412" s="200"/>
      <c r="M412" s="200"/>
      <c r="N412" s="210"/>
      <c r="O412" s="210"/>
      <c r="P412" s="200"/>
      <c r="Q412" s="200"/>
      <c r="R412" s="200"/>
      <c r="T412" s="154"/>
      <c r="V412" s="200"/>
      <c r="Y412" s="200"/>
      <c r="Z412" s="329"/>
      <c r="AA412" s="200"/>
      <c r="AB412" s="200"/>
      <c r="AC412" s="210"/>
      <c r="AD412" s="210"/>
      <c r="AE412" s="200"/>
      <c r="AF412" s="200"/>
      <c r="AG412" s="209"/>
      <c r="AH412" s="201"/>
      <c r="AI412" s="200"/>
      <c r="AJ412" s="200"/>
      <c r="AK412" s="209"/>
      <c r="AL412" s="200"/>
      <c r="AM412" s="210"/>
      <c r="AN412" s="210"/>
    </row>
    <row r="413" spans="1:40" x14ac:dyDescent="0.25">
      <c r="A413" s="202"/>
      <c r="C413" s="154"/>
      <c r="F413" s="252"/>
      <c r="H413" s="252"/>
      <c r="I413" s="252"/>
      <c r="J413" s="329"/>
      <c r="K413" s="329"/>
      <c r="L413" s="200"/>
      <c r="M413" s="200"/>
      <c r="N413" s="210"/>
      <c r="O413" s="210"/>
      <c r="P413" s="200"/>
      <c r="Q413" s="200"/>
      <c r="R413" s="200"/>
      <c r="T413" s="154"/>
      <c r="V413" s="200"/>
      <c r="Y413" s="200"/>
      <c r="Z413" s="329"/>
      <c r="AA413" s="200"/>
      <c r="AB413" s="200"/>
      <c r="AC413" s="210"/>
      <c r="AD413" s="210"/>
      <c r="AE413" s="200"/>
      <c r="AF413" s="200"/>
      <c r="AG413" s="209"/>
      <c r="AH413" s="201"/>
      <c r="AI413" s="200"/>
      <c r="AJ413" s="200"/>
      <c r="AK413" s="209"/>
      <c r="AL413" s="200"/>
      <c r="AM413" s="210"/>
      <c r="AN413" s="210"/>
    </row>
    <row r="414" spans="1:40" x14ac:dyDescent="0.25">
      <c r="F414" s="211"/>
      <c r="H414" s="211"/>
      <c r="I414" s="211"/>
      <c r="J414" s="329"/>
      <c r="K414" s="305"/>
      <c r="L414" s="211"/>
      <c r="M414" s="211"/>
      <c r="N414" s="211"/>
      <c r="O414" s="211"/>
      <c r="P414" s="211"/>
      <c r="Q414" s="211"/>
      <c r="R414" s="211"/>
      <c r="V414" s="211"/>
      <c r="Y414" s="211"/>
      <c r="Z414" s="329"/>
      <c r="AA414" s="211"/>
      <c r="AB414" s="211"/>
      <c r="AC414" s="211"/>
      <c r="AD414" s="211"/>
      <c r="AE414" s="211"/>
      <c r="AF414" s="211"/>
      <c r="AI414" s="211"/>
      <c r="AJ414" s="211"/>
      <c r="AK414" s="212"/>
      <c r="AL414" s="211"/>
    </row>
    <row r="415" spans="1:40" x14ac:dyDescent="0.25">
      <c r="A415" s="202"/>
      <c r="C415" s="154"/>
      <c r="F415" s="200"/>
      <c r="H415" s="200"/>
      <c r="I415" s="200"/>
      <c r="J415" s="394"/>
      <c r="L415" s="200"/>
      <c r="M415" s="200"/>
      <c r="N415" s="201"/>
      <c r="O415" s="201"/>
      <c r="P415" s="200"/>
      <c r="Q415" s="200"/>
      <c r="R415" s="200"/>
      <c r="T415" s="154"/>
      <c r="V415" s="200"/>
      <c r="Y415" s="200"/>
      <c r="AA415" s="200"/>
      <c r="AB415" s="200"/>
      <c r="AC415" s="210"/>
      <c r="AD415" s="210"/>
      <c r="AE415" s="200"/>
      <c r="AF415" s="200"/>
      <c r="AG415" s="209"/>
      <c r="AH415" s="201"/>
      <c r="AI415" s="200"/>
      <c r="AJ415" s="200"/>
      <c r="AK415" s="209"/>
      <c r="AL415" s="200"/>
      <c r="AM415" s="210"/>
      <c r="AN415" s="210"/>
    </row>
    <row r="416" spans="1:40" x14ac:dyDescent="0.25">
      <c r="F416" s="211"/>
      <c r="H416" s="211"/>
      <c r="I416" s="211"/>
      <c r="J416" s="329"/>
      <c r="K416" s="305"/>
      <c r="L416" s="211"/>
      <c r="M416" s="211"/>
      <c r="N416" s="211"/>
      <c r="O416" s="211"/>
      <c r="P416" s="211"/>
      <c r="Q416" s="211"/>
      <c r="R416" s="211"/>
      <c r="V416" s="211"/>
      <c r="Y416" s="211"/>
      <c r="Z416" s="305"/>
      <c r="AA416" s="211"/>
      <c r="AB416" s="211"/>
      <c r="AC416" s="211"/>
      <c r="AD416" s="211"/>
      <c r="AE416" s="211"/>
      <c r="AF416" s="211"/>
      <c r="AI416" s="211"/>
      <c r="AJ416" s="211"/>
      <c r="AK416" s="212"/>
      <c r="AL416" s="211"/>
    </row>
    <row r="417" spans="1:40" x14ac:dyDescent="0.25">
      <c r="A417" s="202"/>
      <c r="C417" s="154"/>
      <c r="J417" s="394"/>
      <c r="T417" s="154"/>
    </row>
    <row r="418" spans="1:40" x14ac:dyDescent="0.25">
      <c r="A418" s="202"/>
      <c r="C418" s="154"/>
      <c r="F418" s="252"/>
      <c r="H418" s="252"/>
      <c r="I418" s="252"/>
      <c r="J418" s="329"/>
      <c r="K418" s="300"/>
      <c r="L418" s="200"/>
      <c r="M418" s="200"/>
      <c r="N418" s="210"/>
      <c r="O418" s="210"/>
      <c r="P418" s="200"/>
      <c r="Q418" s="200"/>
      <c r="R418" s="200"/>
      <c r="T418" s="154"/>
      <c r="V418" s="200"/>
      <c r="Y418" s="200"/>
      <c r="Z418" s="300"/>
      <c r="AA418" s="200"/>
      <c r="AB418" s="200"/>
      <c r="AC418" s="210"/>
      <c r="AD418" s="210"/>
      <c r="AE418" s="200"/>
      <c r="AF418" s="200"/>
      <c r="AG418" s="209"/>
      <c r="AH418" s="201"/>
      <c r="AI418" s="200"/>
      <c r="AJ418" s="200"/>
      <c r="AK418" s="209"/>
      <c r="AL418" s="200"/>
      <c r="AM418" s="210"/>
      <c r="AN418" s="210"/>
    </row>
    <row r="419" spans="1:40" x14ac:dyDescent="0.25">
      <c r="A419" s="202"/>
      <c r="C419" s="154"/>
      <c r="F419" s="252"/>
      <c r="H419" s="252"/>
      <c r="I419" s="252"/>
      <c r="J419" s="329"/>
      <c r="K419" s="300"/>
      <c r="L419" s="200"/>
      <c r="M419" s="200"/>
      <c r="N419" s="210"/>
      <c r="O419" s="210"/>
      <c r="P419" s="200"/>
      <c r="Q419" s="200"/>
      <c r="R419" s="200"/>
      <c r="T419" s="154"/>
      <c r="V419" s="200"/>
      <c r="Y419" s="200"/>
      <c r="Z419" s="300"/>
      <c r="AA419" s="200"/>
      <c r="AB419" s="200"/>
      <c r="AC419" s="210"/>
      <c r="AD419" s="210"/>
      <c r="AE419" s="200"/>
      <c r="AF419" s="200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F420" s="211"/>
      <c r="H420" s="200"/>
      <c r="I420" s="200"/>
      <c r="J420" s="329"/>
      <c r="K420" s="305"/>
      <c r="L420" s="211"/>
      <c r="M420" s="211"/>
      <c r="N420" s="211"/>
      <c r="O420" s="211"/>
      <c r="P420" s="211"/>
      <c r="Q420" s="211"/>
      <c r="R420" s="211"/>
      <c r="V420" s="211"/>
      <c r="Y420" s="200"/>
      <c r="Z420" s="305"/>
      <c r="AA420" s="211"/>
      <c r="AB420" s="211"/>
      <c r="AC420" s="211"/>
      <c r="AD420" s="211"/>
      <c r="AE420" s="211"/>
      <c r="AF420" s="211"/>
      <c r="AI420" s="211"/>
      <c r="AJ420" s="211"/>
      <c r="AK420" s="212"/>
      <c r="AL420" s="211"/>
    </row>
    <row r="421" spans="1:40" x14ac:dyDescent="0.25">
      <c r="F421" s="200"/>
      <c r="H421" s="200"/>
      <c r="I421" s="200"/>
      <c r="J421" s="329"/>
      <c r="K421" s="305"/>
      <c r="L421" s="200"/>
      <c r="M421" s="200"/>
      <c r="N421" s="200"/>
      <c r="O421" s="200"/>
      <c r="P421" s="200"/>
      <c r="Q421" s="200"/>
      <c r="R421" s="200"/>
      <c r="V421" s="200"/>
      <c r="Y421" s="200"/>
      <c r="Z421" s="305"/>
      <c r="AA421" s="200"/>
      <c r="AB421" s="200"/>
      <c r="AC421" s="200"/>
      <c r="AD421" s="200"/>
      <c r="AE421" s="200"/>
      <c r="AF421" s="200"/>
      <c r="AI421" s="200"/>
      <c r="AJ421" s="200"/>
      <c r="AK421" s="209"/>
      <c r="AL421" s="200"/>
    </row>
    <row r="422" spans="1:40" x14ac:dyDescent="0.25">
      <c r="A422" s="202"/>
      <c r="C422" s="154"/>
      <c r="F422" s="200"/>
      <c r="H422" s="200"/>
      <c r="I422" s="200"/>
      <c r="J422" s="394"/>
      <c r="L422" s="200"/>
      <c r="M422" s="200"/>
      <c r="N422" s="210"/>
      <c r="O422" s="210"/>
      <c r="P422" s="200"/>
      <c r="Q422" s="200"/>
      <c r="R422" s="200"/>
      <c r="T422" s="154"/>
      <c r="V422" s="200"/>
      <c r="Y422" s="200"/>
      <c r="AA422" s="200"/>
      <c r="AB422" s="200"/>
      <c r="AC422" s="210"/>
      <c r="AD422" s="210"/>
      <c r="AE422" s="200"/>
      <c r="AF422" s="200"/>
      <c r="AG422" s="209"/>
      <c r="AH422" s="201"/>
      <c r="AI422" s="252"/>
      <c r="AJ422" s="252"/>
      <c r="AK422" s="209"/>
      <c r="AL422" s="200"/>
      <c r="AM422" s="210"/>
      <c r="AN422" s="210"/>
    </row>
    <row r="423" spans="1:40" x14ac:dyDescent="0.25">
      <c r="H423" s="211"/>
      <c r="I423" s="211"/>
      <c r="J423" s="329"/>
      <c r="K423" s="305"/>
      <c r="L423" s="211"/>
      <c r="M423" s="211"/>
      <c r="N423" s="211"/>
      <c r="O423" s="211"/>
      <c r="P423" s="211"/>
      <c r="Q423" s="211"/>
      <c r="R423" s="211"/>
      <c r="V423" s="211"/>
      <c r="Y423" s="211"/>
      <c r="Z423" s="305"/>
      <c r="AA423" s="211"/>
      <c r="AB423" s="211"/>
      <c r="AC423" s="211"/>
      <c r="AD423" s="211"/>
      <c r="AE423" s="211"/>
      <c r="AF423" s="211"/>
      <c r="AI423" s="211"/>
      <c r="AJ423" s="211"/>
      <c r="AK423" s="212"/>
      <c r="AL423" s="211"/>
    </row>
    <row r="424" spans="1:40" x14ac:dyDescent="0.25">
      <c r="F424" s="211"/>
      <c r="J424" s="394"/>
    </row>
    <row r="425" spans="1:40" x14ac:dyDescent="0.25">
      <c r="A425" s="154"/>
      <c r="J425" s="394"/>
      <c r="T425" s="154"/>
    </row>
    <row r="426" spans="1:40" x14ac:dyDescent="0.25">
      <c r="A426" s="154"/>
      <c r="J426" s="394"/>
      <c r="T426" s="154"/>
    </row>
    <row r="427" spans="1:40" x14ac:dyDescent="0.25">
      <c r="A427" s="154"/>
      <c r="J427" s="394"/>
      <c r="T427" s="154"/>
    </row>
    <row r="428" spans="1:40" x14ac:dyDescent="0.25">
      <c r="A428" s="154"/>
      <c r="J428" s="394"/>
      <c r="T428" s="154"/>
    </row>
    <row r="429" spans="1:40" x14ac:dyDescent="0.25">
      <c r="A429" s="154"/>
      <c r="J429" s="394"/>
      <c r="T429" s="154"/>
    </row>
    <row r="430" spans="1:40" x14ac:dyDescent="0.25">
      <c r="A430" s="154"/>
      <c r="J430" s="394"/>
      <c r="T430" s="154"/>
    </row>
    <row r="431" spans="1:40" x14ac:dyDescent="0.25">
      <c r="A431" s="154"/>
      <c r="J431" s="394"/>
      <c r="T431" s="154"/>
    </row>
    <row r="432" spans="1:40" x14ac:dyDescent="0.25">
      <c r="A432" s="154"/>
      <c r="J432" s="394"/>
      <c r="T432" s="154"/>
    </row>
    <row r="433" spans="1:40" x14ac:dyDescent="0.25">
      <c r="A433" s="154"/>
      <c r="J433" s="394"/>
      <c r="T433" s="154"/>
    </row>
    <row r="434" spans="1:40" x14ac:dyDescent="0.25">
      <c r="J434" s="394"/>
    </row>
    <row r="435" spans="1:40" x14ac:dyDescent="0.25">
      <c r="A435" s="154"/>
      <c r="J435" s="394"/>
    </row>
    <row r="436" spans="1:40" x14ac:dyDescent="0.25">
      <c r="J436" s="334"/>
      <c r="K436" s="202"/>
      <c r="Z436" s="202"/>
    </row>
    <row r="437" spans="1:40" x14ac:dyDescent="0.25">
      <c r="H437" s="154"/>
      <c r="I437" s="154"/>
      <c r="J437" s="394"/>
      <c r="Y437" s="154"/>
    </row>
    <row r="438" spans="1:40" x14ac:dyDescent="0.25">
      <c r="J438" s="334"/>
      <c r="K438" s="202"/>
      <c r="Z438" s="202"/>
    </row>
    <row r="439" spans="1:40" x14ac:dyDescent="0.25">
      <c r="J439" s="394"/>
      <c r="L439" s="154"/>
      <c r="M439" s="154"/>
      <c r="AA439" s="154"/>
      <c r="AB439" s="154"/>
    </row>
    <row r="440" spans="1:40" x14ac:dyDescent="0.25">
      <c r="A440" s="202"/>
      <c r="J440" s="394"/>
      <c r="R440" s="154"/>
      <c r="AK440" s="297"/>
      <c r="AL440" s="154"/>
    </row>
    <row r="441" spans="1:40" x14ac:dyDescent="0.25">
      <c r="A441" s="202"/>
      <c r="J441" s="394"/>
      <c r="R441" s="154"/>
      <c r="AK441" s="297"/>
      <c r="AL441" s="154"/>
    </row>
    <row r="442" spans="1:40" x14ac:dyDescent="0.25">
      <c r="A442" s="154"/>
      <c r="J442" s="394"/>
      <c r="R442" s="154"/>
      <c r="AK442" s="297"/>
      <c r="AL442" s="154"/>
    </row>
    <row r="443" spans="1:40" x14ac:dyDescent="0.25">
      <c r="J443" s="394"/>
      <c r="L443" s="154"/>
      <c r="M443" s="154"/>
      <c r="R443" s="202"/>
      <c r="AA443" s="154"/>
      <c r="AB443" s="154"/>
      <c r="AK443" s="209"/>
      <c r="AL443" s="202"/>
    </row>
    <row r="444" spans="1:40" x14ac:dyDescent="0.25">
      <c r="A444" s="102"/>
      <c r="B444" s="102"/>
      <c r="C444" s="102"/>
      <c r="D444" s="102"/>
      <c r="E444" s="102"/>
      <c r="F444" s="102"/>
      <c r="G444" s="102"/>
      <c r="H444" s="102"/>
      <c r="I444" s="102"/>
      <c r="J444" s="335"/>
      <c r="K444" s="102"/>
      <c r="L444" s="102"/>
      <c r="M444" s="102"/>
      <c r="N444" s="102"/>
      <c r="O444" s="102"/>
      <c r="P444" s="102"/>
      <c r="Q444" s="102"/>
      <c r="R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208"/>
      <c r="AH444" s="102"/>
      <c r="AI444" s="102"/>
      <c r="AJ444" s="102"/>
      <c r="AK444" s="208"/>
      <c r="AL444" s="102"/>
      <c r="AM444" s="102"/>
      <c r="AN444" s="102"/>
    </row>
    <row r="445" spans="1:40" x14ac:dyDescent="0.25">
      <c r="J445" s="394"/>
      <c r="L445" s="103"/>
      <c r="M445" s="103"/>
      <c r="N445" s="103"/>
      <c r="O445" s="103"/>
      <c r="R445" s="103"/>
      <c r="AA445" s="103"/>
      <c r="AB445" s="103"/>
      <c r="AC445" s="103"/>
      <c r="AD445" s="103"/>
      <c r="AE445" s="103"/>
      <c r="AF445" s="103"/>
      <c r="AG445" s="185"/>
      <c r="AH445" s="103"/>
      <c r="AK445" s="185"/>
      <c r="AL445" s="103"/>
      <c r="AM445" s="103"/>
      <c r="AN445" s="103"/>
    </row>
    <row r="446" spans="1:40" x14ac:dyDescent="0.25">
      <c r="J446" s="394"/>
      <c r="L446" s="103"/>
      <c r="M446" s="103"/>
      <c r="N446" s="103"/>
      <c r="O446" s="103"/>
      <c r="R446" s="103"/>
      <c r="Z446" s="103"/>
      <c r="AA446" s="103"/>
      <c r="AB446" s="103"/>
      <c r="AC446" s="103"/>
      <c r="AD446" s="103"/>
      <c r="AE446" s="103"/>
      <c r="AF446" s="103"/>
      <c r="AG446" s="185"/>
      <c r="AH446" s="103"/>
      <c r="AK446" s="185"/>
      <c r="AL446" s="103"/>
      <c r="AM446" s="103"/>
      <c r="AN446" s="103"/>
    </row>
    <row r="447" spans="1:40" x14ac:dyDescent="0.25">
      <c r="A447" s="103"/>
      <c r="C447" s="103"/>
      <c r="D447" s="103"/>
      <c r="E447" s="103"/>
      <c r="F447" s="103"/>
      <c r="J447" s="336"/>
      <c r="K447" s="103"/>
      <c r="L447" s="103"/>
      <c r="M447" s="103"/>
      <c r="N447" s="103"/>
      <c r="O447" s="103"/>
      <c r="P447" s="103"/>
      <c r="Q447" s="103"/>
      <c r="R447" s="103"/>
      <c r="T447" s="103"/>
      <c r="U447" s="103"/>
      <c r="V447" s="103"/>
      <c r="Z447" s="103"/>
      <c r="AA447" s="103"/>
      <c r="AB447" s="103"/>
      <c r="AC447" s="103"/>
      <c r="AD447" s="103"/>
      <c r="AE447" s="103"/>
      <c r="AF447" s="103"/>
      <c r="AG447" s="185"/>
      <c r="AH447" s="103"/>
      <c r="AI447" s="103"/>
      <c r="AJ447" s="103"/>
      <c r="AK447" s="185"/>
      <c r="AL447" s="103"/>
      <c r="AM447" s="103"/>
      <c r="AN447" s="103"/>
    </row>
    <row r="448" spans="1:40" x14ac:dyDescent="0.25">
      <c r="A448" s="103"/>
      <c r="C448" s="103"/>
      <c r="D448" s="103"/>
      <c r="E448" s="103"/>
      <c r="F448" s="103"/>
      <c r="H448" s="103"/>
      <c r="I448" s="103"/>
      <c r="J448" s="336"/>
      <c r="K448" s="103"/>
      <c r="L448" s="103"/>
      <c r="M448" s="103"/>
      <c r="N448" s="103"/>
      <c r="O448" s="103"/>
      <c r="P448" s="103"/>
      <c r="Q448" s="103"/>
      <c r="R448" s="103"/>
      <c r="T448" s="103"/>
      <c r="U448" s="103"/>
      <c r="V448" s="103"/>
      <c r="Y448" s="103"/>
      <c r="Z448" s="103"/>
      <c r="AA448" s="103"/>
      <c r="AB448" s="103"/>
      <c r="AC448" s="103"/>
      <c r="AD448" s="103"/>
      <c r="AE448" s="103"/>
      <c r="AF448" s="103"/>
      <c r="AG448" s="185"/>
      <c r="AH448" s="103"/>
      <c r="AI448" s="103"/>
      <c r="AJ448" s="103"/>
      <c r="AK448" s="185"/>
      <c r="AL448" s="103"/>
      <c r="AM448" s="103"/>
      <c r="AN448" s="103"/>
    </row>
    <row r="449" spans="1:40" x14ac:dyDescent="0.25">
      <c r="C449" s="103"/>
      <c r="D449" s="103"/>
      <c r="E449" s="103"/>
      <c r="F449" s="103"/>
      <c r="H449" s="103"/>
      <c r="I449" s="103"/>
      <c r="J449" s="336"/>
      <c r="K449" s="103"/>
      <c r="L449" s="103"/>
      <c r="M449" s="103"/>
      <c r="N449" s="103"/>
      <c r="O449" s="103"/>
      <c r="P449" s="103"/>
      <c r="Q449" s="103"/>
      <c r="R449" s="103"/>
      <c r="T449" s="103"/>
      <c r="U449" s="103"/>
      <c r="V449" s="103"/>
      <c r="Y449" s="103"/>
      <c r="Z449" s="103"/>
      <c r="AA449" s="103"/>
      <c r="AB449" s="103"/>
      <c r="AC449" s="103"/>
      <c r="AD449" s="103"/>
      <c r="AE449" s="103"/>
      <c r="AF449" s="103"/>
      <c r="AG449" s="185"/>
      <c r="AH449" s="103"/>
      <c r="AI449" s="103"/>
      <c r="AJ449" s="103"/>
      <c r="AK449" s="185"/>
      <c r="AL449" s="103"/>
      <c r="AM449" s="103"/>
      <c r="AN449" s="103"/>
    </row>
    <row r="450" spans="1:40" x14ac:dyDescent="0.25">
      <c r="A450" s="102"/>
      <c r="B450" s="102"/>
      <c r="C450" s="102"/>
      <c r="D450" s="102"/>
      <c r="E450" s="102"/>
      <c r="F450" s="102"/>
      <c r="G450" s="102"/>
      <c r="H450" s="102"/>
      <c r="I450" s="102"/>
      <c r="J450" s="335"/>
      <c r="K450" s="102"/>
      <c r="L450" s="102"/>
      <c r="M450" s="102"/>
      <c r="N450" s="102"/>
      <c r="O450" s="102"/>
      <c r="P450" s="102"/>
      <c r="Q450" s="102"/>
      <c r="R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208"/>
      <c r="AH450" s="102"/>
      <c r="AI450" s="102"/>
      <c r="AJ450" s="102"/>
      <c r="AK450" s="208"/>
      <c r="AL450" s="102"/>
      <c r="AM450" s="102"/>
      <c r="AN450" s="102"/>
    </row>
    <row r="451" spans="1:40" x14ac:dyDescent="0.25">
      <c r="H451" s="103"/>
      <c r="I451" s="103"/>
      <c r="J451" s="336"/>
      <c r="K451" s="103"/>
      <c r="L451" s="103"/>
      <c r="M451" s="103"/>
      <c r="N451" s="103"/>
      <c r="O451" s="103"/>
      <c r="P451" s="103"/>
      <c r="Q451" s="103"/>
      <c r="R451" s="103"/>
      <c r="Y451" s="103"/>
      <c r="Z451" s="103"/>
      <c r="AA451" s="103"/>
      <c r="AB451" s="103"/>
      <c r="AC451" s="103"/>
      <c r="AD451" s="103"/>
      <c r="AE451" s="103"/>
      <c r="AF451" s="103"/>
      <c r="AG451" s="185"/>
      <c r="AH451" s="103"/>
      <c r="AI451" s="103"/>
      <c r="AJ451" s="103"/>
      <c r="AK451" s="185"/>
      <c r="AL451" s="103"/>
      <c r="AM451" s="103"/>
      <c r="AN451" s="103"/>
    </row>
    <row r="452" spans="1:40" x14ac:dyDescent="0.25">
      <c r="A452" s="202"/>
      <c r="C452" s="154"/>
      <c r="D452" s="154"/>
      <c r="E452" s="154"/>
      <c r="J452" s="394"/>
      <c r="T452" s="154"/>
      <c r="U452" s="154"/>
    </row>
    <row r="453" spans="1:40" x14ac:dyDescent="0.25">
      <c r="A453" s="202"/>
      <c r="D453" s="154"/>
      <c r="E453" s="154"/>
      <c r="J453" s="394"/>
      <c r="U453" s="154"/>
    </row>
    <row r="454" spans="1:40" x14ac:dyDescent="0.25">
      <c r="J454" s="394"/>
    </row>
    <row r="455" spans="1:40" x14ac:dyDescent="0.25">
      <c r="A455" s="202"/>
      <c r="C455" s="154"/>
      <c r="F455" s="200"/>
      <c r="J455" s="334"/>
      <c r="K455" s="215"/>
      <c r="L455" s="200"/>
      <c r="M455" s="200"/>
      <c r="R455" s="200"/>
      <c r="T455" s="154"/>
      <c r="V455" s="200"/>
      <c r="Z455" s="215"/>
      <c r="AA455" s="200"/>
      <c r="AB455" s="200"/>
      <c r="AG455" s="209"/>
      <c r="AH455" s="200"/>
      <c r="AK455" s="209"/>
      <c r="AL455" s="200"/>
    </row>
    <row r="456" spans="1:40" x14ac:dyDescent="0.25">
      <c r="A456" s="202"/>
      <c r="C456" s="154"/>
      <c r="F456" s="200"/>
      <c r="J456" s="394"/>
      <c r="R456" s="200"/>
      <c r="T456" s="154"/>
      <c r="V456" s="200"/>
      <c r="AG456" s="209"/>
      <c r="AH456" s="200"/>
      <c r="AK456" s="209"/>
      <c r="AL456" s="200"/>
    </row>
    <row r="457" spans="1:40" x14ac:dyDescent="0.25">
      <c r="J457" s="394"/>
      <c r="AI457" s="200"/>
      <c r="AJ457" s="200"/>
      <c r="AK457" s="209"/>
      <c r="AL457" s="200"/>
      <c r="AM457" s="210"/>
      <c r="AN457" s="210"/>
    </row>
    <row r="458" spans="1:40" x14ac:dyDescent="0.25">
      <c r="A458" s="202"/>
      <c r="C458" s="154"/>
      <c r="F458" s="252"/>
      <c r="H458" s="252"/>
      <c r="I458" s="252"/>
      <c r="J458" s="329"/>
      <c r="K458" s="328"/>
      <c r="L458" s="200"/>
      <c r="M458" s="200"/>
      <c r="N458" s="210"/>
      <c r="O458" s="210"/>
      <c r="P458" s="200"/>
      <c r="Q458" s="200"/>
      <c r="R458" s="200"/>
      <c r="T458" s="154"/>
      <c r="V458" s="200"/>
      <c r="Y458" s="200"/>
      <c r="Z458" s="328"/>
      <c r="AA458" s="200"/>
      <c r="AB458" s="200"/>
      <c r="AC458" s="210"/>
      <c r="AD458" s="210"/>
      <c r="AE458" s="200"/>
      <c r="AF458" s="200"/>
      <c r="AG458" s="209"/>
      <c r="AH458" s="201"/>
      <c r="AI458" s="200"/>
      <c r="AJ458" s="200"/>
      <c r="AK458" s="209"/>
      <c r="AL458" s="200"/>
      <c r="AM458" s="210"/>
      <c r="AN458" s="210"/>
    </row>
    <row r="459" spans="1:40" x14ac:dyDescent="0.25">
      <c r="F459" s="200"/>
      <c r="H459" s="200"/>
      <c r="I459" s="200"/>
      <c r="J459" s="334"/>
      <c r="K459" s="213"/>
      <c r="L459" s="200"/>
      <c r="M459" s="200"/>
      <c r="P459" s="200"/>
      <c r="Q459" s="200"/>
      <c r="R459" s="200"/>
      <c r="V459" s="200"/>
      <c r="Y459" s="200"/>
      <c r="Z459" s="213"/>
      <c r="AA459" s="200"/>
      <c r="AB459" s="200"/>
      <c r="AI459" s="200"/>
      <c r="AJ459" s="200"/>
      <c r="AK459" s="209"/>
      <c r="AL459" s="200"/>
      <c r="AM459" s="210"/>
      <c r="AN459" s="210"/>
    </row>
    <row r="460" spans="1:40" x14ac:dyDescent="0.25">
      <c r="F460" s="200"/>
      <c r="J460" s="394"/>
      <c r="R460" s="200"/>
      <c r="V460" s="200"/>
      <c r="AK460" s="209"/>
      <c r="AL460" s="200"/>
      <c r="AM460" s="210"/>
      <c r="AN460" s="210"/>
    </row>
    <row r="461" spans="1:40" x14ac:dyDescent="0.25">
      <c r="A461" s="202"/>
      <c r="C461" s="154"/>
      <c r="F461" s="200"/>
      <c r="J461" s="334"/>
      <c r="K461" s="215"/>
      <c r="L461" s="200"/>
      <c r="M461" s="200"/>
      <c r="N461" s="210"/>
      <c r="O461" s="210"/>
      <c r="R461" s="200"/>
      <c r="T461" s="154"/>
      <c r="V461" s="200"/>
      <c r="Z461" s="215"/>
      <c r="AA461" s="200"/>
      <c r="AB461" s="200"/>
      <c r="AC461" s="210"/>
      <c r="AD461" s="210"/>
      <c r="AK461" s="209"/>
      <c r="AL461" s="200"/>
      <c r="AM461" s="210"/>
      <c r="AN461" s="210"/>
    </row>
    <row r="462" spans="1:40" x14ac:dyDescent="0.25">
      <c r="A462" s="202"/>
      <c r="C462" s="154"/>
      <c r="F462" s="200"/>
      <c r="H462" s="200"/>
      <c r="I462" s="200"/>
      <c r="J462" s="334"/>
      <c r="K462" s="215"/>
      <c r="L462" s="200"/>
      <c r="M462" s="200"/>
      <c r="N462" s="210"/>
      <c r="O462" s="210"/>
      <c r="P462" s="200"/>
      <c r="Q462" s="200"/>
      <c r="R462" s="200"/>
      <c r="T462" s="154"/>
      <c r="V462" s="200"/>
      <c r="Y462" s="200"/>
      <c r="Z462" s="215"/>
      <c r="AA462" s="200"/>
      <c r="AB462" s="200"/>
      <c r="AC462" s="210"/>
      <c r="AD462" s="210"/>
      <c r="AI462" s="200"/>
      <c r="AJ462" s="200"/>
      <c r="AK462" s="209"/>
      <c r="AL462" s="200"/>
      <c r="AM462" s="210"/>
      <c r="AN462" s="210"/>
    </row>
    <row r="463" spans="1:40" x14ac:dyDescent="0.25">
      <c r="A463" s="202"/>
      <c r="C463" s="154"/>
      <c r="J463" s="394"/>
      <c r="T463" s="154"/>
      <c r="AM463" s="210"/>
      <c r="AN463" s="210"/>
    </row>
    <row r="464" spans="1:40" x14ac:dyDescent="0.25">
      <c r="A464" s="202"/>
      <c r="C464" s="154"/>
      <c r="J464" s="394"/>
      <c r="T464" s="154"/>
      <c r="AM464" s="210"/>
      <c r="AN464" s="210"/>
    </row>
    <row r="465" spans="1:40" x14ac:dyDescent="0.25">
      <c r="J465" s="394"/>
      <c r="AM465" s="210"/>
      <c r="AN465" s="210"/>
    </row>
    <row r="466" spans="1:40" x14ac:dyDescent="0.25">
      <c r="A466" s="202"/>
      <c r="C466" s="154"/>
      <c r="F466" s="252"/>
      <c r="H466" s="252"/>
      <c r="I466" s="252"/>
      <c r="J466" s="329"/>
      <c r="K466" s="328"/>
      <c r="L466" s="200"/>
      <c r="M466" s="200"/>
      <c r="N466" s="210"/>
      <c r="O466" s="210"/>
      <c r="P466" s="200"/>
      <c r="Q466" s="200"/>
      <c r="R466" s="200"/>
      <c r="T466" s="154"/>
      <c r="V466" s="200"/>
      <c r="Y466" s="200"/>
      <c r="Z466" s="328"/>
      <c r="AA466" s="200"/>
      <c r="AB466" s="200"/>
      <c r="AC466" s="210"/>
      <c r="AD466" s="210"/>
      <c r="AE466" s="200"/>
      <c r="AF466" s="200"/>
      <c r="AG466" s="209"/>
      <c r="AH466" s="201"/>
      <c r="AI466" s="200"/>
      <c r="AJ466" s="200"/>
      <c r="AK466" s="209"/>
      <c r="AL466" s="200"/>
      <c r="AM466" s="210"/>
      <c r="AN466" s="210"/>
    </row>
    <row r="467" spans="1:40" x14ac:dyDescent="0.25">
      <c r="F467" s="211"/>
      <c r="H467" s="211"/>
      <c r="I467" s="211"/>
      <c r="J467" s="329"/>
      <c r="K467" s="305"/>
      <c r="L467" s="211"/>
      <c r="M467" s="211"/>
      <c r="N467" s="211"/>
      <c r="O467" s="211"/>
      <c r="P467" s="211"/>
      <c r="Q467" s="211"/>
      <c r="R467" s="211"/>
      <c r="V467" s="211"/>
      <c r="Y467" s="211"/>
      <c r="Z467" s="305"/>
      <c r="AA467" s="211"/>
      <c r="AB467" s="211"/>
      <c r="AC467" s="211"/>
      <c r="AD467" s="211"/>
      <c r="AE467" s="211"/>
      <c r="AF467" s="211"/>
      <c r="AI467" s="211"/>
      <c r="AJ467" s="211"/>
      <c r="AK467" s="212"/>
      <c r="AL467" s="211"/>
      <c r="AM467" s="210"/>
      <c r="AN467" s="210"/>
    </row>
    <row r="468" spans="1:40" x14ac:dyDescent="0.25">
      <c r="H468" s="200"/>
      <c r="I468" s="200"/>
      <c r="J468" s="394"/>
      <c r="Y468" s="200"/>
      <c r="AM468" s="210"/>
      <c r="AN468" s="210"/>
    </row>
    <row r="469" spans="1:40" x14ac:dyDescent="0.25">
      <c r="A469" s="202"/>
      <c r="C469" s="154"/>
      <c r="F469" s="200"/>
      <c r="H469" s="200"/>
      <c r="I469" s="200"/>
      <c r="J469" s="394"/>
      <c r="L469" s="200"/>
      <c r="M469" s="200"/>
      <c r="N469" s="210"/>
      <c r="O469" s="210"/>
      <c r="P469" s="252"/>
      <c r="Q469" s="252"/>
      <c r="R469" s="200"/>
      <c r="T469" s="154"/>
      <c r="V469" s="200"/>
      <c r="Y469" s="200"/>
      <c r="AA469" s="200"/>
      <c r="AB469" s="200"/>
      <c r="AC469" s="210"/>
      <c r="AD469" s="210"/>
      <c r="AE469" s="200"/>
      <c r="AF469" s="200"/>
      <c r="AG469" s="209"/>
      <c r="AH469" s="201"/>
      <c r="AI469" s="252"/>
      <c r="AJ469" s="252"/>
      <c r="AK469" s="209"/>
      <c r="AL469" s="200"/>
      <c r="AM469" s="210"/>
      <c r="AN469" s="210"/>
    </row>
    <row r="470" spans="1:40" x14ac:dyDescent="0.25">
      <c r="H470" s="211"/>
      <c r="I470" s="211"/>
      <c r="J470" s="329"/>
      <c r="K470" s="305"/>
      <c r="L470" s="211"/>
      <c r="M470" s="211"/>
      <c r="N470" s="211"/>
      <c r="O470" s="211"/>
      <c r="P470" s="211"/>
      <c r="Q470" s="211"/>
      <c r="R470" s="211"/>
      <c r="V470" s="211"/>
      <c r="Y470" s="211"/>
      <c r="Z470" s="305"/>
      <c r="AA470" s="211"/>
      <c r="AB470" s="211"/>
      <c r="AC470" s="211"/>
      <c r="AD470" s="211"/>
      <c r="AE470" s="211"/>
      <c r="AF470" s="211"/>
      <c r="AI470" s="211"/>
      <c r="AJ470" s="211"/>
      <c r="AK470" s="212"/>
      <c r="AL470" s="211"/>
      <c r="AM470" s="210"/>
      <c r="AN470" s="210"/>
    </row>
    <row r="471" spans="1:40" x14ac:dyDescent="0.25">
      <c r="F471" s="211"/>
      <c r="J471" s="394"/>
    </row>
    <row r="472" spans="1:40" x14ac:dyDescent="0.25">
      <c r="F472" s="200"/>
      <c r="H472" s="200"/>
      <c r="I472" s="200"/>
      <c r="J472" s="334"/>
      <c r="K472" s="213"/>
      <c r="L472" s="200"/>
      <c r="M472" s="200"/>
      <c r="N472" s="200"/>
      <c r="O472" s="200"/>
      <c r="P472" s="200"/>
      <c r="Q472" s="200"/>
      <c r="R472" s="200"/>
      <c r="V472" s="200"/>
      <c r="Y472" s="200"/>
      <c r="Z472" s="213"/>
      <c r="AA472" s="200"/>
      <c r="AB472" s="200"/>
      <c r="AC472" s="200"/>
      <c r="AD472" s="200"/>
      <c r="AE472" s="200"/>
      <c r="AF472" s="200"/>
      <c r="AG472" s="209"/>
      <c r="AH472" s="200"/>
      <c r="AI472" s="200"/>
      <c r="AJ472" s="200"/>
      <c r="AK472" s="209"/>
      <c r="AL472" s="200"/>
    </row>
    <row r="473" spans="1:40" x14ac:dyDescent="0.25">
      <c r="A473" s="154"/>
      <c r="J473" s="394"/>
    </row>
    <row r="474" spans="1:40" x14ac:dyDescent="0.25">
      <c r="J474" s="334"/>
      <c r="K474" s="202"/>
      <c r="Z474" s="202"/>
    </row>
    <row r="475" spans="1:40" x14ac:dyDescent="0.25">
      <c r="H475" s="154"/>
      <c r="I475" s="154"/>
      <c r="J475" s="394"/>
      <c r="Y475" s="154"/>
    </row>
    <row r="476" spans="1:40" x14ac:dyDescent="0.25">
      <c r="J476" s="334"/>
      <c r="K476" s="202"/>
      <c r="Z476" s="202"/>
    </row>
    <row r="477" spans="1:40" x14ac:dyDescent="0.25">
      <c r="J477" s="394"/>
      <c r="L477" s="154"/>
      <c r="M477" s="154"/>
      <c r="AA477" s="154"/>
      <c r="AB477" s="154"/>
    </row>
    <row r="478" spans="1:40" x14ac:dyDescent="0.25">
      <c r="A478" s="202"/>
      <c r="J478" s="394"/>
      <c r="R478" s="154"/>
      <c r="AK478" s="297"/>
      <c r="AL478" s="154"/>
    </row>
    <row r="479" spans="1:40" x14ac:dyDescent="0.25">
      <c r="A479" s="202"/>
      <c r="J479" s="394"/>
      <c r="R479" s="154"/>
      <c r="AK479" s="297"/>
      <c r="AL479" s="154"/>
    </row>
    <row r="480" spans="1:40" x14ac:dyDescent="0.25">
      <c r="A480" s="154"/>
      <c r="J480" s="394"/>
      <c r="R480" s="154"/>
      <c r="AK480" s="297"/>
      <c r="AL480" s="154"/>
    </row>
    <row r="481" spans="1:40" x14ac:dyDescent="0.25">
      <c r="J481" s="394"/>
      <c r="L481" s="154"/>
      <c r="M481" s="154"/>
      <c r="R481" s="202"/>
      <c r="AA481" s="154"/>
      <c r="AB481" s="154"/>
      <c r="AK481" s="209"/>
      <c r="AL481" s="202"/>
    </row>
    <row r="482" spans="1:40" x14ac:dyDescent="0.25">
      <c r="A482" s="102"/>
      <c r="B482" s="102"/>
      <c r="C482" s="102"/>
      <c r="D482" s="102"/>
      <c r="E482" s="102"/>
      <c r="F482" s="102"/>
      <c r="G482" s="102"/>
      <c r="H482" s="102"/>
      <c r="I482" s="102"/>
      <c r="J482" s="335"/>
      <c r="K482" s="102"/>
      <c r="L482" s="102"/>
      <c r="M482" s="102"/>
      <c r="N482" s="102"/>
      <c r="O482" s="102"/>
      <c r="P482" s="102"/>
      <c r="Q482" s="102"/>
      <c r="R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208"/>
      <c r="AH482" s="102"/>
      <c r="AI482" s="102"/>
      <c r="AJ482" s="102"/>
      <c r="AK482" s="208"/>
      <c r="AL482" s="102"/>
      <c r="AM482" s="102"/>
      <c r="AN482" s="102"/>
    </row>
    <row r="483" spans="1:40" x14ac:dyDescent="0.25">
      <c r="J483" s="394"/>
      <c r="L483" s="103"/>
      <c r="M483" s="103"/>
      <c r="N483" s="103"/>
      <c r="O483" s="103"/>
      <c r="R483" s="103"/>
      <c r="AA483" s="103"/>
      <c r="AB483" s="103"/>
      <c r="AC483" s="103"/>
      <c r="AD483" s="103"/>
      <c r="AE483" s="103"/>
      <c r="AF483" s="103"/>
      <c r="AG483" s="185"/>
      <c r="AH483" s="103"/>
      <c r="AK483" s="185"/>
      <c r="AL483" s="103"/>
      <c r="AM483" s="103"/>
      <c r="AN483" s="103"/>
    </row>
    <row r="484" spans="1:40" x14ac:dyDescent="0.25">
      <c r="J484" s="394"/>
      <c r="L484" s="103"/>
      <c r="M484" s="103"/>
      <c r="N484" s="103"/>
      <c r="O484" s="103"/>
      <c r="R484" s="103"/>
      <c r="Z484" s="103"/>
      <c r="AA484" s="103"/>
      <c r="AB484" s="103"/>
      <c r="AC484" s="103"/>
      <c r="AD484" s="103"/>
      <c r="AE484" s="103"/>
      <c r="AF484" s="103"/>
      <c r="AG484" s="185"/>
      <c r="AH484" s="103"/>
      <c r="AK484" s="185"/>
      <c r="AL484" s="103"/>
      <c r="AM484" s="103"/>
      <c r="AN484" s="103"/>
    </row>
    <row r="485" spans="1:40" x14ac:dyDescent="0.25">
      <c r="A485" s="103"/>
      <c r="C485" s="103"/>
      <c r="D485" s="103"/>
      <c r="E485" s="103"/>
      <c r="F485" s="103"/>
      <c r="J485" s="336"/>
      <c r="K485" s="103"/>
      <c r="L485" s="103"/>
      <c r="M485" s="103"/>
      <c r="N485" s="103"/>
      <c r="O485" s="103"/>
      <c r="P485" s="103"/>
      <c r="Q485" s="103"/>
      <c r="R485" s="103"/>
      <c r="T485" s="103"/>
      <c r="U485" s="103"/>
      <c r="V485" s="103"/>
      <c r="Z485" s="103"/>
      <c r="AA485" s="103"/>
      <c r="AB485" s="103"/>
      <c r="AC485" s="103"/>
      <c r="AD485" s="103"/>
      <c r="AE485" s="103"/>
      <c r="AF485" s="103"/>
      <c r="AG485" s="185"/>
      <c r="AH485" s="103"/>
      <c r="AI485" s="103"/>
      <c r="AJ485" s="103"/>
      <c r="AK485" s="185"/>
      <c r="AL485" s="103"/>
      <c r="AM485" s="103"/>
      <c r="AN485" s="103"/>
    </row>
    <row r="486" spans="1:40" x14ac:dyDescent="0.25">
      <c r="A486" s="103"/>
      <c r="C486" s="103"/>
      <c r="D486" s="103"/>
      <c r="E486" s="103"/>
      <c r="F486" s="103"/>
      <c r="H486" s="103"/>
      <c r="I486" s="103"/>
      <c r="J486" s="336"/>
      <c r="K486" s="103"/>
      <c r="L486" s="103"/>
      <c r="M486" s="103"/>
      <c r="N486" s="103"/>
      <c r="O486" s="103"/>
      <c r="P486" s="103"/>
      <c r="Q486" s="103"/>
      <c r="R486" s="103"/>
      <c r="T486" s="103"/>
      <c r="U486" s="103"/>
      <c r="V486" s="103"/>
      <c r="Y486" s="103"/>
      <c r="Z486" s="103"/>
      <c r="AA486" s="103"/>
      <c r="AB486" s="103"/>
      <c r="AC486" s="103"/>
      <c r="AD486" s="103"/>
      <c r="AE486" s="103"/>
      <c r="AF486" s="103"/>
      <c r="AG486" s="185"/>
      <c r="AH486" s="103"/>
      <c r="AI486" s="103"/>
      <c r="AJ486" s="103"/>
      <c r="AK486" s="185"/>
      <c r="AL486" s="103"/>
      <c r="AM486" s="103"/>
      <c r="AN486" s="103"/>
    </row>
    <row r="487" spans="1:40" x14ac:dyDescent="0.25">
      <c r="C487" s="103"/>
      <c r="D487" s="103"/>
      <c r="E487" s="103"/>
      <c r="F487" s="103"/>
      <c r="H487" s="103"/>
      <c r="I487" s="103"/>
      <c r="J487" s="336"/>
      <c r="K487" s="103"/>
      <c r="L487" s="103"/>
      <c r="M487" s="103"/>
      <c r="N487" s="103"/>
      <c r="O487" s="103"/>
      <c r="P487" s="103"/>
      <c r="Q487" s="103"/>
      <c r="R487" s="103"/>
      <c r="T487" s="103"/>
      <c r="U487" s="103"/>
      <c r="V487" s="103"/>
      <c r="Y487" s="103"/>
      <c r="Z487" s="103"/>
      <c r="AA487" s="103"/>
      <c r="AB487" s="103"/>
      <c r="AC487" s="103"/>
      <c r="AD487" s="103"/>
      <c r="AE487" s="103"/>
      <c r="AF487" s="103"/>
      <c r="AG487" s="185"/>
      <c r="AH487" s="103"/>
      <c r="AI487" s="103"/>
      <c r="AJ487" s="103"/>
      <c r="AK487" s="185"/>
      <c r="AL487" s="103"/>
      <c r="AM487" s="103"/>
      <c r="AN487" s="103"/>
    </row>
    <row r="488" spans="1:40" x14ac:dyDescent="0.25">
      <c r="A488" s="102"/>
      <c r="B488" s="102"/>
      <c r="C488" s="102"/>
      <c r="D488" s="102"/>
      <c r="E488" s="102"/>
      <c r="F488" s="102"/>
      <c r="G488" s="102"/>
      <c r="H488" s="102"/>
      <c r="I488" s="102"/>
      <c r="J488" s="335"/>
      <c r="K488" s="102"/>
      <c r="L488" s="102"/>
      <c r="M488" s="102"/>
      <c r="N488" s="102"/>
      <c r="O488" s="102"/>
      <c r="P488" s="102"/>
      <c r="Q488" s="102"/>
      <c r="R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208"/>
      <c r="AH488" s="102"/>
      <c r="AI488" s="102"/>
      <c r="AJ488" s="102"/>
      <c r="AK488" s="208"/>
      <c r="AL488" s="102"/>
      <c r="AM488" s="102"/>
      <c r="AN488" s="102"/>
    </row>
    <row r="489" spans="1:40" x14ac:dyDescent="0.25">
      <c r="H489" s="103"/>
      <c r="I489" s="103"/>
      <c r="J489" s="336"/>
      <c r="K489" s="103"/>
      <c r="L489" s="103"/>
      <c r="M489" s="103"/>
      <c r="N489" s="103"/>
      <c r="O489" s="103"/>
      <c r="P489" s="103"/>
      <c r="Q489" s="103"/>
      <c r="R489" s="103"/>
      <c r="Y489" s="103"/>
      <c r="Z489" s="103"/>
      <c r="AA489" s="103"/>
      <c r="AB489" s="103"/>
      <c r="AC489" s="103"/>
      <c r="AD489" s="103"/>
      <c r="AE489" s="103"/>
      <c r="AF489" s="103"/>
      <c r="AG489" s="185"/>
      <c r="AH489" s="103"/>
      <c r="AI489" s="103"/>
      <c r="AJ489" s="103"/>
      <c r="AK489" s="185"/>
      <c r="AL489" s="103"/>
      <c r="AM489" s="103"/>
      <c r="AN489" s="103"/>
    </row>
    <row r="490" spans="1:40" x14ac:dyDescent="0.25">
      <c r="A490" s="202"/>
      <c r="C490" s="154"/>
      <c r="D490" s="154"/>
      <c r="E490" s="154"/>
      <c r="J490" s="394"/>
      <c r="T490" s="154"/>
      <c r="U490" s="154"/>
      <c r="V490" s="200"/>
      <c r="W490" s="200"/>
      <c r="X490" s="200"/>
      <c r="Y490" s="200"/>
      <c r="Z490" s="328"/>
    </row>
    <row r="491" spans="1:40" x14ac:dyDescent="0.25">
      <c r="J491" s="394"/>
    </row>
    <row r="492" spans="1:40" x14ac:dyDescent="0.25">
      <c r="A492" s="202"/>
      <c r="C492" s="154"/>
      <c r="J492" s="394"/>
      <c r="T492" s="154"/>
      <c r="V492" s="200"/>
      <c r="W492" s="200"/>
      <c r="X492" s="200"/>
      <c r="Y492" s="200"/>
      <c r="Z492" s="328"/>
    </row>
    <row r="493" spans="1:40" x14ac:dyDescent="0.25">
      <c r="A493" s="202"/>
      <c r="C493" s="154"/>
      <c r="F493" s="252"/>
      <c r="H493" s="252"/>
      <c r="I493" s="252"/>
      <c r="J493" s="329"/>
      <c r="K493" s="329"/>
      <c r="L493" s="200"/>
      <c r="M493" s="200"/>
      <c r="N493" s="210"/>
      <c r="O493" s="210"/>
      <c r="P493" s="200"/>
      <c r="Q493" s="200"/>
      <c r="R493" s="200"/>
      <c r="T493" s="154"/>
      <c r="V493" s="200"/>
      <c r="W493" s="200"/>
      <c r="X493" s="200"/>
      <c r="Y493" s="200"/>
      <c r="Z493" s="329"/>
      <c r="AA493" s="200"/>
      <c r="AB493" s="200"/>
      <c r="AC493" s="210"/>
      <c r="AD493" s="210"/>
      <c r="AE493" s="200"/>
      <c r="AF493" s="200"/>
      <c r="AG493" s="209"/>
      <c r="AH493" s="201"/>
      <c r="AI493" s="200"/>
      <c r="AJ493" s="200"/>
      <c r="AK493" s="209"/>
      <c r="AL493" s="200"/>
      <c r="AM493" s="210"/>
      <c r="AN493" s="210"/>
    </row>
    <row r="494" spans="1:40" x14ac:dyDescent="0.25">
      <c r="A494" s="202"/>
      <c r="C494" s="154"/>
      <c r="F494" s="252"/>
      <c r="H494" s="252"/>
      <c r="I494" s="252"/>
      <c r="J494" s="329"/>
      <c r="K494" s="329"/>
      <c r="L494" s="200"/>
      <c r="M494" s="200"/>
      <c r="N494" s="210"/>
      <c r="O494" s="210"/>
      <c r="P494" s="200"/>
      <c r="Q494" s="200"/>
      <c r="R494" s="200"/>
      <c r="T494" s="154"/>
      <c r="V494" s="200"/>
      <c r="W494" s="200"/>
      <c r="X494" s="200"/>
      <c r="Y494" s="200"/>
      <c r="Z494" s="329"/>
      <c r="AA494" s="200"/>
      <c r="AB494" s="200"/>
      <c r="AC494" s="210"/>
      <c r="AD494" s="210"/>
      <c r="AE494" s="200"/>
      <c r="AF494" s="200"/>
      <c r="AG494" s="209"/>
      <c r="AH494" s="201"/>
      <c r="AI494" s="200"/>
      <c r="AJ494" s="200"/>
      <c r="AK494" s="209"/>
      <c r="AL494" s="200"/>
      <c r="AM494" s="210"/>
      <c r="AN494" s="210"/>
    </row>
    <row r="495" spans="1:40" x14ac:dyDescent="0.25">
      <c r="A495" s="202"/>
      <c r="C495" s="154"/>
      <c r="F495" s="252"/>
      <c r="H495" s="252"/>
      <c r="I495" s="252"/>
      <c r="J495" s="329"/>
      <c r="K495" s="329"/>
      <c r="L495" s="200"/>
      <c r="M495" s="200"/>
      <c r="N495" s="210"/>
      <c r="O495" s="210"/>
      <c r="P495" s="200"/>
      <c r="Q495" s="200"/>
      <c r="R495" s="200"/>
      <c r="T495" s="154"/>
      <c r="V495" s="200"/>
      <c r="W495" s="200"/>
      <c r="X495" s="200"/>
      <c r="Y495" s="200"/>
      <c r="Z495" s="329"/>
      <c r="AA495" s="200"/>
      <c r="AB495" s="200"/>
      <c r="AC495" s="210"/>
      <c r="AD495" s="210"/>
      <c r="AE495" s="200"/>
      <c r="AF495" s="200"/>
      <c r="AG495" s="209"/>
      <c r="AH495" s="201"/>
      <c r="AI495" s="200"/>
      <c r="AJ495" s="200"/>
      <c r="AK495" s="209"/>
      <c r="AL495" s="200"/>
      <c r="AM495" s="210"/>
      <c r="AN495" s="210"/>
    </row>
    <row r="496" spans="1:40" x14ac:dyDescent="0.25">
      <c r="A496" s="202"/>
      <c r="C496" s="154"/>
      <c r="F496" s="252"/>
      <c r="H496" s="252"/>
      <c r="I496" s="252"/>
      <c r="J496" s="329"/>
      <c r="K496" s="329"/>
      <c r="L496" s="200"/>
      <c r="M496" s="200"/>
      <c r="N496" s="210"/>
      <c r="O496" s="210"/>
      <c r="P496" s="200"/>
      <c r="Q496" s="200"/>
      <c r="R496" s="200"/>
      <c r="T496" s="154"/>
      <c r="V496" s="200"/>
      <c r="W496" s="200"/>
      <c r="X496" s="200"/>
      <c r="Y496" s="200"/>
      <c r="Z496" s="329"/>
      <c r="AA496" s="200"/>
      <c r="AB496" s="200"/>
      <c r="AC496" s="210"/>
      <c r="AD496" s="210"/>
      <c r="AE496" s="200"/>
      <c r="AF496" s="200"/>
      <c r="AG496" s="209"/>
      <c r="AH496" s="201"/>
      <c r="AI496" s="200"/>
      <c r="AJ496" s="200"/>
      <c r="AK496" s="209"/>
      <c r="AL496" s="200"/>
      <c r="AM496" s="210"/>
      <c r="AN496" s="210"/>
    </row>
    <row r="497" spans="1:40" x14ac:dyDescent="0.25">
      <c r="J497" s="334"/>
      <c r="K497" s="334"/>
      <c r="V497" s="200"/>
      <c r="W497" s="200"/>
      <c r="X497" s="200"/>
      <c r="Y497" s="200"/>
      <c r="Z497" s="329"/>
    </row>
    <row r="498" spans="1:40" x14ac:dyDescent="0.25">
      <c r="A498" s="202"/>
      <c r="C498" s="154"/>
      <c r="F498" s="252"/>
      <c r="H498" s="252"/>
      <c r="I498" s="252"/>
      <c r="J498" s="329"/>
      <c r="K498" s="329"/>
      <c r="L498" s="200"/>
      <c r="M498" s="200"/>
      <c r="N498" s="210"/>
      <c r="O498" s="210"/>
      <c r="P498" s="200"/>
      <c r="Q498" s="200"/>
      <c r="R498" s="200"/>
      <c r="T498" s="154"/>
      <c r="V498" s="200"/>
      <c r="W498" s="200"/>
      <c r="X498" s="200"/>
      <c r="Y498" s="200"/>
      <c r="Z498" s="329"/>
      <c r="AA498" s="200"/>
      <c r="AB498" s="200"/>
      <c r="AC498" s="210"/>
      <c r="AD498" s="210"/>
      <c r="AE498" s="200"/>
      <c r="AF498" s="200"/>
      <c r="AG498" s="209"/>
      <c r="AH498" s="201"/>
      <c r="AI498" s="200"/>
      <c r="AJ498" s="200"/>
      <c r="AK498" s="209"/>
      <c r="AL498" s="200"/>
      <c r="AM498" s="201"/>
      <c r="AN498" s="201"/>
    </row>
    <row r="499" spans="1:40" x14ac:dyDescent="0.25">
      <c r="A499" s="202"/>
      <c r="C499" s="154"/>
      <c r="J499" s="334"/>
      <c r="K499" s="334"/>
      <c r="T499" s="154"/>
      <c r="V499" s="200"/>
      <c r="W499" s="200"/>
      <c r="X499" s="200"/>
      <c r="Y499" s="200"/>
      <c r="Z499" s="329"/>
    </row>
    <row r="500" spans="1:40" x14ac:dyDescent="0.25">
      <c r="A500" s="202"/>
      <c r="C500" s="154"/>
      <c r="F500" s="252"/>
      <c r="H500" s="252"/>
      <c r="I500" s="252"/>
      <c r="J500" s="329"/>
      <c r="K500" s="329"/>
      <c r="L500" s="200"/>
      <c r="M500" s="200"/>
      <c r="N500" s="210"/>
      <c r="O500" s="210"/>
      <c r="P500" s="200"/>
      <c r="Q500" s="200"/>
      <c r="R500" s="200"/>
      <c r="T500" s="154"/>
      <c r="V500" s="200"/>
      <c r="W500" s="200"/>
      <c r="X500" s="200"/>
      <c r="Y500" s="200"/>
      <c r="Z500" s="329"/>
      <c r="AA500" s="200"/>
      <c r="AB500" s="200"/>
      <c r="AC500" s="210"/>
      <c r="AD500" s="210"/>
      <c r="AE500" s="200"/>
      <c r="AF500" s="200"/>
      <c r="AG500" s="209"/>
      <c r="AH500" s="201"/>
      <c r="AI500" s="200"/>
      <c r="AJ500" s="200"/>
      <c r="AK500" s="209"/>
      <c r="AL500" s="200"/>
      <c r="AM500" s="201"/>
      <c r="AN500" s="201"/>
    </row>
    <row r="501" spans="1:40" x14ac:dyDescent="0.25">
      <c r="J501" s="334"/>
      <c r="K501" s="334"/>
      <c r="Z501" s="334"/>
    </row>
    <row r="502" spans="1:40" x14ac:dyDescent="0.25">
      <c r="A502" s="202"/>
      <c r="C502" s="154"/>
      <c r="J502" s="334"/>
      <c r="K502" s="334"/>
      <c r="T502" s="154"/>
      <c r="V502" s="200"/>
      <c r="W502" s="200"/>
      <c r="X502" s="200"/>
      <c r="Y502" s="200"/>
      <c r="Z502" s="329"/>
    </row>
    <row r="503" spans="1:40" x14ac:dyDescent="0.25">
      <c r="A503" s="202"/>
      <c r="C503" s="154"/>
      <c r="F503" s="252"/>
      <c r="H503" s="252"/>
      <c r="I503" s="252"/>
      <c r="J503" s="329"/>
      <c r="K503" s="329"/>
      <c r="L503" s="200"/>
      <c r="M503" s="200"/>
      <c r="N503" s="210"/>
      <c r="O503" s="210"/>
      <c r="P503" s="200"/>
      <c r="Q503" s="200"/>
      <c r="R503" s="200"/>
      <c r="T503" s="154"/>
      <c r="V503" s="200"/>
      <c r="W503" s="200"/>
      <c r="X503" s="200"/>
      <c r="Y503" s="200"/>
      <c r="Z503" s="329"/>
      <c r="AA503" s="200"/>
      <c r="AB503" s="200"/>
      <c r="AC503" s="210"/>
      <c r="AD503" s="210"/>
      <c r="AE503" s="200"/>
      <c r="AF503" s="200"/>
      <c r="AG503" s="209"/>
      <c r="AH503" s="201"/>
      <c r="AI503" s="200"/>
      <c r="AJ503" s="200"/>
      <c r="AK503" s="209"/>
      <c r="AL503" s="200"/>
      <c r="AM503" s="201"/>
      <c r="AN503" s="201"/>
    </row>
    <row r="504" spans="1:40" x14ac:dyDescent="0.25">
      <c r="A504" s="202"/>
      <c r="C504" s="154"/>
      <c r="F504" s="252"/>
      <c r="H504" s="252"/>
      <c r="I504" s="252"/>
      <c r="J504" s="329"/>
      <c r="K504" s="329"/>
      <c r="L504" s="200"/>
      <c r="M504" s="200"/>
      <c r="N504" s="210"/>
      <c r="O504" s="210"/>
      <c r="P504" s="200"/>
      <c r="Q504" s="200"/>
      <c r="R504" s="200"/>
      <c r="T504" s="154"/>
      <c r="V504" s="200"/>
      <c r="W504" s="200"/>
      <c r="X504" s="200"/>
      <c r="Y504" s="200"/>
      <c r="Z504" s="329"/>
      <c r="AA504" s="200"/>
      <c r="AB504" s="200"/>
      <c r="AC504" s="210"/>
      <c r="AD504" s="210"/>
      <c r="AE504" s="200"/>
      <c r="AF504" s="200"/>
      <c r="AG504" s="209"/>
      <c r="AH504" s="201"/>
      <c r="AI504" s="200"/>
      <c r="AJ504" s="200"/>
      <c r="AK504" s="209"/>
      <c r="AL504" s="200"/>
      <c r="AM504" s="201"/>
      <c r="AN504" s="201"/>
    </row>
    <row r="505" spans="1:40" x14ac:dyDescent="0.25">
      <c r="F505" s="211"/>
      <c r="H505" s="211"/>
      <c r="I505" s="211"/>
      <c r="J505" s="329"/>
      <c r="K505" s="329"/>
      <c r="L505" s="211"/>
      <c r="M505" s="211"/>
      <c r="N505" s="211"/>
      <c r="O505" s="211"/>
      <c r="P505" s="211"/>
      <c r="Q505" s="211"/>
      <c r="R505" s="211"/>
      <c r="V505" s="211"/>
      <c r="Y505" s="211"/>
      <c r="Z505" s="305"/>
      <c r="AA505" s="211"/>
      <c r="AB505" s="211"/>
      <c r="AC505" s="211"/>
      <c r="AD505" s="211"/>
      <c r="AE505" s="211"/>
      <c r="AF505" s="211"/>
      <c r="AI505" s="211"/>
      <c r="AJ505" s="211"/>
      <c r="AK505" s="212"/>
      <c r="AL505" s="211"/>
    </row>
    <row r="506" spans="1:40" x14ac:dyDescent="0.25">
      <c r="A506" s="202"/>
      <c r="C506" s="154"/>
      <c r="F506" s="200"/>
      <c r="H506" s="200"/>
      <c r="I506" s="200"/>
      <c r="J506" s="394"/>
      <c r="L506" s="200"/>
      <c r="M506" s="200"/>
      <c r="N506" s="210"/>
      <c r="O506" s="210"/>
      <c r="P506" s="252"/>
      <c r="Q506" s="252"/>
      <c r="R506" s="200"/>
      <c r="T506" s="154"/>
      <c r="V506" s="200"/>
      <c r="W506" s="200"/>
      <c r="X506" s="200"/>
      <c r="Y506" s="200"/>
      <c r="Z506" s="328"/>
      <c r="AA506" s="200"/>
      <c r="AB506" s="200"/>
      <c r="AC506" s="210"/>
      <c r="AD506" s="210"/>
      <c r="AE506" s="200"/>
      <c r="AF506" s="200"/>
      <c r="AG506" s="209"/>
      <c r="AH506" s="201"/>
      <c r="AI506" s="252"/>
      <c r="AJ506" s="252"/>
      <c r="AK506" s="209"/>
      <c r="AL506" s="200"/>
      <c r="AM506" s="201"/>
      <c r="AN506" s="201"/>
    </row>
    <row r="507" spans="1:40" x14ac:dyDescent="0.25">
      <c r="H507" s="211"/>
      <c r="I507" s="211"/>
      <c r="J507" s="329"/>
      <c r="K507" s="305"/>
      <c r="L507" s="211"/>
      <c r="M507" s="211"/>
      <c r="N507" s="211"/>
      <c r="O507" s="211"/>
      <c r="P507" s="211"/>
      <c r="Q507" s="211"/>
      <c r="R507" s="211"/>
      <c r="V507" s="211"/>
      <c r="Y507" s="211"/>
      <c r="Z507" s="305"/>
      <c r="AA507" s="211"/>
      <c r="AB507" s="211"/>
      <c r="AC507" s="211"/>
      <c r="AD507" s="211"/>
      <c r="AE507" s="211"/>
      <c r="AF507" s="211"/>
      <c r="AI507" s="211"/>
      <c r="AJ507" s="211"/>
      <c r="AK507" s="212"/>
      <c r="AL507" s="211"/>
    </row>
    <row r="508" spans="1:40" x14ac:dyDescent="0.25">
      <c r="F508" s="211"/>
      <c r="J508" s="394"/>
    </row>
    <row r="509" spans="1:40" x14ac:dyDescent="0.25">
      <c r="C509" s="202"/>
      <c r="J509" s="394"/>
      <c r="T509" s="202"/>
    </row>
    <row r="510" spans="1:40" x14ac:dyDescent="0.25">
      <c r="A510" s="154"/>
      <c r="J510" s="394"/>
    </row>
    <row r="511" spans="1:40" x14ac:dyDescent="0.25">
      <c r="J511" s="334"/>
      <c r="K511" s="202"/>
      <c r="Z511" s="202"/>
    </row>
    <row r="512" spans="1:40" x14ac:dyDescent="0.25">
      <c r="H512" s="154"/>
      <c r="I512" s="154"/>
      <c r="J512" s="394"/>
      <c r="Y512" s="154"/>
    </row>
    <row r="513" spans="1:40" x14ac:dyDescent="0.25">
      <c r="J513" s="334"/>
      <c r="K513" s="202"/>
      <c r="Z513" s="202"/>
    </row>
    <row r="514" spans="1:40" x14ac:dyDescent="0.25">
      <c r="J514" s="394"/>
      <c r="L514" s="154"/>
      <c r="M514" s="154"/>
      <c r="AA514" s="154"/>
      <c r="AB514" s="154"/>
    </row>
    <row r="515" spans="1:40" x14ac:dyDescent="0.25">
      <c r="A515" s="202"/>
      <c r="J515" s="394"/>
      <c r="R515" s="154"/>
      <c r="AK515" s="297"/>
      <c r="AL515" s="154"/>
    </row>
    <row r="516" spans="1:40" x14ac:dyDescent="0.25">
      <c r="A516" s="202"/>
      <c r="J516" s="394"/>
      <c r="R516" s="154"/>
      <c r="AK516" s="297"/>
      <c r="AL516" s="154"/>
    </row>
    <row r="517" spans="1:40" x14ac:dyDescent="0.25">
      <c r="A517" s="154"/>
      <c r="J517" s="394"/>
      <c r="R517" s="154"/>
      <c r="AK517" s="297"/>
      <c r="AL517" s="154"/>
    </row>
    <row r="518" spans="1:40" x14ac:dyDescent="0.25">
      <c r="J518" s="394"/>
      <c r="L518" s="154"/>
      <c r="M518" s="154"/>
      <c r="R518" s="202"/>
      <c r="AA518" s="154"/>
      <c r="AB518" s="154"/>
      <c r="AK518" s="209"/>
      <c r="AL518" s="202"/>
    </row>
    <row r="519" spans="1:40" x14ac:dyDescent="0.25">
      <c r="A519" s="102"/>
      <c r="B519" s="102"/>
      <c r="C519" s="102"/>
      <c r="D519" s="102"/>
      <c r="E519" s="102"/>
      <c r="F519" s="102"/>
      <c r="G519" s="102"/>
      <c r="H519" s="102"/>
      <c r="I519" s="102"/>
      <c r="J519" s="335"/>
      <c r="K519" s="102"/>
      <c r="L519" s="102"/>
      <c r="M519" s="102"/>
      <c r="N519" s="102"/>
      <c r="O519" s="102"/>
      <c r="P519" s="102"/>
      <c r="Q519" s="102"/>
      <c r="R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208"/>
      <c r="AH519" s="102"/>
      <c r="AI519" s="102"/>
      <c r="AJ519" s="102"/>
      <c r="AK519" s="208"/>
      <c r="AL519" s="102"/>
      <c r="AM519" s="102"/>
      <c r="AN519" s="102"/>
    </row>
    <row r="520" spans="1:40" x14ac:dyDescent="0.25">
      <c r="J520" s="394"/>
      <c r="L520" s="103"/>
      <c r="M520" s="103"/>
      <c r="N520" s="103"/>
      <c r="O520" s="103"/>
      <c r="R520" s="103"/>
      <c r="AA520" s="103"/>
      <c r="AB520" s="103"/>
      <c r="AC520" s="103"/>
      <c r="AD520" s="103"/>
      <c r="AE520" s="103"/>
      <c r="AF520" s="103"/>
      <c r="AG520" s="185"/>
      <c r="AH520" s="103"/>
      <c r="AK520" s="185"/>
      <c r="AL520" s="103"/>
      <c r="AM520" s="103"/>
      <c r="AN520" s="103"/>
    </row>
    <row r="521" spans="1:40" x14ac:dyDescent="0.25">
      <c r="J521" s="394"/>
      <c r="L521" s="103"/>
      <c r="M521" s="103"/>
      <c r="N521" s="103"/>
      <c r="O521" s="103"/>
      <c r="R521" s="103"/>
      <c r="Z521" s="103"/>
      <c r="AA521" s="103"/>
      <c r="AB521" s="103"/>
      <c r="AC521" s="103"/>
      <c r="AD521" s="103"/>
      <c r="AE521" s="103"/>
      <c r="AF521" s="103"/>
      <c r="AG521" s="185"/>
      <c r="AH521" s="103"/>
      <c r="AK521" s="185"/>
      <c r="AL521" s="103"/>
      <c r="AM521" s="103"/>
      <c r="AN521" s="103"/>
    </row>
    <row r="522" spans="1:40" x14ac:dyDescent="0.25">
      <c r="A522" s="103"/>
      <c r="C522" s="103"/>
      <c r="D522" s="103"/>
      <c r="E522" s="103"/>
      <c r="F522" s="103"/>
      <c r="J522" s="336"/>
      <c r="K522" s="103"/>
      <c r="L522" s="103"/>
      <c r="M522" s="103"/>
      <c r="N522" s="103"/>
      <c r="O522" s="103"/>
      <c r="P522" s="103"/>
      <c r="Q522" s="103"/>
      <c r="R522" s="103"/>
      <c r="T522" s="103"/>
      <c r="U522" s="103"/>
      <c r="V522" s="103"/>
      <c r="Z522" s="103"/>
      <c r="AA522" s="103"/>
      <c r="AB522" s="103"/>
      <c r="AC522" s="103"/>
      <c r="AD522" s="103"/>
      <c r="AE522" s="103"/>
      <c r="AF522" s="103"/>
      <c r="AG522" s="185"/>
      <c r="AH522" s="103"/>
      <c r="AI522" s="103"/>
      <c r="AJ522" s="103"/>
      <c r="AK522" s="185"/>
      <c r="AL522" s="103"/>
      <c r="AM522" s="103"/>
      <c r="AN522" s="103"/>
    </row>
    <row r="523" spans="1:40" x14ac:dyDescent="0.25">
      <c r="A523" s="103"/>
      <c r="C523" s="103"/>
      <c r="D523" s="103"/>
      <c r="E523" s="103"/>
      <c r="F523" s="103"/>
      <c r="H523" s="103"/>
      <c r="I523" s="103"/>
      <c r="J523" s="336"/>
      <c r="K523" s="103"/>
      <c r="L523" s="103"/>
      <c r="M523" s="103"/>
      <c r="N523" s="103"/>
      <c r="O523" s="103"/>
      <c r="P523" s="103"/>
      <c r="Q523" s="103"/>
      <c r="R523" s="103"/>
      <c r="T523" s="103"/>
      <c r="U523" s="103"/>
      <c r="V523" s="103"/>
      <c r="Y523" s="103"/>
      <c r="Z523" s="103"/>
      <c r="AA523" s="103"/>
      <c r="AB523" s="103"/>
      <c r="AC523" s="103"/>
      <c r="AD523" s="103"/>
      <c r="AE523" s="103"/>
      <c r="AF523" s="103"/>
      <c r="AG523" s="185"/>
      <c r="AH523" s="103"/>
      <c r="AI523" s="103"/>
      <c r="AJ523" s="103"/>
      <c r="AK523" s="185"/>
      <c r="AL523" s="103"/>
      <c r="AM523" s="103"/>
      <c r="AN523" s="103"/>
    </row>
    <row r="524" spans="1:40" x14ac:dyDescent="0.25">
      <c r="C524" s="103"/>
      <c r="D524" s="103"/>
      <c r="E524" s="103"/>
      <c r="F524" s="103"/>
      <c r="H524" s="103"/>
      <c r="I524" s="103"/>
      <c r="J524" s="336"/>
      <c r="K524" s="103"/>
      <c r="L524" s="103"/>
      <c r="M524" s="103"/>
      <c r="N524" s="103"/>
      <c r="O524" s="103"/>
      <c r="P524" s="103"/>
      <c r="Q524" s="103"/>
      <c r="R524" s="103"/>
      <c r="T524" s="103"/>
      <c r="U524" s="103"/>
      <c r="V524" s="103"/>
      <c r="Y524" s="103"/>
      <c r="Z524" s="103"/>
      <c r="AA524" s="103"/>
      <c r="AB524" s="103"/>
      <c r="AC524" s="103"/>
      <c r="AD524" s="103"/>
      <c r="AE524" s="103"/>
      <c r="AF524" s="103"/>
      <c r="AG524" s="185"/>
      <c r="AH524" s="103"/>
      <c r="AI524" s="103"/>
      <c r="AJ524" s="103"/>
      <c r="AK524" s="185"/>
      <c r="AL524" s="103"/>
      <c r="AM524" s="103"/>
      <c r="AN524" s="103"/>
    </row>
    <row r="525" spans="1:40" x14ac:dyDescent="0.25">
      <c r="A525" s="102"/>
      <c r="B525" s="102"/>
      <c r="C525" s="102"/>
      <c r="D525" s="102"/>
      <c r="E525" s="102"/>
      <c r="F525" s="102"/>
      <c r="G525" s="102"/>
      <c r="H525" s="102"/>
      <c r="I525" s="102"/>
      <c r="J525" s="335"/>
      <c r="K525" s="102"/>
      <c r="L525" s="102"/>
      <c r="M525" s="102"/>
      <c r="N525" s="102"/>
      <c r="O525" s="102"/>
      <c r="P525" s="102"/>
      <c r="Q525" s="102"/>
      <c r="R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208"/>
      <c r="AH525" s="102"/>
      <c r="AI525" s="102"/>
      <c r="AJ525" s="102"/>
      <c r="AK525" s="208"/>
      <c r="AL525" s="102"/>
      <c r="AM525" s="102"/>
      <c r="AN525" s="102"/>
    </row>
    <row r="526" spans="1:40" x14ac:dyDescent="0.25">
      <c r="H526" s="103"/>
      <c r="I526" s="103"/>
      <c r="J526" s="336"/>
      <c r="K526" s="103"/>
      <c r="L526" s="103"/>
      <c r="M526" s="103"/>
      <c r="N526" s="103"/>
      <c r="O526" s="103"/>
      <c r="P526" s="103"/>
      <c r="Q526" s="103"/>
      <c r="R526" s="103"/>
      <c r="Y526" s="103"/>
      <c r="Z526" s="103"/>
      <c r="AA526" s="103"/>
      <c r="AB526" s="103"/>
      <c r="AC526" s="103"/>
      <c r="AD526" s="103"/>
      <c r="AE526" s="103"/>
      <c r="AF526" s="103"/>
      <c r="AG526" s="185"/>
      <c r="AH526" s="103"/>
      <c r="AI526" s="103"/>
      <c r="AJ526" s="103"/>
      <c r="AK526" s="185"/>
      <c r="AL526" s="103"/>
      <c r="AM526" s="103"/>
      <c r="AN526" s="103"/>
    </row>
    <row r="527" spans="1:40" x14ac:dyDescent="0.25">
      <c r="A527" s="202"/>
      <c r="C527" s="154"/>
      <c r="D527" s="154"/>
      <c r="E527" s="154"/>
      <c r="J527" s="394"/>
      <c r="T527" s="154"/>
      <c r="U527" s="154"/>
    </row>
    <row r="528" spans="1:40" x14ac:dyDescent="0.25">
      <c r="J528" s="394"/>
    </row>
    <row r="529" spans="1:40" x14ac:dyDescent="0.25">
      <c r="A529" s="202"/>
      <c r="C529" s="154"/>
      <c r="J529" s="394"/>
      <c r="T529" s="154"/>
    </row>
    <row r="530" spans="1:40" x14ac:dyDescent="0.25">
      <c r="A530" s="202"/>
      <c r="C530" s="154"/>
      <c r="J530" s="394"/>
      <c r="T530" s="154"/>
    </row>
    <row r="531" spans="1:40" x14ac:dyDescent="0.25">
      <c r="A531" s="202"/>
      <c r="C531" s="154"/>
      <c r="F531" s="252"/>
      <c r="H531" s="252"/>
      <c r="I531" s="252"/>
      <c r="J531" s="329"/>
      <c r="K531" s="329"/>
      <c r="L531" s="200"/>
      <c r="M531" s="200"/>
      <c r="N531" s="210"/>
      <c r="O531" s="210"/>
      <c r="P531" s="200"/>
      <c r="Q531" s="200"/>
      <c r="R531" s="200"/>
      <c r="T531" s="154"/>
      <c r="V531" s="200"/>
      <c r="W531" s="200"/>
      <c r="X531" s="200"/>
      <c r="Y531" s="200"/>
      <c r="Z531" s="329"/>
      <c r="AA531" s="200"/>
      <c r="AB531" s="200"/>
      <c r="AC531" s="210"/>
      <c r="AD531" s="210"/>
      <c r="AE531" s="200"/>
      <c r="AF531" s="200"/>
      <c r="AG531" s="209"/>
      <c r="AH531" s="201"/>
      <c r="AI531" s="200"/>
      <c r="AJ531" s="200"/>
      <c r="AK531" s="209"/>
      <c r="AL531" s="200"/>
      <c r="AM531" s="201"/>
      <c r="AN531" s="201"/>
    </row>
    <row r="532" spans="1:40" x14ac:dyDescent="0.25">
      <c r="A532" s="202"/>
      <c r="C532" s="154"/>
      <c r="F532" s="200"/>
      <c r="H532" s="200"/>
      <c r="I532" s="200"/>
      <c r="J532" s="334"/>
      <c r="K532" s="334"/>
      <c r="L532" s="200"/>
      <c r="M532" s="200"/>
      <c r="N532" s="210"/>
      <c r="O532" s="210"/>
      <c r="P532" s="200"/>
      <c r="Q532" s="200"/>
      <c r="R532" s="200"/>
      <c r="T532" s="154"/>
      <c r="V532" s="200"/>
      <c r="W532" s="200"/>
      <c r="X532" s="200"/>
      <c r="Y532" s="200"/>
      <c r="Z532" s="334"/>
      <c r="AA532" s="200"/>
      <c r="AB532" s="200"/>
      <c r="AC532" s="210"/>
      <c r="AD532" s="210"/>
      <c r="AE532" s="200"/>
      <c r="AF532" s="200"/>
      <c r="AG532" s="209"/>
      <c r="AH532" s="201"/>
      <c r="AI532" s="200"/>
      <c r="AJ532" s="200"/>
      <c r="AK532" s="209"/>
      <c r="AL532" s="200"/>
      <c r="AM532" s="201"/>
      <c r="AN532" s="201"/>
    </row>
    <row r="533" spans="1:40" x14ac:dyDescent="0.25">
      <c r="A533" s="202"/>
      <c r="C533" s="154"/>
      <c r="F533" s="200"/>
      <c r="H533" s="200"/>
      <c r="I533" s="200"/>
      <c r="J533" s="334"/>
      <c r="K533" s="334"/>
      <c r="L533" s="200"/>
      <c r="M533" s="200"/>
      <c r="N533" s="210"/>
      <c r="O533" s="210"/>
      <c r="P533" s="200"/>
      <c r="Q533" s="200"/>
      <c r="R533" s="200"/>
      <c r="T533" s="154"/>
      <c r="V533" s="200"/>
      <c r="W533" s="200"/>
      <c r="X533" s="200"/>
      <c r="Y533" s="200"/>
      <c r="Z533" s="334"/>
      <c r="AA533" s="200"/>
      <c r="AB533" s="200"/>
      <c r="AC533" s="210"/>
      <c r="AD533" s="210"/>
      <c r="AE533" s="200"/>
      <c r="AF533" s="200"/>
      <c r="AG533" s="209"/>
      <c r="AH533" s="201"/>
      <c r="AI533" s="200"/>
      <c r="AJ533" s="200"/>
      <c r="AK533" s="209"/>
      <c r="AL533" s="200"/>
      <c r="AM533" s="201"/>
      <c r="AN533" s="201"/>
    </row>
    <row r="534" spans="1:40" x14ac:dyDescent="0.25">
      <c r="A534" s="202"/>
      <c r="C534" s="154"/>
      <c r="F534" s="200"/>
      <c r="H534" s="200"/>
      <c r="I534" s="200"/>
      <c r="J534" s="334"/>
      <c r="K534" s="334"/>
      <c r="T534" s="154"/>
      <c r="V534" s="200"/>
      <c r="Z534" s="334"/>
    </row>
    <row r="535" spans="1:40" x14ac:dyDescent="0.25">
      <c r="A535" s="202"/>
      <c r="C535" s="154"/>
      <c r="F535" s="252"/>
      <c r="H535" s="252"/>
      <c r="I535" s="252"/>
      <c r="J535" s="329"/>
      <c r="K535" s="329"/>
      <c r="L535" s="200"/>
      <c r="M535" s="200"/>
      <c r="N535" s="210"/>
      <c r="O535" s="210"/>
      <c r="P535" s="200"/>
      <c r="Q535" s="200"/>
      <c r="R535" s="200"/>
      <c r="T535" s="154"/>
      <c r="V535" s="200"/>
      <c r="W535" s="200"/>
      <c r="X535" s="200"/>
      <c r="Y535" s="200"/>
      <c r="Z535" s="329"/>
      <c r="AA535" s="200"/>
      <c r="AB535" s="200"/>
      <c r="AC535" s="210"/>
      <c r="AD535" s="210"/>
      <c r="AE535" s="200"/>
      <c r="AF535" s="200"/>
      <c r="AG535" s="209"/>
      <c r="AH535" s="201"/>
      <c r="AI535" s="200"/>
      <c r="AJ535" s="200"/>
      <c r="AK535" s="209"/>
      <c r="AL535" s="200"/>
      <c r="AM535" s="201"/>
      <c r="AN535" s="201"/>
    </row>
    <row r="536" spans="1:40" x14ac:dyDescent="0.25">
      <c r="A536" s="202"/>
      <c r="C536" s="154"/>
      <c r="F536" s="200"/>
      <c r="H536" s="200"/>
      <c r="I536" s="200"/>
      <c r="J536" s="334"/>
      <c r="K536" s="334"/>
      <c r="T536" s="154"/>
      <c r="V536" s="200"/>
      <c r="W536" s="200"/>
      <c r="X536" s="200"/>
      <c r="Y536" s="200"/>
      <c r="Z536" s="334"/>
      <c r="AC536" s="210"/>
      <c r="AD536" s="210"/>
      <c r="AE536" s="200"/>
      <c r="AF536" s="200"/>
      <c r="AG536" s="209"/>
      <c r="AH536" s="201"/>
      <c r="AI536" s="200"/>
      <c r="AJ536" s="200"/>
      <c r="AK536" s="209"/>
      <c r="AL536" s="200"/>
      <c r="AM536" s="201"/>
      <c r="AN536" s="201"/>
    </row>
    <row r="537" spans="1:40" x14ac:dyDescent="0.25">
      <c r="A537" s="202"/>
      <c r="C537" s="154"/>
      <c r="F537" s="252"/>
      <c r="H537" s="252"/>
      <c r="I537" s="252"/>
      <c r="J537" s="329"/>
      <c r="K537" s="329"/>
      <c r="L537" s="200"/>
      <c r="M537" s="200"/>
      <c r="N537" s="210"/>
      <c r="O537" s="210"/>
      <c r="P537" s="200"/>
      <c r="Q537" s="200"/>
      <c r="R537" s="200"/>
      <c r="T537" s="154"/>
      <c r="V537" s="200"/>
      <c r="W537" s="200"/>
      <c r="X537" s="200"/>
      <c r="Y537" s="200"/>
      <c r="Z537" s="329"/>
      <c r="AA537" s="200"/>
      <c r="AB537" s="200"/>
      <c r="AC537" s="210"/>
      <c r="AD537" s="210"/>
      <c r="AE537" s="200"/>
      <c r="AF537" s="200"/>
      <c r="AG537" s="209"/>
      <c r="AH537" s="201"/>
      <c r="AI537" s="200"/>
      <c r="AJ537" s="200"/>
      <c r="AK537" s="209"/>
      <c r="AL537" s="200"/>
      <c r="AM537" s="201"/>
      <c r="AN537" s="201"/>
    </row>
    <row r="538" spans="1:40" x14ac:dyDescent="0.25">
      <c r="A538" s="202"/>
      <c r="C538" s="154"/>
      <c r="F538" s="200"/>
      <c r="H538" s="200"/>
      <c r="I538" s="200"/>
      <c r="J538" s="334"/>
      <c r="K538" s="334"/>
      <c r="L538" s="200"/>
      <c r="M538" s="200"/>
      <c r="N538" s="210"/>
      <c r="O538" s="210"/>
      <c r="P538" s="200"/>
      <c r="Q538" s="200"/>
      <c r="R538" s="200"/>
      <c r="T538" s="154"/>
      <c r="V538" s="200"/>
      <c r="W538" s="200"/>
      <c r="X538" s="200"/>
      <c r="Y538" s="200"/>
      <c r="Z538" s="334"/>
      <c r="AA538" s="200"/>
      <c r="AB538" s="200"/>
      <c r="AC538" s="210"/>
      <c r="AD538" s="210"/>
      <c r="AE538" s="200"/>
      <c r="AF538" s="200"/>
      <c r="AG538" s="209"/>
      <c r="AH538" s="201"/>
      <c r="AI538" s="200"/>
      <c r="AJ538" s="200"/>
      <c r="AK538" s="209"/>
      <c r="AL538" s="200"/>
      <c r="AM538" s="201"/>
      <c r="AN538" s="201"/>
    </row>
    <row r="539" spans="1:40" x14ac:dyDescent="0.25">
      <c r="F539" s="200"/>
      <c r="H539" s="200"/>
      <c r="I539" s="200"/>
      <c r="J539" s="334"/>
      <c r="K539" s="334"/>
      <c r="Z539" s="334"/>
    </row>
    <row r="540" spans="1:40" x14ac:dyDescent="0.25">
      <c r="A540" s="202"/>
      <c r="C540" s="154"/>
      <c r="F540" s="200"/>
      <c r="H540" s="252"/>
      <c r="I540" s="252"/>
      <c r="J540" s="329"/>
      <c r="K540" s="329"/>
      <c r="L540" s="200"/>
      <c r="M540" s="200"/>
      <c r="N540" s="210"/>
      <c r="O540" s="210"/>
      <c r="P540" s="200"/>
      <c r="Q540" s="200"/>
      <c r="R540" s="200"/>
      <c r="T540" s="154"/>
      <c r="V540" s="200"/>
      <c r="W540" s="200"/>
      <c r="X540" s="200"/>
      <c r="Y540" s="200"/>
      <c r="Z540" s="329"/>
      <c r="AA540" s="200"/>
      <c r="AB540" s="200"/>
      <c r="AC540" s="210"/>
      <c r="AD540" s="210"/>
      <c r="AE540" s="200"/>
      <c r="AF540" s="200"/>
      <c r="AG540" s="209"/>
      <c r="AH540" s="201"/>
      <c r="AI540" s="200"/>
      <c r="AJ540" s="200"/>
      <c r="AK540" s="209"/>
      <c r="AL540" s="200"/>
      <c r="AM540" s="201"/>
      <c r="AN540" s="201"/>
    </row>
    <row r="541" spans="1:40" x14ac:dyDescent="0.25">
      <c r="F541" s="211"/>
      <c r="H541" s="211"/>
      <c r="I541" s="211"/>
      <c r="J541" s="329"/>
      <c r="K541" s="329"/>
      <c r="L541" s="211"/>
      <c r="M541" s="211"/>
      <c r="N541" s="211"/>
      <c r="O541" s="211"/>
      <c r="P541" s="211"/>
      <c r="Q541" s="211"/>
      <c r="R541" s="211"/>
      <c r="V541" s="211"/>
      <c r="Y541" s="211"/>
      <c r="Z541" s="329"/>
      <c r="AA541" s="211"/>
      <c r="AB541" s="211"/>
      <c r="AC541" s="211"/>
      <c r="AD541" s="211"/>
      <c r="AE541" s="211"/>
      <c r="AF541" s="211"/>
      <c r="AI541" s="211"/>
      <c r="AJ541" s="211"/>
      <c r="AK541" s="212"/>
      <c r="AL541" s="211"/>
    </row>
    <row r="542" spans="1:40" x14ac:dyDescent="0.25">
      <c r="A542" s="202"/>
      <c r="C542" s="154"/>
      <c r="F542" s="200"/>
      <c r="H542" s="200"/>
      <c r="I542" s="200"/>
      <c r="J542" s="334"/>
      <c r="K542" s="334"/>
      <c r="L542" s="200"/>
      <c r="M542" s="200"/>
      <c r="N542" s="202"/>
      <c r="O542" s="202"/>
      <c r="P542" s="200"/>
      <c r="Q542" s="200"/>
      <c r="R542" s="200"/>
      <c r="T542" s="154"/>
      <c r="V542" s="200"/>
      <c r="Y542" s="200"/>
      <c r="Z542" s="334"/>
      <c r="AA542" s="200"/>
      <c r="AB542" s="200"/>
      <c r="AC542" s="201"/>
      <c r="AD542" s="201"/>
      <c r="AE542" s="200"/>
      <c r="AF542" s="200"/>
      <c r="AG542" s="209"/>
      <c r="AH542" s="201"/>
      <c r="AI542" s="200"/>
      <c r="AJ542" s="200"/>
      <c r="AK542" s="209"/>
      <c r="AL542" s="200"/>
      <c r="AM542" s="201"/>
      <c r="AN542" s="201"/>
    </row>
    <row r="543" spans="1:40" x14ac:dyDescent="0.25">
      <c r="F543" s="211"/>
      <c r="H543" s="211"/>
      <c r="I543" s="211"/>
      <c r="J543" s="329"/>
      <c r="K543" s="329"/>
      <c r="L543" s="211"/>
      <c r="M543" s="211"/>
      <c r="N543" s="211"/>
      <c r="O543" s="211"/>
      <c r="P543" s="211"/>
      <c r="Q543" s="211"/>
      <c r="R543" s="211"/>
      <c r="V543" s="211"/>
      <c r="Y543" s="211"/>
      <c r="Z543" s="329"/>
      <c r="AA543" s="211"/>
      <c r="AB543" s="211"/>
      <c r="AC543" s="211"/>
      <c r="AD543" s="211"/>
      <c r="AE543" s="211"/>
      <c r="AF543" s="211"/>
      <c r="AI543" s="211"/>
      <c r="AJ543" s="211"/>
      <c r="AK543" s="212"/>
      <c r="AL543" s="211"/>
    </row>
    <row r="544" spans="1:40" x14ac:dyDescent="0.25">
      <c r="J544" s="334"/>
      <c r="K544" s="334"/>
      <c r="Z544" s="334"/>
    </row>
    <row r="545" spans="1:40" x14ac:dyDescent="0.25">
      <c r="A545" s="202"/>
      <c r="C545" s="154"/>
      <c r="J545" s="334"/>
      <c r="K545" s="334"/>
      <c r="T545" s="154"/>
      <c r="Z545" s="334"/>
    </row>
    <row r="546" spans="1:40" x14ac:dyDescent="0.25">
      <c r="A546" s="202"/>
      <c r="C546" s="154"/>
      <c r="J546" s="334"/>
      <c r="K546" s="334"/>
      <c r="T546" s="154"/>
      <c r="Z546" s="334"/>
    </row>
    <row r="547" spans="1:40" x14ac:dyDescent="0.25">
      <c r="A547" s="202"/>
      <c r="C547" s="154"/>
      <c r="F547" s="252"/>
      <c r="H547" s="252"/>
      <c r="I547" s="252"/>
      <c r="J547" s="329"/>
      <c r="K547" s="329"/>
      <c r="L547" s="200"/>
      <c r="M547" s="200"/>
      <c r="N547" s="210"/>
      <c r="O547" s="210"/>
      <c r="P547" s="200"/>
      <c r="Q547" s="200"/>
      <c r="R547" s="200"/>
      <c r="T547" s="154"/>
      <c r="V547" s="200"/>
      <c r="W547" s="200"/>
      <c r="X547" s="200"/>
      <c r="Y547" s="200"/>
      <c r="Z547" s="329"/>
      <c r="AA547" s="200"/>
      <c r="AB547" s="200"/>
      <c r="AC547" s="210"/>
      <c r="AD547" s="210"/>
      <c r="AE547" s="200"/>
      <c r="AF547" s="200"/>
      <c r="AG547" s="209"/>
      <c r="AH547" s="201"/>
      <c r="AI547" s="200"/>
      <c r="AJ547" s="200"/>
      <c r="AK547" s="209"/>
      <c r="AL547" s="200"/>
      <c r="AM547" s="201"/>
      <c r="AN547" s="201"/>
    </row>
    <row r="548" spans="1:40" x14ac:dyDescent="0.25">
      <c r="A548" s="202"/>
      <c r="C548" s="154"/>
      <c r="J548" s="334"/>
      <c r="K548" s="334"/>
      <c r="T548" s="154"/>
      <c r="Z548" s="334"/>
    </row>
    <row r="549" spans="1:40" x14ac:dyDescent="0.25">
      <c r="A549" s="202"/>
      <c r="C549" s="154"/>
      <c r="F549" s="252"/>
      <c r="H549" s="252"/>
      <c r="I549" s="252"/>
      <c r="J549" s="329"/>
      <c r="K549" s="329"/>
      <c r="L549" s="200"/>
      <c r="M549" s="200"/>
      <c r="N549" s="210"/>
      <c r="O549" s="210"/>
      <c r="P549" s="200"/>
      <c r="Q549" s="200"/>
      <c r="R549" s="200"/>
      <c r="T549" s="154"/>
      <c r="V549" s="200"/>
      <c r="W549" s="200"/>
      <c r="X549" s="200"/>
      <c r="Y549" s="200"/>
      <c r="Z549" s="329"/>
      <c r="AA549" s="200"/>
      <c r="AB549" s="200"/>
      <c r="AC549" s="210"/>
      <c r="AD549" s="210"/>
      <c r="AE549" s="200"/>
      <c r="AF549" s="200"/>
      <c r="AG549" s="209"/>
      <c r="AH549" s="201"/>
      <c r="AI549" s="200"/>
      <c r="AJ549" s="200"/>
      <c r="AK549" s="209"/>
      <c r="AL549" s="200"/>
      <c r="AM549" s="201"/>
      <c r="AN549" s="201"/>
    </row>
    <row r="550" spans="1:40" x14ac:dyDescent="0.25">
      <c r="F550" s="211"/>
      <c r="H550" s="211"/>
      <c r="I550" s="211"/>
      <c r="J550" s="329"/>
      <c r="K550" s="329"/>
      <c r="L550" s="211"/>
      <c r="M550" s="211"/>
      <c r="N550" s="211"/>
      <c r="O550" s="211"/>
      <c r="P550" s="211"/>
      <c r="Q550" s="211"/>
      <c r="R550" s="211"/>
      <c r="V550" s="211"/>
      <c r="Y550" s="211"/>
      <c r="Z550" s="329"/>
      <c r="AA550" s="211"/>
      <c r="AB550" s="211"/>
      <c r="AC550" s="211"/>
      <c r="AD550" s="211"/>
      <c r="AE550" s="211"/>
      <c r="AF550" s="211"/>
      <c r="AI550" s="211"/>
      <c r="AJ550" s="211"/>
      <c r="AK550" s="212"/>
      <c r="AL550" s="211"/>
    </row>
    <row r="551" spans="1:40" x14ac:dyDescent="0.25">
      <c r="A551" s="202"/>
      <c r="C551" s="154"/>
      <c r="F551" s="200"/>
      <c r="H551" s="200"/>
      <c r="I551" s="200"/>
      <c r="J551" s="334"/>
      <c r="K551" s="334"/>
      <c r="L551" s="200"/>
      <c r="M551" s="200"/>
      <c r="N551" s="201"/>
      <c r="O551" s="201"/>
      <c r="P551" s="200"/>
      <c r="Q551" s="200"/>
      <c r="R551" s="200"/>
      <c r="T551" s="154"/>
      <c r="V551" s="200"/>
      <c r="Y551" s="200"/>
      <c r="Z551" s="334"/>
      <c r="AA551" s="200"/>
      <c r="AB551" s="200"/>
      <c r="AC551" s="201"/>
      <c r="AD551" s="201"/>
      <c r="AE551" s="200"/>
      <c r="AF551" s="200"/>
      <c r="AG551" s="209"/>
      <c r="AH551" s="201"/>
      <c r="AI551" s="200"/>
      <c r="AJ551" s="200"/>
      <c r="AK551" s="209"/>
      <c r="AL551" s="200"/>
      <c r="AM551" s="201"/>
      <c r="AN551" s="201"/>
    </row>
    <row r="552" spans="1:40" x14ac:dyDescent="0.25">
      <c r="F552" s="211"/>
      <c r="H552" s="211"/>
      <c r="I552" s="211"/>
      <c r="J552" s="329"/>
      <c r="K552" s="329"/>
      <c r="L552" s="211"/>
      <c r="M552" s="211"/>
      <c r="N552" s="211"/>
      <c r="O552" s="211"/>
      <c r="P552" s="211"/>
      <c r="Q552" s="211"/>
      <c r="R552" s="211"/>
      <c r="V552" s="211"/>
      <c r="Y552" s="211"/>
      <c r="Z552" s="305"/>
      <c r="AA552" s="211"/>
      <c r="AB552" s="211"/>
      <c r="AC552" s="211"/>
      <c r="AD552" s="211"/>
      <c r="AE552" s="211"/>
      <c r="AF552" s="211"/>
      <c r="AI552" s="211"/>
      <c r="AJ552" s="211"/>
      <c r="AK552" s="212"/>
      <c r="AL552" s="211"/>
    </row>
    <row r="553" spans="1:40" x14ac:dyDescent="0.25">
      <c r="J553" s="334"/>
      <c r="K553" s="334"/>
    </row>
    <row r="554" spans="1:40" x14ac:dyDescent="0.25">
      <c r="A554" s="202"/>
      <c r="C554" s="154"/>
      <c r="F554" s="200"/>
      <c r="H554" s="200"/>
      <c r="I554" s="200"/>
      <c r="J554" s="334"/>
      <c r="K554" s="334"/>
      <c r="L554" s="200"/>
      <c r="M554" s="200"/>
      <c r="N554" s="210"/>
      <c r="O554" s="210"/>
      <c r="P554" s="252"/>
      <c r="Q554" s="252"/>
      <c r="R554" s="200"/>
      <c r="T554" s="154"/>
      <c r="V554" s="200"/>
      <c r="Y554" s="200"/>
      <c r="AA554" s="200"/>
      <c r="AB554" s="200"/>
      <c r="AC554" s="201"/>
      <c r="AD554" s="201"/>
      <c r="AE554" s="200"/>
      <c r="AF554" s="200"/>
      <c r="AG554" s="209"/>
      <c r="AH554" s="201"/>
      <c r="AI554" s="252"/>
      <c r="AJ554" s="252"/>
      <c r="AK554" s="209"/>
      <c r="AL554" s="200"/>
      <c r="AM554" s="201"/>
      <c r="AN554" s="201"/>
    </row>
    <row r="555" spans="1:40" x14ac:dyDescent="0.25">
      <c r="H555" s="211"/>
      <c r="I555" s="211"/>
      <c r="J555" s="329"/>
      <c r="K555" s="329"/>
      <c r="L555" s="211"/>
      <c r="M555" s="211"/>
      <c r="N555" s="211"/>
      <c r="O555" s="211"/>
      <c r="P555" s="211"/>
      <c r="Q555" s="211"/>
      <c r="R555" s="211"/>
      <c r="V555" s="211"/>
      <c r="Y555" s="211"/>
      <c r="Z555" s="305"/>
      <c r="AA555" s="211"/>
      <c r="AB555" s="211"/>
      <c r="AC555" s="211"/>
      <c r="AD555" s="211"/>
      <c r="AE555" s="211"/>
      <c r="AF555" s="211"/>
      <c r="AI555" s="211"/>
      <c r="AJ555" s="211"/>
      <c r="AK555" s="212"/>
      <c r="AL555" s="211"/>
    </row>
    <row r="556" spans="1:40" x14ac:dyDescent="0.25">
      <c r="F556" s="211"/>
      <c r="J556" s="394"/>
    </row>
    <row r="557" spans="1:40" x14ac:dyDescent="0.25">
      <c r="C557" s="202"/>
      <c r="J557" s="394"/>
      <c r="T557" s="202"/>
    </row>
    <row r="558" spans="1:40" x14ac:dyDescent="0.25">
      <c r="A558" s="154"/>
      <c r="J558" s="394"/>
    </row>
    <row r="559" spans="1:40" x14ac:dyDescent="0.25">
      <c r="J559" s="334"/>
      <c r="K559" s="202"/>
      <c r="Z559" s="202"/>
    </row>
    <row r="560" spans="1:40" x14ac:dyDescent="0.25">
      <c r="H560" s="154"/>
      <c r="I560" s="154"/>
      <c r="J560" s="394"/>
      <c r="Y560" s="154"/>
    </row>
    <row r="561" spans="1:40" x14ac:dyDescent="0.25">
      <c r="J561" s="334"/>
      <c r="K561" s="202"/>
      <c r="Z561" s="202"/>
    </row>
    <row r="562" spans="1:40" x14ac:dyDescent="0.25">
      <c r="J562" s="394"/>
      <c r="L562" s="154"/>
      <c r="M562" s="154"/>
      <c r="AA562" s="154"/>
      <c r="AB562" s="154"/>
    </row>
    <row r="563" spans="1:40" x14ac:dyDescent="0.25">
      <c r="A563" s="202"/>
      <c r="J563" s="394"/>
      <c r="R563" s="154"/>
      <c r="AK563" s="297"/>
      <c r="AL563" s="154"/>
    </row>
    <row r="564" spans="1:40" x14ac:dyDescent="0.25">
      <c r="A564" s="202"/>
      <c r="J564" s="394"/>
      <c r="R564" s="154"/>
      <c r="AK564" s="297"/>
      <c r="AL564" s="154"/>
    </row>
    <row r="565" spans="1:40" x14ac:dyDescent="0.25">
      <c r="A565" s="154"/>
      <c r="J565" s="394"/>
      <c r="R565" s="154"/>
      <c r="AK565" s="297"/>
      <c r="AL565" s="154"/>
    </row>
    <row r="566" spans="1:40" x14ac:dyDescent="0.25">
      <c r="J566" s="394"/>
      <c r="L566" s="154"/>
      <c r="M566" s="154"/>
      <c r="R566" s="202"/>
      <c r="AA566" s="154"/>
      <c r="AB566" s="154"/>
      <c r="AK566" s="209"/>
      <c r="AL566" s="202"/>
    </row>
    <row r="567" spans="1:40" x14ac:dyDescent="0.25">
      <c r="A567" s="102"/>
      <c r="B567" s="102"/>
      <c r="C567" s="102"/>
      <c r="D567" s="102"/>
      <c r="E567" s="102"/>
      <c r="F567" s="102"/>
      <c r="G567" s="102"/>
      <c r="H567" s="102"/>
      <c r="I567" s="102"/>
      <c r="J567" s="335"/>
      <c r="K567" s="102"/>
      <c r="L567" s="102"/>
      <c r="M567" s="102"/>
      <c r="N567" s="102"/>
      <c r="O567" s="102"/>
      <c r="P567" s="102"/>
      <c r="Q567" s="102"/>
      <c r="R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208"/>
      <c r="AH567" s="102"/>
      <c r="AI567" s="102"/>
      <c r="AJ567" s="102"/>
      <c r="AK567" s="208"/>
      <c r="AL567" s="102"/>
      <c r="AM567" s="102"/>
      <c r="AN567" s="102"/>
    </row>
    <row r="568" spans="1:40" x14ac:dyDescent="0.25">
      <c r="J568" s="394"/>
      <c r="L568" s="103"/>
      <c r="M568" s="103"/>
      <c r="N568" s="103"/>
      <c r="O568" s="103"/>
      <c r="R568" s="103"/>
      <c r="AA568" s="103"/>
      <c r="AB568" s="103"/>
      <c r="AC568" s="103"/>
      <c r="AD568" s="103"/>
      <c r="AE568" s="103"/>
      <c r="AF568" s="103"/>
      <c r="AG568" s="185"/>
      <c r="AH568" s="103"/>
      <c r="AK568" s="185"/>
      <c r="AL568" s="103"/>
      <c r="AM568" s="103"/>
      <c r="AN568" s="103"/>
    </row>
    <row r="569" spans="1:40" x14ac:dyDescent="0.25">
      <c r="J569" s="394"/>
      <c r="L569" s="103"/>
      <c r="M569" s="103"/>
      <c r="N569" s="103"/>
      <c r="O569" s="103"/>
      <c r="R569" s="103"/>
      <c r="Z569" s="103"/>
      <c r="AA569" s="103"/>
      <c r="AB569" s="103"/>
      <c r="AC569" s="103"/>
      <c r="AD569" s="103"/>
      <c r="AE569" s="103"/>
      <c r="AF569" s="103"/>
      <c r="AG569" s="185"/>
      <c r="AH569" s="103"/>
      <c r="AK569" s="185"/>
      <c r="AL569" s="103"/>
      <c r="AM569" s="103"/>
      <c r="AN569" s="103"/>
    </row>
    <row r="570" spans="1:40" x14ac:dyDescent="0.25">
      <c r="A570" s="103"/>
      <c r="C570" s="103"/>
      <c r="D570" s="103"/>
      <c r="E570" s="103"/>
      <c r="F570" s="103"/>
      <c r="J570" s="336"/>
      <c r="K570" s="103"/>
      <c r="L570" s="103"/>
      <c r="M570" s="103"/>
      <c r="N570" s="103"/>
      <c r="O570" s="103"/>
      <c r="P570" s="103"/>
      <c r="Q570" s="103"/>
      <c r="R570" s="103"/>
      <c r="T570" s="103"/>
      <c r="U570" s="103"/>
      <c r="V570" s="103"/>
      <c r="Z570" s="103"/>
      <c r="AA570" s="103"/>
      <c r="AB570" s="103"/>
      <c r="AC570" s="103"/>
      <c r="AD570" s="103"/>
      <c r="AE570" s="103"/>
      <c r="AF570" s="103"/>
      <c r="AG570" s="185"/>
      <c r="AH570" s="103"/>
      <c r="AI570" s="103"/>
      <c r="AJ570" s="103"/>
      <c r="AK570" s="185"/>
      <c r="AL570" s="103"/>
      <c r="AM570" s="103"/>
      <c r="AN570" s="103"/>
    </row>
    <row r="571" spans="1:40" x14ac:dyDescent="0.25">
      <c r="A571" s="103"/>
      <c r="C571" s="103"/>
      <c r="D571" s="103"/>
      <c r="E571" s="103"/>
      <c r="F571" s="103"/>
      <c r="H571" s="103"/>
      <c r="I571" s="103"/>
      <c r="J571" s="336"/>
      <c r="K571" s="103"/>
      <c r="L571" s="103"/>
      <c r="M571" s="103"/>
      <c r="N571" s="103"/>
      <c r="O571" s="103"/>
      <c r="P571" s="103"/>
      <c r="Q571" s="103"/>
      <c r="R571" s="103"/>
      <c r="T571" s="103"/>
      <c r="U571" s="103"/>
      <c r="V571" s="103"/>
      <c r="Y571" s="103"/>
      <c r="Z571" s="103"/>
      <c r="AA571" s="103"/>
      <c r="AB571" s="103"/>
      <c r="AC571" s="103"/>
      <c r="AD571" s="103"/>
      <c r="AE571" s="103"/>
      <c r="AF571" s="103"/>
      <c r="AG571" s="185"/>
      <c r="AH571" s="103"/>
      <c r="AI571" s="103"/>
      <c r="AJ571" s="103"/>
      <c r="AK571" s="185"/>
      <c r="AL571" s="103"/>
      <c r="AM571" s="103"/>
      <c r="AN571" s="103"/>
    </row>
    <row r="572" spans="1:40" x14ac:dyDescent="0.25">
      <c r="C572" s="103"/>
      <c r="D572" s="103"/>
      <c r="E572" s="103"/>
      <c r="F572" s="103"/>
      <c r="H572" s="103"/>
      <c r="I572" s="103"/>
      <c r="J572" s="336"/>
      <c r="K572" s="103"/>
      <c r="L572" s="103"/>
      <c r="M572" s="103"/>
      <c r="N572" s="103"/>
      <c r="O572" s="103"/>
      <c r="P572" s="103"/>
      <c r="Q572" s="103"/>
      <c r="R572" s="103"/>
      <c r="T572" s="103"/>
      <c r="U572" s="103"/>
      <c r="V572" s="103"/>
      <c r="Y572" s="103"/>
      <c r="Z572" s="103"/>
      <c r="AA572" s="103"/>
      <c r="AB572" s="103"/>
      <c r="AC572" s="103"/>
      <c r="AD572" s="103"/>
      <c r="AE572" s="103"/>
      <c r="AF572" s="103"/>
      <c r="AG572" s="185"/>
      <c r="AH572" s="103"/>
      <c r="AI572" s="103"/>
      <c r="AJ572" s="103"/>
      <c r="AK572" s="185"/>
      <c r="AL572" s="103"/>
      <c r="AM572" s="103"/>
      <c r="AN572" s="103"/>
    </row>
    <row r="573" spans="1:40" x14ac:dyDescent="0.25">
      <c r="A573" s="102"/>
      <c r="B573" s="102"/>
      <c r="C573" s="102"/>
      <c r="D573" s="102"/>
      <c r="E573" s="102"/>
      <c r="F573" s="102"/>
      <c r="G573" s="102"/>
      <c r="H573" s="102"/>
      <c r="I573" s="102"/>
      <c r="J573" s="335"/>
      <c r="K573" s="102"/>
      <c r="L573" s="102"/>
      <c r="M573" s="102"/>
      <c r="N573" s="102"/>
      <c r="O573" s="102"/>
      <c r="P573" s="102"/>
      <c r="Q573" s="102"/>
      <c r="R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208"/>
      <c r="AH573" s="102"/>
      <c r="AI573" s="102"/>
      <c r="AJ573" s="102"/>
      <c r="AK573" s="208"/>
      <c r="AL573" s="102"/>
      <c r="AM573" s="102"/>
      <c r="AN573" s="102"/>
    </row>
    <row r="574" spans="1:40" x14ac:dyDescent="0.25">
      <c r="H574" s="103"/>
      <c r="I574" s="103"/>
      <c r="J574" s="336"/>
      <c r="K574" s="103"/>
      <c r="L574" s="103"/>
      <c r="M574" s="103"/>
      <c r="N574" s="103"/>
      <c r="O574" s="103"/>
      <c r="P574" s="103"/>
      <c r="Q574" s="103"/>
      <c r="R574" s="103"/>
      <c r="Y574" s="103"/>
      <c r="Z574" s="103"/>
      <c r="AA574" s="103"/>
      <c r="AB574" s="103"/>
      <c r="AC574" s="103"/>
      <c r="AD574" s="103"/>
      <c r="AE574" s="103"/>
      <c r="AF574" s="103"/>
      <c r="AG574" s="185"/>
      <c r="AH574" s="103"/>
      <c r="AI574" s="103"/>
      <c r="AJ574" s="103"/>
      <c r="AK574" s="185"/>
      <c r="AL574" s="103"/>
      <c r="AM574" s="103"/>
      <c r="AN574" s="103"/>
    </row>
    <row r="575" spans="1:40" x14ac:dyDescent="0.25">
      <c r="A575" s="202"/>
      <c r="C575" s="154"/>
      <c r="D575" s="154"/>
      <c r="E575" s="154"/>
      <c r="J575" s="394"/>
      <c r="T575" s="154"/>
      <c r="U575" s="154"/>
    </row>
    <row r="576" spans="1:40" x14ac:dyDescent="0.25">
      <c r="J576" s="394"/>
    </row>
    <row r="577" spans="1:40" x14ac:dyDescent="0.25">
      <c r="A577" s="202"/>
      <c r="C577" s="154"/>
      <c r="D577" s="154"/>
      <c r="E577" s="154"/>
      <c r="J577" s="394"/>
      <c r="T577" s="154"/>
      <c r="U577" s="154"/>
    </row>
    <row r="578" spans="1:40" x14ac:dyDescent="0.25">
      <c r="A578" s="202"/>
      <c r="C578" s="154"/>
      <c r="J578" s="394"/>
      <c r="T578" s="154"/>
    </row>
    <row r="579" spans="1:40" x14ac:dyDescent="0.25">
      <c r="A579" s="202"/>
      <c r="C579" s="154"/>
      <c r="J579" s="394"/>
      <c r="T579" s="154"/>
    </row>
    <row r="580" spans="1:40" x14ac:dyDescent="0.25">
      <c r="A580" s="202"/>
      <c r="C580" s="154"/>
      <c r="H580" s="252"/>
      <c r="I580" s="252"/>
      <c r="J580" s="329"/>
      <c r="K580" s="329"/>
      <c r="L580" s="200"/>
      <c r="M580" s="200"/>
      <c r="N580" s="210"/>
      <c r="O580" s="210"/>
      <c r="P580" s="200"/>
      <c r="Q580" s="200"/>
      <c r="R580" s="200"/>
      <c r="T580" s="154"/>
      <c r="V580" s="200"/>
      <c r="W580" s="200"/>
      <c r="X580" s="200"/>
      <c r="Y580" s="200"/>
      <c r="Z580" s="329"/>
      <c r="AA580" s="200"/>
      <c r="AB580" s="200"/>
      <c r="AC580" s="210"/>
      <c r="AD580" s="210"/>
      <c r="AE580" s="200"/>
      <c r="AF580" s="200"/>
      <c r="AG580" s="209"/>
      <c r="AH580" s="201"/>
      <c r="AI580" s="200"/>
      <c r="AJ580" s="200"/>
      <c r="AK580" s="209"/>
      <c r="AL580" s="200"/>
      <c r="AM580" s="210"/>
      <c r="AN580" s="210"/>
    </row>
    <row r="581" spans="1:40" x14ac:dyDescent="0.25">
      <c r="A581" s="202"/>
      <c r="C581" s="154"/>
      <c r="F581" s="252"/>
      <c r="J581" s="334"/>
      <c r="K581" s="334"/>
      <c r="T581" s="154"/>
      <c r="V581" s="200"/>
      <c r="W581" s="200"/>
      <c r="X581" s="200"/>
      <c r="Y581" s="200"/>
      <c r="Z581" s="329"/>
    </row>
    <row r="582" spans="1:40" x14ac:dyDescent="0.25">
      <c r="A582" s="202"/>
      <c r="C582" s="154"/>
      <c r="H582" s="252"/>
      <c r="I582" s="252"/>
      <c r="J582" s="329"/>
      <c r="K582" s="329"/>
      <c r="L582" s="200"/>
      <c r="M582" s="200"/>
      <c r="N582" s="210"/>
      <c r="O582" s="210"/>
      <c r="P582" s="200"/>
      <c r="Q582" s="200"/>
      <c r="R582" s="200"/>
      <c r="T582" s="154"/>
      <c r="V582" s="200"/>
      <c r="W582" s="200"/>
      <c r="X582" s="200"/>
      <c r="Y582" s="200"/>
      <c r="Z582" s="329"/>
      <c r="AA582" s="200"/>
      <c r="AB582" s="200"/>
      <c r="AC582" s="210"/>
      <c r="AD582" s="210"/>
      <c r="AE582" s="200"/>
      <c r="AF582" s="200"/>
      <c r="AG582" s="209"/>
      <c r="AH582" s="201"/>
      <c r="AI582" s="200"/>
      <c r="AJ582" s="200"/>
      <c r="AK582" s="209"/>
      <c r="AL582" s="200"/>
      <c r="AM582" s="210"/>
      <c r="AN582" s="210"/>
    </row>
    <row r="583" spans="1:40" x14ac:dyDescent="0.25">
      <c r="A583" s="202"/>
      <c r="C583" s="154"/>
      <c r="F583" s="252"/>
      <c r="J583" s="334"/>
      <c r="K583" s="334"/>
      <c r="T583" s="154"/>
      <c r="V583" s="200"/>
      <c r="W583" s="200"/>
      <c r="X583" s="200"/>
      <c r="Y583" s="200"/>
      <c r="Z583" s="329"/>
    </row>
    <row r="584" spans="1:40" x14ac:dyDescent="0.25">
      <c r="A584" s="202"/>
      <c r="C584" s="154"/>
      <c r="H584" s="252"/>
      <c r="I584" s="252"/>
      <c r="J584" s="329"/>
      <c r="K584" s="329"/>
      <c r="L584" s="200"/>
      <c r="M584" s="200"/>
      <c r="N584" s="210"/>
      <c r="O584" s="210"/>
      <c r="P584" s="200"/>
      <c r="Q584" s="200"/>
      <c r="R584" s="200"/>
      <c r="T584" s="154"/>
      <c r="V584" s="200"/>
      <c r="W584" s="200"/>
      <c r="X584" s="200"/>
      <c r="Y584" s="200"/>
      <c r="Z584" s="329"/>
      <c r="AA584" s="200"/>
      <c r="AB584" s="200"/>
      <c r="AC584" s="210"/>
      <c r="AD584" s="210"/>
      <c r="AE584" s="200"/>
      <c r="AF584" s="200"/>
      <c r="AG584" s="209"/>
      <c r="AH584" s="201"/>
      <c r="AI584" s="200"/>
      <c r="AJ584" s="200"/>
      <c r="AK584" s="209"/>
      <c r="AL584" s="200"/>
      <c r="AM584" s="210"/>
      <c r="AN584" s="210"/>
    </row>
    <row r="585" spans="1:40" x14ac:dyDescent="0.25">
      <c r="A585" s="202"/>
      <c r="C585" s="154"/>
      <c r="F585" s="252"/>
      <c r="J585" s="334"/>
      <c r="K585" s="334"/>
      <c r="T585" s="154"/>
      <c r="V585" s="200"/>
      <c r="W585" s="200"/>
      <c r="X585" s="200"/>
      <c r="Y585" s="200"/>
      <c r="Z585" s="329"/>
    </row>
    <row r="586" spans="1:40" x14ac:dyDescent="0.25">
      <c r="A586" s="202"/>
      <c r="C586" s="154"/>
      <c r="H586" s="252"/>
      <c r="I586" s="252"/>
      <c r="J586" s="329"/>
      <c r="K586" s="329"/>
      <c r="L586" s="200"/>
      <c r="M586" s="200"/>
      <c r="N586" s="210"/>
      <c r="O586" s="210"/>
      <c r="P586" s="200"/>
      <c r="Q586" s="200"/>
      <c r="R586" s="200"/>
      <c r="T586" s="154"/>
      <c r="V586" s="200"/>
      <c r="W586" s="200"/>
      <c r="X586" s="200"/>
      <c r="Y586" s="200"/>
      <c r="Z586" s="329"/>
      <c r="AA586" s="200"/>
      <c r="AB586" s="200"/>
      <c r="AC586" s="210"/>
      <c r="AD586" s="210"/>
      <c r="AE586" s="200"/>
      <c r="AF586" s="200"/>
      <c r="AG586" s="209"/>
      <c r="AH586" s="201"/>
      <c r="AI586" s="200"/>
      <c r="AJ586" s="200"/>
      <c r="AK586" s="209"/>
      <c r="AL586" s="200"/>
      <c r="AM586" s="210"/>
      <c r="AN586" s="210"/>
    </row>
    <row r="587" spans="1:40" x14ac:dyDescent="0.25">
      <c r="A587" s="202"/>
      <c r="C587" s="154"/>
      <c r="F587" s="252"/>
      <c r="J587" s="334"/>
      <c r="K587" s="334"/>
      <c r="T587" s="154"/>
      <c r="V587" s="200"/>
      <c r="W587" s="200"/>
      <c r="X587" s="200"/>
      <c r="Y587" s="200"/>
      <c r="Z587" s="329"/>
    </row>
    <row r="588" spans="1:40" x14ac:dyDescent="0.25">
      <c r="A588" s="202"/>
      <c r="C588" s="154"/>
      <c r="H588" s="252"/>
      <c r="I588" s="252"/>
      <c r="J588" s="329"/>
      <c r="K588" s="329"/>
      <c r="L588" s="200"/>
      <c r="M588" s="200"/>
      <c r="N588" s="210"/>
      <c r="O588" s="210"/>
      <c r="P588" s="200"/>
      <c r="Q588" s="200"/>
      <c r="R588" s="200"/>
      <c r="T588" s="154"/>
      <c r="V588" s="200"/>
      <c r="W588" s="200"/>
      <c r="X588" s="200"/>
      <c r="Y588" s="200"/>
      <c r="Z588" s="329"/>
      <c r="AA588" s="200"/>
      <c r="AB588" s="200"/>
      <c r="AC588" s="210"/>
      <c r="AD588" s="210"/>
      <c r="AE588" s="200"/>
      <c r="AF588" s="200"/>
      <c r="AG588" s="209"/>
      <c r="AH588" s="201"/>
      <c r="AI588" s="200"/>
      <c r="AJ588" s="200"/>
      <c r="AK588" s="209"/>
      <c r="AL588" s="200"/>
      <c r="AM588" s="210"/>
      <c r="AN588" s="210"/>
    </row>
    <row r="589" spans="1:40" x14ac:dyDescent="0.25">
      <c r="A589" s="202"/>
      <c r="C589" s="154"/>
      <c r="F589" s="252"/>
      <c r="J589" s="334"/>
      <c r="K589" s="334"/>
      <c r="T589" s="154"/>
      <c r="V589" s="200"/>
      <c r="W589" s="200"/>
      <c r="X589" s="200"/>
      <c r="Y589" s="200"/>
      <c r="Z589" s="329"/>
    </row>
    <row r="590" spans="1:40" x14ac:dyDescent="0.25">
      <c r="A590" s="202"/>
      <c r="C590" s="154"/>
      <c r="H590" s="252"/>
      <c r="I590" s="252"/>
      <c r="J590" s="329"/>
      <c r="K590" s="329"/>
      <c r="L590" s="200"/>
      <c r="M590" s="200"/>
      <c r="N590" s="210"/>
      <c r="O590" s="210"/>
      <c r="P590" s="200"/>
      <c r="Q590" s="200"/>
      <c r="R590" s="200"/>
      <c r="T590" s="154"/>
      <c r="V590" s="200"/>
      <c r="W590" s="200"/>
      <c r="X590" s="200"/>
      <c r="Y590" s="200"/>
      <c r="Z590" s="329"/>
      <c r="AA590" s="200"/>
      <c r="AB590" s="200"/>
      <c r="AC590" s="210"/>
      <c r="AD590" s="210"/>
      <c r="AE590" s="200"/>
      <c r="AF590" s="200"/>
      <c r="AG590" s="209"/>
      <c r="AH590" s="201"/>
      <c r="AI590" s="200"/>
      <c r="AJ590" s="200"/>
      <c r="AK590" s="209"/>
      <c r="AL590" s="200"/>
      <c r="AM590" s="210"/>
      <c r="AN590" s="210"/>
    </row>
    <row r="591" spans="1:40" x14ac:dyDescent="0.25">
      <c r="F591" s="252"/>
      <c r="H591" s="211"/>
      <c r="I591" s="211"/>
      <c r="J591" s="329"/>
      <c r="K591" s="329"/>
      <c r="L591" s="211"/>
      <c r="M591" s="211"/>
      <c r="N591" s="211"/>
      <c r="O591" s="211"/>
      <c r="P591" s="211"/>
      <c r="Q591" s="211"/>
      <c r="R591" s="211"/>
      <c r="V591" s="211"/>
      <c r="Y591" s="211"/>
      <c r="Z591" s="329"/>
      <c r="AA591" s="211"/>
      <c r="AB591" s="211"/>
      <c r="AC591" s="211"/>
      <c r="AD591" s="211"/>
      <c r="AE591" s="211"/>
      <c r="AF591" s="211"/>
      <c r="AI591" s="211"/>
      <c r="AJ591" s="211"/>
      <c r="AK591" s="212"/>
      <c r="AL591" s="211"/>
      <c r="AM591" s="210"/>
      <c r="AN591" s="210"/>
    </row>
    <row r="592" spans="1:40" x14ac:dyDescent="0.25">
      <c r="A592" s="202"/>
      <c r="C592" s="154"/>
      <c r="F592" s="211"/>
      <c r="H592" s="200"/>
      <c r="I592" s="200"/>
      <c r="J592" s="334"/>
      <c r="K592" s="334"/>
      <c r="L592" s="200"/>
      <c r="M592" s="200"/>
      <c r="N592" s="210"/>
      <c r="O592" s="210"/>
      <c r="P592" s="252"/>
      <c r="Q592" s="252"/>
      <c r="R592" s="200"/>
      <c r="T592" s="154"/>
      <c r="V592" s="200"/>
      <c r="W592" s="200"/>
      <c r="X592" s="200"/>
      <c r="Y592" s="200"/>
      <c r="Z592" s="329"/>
      <c r="AA592" s="200"/>
      <c r="AB592" s="200"/>
      <c r="AC592" s="210"/>
      <c r="AD592" s="210"/>
      <c r="AE592" s="200"/>
      <c r="AF592" s="200"/>
      <c r="AG592" s="209"/>
      <c r="AH592" s="201"/>
      <c r="AI592" s="252"/>
      <c r="AJ592" s="252"/>
      <c r="AK592" s="209"/>
      <c r="AL592" s="200"/>
      <c r="AM592" s="210"/>
      <c r="AN592" s="210"/>
    </row>
    <row r="593" spans="1:40" x14ac:dyDescent="0.25">
      <c r="F593" s="200"/>
      <c r="H593" s="211"/>
      <c r="I593" s="211"/>
      <c r="J593" s="329"/>
      <c r="K593" s="329"/>
      <c r="L593" s="211"/>
      <c r="M593" s="211"/>
      <c r="N593" s="211"/>
      <c r="O593" s="211"/>
      <c r="P593" s="211"/>
      <c r="Q593" s="211"/>
      <c r="R593" s="211"/>
      <c r="V593" s="211"/>
      <c r="Y593" s="211"/>
      <c r="Z593" s="329"/>
      <c r="AA593" s="211"/>
      <c r="AB593" s="211"/>
      <c r="AC593" s="211"/>
      <c r="AD593" s="211"/>
      <c r="AE593" s="211"/>
      <c r="AF593" s="211"/>
      <c r="AI593" s="211"/>
      <c r="AJ593" s="211"/>
      <c r="AK593" s="212"/>
      <c r="AL593" s="211"/>
    </row>
    <row r="594" spans="1:40" x14ac:dyDescent="0.25">
      <c r="A594" s="202"/>
      <c r="C594" s="154"/>
      <c r="D594" s="154"/>
      <c r="E594" s="154"/>
      <c r="F594" s="211"/>
      <c r="J594" s="334"/>
      <c r="K594" s="334"/>
      <c r="T594" s="154"/>
      <c r="U594" s="154"/>
      <c r="V594" s="200"/>
      <c r="W594" s="200"/>
      <c r="X594" s="200"/>
      <c r="Y594" s="200"/>
      <c r="Z594" s="329"/>
    </row>
    <row r="595" spans="1:40" x14ac:dyDescent="0.25">
      <c r="A595" s="202"/>
      <c r="C595" s="154"/>
      <c r="J595" s="334"/>
      <c r="K595" s="334"/>
      <c r="T595" s="154"/>
      <c r="V595" s="200"/>
      <c r="W595" s="200"/>
      <c r="X595" s="200"/>
      <c r="Y595" s="200"/>
      <c r="Z595" s="329"/>
    </row>
    <row r="596" spans="1:40" x14ac:dyDescent="0.25">
      <c r="A596" s="202"/>
      <c r="C596" s="154"/>
      <c r="J596" s="334"/>
      <c r="K596" s="334"/>
      <c r="T596" s="154"/>
      <c r="V596" s="200"/>
      <c r="W596" s="200"/>
      <c r="X596" s="200"/>
      <c r="Y596" s="200"/>
      <c r="Z596" s="329"/>
    </row>
    <row r="597" spans="1:40" x14ac:dyDescent="0.25">
      <c r="A597" s="202"/>
      <c r="C597" s="154"/>
      <c r="H597" s="252"/>
      <c r="I597" s="252"/>
      <c r="J597" s="329"/>
      <c r="K597" s="329"/>
      <c r="L597" s="200"/>
      <c r="M597" s="200"/>
      <c r="N597" s="210"/>
      <c r="O597" s="210"/>
      <c r="P597" s="200"/>
      <c r="Q597" s="200"/>
      <c r="R597" s="200"/>
      <c r="T597" s="154"/>
      <c r="V597" s="200"/>
      <c r="W597" s="200"/>
      <c r="X597" s="200"/>
      <c r="Y597" s="200"/>
      <c r="Z597" s="329"/>
      <c r="AA597" s="200"/>
      <c r="AB597" s="200"/>
      <c r="AC597" s="210"/>
      <c r="AD597" s="210"/>
      <c r="AE597" s="200"/>
      <c r="AF597" s="200"/>
      <c r="AG597" s="209"/>
      <c r="AH597" s="201"/>
      <c r="AI597" s="200"/>
      <c r="AJ597" s="200"/>
      <c r="AK597" s="209"/>
      <c r="AL597" s="200"/>
      <c r="AM597" s="210"/>
      <c r="AN597" s="210"/>
    </row>
    <row r="598" spans="1:40" x14ac:dyDescent="0.25">
      <c r="A598" s="202"/>
      <c r="C598" s="154"/>
      <c r="F598" s="252"/>
      <c r="J598" s="334"/>
      <c r="K598" s="334"/>
      <c r="T598" s="154"/>
      <c r="V598" s="200"/>
      <c r="W598" s="200"/>
      <c r="X598" s="200"/>
      <c r="Y598" s="200"/>
      <c r="Z598" s="329"/>
    </row>
    <row r="599" spans="1:40" x14ac:dyDescent="0.25">
      <c r="A599" s="202"/>
      <c r="C599" s="154"/>
      <c r="H599" s="252"/>
      <c r="I599" s="252"/>
      <c r="J599" s="329"/>
      <c r="K599" s="329"/>
      <c r="L599" s="200"/>
      <c r="M599" s="200"/>
      <c r="N599" s="210"/>
      <c r="O599" s="210"/>
      <c r="P599" s="200"/>
      <c r="Q599" s="200"/>
      <c r="R599" s="200"/>
      <c r="T599" s="154"/>
      <c r="V599" s="200"/>
      <c r="W599" s="200"/>
      <c r="X599" s="200"/>
      <c r="Y599" s="200"/>
      <c r="Z599" s="329"/>
      <c r="AA599" s="200"/>
      <c r="AB599" s="200"/>
      <c r="AC599" s="210"/>
      <c r="AD599" s="210"/>
      <c r="AE599" s="200"/>
      <c r="AF599" s="200"/>
      <c r="AG599" s="209"/>
      <c r="AH599" s="201"/>
      <c r="AI599" s="200"/>
      <c r="AJ599" s="200"/>
      <c r="AK599" s="209"/>
      <c r="AL599" s="200"/>
      <c r="AM599" s="210"/>
      <c r="AN599" s="210"/>
    </row>
    <row r="600" spans="1:40" x14ac:dyDescent="0.25">
      <c r="F600" s="252"/>
      <c r="H600" s="211"/>
      <c r="I600" s="211"/>
      <c r="J600" s="329"/>
      <c r="K600" s="329"/>
      <c r="L600" s="211"/>
      <c r="M600" s="211"/>
      <c r="N600" s="211"/>
      <c r="O600" s="211"/>
      <c r="P600" s="211"/>
      <c r="Q600" s="211"/>
      <c r="R600" s="211"/>
      <c r="V600" s="211"/>
      <c r="Y600" s="211"/>
      <c r="Z600" s="305"/>
      <c r="AA600" s="211"/>
      <c r="AB600" s="211"/>
      <c r="AC600" s="211"/>
      <c r="AD600" s="211"/>
      <c r="AE600" s="211"/>
      <c r="AF600" s="211"/>
      <c r="AI600" s="211"/>
      <c r="AJ600" s="211"/>
      <c r="AK600" s="212"/>
      <c r="AL600" s="211"/>
    </row>
    <row r="601" spans="1:40" x14ac:dyDescent="0.25">
      <c r="A601" s="202"/>
      <c r="C601" s="154"/>
      <c r="F601" s="211"/>
      <c r="H601" s="200"/>
      <c r="I601" s="200"/>
      <c r="L601" s="200"/>
      <c r="M601" s="200"/>
      <c r="N601" s="210"/>
      <c r="O601" s="210"/>
      <c r="P601" s="252"/>
      <c r="Q601" s="252"/>
      <c r="R601" s="200"/>
      <c r="T601" s="154"/>
      <c r="V601" s="200"/>
      <c r="W601" s="200"/>
      <c r="X601" s="200"/>
      <c r="Y601" s="200"/>
      <c r="Z601" s="328"/>
      <c r="AA601" s="200"/>
      <c r="AB601" s="200"/>
      <c r="AC601" s="210"/>
      <c r="AD601" s="210"/>
      <c r="AE601" s="200"/>
      <c r="AF601" s="200"/>
      <c r="AG601" s="209"/>
      <c r="AH601" s="201"/>
      <c r="AI601" s="252"/>
      <c r="AJ601" s="252"/>
      <c r="AK601" s="209"/>
      <c r="AL601" s="200"/>
      <c r="AM601" s="210"/>
      <c r="AN601" s="210"/>
    </row>
    <row r="602" spans="1:40" x14ac:dyDescent="0.25">
      <c r="F602" s="200"/>
      <c r="H602" s="211"/>
      <c r="I602" s="211"/>
      <c r="J602" s="305"/>
      <c r="K602" s="305"/>
      <c r="L602" s="211"/>
      <c r="M602" s="211"/>
      <c r="N602" s="211"/>
      <c r="O602" s="211"/>
      <c r="P602" s="211"/>
      <c r="Q602" s="211"/>
      <c r="R602" s="211"/>
      <c r="V602" s="211"/>
      <c r="Y602" s="211"/>
      <c r="Z602" s="305"/>
      <c r="AA602" s="211"/>
      <c r="AB602" s="211"/>
      <c r="AC602" s="211"/>
      <c r="AD602" s="211"/>
      <c r="AE602" s="211"/>
      <c r="AF602" s="211"/>
      <c r="AI602" s="211"/>
      <c r="AJ602" s="211"/>
      <c r="AK602" s="212"/>
      <c r="AL602" s="211"/>
    </row>
    <row r="603" spans="1:40" x14ac:dyDescent="0.25">
      <c r="A603" s="202"/>
      <c r="C603" s="154"/>
      <c r="D603" s="154"/>
      <c r="E603" s="154"/>
      <c r="F603" s="211"/>
      <c r="T603" s="154"/>
      <c r="U603" s="154"/>
      <c r="V603" s="200"/>
      <c r="W603" s="200"/>
      <c r="X603" s="200"/>
      <c r="Y603" s="200"/>
      <c r="Z603" s="328"/>
    </row>
    <row r="604" spans="1:40" x14ac:dyDescent="0.25">
      <c r="A604" s="202"/>
      <c r="C604" s="154"/>
      <c r="T604" s="154"/>
      <c r="V604" s="200"/>
      <c r="W604" s="200"/>
      <c r="X604" s="200"/>
      <c r="Y604" s="200"/>
      <c r="Z604" s="328"/>
    </row>
    <row r="605" spans="1:40" x14ac:dyDescent="0.25">
      <c r="A605" s="202"/>
      <c r="C605" s="154"/>
      <c r="H605" s="252"/>
      <c r="I605" s="252"/>
      <c r="J605" s="328"/>
      <c r="K605" s="328"/>
      <c r="L605" s="200"/>
      <c r="M605" s="200"/>
      <c r="N605" s="210"/>
      <c r="O605" s="210"/>
      <c r="P605" s="200"/>
      <c r="Q605" s="200"/>
      <c r="R605" s="200"/>
      <c r="T605" s="154"/>
      <c r="V605" s="200"/>
      <c r="W605" s="200"/>
      <c r="X605" s="200"/>
      <c r="Y605" s="200"/>
      <c r="Z605" s="328"/>
      <c r="AA605" s="200"/>
      <c r="AB605" s="200"/>
      <c r="AC605" s="210"/>
      <c r="AD605" s="210"/>
      <c r="AE605" s="200"/>
      <c r="AF605" s="200"/>
      <c r="AG605" s="209"/>
      <c r="AH605" s="201"/>
      <c r="AI605" s="200"/>
      <c r="AJ605" s="200"/>
      <c r="AK605" s="209"/>
      <c r="AL605" s="200"/>
      <c r="AM605" s="210"/>
      <c r="AN605" s="210"/>
    </row>
    <row r="606" spans="1:40" x14ac:dyDescent="0.25">
      <c r="A606" s="202"/>
      <c r="C606" s="154"/>
      <c r="F606" s="252"/>
      <c r="T606" s="154"/>
      <c r="V606" s="200"/>
      <c r="W606" s="200"/>
      <c r="X606" s="200"/>
      <c r="Y606" s="200"/>
      <c r="Z606" s="328"/>
    </row>
    <row r="607" spans="1:40" x14ac:dyDescent="0.25">
      <c r="A607" s="202"/>
      <c r="C607" s="154"/>
      <c r="H607" s="252"/>
      <c r="I607" s="252"/>
      <c r="J607" s="328"/>
      <c r="K607" s="328"/>
      <c r="L607" s="200"/>
      <c r="M607" s="200"/>
      <c r="N607" s="210"/>
      <c r="O607" s="210"/>
      <c r="P607" s="200"/>
      <c r="Q607" s="200"/>
      <c r="R607" s="200"/>
      <c r="T607" s="154"/>
      <c r="V607" s="200"/>
      <c r="W607" s="200"/>
      <c r="X607" s="200"/>
      <c r="Y607" s="200"/>
      <c r="Z607" s="328"/>
      <c r="AA607" s="200"/>
      <c r="AB607" s="200"/>
      <c r="AC607" s="210"/>
      <c r="AD607" s="210"/>
      <c r="AE607" s="200"/>
      <c r="AF607" s="200"/>
      <c r="AG607" s="209"/>
      <c r="AH607" s="201"/>
      <c r="AI607" s="200"/>
      <c r="AJ607" s="200"/>
      <c r="AK607" s="209"/>
      <c r="AL607" s="200"/>
      <c r="AM607" s="210"/>
      <c r="AN607" s="210"/>
    </row>
    <row r="608" spans="1:40" x14ac:dyDescent="0.25">
      <c r="A608" s="202"/>
      <c r="C608" s="154"/>
      <c r="F608" s="252"/>
      <c r="T608" s="154"/>
      <c r="V608" s="200"/>
      <c r="W608" s="200"/>
      <c r="X608" s="200"/>
      <c r="Y608" s="200"/>
      <c r="Z608" s="328"/>
    </row>
    <row r="609" spans="1:40" x14ac:dyDescent="0.25">
      <c r="A609" s="202"/>
      <c r="C609" s="154"/>
      <c r="H609" s="252"/>
      <c r="I609" s="252"/>
      <c r="J609" s="328"/>
      <c r="K609" s="328"/>
      <c r="L609" s="200"/>
      <c r="M609" s="200"/>
      <c r="N609" s="210"/>
      <c r="O609" s="210"/>
      <c r="P609" s="200"/>
      <c r="Q609" s="200"/>
      <c r="R609" s="200"/>
      <c r="T609" s="154"/>
      <c r="V609" s="200"/>
      <c r="W609" s="200"/>
      <c r="X609" s="200"/>
      <c r="Y609" s="200"/>
      <c r="Z609" s="328"/>
      <c r="AA609" s="200"/>
      <c r="AB609" s="200"/>
      <c r="AC609" s="210"/>
      <c r="AD609" s="210"/>
      <c r="AE609" s="200"/>
      <c r="AF609" s="200"/>
      <c r="AG609" s="209"/>
      <c r="AH609" s="201"/>
      <c r="AI609" s="200"/>
      <c r="AJ609" s="200"/>
      <c r="AK609" s="209"/>
      <c r="AL609" s="200"/>
      <c r="AM609" s="210"/>
      <c r="AN609" s="210"/>
    </row>
    <row r="610" spans="1:40" x14ac:dyDescent="0.25">
      <c r="A610" s="202"/>
      <c r="C610" s="154"/>
      <c r="F610" s="252"/>
      <c r="T610" s="154"/>
      <c r="V610" s="200"/>
      <c r="W610" s="200"/>
      <c r="X610" s="200"/>
      <c r="Y610" s="200"/>
      <c r="Z610" s="328"/>
    </row>
    <row r="611" spans="1:40" x14ac:dyDescent="0.25">
      <c r="A611" s="202"/>
      <c r="C611" s="154"/>
      <c r="H611" s="252"/>
      <c r="I611" s="252"/>
      <c r="J611" s="328"/>
      <c r="K611" s="328"/>
      <c r="L611" s="200"/>
      <c r="M611" s="200"/>
      <c r="N611" s="210"/>
      <c r="O611" s="210"/>
      <c r="P611" s="200"/>
      <c r="Q611" s="200"/>
      <c r="R611" s="200"/>
      <c r="T611" s="154"/>
      <c r="V611" s="200"/>
      <c r="W611" s="200"/>
      <c r="X611" s="200"/>
      <c r="Y611" s="200"/>
      <c r="Z611" s="328"/>
      <c r="AA611" s="200"/>
      <c r="AB611" s="200"/>
      <c r="AC611" s="210"/>
      <c r="AD611" s="210"/>
      <c r="AE611" s="200"/>
      <c r="AF611" s="200"/>
      <c r="AG611" s="209"/>
      <c r="AH611" s="201"/>
      <c r="AI611" s="200"/>
      <c r="AJ611" s="200"/>
      <c r="AK611" s="209"/>
      <c r="AL611" s="200"/>
      <c r="AM611" s="210"/>
      <c r="AN611" s="210"/>
    </row>
    <row r="612" spans="1:40" x14ac:dyDescent="0.25">
      <c r="F612" s="252"/>
      <c r="H612" s="211"/>
      <c r="I612" s="211"/>
      <c r="J612" s="305"/>
      <c r="K612" s="305"/>
      <c r="L612" s="211"/>
      <c r="M612" s="211"/>
      <c r="N612" s="211"/>
      <c r="O612" s="211"/>
      <c r="P612" s="211"/>
      <c r="Q612" s="211"/>
      <c r="R612" s="211"/>
      <c r="V612" s="211"/>
      <c r="Y612" s="211"/>
      <c r="Z612" s="305"/>
      <c r="AA612" s="211"/>
      <c r="AB612" s="211"/>
      <c r="AC612" s="211"/>
      <c r="AD612" s="211"/>
      <c r="AE612" s="211"/>
      <c r="AF612" s="211"/>
      <c r="AI612" s="211"/>
      <c r="AJ612" s="211"/>
      <c r="AK612" s="212"/>
      <c r="AL612" s="211"/>
    </row>
    <row r="613" spans="1:40" x14ac:dyDescent="0.25">
      <c r="A613" s="202"/>
      <c r="C613" s="154"/>
      <c r="F613" s="211"/>
      <c r="H613" s="200"/>
      <c r="I613" s="200"/>
      <c r="L613" s="200"/>
      <c r="M613" s="200"/>
      <c r="N613" s="210"/>
      <c r="O613" s="210"/>
      <c r="P613" s="252"/>
      <c r="Q613" s="252"/>
      <c r="R613" s="200"/>
      <c r="T613" s="154"/>
      <c r="V613" s="200"/>
      <c r="W613" s="200"/>
      <c r="X613" s="200"/>
      <c r="Y613" s="200"/>
      <c r="Z613" s="328"/>
      <c r="AA613" s="200"/>
      <c r="AB613" s="200"/>
      <c r="AC613" s="210"/>
      <c r="AD613" s="210"/>
      <c r="AE613" s="200"/>
      <c r="AF613" s="200"/>
      <c r="AG613" s="209"/>
      <c r="AH613" s="201"/>
      <c r="AI613" s="252"/>
      <c r="AJ613" s="252"/>
      <c r="AK613" s="209"/>
      <c r="AL613" s="200"/>
      <c r="AM613" s="210"/>
      <c r="AN613" s="210"/>
    </row>
    <row r="614" spans="1:40" x14ac:dyDescent="0.25">
      <c r="F614" s="200"/>
      <c r="H614" s="211"/>
      <c r="I614" s="211"/>
      <c r="J614" s="305"/>
      <c r="K614" s="305"/>
      <c r="L614" s="211"/>
      <c r="M614" s="211"/>
      <c r="N614" s="211"/>
      <c r="O614" s="211"/>
      <c r="P614" s="211"/>
      <c r="Q614" s="211"/>
      <c r="R614" s="211"/>
      <c r="V614" s="211"/>
      <c r="Y614" s="211"/>
      <c r="Z614" s="305"/>
      <c r="AA614" s="211"/>
      <c r="AB614" s="211"/>
      <c r="AC614" s="211"/>
      <c r="AD614" s="211"/>
      <c r="AE614" s="211"/>
      <c r="AF614" s="211"/>
      <c r="AI614" s="211"/>
      <c r="AJ614" s="211"/>
      <c r="AK614" s="212"/>
      <c r="AL614" s="211"/>
    </row>
    <row r="615" spans="1:40" x14ac:dyDescent="0.25">
      <c r="A615" s="202"/>
      <c r="C615" s="154"/>
      <c r="F615" s="211"/>
      <c r="H615" s="200"/>
      <c r="I615" s="200"/>
      <c r="L615" s="200"/>
      <c r="M615" s="200"/>
      <c r="N615" s="210"/>
      <c r="O615" s="210"/>
      <c r="P615" s="200"/>
      <c r="Q615" s="200"/>
      <c r="R615" s="200"/>
      <c r="T615" s="154"/>
      <c r="V615" s="200"/>
      <c r="W615" s="200"/>
      <c r="X615" s="200"/>
      <c r="Y615" s="200"/>
      <c r="AA615" s="200"/>
      <c r="AB615" s="200"/>
      <c r="AC615" s="210"/>
      <c r="AD615" s="210"/>
      <c r="AE615" s="200"/>
      <c r="AF615" s="200"/>
      <c r="AG615" s="209"/>
      <c r="AH615" s="201"/>
      <c r="AI615" s="200"/>
      <c r="AJ615" s="200"/>
      <c r="AK615" s="209"/>
      <c r="AL615" s="200"/>
      <c r="AM615" s="201"/>
      <c r="AN615" s="201"/>
    </row>
    <row r="616" spans="1:40" x14ac:dyDescent="0.25">
      <c r="F616" s="200"/>
      <c r="H616" s="211"/>
      <c r="I616" s="211"/>
      <c r="J616" s="305"/>
      <c r="K616" s="305"/>
      <c r="L616" s="211"/>
      <c r="M616" s="211"/>
      <c r="N616" s="211"/>
      <c r="O616" s="211"/>
      <c r="P616" s="211"/>
      <c r="Q616" s="211"/>
      <c r="R616" s="211"/>
      <c r="V616" s="211"/>
      <c r="Y616" s="211"/>
      <c r="Z616" s="305"/>
      <c r="AA616" s="211"/>
      <c r="AB616" s="211"/>
      <c r="AC616" s="211"/>
      <c r="AD616" s="211"/>
      <c r="AE616" s="211"/>
      <c r="AF616" s="211"/>
      <c r="AI616" s="211"/>
      <c r="AJ616" s="211"/>
      <c r="AK616" s="212"/>
      <c r="AL616" s="211"/>
    </row>
    <row r="618" spans="1:40" x14ac:dyDescent="0.25">
      <c r="C618" s="202"/>
      <c r="F618" s="211"/>
      <c r="T618" s="202"/>
    </row>
    <row r="619" spans="1:40" x14ac:dyDescent="0.25">
      <c r="A619" s="154"/>
    </row>
    <row r="620" spans="1:40" x14ac:dyDescent="0.25">
      <c r="J620" s="202"/>
      <c r="K620" s="202"/>
      <c r="Z620" s="202"/>
    </row>
    <row r="621" spans="1:40" x14ac:dyDescent="0.25">
      <c r="H621" s="154"/>
      <c r="I621" s="154"/>
      <c r="Y621" s="154"/>
    </row>
    <row r="622" spans="1:40" x14ac:dyDescent="0.25">
      <c r="J622" s="202"/>
      <c r="K622" s="202"/>
      <c r="Z622" s="202"/>
    </row>
    <row r="623" spans="1:40" x14ac:dyDescent="0.25">
      <c r="L623" s="154"/>
      <c r="M623" s="154"/>
      <c r="AA623" s="154"/>
      <c r="AB623" s="154"/>
    </row>
    <row r="624" spans="1:40" x14ac:dyDescent="0.25">
      <c r="A624" s="202"/>
      <c r="R624" s="154"/>
      <c r="AK624" s="297"/>
      <c r="AL624" s="154"/>
    </row>
    <row r="625" spans="1:40" x14ac:dyDescent="0.25">
      <c r="A625" s="202"/>
      <c r="R625" s="154"/>
      <c r="AK625" s="297"/>
      <c r="AL625" s="154"/>
    </row>
    <row r="626" spans="1:40" x14ac:dyDescent="0.25">
      <c r="A626" s="154"/>
      <c r="R626" s="154"/>
      <c r="AK626" s="297"/>
      <c r="AL626" s="154"/>
    </row>
    <row r="627" spans="1:40" x14ac:dyDescent="0.25">
      <c r="L627" s="154"/>
      <c r="M627" s="154"/>
      <c r="R627" s="202"/>
      <c r="AA627" s="154"/>
      <c r="AB627" s="154"/>
      <c r="AK627" s="209"/>
      <c r="AL627" s="202"/>
    </row>
    <row r="628" spans="1:40" x14ac:dyDescent="0.25">
      <c r="A628" s="102"/>
      <c r="B628" s="102"/>
      <c r="C628" s="102"/>
      <c r="D628" s="102"/>
      <c r="E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208"/>
      <c r="AH628" s="102"/>
      <c r="AI628" s="102"/>
      <c r="AJ628" s="102"/>
      <c r="AK628" s="208"/>
      <c r="AL628" s="102"/>
      <c r="AM628" s="102"/>
      <c r="AN628" s="102"/>
    </row>
    <row r="629" spans="1:40" x14ac:dyDescent="0.25">
      <c r="F629" s="102"/>
      <c r="L629" s="103"/>
      <c r="M629" s="103"/>
      <c r="N629" s="103"/>
      <c r="O629" s="103"/>
      <c r="R629" s="103"/>
      <c r="AA629" s="103"/>
      <c r="AB629" s="103"/>
      <c r="AC629" s="103"/>
      <c r="AD629" s="103"/>
      <c r="AE629" s="103"/>
      <c r="AF629" s="103"/>
      <c r="AG629" s="185"/>
      <c r="AH629" s="103"/>
      <c r="AK629" s="185"/>
      <c r="AL629" s="103"/>
      <c r="AM629" s="103"/>
      <c r="AN629" s="103"/>
    </row>
    <row r="630" spans="1:40" x14ac:dyDescent="0.25">
      <c r="L630" s="103"/>
      <c r="M630" s="103"/>
      <c r="N630" s="103"/>
      <c r="O630" s="103"/>
      <c r="R630" s="103"/>
      <c r="Z630" s="103"/>
      <c r="AA630" s="103"/>
      <c r="AB630" s="103"/>
      <c r="AC630" s="103"/>
      <c r="AD630" s="103"/>
      <c r="AE630" s="103"/>
      <c r="AF630" s="103"/>
      <c r="AG630" s="185"/>
      <c r="AH630" s="103"/>
      <c r="AK630" s="185"/>
      <c r="AL630" s="103"/>
      <c r="AM630" s="103"/>
      <c r="AN630" s="103"/>
    </row>
    <row r="631" spans="1:40" x14ac:dyDescent="0.25">
      <c r="A631" s="103"/>
      <c r="C631" s="103"/>
      <c r="D631" s="103"/>
      <c r="E631" s="103"/>
      <c r="J631" s="103"/>
      <c r="K631" s="103"/>
      <c r="L631" s="103"/>
      <c r="M631" s="103"/>
      <c r="N631" s="103"/>
      <c r="O631" s="103"/>
      <c r="P631" s="103"/>
      <c r="Q631" s="103"/>
      <c r="R631" s="103"/>
      <c r="T631" s="103"/>
      <c r="U631" s="103"/>
      <c r="V631" s="103"/>
      <c r="Z631" s="103"/>
      <c r="AA631" s="103"/>
      <c r="AB631" s="103"/>
      <c r="AC631" s="103"/>
      <c r="AD631" s="103"/>
      <c r="AE631" s="103"/>
      <c r="AF631" s="103"/>
      <c r="AG631" s="185"/>
      <c r="AH631" s="103"/>
      <c r="AI631" s="103"/>
      <c r="AJ631" s="103"/>
      <c r="AK631" s="185"/>
      <c r="AL631" s="103"/>
      <c r="AM631" s="103"/>
      <c r="AN631" s="103"/>
    </row>
    <row r="632" spans="1:40" x14ac:dyDescent="0.25">
      <c r="A632" s="103"/>
      <c r="C632" s="103"/>
      <c r="D632" s="103"/>
      <c r="E632" s="103"/>
      <c r="F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T632" s="103"/>
      <c r="U632" s="103"/>
      <c r="V632" s="103"/>
      <c r="Y632" s="103"/>
      <c r="Z632" s="103"/>
      <c r="AA632" s="103"/>
      <c r="AB632" s="103"/>
      <c r="AC632" s="103"/>
      <c r="AD632" s="103"/>
      <c r="AE632" s="103"/>
      <c r="AF632" s="103"/>
      <c r="AG632" s="185"/>
      <c r="AH632" s="103"/>
      <c r="AI632" s="103"/>
      <c r="AJ632" s="103"/>
      <c r="AK632" s="185"/>
      <c r="AL632" s="103"/>
      <c r="AM632" s="103"/>
      <c r="AN632" s="103"/>
    </row>
    <row r="633" spans="1:40" x14ac:dyDescent="0.25">
      <c r="C633" s="103"/>
      <c r="D633" s="103"/>
      <c r="E633" s="103"/>
      <c r="F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T633" s="103"/>
      <c r="U633" s="103"/>
      <c r="V633" s="103"/>
      <c r="Y633" s="103"/>
      <c r="Z633" s="103"/>
      <c r="AA633" s="103"/>
      <c r="AB633" s="103"/>
      <c r="AC633" s="103"/>
      <c r="AD633" s="103"/>
      <c r="AE633" s="103"/>
      <c r="AF633" s="103"/>
      <c r="AG633" s="185"/>
      <c r="AH633" s="103"/>
      <c r="AI633" s="103"/>
      <c r="AJ633" s="103"/>
      <c r="AK633" s="185"/>
      <c r="AL633" s="103"/>
      <c r="AM633" s="103"/>
      <c r="AN633" s="103"/>
    </row>
    <row r="634" spans="1:40" x14ac:dyDescent="0.25">
      <c r="A634" s="102"/>
      <c r="B634" s="102"/>
      <c r="C634" s="102"/>
      <c r="D634" s="102"/>
      <c r="E634" s="102"/>
      <c r="F634" s="103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208"/>
      <c r="AH634" s="102"/>
      <c r="AI634" s="102"/>
      <c r="AJ634" s="102"/>
      <c r="AK634" s="208"/>
      <c r="AL634" s="102"/>
      <c r="AM634" s="102"/>
      <c r="AN634" s="102"/>
    </row>
    <row r="635" spans="1:40" x14ac:dyDescent="0.25">
      <c r="F635" s="102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Y635" s="103"/>
      <c r="Z635" s="103"/>
      <c r="AA635" s="103"/>
      <c r="AB635" s="103"/>
      <c r="AC635" s="103"/>
      <c r="AD635" s="103"/>
      <c r="AE635" s="103"/>
      <c r="AF635" s="103"/>
      <c r="AG635" s="185"/>
      <c r="AH635" s="103"/>
      <c r="AI635" s="103"/>
      <c r="AJ635" s="103"/>
      <c r="AK635" s="185"/>
      <c r="AL635" s="103"/>
      <c r="AM635" s="103"/>
      <c r="AN635" s="103"/>
    </row>
    <row r="636" spans="1:40" x14ac:dyDescent="0.25">
      <c r="A636" s="202"/>
      <c r="C636" s="154"/>
      <c r="D636" s="154"/>
      <c r="E636" s="154"/>
      <c r="H636" s="200"/>
      <c r="I636" s="200"/>
      <c r="J636" s="213"/>
      <c r="K636" s="213"/>
      <c r="L636" s="200"/>
      <c r="M636" s="200"/>
      <c r="N636" s="213"/>
      <c r="O636" s="213"/>
      <c r="P636" s="200"/>
      <c r="Q636" s="200"/>
      <c r="R636" s="200"/>
      <c r="T636" s="154"/>
      <c r="U636" s="154"/>
      <c r="V636" s="200"/>
      <c r="Y636" s="200"/>
      <c r="Z636" s="213"/>
      <c r="AA636" s="200"/>
      <c r="AB636" s="200"/>
      <c r="AC636" s="213"/>
      <c r="AD636" s="213"/>
      <c r="AE636" s="200"/>
      <c r="AF636" s="200"/>
      <c r="AG636" s="209"/>
      <c r="AH636" s="201"/>
      <c r="AI636" s="200"/>
      <c r="AJ636" s="200"/>
      <c r="AK636" s="209"/>
      <c r="AL636" s="200"/>
      <c r="AM636" s="210"/>
      <c r="AN636" s="210"/>
    </row>
    <row r="637" spans="1:40" x14ac:dyDescent="0.25">
      <c r="F637" s="200"/>
      <c r="H637" s="211"/>
      <c r="I637" s="211"/>
      <c r="J637" s="305"/>
      <c r="K637" s="305"/>
      <c r="L637" s="211"/>
      <c r="M637" s="211"/>
      <c r="N637" s="211"/>
      <c r="O637" s="211"/>
      <c r="P637" s="211"/>
      <c r="Q637" s="211"/>
      <c r="R637" s="211"/>
      <c r="V637" s="211"/>
      <c r="Y637" s="211"/>
      <c r="Z637" s="305"/>
      <c r="AA637" s="211"/>
      <c r="AB637" s="211"/>
      <c r="AC637" s="211"/>
      <c r="AD637" s="211"/>
      <c r="AE637" s="211"/>
      <c r="AF637" s="211"/>
      <c r="AI637" s="211"/>
      <c r="AJ637" s="211"/>
      <c r="AK637" s="212"/>
      <c r="AL637" s="211"/>
      <c r="AM637" s="210"/>
      <c r="AN637" s="210"/>
    </row>
    <row r="638" spans="1:40" x14ac:dyDescent="0.25">
      <c r="A638" s="202"/>
      <c r="C638" s="154"/>
      <c r="F638" s="211"/>
      <c r="H638" s="200"/>
      <c r="I638" s="200"/>
      <c r="J638" s="213"/>
      <c r="K638" s="213"/>
      <c r="L638" s="200"/>
      <c r="M638" s="200"/>
      <c r="N638" s="213"/>
      <c r="O638" s="213"/>
      <c r="P638" s="200"/>
      <c r="Q638" s="200"/>
      <c r="R638" s="200"/>
      <c r="T638" s="154"/>
      <c r="V638" s="200"/>
      <c r="Y638" s="200"/>
      <c r="Z638" s="213"/>
      <c r="AA638" s="200"/>
      <c r="AB638" s="200"/>
      <c r="AC638" s="213"/>
      <c r="AD638" s="213"/>
      <c r="AE638" s="200"/>
      <c r="AF638" s="200"/>
      <c r="AG638" s="209"/>
      <c r="AH638" s="201"/>
      <c r="AI638" s="200"/>
      <c r="AJ638" s="200"/>
      <c r="AK638" s="209"/>
      <c r="AL638" s="200"/>
      <c r="AM638" s="210"/>
      <c r="AN638" s="210"/>
    </row>
    <row r="639" spans="1:40" x14ac:dyDescent="0.25">
      <c r="F639" s="200"/>
      <c r="H639" s="200"/>
      <c r="I639" s="200"/>
      <c r="J639" s="213"/>
      <c r="K639" s="213"/>
      <c r="L639" s="200"/>
      <c r="M639" s="200"/>
      <c r="N639" s="213"/>
      <c r="O639" s="213"/>
      <c r="P639" s="200"/>
      <c r="Q639" s="200"/>
      <c r="R639" s="200"/>
      <c r="V639" s="200"/>
      <c r="Y639" s="200"/>
      <c r="Z639" s="213"/>
      <c r="AA639" s="200"/>
      <c r="AB639" s="200"/>
      <c r="AC639" s="213"/>
      <c r="AD639" s="213"/>
      <c r="AG639" s="209"/>
      <c r="AH639" s="201"/>
      <c r="AI639" s="200"/>
      <c r="AJ639" s="200"/>
      <c r="AK639" s="209"/>
      <c r="AL639" s="200"/>
      <c r="AM639" s="210"/>
      <c r="AN639" s="210"/>
    </row>
    <row r="640" spans="1:40" x14ac:dyDescent="0.25">
      <c r="A640" s="202"/>
      <c r="C640" s="154"/>
      <c r="D640" s="154"/>
      <c r="E640" s="154"/>
      <c r="F640" s="200"/>
      <c r="H640" s="200"/>
      <c r="I640" s="200"/>
      <c r="J640" s="213"/>
      <c r="K640" s="213"/>
      <c r="L640" s="200"/>
      <c r="M640" s="200"/>
      <c r="N640" s="213"/>
      <c r="O640" s="213"/>
      <c r="P640" s="200"/>
      <c r="Q640" s="200"/>
      <c r="R640" s="200"/>
      <c r="T640" s="154"/>
      <c r="U640" s="154"/>
      <c r="V640" s="200"/>
      <c r="Y640" s="200"/>
      <c r="Z640" s="213"/>
      <c r="AA640" s="200"/>
      <c r="AB640" s="200"/>
      <c r="AC640" s="213"/>
      <c r="AD640" s="213"/>
      <c r="AE640" s="200"/>
      <c r="AF640" s="200"/>
      <c r="AG640" s="209"/>
      <c r="AH640" s="201"/>
      <c r="AI640" s="200"/>
      <c r="AJ640" s="200"/>
      <c r="AK640" s="209"/>
      <c r="AL640" s="200"/>
      <c r="AM640" s="210"/>
      <c r="AN640" s="210"/>
    </row>
    <row r="641" spans="1:40" x14ac:dyDescent="0.25">
      <c r="A641" s="202"/>
      <c r="C641" s="154"/>
      <c r="D641" s="154"/>
      <c r="E641" s="154"/>
      <c r="F641" s="200"/>
      <c r="H641" s="200"/>
      <c r="I641" s="200"/>
      <c r="J641" s="213"/>
      <c r="K641" s="213"/>
      <c r="L641" s="200"/>
      <c r="M641" s="200"/>
      <c r="N641" s="213"/>
      <c r="O641" s="213"/>
      <c r="P641" s="200"/>
      <c r="Q641" s="200"/>
      <c r="R641" s="200"/>
      <c r="T641" s="154"/>
      <c r="U641" s="154"/>
      <c r="V641" s="200"/>
      <c r="Y641" s="200"/>
      <c r="Z641" s="213"/>
      <c r="AA641" s="200"/>
      <c r="AB641" s="200"/>
      <c r="AC641" s="213"/>
      <c r="AD641" s="213"/>
      <c r="AE641" s="200"/>
      <c r="AF641" s="200"/>
      <c r="AG641" s="209"/>
      <c r="AH641" s="201"/>
      <c r="AI641" s="200"/>
      <c r="AJ641" s="200"/>
      <c r="AK641" s="209"/>
      <c r="AL641" s="200"/>
      <c r="AM641" s="210"/>
      <c r="AN641" s="210"/>
    </row>
    <row r="642" spans="1:40" x14ac:dyDescent="0.25">
      <c r="A642" s="202"/>
      <c r="C642" s="154"/>
      <c r="D642" s="154"/>
      <c r="E642" s="154"/>
      <c r="F642" s="200"/>
      <c r="H642" s="200"/>
      <c r="I642" s="200"/>
      <c r="J642" s="213"/>
      <c r="K642" s="213"/>
      <c r="L642" s="200"/>
      <c r="M642" s="200"/>
      <c r="N642" s="213"/>
      <c r="O642" s="213"/>
      <c r="P642" s="200"/>
      <c r="Q642" s="200"/>
      <c r="R642" s="200"/>
      <c r="T642" s="154"/>
      <c r="U642" s="154"/>
      <c r="V642" s="200"/>
      <c r="Y642" s="200"/>
      <c r="Z642" s="213"/>
      <c r="AA642" s="200"/>
      <c r="AB642" s="200"/>
      <c r="AC642" s="213"/>
      <c r="AD642" s="213"/>
      <c r="AE642" s="200"/>
      <c r="AF642" s="200"/>
      <c r="AG642" s="209"/>
      <c r="AH642" s="201"/>
      <c r="AI642" s="200"/>
      <c r="AJ642" s="200"/>
      <c r="AK642" s="209"/>
      <c r="AL642" s="200"/>
      <c r="AM642" s="210"/>
      <c r="AN642" s="210"/>
    </row>
    <row r="643" spans="1:40" x14ac:dyDescent="0.25">
      <c r="A643" s="202"/>
      <c r="C643" s="154"/>
      <c r="D643" s="154"/>
      <c r="E643" s="154"/>
      <c r="F643" s="200"/>
      <c r="H643" s="200"/>
      <c r="I643" s="200"/>
      <c r="J643" s="213"/>
      <c r="K643" s="213"/>
      <c r="L643" s="200"/>
      <c r="M643" s="200"/>
      <c r="N643" s="213"/>
      <c r="O643" s="213"/>
      <c r="P643" s="200"/>
      <c r="Q643" s="200"/>
      <c r="R643" s="200"/>
      <c r="T643" s="154"/>
      <c r="U643" s="154"/>
      <c r="V643" s="200"/>
      <c r="Y643" s="200"/>
      <c r="Z643" s="213"/>
      <c r="AA643" s="200"/>
      <c r="AB643" s="200"/>
      <c r="AC643" s="213"/>
      <c r="AD643" s="213"/>
      <c r="AE643" s="200"/>
      <c r="AF643" s="200"/>
      <c r="AG643" s="209"/>
      <c r="AH643" s="201"/>
      <c r="AI643" s="200"/>
      <c r="AJ643" s="200"/>
      <c r="AK643" s="209"/>
      <c r="AL643" s="200"/>
      <c r="AM643" s="210"/>
      <c r="AN643" s="210"/>
    </row>
    <row r="644" spans="1:40" x14ac:dyDescent="0.25">
      <c r="A644" s="202"/>
      <c r="C644" s="154"/>
      <c r="D644" s="154"/>
      <c r="E644" s="154"/>
      <c r="F644" s="200"/>
      <c r="H644" s="200"/>
      <c r="I644" s="200"/>
      <c r="J644" s="213"/>
      <c r="K644" s="213"/>
      <c r="L644" s="200"/>
      <c r="M644" s="200"/>
      <c r="N644" s="213"/>
      <c r="O644" s="213"/>
      <c r="P644" s="200"/>
      <c r="Q644" s="200"/>
      <c r="R644" s="200"/>
      <c r="T644" s="154"/>
      <c r="U644" s="154"/>
      <c r="V644" s="200"/>
      <c r="Y644" s="200"/>
      <c r="Z644" s="213"/>
      <c r="AA644" s="200"/>
      <c r="AB644" s="200"/>
      <c r="AC644" s="213"/>
      <c r="AD644" s="213"/>
      <c r="AE644" s="200"/>
      <c r="AF644" s="200"/>
      <c r="AG644" s="209"/>
      <c r="AH644" s="201"/>
      <c r="AI644" s="200"/>
      <c r="AJ644" s="200"/>
      <c r="AK644" s="209"/>
      <c r="AL644" s="200"/>
      <c r="AM644" s="210"/>
      <c r="AN644" s="210"/>
    </row>
    <row r="645" spans="1:40" x14ac:dyDescent="0.25">
      <c r="A645" s="202"/>
      <c r="C645" s="154"/>
      <c r="D645" s="154"/>
      <c r="E645" s="154"/>
      <c r="F645" s="200"/>
      <c r="H645" s="200"/>
      <c r="I645" s="200"/>
      <c r="J645" s="213"/>
      <c r="K645" s="213"/>
      <c r="L645" s="200"/>
      <c r="M645" s="200"/>
      <c r="N645" s="213"/>
      <c r="O645" s="213"/>
      <c r="P645" s="200"/>
      <c r="Q645" s="200"/>
      <c r="R645" s="200"/>
      <c r="T645" s="154"/>
      <c r="U645" s="154"/>
      <c r="V645" s="200"/>
      <c r="Y645" s="200"/>
      <c r="Z645" s="213"/>
      <c r="AA645" s="200"/>
      <c r="AB645" s="200"/>
      <c r="AC645" s="213"/>
      <c r="AD645" s="213"/>
      <c r="AE645" s="200"/>
      <c r="AF645" s="200"/>
      <c r="AG645" s="209"/>
      <c r="AH645" s="201"/>
      <c r="AI645" s="200"/>
      <c r="AJ645" s="200"/>
      <c r="AK645" s="209"/>
      <c r="AL645" s="200"/>
      <c r="AM645" s="210"/>
      <c r="AN645" s="210"/>
    </row>
    <row r="646" spans="1:40" x14ac:dyDescent="0.25">
      <c r="F646" s="200"/>
      <c r="H646" s="211"/>
      <c r="I646" s="211"/>
      <c r="J646" s="305"/>
      <c r="K646" s="305"/>
      <c r="L646" s="211"/>
      <c r="M646" s="211"/>
      <c r="N646" s="211"/>
      <c r="O646" s="211"/>
      <c r="P646" s="211"/>
      <c r="Q646" s="211"/>
      <c r="R646" s="211"/>
      <c r="V646" s="211"/>
      <c r="Y646" s="211"/>
      <c r="Z646" s="305"/>
      <c r="AA646" s="211"/>
      <c r="AB646" s="211"/>
      <c r="AC646" s="211"/>
      <c r="AD646" s="211"/>
      <c r="AE646" s="211"/>
      <c r="AF646" s="211"/>
      <c r="AI646" s="211"/>
      <c r="AJ646" s="211"/>
      <c r="AK646" s="212"/>
      <c r="AL646" s="211"/>
      <c r="AM646" s="210"/>
      <c r="AN646" s="210"/>
    </row>
    <row r="647" spans="1:40" x14ac:dyDescent="0.25">
      <c r="A647" s="202"/>
      <c r="C647" s="154"/>
      <c r="F647" s="211"/>
      <c r="H647" s="200"/>
      <c r="I647" s="200"/>
      <c r="J647" s="213"/>
      <c r="K647" s="213"/>
      <c r="L647" s="200"/>
      <c r="M647" s="200"/>
      <c r="N647" s="213"/>
      <c r="O647" s="213"/>
      <c r="P647" s="200"/>
      <c r="Q647" s="200"/>
      <c r="R647" s="200"/>
      <c r="T647" s="154"/>
      <c r="V647" s="200"/>
      <c r="Y647" s="200"/>
      <c r="Z647" s="213"/>
      <c r="AA647" s="200"/>
      <c r="AB647" s="200"/>
      <c r="AC647" s="213"/>
      <c r="AD647" s="213"/>
      <c r="AE647" s="200"/>
      <c r="AF647" s="200"/>
      <c r="AG647" s="209"/>
      <c r="AH647" s="201"/>
      <c r="AI647" s="200"/>
      <c r="AJ647" s="200"/>
      <c r="AK647" s="209"/>
      <c r="AL647" s="200"/>
      <c r="AM647" s="210"/>
      <c r="AN647" s="210"/>
    </row>
    <row r="648" spans="1:40" x14ac:dyDescent="0.25">
      <c r="F648" s="200"/>
      <c r="H648" s="200"/>
      <c r="I648" s="200"/>
      <c r="J648" s="213"/>
      <c r="K648" s="213"/>
      <c r="L648" s="200"/>
      <c r="M648" s="200"/>
      <c r="N648" s="213"/>
      <c r="O648" s="213"/>
      <c r="P648" s="200"/>
      <c r="Q648" s="200"/>
      <c r="R648" s="200"/>
      <c r="V648" s="200"/>
      <c r="Y648" s="200"/>
      <c r="Z648" s="213"/>
      <c r="AA648" s="200"/>
      <c r="AB648" s="200"/>
      <c r="AC648" s="213"/>
      <c r="AD648" s="213"/>
      <c r="AG648" s="209"/>
      <c r="AH648" s="201"/>
      <c r="AI648" s="200"/>
      <c r="AJ648" s="200"/>
      <c r="AK648" s="209"/>
      <c r="AL648" s="200"/>
      <c r="AM648" s="210"/>
      <c r="AN648" s="210"/>
    </row>
    <row r="649" spans="1:40" x14ac:dyDescent="0.25">
      <c r="A649" s="202"/>
      <c r="C649" s="154"/>
      <c r="D649" s="154"/>
      <c r="E649" s="154"/>
      <c r="F649" s="200"/>
      <c r="H649" s="200"/>
      <c r="I649" s="200"/>
      <c r="J649" s="213"/>
      <c r="K649" s="213"/>
      <c r="L649" s="200"/>
      <c r="M649" s="200"/>
      <c r="N649" s="213"/>
      <c r="O649" s="213"/>
      <c r="P649" s="200"/>
      <c r="Q649" s="200"/>
      <c r="R649" s="200"/>
      <c r="T649" s="154"/>
      <c r="U649" s="154"/>
      <c r="V649" s="200"/>
      <c r="Y649" s="200"/>
      <c r="Z649" s="213"/>
      <c r="AA649" s="200"/>
      <c r="AB649" s="200"/>
      <c r="AC649" s="213"/>
      <c r="AD649" s="213"/>
      <c r="AE649" s="200"/>
      <c r="AF649" s="200"/>
      <c r="AG649" s="209"/>
      <c r="AH649" s="201"/>
      <c r="AI649" s="200"/>
      <c r="AJ649" s="200"/>
      <c r="AK649" s="209"/>
      <c r="AL649" s="200"/>
      <c r="AM649" s="210"/>
      <c r="AN649" s="210"/>
    </row>
    <row r="650" spans="1:40" x14ac:dyDescent="0.25">
      <c r="F650" s="200"/>
      <c r="H650" s="211"/>
      <c r="I650" s="211"/>
      <c r="J650" s="305"/>
      <c r="K650" s="305"/>
      <c r="L650" s="211"/>
      <c r="M650" s="211"/>
      <c r="N650" s="211"/>
      <c r="O650" s="211"/>
      <c r="P650" s="211"/>
      <c r="Q650" s="211"/>
      <c r="R650" s="211"/>
      <c r="V650" s="211"/>
      <c r="Y650" s="211"/>
      <c r="Z650" s="305"/>
      <c r="AA650" s="211"/>
      <c r="AB650" s="211"/>
      <c r="AC650" s="211"/>
      <c r="AD650" s="211"/>
      <c r="AE650" s="211"/>
      <c r="AF650" s="211"/>
      <c r="AI650" s="211"/>
      <c r="AJ650" s="211"/>
      <c r="AK650" s="212"/>
      <c r="AL650" s="211"/>
      <c r="AM650" s="210"/>
      <c r="AN650" s="210"/>
    </row>
    <row r="651" spans="1:40" x14ac:dyDescent="0.25">
      <c r="A651" s="202"/>
      <c r="C651" s="154"/>
      <c r="F651" s="211"/>
      <c r="H651" s="200"/>
      <c r="I651" s="200"/>
      <c r="J651" s="213"/>
      <c r="K651" s="213"/>
      <c r="L651" s="200"/>
      <c r="M651" s="200"/>
      <c r="N651" s="213"/>
      <c r="O651" s="213"/>
      <c r="P651" s="200"/>
      <c r="Q651" s="200"/>
      <c r="R651" s="200"/>
      <c r="T651" s="154"/>
      <c r="V651" s="200"/>
      <c r="Y651" s="200"/>
      <c r="Z651" s="213"/>
      <c r="AA651" s="200"/>
      <c r="AB651" s="200"/>
      <c r="AC651" s="213"/>
      <c r="AD651" s="213"/>
      <c r="AE651" s="200"/>
      <c r="AF651" s="200"/>
      <c r="AG651" s="209"/>
      <c r="AH651" s="201"/>
      <c r="AI651" s="200"/>
      <c r="AJ651" s="200"/>
      <c r="AK651" s="209"/>
      <c r="AL651" s="200"/>
      <c r="AM651" s="210"/>
      <c r="AN651" s="210"/>
    </row>
    <row r="652" spans="1:40" x14ac:dyDescent="0.25">
      <c r="F652" s="200"/>
      <c r="H652" s="200"/>
      <c r="I652" s="200"/>
      <c r="J652" s="213"/>
      <c r="K652" s="213"/>
      <c r="L652" s="200"/>
      <c r="M652" s="200"/>
      <c r="N652" s="213"/>
      <c r="O652" s="213"/>
      <c r="P652" s="200"/>
      <c r="Q652" s="200"/>
      <c r="R652" s="200"/>
      <c r="V652" s="200"/>
      <c r="Y652" s="200"/>
      <c r="Z652" s="213"/>
      <c r="AA652" s="200"/>
      <c r="AB652" s="200"/>
      <c r="AC652" s="213"/>
      <c r="AD652" s="213"/>
      <c r="AG652" s="209"/>
      <c r="AH652" s="201"/>
      <c r="AI652" s="200"/>
      <c r="AJ652" s="200"/>
      <c r="AK652" s="209"/>
      <c r="AL652" s="200"/>
      <c r="AM652" s="210"/>
      <c r="AN652" s="210"/>
    </row>
    <row r="653" spans="1:40" x14ac:dyDescent="0.25">
      <c r="A653" s="202"/>
      <c r="C653" s="154"/>
      <c r="D653" s="154"/>
      <c r="E653" s="154"/>
      <c r="F653" s="200"/>
      <c r="H653" s="200"/>
      <c r="I653" s="200"/>
      <c r="J653" s="213"/>
      <c r="K653" s="213"/>
      <c r="L653" s="200"/>
      <c r="M653" s="200"/>
      <c r="N653" s="213"/>
      <c r="O653" s="213"/>
      <c r="P653" s="200"/>
      <c r="Q653" s="200"/>
      <c r="R653" s="200"/>
      <c r="T653" s="154"/>
      <c r="U653" s="154"/>
      <c r="V653" s="200"/>
      <c r="Y653" s="200"/>
      <c r="Z653" s="213"/>
      <c r="AA653" s="200"/>
      <c r="AB653" s="200"/>
      <c r="AC653" s="213"/>
      <c r="AD653" s="213"/>
      <c r="AE653" s="200"/>
      <c r="AF653" s="200"/>
      <c r="AG653" s="209"/>
      <c r="AH653" s="201"/>
      <c r="AI653" s="200"/>
      <c r="AJ653" s="200"/>
      <c r="AK653" s="209"/>
      <c r="AL653" s="200"/>
      <c r="AM653" s="210"/>
      <c r="AN653" s="210"/>
    </row>
    <row r="654" spans="1:40" x14ac:dyDescent="0.25">
      <c r="A654" s="202"/>
      <c r="C654" s="154"/>
      <c r="D654" s="154"/>
      <c r="E654" s="154"/>
      <c r="F654" s="200"/>
      <c r="G654" s="200"/>
      <c r="H654" s="200"/>
      <c r="I654" s="200"/>
      <c r="J654" s="213"/>
      <c r="K654" s="213"/>
      <c r="L654" s="200"/>
      <c r="M654" s="200"/>
      <c r="N654" s="213"/>
      <c r="O654" s="213"/>
      <c r="P654" s="200"/>
      <c r="Q654" s="200"/>
      <c r="R654" s="200"/>
      <c r="T654" s="154"/>
      <c r="U654" s="154"/>
      <c r="V654" s="200"/>
      <c r="W654" s="200"/>
      <c r="X654" s="200"/>
      <c r="Y654" s="200"/>
      <c r="Z654" s="213"/>
      <c r="AA654" s="200"/>
      <c r="AB654" s="200"/>
      <c r="AC654" s="213"/>
      <c r="AD654" s="213"/>
      <c r="AE654" s="200"/>
      <c r="AF654" s="200"/>
      <c r="AG654" s="209"/>
      <c r="AH654" s="201"/>
      <c r="AI654" s="200"/>
      <c r="AJ654" s="200"/>
      <c r="AK654" s="209"/>
      <c r="AL654" s="200"/>
      <c r="AM654" s="210"/>
      <c r="AN654" s="210"/>
    </row>
    <row r="655" spans="1:40" x14ac:dyDescent="0.25">
      <c r="A655" s="202"/>
      <c r="C655" s="154"/>
      <c r="D655" s="154"/>
      <c r="E655" s="154"/>
      <c r="F655" s="200"/>
      <c r="G655" s="200"/>
      <c r="H655" s="200"/>
      <c r="I655" s="200"/>
      <c r="J655" s="213"/>
      <c r="K655" s="213"/>
      <c r="L655" s="200"/>
      <c r="M655" s="200"/>
      <c r="N655" s="213"/>
      <c r="O655" s="213"/>
      <c r="P655" s="200"/>
      <c r="Q655" s="200"/>
      <c r="R655" s="200"/>
      <c r="T655" s="154"/>
      <c r="U655" s="154"/>
      <c r="V655" s="200"/>
      <c r="W655" s="200"/>
      <c r="X655" s="200"/>
      <c r="Y655" s="200"/>
      <c r="Z655" s="213"/>
      <c r="AA655" s="200"/>
      <c r="AB655" s="200"/>
      <c r="AC655" s="213"/>
      <c r="AD655" s="213"/>
      <c r="AE655" s="200"/>
      <c r="AF655" s="200"/>
      <c r="AG655" s="209"/>
      <c r="AH655" s="201"/>
      <c r="AI655" s="200"/>
      <c r="AJ655" s="200"/>
      <c r="AK655" s="209"/>
      <c r="AL655" s="200"/>
      <c r="AM655" s="210"/>
      <c r="AN655" s="210"/>
    </row>
    <row r="656" spans="1:40" x14ac:dyDescent="0.25">
      <c r="A656" s="202"/>
      <c r="C656" s="154"/>
      <c r="D656" s="154"/>
      <c r="E656" s="154"/>
      <c r="F656" s="200"/>
      <c r="H656" s="200"/>
      <c r="I656" s="200"/>
      <c r="J656" s="213"/>
      <c r="K656" s="213"/>
      <c r="L656" s="200"/>
      <c r="M656" s="200"/>
      <c r="N656" s="213"/>
      <c r="O656" s="213"/>
      <c r="P656" s="200"/>
      <c r="Q656" s="200"/>
      <c r="R656" s="200"/>
      <c r="T656" s="154"/>
      <c r="U656" s="154"/>
      <c r="V656" s="200"/>
      <c r="Y656" s="200"/>
      <c r="Z656" s="213"/>
      <c r="AA656" s="200"/>
      <c r="AB656" s="200"/>
      <c r="AC656" s="213"/>
      <c r="AD656" s="213"/>
      <c r="AE656" s="200"/>
      <c r="AF656" s="200"/>
      <c r="AG656" s="209"/>
      <c r="AH656" s="201"/>
      <c r="AI656" s="200"/>
      <c r="AJ656" s="200"/>
      <c r="AK656" s="209"/>
      <c r="AL656" s="200"/>
      <c r="AM656" s="210"/>
      <c r="AN656" s="210"/>
    </row>
    <row r="657" spans="1:40" x14ac:dyDescent="0.25">
      <c r="A657" s="202"/>
      <c r="C657" s="154"/>
      <c r="D657" s="154"/>
      <c r="E657" s="154"/>
      <c r="F657" s="200"/>
      <c r="H657" s="200"/>
      <c r="I657" s="200"/>
      <c r="J657" s="213"/>
      <c r="K657" s="213"/>
      <c r="L657" s="200"/>
      <c r="M657" s="200"/>
      <c r="N657" s="213"/>
      <c r="O657" s="213"/>
      <c r="P657" s="200"/>
      <c r="Q657" s="200"/>
      <c r="R657" s="200"/>
      <c r="T657" s="154"/>
      <c r="U657" s="154"/>
      <c r="V657" s="200"/>
      <c r="Y657" s="200"/>
      <c r="Z657" s="213"/>
      <c r="AA657" s="200"/>
      <c r="AB657" s="200"/>
      <c r="AC657" s="213"/>
      <c r="AD657" s="213"/>
      <c r="AE657" s="200"/>
      <c r="AF657" s="200"/>
      <c r="AG657" s="209"/>
      <c r="AH657" s="201"/>
      <c r="AI657" s="200"/>
      <c r="AJ657" s="200"/>
      <c r="AK657" s="209"/>
      <c r="AL657" s="200"/>
      <c r="AM657" s="210"/>
      <c r="AN657" s="210"/>
    </row>
    <row r="658" spans="1:40" x14ac:dyDescent="0.25">
      <c r="A658" s="202"/>
      <c r="C658" s="154"/>
      <c r="D658" s="154"/>
      <c r="E658" s="154"/>
      <c r="F658" s="200"/>
      <c r="H658" s="200"/>
      <c r="I658" s="200"/>
      <c r="J658" s="213"/>
      <c r="K658" s="213"/>
      <c r="L658" s="200"/>
      <c r="M658" s="200"/>
      <c r="N658" s="213"/>
      <c r="O658" s="213"/>
      <c r="P658" s="200"/>
      <c r="Q658" s="200"/>
      <c r="R658" s="200"/>
      <c r="T658" s="154"/>
      <c r="U658" s="154"/>
      <c r="V658" s="200"/>
      <c r="Y658" s="200"/>
      <c r="Z658" s="213"/>
      <c r="AA658" s="200"/>
      <c r="AB658" s="200"/>
      <c r="AC658" s="213"/>
      <c r="AD658" s="213"/>
      <c r="AE658" s="200"/>
      <c r="AF658" s="200"/>
      <c r="AG658" s="209"/>
      <c r="AH658" s="201"/>
      <c r="AI658" s="200"/>
      <c r="AJ658" s="200"/>
      <c r="AK658" s="209"/>
      <c r="AL658" s="200"/>
      <c r="AM658" s="210"/>
      <c r="AN658" s="210"/>
    </row>
    <row r="659" spans="1:40" x14ac:dyDescent="0.25">
      <c r="A659" s="202"/>
      <c r="C659" s="154"/>
      <c r="D659" s="154"/>
      <c r="E659" s="154"/>
      <c r="F659" s="200"/>
      <c r="H659" s="200"/>
      <c r="I659" s="200"/>
      <c r="J659" s="213"/>
      <c r="K659" s="213"/>
      <c r="L659" s="200"/>
      <c r="M659" s="200"/>
      <c r="N659" s="213"/>
      <c r="O659" s="213"/>
      <c r="P659" s="200"/>
      <c r="Q659" s="200"/>
      <c r="R659" s="200"/>
      <c r="T659" s="154"/>
      <c r="U659" s="154"/>
      <c r="V659" s="200"/>
      <c r="Y659" s="200"/>
      <c r="Z659" s="213"/>
      <c r="AA659" s="200"/>
      <c r="AB659" s="200"/>
      <c r="AC659" s="213"/>
      <c r="AD659" s="213"/>
      <c r="AE659" s="200"/>
      <c r="AF659" s="200"/>
      <c r="AG659" s="209"/>
      <c r="AH659" s="201"/>
      <c r="AI659" s="200"/>
      <c r="AJ659" s="200"/>
      <c r="AK659" s="209"/>
      <c r="AL659" s="200"/>
      <c r="AM659" s="210"/>
      <c r="AN659" s="210"/>
    </row>
    <row r="660" spans="1:40" x14ac:dyDescent="0.25">
      <c r="F660" s="200"/>
      <c r="H660" s="211"/>
      <c r="I660" s="211"/>
      <c r="J660" s="305"/>
      <c r="K660" s="305"/>
      <c r="L660" s="211"/>
      <c r="M660" s="211"/>
      <c r="N660" s="211"/>
      <c r="O660" s="211"/>
      <c r="P660" s="211"/>
      <c r="Q660" s="211"/>
      <c r="R660" s="211"/>
      <c r="V660" s="211"/>
      <c r="Y660" s="211"/>
      <c r="Z660" s="305"/>
      <c r="AA660" s="211"/>
      <c r="AB660" s="211"/>
      <c r="AC660" s="211"/>
      <c r="AD660" s="211"/>
      <c r="AE660" s="211"/>
      <c r="AF660" s="211"/>
      <c r="AI660" s="211"/>
      <c r="AJ660" s="211"/>
      <c r="AK660" s="212"/>
      <c r="AL660" s="211"/>
      <c r="AM660" s="210"/>
      <c r="AN660" s="210"/>
    </row>
    <row r="661" spans="1:40" x14ac:dyDescent="0.25">
      <c r="A661" s="202"/>
      <c r="C661" s="154"/>
      <c r="F661" s="211"/>
      <c r="H661" s="200"/>
      <c r="I661" s="200"/>
      <c r="J661" s="213"/>
      <c r="K661" s="213"/>
      <c r="L661" s="200"/>
      <c r="M661" s="200"/>
      <c r="N661" s="213"/>
      <c r="O661" s="213"/>
      <c r="P661" s="200"/>
      <c r="Q661" s="200"/>
      <c r="R661" s="200"/>
      <c r="T661" s="154"/>
      <c r="V661" s="200"/>
      <c r="Y661" s="200"/>
      <c r="Z661" s="213"/>
      <c r="AA661" s="200"/>
      <c r="AB661" s="200"/>
      <c r="AC661" s="213"/>
      <c r="AD661" s="213"/>
      <c r="AE661" s="200"/>
      <c r="AF661" s="200"/>
      <c r="AG661" s="209"/>
      <c r="AH661" s="201"/>
      <c r="AI661" s="200"/>
      <c r="AJ661" s="200"/>
      <c r="AK661" s="209"/>
      <c r="AL661" s="200"/>
      <c r="AM661" s="210"/>
      <c r="AN661" s="210"/>
    </row>
    <row r="662" spans="1:40" x14ac:dyDescent="0.25">
      <c r="F662" s="200"/>
      <c r="V662" s="200"/>
      <c r="Y662" s="200"/>
      <c r="Z662" s="305"/>
      <c r="AA662" s="200"/>
      <c r="AB662" s="200"/>
      <c r="AC662" s="200"/>
      <c r="AD662" s="200"/>
      <c r="AE662" s="200"/>
      <c r="AF662" s="200"/>
      <c r="AI662" s="200"/>
      <c r="AJ662" s="200"/>
      <c r="AK662" s="209"/>
      <c r="AL662" s="200"/>
      <c r="AM662" s="210"/>
      <c r="AN662" s="210"/>
    </row>
    <row r="663" spans="1:40" x14ac:dyDescent="0.25">
      <c r="A663" s="202"/>
      <c r="C663" s="154"/>
      <c r="D663" s="154"/>
      <c r="E663" s="154"/>
      <c r="L663" s="200"/>
      <c r="M663" s="200"/>
      <c r="N663" s="213"/>
      <c r="O663" s="213"/>
      <c r="P663" s="202"/>
      <c r="Q663" s="202"/>
      <c r="R663" s="200"/>
      <c r="T663" s="154"/>
      <c r="U663" s="154"/>
      <c r="AA663" s="200"/>
      <c r="AB663" s="200"/>
      <c r="AC663" s="213"/>
      <c r="AD663" s="213"/>
      <c r="AE663" s="200"/>
      <c r="AF663" s="200"/>
      <c r="AG663" s="209"/>
      <c r="AH663" s="201"/>
      <c r="AI663" s="202"/>
      <c r="AJ663" s="202"/>
      <c r="AK663" s="209"/>
      <c r="AL663" s="200"/>
      <c r="AM663" s="210"/>
      <c r="AN663" s="210"/>
    </row>
    <row r="664" spans="1:40" x14ac:dyDescent="0.25">
      <c r="A664" s="202"/>
      <c r="D664" s="154"/>
      <c r="E664" s="154"/>
      <c r="H664" s="252"/>
      <c r="I664" s="252"/>
      <c r="J664" s="213"/>
      <c r="K664" s="213"/>
      <c r="L664" s="200"/>
      <c r="M664" s="200"/>
      <c r="N664" s="213"/>
      <c r="O664" s="213"/>
      <c r="P664" s="252"/>
      <c r="Q664" s="252"/>
      <c r="R664" s="200"/>
      <c r="U664" s="154"/>
      <c r="V664" s="200"/>
      <c r="Y664" s="200"/>
      <c r="Z664" s="213"/>
      <c r="AA664" s="200"/>
      <c r="AB664" s="200"/>
      <c r="AC664" s="213"/>
      <c r="AD664" s="213"/>
      <c r="AE664" s="200"/>
      <c r="AF664" s="200"/>
      <c r="AG664" s="209"/>
      <c r="AH664" s="201"/>
      <c r="AI664" s="200"/>
      <c r="AJ664" s="200"/>
      <c r="AK664" s="209"/>
      <c r="AL664" s="200"/>
      <c r="AM664" s="210"/>
      <c r="AN664" s="210"/>
    </row>
    <row r="665" spans="1:40" x14ac:dyDescent="0.25">
      <c r="F665" s="252"/>
      <c r="H665" s="211"/>
      <c r="I665" s="211"/>
      <c r="J665" s="305"/>
      <c r="K665" s="305"/>
      <c r="L665" s="211"/>
      <c r="M665" s="211"/>
      <c r="N665" s="211"/>
      <c r="O665" s="211"/>
      <c r="P665" s="211"/>
      <c r="Q665" s="211"/>
      <c r="R665" s="211"/>
      <c r="V665" s="211"/>
      <c r="Y665" s="211"/>
      <c r="Z665" s="305"/>
      <c r="AA665" s="211"/>
      <c r="AB665" s="211"/>
      <c r="AC665" s="211"/>
      <c r="AD665" s="211"/>
      <c r="AE665" s="211"/>
      <c r="AF665" s="211"/>
      <c r="AI665" s="211"/>
      <c r="AJ665" s="211"/>
      <c r="AK665" s="212"/>
      <c r="AL665" s="211"/>
      <c r="AM665" s="210"/>
      <c r="AN665" s="210"/>
    </row>
    <row r="666" spans="1:40" x14ac:dyDescent="0.25">
      <c r="A666" s="202"/>
      <c r="C666" s="154"/>
      <c r="F666" s="211"/>
      <c r="H666" s="200"/>
      <c r="I666" s="200"/>
      <c r="J666" s="213"/>
      <c r="K666" s="213"/>
      <c r="L666" s="200"/>
      <c r="M666" s="200"/>
      <c r="N666" s="213"/>
      <c r="O666" s="213"/>
      <c r="P666" s="200"/>
      <c r="Q666" s="200"/>
      <c r="R666" s="200"/>
      <c r="T666" s="154"/>
      <c r="V666" s="200"/>
      <c r="Y666" s="200"/>
      <c r="Z666" s="213"/>
      <c r="AA666" s="200"/>
      <c r="AB666" s="200"/>
      <c r="AC666" s="213"/>
      <c r="AD666" s="213"/>
      <c r="AE666" s="200"/>
      <c r="AF666" s="200"/>
      <c r="AG666" s="209"/>
      <c r="AH666" s="201"/>
      <c r="AI666" s="200"/>
      <c r="AJ666" s="200"/>
      <c r="AK666" s="209"/>
      <c r="AL666" s="200"/>
      <c r="AM666" s="210"/>
      <c r="AN666" s="210"/>
    </row>
    <row r="667" spans="1:40" x14ac:dyDescent="0.25">
      <c r="F667" s="200"/>
      <c r="H667" s="200"/>
      <c r="I667" s="200"/>
      <c r="J667" s="213"/>
      <c r="K667" s="213"/>
      <c r="L667" s="200"/>
      <c r="M667" s="200"/>
      <c r="N667" s="213"/>
      <c r="O667" s="213"/>
      <c r="P667" s="200"/>
      <c r="Q667" s="200"/>
      <c r="R667" s="200"/>
      <c r="V667" s="200"/>
      <c r="Y667" s="200"/>
      <c r="Z667" s="213"/>
      <c r="AA667" s="200"/>
      <c r="AB667" s="200"/>
      <c r="AC667" s="213"/>
      <c r="AD667" s="213"/>
      <c r="AG667" s="209"/>
      <c r="AH667" s="201"/>
      <c r="AI667" s="200"/>
      <c r="AJ667" s="200"/>
      <c r="AK667" s="209"/>
      <c r="AL667" s="200"/>
      <c r="AM667" s="210"/>
      <c r="AN667" s="210"/>
    </row>
    <row r="668" spans="1:40" x14ac:dyDescent="0.25">
      <c r="A668" s="202"/>
      <c r="D668" s="154"/>
      <c r="E668" s="154"/>
      <c r="F668" s="200"/>
      <c r="H668" s="200"/>
      <c r="I668" s="200"/>
      <c r="J668" s="213"/>
      <c r="K668" s="213"/>
      <c r="L668" s="252"/>
      <c r="M668" s="252"/>
      <c r="N668" s="213"/>
      <c r="O668" s="213"/>
      <c r="P668" s="200"/>
      <c r="Q668" s="200"/>
      <c r="R668" s="200"/>
      <c r="U668" s="154"/>
      <c r="V668" s="200"/>
      <c r="Y668" s="200"/>
      <c r="Z668" s="213"/>
      <c r="AA668" s="252"/>
      <c r="AB668" s="252"/>
      <c r="AC668" s="213"/>
      <c r="AD668" s="213"/>
      <c r="AE668" s="200"/>
      <c r="AF668" s="200"/>
      <c r="AG668" s="209"/>
      <c r="AH668" s="201"/>
      <c r="AI668" s="200"/>
      <c r="AJ668" s="200"/>
      <c r="AK668" s="209"/>
      <c r="AL668" s="200"/>
      <c r="AM668" s="210"/>
      <c r="AN668" s="210"/>
    </row>
    <row r="669" spans="1:40" x14ac:dyDescent="0.25">
      <c r="A669" s="202"/>
      <c r="D669" s="154"/>
      <c r="E669" s="154"/>
      <c r="F669" s="200"/>
      <c r="H669" s="200"/>
      <c r="I669" s="200"/>
      <c r="J669" s="213"/>
      <c r="K669" s="213"/>
      <c r="L669" s="252"/>
      <c r="M669" s="252"/>
      <c r="N669" s="213"/>
      <c r="O669" s="213"/>
      <c r="P669" s="200"/>
      <c r="Q669" s="200"/>
      <c r="R669" s="200"/>
      <c r="U669" s="154"/>
      <c r="V669" s="200"/>
      <c r="Y669" s="200"/>
      <c r="Z669" s="213"/>
      <c r="AA669" s="252"/>
      <c r="AB669" s="252"/>
      <c r="AC669" s="213"/>
      <c r="AD669" s="213"/>
      <c r="AE669" s="200"/>
      <c r="AF669" s="200"/>
      <c r="AG669" s="209"/>
      <c r="AH669" s="201"/>
      <c r="AI669" s="200"/>
      <c r="AJ669" s="200"/>
      <c r="AK669" s="209"/>
      <c r="AL669" s="200"/>
      <c r="AM669" s="210"/>
      <c r="AN669" s="210"/>
    </row>
    <row r="670" spans="1:40" x14ac:dyDescent="0.25">
      <c r="A670" s="202"/>
      <c r="D670" s="154"/>
      <c r="E670" s="154"/>
      <c r="F670" s="200"/>
      <c r="H670" s="200"/>
      <c r="I670" s="200"/>
      <c r="J670" s="213"/>
      <c r="K670" s="213"/>
      <c r="L670" s="252"/>
      <c r="M670" s="252"/>
      <c r="N670" s="213"/>
      <c r="O670" s="213"/>
      <c r="P670" s="200"/>
      <c r="Q670" s="200"/>
      <c r="R670" s="200"/>
      <c r="U670" s="154"/>
      <c r="V670" s="200"/>
      <c r="Y670" s="200"/>
      <c r="Z670" s="213"/>
      <c r="AA670" s="252"/>
      <c r="AB670" s="252"/>
      <c r="AC670" s="213"/>
      <c r="AD670" s="213"/>
      <c r="AE670" s="200"/>
      <c r="AF670" s="200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F671" s="200"/>
      <c r="H671" s="211"/>
      <c r="I671" s="211"/>
      <c r="J671" s="305"/>
      <c r="K671" s="305"/>
      <c r="L671" s="211"/>
      <c r="M671" s="211"/>
      <c r="N671" s="211"/>
      <c r="O671" s="211"/>
      <c r="P671" s="211"/>
      <c r="Q671" s="211"/>
      <c r="R671" s="211"/>
      <c r="V671" s="211"/>
      <c r="Y671" s="211"/>
      <c r="Z671" s="305"/>
      <c r="AA671" s="211"/>
      <c r="AB671" s="211"/>
      <c r="AC671" s="211"/>
      <c r="AD671" s="211"/>
      <c r="AE671" s="211"/>
      <c r="AF671" s="211"/>
      <c r="AI671" s="211"/>
      <c r="AJ671" s="211"/>
      <c r="AK671" s="212"/>
      <c r="AL671" s="211"/>
      <c r="AM671" s="210"/>
      <c r="AN671" s="210"/>
    </row>
    <row r="672" spans="1:40" x14ac:dyDescent="0.25">
      <c r="A672" s="202"/>
      <c r="C672" s="154"/>
      <c r="F672" s="211"/>
      <c r="H672" s="200"/>
      <c r="I672" s="200"/>
      <c r="J672" s="213"/>
      <c r="K672" s="213"/>
      <c r="L672" s="200"/>
      <c r="M672" s="200"/>
      <c r="N672" s="213"/>
      <c r="O672" s="213"/>
      <c r="P672" s="200"/>
      <c r="Q672" s="200"/>
      <c r="R672" s="200"/>
      <c r="T672" s="154"/>
      <c r="V672" s="200"/>
      <c r="Y672" s="200"/>
      <c r="Z672" s="213"/>
      <c r="AA672" s="200"/>
      <c r="AB672" s="200"/>
      <c r="AC672" s="213"/>
      <c r="AD672" s="213"/>
      <c r="AE672" s="200"/>
      <c r="AF672" s="200"/>
      <c r="AG672" s="209"/>
      <c r="AH672" s="201"/>
      <c r="AI672" s="200"/>
      <c r="AJ672" s="200"/>
      <c r="AK672" s="209"/>
      <c r="AL672" s="200"/>
      <c r="AM672" s="210"/>
      <c r="AN672" s="210"/>
    </row>
    <row r="673" spans="1:40" x14ac:dyDescent="0.25">
      <c r="F673" s="200"/>
      <c r="H673" s="200"/>
      <c r="I673" s="200"/>
      <c r="J673" s="213"/>
      <c r="K673" s="213"/>
      <c r="L673" s="200"/>
      <c r="M673" s="200"/>
      <c r="N673" s="213"/>
      <c r="O673" s="213"/>
      <c r="P673" s="200"/>
      <c r="Q673" s="200"/>
      <c r="R673" s="200"/>
      <c r="V673" s="200"/>
      <c r="Y673" s="200"/>
      <c r="Z673" s="213"/>
      <c r="AA673" s="200"/>
      <c r="AB673" s="200"/>
      <c r="AC673" s="213"/>
      <c r="AD673" s="213"/>
      <c r="AG673" s="209"/>
      <c r="AH673" s="201"/>
      <c r="AI673" s="200"/>
      <c r="AJ673" s="200"/>
      <c r="AK673" s="209"/>
      <c r="AL673" s="200"/>
      <c r="AM673" s="210"/>
      <c r="AN673" s="210"/>
    </row>
    <row r="674" spans="1:40" x14ac:dyDescent="0.25">
      <c r="A674" s="202"/>
      <c r="C674" s="154"/>
      <c r="F674" s="200"/>
      <c r="H674" s="200"/>
      <c r="I674" s="200"/>
      <c r="J674" s="213"/>
      <c r="K674" s="213"/>
      <c r="L674" s="200"/>
      <c r="M674" s="200"/>
      <c r="N674" s="213"/>
      <c r="O674" s="213"/>
      <c r="P674" s="200"/>
      <c r="Q674" s="200"/>
      <c r="R674" s="200"/>
      <c r="T674" s="154"/>
      <c r="V674" s="200"/>
      <c r="Y674" s="200"/>
      <c r="Z674" s="213"/>
      <c r="AA674" s="200"/>
      <c r="AB674" s="200"/>
      <c r="AC674" s="213"/>
      <c r="AD674" s="213"/>
      <c r="AE674" s="200"/>
      <c r="AF674" s="200"/>
      <c r="AG674" s="209"/>
      <c r="AH674" s="201"/>
      <c r="AI674" s="200"/>
      <c r="AJ674" s="200"/>
      <c r="AK674" s="209"/>
      <c r="AL674" s="200"/>
      <c r="AM674" s="210"/>
      <c r="AN674" s="210"/>
    </row>
    <row r="675" spans="1:40" x14ac:dyDescent="0.25">
      <c r="F675" s="200"/>
      <c r="H675" s="211"/>
      <c r="I675" s="211"/>
      <c r="J675" s="305"/>
      <c r="K675" s="305"/>
      <c r="L675" s="211"/>
      <c r="M675" s="211"/>
      <c r="N675" s="211"/>
      <c r="O675" s="211"/>
      <c r="P675" s="211"/>
      <c r="Q675" s="211"/>
      <c r="R675" s="211"/>
      <c r="V675" s="211"/>
      <c r="Y675" s="211"/>
      <c r="Z675" s="305"/>
      <c r="AA675" s="211"/>
      <c r="AB675" s="211"/>
      <c r="AC675" s="211"/>
      <c r="AD675" s="211"/>
      <c r="AE675" s="211"/>
      <c r="AF675" s="211"/>
      <c r="AI675" s="211"/>
      <c r="AJ675" s="211"/>
      <c r="AK675" s="212"/>
      <c r="AL675" s="211"/>
    </row>
    <row r="677" spans="1:40" x14ac:dyDescent="0.25">
      <c r="C677" s="154"/>
      <c r="F677" s="211"/>
      <c r="L677" s="200"/>
      <c r="M677" s="200"/>
      <c r="P677" s="200"/>
      <c r="Q677" s="200"/>
      <c r="R677" s="200"/>
      <c r="T677" s="154"/>
    </row>
    <row r="678" spans="1:40" x14ac:dyDescent="0.25">
      <c r="A678" s="154"/>
      <c r="L678" s="200"/>
      <c r="M678" s="200"/>
      <c r="P678" s="200"/>
      <c r="Q678" s="200"/>
      <c r="R678" s="200"/>
    </row>
    <row r="679" spans="1:40" x14ac:dyDescent="0.25">
      <c r="L679" s="200"/>
      <c r="M679" s="200"/>
      <c r="P679" s="200"/>
      <c r="Q679" s="200"/>
      <c r="R679" s="200"/>
    </row>
    <row r="680" spans="1:40" x14ac:dyDescent="0.25">
      <c r="L680" s="200"/>
      <c r="M680" s="200"/>
      <c r="P680" s="200"/>
      <c r="Q680" s="200"/>
      <c r="R680" s="200"/>
    </row>
    <row r="681" spans="1:40" x14ac:dyDescent="0.25">
      <c r="L681" s="200"/>
      <c r="M681" s="200"/>
      <c r="P681" s="200"/>
      <c r="Q681" s="200"/>
      <c r="R681" s="200"/>
    </row>
    <row r="682" spans="1:40" x14ac:dyDescent="0.25">
      <c r="L682" s="200"/>
      <c r="M682" s="200"/>
      <c r="P682" s="200"/>
      <c r="Q682" s="200"/>
      <c r="R682" s="200"/>
    </row>
    <row r="683" spans="1:40" x14ac:dyDescent="0.25">
      <c r="L683" s="200"/>
      <c r="M683" s="200"/>
      <c r="P683" s="200"/>
      <c r="Q683" s="200"/>
      <c r="R683" s="200"/>
    </row>
    <row r="716" spans="49:49" x14ac:dyDescent="0.25">
      <c r="AW716" s="200"/>
    </row>
    <row r="717" spans="49:49" x14ac:dyDescent="0.25">
      <c r="AW717" s="200"/>
    </row>
    <row r="718" spans="49:49" x14ac:dyDescent="0.25">
      <c r="AW718" s="200"/>
    </row>
    <row r="719" spans="49:49" x14ac:dyDescent="0.25">
      <c r="AW719" s="200"/>
    </row>
    <row r="720" spans="49:49" x14ac:dyDescent="0.25">
      <c r="AW720" s="200"/>
    </row>
    <row r="721" spans="49:49" x14ac:dyDescent="0.25">
      <c r="AW721" s="200"/>
    </row>
    <row r="724" spans="49:49" x14ac:dyDescent="0.25">
      <c r="AW724" s="200"/>
    </row>
    <row r="725" spans="49:49" x14ac:dyDescent="0.25">
      <c r="AW725" s="200"/>
    </row>
    <row r="726" spans="49:49" x14ac:dyDescent="0.25">
      <c r="AW726" s="200"/>
    </row>
    <row r="727" spans="49:49" x14ac:dyDescent="0.25">
      <c r="AW727" s="200"/>
    </row>
    <row r="728" spans="49:49" x14ac:dyDescent="0.25">
      <c r="AW728" s="200"/>
    </row>
    <row r="729" spans="49:49" x14ac:dyDescent="0.25">
      <c r="AW729" s="200"/>
    </row>
    <row r="730" spans="49:49" x14ac:dyDescent="0.25">
      <c r="AW730" s="200"/>
    </row>
    <row r="731" spans="49:49" x14ac:dyDescent="0.25">
      <c r="AW731" s="200"/>
    </row>
    <row r="734" spans="49:49" x14ac:dyDescent="0.25">
      <c r="AW734" s="200"/>
    </row>
    <row r="735" spans="49:49" x14ac:dyDescent="0.25">
      <c r="AW735" s="200"/>
    </row>
    <row r="738" spans="45:56" x14ac:dyDescent="0.25">
      <c r="AW738" s="200"/>
    </row>
    <row r="739" spans="45:56" x14ac:dyDescent="0.25">
      <c r="AW739" s="200"/>
    </row>
    <row r="740" spans="45:56" x14ac:dyDescent="0.25">
      <c r="AW740" s="200"/>
    </row>
    <row r="741" spans="45:56" x14ac:dyDescent="0.25">
      <c r="AW741" s="200"/>
    </row>
    <row r="747" spans="45:56" x14ac:dyDescent="0.25">
      <c r="AY747" s="202"/>
    </row>
    <row r="748" spans="45:56" x14ac:dyDescent="0.25">
      <c r="AY748" s="202"/>
    </row>
    <row r="749" spans="45:56" x14ac:dyDescent="0.25">
      <c r="AY749" s="154"/>
    </row>
    <row r="750" spans="45:56" x14ac:dyDescent="0.25">
      <c r="AY750" s="154"/>
    </row>
    <row r="751" spans="45:56" x14ac:dyDescent="0.25">
      <c r="AS751" s="202"/>
      <c r="BD751" s="154"/>
    </row>
    <row r="752" spans="45:56" x14ac:dyDescent="0.25">
      <c r="AS752" s="202"/>
      <c r="BD752" s="154"/>
    </row>
    <row r="753" spans="45:69" x14ac:dyDescent="0.25">
      <c r="AS753" s="154"/>
      <c r="BD753" s="154"/>
    </row>
    <row r="754" spans="45:69" x14ac:dyDescent="0.25">
      <c r="BD754" s="202"/>
    </row>
    <row r="755" spans="45:69" x14ac:dyDescent="0.25"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</row>
    <row r="756" spans="45:69" x14ac:dyDescent="0.25">
      <c r="AX756" s="154"/>
    </row>
    <row r="757" spans="45:69" x14ac:dyDescent="0.25">
      <c r="AX757" s="102"/>
      <c r="AY757" s="102"/>
      <c r="AZ757" s="102"/>
      <c r="BA757" s="102"/>
      <c r="BC757" s="103"/>
      <c r="BD757" s="103"/>
    </row>
    <row r="758" spans="45:69" x14ac:dyDescent="0.25">
      <c r="AV758" s="103"/>
      <c r="AW758" s="103"/>
      <c r="AZ758" s="103"/>
      <c r="BA758" s="103"/>
      <c r="BC758" s="103"/>
      <c r="BD758" s="103"/>
      <c r="BE758" s="103"/>
      <c r="BG758" s="102"/>
      <c r="BH758" s="154"/>
      <c r="BK758" s="102"/>
      <c r="BM758" s="102"/>
      <c r="BN758" s="154"/>
      <c r="BQ758" s="102"/>
    </row>
    <row r="759" spans="45:69" x14ac:dyDescent="0.25"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H759" s="103"/>
      <c r="BI759" s="103"/>
      <c r="BJ759" s="103"/>
      <c r="BN759" s="103"/>
      <c r="BO759" s="103"/>
      <c r="BP759" s="103"/>
    </row>
    <row r="760" spans="45:69" x14ac:dyDescent="0.25">
      <c r="AS760" s="103"/>
      <c r="AU760" s="154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G760" s="103"/>
      <c r="BH760" s="103"/>
      <c r="BI760" s="103"/>
      <c r="BJ760" s="103"/>
      <c r="BK760" s="103"/>
      <c r="BM760" s="103"/>
      <c r="BN760" s="103"/>
      <c r="BO760" s="103"/>
      <c r="BP760" s="103"/>
      <c r="BQ760" s="103"/>
    </row>
    <row r="761" spans="45:69" x14ac:dyDescent="0.25">
      <c r="AS761" s="103"/>
      <c r="AU761" s="154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G761" s="103"/>
      <c r="BH761" s="103"/>
      <c r="BI761" s="103"/>
      <c r="BJ761" s="103"/>
      <c r="BK761" s="103"/>
      <c r="BM761" s="103"/>
      <c r="BN761" s="103"/>
      <c r="BO761" s="103"/>
      <c r="BP761" s="103"/>
      <c r="BQ761" s="103"/>
    </row>
    <row r="762" spans="45:69" x14ac:dyDescent="0.25"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G762" s="102"/>
      <c r="BH762" s="102"/>
      <c r="BI762" s="102"/>
      <c r="BJ762" s="102"/>
      <c r="BK762" s="102"/>
      <c r="BM762" s="102"/>
      <c r="BN762" s="102"/>
      <c r="BO762" s="102"/>
      <c r="BP762" s="102"/>
      <c r="BQ762" s="102"/>
    </row>
    <row r="763" spans="45:69" x14ac:dyDescent="0.25"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</row>
    <row r="764" spans="45:69" x14ac:dyDescent="0.25">
      <c r="AS764" s="202"/>
      <c r="AU764" s="154"/>
      <c r="AV764" s="103"/>
      <c r="AY764" s="213"/>
    </row>
    <row r="765" spans="45:69" x14ac:dyDescent="0.25">
      <c r="AS765" s="202"/>
      <c r="AV765" s="103"/>
      <c r="AW765" s="200"/>
      <c r="AX765" s="334"/>
      <c r="AY765" s="334"/>
      <c r="AZ765" s="334"/>
      <c r="BA765" s="210"/>
      <c r="BB765" s="334"/>
      <c r="BC765" s="213"/>
      <c r="BD765" s="213"/>
      <c r="BE765" s="210"/>
      <c r="BG765" s="334"/>
      <c r="BH765" s="334"/>
      <c r="BI765" s="334"/>
      <c r="BJ765" s="334"/>
      <c r="BK765" s="334"/>
      <c r="BM765" s="334"/>
      <c r="BN765" s="334"/>
      <c r="BO765" s="334"/>
      <c r="BP765" s="334"/>
      <c r="BQ765" s="334"/>
    </row>
    <row r="766" spans="45:69" x14ac:dyDescent="0.25">
      <c r="AS766" s="202"/>
      <c r="AV766" s="103"/>
      <c r="AW766" s="200"/>
      <c r="AX766" s="334"/>
      <c r="AY766" s="334"/>
      <c r="AZ766" s="334"/>
      <c r="BA766" s="210"/>
      <c r="BB766" s="334"/>
      <c r="BC766" s="213"/>
      <c r="BD766" s="213"/>
      <c r="BE766" s="210"/>
      <c r="BG766" s="334"/>
      <c r="BH766" s="334"/>
      <c r="BI766" s="334"/>
      <c r="BJ766" s="334"/>
      <c r="BK766" s="334"/>
      <c r="BM766" s="334"/>
      <c r="BN766" s="334"/>
      <c r="BO766" s="334"/>
      <c r="BP766" s="334"/>
      <c r="BQ766" s="334"/>
    </row>
    <row r="767" spans="45:69" x14ac:dyDescent="0.25">
      <c r="AS767" s="202"/>
      <c r="AV767" s="103"/>
      <c r="AW767" s="200"/>
      <c r="AX767" s="334"/>
      <c r="AY767" s="334"/>
      <c r="AZ767" s="334"/>
      <c r="BA767" s="210"/>
      <c r="BB767" s="334"/>
      <c r="BC767" s="213"/>
      <c r="BD767" s="213"/>
      <c r="BE767" s="210"/>
      <c r="BG767" s="334"/>
      <c r="BH767" s="334"/>
      <c r="BI767" s="334"/>
      <c r="BJ767" s="334"/>
      <c r="BK767" s="334"/>
      <c r="BM767" s="334"/>
      <c r="BN767" s="334"/>
      <c r="BO767" s="334"/>
      <c r="BP767" s="334"/>
      <c r="BQ767" s="334"/>
    </row>
    <row r="768" spans="45:69" x14ac:dyDescent="0.25">
      <c r="AS768" s="202"/>
      <c r="AV768" s="103"/>
      <c r="AW768" s="200"/>
      <c r="AX768" s="334"/>
      <c r="AY768" s="334"/>
      <c r="AZ768" s="334"/>
      <c r="BA768" s="210"/>
      <c r="BB768" s="334"/>
      <c r="BC768" s="213"/>
      <c r="BD768" s="213"/>
      <c r="BE768" s="210"/>
      <c r="BG768" s="334"/>
      <c r="BH768" s="334"/>
      <c r="BI768" s="334"/>
      <c r="BJ768" s="334"/>
      <c r="BK768" s="334"/>
      <c r="BM768" s="334"/>
      <c r="BN768" s="334"/>
      <c r="BO768" s="334"/>
      <c r="BP768" s="334"/>
      <c r="BQ768" s="334"/>
    </row>
    <row r="769" spans="45:69" x14ac:dyDescent="0.25">
      <c r="AS769" s="202"/>
      <c r="AV769" s="103"/>
      <c r="AW769" s="200"/>
      <c r="AX769" s="334"/>
      <c r="AY769" s="334"/>
      <c r="AZ769" s="334"/>
      <c r="BA769" s="210"/>
      <c r="BB769" s="334"/>
      <c r="BC769" s="213"/>
      <c r="BD769" s="213"/>
      <c r="BE769" s="210"/>
      <c r="BG769" s="334"/>
      <c r="BH769" s="334"/>
      <c r="BI769" s="334"/>
      <c r="BJ769" s="334"/>
      <c r="BK769" s="334"/>
      <c r="BM769" s="334"/>
      <c r="BN769" s="334"/>
      <c r="BO769" s="334"/>
      <c r="BP769" s="334"/>
      <c r="BQ769" s="334"/>
    </row>
    <row r="770" spans="45:69" x14ac:dyDescent="0.25">
      <c r="AS770" s="202"/>
      <c r="AV770" s="103"/>
      <c r="AW770" s="200"/>
      <c r="AX770" s="334"/>
      <c r="AY770" s="334"/>
      <c r="AZ770" s="334"/>
      <c r="BA770" s="210"/>
      <c r="BB770" s="334"/>
      <c r="BC770" s="213"/>
      <c r="BD770" s="213"/>
      <c r="BE770" s="210"/>
      <c r="BG770" s="334"/>
      <c r="BH770" s="334"/>
      <c r="BI770" s="334"/>
      <c r="BJ770" s="334"/>
      <c r="BK770" s="334"/>
      <c r="BM770" s="334"/>
      <c r="BN770" s="334"/>
      <c r="BO770" s="334"/>
      <c r="BP770" s="334"/>
      <c r="BQ770" s="334"/>
    </row>
    <row r="771" spans="45:69" x14ac:dyDescent="0.25">
      <c r="AS771" s="202"/>
      <c r="AV771" s="103"/>
      <c r="AW771" s="200"/>
      <c r="AX771" s="334"/>
      <c r="AY771" s="334"/>
      <c r="AZ771" s="334"/>
      <c r="BA771" s="210"/>
      <c r="BB771" s="334"/>
      <c r="BC771" s="213"/>
      <c r="BD771" s="213"/>
      <c r="BE771" s="210"/>
      <c r="BG771" s="334"/>
      <c r="BH771" s="334"/>
      <c r="BI771" s="334"/>
      <c r="BJ771" s="334"/>
      <c r="BK771" s="334"/>
      <c r="BM771" s="334"/>
      <c r="BN771" s="334"/>
      <c r="BO771" s="334"/>
      <c r="BP771" s="334"/>
      <c r="BQ771" s="334"/>
    </row>
    <row r="772" spans="45:69" x14ac:dyDescent="0.25">
      <c r="AY772" s="213"/>
      <c r="AZ772" s="334"/>
      <c r="BA772" s="210"/>
      <c r="BB772" s="334"/>
      <c r="BC772" s="213"/>
      <c r="BD772" s="213"/>
      <c r="BE772" s="210"/>
      <c r="BK772" s="334"/>
      <c r="BQ772" s="334"/>
    </row>
    <row r="773" spans="45:69" x14ac:dyDescent="0.25">
      <c r="AS773" s="202"/>
      <c r="AV773" s="103"/>
      <c r="AY773" s="213"/>
      <c r="AZ773" s="334"/>
      <c r="BA773" s="210"/>
      <c r="BB773" s="334"/>
      <c r="BC773" s="213"/>
      <c r="BD773" s="213"/>
      <c r="BE773" s="210"/>
      <c r="BK773" s="334"/>
      <c r="BQ773" s="334"/>
    </row>
    <row r="774" spans="45:69" x14ac:dyDescent="0.25">
      <c r="AS774" s="202"/>
      <c r="AV774" s="103"/>
      <c r="AW774" s="200"/>
      <c r="AX774" s="334"/>
      <c r="AY774" s="334"/>
      <c r="AZ774" s="334"/>
      <c r="BA774" s="210"/>
      <c r="BB774" s="334"/>
      <c r="BC774" s="213"/>
      <c r="BD774" s="213"/>
      <c r="BE774" s="210"/>
      <c r="BG774" s="334"/>
      <c r="BH774" s="334"/>
      <c r="BI774" s="334"/>
      <c r="BJ774" s="334"/>
      <c r="BK774" s="334"/>
      <c r="BM774" s="334"/>
      <c r="BN774" s="334"/>
      <c r="BO774" s="334"/>
      <c r="BP774" s="334"/>
      <c r="BQ774" s="334"/>
    </row>
    <row r="775" spans="45:69" x14ac:dyDescent="0.25">
      <c r="AS775" s="202"/>
      <c r="AV775" s="103"/>
      <c r="AW775" s="200"/>
      <c r="AX775" s="334"/>
      <c r="AY775" s="334"/>
      <c r="AZ775" s="334"/>
      <c r="BA775" s="210"/>
      <c r="BB775" s="334"/>
      <c r="BC775" s="213"/>
      <c r="BD775" s="213"/>
      <c r="BE775" s="210"/>
      <c r="BG775" s="334"/>
      <c r="BH775" s="334"/>
      <c r="BI775" s="334"/>
      <c r="BJ775" s="334"/>
      <c r="BK775" s="334"/>
      <c r="BM775" s="334"/>
      <c r="BN775" s="334"/>
      <c r="BO775" s="334"/>
      <c r="BP775" s="334"/>
      <c r="BQ775" s="334"/>
    </row>
    <row r="776" spans="45:69" x14ac:dyDescent="0.25">
      <c r="AS776" s="202"/>
      <c r="AV776" s="103"/>
      <c r="AW776" s="200"/>
      <c r="AX776" s="334"/>
      <c r="AY776" s="334"/>
      <c r="AZ776" s="334"/>
      <c r="BA776" s="210"/>
      <c r="BB776" s="334"/>
      <c r="BC776" s="213"/>
      <c r="BD776" s="213"/>
      <c r="BE776" s="210"/>
      <c r="BG776" s="334"/>
      <c r="BH776" s="334"/>
      <c r="BI776" s="334"/>
      <c r="BJ776" s="334"/>
      <c r="BK776" s="334"/>
      <c r="BM776" s="334"/>
      <c r="BN776" s="334"/>
      <c r="BO776" s="334"/>
      <c r="BP776" s="334"/>
      <c r="BQ776" s="334"/>
    </row>
    <row r="777" spans="45:69" x14ac:dyDescent="0.25">
      <c r="AS777" s="202"/>
      <c r="AV777" s="103"/>
      <c r="AW777" s="200"/>
      <c r="AX777" s="334"/>
      <c r="AY777" s="334"/>
      <c r="AZ777" s="334"/>
      <c r="BA777" s="210"/>
      <c r="BB777" s="334"/>
      <c r="BC777" s="213"/>
      <c r="BD777" s="213"/>
      <c r="BE777" s="210"/>
      <c r="BG777" s="334"/>
      <c r="BH777" s="334"/>
      <c r="BI777" s="334"/>
      <c r="BJ777" s="334"/>
      <c r="BK777" s="334"/>
      <c r="BM777" s="334"/>
      <c r="BN777" s="334"/>
      <c r="BO777" s="334"/>
      <c r="BP777" s="334"/>
      <c r="BQ777" s="334"/>
    </row>
    <row r="778" spans="45:69" x14ac:dyDescent="0.25">
      <c r="AS778" s="202"/>
      <c r="AV778" s="103"/>
      <c r="AW778" s="200"/>
      <c r="AX778" s="334"/>
      <c r="AY778" s="334"/>
      <c r="AZ778" s="334"/>
      <c r="BA778" s="210"/>
      <c r="BB778" s="334"/>
      <c r="BC778" s="213"/>
      <c r="BD778" s="213"/>
      <c r="BE778" s="210"/>
      <c r="BG778" s="334"/>
      <c r="BH778" s="334"/>
      <c r="BI778" s="334"/>
      <c r="BJ778" s="334"/>
      <c r="BK778" s="334"/>
      <c r="BM778" s="334"/>
      <c r="BN778" s="334"/>
      <c r="BO778" s="334"/>
      <c r="BP778" s="334"/>
      <c r="BQ778" s="334"/>
    </row>
    <row r="779" spans="45:69" x14ac:dyDescent="0.25">
      <c r="AS779" s="202"/>
      <c r="AV779" s="103"/>
      <c r="AW779" s="200"/>
      <c r="AX779" s="334"/>
      <c r="AY779" s="334"/>
      <c r="AZ779" s="334"/>
      <c r="BA779" s="210"/>
      <c r="BB779" s="334"/>
      <c r="BC779" s="213"/>
      <c r="BD779" s="213"/>
      <c r="BE779" s="210"/>
      <c r="BG779" s="334"/>
      <c r="BH779" s="334"/>
      <c r="BI779" s="334"/>
      <c r="BJ779" s="334"/>
      <c r="BK779" s="334"/>
      <c r="BM779" s="334"/>
      <c r="BN779" s="334"/>
      <c r="BO779" s="334"/>
      <c r="BP779" s="334"/>
      <c r="BQ779" s="334"/>
    </row>
    <row r="780" spans="45:69" x14ac:dyDescent="0.25">
      <c r="AS780" s="202"/>
      <c r="AV780" s="103"/>
      <c r="AW780" s="200"/>
      <c r="AX780" s="334"/>
      <c r="AY780" s="334"/>
      <c r="AZ780" s="334"/>
      <c r="BA780" s="210"/>
      <c r="BB780" s="334"/>
      <c r="BC780" s="213"/>
      <c r="BD780" s="213"/>
      <c r="BE780" s="210"/>
      <c r="BG780" s="334"/>
      <c r="BH780" s="334"/>
      <c r="BI780" s="334"/>
      <c r="BJ780" s="334"/>
      <c r="BK780" s="334"/>
      <c r="BM780" s="334"/>
      <c r="BN780" s="334"/>
      <c r="BO780" s="334"/>
      <c r="BP780" s="334"/>
      <c r="BQ780" s="334"/>
    </row>
    <row r="781" spans="45:69" x14ac:dyDescent="0.25">
      <c r="AS781" s="202"/>
      <c r="AV781" s="103"/>
      <c r="AW781" s="200"/>
      <c r="AX781" s="334"/>
      <c r="AY781" s="334"/>
      <c r="AZ781" s="334"/>
      <c r="BA781" s="210"/>
      <c r="BB781" s="334"/>
      <c r="BC781" s="213"/>
      <c r="BD781" s="213"/>
      <c r="BE781" s="210"/>
      <c r="BG781" s="334"/>
      <c r="BH781" s="334"/>
      <c r="BI781" s="334"/>
      <c r="BJ781" s="334"/>
      <c r="BK781" s="334"/>
      <c r="BM781" s="334"/>
      <c r="BN781" s="334"/>
      <c r="BO781" s="334"/>
      <c r="BP781" s="334"/>
      <c r="BQ781" s="334"/>
    </row>
    <row r="782" spans="45:69" x14ac:dyDescent="0.25">
      <c r="AY782" s="213"/>
      <c r="AZ782" s="334"/>
      <c r="BA782" s="210"/>
      <c r="BB782" s="334"/>
      <c r="BC782" s="213"/>
      <c r="BD782" s="213"/>
      <c r="BE782" s="210"/>
      <c r="BK782" s="334"/>
      <c r="BQ782" s="334"/>
    </row>
    <row r="783" spans="45:69" x14ac:dyDescent="0.25">
      <c r="AU783" s="154"/>
      <c r="AZ783" s="334"/>
      <c r="BB783" s="334"/>
      <c r="BG783" s="334"/>
      <c r="BH783" s="334"/>
      <c r="BJ783" s="334"/>
      <c r="BK783" s="334"/>
    </row>
    <row r="784" spans="45:69" x14ac:dyDescent="0.25">
      <c r="AZ784" s="334"/>
      <c r="BB784" s="334"/>
    </row>
    <row r="785" spans="45:75" x14ac:dyDescent="0.25">
      <c r="AS785" s="154"/>
      <c r="AZ785" s="334"/>
      <c r="BB785" s="334"/>
      <c r="BI785" s="334"/>
    </row>
    <row r="786" spans="45:75" x14ac:dyDescent="0.25">
      <c r="AY786" s="202"/>
      <c r="AZ786" s="334"/>
      <c r="BB786" s="334"/>
    </row>
    <row r="787" spans="45:75" x14ac:dyDescent="0.25">
      <c r="AY787" s="334"/>
      <c r="BB787" s="334"/>
    </row>
    <row r="788" spans="45:75" x14ac:dyDescent="0.25">
      <c r="AY788" s="154"/>
      <c r="AZ788" s="334"/>
      <c r="BB788" s="334"/>
    </row>
    <row r="789" spans="45:75" x14ac:dyDescent="0.25">
      <c r="AY789" s="154"/>
      <c r="AZ789" s="334"/>
      <c r="BB789" s="334"/>
    </row>
    <row r="790" spans="45:75" x14ac:dyDescent="0.25">
      <c r="AS790" s="202"/>
      <c r="AZ790" s="334"/>
      <c r="BB790" s="334"/>
      <c r="BD790" s="154"/>
    </row>
    <row r="791" spans="45:75" x14ac:dyDescent="0.25">
      <c r="AS791" s="202"/>
      <c r="AZ791" s="334"/>
      <c r="BB791" s="334"/>
      <c r="BD791" s="154"/>
    </row>
    <row r="792" spans="45:75" x14ac:dyDescent="0.25">
      <c r="AS792" s="154"/>
      <c r="AZ792" s="334"/>
      <c r="BB792" s="334"/>
      <c r="BD792" s="154"/>
    </row>
    <row r="793" spans="45:75" x14ac:dyDescent="0.25">
      <c r="AZ793" s="334"/>
      <c r="BB793" s="334"/>
      <c r="BD793" s="202"/>
    </row>
    <row r="794" spans="45:75" x14ac:dyDescent="0.25">
      <c r="AS794" s="102"/>
      <c r="AT794" s="102"/>
      <c r="AU794" s="102"/>
      <c r="AV794" s="102"/>
      <c r="AW794" s="102"/>
      <c r="AX794" s="102"/>
      <c r="AY794" s="102"/>
      <c r="AZ794" s="335"/>
      <c r="BA794" s="102"/>
      <c r="BB794" s="335"/>
      <c r="BC794" s="102"/>
      <c r="BD794" s="102"/>
      <c r="BE794" s="102"/>
    </row>
    <row r="795" spans="45:75" x14ac:dyDescent="0.25">
      <c r="AX795" s="154"/>
      <c r="AZ795" s="334"/>
      <c r="BB795" s="334"/>
    </row>
    <row r="796" spans="45:75" x14ac:dyDescent="0.25">
      <c r="AX796" s="102"/>
      <c r="AY796" s="102"/>
      <c r="AZ796" s="335"/>
      <c r="BA796" s="102"/>
      <c r="BB796" s="334"/>
      <c r="BC796" s="103"/>
      <c r="BD796" s="103"/>
    </row>
    <row r="797" spans="45:75" x14ac:dyDescent="0.25">
      <c r="AV797" s="103"/>
      <c r="AW797" s="103"/>
      <c r="AZ797" s="336"/>
      <c r="BA797" s="103"/>
      <c r="BB797" s="334"/>
      <c r="BC797" s="103"/>
      <c r="BD797" s="103"/>
      <c r="BE797" s="103"/>
      <c r="BG797" s="102"/>
      <c r="BH797" s="102"/>
      <c r="BI797" s="154"/>
      <c r="BM797" s="102"/>
      <c r="BN797" s="102"/>
      <c r="BP797" s="102"/>
      <c r="BQ797" s="102"/>
      <c r="BR797" s="154"/>
      <c r="BV797" s="102"/>
      <c r="BW797" s="102"/>
    </row>
    <row r="798" spans="45:75" x14ac:dyDescent="0.25">
      <c r="AV798" s="103"/>
      <c r="AW798" s="103"/>
      <c r="AX798" s="103"/>
      <c r="AY798" s="103"/>
      <c r="AZ798" s="336"/>
      <c r="BA798" s="103"/>
      <c r="BB798" s="336"/>
      <c r="BC798" s="103"/>
      <c r="BD798" s="103"/>
      <c r="BE798" s="103"/>
      <c r="BH798" s="103"/>
      <c r="BI798" s="103"/>
      <c r="BJ798" s="103"/>
      <c r="BK798" s="103"/>
      <c r="BL798" s="103"/>
      <c r="BM798" s="103"/>
      <c r="BQ798" s="103"/>
      <c r="BR798" s="103"/>
      <c r="BS798" s="103"/>
      <c r="BT798" s="103"/>
      <c r="BU798" s="103"/>
      <c r="BV798" s="103"/>
    </row>
    <row r="799" spans="45:75" x14ac:dyDescent="0.25">
      <c r="AS799" s="103"/>
      <c r="AU799" s="154"/>
      <c r="AV799" s="103"/>
      <c r="AW799" s="103"/>
      <c r="AX799" s="103"/>
      <c r="AY799" s="103"/>
      <c r="AZ799" s="336"/>
      <c r="BA799" s="103"/>
      <c r="BB799" s="336"/>
      <c r="BC799" s="103"/>
      <c r="BD799" s="103"/>
      <c r="BE799" s="103"/>
      <c r="BG799" s="103"/>
      <c r="BH799" s="103"/>
      <c r="BI799" s="103"/>
      <c r="BJ799" s="103"/>
      <c r="BK799" s="103"/>
      <c r="BL799" s="103"/>
      <c r="BM799" s="103"/>
      <c r="BN799" s="103"/>
      <c r="BP799" s="103"/>
      <c r="BQ799" s="103"/>
      <c r="BR799" s="103"/>
      <c r="BS799" s="103"/>
      <c r="BT799" s="103"/>
      <c r="BU799" s="103"/>
      <c r="BV799" s="103"/>
      <c r="BW799" s="103"/>
    </row>
    <row r="800" spans="45:75" x14ac:dyDescent="0.25">
      <c r="AS800" s="103"/>
      <c r="AU800" s="154"/>
      <c r="AV800" s="103"/>
      <c r="AW800" s="103"/>
      <c r="AX800" s="103"/>
      <c r="AY800" s="103"/>
      <c r="AZ800" s="336"/>
      <c r="BA800" s="103"/>
      <c r="BB800" s="336"/>
      <c r="BC800" s="103"/>
      <c r="BD800" s="103"/>
      <c r="BE800" s="103"/>
      <c r="BG800" s="103"/>
      <c r="BH800" s="103"/>
      <c r="BI800" s="103"/>
      <c r="BJ800" s="103"/>
      <c r="BK800" s="103"/>
      <c r="BL800" s="103"/>
      <c r="BM800" s="103"/>
      <c r="BN800" s="103"/>
      <c r="BP800" s="103"/>
      <c r="BQ800" s="103"/>
      <c r="BR800" s="103"/>
      <c r="BS800" s="103"/>
      <c r="BT800" s="103"/>
      <c r="BU800" s="103"/>
      <c r="BV800" s="103"/>
      <c r="BW800" s="103"/>
    </row>
    <row r="801" spans="45:75" x14ac:dyDescent="0.25">
      <c r="AS801" s="102"/>
      <c r="AT801" s="102"/>
      <c r="AU801" s="102"/>
      <c r="AV801" s="102"/>
      <c r="AW801" s="102"/>
      <c r="AX801" s="102"/>
      <c r="AY801" s="102"/>
      <c r="AZ801" s="335"/>
      <c r="BA801" s="102"/>
      <c r="BB801" s="335"/>
      <c r="BC801" s="102"/>
      <c r="BD801" s="102"/>
      <c r="BE801" s="102"/>
      <c r="BG801" s="102"/>
      <c r="BH801" s="102"/>
      <c r="BI801" s="102"/>
      <c r="BJ801" s="102"/>
      <c r="BK801" s="102"/>
      <c r="BL801" s="102"/>
      <c r="BM801" s="102"/>
      <c r="BN801" s="102"/>
      <c r="BP801" s="102"/>
      <c r="BQ801" s="102"/>
      <c r="BR801" s="102"/>
      <c r="BS801" s="102"/>
      <c r="BT801" s="102"/>
      <c r="BU801" s="102"/>
      <c r="BV801" s="102"/>
      <c r="BW801" s="102"/>
    </row>
    <row r="802" spans="45:75" x14ac:dyDescent="0.25">
      <c r="AV802" s="103"/>
      <c r="AW802" s="103"/>
      <c r="AX802" s="103"/>
      <c r="AY802" s="103"/>
      <c r="AZ802" s="336"/>
      <c r="BA802" s="103"/>
      <c r="BB802" s="336"/>
      <c r="BC802" s="103"/>
      <c r="BD802" s="103"/>
      <c r="BE802" s="103"/>
      <c r="BG802" s="334"/>
      <c r="BH802" s="334"/>
      <c r="BI802" s="334"/>
      <c r="BJ802" s="334"/>
      <c r="BK802" s="334"/>
      <c r="BL802" s="334"/>
      <c r="BM802" s="334"/>
      <c r="BN802" s="334"/>
      <c r="BO802" s="334"/>
      <c r="BP802" s="334"/>
      <c r="BQ802" s="334"/>
      <c r="BR802" s="334"/>
      <c r="BS802" s="334"/>
      <c r="BT802" s="334"/>
      <c r="BU802" s="334"/>
      <c r="BV802" s="334"/>
      <c r="BW802" s="334"/>
    </row>
    <row r="803" spans="45:75" x14ac:dyDescent="0.25">
      <c r="AS803" s="202"/>
      <c r="AU803" s="154"/>
      <c r="AV803" s="202"/>
      <c r="AW803" s="200"/>
      <c r="AX803" s="334"/>
      <c r="AY803" s="334"/>
      <c r="AZ803" s="334"/>
      <c r="BA803" s="201"/>
      <c r="BB803" s="334"/>
      <c r="BC803" s="334"/>
      <c r="BD803" s="334"/>
      <c r="BE803" s="201"/>
      <c r="BG803" s="334"/>
      <c r="BH803" s="334"/>
      <c r="BI803" s="334"/>
      <c r="BJ803" s="334"/>
      <c r="BK803" s="334"/>
      <c r="BL803" s="334"/>
      <c r="BM803" s="334"/>
      <c r="BN803" s="334"/>
      <c r="BO803" s="334"/>
      <c r="BP803" s="334"/>
      <c r="BQ803" s="334"/>
      <c r="BR803" s="334"/>
      <c r="BS803" s="334"/>
      <c r="BT803" s="334"/>
      <c r="BU803" s="334"/>
      <c r="BV803" s="334"/>
      <c r="BW803" s="334"/>
    </row>
    <row r="804" spans="45:75" x14ac:dyDescent="0.25">
      <c r="AS804" s="202"/>
      <c r="AV804" s="202"/>
      <c r="AW804" s="200"/>
      <c r="AX804" s="334"/>
      <c r="AY804" s="334"/>
      <c r="AZ804" s="334"/>
      <c r="BA804" s="201"/>
      <c r="BB804" s="334"/>
      <c r="BC804" s="334"/>
      <c r="BD804" s="334"/>
      <c r="BE804" s="201"/>
      <c r="BG804" s="334"/>
      <c r="BH804" s="334"/>
      <c r="BI804" s="334"/>
      <c r="BJ804" s="334"/>
      <c r="BK804" s="334"/>
      <c r="BL804" s="334"/>
      <c r="BM804" s="334"/>
      <c r="BN804" s="334"/>
      <c r="BO804" s="334"/>
      <c r="BP804" s="334"/>
      <c r="BQ804" s="334"/>
      <c r="BR804" s="334"/>
      <c r="BS804" s="334"/>
      <c r="BT804" s="334"/>
      <c r="BU804" s="334"/>
      <c r="BV804" s="334"/>
      <c r="BW804" s="334"/>
    </row>
    <row r="805" spans="45:75" x14ac:dyDescent="0.25">
      <c r="AS805" s="202"/>
      <c r="AV805" s="202"/>
      <c r="AW805" s="200"/>
      <c r="AX805" s="334"/>
      <c r="AY805" s="334"/>
      <c r="AZ805" s="334"/>
      <c r="BA805" s="201"/>
      <c r="BB805" s="334"/>
      <c r="BC805" s="334"/>
      <c r="BD805" s="334"/>
      <c r="BE805" s="201"/>
      <c r="BG805" s="334"/>
      <c r="BH805" s="334"/>
      <c r="BI805" s="334"/>
      <c r="BJ805" s="334"/>
      <c r="BK805" s="334"/>
      <c r="BL805" s="334"/>
      <c r="BM805" s="334"/>
      <c r="BN805" s="334"/>
      <c r="BO805" s="334"/>
      <c r="BP805" s="334"/>
      <c r="BQ805" s="334"/>
      <c r="BR805" s="334"/>
      <c r="BS805" s="334"/>
      <c r="BT805" s="334"/>
      <c r="BU805" s="334"/>
      <c r="BV805" s="334"/>
      <c r="BW805" s="334"/>
    </row>
    <row r="806" spans="45:75" x14ac:dyDescent="0.25">
      <c r="AS806" s="202"/>
      <c r="AV806" s="202"/>
      <c r="AW806" s="200"/>
      <c r="AX806" s="334"/>
      <c r="AY806" s="334"/>
      <c r="AZ806" s="334"/>
      <c r="BA806" s="201"/>
      <c r="BB806" s="334"/>
      <c r="BC806" s="334"/>
      <c r="BD806" s="334"/>
      <c r="BE806" s="201"/>
      <c r="BG806" s="334"/>
      <c r="BH806" s="334"/>
      <c r="BI806" s="334"/>
      <c r="BJ806" s="334"/>
      <c r="BK806" s="334"/>
      <c r="BL806" s="334"/>
      <c r="BM806" s="334"/>
      <c r="BN806" s="334"/>
      <c r="BO806" s="334"/>
      <c r="BP806" s="334"/>
      <c r="BQ806" s="334"/>
      <c r="BR806" s="334"/>
      <c r="BS806" s="334"/>
      <c r="BT806" s="334"/>
      <c r="BU806" s="334"/>
      <c r="BV806" s="334"/>
      <c r="BW806" s="334"/>
    </row>
    <row r="807" spans="45:75" x14ac:dyDescent="0.25">
      <c r="AS807" s="202"/>
      <c r="AV807" s="202"/>
      <c r="AW807" s="200"/>
      <c r="AX807" s="334"/>
      <c r="AY807" s="334"/>
      <c r="AZ807" s="334"/>
      <c r="BA807" s="201"/>
      <c r="BB807" s="334"/>
      <c r="BC807" s="334"/>
      <c r="BD807" s="334"/>
      <c r="BE807" s="201"/>
      <c r="BG807" s="334"/>
      <c r="BH807" s="334"/>
      <c r="BI807" s="334"/>
      <c r="BJ807" s="334"/>
      <c r="BK807" s="334"/>
      <c r="BL807" s="334"/>
      <c r="BM807" s="334"/>
      <c r="BN807" s="334"/>
      <c r="BO807" s="334"/>
      <c r="BP807" s="334"/>
      <c r="BQ807" s="334"/>
      <c r="BR807" s="334"/>
      <c r="BS807" s="334"/>
      <c r="BT807" s="334"/>
      <c r="BU807" s="334"/>
      <c r="BV807" s="334"/>
      <c r="BW807" s="334"/>
    </row>
    <row r="808" spans="45:75" x14ac:dyDescent="0.25">
      <c r="AS808" s="202"/>
      <c r="AV808" s="202"/>
      <c r="AW808" s="200"/>
      <c r="AX808" s="334"/>
      <c r="AY808" s="334"/>
      <c r="AZ808" s="334"/>
      <c r="BA808" s="201"/>
      <c r="BB808" s="334"/>
      <c r="BC808" s="334"/>
      <c r="BD808" s="334"/>
      <c r="BE808" s="201"/>
      <c r="BG808" s="334"/>
      <c r="BH808" s="334"/>
      <c r="BI808" s="334"/>
      <c r="BJ808" s="334"/>
      <c r="BK808" s="334"/>
      <c r="BL808" s="334"/>
      <c r="BM808" s="334"/>
      <c r="BN808" s="334"/>
      <c r="BO808" s="334"/>
      <c r="BP808" s="334"/>
      <c r="BQ808" s="334"/>
      <c r="BR808" s="334"/>
      <c r="BS808" s="334"/>
      <c r="BT808" s="334"/>
      <c r="BU808" s="334"/>
      <c r="BV808" s="334"/>
      <c r="BW808" s="334"/>
    </row>
    <row r="809" spans="45:75" x14ac:dyDescent="0.25">
      <c r="AS809" s="202"/>
      <c r="AV809" s="202"/>
      <c r="AW809" s="200"/>
      <c r="AX809" s="334"/>
      <c r="AY809" s="334"/>
      <c r="AZ809" s="334"/>
      <c r="BA809" s="201"/>
      <c r="BB809" s="334"/>
      <c r="BC809" s="334"/>
      <c r="BD809" s="334"/>
      <c r="BE809" s="201"/>
      <c r="BG809" s="334"/>
      <c r="BH809" s="334"/>
      <c r="BI809" s="334"/>
      <c r="BJ809" s="334"/>
      <c r="BK809" s="334"/>
      <c r="BL809" s="334"/>
      <c r="BM809" s="334"/>
      <c r="BN809" s="334"/>
      <c r="BO809" s="334"/>
      <c r="BP809" s="334"/>
      <c r="BQ809" s="334"/>
      <c r="BR809" s="334"/>
      <c r="BS809" s="334"/>
      <c r="BT809" s="334"/>
      <c r="BU809" s="334"/>
      <c r="BV809" s="334"/>
      <c r="BW809" s="334"/>
    </row>
    <row r="810" spans="45:75" x14ac:dyDescent="0.25">
      <c r="AS810" s="202"/>
      <c r="AV810" s="202"/>
      <c r="AW810" s="200"/>
      <c r="AX810" s="334"/>
      <c r="AY810" s="334"/>
      <c r="AZ810" s="334"/>
      <c r="BA810" s="201"/>
      <c r="BB810" s="334"/>
      <c r="BC810" s="334"/>
      <c r="BD810" s="334"/>
      <c r="BE810" s="201"/>
      <c r="BG810" s="334"/>
      <c r="BH810" s="334"/>
      <c r="BI810" s="334"/>
      <c r="BJ810" s="334"/>
      <c r="BK810" s="334"/>
      <c r="BL810" s="334"/>
      <c r="BM810" s="334"/>
      <c r="BN810" s="334"/>
      <c r="BO810" s="334"/>
      <c r="BP810" s="334"/>
      <c r="BQ810" s="334"/>
      <c r="BR810" s="334"/>
      <c r="BS810" s="334"/>
      <c r="BT810" s="334"/>
      <c r="BU810" s="334"/>
      <c r="BV810" s="334"/>
      <c r="BW810" s="334"/>
    </row>
    <row r="811" spans="45:75" x14ac:dyDescent="0.25">
      <c r="AS811" s="202"/>
      <c r="AV811" s="202"/>
      <c r="AW811" s="200"/>
      <c r="AX811" s="334"/>
      <c r="AY811" s="334"/>
      <c r="AZ811" s="334"/>
      <c r="BA811" s="201"/>
      <c r="BB811" s="334"/>
      <c r="BC811" s="334"/>
      <c r="BD811" s="334"/>
      <c r="BE811" s="201"/>
      <c r="BG811" s="334"/>
      <c r="BH811" s="334"/>
      <c r="BI811" s="334"/>
      <c r="BJ811" s="334"/>
      <c r="BK811" s="334"/>
      <c r="BL811" s="334"/>
      <c r="BM811" s="334"/>
      <c r="BN811" s="334"/>
      <c r="BO811" s="334"/>
      <c r="BP811" s="334"/>
      <c r="BQ811" s="334"/>
      <c r="BR811" s="334"/>
      <c r="BS811" s="334"/>
      <c r="BT811" s="334"/>
      <c r="BU811" s="334"/>
      <c r="BV811" s="334"/>
      <c r="BW811" s="334"/>
    </row>
    <row r="812" spans="45:75" x14ac:dyDescent="0.25">
      <c r="AS812" s="202"/>
      <c r="AV812" s="202"/>
      <c r="AW812" s="200"/>
      <c r="AX812" s="334"/>
      <c r="AY812" s="334"/>
      <c r="AZ812" s="334"/>
      <c r="BA812" s="201"/>
      <c r="BB812" s="334"/>
      <c r="BC812" s="334"/>
      <c r="BD812" s="334"/>
      <c r="BE812" s="201"/>
      <c r="BG812" s="334"/>
      <c r="BH812" s="334"/>
      <c r="BI812" s="334"/>
      <c r="BJ812" s="334"/>
      <c r="BK812" s="334"/>
      <c r="BL812" s="334"/>
      <c r="BM812" s="334"/>
      <c r="BN812" s="334"/>
      <c r="BO812" s="334"/>
      <c r="BP812" s="334"/>
      <c r="BQ812" s="334"/>
      <c r="BR812" s="334"/>
      <c r="BS812" s="334"/>
      <c r="BT812" s="334"/>
      <c r="BU812" s="334"/>
      <c r="BV812" s="334"/>
      <c r="BW812" s="334"/>
    </row>
    <row r="813" spans="45:75" x14ac:dyDescent="0.25">
      <c r="AS813" s="202"/>
      <c r="AV813" s="202"/>
      <c r="AW813" s="200"/>
      <c r="AX813" s="334"/>
      <c r="AY813" s="334"/>
      <c r="AZ813" s="334"/>
      <c r="BA813" s="201"/>
      <c r="BB813" s="334"/>
      <c r="BC813" s="334"/>
      <c r="BD813" s="334"/>
      <c r="BE813" s="201"/>
      <c r="BG813" s="334"/>
      <c r="BH813" s="334"/>
      <c r="BI813" s="334"/>
      <c r="BJ813" s="334"/>
      <c r="BK813" s="334"/>
      <c r="BL813" s="334"/>
      <c r="BM813" s="334"/>
      <c r="BN813" s="334"/>
      <c r="BO813" s="334"/>
      <c r="BP813" s="334"/>
      <c r="BQ813" s="334"/>
      <c r="BR813" s="334"/>
      <c r="BS813" s="334"/>
      <c r="BT813" s="334"/>
      <c r="BU813" s="334"/>
      <c r="BV813" s="334"/>
      <c r="BW813" s="334"/>
    </row>
    <row r="814" spans="45:75" x14ac:dyDescent="0.25">
      <c r="AS814" s="202"/>
      <c r="AV814" s="202"/>
      <c r="AW814" s="200"/>
      <c r="AX814" s="334"/>
      <c r="AY814" s="334"/>
      <c r="AZ814" s="334"/>
      <c r="BA814" s="201"/>
      <c r="BB814" s="334"/>
      <c r="BC814" s="334"/>
      <c r="BD814" s="334"/>
      <c r="BE814" s="201"/>
      <c r="BG814" s="334"/>
      <c r="BH814" s="334"/>
      <c r="BI814" s="334"/>
      <c r="BJ814" s="334"/>
      <c r="BK814" s="334"/>
      <c r="BL814" s="334"/>
      <c r="BM814" s="334"/>
      <c r="BN814" s="334"/>
      <c r="BO814" s="334"/>
      <c r="BP814" s="334"/>
      <c r="BQ814" s="334"/>
      <c r="BR814" s="334"/>
      <c r="BS814" s="334"/>
      <c r="BT814" s="334"/>
      <c r="BU814" s="334"/>
      <c r="BV814" s="334"/>
      <c r="BW814" s="334"/>
    </row>
    <row r="815" spans="45:75" x14ac:dyDescent="0.25">
      <c r="AS815" s="202"/>
      <c r="AV815" s="202"/>
      <c r="AW815" s="200"/>
      <c r="AX815" s="334"/>
      <c r="AY815" s="334"/>
      <c r="AZ815" s="334"/>
      <c r="BA815" s="201"/>
      <c r="BB815" s="334"/>
      <c r="BC815" s="334"/>
      <c r="BD815" s="334"/>
      <c r="BE815" s="201"/>
      <c r="BG815" s="334"/>
      <c r="BH815" s="334"/>
      <c r="BI815" s="334"/>
      <c r="BJ815" s="334"/>
      <c r="BK815" s="334"/>
      <c r="BL815" s="334"/>
      <c r="BM815" s="334"/>
      <c r="BN815" s="334"/>
      <c r="BO815" s="334"/>
      <c r="BP815" s="334"/>
      <c r="BQ815" s="334"/>
      <c r="BR815" s="334"/>
      <c r="BS815" s="334"/>
      <c r="BT815" s="334"/>
      <c r="BU815" s="334"/>
      <c r="BV815" s="334"/>
      <c r="BW815" s="334"/>
    </row>
    <row r="816" spans="45:75" x14ac:dyDescent="0.25">
      <c r="AS816" s="202"/>
      <c r="AV816" s="202"/>
      <c r="AW816" s="200"/>
      <c r="AX816" s="334"/>
      <c r="AY816" s="334"/>
      <c r="AZ816" s="334"/>
      <c r="BA816" s="201"/>
      <c r="BB816" s="334"/>
      <c r="BC816" s="334"/>
      <c r="BD816" s="334"/>
      <c r="BE816" s="201"/>
      <c r="BG816" s="334"/>
      <c r="BH816" s="334"/>
      <c r="BI816" s="334"/>
      <c r="BJ816" s="334"/>
      <c r="BK816" s="334"/>
      <c r="BL816" s="334"/>
      <c r="BM816" s="334"/>
      <c r="BN816" s="334"/>
      <c r="BO816" s="334"/>
      <c r="BP816" s="334"/>
      <c r="BQ816" s="334"/>
      <c r="BR816" s="334"/>
      <c r="BS816" s="334"/>
      <c r="BT816" s="334"/>
      <c r="BU816" s="334"/>
      <c r="BV816" s="334"/>
      <c r="BW816" s="334"/>
    </row>
    <row r="817" spans="45:75" x14ac:dyDescent="0.25">
      <c r="AS817" s="202"/>
      <c r="AV817" s="202"/>
      <c r="AW817" s="200"/>
      <c r="AX817" s="334"/>
      <c r="AY817" s="334"/>
      <c r="AZ817" s="334"/>
      <c r="BA817" s="201"/>
      <c r="BB817" s="334"/>
      <c r="BC817" s="334"/>
      <c r="BD817" s="334"/>
      <c r="BE817" s="201"/>
      <c r="BG817" s="334"/>
      <c r="BH817" s="334"/>
      <c r="BI817" s="334"/>
      <c r="BJ817" s="334"/>
      <c r="BK817" s="334"/>
      <c r="BL817" s="334"/>
      <c r="BM817" s="334"/>
      <c r="BN817" s="334"/>
      <c r="BO817" s="334"/>
      <c r="BP817" s="334"/>
      <c r="BQ817" s="334"/>
      <c r="BR817" s="334"/>
      <c r="BS817" s="334"/>
      <c r="BT817" s="334"/>
      <c r="BU817" s="334"/>
      <c r="BV817" s="334"/>
      <c r="BW817" s="334"/>
    </row>
    <row r="818" spans="45:75" x14ac:dyDescent="0.25">
      <c r="AS818" s="202"/>
      <c r="AV818" s="202"/>
      <c r="AW818" s="200"/>
      <c r="AX818" s="334"/>
      <c r="AY818" s="334"/>
      <c r="AZ818" s="334"/>
      <c r="BA818" s="201"/>
      <c r="BB818" s="334"/>
      <c r="BC818" s="334"/>
      <c r="BD818" s="334"/>
      <c r="BE818" s="201"/>
      <c r="BG818" s="334"/>
      <c r="BH818" s="334"/>
      <c r="BI818" s="334"/>
      <c r="BJ818" s="334"/>
      <c r="BK818" s="334"/>
      <c r="BL818" s="334"/>
      <c r="BM818" s="334"/>
      <c r="BN818" s="334"/>
      <c r="BO818" s="334"/>
      <c r="BP818" s="334"/>
      <c r="BQ818" s="334"/>
      <c r="BR818" s="334"/>
      <c r="BS818" s="334"/>
      <c r="BT818" s="334"/>
      <c r="BU818" s="334"/>
      <c r="BV818" s="334"/>
      <c r="BW818" s="334"/>
    </row>
    <row r="819" spans="45:75" x14ac:dyDescent="0.25">
      <c r="AS819" s="202"/>
      <c r="AV819" s="202"/>
      <c r="AW819" s="200"/>
      <c r="AX819" s="334"/>
      <c r="AY819" s="334"/>
      <c r="AZ819" s="334"/>
      <c r="BA819" s="201"/>
      <c r="BB819" s="334"/>
      <c r="BC819" s="334"/>
      <c r="BD819" s="334"/>
      <c r="BE819" s="201"/>
      <c r="BG819" s="334"/>
      <c r="BH819" s="334"/>
      <c r="BI819" s="334"/>
      <c r="BJ819" s="334"/>
      <c r="BK819" s="334"/>
      <c r="BL819" s="334"/>
      <c r="BM819" s="334"/>
      <c r="BN819" s="334"/>
      <c r="BO819" s="334"/>
      <c r="BP819" s="334"/>
      <c r="BQ819" s="334"/>
      <c r="BR819" s="334"/>
      <c r="BS819" s="334"/>
      <c r="BT819" s="334"/>
      <c r="BU819" s="334"/>
      <c r="BV819" s="334"/>
      <c r="BW819" s="334"/>
    </row>
    <row r="820" spans="45:75" x14ac:dyDescent="0.25">
      <c r="AS820" s="202"/>
      <c r="AV820" s="202"/>
      <c r="AW820" s="200"/>
      <c r="AX820" s="334"/>
      <c r="AY820" s="334"/>
      <c r="AZ820" s="334"/>
      <c r="BA820" s="201"/>
      <c r="BB820" s="334"/>
      <c r="BC820" s="334"/>
      <c r="BD820" s="334"/>
      <c r="BE820" s="201"/>
      <c r="BG820" s="334"/>
      <c r="BH820" s="334"/>
      <c r="BI820" s="334"/>
      <c r="BJ820" s="334"/>
      <c r="BK820" s="334"/>
      <c r="BL820" s="334"/>
      <c r="BM820" s="334"/>
      <c r="BN820" s="334"/>
      <c r="BO820" s="334"/>
      <c r="BP820" s="334"/>
      <c r="BQ820" s="334"/>
      <c r="BR820" s="334"/>
      <c r="BS820" s="334"/>
      <c r="BT820" s="334"/>
      <c r="BU820" s="334"/>
      <c r="BV820" s="334"/>
      <c r="BW820" s="334"/>
    </row>
    <row r="821" spans="45:75" x14ac:dyDescent="0.25">
      <c r="AS821" s="202"/>
      <c r="AV821" s="202"/>
      <c r="AW821" s="200"/>
      <c r="AX821" s="334"/>
      <c r="AY821" s="334"/>
      <c r="AZ821" s="334"/>
      <c r="BA821" s="201"/>
      <c r="BB821" s="334"/>
      <c r="BC821" s="334"/>
      <c r="BD821" s="334"/>
      <c r="BE821" s="201"/>
      <c r="BG821" s="334"/>
      <c r="BH821" s="334"/>
      <c r="BI821" s="334"/>
      <c r="BJ821" s="334"/>
      <c r="BK821" s="334"/>
      <c r="BL821" s="334"/>
      <c r="BM821" s="334"/>
      <c r="BN821" s="334"/>
      <c r="BO821" s="334"/>
      <c r="BP821" s="334"/>
      <c r="BQ821" s="334"/>
      <c r="BR821" s="334"/>
      <c r="BS821" s="334"/>
      <c r="BT821" s="334"/>
      <c r="BU821" s="334"/>
      <c r="BV821" s="334"/>
      <c r="BW821" s="334"/>
    </row>
    <row r="822" spans="45:75" x14ac:dyDescent="0.25">
      <c r="AS822" s="202"/>
      <c r="AV822" s="202"/>
      <c r="AW822" s="200"/>
      <c r="AX822" s="334"/>
      <c r="AY822" s="334"/>
      <c r="AZ822" s="334"/>
      <c r="BA822" s="201"/>
      <c r="BB822" s="334"/>
      <c r="BC822" s="334"/>
      <c r="BD822" s="334"/>
      <c r="BE822" s="201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  <c r="BR822" s="334"/>
      <c r="BS822" s="334"/>
      <c r="BT822" s="334"/>
      <c r="BU822" s="334"/>
      <c r="BV822" s="334"/>
      <c r="BW822" s="334"/>
    </row>
    <row r="823" spans="45:75" x14ac:dyDescent="0.25">
      <c r="AS823" s="202"/>
      <c r="AV823" s="202"/>
      <c r="AW823" s="200"/>
      <c r="AX823" s="334"/>
      <c r="AY823" s="334"/>
      <c r="AZ823" s="334"/>
      <c r="BA823" s="201"/>
      <c r="BB823" s="334"/>
      <c r="BC823" s="334"/>
      <c r="BD823" s="334"/>
      <c r="BE823" s="201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  <c r="BT823" s="334"/>
      <c r="BU823" s="334"/>
      <c r="BV823" s="334"/>
      <c r="BW823" s="334"/>
    </row>
    <row r="824" spans="45:75" x14ac:dyDescent="0.25">
      <c r="AW824" s="200"/>
      <c r="AX824" s="334"/>
      <c r="AY824" s="334"/>
      <c r="AZ824" s="334"/>
      <c r="BA824" s="201"/>
      <c r="BB824" s="334"/>
      <c r="BC824" s="334"/>
      <c r="BD824" s="334"/>
      <c r="BE824" s="201"/>
      <c r="BG824" s="102"/>
      <c r="BH824" s="102"/>
      <c r="BI824" s="154"/>
      <c r="BM824" s="102"/>
      <c r="BN824" s="102"/>
      <c r="BO824" s="334"/>
      <c r="BP824" s="102"/>
      <c r="BQ824" s="102"/>
      <c r="BR824" s="154"/>
      <c r="BV824" s="102"/>
      <c r="BW824" s="102"/>
    </row>
    <row r="825" spans="45:75" x14ac:dyDescent="0.25">
      <c r="AS825" s="202"/>
      <c r="AU825" s="154"/>
      <c r="AV825" s="103"/>
      <c r="AW825" s="200"/>
      <c r="AX825" s="334"/>
      <c r="AY825" s="334"/>
      <c r="AZ825" s="334"/>
      <c r="BA825" s="201"/>
      <c r="BB825" s="334"/>
      <c r="BC825" s="334"/>
      <c r="BD825" s="334"/>
      <c r="BE825" s="201"/>
      <c r="BG825" s="336"/>
      <c r="BH825" s="334"/>
      <c r="BI825" s="334"/>
      <c r="BJ825" s="334"/>
      <c r="BK825" s="336"/>
      <c r="BL825" s="337"/>
      <c r="BM825" s="334"/>
      <c r="BN825" s="336"/>
      <c r="BO825" s="334"/>
      <c r="BP825" s="336"/>
      <c r="BQ825" s="334"/>
      <c r="BR825" s="334"/>
      <c r="BS825" s="334"/>
      <c r="BT825" s="336"/>
      <c r="BU825" s="337"/>
      <c r="BV825" s="334"/>
      <c r="BW825" s="336"/>
    </row>
    <row r="826" spans="45:75" x14ac:dyDescent="0.25">
      <c r="AS826" s="202"/>
      <c r="AV826" s="103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7"/>
      <c r="BM826" s="334"/>
      <c r="BN826" s="334"/>
      <c r="BO826" s="334"/>
      <c r="BP826" s="334"/>
      <c r="BQ826" s="334"/>
      <c r="BR826" s="334"/>
      <c r="BS826" s="334"/>
      <c r="BT826" s="334"/>
      <c r="BU826" s="337"/>
      <c r="BV826" s="334"/>
      <c r="BW826" s="334"/>
    </row>
    <row r="827" spans="45:75" x14ac:dyDescent="0.25">
      <c r="AS827" s="202"/>
      <c r="AV827" s="103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7"/>
      <c r="BM827" s="334"/>
      <c r="BN827" s="334"/>
      <c r="BO827" s="334"/>
      <c r="BP827" s="334"/>
      <c r="BQ827" s="334"/>
      <c r="BR827" s="334"/>
      <c r="BS827" s="334"/>
      <c r="BT827" s="334"/>
      <c r="BU827" s="337"/>
      <c r="BV827" s="334"/>
      <c r="BW827" s="334"/>
    </row>
    <row r="828" spans="45:75" x14ac:dyDescent="0.25">
      <c r="AS828" s="202"/>
      <c r="AV828" s="103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7"/>
      <c r="BM828" s="334"/>
      <c r="BN828" s="334"/>
      <c r="BO828" s="334"/>
      <c r="BP828" s="334"/>
      <c r="BQ828" s="334"/>
      <c r="BR828" s="334"/>
      <c r="BS828" s="334"/>
      <c r="BT828" s="334"/>
      <c r="BU828" s="337"/>
      <c r="BV828" s="334"/>
      <c r="BW828" s="334"/>
    </row>
    <row r="829" spans="45:75" x14ac:dyDescent="0.25"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  <c r="BT829" s="334"/>
      <c r="BU829" s="334"/>
      <c r="BV829" s="334"/>
    </row>
    <row r="830" spans="45:75" x14ac:dyDescent="0.25">
      <c r="AU830" s="154"/>
    </row>
    <row r="831" spans="45:75" x14ac:dyDescent="0.25">
      <c r="AU831" s="15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  <c r="BT831" s="334"/>
      <c r="BU831" s="334"/>
      <c r="BV831" s="334"/>
    </row>
    <row r="832" spans="45:75" x14ac:dyDescent="0.25">
      <c r="AS832" s="154"/>
      <c r="AZ832" s="334"/>
      <c r="BB832" s="334"/>
    </row>
    <row r="833" spans="45:74" x14ac:dyDescent="0.25">
      <c r="AY833" s="202"/>
      <c r="AZ833" s="334"/>
      <c r="BB833" s="334"/>
      <c r="BO833" s="334"/>
      <c r="BP833" s="334"/>
      <c r="BQ833" s="334"/>
      <c r="BR833" s="334"/>
      <c r="BS833" s="334"/>
      <c r="BT833" s="334"/>
      <c r="BU833" s="334"/>
      <c r="BV833" s="334"/>
    </row>
    <row r="834" spans="45:74" x14ac:dyDescent="0.25">
      <c r="AY834" s="334"/>
      <c r="AZ834" s="334"/>
      <c r="BB834" s="334"/>
      <c r="BO834" s="334"/>
      <c r="BP834" s="334"/>
      <c r="BQ834" s="334"/>
      <c r="BR834" s="334"/>
      <c r="BS834" s="334"/>
      <c r="BT834" s="334"/>
      <c r="BU834" s="334"/>
      <c r="BV834" s="334"/>
    </row>
    <row r="835" spans="45:74" x14ac:dyDescent="0.25">
      <c r="AY835" s="154"/>
      <c r="AZ835" s="334"/>
      <c r="BB835" s="334"/>
      <c r="BO835" s="334"/>
      <c r="BP835" s="334"/>
      <c r="BQ835" s="334"/>
      <c r="BR835" s="334"/>
      <c r="BS835" s="334"/>
      <c r="BT835" s="334"/>
      <c r="BU835" s="334"/>
      <c r="BV835" s="334"/>
    </row>
    <row r="836" spans="45:74" x14ac:dyDescent="0.25">
      <c r="AY836" s="154"/>
      <c r="AZ836" s="334"/>
      <c r="BB836" s="334"/>
      <c r="BO836" s="334"/>
      <c r="BP836" s="334"/>
      <c r="BQ836" s="334"/>
      <c r="BR836" s="334"/>
      <c r="BS836" s="334"/>
      <c r="BT836" s="334"/>
      <c r="BU836" s="334"/>
      <c r="BV836" s="334"/>
    </row>
    <row r="837" spans="45:74" x14ac:dyDescent="0.25">
      <c r="AS837" s="202"/>
      <c r="AZ837" s="334"/>
      <c r="BB837" s="334"/>
      <c r="BD837" s="154"/>
      <c r="BO837" s="334"/>
      <c r="BP837" s="334"/>
      <c r="BQ837" s="334"/>
      <c r="BR837" s="334"/>
      <c r="BS837" s="334"/>
      <c r="BT837" s="334"/>
      <c r="BU837" s="334"/>
      <c r="BV837" s="334"/>
    </row>
    <row r="838" spans="45:74" x14ac:dyDescent="0.25">
      <c r="AS838" s="202"/>
      <c r="AZ838" s="334"/>
      <c r="BB838" s="334"/>
      <c r="BD838" s="154"/>
      <c r="BO838" s="334"/>
      <c r="BP838" s="334"/>
      <c r="BQ838" s="334"/>
      <c r="BR838" s="334"/>
      <c r="BS838" s="334"/>
      <c r="BT838" s="334"/>
      <c r="BU838" s="334"/>
      <c r="BV838" s="334"/>
    </row>
    <row r="839" spans="45:74" x14ac:dyDescent="0.25">
      <c r="AS839" s="154"/>
      <c r="AZ839" s="334"/>
      <c r="BB839" s="334"/>
      <c r="BD839" s="154"/>
      <c r="BO839" s="334"/>
      <c r="BP839" s="334"/>
      <c r="BQ839" s="334"/>
      <c r="BR839" s="334"/>
      <c r="BS839" s="334"/>
      <c r="BT839" s="334"/>
      <c r="BU839" s="334"/>
      <c r="BV839" s="334"/>
    </row>
    <row r="840" spans="45:74" x14ac:dyDescent="0.25">
      <c r="AZ840" s="334"/>
      <c r="BB840" s="334"/>
      <c r="BD840" s="202"/>
      <c r="BO840" s="334"/>
      <c r="BP840" s="334"/>
      <c r="BQ840" s="334"/>
      <c r="BR840" s="334"/>
      <c r="BS840" s="334"/>
      <c r="BT840" s="334"/>
      <c r="BU840" s="334"/>
      <c r="BV840" s="334"/>
    </row>
    <row r="841" spans="45:74" x14ac:dyDescent="0.25">
      <c r="AS841" s="102"/>
      <c r="AT841" s="102"/>
      <c r="AU841" s="102"/>
      <c r="AV841" s="102"/>
      <c r="AW841" s="102"/>
      <c r="AX841" s="102"/>
      <c r="AY841" s="102"/>
      <c r="AZ841" s="335"/>
      <c r="BA841" s="102"/>
      <c r="BB841" s="335"/>
      <c r="BC841" s="102"/>
      <c r="BD841" s="102"/>
      <c r="BE841" s="102"/>
      <c r="BO841" s="334"/>
      <c r="BP841" s="334"/>
      <c r="BQ841" s="334"/>
      <c r="BR841" s="334"/>
      <c r="BS841" s="334"/>
      <c r="BT841" s="334"/>
      <c r="BU841" s="334"/>
      <c r="BV841" s="334"/>
    </row>
    <row r="842" spans="45:74" x14ac:dyDescent="0.25">
      <c r="AX842" s="154"/>
      <c r="AZ842" s="334"/>
      <c r="BB842" s="334"/>
      <c r="BO842" s="334"/>
      <c r="BP842" s="334"/>
      <c r="BQ842" s="334"/>
      <c r="BR842" s="334"/>
      <c r="BS842" s="334"/>
      <c r="BT842" s="334"/>
      <c r="BU842" s="334"/>
      <c r="BV842" s="334"/>
    </row>
    <row r="843" spans="45:74" x14ac:dyDescent="0.25">
      <c r="AX843" s="102"/>
      <c r="AY843" s="102"/>
      <c r="AZ843" s="335"/>
      <c r="BA843" s="102"/>
      <c r="BB843" s="334"/>
      <c r="BC843" s="103"/>
      <c r="BD843" s="103"/>
      <c r="BO843" s="334"/>
      <c r="BP843" s="334"/>
      <c r="BQ843" s="334"/>
      <c r="BR843" s="334"/>
      <c r="BS843" s="334"/>
      <c r="BT843" s="334"/>
      <c r="BU843" s="334"/>
      <c r="BV843" s="334"/>
    </row>
    <row r="844" spans="45:74" x14ac:dyDescent="0.25">
      <c r="AV844" s="103"/>
      <c r="AW844" s="103"/>
      <c r="AZ844" s="336"/>
      <c r="BA844" s="103"/>
      <c r="BB844" s="334"/>
      <c r="BC844" s="103"/>
      <c r="BD844" s="103"/>
      <c r="BE844" s="103"/>
      <c r="BG844" s="102"/>
      <c r="BH844" s="154"/>
      <c r="BK844" s="102"/>
      <c r="BM844" s="102"/>
      <c r="BN844" s="154"/>
      <c r="BQ844" s="102"/>
    </row>
    <row r="845" spans="45:74" x14ac:dyDescent="0.25">
      <c r="AV845" s="103"/>
      <c r="AW845" s="103"/>
      <c r="AX845" s="103"/>
      <c r="AY845" s="103"/>
      <c r="AZ845" s="336"/>
      <c r="BA845" s="103"/>
      <c r="BB845" s="336"/>
      <c r="BC845" s="103"/>
      <c r="BD845" s="103"/>
      <c r="BE845" s="103"/>
      <c r="BH845" s="103"/>
      <c r="BI845" s="103"/>
      <c r="BN845" s="103"/>
      <c r="BO845" s="103"/>
    </row>
    <row r="846" spans="45:74" x14ac:dyDescent="0.25">
      <c r="AS846" s="103"/>
      <c r="AU846" s="154"/>
      <c r="AV846" s="103"/>
      <c r="AW846" s="103"/>
      <c r="AX846" s="103"/>
      <c r="AY846" s="103"/>
      <c r="AZ846" s="336"/>
      <c r="BA846" s="103"/>
      <c r="BB846" s="336"/>
      <c r="BC846" s="103"/>
      <c r="BD846" s="103"/>
      <c r="BE846" s="103"/>
      <c r="BG846" s="103"/>
      <c r="BH846" s="103"/>
      <c r="BI846" s="103"/>
      <c r="BJ846" s="103"/>
      <c r="BK846" s="103"/>
      <c r="BM846" s="103"/>
      <c r="BN846" s="103"/>
      <c r="BO846" s="103"/>
      <c r="BP846" s="103"/>
      <c r="BQ846" s="103"/>
    </row>
    <row r="847" spans="45:74" x14ac:dyDescent="0.25">
      <c r="AS847" s="103"/>
      <c r="AU847" s="154"/>
      <c r="AV847" s="103"/>
      <c r="AW847" s="103"/>
      <c r="AX847" s="103"/>
      <c r="AY847" s="103"/>
      <c r="AZ847" s="336"/>
      <c r="BA847" s="103"/>
      <c r="BB847" s="336"/>
      <c r="BC847" s="103"/>
      <c r="BD847" s="103"/>
      <c r="BE847" s="103"/>
      <c r="BG847" s="103"/>
      <c r="BH847" s="103"/>
      <c r="BI847" s="103"/>
      <c r="BJ847" s="103"/>
      <c r="BK847" s="103"/>
      <c r="BM847" s="103"/>
      <c r="BN847" s="103"/>
      <c r="BO847" s="103"/>
      <c r="BP847" s="103"/>
      <c r="BQ847" s="103"/>
    </row>
    <row r="848" spans="45:74" x14ac:dyDescent="0.25">
      <c r="AS848" s="102"/>
      <c r="AT848" s="102"/>
      <c r="AU848" s="102"/>
      <c r="AV848" s="102"/>
      <c r="AW848" s="102"/>
      <c r="AX848" s="102"/>
      <c r="AY848" s="102"/>
      <c r="AZ848" s="335"/>
      <c r="BA848" s="102"/>
      <c r="BB848" s="335"/>
      <c r="BC848" s="102"/>
      <c r="BD848" s="102"/>
      <c r="BE848" s="102"/>
      <c r="BG848" s="102"/>
      <c r="BH848" s="102"/>
      <c r="BI848" s="102"/>
      <c r="BJ848" s="102"/>
      <c r="BK848" s="102"/>
      <c r="BM848" s="102"/>
      <c r="BN848" s="102"/>
      <c r="BO848" s="102"/>
      <c r="BP848" s="102"/>
      <c r="BQ848" s="102"/>
    </row>
    <row r="849" spans="45:71" x14ac:dyDescent="0.25">
      <c r="AV849" s="103"/>
      <c r="AW849" s="103"/>
      <c r="AX849" s="103"/>
      <c r="AY849" s="103"/>
      <c r="AZ849" s="336"/>
      <c r="BA849" s="103"/>
      <c r="BB849" s="336"/>
      <c r="BC849" s="103"/>
      <c r="BD849" s="103"/>
      <c r="BE849" s="103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</row>
    <row r="850" spans="45:71" x14ac:dyDescent="0.25">
      <c r="AS850" s="202"/>
      <c r="AT850" s="154"/>
      <c r="AV850" s="200"/>
      <c r="AW850" s="200"/>
      <c r="AX850" s="334"/>
      <c r="AY850" s="334"/>
      <c r="AZ850" s="334"/>
      <c r="BA850" s="201"/>
      <c r="BB850" s="334"/>
      <c r="BC850" s="334"/>
      <c r="BD850" s="334"/>
      <c r="BE850" s="201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</row>
    <row r="851" spans="45:71" x14ac:dyDescent="0.25">
      <c r="AS851" s="202"/>
      <c r="AV851" s="200"/>
      <c r="AW851" s="200"/>
      <c r="AX851" s="334"/>
      <c r="AY851" s="334"/>
      <c r="AZ851" s="334"/>
      <c r="BA851" s="201"/>
      <c r="BB851" s="334"/>
      <c r="BC851" s="334"/>
      <c r="BD851" s="334"/>
      <c r="BE851" s="201"/>
      <c r="BG851" s="334"/>
      <c r="BH851" s="334"/>
      <c r="BI851" s="334"/>
      <c r="BJ851" s="334"/>
      <c r="BK851" s="334"/>
      <c r="BL851" s="334"/>
      <c r="BM851" s="334"/>
      <c r="BN851" s="334"/>
      <c r="BO851" s="334"/>
      <c r="BP851" s="334"/>
      <c r="BQ851" s="334"/>
      <c r="BR851" s="334"/>
      <c r="BS851" s="334"/>
    </row>
    <row r="852" spans="45:71" x14ac:dyDescent="0.25">
      <c r="AS852" s="202"/>
      <c r="AV852" s="200"/>
      <c r="AW852" s="200"/>
      <c r="AX852" s="334"/>
      <c r="AY852" s="334"/>
      <c r="AZ852" s="334"/>
      <c r="BA852" s="201"/>
      <c r="BB852" s="334"/>
      <c r="BC852" s="334"/>
      <c r="BD852" s="334"/>
      <c r="BE852" s="201"/>
      <c r="BG852" s="334"/>
      <c r="BH852" s="334"/>
      <c r="BI852" s="334"/>
      <c r="BJ852" s="334"/>
      <c r="BK852" s="334"/>
      <c r="BL852" s="334"/>
      <c r="BM852" s="334"/>
      <c r="BN852" s="334"/>
      <c r="BO852" s="334"/>
      <c r="BP852" s="334"/>
      <c r="BQ852" s="334"/>
      <c r="BR852" s="334"/>
      <c r="BS852" s="334"/>
    </row>
    <row r="853" spans="45:71" x14ac:dyDescent="0.25">
      <c r="AS853" s="202"/>
      <c r="AV853" s="200"/>
      <c r="AW853" s="200"/>
      <c r="AX853" s="334"/>
      <c r="AY853" s="334"/>
      <c r="AZ853" s="334"/>
      <c r="BA853" s="201"/>
      <c r="BB853" s="334"/>
      <c r="BC853" s="334"/>
      <c r="BD853" s="334"/>
      <c r="BE853" s="201"/>
      <c r="BG853" s="334"/>
      <c r="BH853" s="334"/>
      <c r="BI853" s="334"/>
      <c r="BJ853" s="334"/>
      <c r="BK853" s="334"/>
      <c r="BL853" s="334"/>
      <c r="BM853" s="334"/>
      <c r="BN853" s="334"/>
      <c r="BO853" s="334"/>
      <c r="BP853" s="334"/>
      <c r="BQ853" s="334"/>
      <c r="BR853" s="334"/>
      <c r="BS853" s="334"/>
    </row>
    <row r="854" spans="45:71" x14ac:dyDescent="0.25">
      <c r="AS854" s="202"/>
      <c r="AV854" s="200"/>
      <c r="AW854" s="200"/>
      <c r="AX854" s="334"/>
      <c r="AY854" s="334"/>
      <c r="AZ854" s="334"/>
      <c r="BA854" s="201"/>
      <c r="BB854" s="334"/>
      <c r="BC854" s="334"/>
      <c r="BD854" s="334"/>
      <c r="BE854" s="201"/>
      <c r="BG854" s="334"/>
      <c r="BH854" s="334"/>
      <c r="BI854" s="334"/>
      <c r="BJ854" s="334"/>
      <c r="BK854" s="334"/>
      <c r="BL854" s="334"/>
      <c r="BM854" s="334"/>
      <c r="BN854" s="334"/>
      <c r="BO854" s="334"/>
      <c r="BP854" s="334"/>
      <c r="BQ854" s="334"/>
      <c r="BR854" s="334"/>
      <c r="BS854" s="334"/>
    </row>
    <row r="855" spans="45:71" x14ac:dyDescent="0.25">
      <c r="AS855" s="202"/>
      <c r="AV855" s="200"/>
      <c r="AW855" s="200"/>
      <c r="AX855" s="334"/>
      <c r="AY855" s="334"/>
      <c r="AZ855" s="334"/>
      <c r="BA855" s="201"/>
      <c r="BB855" s="334"/>
      <c r="BC855" s="334"/>
      <c r="BD855" s="334"/>
      <c r="BE855" s="201"/>
      <c r="BG855" s="334"/>
      <c r="BH855" s="334"/>
      <c r="BI855" s="334"/>
      <c r="BJ855" s="334"/>
      <c r="BK855" s="334"/>
      <c r="BL855" s="334"/>
      <c r="BM855" s="334"/>
      <c r="BN855" s="334"/>
      <c r="BO855" s="334"/>
      <c r="BP855" s="334"/>
      <c r="BQ855" s="334"/>
      <c r="BR855" s="334"/>
      <c r="BS855" s="334"/>
    </row>
    <row r="856" spans="45:71" x14ac:dyDescent="0.25">
      <c r="AS856" s="202"/>
      <c r="AV856" s="200"/>
      <c r="AW856" s="200"/>
      <c r="AX856" s="334"/>
      <c r="AY856" s="334"/>
      <c r="AZ856" s="334"/>
      <c r="BA856" s="201"/>
      <c r="BB856" s="334"/>
      <c r="BC856" s="334"/>
      <c r="BD856" s="334"/>
      <c r="BE856" s="201"/>
      <c r="BG856" s="334"/>
      <c r="BH856" s="334"/>
      <c r="BI856" s="334"/>
      <c r="BJ856" s="334"/>
      <c r="BK856" s="334"/>
      <c r="BL856" s="334"/>
      <c r="BM856" s="334"/>
      <c r="BN856" s="334"/>
      <c r="BO856" s="334"/>
      <c r="BP856" s="334"/>
      <c r="BQ856" s="334"/>
      <c r="BR856" s="334"/>
      <c r="BS856" s="334"/>
    </row>
    <row r="857" spans="45:71" x14ac:dyDescent="0.25">
      <c r="AS857" s="202"/>
      <c r="AV857" s="200"/>
      <c r="AW857" s="200"/>
      <c r="AX857" s="334"/>
      <c r="AY857" s="334"/>
      <c r="AZ857" s="334"/>
      <c r="BA857" s="201"/>
      <c r="BB857" s="334"/>
      <c r="BC857" s="334"/>
      <c r="BD857" s="334"/>
      <c r="BE857" s="201"/>
      <c r="BG857" s="334"/>
      <c r="BH857" s="334"/>
      <c r="BI857" s="334"/>
      <c r="BJ857" s="334"/>
      <c r="BK857" s="334"/>
      <c r="BL857" s="334"/>
      <c r="BM857" s="334"/>
      <c r="BN857" s="334"/>
      <c r="BO857" s="334"/>
      <c r="BP857" s="334"/>
      <c r="BQ857" s="334"/>
      <c r="BR857" s="334"/>
      <c r="BS857" s="334"/>
    </row>
    <row r="858" spans="45:71" x14ac:dyDescent="0.25">
      <c r="AS858" s="202"/>
      <c r="AV858" s="200"/>
      <c r="AW858" s="200"/>
      <c r="AX858" s="334"/>
      <c r="AY858" s="334"/>
      <c r="AZ858" s="334"/>
      <c r="BA858" s="201"/>
      <c r="BB858" s="334"/>
      <c r="BC858" s="334"/>
      <c r="BD858" s="334"/>
      <c r="BE858" s="201"/>
      <c r="BG858" s="334"/>
      <c r="BH858" s="334"/>
      <c r="BI858" s="334"/>
      <c r="BJ858" s="334"/>
      <c r="BK858" s="334"/>
      <c r="BL858" s="334"/>
      <c r="BM858" s="334"/>
      <c r="BN858" s="334"/>
      <c r="BO858" s="334"/>
      <c r="BP858" s="334"/>
      <c r="BQ858" s="334"/>
      <c r="BR858" s="334"/>
      <c r="BS858" s="334"/>
    </row>
    <row r="859" spans="45:71" x14ac:dyDescent="0.25">
      <c r="AS859" s="202"/>
      <c r="AV859" s="200"/>
      <c r="AW859" s="200"/>
      <c r="AX859" s="334"/>
      <c r="AY859" s="334"/>
      <c r="AZ859" s="334"/>
      <c r="BA859" s="201"/>
      <c r="BB859" s="334"/>
      <c r="BC859" s="334"/>
      <c r="BD859" s="334"/>
      <c r="BE859" s="201"/>
      <c r="BG859" s="334"/>
      <c r="BH859" s="334"/>
      <c r="BI859" s="334"/>
      <c r="BJ859" s="334"/>
      <c r="BK859" s="334"/>
      <c r="BL859" s="334"/>
      <c r="BM859" s="334"/>
      <c r="BN859" s="334"/>
      <c r="BO859" s="334"/>
      <c r="BP859" s="334"/>
      <c r="BQ859" s="334"/>
      <c r="BR859" s="334"/>
      <c r="BS859" s="334"/>
    </row>
    <row r="860" spans="45:71" x14ac:dyDescent="0.25">
      <c r="AS860" s="202"/>
      <c r="AV860" s="200"/>
      <c r="AW860" s="200"/>
      <c r="AX860" s="334"/>
      <c r="AY860" s="334"/>
      <c r="AZ860" s="334"/>
      <c r="BA860" s="201"/>
      <c r="BB860" s="334"/>
      <c r="BC860" s="334"/>
      <c r="BD860" s="334"/>
      <c r="BE860" s="201"/>
      <c r="BG860" s="334"/>
      <c r="BH860" s="334"/>
      <c r="BI860" s="334"/>
      <c r="BJ860" s="334"/>
      <c r="BK860" s="334"/>
      <c r="BL860" s="334"/>
      <c r="BM860" s="334"/>
      <c r="BN860" s="334"/>
      <c r="BO860" s="334"/>
      <c r="BP860" s="334"/>
      <c r="BQ860" s="334"/>
      <c r="BR860" s="334"/>
      <c r="BS860" s="334"/>
    </row>
    <row r="861" spans="45:71" x14ac:dyDescent="0.25">
      <c r="AS861" s="202"/>
      <c r="AV861" s="200"/>
      <c r="AW861" s="200"/>
      <c r="AX861" s="334"/>
      <c r="AY861" s="334"/>
      <c r="AZ861" s="334"/>
      <c r="BA861" s="201"/>
      <c r="BB861" s="334"/>
      <c r="BC861" s="334"/>
      <c r="BD861" s="334"/>
      <c r="BE861" s="201"/>
      <c r="BG861" s="334"/>
      <c r="BH861" s="334"/>
      <c r="BI861" s="334"/>
      <c r="BJ861" s="334"/>
      <c r="BK861" s="334"/>
      <c r="BL861" s="334"/>
      <c r="BM861" s="334"/>
      <c r="BN861" s="334"/>
      <c r="BO861" s="334"/>
      <c r="BP861" s="334"/>
      <c r="BQ861" s="334"/>
      <c r="BR861" s="334"/>
      <c r="BS861" s="334"/>
    </row>
    <row r="862" spans="45:71" x14ac:dyDescent="0.25">
      <c r="AS862" s="202"/>
      <c r="AV862" s="200"/>
      <c r="AW862" s="200"/>
      <c r="AX862" s="334"/>
      <c r="AY862" s="334"/>
      <c r="AZ862" s="334"/>
      <c r="BA862" s="201"/>
      <c r="BB862" s="334"/>
      <c r="BC862" s="334"/>
      <c r="BD862" s="334"/>
      <c r="BE862" s="201"/>
      <c r="BG862" s="334"/>
      <c r="BH862" s="334"/>
      <c r="BI862" s="334"/>
      <c r="BJ862" s="334"/>
      <c r="BK862" s="334"/>
      <c r="BL862" s="334"/>
      <c r="BM862" s="334"/>
      <c r="BN862" s="334"/>
      <c r="BO862" s="334"/>
      <c r="BP862" s="334"/>
      <c r="BQ862" s="334"/>
      <c r="BR862" s="334"/>
      <c r="BS862" s="334"/>
    </row>
    <row r="863" spans="45:71" x14ac:dyDescent="0.25">
      <c r="AS863" s="202"/>
      <c r="AV863" s="200"/>
      <c r="AW863" s="200"/>
      <c r="AX863" s="334"/>
      <c r="AY863" s="334"/>
      <c r="AZ863" s="334"/>
      <c r="BA863" s="201"/>
      <c r="BB863" s="334"/>
      <c r="BC863" s="334"/>
      <c r="BD863" s="334"/>
      <c r="BE863" s="201"/>
      <c r="BG863" s="334"/>
      <c r="BH863" s="334"/>
      <c r="BI863" s="334"/>
      <c r="BJ863" s="334"/>
      <c r="BK863" s="334"/>
      <c r="BL863" s="334"/>
      <c r="BM863" s="334"/>
      <c r="BN863" s="334"/>
      <c r="BO863" s="334"/>
      <c r="BP863" s="334"/>
      <c r="BQ863" s="334"/>
      <c r="BR863" s="334"/>
      <c r="BS863" s="334"/>
    </row>
    <row r="864" spans="45:71" x14ac:dyDescent="0.25">
      <c r="AS864" s="202"/>
      <c r="AV864" s="200"/>
      <c r="AW864" s="200"/>
      <c r="AX864" s="334"/>
      <c r="AY864" s="334"/>
      <c r="AZ864" s="334"/>
      <c r="BA864" s="201"/>
      <c r="BB864" s="334"/>
      <c r="BC864" s="334"/>
      <c r="BD864" s="334"/>
      <c r="BE864" s="201"/>
      <c r="BG864" s="334"/>
      <c r="BH864" s="334"/>
      <c r="BI864" s="334"/>
      <c r="BJ864" s="334"/>
      <c r="BK864" s="334"/>
      <c r="BL864" s="334"/>
      <c r="BM864" s="334"/>
      <c r="BN864" s="334"/>
      <c r="BO864" s="334"/>
      <c r="BP864" s="334"/>
      <c r="BQ864" s="334"/>
      <c r="BR864" s="334"/>
      <c r="BS864" s="334"/>
    </row>
    <row r="865" spans="45:71" x14ac:dyDescent="0.25">
      <c r="AS865" s="202"/>
      <c r="AV865" s="200"/>
      <c r="AW865" s="200"/>
      <c r="AX865" s="334"/>
      <c r="AY865" s="334"/>
      <c r="AZ865" s="334"/>
      <c r="BA865" s="201"/>
      <c r="BB865" s="334"/>
      <c r="BC865" s="334"/>
      <c r="BD865" s="334"/>
      <c r="BE865" s="201"/>
      <c r="BG865" s="334"/>
      <c r="BH865" s="334"/>
      <c r="BI865" s="334"/>
      <c r="BJ865" s="334"/>
      <c r="BK865" s="334"/>
      <c r="BL865" s="334"/>
      <c r="BM865" s="334"/>
      <c r="BN865" s="334"/>
      <c r="BO865" s="334"/>
      <c r="BP865" s="334"/>
      <c r="BQ865" s="334"/>
      <c r="BR865" s="334"/>
      <c r="BS865" s="334"/>
    </row>
    <row r="866" spans="45:71" x14ac:dyDescent="0.25">
      <c r="AS866" s="202"/>
      <c r="AV866" s="200"/>
      <c r="AW866" s="200"/>
      <c r="AX866" s="334"/>
      <c r="AY866" s="334"/>
      <c r="AZ866" s="334"/>
      <c r="BA866" s="201"/>
      <c r="BB866" s="334"/>
      <c r="BC866" s="334"/>
      <c r="BD866" s="334"/>
      <c r="BE866" s="201"/>
      <c r="BG866" s="334"/>
      <c r="BH866" s="334"/>
      <c r="BI866" s="334"/>
      <c r="BJ866" s="334"/>
      <c r="BK866" s="334"/>
      <c r="BL866" s="334"/>
      <c r="BM866" s="334"/>
      <c r="BN866" s="334"/>
      <c r="BO866" s="334"/>
      <c r="BP866" s="334"/>
      <c r="BQ866" s="334"/>
      <c r="BR866" s="334"/>
      <c r="BS866" s="334"/>
    </row>
    <row r="867" spans="45:71" x14ac:dyDescent="0.25">
      <c r="AS867" s="202"/>
      <c r="AV867" s="200"/>
      <c r="AW867" s="200"/>
      <c r="AX867" s="334"/>
      <c r="AY867" s="334"/>
      <c r="AZ867" s="334"/>
      <c r="BA867" s="201"/>
      <c r="BB867" s="334"/>
      <c r="BC867" s="334"/>
      <c r="BD867" s="334"/>
      <c r="BE867" s="201"/>
      <c r="BG867" s="334"/>
      <c r="BH867" s="334"/>
      <c r="BI867" s="334"/>
      <c r="BJ867" s="334"/>
      <c r="BK867" s="334"/>
      <c r="BL867" s="334"/>
      <c r="BM867" s="334"/>
      <c r="BN867" s="334"/>
      <c r="BO867" s="334"/>
      <c r="BP867" s="334"/>
      <c r="BQ867" s="334"/>
      <c r="BR867" s="334"/>
      <c r="BS867" s="334"/>
    </row>
    <row r="868" spans="45:71" x14ac:dyDescent="0.25">
      <c r="AZ868" s="334"/>
      <c r="BB868" s="334"/>
      <c r="BC868" s="334"/>
      <c r="BD868" s="334"/>
      <c r="BG868" s="334"/>
      <c r="BH868" s="334"/>
      <c r="BI868" s="334"/>
      <c r="BJ868" s="334"/>
      <c r="BK868" s="334"/>
      <c r="BL868" s="334"/>
      <c r="BM868" s="334"/>
      <c r="BN868" s="334"/>
      <c r="BO868" s="334"/>
      <c r="BP868" s="334"/>
      <c r="BQ868" s="334"/>
      <c r="BR868" s="334"/>
      <c r="BS868" s="334"/>
    </row>
    <row r="869" spans="45:71" x14ac:dyDescent="0.25">
      <c r="AS869" s="202"/>
      <c r="AT869" s="154"/>
      <c r="AV869" s="200"/>
      <c r="AW869" s="200"/>
      <c r="AX869" s="334"/>
      <c r="AY869" s="334"/>
      <c r="AZ869" s="334"/>
      <c r="BA869" s="201"/>
      <c r="BB869" s="334"/>
      <c r="BC869" s="334"/>
      <c r="BD869" s="334"/>
      <c r="BE869" s="201"/>
    </row>
    <row r="870" spans="45:71" x14ac:dyDescent="0.25">
      <c r="AS870" s="202"/>
      <c r="AV870" s="200"/>
      <c r="AW870" s="200"/>
      <c r="AX870" s="334"/>
      <c r="AY870" s="334"/>
      <c r="AZ870" s="334"/>
      <c r="BA870" s="201"/>
      <c r="BB870" s="334"/>
      <c r="BC870" s="334"/>
      <c r="BD870" s="334"/>
      <c r="BE870" s="201"/>
    </row>
    <row r="871" spans="45:71" x14ac:dyDescent="0.25">
      <c r="AS871" s="202"/>
      <c r="AV871" s="200"/>
      <c r="AW871" s="200"/>
      <c r="AX871" s="334"/>
      <c r="AY871" s="334"/>
      <c r="AZ871" s="334"/>
      <c r="BA871" s="201"/>
      <c r="BB871" s="334"/>
      <c r="BC871" s="334"/>
      <c r="BD871" s="334"/>
      <c r="BE871" s="201"/>
    </row>
    <row r="872" spans="45:71" x14ac:dyDescent="0.25">
      <c r="AS872" s="202"/>
      <c r="AV872" s="200"/>
      <c r="AW872" s="200"/>
      <c r="AX872" s="334"/>
      <c r="AY872" s="334"/>
      <c r="AZ872" s="334"/>
      <c r="BA872" s="201"/>
      <c r="BB872" s="334"/>
      <c r="BC872" s="334"/>
      <c r="BD872" s="334"/>
      <c r="BE872" s="201"/>
    </row>
    <row r="873" spans="45:71" x14ac:dyDescent="0.25">
      <c r="AS873" s="202"/>
      <c r="AV873" s="200"/>
      <c r="AW873" s="200"/>
      <c r="AX873" s="334"/>
      <c r="AY873" s="334"/>
      <c r="AZ873" s="334"/>
      <c r="BA873" s="201"/>
      <c r="BB873" s="334"/>
      <c r="BC873" s="334"/>
      <c r="BD873" s="334"/>
      <c r="BE873" s="201"/>
    </row>
    <row r="874" spans="45:71" x14ac:dyDescent="0.25">
      <c r="AS874" s="202"/>
      <c r="AV874" s="200"/>
      <c r="AW874" s="200"/>
      <c r="AX874" s="334"/>
      <c r="AY874" s="334"/>
      <c r="AZ874" s="334"/>
      <c r="BA874" s="201"/>
      <c r="BB874" s="334"/>
      <c r="BC874" s="334"/>
      <c r="BD874" s="334"/>
      <c r="BE874" s="201"/>
    </row>
    <row r="875" spans="45:71" x14ac:dyDescent="0.25">
      <c r="AS875" s="202"/>
      <c r="AV875" s="200"/>
      <c r="AW875" s="200"/>
      <c r="AX875" s="334"/>
      <c r="AY875" s="334"/>
      <c r="AZ875" s="334"/>
      <c r="BA875" s="201"/>
      <c r="BB875" s="334"/>
      <c r="BC875" s="334"/>
      <c r="BD875" s="334"/>
      <c r="BE875" s="201"/>
    </row>
    <row r="876" spans="45:71" x14ac:dyDescent="0.25">
      <c r="AS876" s="202"/>
      <c r="AV876" s="200"/>
      <c r="AW876" s="200"/>
      <c r="AX876" s="334"/>
      <c r="AY876" s="334"/>
      <c r="AZ876" s="334"/>
      <c r="BA876" s="201"/>
      <c r="BB876" s="334"/>
      <c r="BC876" s="334"/>
      <c r="BD876" s="334"/>
      <c r="BE876" s="201"/>
    </row>
    <row r="877" spans="45:71" x14ac:dyDescent="0.25">
      <c r="AS877" s="202"/>
      <c r="AV877" s="200"/>
      <c r="AW877" s="200"/>
      <c r="AX877" s="334"/>
      <c r="AY877" s="334"/>
      <c r="AZ877" s="334"/>
      <c r="BA877" s="201"/>
      <c r="BB877" s="334"/>
      <c r="BC877" s="334"/>
      <c r="BD877" s="334"/>
      <c r="BE877" s="201"/>
    </row>
    <row r="878" spans="45:71" x14ac:dyDescent="0.25">
      <c r="AS878" s="202"/>
      <c r="AV878" s="200"/>
      <c r="AW878" s="200"/>
      <c r="AX878" s="334"/>
      <c r="AY878" s="334"/>
      <c r="AZ878" s="334"/>
      <c r="BA878" s="201"/>
      <c r="BB878" s="334"/>
      <c r="BC878" s="334"/>
      <c r="BD878" s="334"/>
      <c r="BE878" s="201"/>
    </row>
    <row r="879" spans="45:71" x14ac:dyDescent="0.25">
      <c r="AS879" s="202"/>
      <c r="AV879" s="200"/>
      <c r="AW879" s="200"/>
      <c r="AX879" s="334"/>
      <c r="AY879" s="334"/>
      <c r="AZ879" s="334"/>
      <c r="BA879" s="201"/>
      <c r="BB879" s="334"/>
      <c r="BC879" s="334"/>
      <c r="BD879" s="334"/>
      <c r="BE879" s="201"/>
    </row>
    <row r="880" spans="45:71" x14ac:dyDescent="0.25">
      <c r="AS880" s="202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</row>
    <row r="881" spans="45:57" x14ac:dyDescent="0.25">
      <c r="AS881" s="202"/>
      <c r="AV881" s="200"/>
      <c r="AW881" s="200"/>
      <c r="AX881" s="334"/>
      <c r="AY881" s="334"/>
      <c r="AZ881" s="334"/>
      <c r="BA881" s="201"/>
      <c r="BB881" s="334"/>
      <c r="BC881" s="334"/>
      <c r="BD881" s="334"/>
      <c r="BE881" s="201"/>
    </row>
    <row r="882" spans="45:57" x14ac:dyDescent="0.25">
      <c r="AS882" s="202"/>
      <c r="AV882" s="200"/>
      <c r="AW882" s="200"/>
      <c r="AX882" s="334"/>
      <c r="AY882" s="334"/>
      <c r="AZ882" s="334"/>
      <c r="BA882" s="201"/>
      <c r="BB882" s="334"/>
      <c r="BC882" s="334"/>
      <c r="BD882" s="334"/>
      <c r="BE882" s="201"/>
    </row>
    <row r="883" spans="45:57" x14ac:dyDescent="0.25">
      <c r="AS883" s="202"/>
      <c r="AV883" s="200"/>
      <c r="AW883" s="200"/>
      <c r="AX883" s="334"/>
      <c r="AY883" s="334"/>
      <c r="AZ883" s="334"/>
      <c r="BA883" s="201"/>
      <c r="BB883" s="334"/>
      <c r="BC883" s="334"/>
      <c r="BD883" s="334"/>
      <c r="BE883" s="201"/>
    </row>
    <row r="884" spans="45:57" x14ac:dyDescent="0.25">
      <c r="AS884" s="202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</row>
    <row r="885" spans="45:57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</row>
    <row r="886" spans="45:57" x14ac:dyDescent="0.25">
      <c r="AS886" s="202"/>
      <c r="AV886" s="200"/>
      <c r="AW886" s="200"/>
      <c r="AX886" s="334"/>
      <c r="AY886" s="334"/>
      <c r="AZ886" s="334"/>
      <c r="BA886" s="201"/>
      <c r="BB886" s="334"/>
      <c r="BC886" s="334"/>
      <c r="BD886" s="334"/>
      <c r="BE886" s="201"/>
    </row>
    <row r="887" spans="45:57" x14ac:dyDescent="0.25">
      <c r="BB887" s="334"/>
    </row>
    <row r="888" spans="45:57" x14ac:dyDescent="0.25">
      <c r="AU888" s="154"/>
      <c r="BB888" s="334"/>
    </row>
    <row r="889" spans="45:57" x14ac:dyDescent="0.25">
      <c r="AU889" s="154"/>
    </row>
    <row r="890" spans="45:57" x14ac:dyDescent="0.25">
      <c r="AU890" s="154"/>
      <c r="BB890" s="334"/>
    </row>
    <row r="891" spans="45:57" x14ac:dyDescent="0.25">
      <c r="AS891" s="154"/>
      <c r="AZ891" s="334"/>
      <c r="BB891" s="334"/>
    </row>
    <row r="892" spans="45:57" x14ac:dyDescent="0.25">
      <c r="AY892" s="202"/>
      <c r="AZ892" s="334"/>
      <c r="BB892" s="334"/>
    </row>
    <row r="893" spans="45:57" x14ac:dyDescent="0.25">
      <c r="AY893" s="334"/>
      <c r="AZ893" s="334"/>
      <c r="BB893" s="334"/>
    </row>
    <row r="894" spans="45:57" x14ac:dyDescent="0.25">
      <c r="AY894" s="154"/>
      <c r="AZ894" s="334"/>
      <c r="BB894" s="334"/>
    </row>
    <row r="895" spans="45:57" x14ac:dyDescent="0.25">
      <c r="AY895" s="154"/>
      <c r="AZ895" s="334"/>
      <c r="BB895" s="334"/>
    </row>
    <row r="896" spans="45:57" x14ac:dyDescent="0.25">
      <c r="AS896" s="202"/>
      <c r="AZ896" s="334"/>
      <c r="BB896" s="334"/>
      <c r="BD896" s="154"/>
    </row>
    <row r="897" spans="45:57" x14ac:dyDescent="0.25">
      <c r="AS897" s="202"/>
      <c r="AZ897" s="334"/>
      <c r="BB897" s="334"/>
      <c r="BD897" s="154"/>
    </row>
    <row r="898" spans="45:57" x14ac:dyDescent="0.25">
      <c r="AS898" s="154"/>
      <c r="AZ898" s="334"/>
      <c r="BB898" s="334"/>
      <c r="BD898" s="154"/>
    </row>
    <row r="899" spans="45:57" x14ac:dyDescent="0.25">
      <c r="AZ899" s="334"/>
      <c r="BB899" s="334"/>
      <c r="BD899" s="202"/>
    </row>
    <row r="900" spans="45:57" x14ac:dyDescent="0.25">
      <c r="AS900" s="102"/>
      <c r="AT900" s="102"/>
      <c r="AU900" s="102"/>
      <c r="AV900" s="102"/>
      <c r="AW900" s="102"/>
      <c r="AX900" s="102"/>
      <c r="AY900" s="102"/>
      <c r="AZ900" s="335"/>
      <c r="BA900" s="102"/>
      <c r="BB900" s="335"/>
      <c r="BC900" s="102"/>
      <c r="BD900" s="102"/>
      <c r="BE900" s="102"/>
    </row>
    <row r="901" spans="45:57" x14ac:dyDescent="0.25">
      <c r="AX901" s="154"/>
      <c r="AZ901" s="334"/>
      <c r="BB901" s="334"/>
    </row>
    <row r="902" spans="45:57" x14ac:dyDescent="0.25">
      <c r="AX902" s="102"/>
      <c r="AY902" s="102"/>
      <c r="AZ902" s="335"/>
      <c r="BA902" s="102"/>
      <c r="BB902" s="334"/>
      <c r="BC902" s="103"/>
      <c r="BD902" s="103"/>
    </row>
    <row r="903" spans="45:57" x14ac:dyDescent="0.25">
      <c r="AV903" s="103"/>
      <c r="AW903" s="103"/>
      <c r="AZ903" s="336"/>
      <c r="BA903" s="103"/>
      <c r="BB903" s="334"/>
      <c r="BC903" s="103"/>
      <c r="BD903" s="103"/>
      <c r="BE903" s="103"/>
    </row>
    <row r="904" spans="45:57" x14ac:dyDescent="0.25">
      <c r="AV904" s="103"/>
      <c r="AW904" s="103"/>
      <c r="AX904" s="103"/>
      <c r="AY904" s="103"/>
      <c r="AZ904" s="336"/>
      <c r="BA904" s="103"/>
      <c r="BB904" s="336"/>
      <c r="BC904" s="103"/>
      <c r="BD904" s="103"/>
      <c r="BE904" s="103"/>
    </row>
    <row r="905" spans="45:57" x14ac:dyDescent="0.25">
      <c r="AS905" s="103"/>
      <c r="AU905" s="154"/>
      <c r="AV905" s="103"/>
      <c r="AW905" s="103"/>
      <c r="AX905" s="103"/>
      <c r="AY905" s="103"/>
      <c r="AZ905" s="336"/>
      <c r="BA905" s="103"/>
      <c r="BB905" s="336"/>
      <c r="BC905" s="103"/>
      <c r="BD905" s="103"/>
      <c r="BE905" s="103"/>
    </row>
    <row r="906" spans="45:57" x14ac:dyDescent="0.25">
      <c r="AS906" s="103"/>
      <c r="AU906" s="154"/>
      <c r="AV906" s="103"/>
      <c r="AW906" s="103"/>
      <c r="AX906" s="103"/>
      <c r="AY906" s="103"/>
      <c r="AZ906" s="336"/>
      <c r="BA906" s="103"/>
      <c r="BB906" s="336"/>
      <c r="BC906" s="103"/>
      <c r="BD906" s="103"/>
      <c r="BE906" s="103"/>
    </row>
    <row r="907" spans="45:57" x14ac:dyDescent="0.25">
      <c r="AS907" s="102"/>
      <c r="AT907" s="102"/>
      <c r="AU907" s="102"/>
      <c r="AV907" s="102"/>
      <c r="AW907" s="102"/>
      <c r="AX907" s="102"/>
      <c r="AY907" s="102"/>
      <c r="AZ907" s="335"/>
      <c r="BA907" s="102"/>
      <c r="BB907" s="335"/>
      <c r="BC907" s="102"/>
      <c r="BD907" s="102"/>
      <c r="BE907" s="102"/>
    </row>
    <row r="908" spans="45:57" x14ac:dyDescent="0.25">
      <c r="AV908" s="103"/>
      <c r="AW908" s="103"/>
      <c r="AX908" s="103"/>
      <c r="AY908" s="103"/>
      <c r="AZ908" s="336"/>
      <c r="BA908" s="103"/>
      <c r="BB908" s="336"/>
      <c r="BC908" s="103"/>
      <c r="BD908" s="103"/>
      <c r="BE908" s="103"/>
    </row>
    <row r="909" spans="45:57" x14ac:dyDescent="0.25">
      <c r="AS909" s="202"/>
      <c r="AT909" s="154"/>
      <c r="AV909" s="200"/>
      <c r="AW909" s="200"/>
      <c r="AX909" s="334"/>
      <c r="AY909" s="334"/>
      <c r="AZ909" s="334"/>
      <c r="BA909" s="201"/>
      <c r="BB909" s="334"/>
      <c r="BC909" s="334"/>
      <c r="BD909" s="334"/>
      <c r="BE909" s="201"/>
    </row>
    <row r="910" spans="45:57" x14ac:dyDescent="0.25">
      <c r="AS910" s="202"/>
      <c r="AV910" s="200"/>
      <c r="AW910" s="200"/>
      <c r="AX910" s="334"/>
      <c r="AY910" s="334"/>
      <c r="AZ910" s="334"/>
      <c r="BA910" s="201"/>
      <c r="BB910" s="334"/>
      <c r="BC910" s="334"/>
      <c r="BD910" s="334"/>
      <c r="BE910" s="201"/>
    </row>
    <row r="911" spans="45:57" x14ac:dyDescent="0.25">
      <c r="AS911" s="202"/>
      <c r="AV911" s="200"/>
      <c r="AW911" s="200"/>
      <c r="AX911" s="334"/>
      <c r="AY911" s="334"/>
      <c r="AZ911" s="334"/>
      <c r="BA911" s="201"/>
      <c r="BB911" s="334"/>
      <c r="BC911" s="334"/>
      <c r="BD911" s="334"/>
      <c r="BE911" s="201"/>
    </row>
    <row r="912" spans="45:57" x14ac:dyDescent="0.25">
      <c r="AS912" s="202"/>
      <c r="AV912" s="200"/>
      <c r="AW912" s="200"/>
      <c r="AX912" s="334"/>
      <c r="AY912" s="334"/>
      <c r="AZ912" s="334"/>
      <c r="BA912" s="201"/>
      <c r="BB912" s="334"/>
      <c r="BC912" s="334"/>
      <c r="BD912" s="334"/>
      <c r="BE912" s="201"/>
    </row>
    <row r="913" spans="45:57" x14ac:dyDescent="0.25">
      <c r="AS913" s="202"/>
      <c r="AV913" s="200"/>
      <c r="AW913" s="200"/>
      <c r="AX913" s="334"/>
      <c r="AY913" s="334"/>
      <c r="AZ913" s="334"/>
      <c r="BA913" s="201"/>
      <c r="BB913" s="334"/>
      <c r="BC913" s="334"/>
      <c r="BD913" s="334"/>
      <c r="BE913" s="201"/>
    </row>
    <row r="914" spans="45:57" x14ac:dyDescent="0.25">
      <c r="AS914" s="202"/>
      <c r="AV914" s="200"/>
      <c r="AW914" s="200"/>
      <c r="AX914" s="334"/>
      <c r="AY914" s="334"/>
      <c r="AZ914" s="334"/>
      <c r="BA914" s="201"/>
      <c r="BB914" s="334"/>
      <c r="BC914" s="334"/>
      <c r="BD914" s="334"/>
      <c r="BE914" s="201"/>
    </row>
    <row r="915" spans="45:57" x14ac:dyDescent="0.25">
      <c r="AS915" s="202"/>
      <c r="AV915" s="200"/>
      <c r="AW915" s="200"/>
      <c r="AX915" s="334"/>
      <c r="AY915" s="334"/>
      <c r="AZ915" s="334"/>
      <c r="BA915" s="201"/>
      <c r="BB915" s="334"/>
      <c r="BC915" s="334"/>
      <c r="BD915" s="334"/>
      <c r="BE915" s="201"/>
    </row>
    <row r="916" spans="45:57" x14ac:dyDescent="0.25">
      <c r="AS916" s="202"/>
      <c r="AV916" s="200"/>
      <c r="AW916" s="200"/>
      <c r="AX916" s="334"/>
      <c r="AY916" s="334"/>
      <c r="AZ916" s="334"/>
      <c r="BA916" s="201"/>
      <c r="BB916" s="334"/>
      <c r="BC916" s="334"/>
      <c r="BD916" s="334"/>
      <c r="BE916" s="201"/>
    </row>
    <row r="917" spans="45:57" x14ac:dyDescent="0.25">
      <c r="AS917" s="202"/>
      <c r="AV917" s="200"/>
      <c r="AW917" s="200"/>
      <c r="AX917" s="334"/>
      <c r="AY917" s="334"/>
      <c r="AZ917" s="334"/>
      <c r="BA917" s="201"/>
      <c r="BB917" s="334"/>
      <c r="BC917" s="334"/>
      <c r="BD917" s="334"/>
      <c r="BE917" s="201"/>
    </row>
    <row r="918" spans="45:57" x14ac:dyDescent="0.25">
      <c r="AS918" s="202"/>
      <c r="AV918" s="200"/>
      <c r="AW918" s="200"/>
      <c r="AX918" s="334"/>
      <c r="AY918" s="334"/>
      <c r="AZ918" s="334"/>
      <c r="BA918" s="201"/>
      <c r="BB918" s="334"/>
      <c r="BC918" s="334"/>
      <c r="BD918" s="334"/>
      <c r="BE918" s="201"/>
    </row>
    <row r="919" spans="45:57" x14ac:dyDescent="0.25">
      <c r="AV919" s="200"/>
      <c r="AW919" s="200"/>
      <c r="BB919" s="334"/>
    </row>
    <row r="920" spans="45:57" x14ac:dyDescent="0.25">
      <c r="AS920" s="202"/>
      <c r="AT920" s="154"/>
      <c r="AV920" s="200"/>
      <c r="AW920" s="200"/>
      <c r="AX920" s="334"/>
      <c r="AY920" s="334"/>
      <c r="AZ920" s="334"/>
      <c r="BA920" s="201"/>
      <c r="BB920" s="334"/>
      <c r="BC920" s="334"/>
      <c r="BD920" s="334"/>
      <c r="BE920" s="201"/>
    </row>
    <row r="921" spans="45:57" x14ac:dyDescent="0.25">
      <c r="AS921" s="202"/>
      <c r="AV921" s="200"/>
      <c r="AW921" s="200"/>
      <c r="AX921" s="334"/>
      <c r="AY921" s="334"/>
      <c r="AZ921" s="334"/>
      <c r="BA921" s="201"/>
      <c r="BB921" s="334"/>
      <c r="BC921" s="334"/>
      <c r="BD921" s="334"/>
      <c r="BE921" s="201"/>
    </row>
    <row r="922" spans="45:57" x14ac:dyDescent="0.25">
      <c r="AS922" s="202"/>
      <c r="AV922" s="200"/>
      <c r="AW922" s="200"/>
      <c r="AX922" s="334"/>
      <c r="AY922" s="334"/>
      <c r="AZ922" s="334"/>
      <c r="BA922" s="201"/>
      <c r="BB922" s="334"/>
      <c r="BC922" s="334"/>
      <c r="BD922" s="334"/>
      <c r="BE922" s="201"/>
    </row>
    <row r="923" spans="45:57" x14ac:dyDescent="0.25">
      <c r="AS923" s="202"/>
      <c r="AV923" s="200"/>
      <c r="AW923" s="200"/>
      <c r="AX923" s="334"/>
      <c r="AY923" s="334"/>
      <c r="AZ923" s="334"/>
      <c r="BA923" s="201"/>
      <c r="BB923" s="334"/>
      <c r="BC923" s="334"/>
      <c r="BD923" s="334"/>
      <c r="BE923" s="201"/>
    </row>
    <row r="924" spans="45:57" x14ac:dyDescent="0.25">
      <c r="AS924" s="202"/>
      <c r="AV924" s="200"/>
      <c r="AW924" s="200"/>
      <c r="AX924" s="334"/>
      <c r="AY924" s="334"/>
      <c r="AZ924" s="334"/>
      <c r="BA924" s="201"/>
      <c r="BB924" s="334"/>
      <c r="BC924" s="334"/>
      <c r="BD924" s="334"/>
      <c r="BE924" s="201"/>
    </row>
    <row r="925" spans="45:57" x14ac:dyDescent="0.25">
      <c r="AS925" s="202"/>
      <c r="AV925" s="200"/>
      <c r="AW925" s="200"/>
      <c r="AX925" s="334"/>
      <c r="AY925" s="334"/>
      <c r="AZ925" s="334"/>
      <c r="BA925" s="201"/>
      <c r="BB925" s="334"/>
      <c r="BC925" s="334"/>
      <c r="BD925" s="334"/>
      <c r="BE925" s="201"/>
    </row>
    <row r="926" spans="45:57" x14ac:dyDescent="0.25">
      <c r="AS926" s="202"/>
      <c r="AV926" s="200"/>
      <c r="AW926" s="200"/>
      <c r="AX926" s="334"/>
      <c r="AY926" s="334"/>
      <c r="AZ926" s="334"/>
      <c r="BA926" s="201"/>
      <c r="BB926" s="334"/>
      <c r="BC926" s="334"/>
      <c r="BD926" s="334"/>
      <c r="BE926" s="201"/>
    </row>
    <row r="927" spans="45:57" x14ac:dyDescent="0.25">
      <c r="AS927" s="202"/>
      <c r="AV927" s="200"/>
      <c r="AW927" s="200"/>
      <c r="AX927" s="334"/>
      <c r="AY927" s="334"/>
      <c r="AZ927" s="334"/>
      <c r="BA927" s="201"/>
      <c r="BB927" s="334"/>
      <c r="BC927" s="334"/>
      <c r="BD927" s="334"/>
      <c r="BE927" s="201"/>
    </row>
    <row r="928" spans="45:57" x14ac:dyDescent="0.25">
      <c r="AS928" s="202"/>
      <c r="AV928" s="200"/>
      <c r="AW928" s="200"/>
      <c r="AX928" s="334"/>
      <c r="AY928" s="334"/>
      <c r="AZ928" s="334"/>
      <c r="BA928" s="201"/>
      <c r="BB928" s="334"/>
      <c r="BC928" s="334"/>
      <c r="BD928" s="334"/>
      <c r="BE928" s="201"/>
    </row>
    <row r="929" spans="45:57" x14ac:dyDescent="0.25">
      <c r="AS929" s="202"/>
      <c r="AV929" s="200"/>
      <c r="AW929" s="200"/>
      <c r="AX929" s="334"/>
      <c r="AY929" s="334"/>
      <c r="AZ929" s="334"/>
      <c r="BA929" s="201"/>
      <c r="BB929" s="334"/>
      <c r="BC929" s="334"/>
      <c r="BD929" s="334"/>
      <c r="BE929" s="201"/>
    </row>
    <row r="931" spans="45:57" x14ac:dyDescent="0.25">
      <c r="AU931" s="154"/>
    </row>
    <row r="932" spans="45:57" x14ac:dyDescent="0.25">
      <c r="AU932" s="154"/>
    </row>
    <row r="933" spans="45:57" x14ac:dyDescent="0.25">
      <c r="AU933" s="154"/>
    </row>
    <row r="934" spans="45:57" x14ac:dyDescent="0.25">
      <c r="AS934" s="154"/>
    </row>
    <row r="955" spans="52:71" x14ac:dyDescent="0.25">
      <c r="AZ955" s="334"/>
      <c r="BB955" s="334"/>
      <c r="BC955" s="334"/>
      <c r="BD955" s="334"/>
      <c r="BG955" s="334"/>
      <c r="BH955" s="334"/>
      <c r="BI955" s="334"/>
      <c r="BJ955" s="334"/>
      <c r="BK955" s="334"/>
      <c r="BL955" s="334"/>
      <c r="BM955" s="334"/>
      <c r="BN955" s="334"/>
      <c r="BO955" s="334"/>
      <c r="BP955" s="334"/>
      <c r="BQ955" s="334"/>
      <c r="BR955" s="334"/>
      <c r="BS955" s="334"/>
    </row>
    <row r="956" spans="52:71" x14ac:dyDescent="0.25">
      <c r="AZ956" s="334"/>
      <c r="BB956" s="334"/>
      <c r="BC956" s="334"/>
      <c r="BD956" s="334"/>
      <c r="BG956" s="334"/>
      <c r="BH956" s="334"/>
      <c r="BI956" s="334"/>
      <c r="BJ956" s="334"/>
      <c r="BK956" s="334"/>
      <c r="BL956" s="334"/>
      <c r="BM956" s="334"/>
      <c r="BN956" s="334"/>
      <c r="BO956" s="334"/>
      <c r="BP956" s="334"/>
      <c r="BQ956" s="334"/>
      <c r="BR956" s="334"/>
      <c r="BS956" s="334"/>
    </row>
    <row r="957" spans="52:71" x14ac:dyDescent="0.25">
      <c r="AZ957" s="334"/>
      <c r="BB957" s="334"/>
      <c r="BC957" s="334"/>
      <c r="BD957" s="334"/>
      <c r="BG957" s="334"/>
      <c r="BH957" s="334"/>
      <c r="BI957" s="334"/>
      <c r="BJ957" s="334"/>
      <c r="BK957" s="334"/>
      <c r="BL957" s="334"/>
      <c r="BM957" s="334"/>
      <c r="BN957" s="334"/>
      <c r="BO957" s="334"/>
      <c r="BP957" s="334"/>
      <c r="BQ957" s="334"/>
      <c r="BR957" s="334"/>
      <c r="BS957" s="334"/>
    </row>
    <row r="958" spans="52:71" x14ac:dyDescent="0.25">
      <c r="AZ958" s="334"/>
      <c r="BB958" s="334"/>
      <c r="BC958" s="334"/>
      <c r="BD958" s="334"/>
      <c r="BG958" s="334"/>
      <c r="BH958" s="334"/>
      <c r="BI958" s="334"/>
      <c r="BJ958" s="334"/>
      <c r="BK958" s="334"/>
      <c r="BL958" s="334"/>
      <c r="BM958" s="334"/>
      <c r="BN958" s="334"/>
      <c r="BO958" s="334"/>
      <c r="BP958" s="334"/>
      <c r="BQ958" s="334"/>
      <c r="BR958" s="334"/>
      <c r="BS958" s="334"/>
    </row>
    <row r="959" spans="52:71" x14ac:dyDescent="0.25">
      <c r="AZ959" s="334"/>
      <c r="BB959" s="334"/>
      <c r="BC959" s="334"/>
      <c r="BD959" s="334"/>
      <c r="BG959" s="334"/>
      <c r="BH959" s="334"/>
      <c r="BI959" s="334"/>
      <c r="BJ959" s="334"/>
      <c r="BK959" s="334"/>
      <c r="BL959" s="334"/>
      <c r="BM959" s="334"/>
      <c r="BN959" s="334"/>
      <c r="BO959" s="334"/>
      <c r="BP959" s="334"/>
      <c r="BQ959" s="334"/>
      <c r="BR959" s="334"/>
      <c r="BS959" s="334"/>
    </row>
    <row r="960" spans="52:71" x14ac:dyDescent="0.25">
      <c r="AZ960" s="334"/>
      <c r="BB960" s="334"/>
      <c r="BC960" s="334"/>
      <c r="BD960" s="334"/>
      <c r="BG960" s="334"/>
      <c r="BH960" s="334"/>
      <c r="BI960" s="334"/>
      <c r="BJ960" s="334"/>
      <c r="BK960" s="334"/>
      <c r="BL960" s="334"/>
      <c r="BM960" s="334"/>
      <c r="BN960" s="334"/>
      <c r="BO960" s="334"/>
      <c r="BP960" s="334"/>
      <c r="BQ960" s="334"/>
      <c r="BR960" s="334"/>
      <c r="BS960" s="334"/>
    </row>
    <row r="961" spans="52:71" x14ac:dyDescent="0.25">
      <c r="AZ961" s="334"/>
      <c r="BB961" s="334"/>
      <c r="BC961" s="334"/>
      <c r="BD961" s="334"/>
      <c r="BG961" s="334"/>
      <c r="BH961" s="334"/>
      <c r="BI961" s="334"/>
      <c r="BJ961" s="334"/>
      <c r="BK961" s="334"/>
      <c r="BL961" s="334"/>
      <c r="BM961" s="334"/>
      <c r="BN961" s="334"/>
      <c r="BO961" s="334"/>
      <c r="BP961" s="334"/>
      <c r="BQ961" s="334"/>
      <c r="BR961" s="334"/>
      <c r="BS961" s="334"/>
    </row>
    <row r="962" spans="52:71" x14ac:dyDescent="0.25">
      <c r="AZ962" s="334"/>
      <c r="BB962" s="334"/>
      <c r="BC962" s="334"/>
      <c r="BD962" s="334"/>
      <c r="BG962" s="334"/>
      <c r="BH962" s="334"/>
      <c r="BI962" s="334"/>
      <c r="BJ962" s="334"/>
      <c r="BK962" s="334"/>
      <c r="BL962" s="334"/>
      <c r="BM962" s="334"/>
      <c r="BN962" s="334"/>
      <c r="BO962" s="334"/>
      <c r="BP962" s="334"/>
      <c r="BQ962" s="334"/>
      <c r="BR962" s="334"/>
      <c r="BS962" s="334"/>
    </row>
    <row r="963" spans="52:71" x14ac:dyDescent="0.25">
      <c r="AZ963" s="334"/>
      <c r="BB963" s="334"/>
      <c r="BC963" s="334"/>
      <c r="BD963" s="334"/>
      <c r="BG963" s="334"/>
      <c r="BH963" s="334"/>
      <c r="BI963" s="334"/>
      <c r="BJ963" s="334"/>
      <c r="BK963" s="334"/>
      <c r="BL963" s="334"/>
      <c r="BM963" s="334"/>
      <c r="BN963" s="334"/>
      <c r="BO963" s="334"/>
      <c r="BP963" s="334"/>
      <c r="BQ963" s="334"/>
      <c r="BR963" s="334"/>
      <c r="BS963" s="334"/>
    </row>
    <row r="964" spans="52:71" x14ac:dyDescent="0.25">
      <c r="AZ964" s="334"/>
      <c r="BB964" s="334"/>
      <c r="BC964" s="334"/>
      <c r="BD964" s="334"/>
      <c r="BG964" s="334"/>
      <c r="BH964" s="334"/>
      <c r="BI964" s="334"/>
      <c r="BJ964" s="334"/>
      <c r="BK964" s="334"/>
      <c r="BL964" s="334"/>
      <c r="BM964" s="334"/>
      <c r="BN964" s="334"/>
      <c r="BO964" s="334"/>
      <c r="BP964" s="334"/>
      <c r="BQ964" s="334"/>
      <c r="BR964" s="334"/>
      <c r="BS964" s="334"/>
    </row>
    <row r="965" spans="52:71" x14ac:dyDescent="0.25">
      <c r="AZ965" s="334"/>
      <c r="BB965" s="334"/>
      <c r="BC965" s="334"/>
      <c r="BD965" s="334"/>
      <c r="BG965" s="334"/>
      <c r="BH965" s="334"/>
      <c r="BI965" s="334"/>
      <c r="BJ965" s="334"/>
      <c r="BK965" s="334"/>
      <c r="BL965" s="334"/>
      <c r="BM965" s="334"/>
      <c r="BN965" s="334"/>
      <c r="BO965" s="334"/>
      <c r="BP965" s="334"/>
      <c r="BQ965" s="334"/>
      <c r="BR965" s="334"/>
      <c r="BS965" s="334"/>
    </row>
    <row r="966" spans="52:71" x14ac:dyDescent="0.25">
      <c r="AZ966" s="334"/>
      <c r="BB966" s="334"/>
      <c r="BC966" s="334"/>
      <c r="BD966" s="334"/>
      <c r="BG966" s="334"/>
      <c r="BH966" s="334"/>
      <c r="BI966" s="334"/>
      <c r="BJ966" s="334"/>
      <c r="BK966" s="334"/>
      <c r="BL966" s="334"/>
      <c r="BM966" s="334"/>
      <c r="BN966" s="334"/>
      <c r="BO966" s="334"/>
      <c r="BP966" s="334"/>
      <c r="BQ966" s="334"/>
      <c r="BR966" s="334"/>
      <c r="BS966" s="334"/>
    </row>
    <row r="967" spans="52:71" x14ac:dyDescent="0.25">
      <c r="AZ967" s="334"/>
      <c r="BG967" s="334"/>
      <c r="BH967" s="334"/>
      <c r="BI967" s="334"/>
      <c r="BJ967" s="334"/>
      <c r="BK967" s="334"/>
      <c r="BL967" s="334"/>
      <c r="BM967" s="334"/>
      <c r="BN967" s="334"/>
      <c r="BO967" s="334"/>
      <c r="BP967" s="334"/>
      <c r="BQ967" s="334"/>
      <c r="BR967" s="334"/>
      <c r="BS967" s="334"/>
    </row>
    <row r="968" spans="52:71" x14ac:dyDescent="0.25">
      <c r="AZ968" s="334"/>
      <c r="BG968" s="334"/>
      <c r="BH968" s="334"/>
      <c r="BI968" s="334"/>
      <c r="BJ968" s="334"/>
      <c r="BK968" s="334"/>
      <c r="BL968" s="334"/>
      <c r="BM968" s="334"/>
      <c r="BN968" s="334"/>
      <c r="BO968" s="334"/>
      <c r="BP968" s="334"/>
      <c r="BQ968" s="334"/>
      <c r="BR968" s="334"/>
      <c r="BS968" s="334"/>
    </row>
    <row r="969" spans="52:71" x14ac:dyDescent="0.25">
      <c r="AZ969" s="334"/>
      <c r="BG969" s="334"/>
      <c r="BH969" s="334"/>
      <c r="BI969" s="334"/>
      <c r="BJ969" s="334"/>
      <c r="BK969" s="334"/>
      <c r="BL969" s="334"/>
      <c r="BM969" s="334"/>
      <c r="BN969" s="334"/>
      <c r="BO969" s="334"/>
      <c r="BP969" s="334"/>
      <c r="BQ969" s="334"/>
      <c r="BR969" s="334"/>
      <c r="BS969" s="334"/>
    </row>
    <row r="970" spans="52:71" x14ac:dyDescent="0.25">
      <c r="AZ970" s="334"/>
      <c r="BG970" s="334"/>
      <c r="BH970" s="334"/>
      <c r="BI970" s="334"/>
      <c r="BJ970" s="334"/>
      <c r="BK970" s="334"/>
      <c r="BL970" s="334"/>
      <c r="BM970" s="334"/>
      <c r="BN970" s="334"/>
      <c r="BO970" s="334"/>
      <c r="BP970" s="334"/>
      <c r="BQ970" s="334"/>
      <c r="BR970" s="334"/>
      <c r="BS970" s="334"/>
    </row>
    <row r="971" spans="52:71" x14ac:dyDescent="0.25">
      <c r="AZ971" s="334"/>
      <c r="BG971" s="334"/>
      <c r="BH971" s="334"/>
      <c r="BI971" s="334"/>
      <c r="BJ971" s="334"/>
      <c r="BK971" s="334"/>
      <c r="BL971" s="334"/>
      <c r="BM971" s="334"/>
      <c r="BN971" s="334"/>
      <c r="BO971" s="334"/>
      <c r="BP971" s="334"/>
      <c r="BQ971" s="334"/>
      <c r="BR971" s="334"/>
      <c r="BS971" s="334"/>
    </row>
    <row r="972" spans="52:71" x14ac:dyDescent="0.25">
      <c r="AZ972" s="334"/>
      <c r="BG972" s="334"/>
      <c r="BH972" s="334"/>
      <c r="BI972" s="334"/>
      <c r="BJ972" s="334"/>
      <c r="BK972" s="334"/>
      <c r="BL972" s="334"/>
      <c r="BM972" s="334"/>
      <c r="BN972" s="334"/>
      <c r="BO972" s="334"/>
      <c r="BP972" s="334"/>
      <c r="BQ972" s="334"/>
      <c r="BR972" s="334"/>
      <c r="BS972" s="334"/>
    </row>
    <row r="973" spans="52:71" x14ac:dyDescent="0.25">
      <c r="AZ973" s="334"/>
      <c r="BG973" s="334"/>
      <c r="BH973" s="334"/>
      <c r="BI973" s="334"/>
      <c r="BJ973" s="334"/>
      <c r="BK973" s="334"/>
      <c r="BL973" s="334"/>
      <c r="BM973" s="334"/>
      <c r="BN973" s="334"/>
      <c r="BO973" s="334"/>
      <c r="BP973" s="334"/>
      <c r="BQ973" s="334"/>
      <c r="BR973" s="334"/>
      <c r="BS973" s="334"/>
    </row>
    <row r="974" spans="52:71" x14ac:dyDescent="0.25">
      <c r="AZ974" s="334"/>
    </row>
    <row r="975" spans="52:71" x14ac:dyDescent="0.25">
      <c r="AZ975" s="334"/>
    </row>
    <row r="989" spans="1:25" x14ac:dyDescent="0.25">
      <c r="A989" s="154"/>
    </row>
    <row r="992" spans="1:25" x14ac:dyDescent="0.25">
      <c r="Y992" s="154"/>
    </row>
    <row r="993" spans="1:28" x14ac:dyDescent="0.25">
      <c r="A993" s="154"/>
      <c r="H993" s="154"/>
      <c r="I993" s="154"/>
    </row>
    <row r="994" spans="1:28" x14ac:dyDescent="0.25">
      <c r="A994" s="154"/>
      <c r="V994" s="103"/>
      <c r="AA994" s="103"/>
      <c r="AB994" s="103"/>
    </row>
    <row r="995" spans="1:28" x14ac:dyDescent="0.25">
      <c r="A995" s="154"/>
      <c r="V995" s="102"/>
      <c r="AA995" s="102"/>
      <c r="AB995" s="102"/>
    </row>
    <row r="996" spans="1:28" x14ac:dyDescent="0.25">
      <c r="A996" s="154"/>
      <c r="U996" s="154"/>
      <c r="AA996" s="103"/>
      <c r="AB996" s="103"/>
    </row>
    <row r="997" spans="1:28" x14ac:dyDescent="0.25">
      <c r="A997" s="154"/>
    </row>
    <row r="998" spans="1:28" x14ac:dyDescent="0.25">
      <c r="A998" s="154"/>
      <c r="U998" s="154"/>
      <c r="AA998" s="103"/>
      <c r="AB998" s="103"/>
    </row>
    <row r="999" spans="1:28" x14ac:dyDescent="0.25">
      <c r="A999" s="154"/>
    </row>
    <row r="1000" spans="1:28" x14ac:dyDescent="0.25">
      <c r="A1000" s="154"/>
      <c r="U1000" s="154"/>
      <c r="V1000" s="338"/>
      <c r="AA1000" s="103"/>
      <c r="AB1000" s="103"/>
    </row>
    <row r="1001" spans="1:28" x14ac:dyDescent="0.25">
      <c r="A1001" s="154"/>
    </row>
    <row r="1002" spans="1:28" x14ac:dyDescent="0.25">
      <c r="A1002" s="154"/>
      <c r="U1002" s="154"/>
      <c r="AA1002" s="103"/>
      <c r="AB1002" s="103"/>
    </row>
    <row r="1003" spans="1:28" x14ac:dyDescent="0.25">
      <c r="A1003" s="154"/>
    </row>
    <row r="1004" spans="1:28" x14ac:dyDescent="0.25">
      <c r="A1004" s="154"/>
      <c r="U1004" s="154"/>
      <c r="AA1004" s="103"/>
      <c r="AB1004" s="103"/>
    </row>
    <row r="1005" spans="1:28" x14ac:dyDescent="0.25">
      <c r="A1005" s="154"/>
    </row>
    <row r="1006" spans="1:28" x14ac:dyDescent="0.25">
      <c r="A1006" s="154"/>
    </row>
    <row r="1007" spans="1:28" x14ac:dyDescent="0.25">
      <c r="A1007" s="154"/>
    </row>
    <row r="1008" spans="1:28" x14ac:dyDescent="0.25">
      <c r="A1008" s="154"/>
    </row>
    <row r="1009" spans="1:9" x14ac:dyDescent="0.25">
      <c r="A1009" s="154"/>
    </row>
    <row r="1010" spans="1:9" x14ac:dyDescent="0.25">
      <c r="A1010" s="154"/>
    </row>
    <row r="1011" spans="1:9" x14ac:dyDescent="0.25">
      <c r="A1011" s="154"/>
    </row>
    <row r="1012" spans="1:9" x14ac:dyDescent="0.25">
      <c r="A1012" s="154"/>
    </row>
    <row r="1013" spans="1:9" x14ac:dyDescent="0.25">
      <c r="A1013" s="154"/>
    </row>
    <row r="1014" spans="1:9" x14ac:dyDescent="0.25">
      <c r="A1014" s="154"/>
    </row>
    <row r="1015" spans="1:9" x14ac:dyDescent="0.25">
      <c r="A1015" s="154"/>
      <c r="H1015" s="154"/>
      <c r="I1015" s="154"/>
    </row>
    <row r="1018" spans="1:9" x14ac:dyDescent="0.25">
      <c r="A1018" s="154"/>
    </row>
    <row r="1021" spans="1:9" x14ac:dyDescent="0.25">
      <c r="A1021" s="154"/>
    </row>
    <row r="1024" spans="1:9" x14ac:dyDescent="0.25">
      <c r="A1024" s="154"/>
    </row>
    <row r="1025" spans="1:1" x14ac:dyDescent="0.25">
      <c r="A1025" s="154"/>
    </row>
    <row r="1026" spans="1:1" x14ac:dyDescent="0.25">
      <c r="A1026" s="154"/>
    </row>
    <row r="1027" spans="1:1" x14ac:dyDescent="0.25">
      <c r="A1027" s="154"/>
    </row>
    <row r="1028" spans="1:1" x14ac:dyDescent="0.25">
      <c r="A1028" s="154"/>
    </row>
    <row r="1029" spans="1:1" x14ac:dyDescent="0.25">
      <c r="A1029" s="154"/>
    </row>
    <row r="1030" spans="1:1" x14ac:dyDescent="0.25">
      <c r="A1030" s="154"/>
    </row>
    <row r="1031" spans="1:1" x14ac:dyDescent="0.25">
      <c r="A1031" s="154"/>
    </row>
    <row r="1032" spans="1:1" x14ac:dyDescent="0.25">
      <c r="A1032" s="154"/>
    </row>
    <row r="1033" spans="1:1" x14ac:dyDescent="0.25">
      <c r="A1033" s="154"/>
    </row>
    <row r="1034" spans="1:1" x14ac:dyDescent="0.25">
      <c r="A1034" s="154"/>
    </row>
    <row r="1035" spans="1:1" x14ac:dyDescent="0.25">
      <c r="A1035" s="154"/>
    </row>
    <row r="1036" spans="1:1" x14ac:dyDescent="0.25">
      <c r="A1036" s="154"/>
    </row>
    <row r="1037" spans="1:1" x14ac:dyDescent="0.25">
      <c r="A1037" s="154"/>
    </row>
    <row r="1038" spans="1:1" x14ac:dyDescent="0.25">
      <c r="A1038" s="154"/>
    </row>
    <row r="1039" spans="1:1" x14ac:dyDescent="0.25">
      <c r="A1039" s="154"/>
    </row>
    <row r="1040" spans="1:1" x14ac:dyDescent="0.25">
      <c r="A1040" s="154"/>
    </row>
    <row r="1041" spans="1:1" x14ac:dyDescent="0.25">
      <c r="A1041" s="154"/>
    </row>
    <row r="1042" spans="1:1" x14ac:dyDescent="0.25">
      <c r="A1042" s="154"/>
    </row>
    <row r="1043" spans="1:1" x14ac:dyDescent="0.25">
      <c r="A1043" s="154"/>
    </row>
    <row r="1044" spans="1:1" x14ac:dyDescent="0.25">
      <c r="A1044" s="154"/>
    </row>
    <row r="1045" spans="1:1" x14ac:dyDescent="0.25">
      <c r="A1045" s="154"/>
    </row>
    <row r="1046" spans="1:1" x14ac:dyDescent="0.25">
      <c r="A1046" s="154"/>
    </row>
    <row r="1047" spans="1:1" x14ac:dyDescent="0.25">
      <c r="A1047" s="154"/>
    </row>
    <row r="1048" spans="1:1" x14ac:dyDescent="0.25">
      <c r="A1048" s="154"/>
    </row>
    <row r="1049" spans="1:1" x14ac:dyDescent="0.25">
      <c r="A1049" s="154"/>
    </row>
    <row r="1050" spans="1:1" x14ac:dyDescent="0.25">
      <c r="A1050" s="154"/>
    </row>
    <row r="1051" spans="1:1" x14ac:dyDescent="0.25">
      <c r="A1051" s="154"/>
    </row>
    <row r="1052" spans="1:1" x14ac:dyDescent="0.25">
      <c r="A1052" s="154"/>
    </row>
    <row r="1053" spans="1:1" x14ac:dyDescent="0.25">
      <c r="A1053" s="154"/>
    </row>
    <row r="1054" spans="1:1" x14ac:dyDescent="0.25">
      <c r="A1054" s="154"/>
    </row>
    <row r="1055" spans="1:1" x14ac:dyDescent="0.25">
      <c r="A1055" s="154"/>
    </row>
    <row r="1056" spans="1:1" x14ac:dyDescent="0.25">
      <c r="A1056" s="154"/>
    </row>
    <row r="1057" spans="1:1" x14ac:dyDescent="0.25">
      <c r="A1057" s="154"/>
    </row>
    <row r="1058" spans="1:1" x14ac:dyDescent="0.25">
      <c r="A1058" s="154"/>
    </row>
    <row r="1063" spans="1:1" x14ac:dyDescent="0.25">
      <c r="A1063" s="154"/>
    </row>
    <row r="1064" spans="1:1" x14ac:dyDescent="0.25">
      <c r="A1064" s="154"/>
    </row>
    <row r="1067" spans="1:1" x14ac:dyDescent="0.25">
      <c r="A1067" s="154"/>
    </row>
    <row r="1069" spans="1:1" x14ac:dyDescent="0.25">
      <c r="A1069" s="154"/>
    </row>
    <row r="1071" spans="1:1" x14ac:dyDescent="0.25">
      <c r="A1071" s="154"/>
    </row>
    <row r="1073" spans="1:1" x14ac:dyDescent="0.25">
      <c r="A1073" s="154"/>
    </row>
    <row r="1076" spans="1:1" x14ac:dyDescent="0.25">
      <c r="A1076" s="154"/>
    </row>
    <row r="1077" spans="1:1" x14ac:dyDescent="0.25">
      <c r="A1077" s="154"/>
    </row>
    <row r="1078" spans="1:1" x14ac:dyDescent="0.25">
      <c r="A1078" s="154"/>
    </row>
    <row r="1079" spans="1:1" x14ac:dyDescent="0.25">
      <c r="A1079" s="154"/>
    </row>
    <row r="1080" spans="1:1" x14ac:dyDescent="0.25">
      <c r="A1080" s="154"/>
    </row>
    <row r="1081" spans="1:1" x14ac:dyDescent="0.25">
      <c r="A1081" s="154"/>
    </row>
    <row r="1082" spans="1:1" x14ac:dyDescent="0.25">
      <c r="A1082" s="154"/>
    </row>
    <row r="1083" spans="1:1" x14ac:dyDescent="0.25">
      <c r="A1083" s="1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20">
      <selection activeCell="P46" sqref="P4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252"/>
  <sheetViews>
    <sheetView tabSelected="1" view="pageLayout" topLeftCell="A191" zoomScaleNormal="75" workbookViewId="0">
      <selection activeCell="L6" sqref="L6"/>
    </sheetView>
  </sheetViews>
  <sheetFormatPr defaultRowHeight="15" x14ac:dyDescent="0.2"/>
  <cols>
    <col min="1" max="1" width="4.21875" style="70" customWidth="1"/>
    <col min="2" max="2" width="1" style="70" customWidth="1"/>
    <col min="3" max="3" width="17" style="70" customWidth="1"/>
    <col min="4" max="4" width="8.88671875" style="70"/>
    <col min="5" max="5" width="11.88671875" style="70" customWidth="1"/>
    <col min="6" max="6" width="12.33203125" style="70" customWidth="1"/>
    <col min="7" max="7" width="12" style="70" customWidth="1"/>
    <col min="8" max="8" width="12.88671875" style="70" bestFit="1" customWidth="1"/>
    <col min="9" max="9" width="10.5546875" style="70" customWidth="1"/>
    <col min="10" max="10" width="1.6640625" style="70" customWidth="1"/>
    <col min="11" max="11" width="11.33203125" style="70" bestFit="1" customWidth="1"/>
    <col min="12" max="12" width="9.77734375" style="70" bestFit="1" customWidth="1"/>
    <col min="13" max="13" width="9.33203125" style="70" bestFit="1" customWidth="1"/>
    <col min="14" max="14" width="6.6640625" style="70" bestFit="1" customWidth="1"/>
    <col min="15" max="15" width="7.33203125" style="70" bestFit="1" customWidth="1"/>
    <col min="16" max="16" width="11.6640625" style="70" customWidth="1"/>
    <col min="17" max="17" width="12.44140625" style="70" bestFit="1" customWidth="1"/>
    <col min="18" max="18" width="17" style="70" bestFit="1" customWidth="1"/>
    <col min="19" max="19" width="9.6640625" style="70" customWidth="1"/>
    <col min="20" max="16384" width="8.88671875" style="70"/>
  </cols>
  <sheetData>
    <row r="1" spans="1:19" ht="15.75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87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</row>
    <row r="2" spans="1:19" ht="15.75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87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</row>
    <row r="3" spans="1:19" ht="15.75" x14ac:dyDescent="0.25">
      <c r="A3" s="187" t="s">
        <v>193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</row>
    <row r="4" spans="1:19" ht="15.75" x14ac:dyDescent="0.25">
      <c r="A4" s="187" t="str">
        <f>SERVICE</f>
        <v>(ELECTRIC SERVICE)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</row>
    <row r="5" spans="1:19" ht="15.75" x14ac:dyDescent="0.25">
      <c r="A5" s="82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</row>
    <row r="6" spans="1:19" ht="15.75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194</v>
      </c>
      <c r="S6" s="80"/>
    </row>
    <row r="7" spans="1:19" ht="15.75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2" t="s">
        <v>121</v>
      </c>
      <c r="S7" s="80"/>
    </row>
    <row r="8" spans="1:19" ht="15.75" x14ac:dyDescent="0.25">
      <c r="A8" s="82" t="s">
        <v>122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S8" s="80"/>
    </row>
    <row r="9" spans="1:19" ht="15.75" x14ac:dyDescent="0.25">
      <c r="A9" s="258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S9" s="80"/>
    </row>
    <row r="10" spans="1:19" ht="15.75" customHeight="1" x14ac:dyDescent="0.2">
      <c r="A10" s="500" t="s">
        <v>548</v>
      </c>
      <c r="B10" s="500"/>
      <c r="C10" s="500"/>
      <c r="D10" s="500"/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</row>
    <row r="11" spans="1:19" ht="15.75" x14ac:dyDescent="0.25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</row>
    <row r="12" spans="1:19" ht="15.75" x14ac:dyDescent="0.25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</row>
    <row r="13" spans="1:19" ht="15.75" x14ac:dyDescent="0.25">
      <c r="A13" s="80"/>
      <c r="B13" s="80"/>
      <c r="C13" s="80"/>
      <c r="D13" s="80"/>
      <c r="E13" s="80"/>
      <c r="F13" s="479" t="s">
        <v>485</v>
      </c>
      <c r="G13" s="480"/>
      <c r="H13" s="480"/>
      <c r="I13" s="480"/>
      <c r="J13" s="100"/>
      <c r="K13" s="499" t="s">
        <v>467</v>
      </c>
      <c r="L13" s="499"/>
      <c r="M13" s="499"/>
      <c r="N13" s="499"/>
      <c r="O13" s="499"/>
      <c r="P13" s="499"/>
      <c r="Q13" s="83" t="s">
        <v>11</v>
      </c>
      <c r="R13" s="83" t="s">
        <v>11</v>
      </c>
      <c r="S13" s="80"/>
    </row>
    <row r="14" spans="1:19" ht="17.100000000000001" customHeight="1" x14ac:dyDescent="0.25">
      <c r="A14" s="80"/>
      <c r="B14" s="80"/>
      <c r="C14" s="80"/>
      <c r="D14" s="83" t="s">
        <v>123</v>
      </c>
      <c r="E14" s="83" t="s">
        <v>123</v>
      </c>
      <c r="F14" s="80"/>
      <c r="G14" s="80"/>
      <c r="H14" s="83" t="s">
        <v>124</v>
      </c>
      <c r="I14" s="83" t="s">
        <v>125</v>
      </c>
      <c r="J14" s="83"/>
      <c r="K14" s="80"/>
      <c r="L14" s="80"/>
      <c r="M14" s="80"/>
      <c r="N14" s="80"/>
      <c r="O14" s="80"/>
      <c r="P14" s="80"/>
      <c r="Q14" s="83" t="s">
        <v>8</v>
      </c>
      <c r="R14" s="83" t="s">
        <v>6</v>
      </c>
      <c r="S14" s="83" t="s">
        <v>125</v>
      </c>
    </row>
    <row r="15" spans="1:19" ht="15.75" x14ac:dyDescent="0.25">
      <c r="A15" s="80"/>
      <c r="B15" s="80"/>
      <c r="C15" s="80"/>
      <c r="D15" s="83" t="s">
        <v>126</v>
      </c>
      <c r="E15" s="83" t="s">
        <v>126</v>
      </c>
      <c r="F15" s="83" t="s">
        <v>8</v>
      </c>
      <c r="G15" s="83" t="s">
        <v>6</v>
      </c>
      <c r="H15" s="83" t="s">
        <v>127</v>
      </c>
      <c r="I15" s="83" t="s">
        <v>127</v>
      </c>
      <c r="J15" s="83"/>
      <c r="K15" s="83" t="s">
        <v>306</v>
      </c>
      <c r="L15" s="83" t="s">
        <v>306</v>
      </c>
      <c r="M15" s="83" t="s">
        <v>306</v>
      </c>
      <c r="N15" s="83" t="s">
        <v>306</v>
      </c>
      <c r="O15" s="83" t="s">
        <v>306</v>
      </c>
      <c r="P15" s="83" t="s">
        <v>306</v>
      </c>
      <c r="Q15" s="83" t="s">
        <v>128</v>
      </c>
      <c r="R15" s="83" t="s">
        <v>128</v>
      </c>
      <c r="S15" s="83" t="s">
        <v>127</v>
      </c>
    </row>
    <row r="16" spans="1:19" ht="15.75" x14ac:dyDescent="0.25">
      <c r="A16" s="83" t="s">
        <v>17</v>
      </c>
      <c r="B16" s="80"/>
      <c r="C16" s="82" t="s">
        <v>18</v>
      </c>
      <c r="D16" s="83" t="s">
        <v>130</v>
      </c>
      <c r="E16" s="83" t="s">
        <v>131</v>
      </c>
      <c r="F16" s="83" t="s">
        <v>699</v>
      </c>
      <c r="G16" s="83" t="s">
        <v>699</v>
      </c>
      <c r="H16" s="256" t="s">
        <v>132</v>
      </c>
      <c r="I16" s="256" t="s">
        <v>133</v>
      </c>
      <c r="J16" s="83"/>
      <c r="K16" s="83" t="s">
        <v>469</v>
      </c>
      <c r="L16" s="196" t="s">
        <v>310</v>
      </c>
      <c r="M16" s="83" t="s">
        <v>708</v>
      </c>
      <c r="N16" s="83" t="s">
        <v>697</v>
      </c>
      <c r="O16" s="83" t="s">
        <v>709</v>
      </c>
      <c r="P16" s="83" t="s">
        <v>698</v>
      </c>
      <c r="Q16" s="481" t="s">
        <v>696</v>
      </c>
      <c r="R16" s="481" t="s">
        <v>700</v>
      </c>
      <c r="S16" s="481" t="s">
        <v>695</v>
      </c>
    </row>
    <row r="17" spans="1:19" ht="15.75" x14ac:dyDescent="0.25">
      <c r="A17" s="391" t="s">
        <v>24</v>
      </c>
      <c r="B17" s="390"/>
      <c r="C17" s="482" t="s">
        <v>25</v>
      </c>
      <c r="D17" s="459" t="s">
        <v>35</v>
      </c>
      <c r="E17" s="459" t="s">
        <v>36</v>
      </c>
      <c r="F17" s="459" t="s">
        <v>37</v>
      </c>
      <c r="G17" s="459" t="s">
        <v>38</v>
      </c>
      <c r="H17" s="459" t="s">
        <v>39</v>
      </c>
      <c r="I17" s="459" t="s">
        <v>40</v>
      </c>
      <c r="J17" s="459"/>
      <c r="K17" s="459" t="s">
        <v>41</v>
      </c>
      <c r="L17" s="459" t="s">
        <v>42</v>
      </c>
      <c r="M17" s="459" t="s">
        <v>43</v>
      </c>
      <c r="N17" s="459" t="s">
        <v>44</v>
      </c>
      <c r="O17" s="459" t="s">
        <v>45</v>
      </c>
      <c r="P17" s="483" t="s">
        <v>46</v>
      </c>
      <c r="Q17" s="483" t="s">
        <v>47</v>
      </c>
      <c r="R17" s="483" t="s">
        <v>48</v>
      </c>
      <c r="S17" s="483" t="s">
        <v>50</v>
      </c>
    </row>
    <row r="18" spans="1:19" ht="15.75" x14ac:dyDescent="0.25">
      <c r="A18" s="80"/>
      <c r="B18" s="80"/>
      <c r="C18" s="80"/>
      <c r="D18" s="259" t="s">
        <v>139</v>
      </c>
      <c r="E18" s="259" t="s">
        <v>51</v>
      </c>
      <c r="F18" s="259" t="s">
        <v>52</v>
      </c>
      <c r="G18" s="259" t="s">
        <v>52</v>
      </c>
      <c r="H18" s="259" t="s">
        <v>52</v>
      </c>
      <c r="I18" s="259" t="s">
        <v>53</v>
      </c>
      <c r="J18" s="259"/>
      <c r="K18" s="259" t="s">
        <v>52</v>
      </c>
      <c r="L18" s="259" t="s">
        <v>52</v>
      </c>
      <c r="M18" s="259" t="s">
        <v>52</v>
      </c>
      <c r="N18" s="259" t="s">
        <v>52</v>
      </c>
      <c r="O18" s="259" t="s">
        <v>52</v>
      </c>
      <c r="P18" s="259" t="s">
        <v>52</v>
      </c>
      <c r="Q18" s="259" t="s">
        <v>52</v>
      </c>
      <c r="R18" s="259" t="s">
        <v>52</v>
      </c>
      <c r="S18" s="259" t="s">
        <v>53</v>
      </c>
    </row>
    <row r="19" spans="1:19" ht="15.75" x14ac:dyDescent="0.25">
      <c r="A19" s="302">
        <v>1</v>
      </c>
      <c r="C19" s="82" t="s">
        <v>54</v>
      </c>
      <c r="D19" s="83"/>
      <c r="G19" s="263"/>
    </row>
    <row r="20" spans="1:19" x14ac:dyDescent="0.2">
      <c r="A20" s="302">
        <v>2</v>
      </c>
      <c r="D20" s="368" t="s">
        <v>140</v>
      </c>
      <c r="E20" s="79">
        <v>300</v>
      </c>
      <c r="F20" s="162">
        <f t="shared" ref="F20:F26" si="0">ROUND((E20*CUR_RS_ENERGY)+CUR_RS_CUST,2)+DSM_RS_CUST</f>
        <v>27.240000000000002</v>
      </c>
      <c r="G20" s="162">
        <f t="shared" ref="G20:G26" si="1">ROUND((E20*PRO_RS_ENERGY)+PRO_RS_CUST,2)+DSM_RS_CUST</f>
        <v>36.49</v>
      </c>
      <c r="H20" s="162">
        <f t="shared" ref="H20:H26" si="2">G20-F20</f>
        <v>9.25</v>
      </c>
      <c r="I20" s="156">
        <f t="shared" ref="I20:I26" si="3">ROUND(H20/F20,3)*100</f>
        <v>34</v>
      </c>
      <c r="J20" s="156"/>
      <c r="K20" s="162">
        <f t="shared" ref="K20:K26" si="4">ROUND(E20*CUR_FAC,2)</f>
        <v>0.31</v>
      </c>
      <c r="L20" s="162">
        <f t="shared" ref="L20:L26" si="5">ROUND(E20*DSM_RES,2)</f>
        <v>2.39</v>
      </c>
      <c r="M20" s="162">
        <f t="shared" ref="M20:M26" si="6">ROUND($G20*PRO_ESM,2)</f>
        <v>0</v>
      </c>
      <c r="N20" s="162">
        <f t="shared" ref="N20:N26" si="7">ROUND(PRO_DCI,2)</f>
        <v>0</v>
      </c>
      <c r="O20" s="162">
        <f t="shared" ref="O20:O26" si="8">ROUND($E20*PRO_FTR_RES,2)</f>
        <v>0</v>
      </c>
      <c r="P20" s="162">
        <f t="shared" ref="P20:P26" si="9">ROUND(E20*RS_PSM,2)</f>
        <v>-0.14000000000000001</v>
      </c>
      <c r="Q20" s="162">
        <f>F20+K20+L20+P20</f>
        <v>29.8</v>
      </c>
      <c r="R20" s="162">
        <f>G20+K20+L20+M20+N20+O20+P20</f>
        <v>39.050000000000004</v>
      </c>
      <c r="S20" s="156">
        <f t="shared" ref="S20:S26" si="10">ROUND((R20-Q20)/Q20,3)*100</f>
        <v>31</v>
      </c>
    </row>
    <row r="21" spans="1:19" x14ac:dyDescent="0.2">
      <c r="A21" s="302">
        <v>3</v>
      </c>
      <c r="D21" s="368" t="s">
        <v>140</v>
      </c>
      <c r="E21" s="79">
        <v>400</v>
      </c>
      <c r="F21" s="162">
        <f t="shared" si="0"/>
        <v>34.78</v>
      </c>
      <c r="G21" s="162">
        <f t="shared" si="1"/>
        <v>44.88</v>
      </c>
      <c r="H21" s="162">
        <f t="shared" si="2"/>
        <v>10.100000000000001</v>
      </c>
      <c r="I21" s="156">
        <f t="shared" si="3"/>
        <v>28.999999999999996</v>
      </c>
      <c r="J21" s="156"/>
      <c r="K21" s="162">
        <f t="shared" si="4"/>
        <v>0.41</v>
      </c>
      <c r="L21" s="162">
        <f t="shared" si="5"/>
        <v>3.19</v>
      </c>
      <c r="M21" s="162">
        <f t="shared" si="6"/>
        <v>0</v>
      </c>
      <c r="N21" s="162">
        <f t="shared" si="7"/>
        <v>0</v>
      </c>
      <c r="O21" s="162">
        <f t="shared" si="8"/>
        <v>0</v>
      </c>
      <c r="P21" s="162">
        <f t="shared" si="9"/>
        <v>-0.18</v>
      </c>
      <c r="Q21" s="162">
        <f t="shared" ref="Q21:Q26" si="11">F21+K21+L21+P21</f>
        <v>38.199999999999996</v>
      </c>
      <c r="R21" s="162">
        <f t="shared" ref="R21:R26" si="12">G21+K21+L21+M21+N21+O21+P21</f>
        <v>48.3</v>
      </c>
      <c r="S21" s="156">
        <f t="shared" si="10"/>
        <v>26.400000000000002</v>
      </c>
    </row>
    <row r="22" spans="1:19" x14ac:dyDescent="0.2">
      <c r="A22" s="302">
        <v>4</v>
      </c>
      <c r="D22" s="368" t="s">
        <v>140</v>
      </c>
      <c r="E22" s="79">
        <v>500</v>
      </c>
      <c r="F22" s="162">
        <f t="shared" si="0"/>
        <v>42.33</v>
      </c>
      <c r="G22" s="162">
        <f t="shared" si="1"/>
        <v>53.27</v>
      </c>
      <c r="H22" s="162">
        <f t="shared" si="2"/>
        <v>10.940000000000005</v>
      </c>
      <c r="I22" s="156">
        <f t="shared" si="3"/>
        <v>25.8</v>
      </c>
      <c r="J22" s="156"/>
      <c r="K22" s="162">
        <f t="shared" si="4"/>
        <v>0.51</v>
      </c>
      <c r="L22" s="162">
        <f t="shared" si="5"/>
        <v>3.98</v>
      </c>
      <c r="M22" s="162">
        <f t="shared" si="6"/>
        <v>0</v>
      </c>
      <c r="N22" s="162">
        <f t="shared" si="7"/>
        <v>0</v>
      </c>
      <c r="O22" s="162">
        <f t="shared" si="8"/>
        <v>0</v>
      </c>
      <c r="P22" s="162">
        <f t="shared" si="9"/>
        <v>-0.23</v>
      </c>
      <c r="Q22" s="162">
        <f t="shared" si="11"/>
        <v>46.589999999999996</v>
      </c>
      <c r="R22" s="162">
        <f t="shared" si="12"/>
        <v>57.53</v>
      </c>
      <c r="S22" s="156">
        <f t="shared" si="10"/>
        <v>23.5</v>
      </c>
    </row>
    <row r="23" spans="1:19" x14ac:dyDescent="0.2">
      <c r="A23" s="302">
        <v>5</v>
      </c>
      <c r="D23" s="368" t="s">
        <v>140</v>
      </c>
      <c r="E23" s="79">
        <v>800</v>
      </c>
      <c r="F23" s="162">
        <f t="shared" si="0"/>
        <v>64.959999999999994</v>
      </c>
      <c r="G23" s="162">
        <f t="shared" si="1"/>
        <v>78.449999999999989</v>
      </c>
      <c r="H23" s="162">
        <f t="shared" si="2"/>
        <v>13.489999999999995</v>
      </c>
      <c r="I23" s="156">
        <f t="shared" si="3"/>
        <v>20.8</v>
      </c>
      <c r="J23" s="156"/>
      <c r="K23" s="162">
        <f t="shared" si="4"/>
        <v>0.82</v>
      </c>
      <c r="L23" s="162">
        <f t="shared" si="5"/>
        <v>6.37</v>
      </c>
      <c r="M23" s="162">
        <f t="shared" si="6"/>
        <v>0</v>
      </c>
      <c r="N23" s="162">
        <f t="shared" si="7"/>
        <v>0</v>
      </c>
      <c r="O23" s="162">
        <f t="shared" si="8"/>
        <v>0</v>
      </c>
      <c r="P23" s="162">
        <f t="shared" si="9"/>
        <v>-0.36</v>
      </c>
      <c r="Q23" s="162">
        <f t="shared" si="11"/>
        <v>71.789999999999992</v>
      </c>
      <c r="R23" s="162">
        <f t="shared" si="12"/>
        <v>85.279999999999987</v>
      </c>
      <c r="S23" s="156">
        <f t="shared" si="10"/>
        <v>18.8</v>
      </c>
    </row>
    <row r="24" spans="1:19" x14ac:dyDescent="0.2">
      <c r="A24" s="302">
        <v>6</v>
      </c>
      <c r="D24" s="368" t="s">
        <v>140</v>
      </c>
      <c r="E24" s="79">
        <v>1000</v>
      </c>
      <c r="F24" s="162">
        <f t="shared" si="0"/>
        <v>80.059999999999988</v>
      </c>
      <c r="G24" s="162">
        <f t="shared" si="1"/>
        <v>95.22999999999999</v>
      </c>
      <c r="H24" s="162">
        <f t="shared" si="2"/>
        <v>15.170000000000002</v>
      </c>
      <c r="I24" s="156">
        <f t="shared" si="3"/>
        <v>18.899999999999999</v>
      </c>
      <c r="J24" s="156"/>
      <c r="K24" s="162">
        <f t="shared" si="4"/>
        <v>1.03</v>
      </c>
      <c r="L24" s="162">
        <f t="shared" si="5"/>
        <v>7.97</v>
      </c>
      <c r="M24" s="162">
        <f t="shared" si="6"/>
        <v>0</v>
      </c>
      <c r="N24" s="162">
        <f t="shared" si="7"/>
        <v>0</v>
      </c>
      <c r="O24" s="162">
        <f t="shared" si="8"/>
        <v>0</v>
      </c>
      <c r="P24" s="162">
        <f t="shared" si="9"/>
        <v>-0.46</v>
      </c>
      <c r="Q24" s="162">
        <f t="shared" si="11"/>
        <v>88.6</v>
      </c>
      <c r="R24" s="162">
        <f t="shared" si="12"/>
        <v>103.77</v>
      </c>
      <c r="S24" s="156">
        <f t="shared" si="10"/>
        <v>17.100000000000001</v>
      </c>
    </row>
    <row r="25" spans="1:19" x14ac:dyDescent="0.2">
      <c r="A25" s="302">
        <v>7</v>
      </c>
      <c r="D25" s="368" t="s">
        <v>140</v>
      </c>
      <c r="E25" s="79">
        <v>1500</v>
      </c>
      <c r="F25" s="162">
        <f t="shared" si="0"/>
        <v>117.78</v>
      </c>
      <c r="G25" s="162">
        <f t="shared" si="1"/>
        <v>137.18</v>
      </c>
      <c r="H25" s="162">
        <f t="shared" si="2"/>
        <v>19.400000000000006</v>
      </c>
      <c r="I25" s="156">
        <f t="shared" si="3"/>
        <v>16.5</v>
      </c>
      <c r="J25" s="156"/>
      <c r="K25" s="162">
        <f t="shared" si="4"/>
        <v>1.54</v>
      </c>
      <c r="L25" s="162">
        <f t="shared" si="5"/>
        <v>11.95</v>
      </c>
      <c r="M25" s="162">
        <f t="shared" si="6"/>
        <v>0</v>
      </c>
      <c r="N25" s="162">
        <f t="shared" si="7"/>
        <v>0</v>
      </c>
      <c r="O25" s="162">
        <f t="shared" si="8"/>
        <v>0</v>
      </c>
      <c r="P25" s="162">
        <f t="shared" si="9"/>
        <v>-0.68</v>
      </c>
      <c r="Q25" s="162">
        <f t="shared" si="11"/>
        <v>130.59</v>
      </c>
      <c r="R25" s="162">
        <f t="shared" si="12"/>
        <v>149.98999999999998</v>
      </c>
      <c r="S25" s="156">
        <f t="shared" si="10"/>
        <v>14.899999999999999</v>
      </c>
    </row>
    <row r="26" spans="1:19" x14ac:dyDescent="0.2">
      <c r="A26" s="302">
        <v>8</v>
      </c>
      <c r="D26" s="368" t="s">
        <v>140</v>
      </c>
      <c r="E26" s="79">
        <v>2000</v>
      </c>
      <c r="F26" s="162">
        <f t="shared" si="0"/>
        <v>155.51</v>
      </c>
      <c r="G26" s="162">
        <f t="shared" si="1"/>
        <v>179.14</v>
      </c>
      <c r="H26" s="162">
        <f t="shared" si="2"/>
        <v>23.629999999999995</v>
      </c>
      <c r="I26" s="156">
        <f t="shared" si="3"/>
        <v>15.2</v>
      </c>
      <c r="J26" s="156"/>
      <c r="K26" s="162">
        <f t="shared" si="4"/>
        <v>2.06</v>
      </c>
      <c r="L26" s="162">
        <f t="shared" si="5"/>
        <v>15.93</v>
      </c>
      <c r="M26" s="162">
        <f t="shared" si="6"/>
        <v>0</v>
      </c>
      <c r="N26" s="162">
        <f t="shared" si="7"/>
        <v>0</v>
      </c>
      <c r="O26" s="162">
        <f t="shared" si="8"/>
        <v>0</v>
      </c>
      <c r="P26" s="162">
        <f t="shared" si="9"/>
        <v>-0.91</v>
      </c>
      <c r="Q26" s="162">
        <f t="shared" si="11"/>
        <v>172.59</v>
      </c>
      <c r="R26" s="162">
        <f t="shared" si="12"/>
        <v>196.22</v>
      </c>
      <c r="S26" s="156">
        <f t="shared" si="10"/>
        <v>13.700000000000001</v>
      </c>
    </row>
    <row r="27" spans="1:19" x14ac:dyDescent="0.2">
      <c r="G27" s="263"/>
      <c r="H27" s="162"/>
      <c r="I27" s="156"/>
      <c r="J27" s="156"/>
      <c r="K27" s="162"/>
      <c r="L27" s="162"/>
      <c r="M27" s="162"/>
      <c r="N27" s="162"/>
      <c r="O27" s="162"/>
      <c r="P27" s="162"/>
      <c r="Q27" s="162"/>
      <c r="R27" s="162"/>
      <c r="S27" s="156"/>
    </row>
    <row r="28" spans="1:19" ht="15.75" x14ac:dyDescent="0.25">
      <c r="A28" s="302"/>
      <c r="C28" s="82" t="str">
        <f>"(1) REFLECTS DSM HEA RIDER  OF "&amp;TEXT(DSM_RS_CUST,"$0.00;($0.00)")&amp;" PER BILL."</f>
        <v>(1) REFLECTS DSM HEA RIDER  OF $0.10 PER BILL.</v>
      </c>
      <c r="D28" s="368"/>
      <c r="E28" s="79"/>
      <c r="F28" s="162"/>
      <c r="G28" s="162"/>
      <c r="H28" s="162"/>
      <c r="I28" s="156"/>
      <c r="J28" s="156"/>
      <c r="K28" s="162"/>
      <c r="L28" s="162"/>
      <c r="M28" s="162"/>
      <c r="N28" s="162"/>
      <c r="O28" s="162"/>
      <c r="P28" s="162"/>
      <c r="Q28" s="162"/>
      <c r="R28" s="162"/>
      <c r="S28" s="156"/>
    </row>
    <row r="29" spans="1:19" ht="15.75" x14ac:dyDescent="0.25">
      <c r="C29" s="82" t="str">
        <f>"(2) REFLECTS FUEL ADJUSTMENT CLAUSE (FAC) OF "&amp;TEXT(CUR_FAC,"$0.000000;($0.000000)")&amp;" PER KWH."</f>
        <v>(2) REFLECTS FUEL ADJUSTMENT CLAUSE (FAC) OF $0.001028 PER KWH.</v>
      </c>
      <c r="G29" s="263"/>
      <c r="H29" s="162"/>
      <c r="I29" s="156"/>
      <c r="J29" s="156"/>
      <c r="K29" s="162"/>
      <c r="L29" s="162"/>
      <c r="M29" s="162"/>
      <c r="N29" s="162"/>
      <c r="O29" s="162"/>
      <c r="P29" s="162"/>
      <c r="Q29" s="263"/>
      <c r="R29" s="263"/>
      <c r="S29" s="156"/>
    </row>
    <row r="30" spans="1:19" ht="15.75" x14ac:dyDescent="0.25">
      <c r="C30" s="82" t="str">
        <f>"(3) RIDER DSMR "&amp;TEXT(DSM_RES,"$0.000000")&amp;"  PER KWH."</f>
        <v>(3) RIDER DSMR $0.007967  PER KWH.</v>
      </c>
      <c r="H30" s="162"/>
      <c r="K30" s="162"/>
      <c r="L30" s="162"/>
      <c r="M30" s="162"/>
      <c r="N30" s="162"/>
      <c r="O30" s="162"/>
      <c r="P30" s="162"/>
    </row>
    <row r="31" spans="1:19" ht="15.75" x14ac:dyDescent="0.25">
      <c r="C31" s="82" t="str">
        <f>"(4) RIDER ESM "&amp;TEXT(CUR_ESM,"$0.000000;($0.000000)")&amp;"  PER KWH FOR PROPOSED BILL ONLY."</f>
        <v>(4) RIDER ESM $0.000000  PER KWH FOR PROPOSED BILL ONLY.</v>
      </c>
      <c r="H31" s="162"/>
      <c r="K31" s="162"/>
      <c r="L31" s="162"/>
      <c r="M31" s="162"/>
      <c r="N31" s="162"/>
      <c r="O31" s="162"/>
      <c r="P31" s="162"/>
    </row>
    <row r="32" spans="1:19" ht="15.75" x14ac:dyDescent="0.25">
      <c r="C32" s="82" t="str">
        <f>"(5) RIDER DCI "&amp;TEXT(CUR_DCI,"$0.00;($0.00)")&amp;"  PER BILL FOR PROPOSED BILL ONLY."</f>
        <v>(5) RIDER DCI $0.00  PER BILL FOR PROPOSED BILL ONLY.</v>
      </c>
      <c r="H32" s="162"/>
      <c r="K32" s="162"/>
      <c r="L32" s="162"/>
      <c r="M32" s="162"/>
      <c r="N32" s="162"/>
      <c r="O32" s="162"/>
      <c r="P32" s="162"/>
    </row>
    <row r="33" spans="1:19" ht="15.75" x14ac:dyDescent="0.25">
      <c r="C33" s="82" t="str">
        <f>"(6) RIDER FTR "&amp;TEXT(CUR_FTR_RES,"$0.000000;($0.000000)")&amp;"  PER KWH FOR PROPOSED BILL ONLY."</f>
        <v>(6) RIDER FTR $0.000000  PER KWH FOR PROPOSED BILL ONLY.</v>
      </c>
      <c r="H33" s="162"/>
      <c r="K33" s="162"/>
      <c r="L33" s="162"/>
      <c r="M33" s="162"/>
      <c r="N33" s="162"/>
      <c r="O33" s="162"/>
      <c r="P33" s="162"/>
    </row>
    <row r="34" spans="1:19" ht="15.75" x14ac:dyDescent="0.25">
      <c r="C34" s="82" t="str">
        <f>"(7) RIDER PSM "&amp;TEXT(RS_PSM,"$0.000000;($0.000000)")&amp;"  PER KWH."</f>
        <v>(7) RIDER PSM ($0.000456)  PER KWH.</v>
      </c>
      <c r="H34" s="162"/>
      <c r="K34" s="162"/>
      <c r="L34" s="162"/>
      <c r="M34" s="162"/>
      <c r="N34" s="162"/>
      <c r="O34" s="162"/>
      <c r="P34" s="162"/>
    </row>
    <row r="35" spans="1:19" ht="15.75" x14ac:dyDescent="0.25">
      <c r="C35" s="82" t="str">
        <f>"(8) REFLECTS FUEL COST RECOVERY INCLUDED IN BASE RATES OF "&amp;TEXT(CUR_BASE_FUEL,"$0.000000;($0.000000)")&amp;"  PER KWH."</f>
        <v>(8) REFLECTS FUEL COST RECOVERY INCLUDED IN BASE RATES OF $0.023837  PER KWH.</v>
      </c>
      <c r="H35" s="162"/>
      <c r="K35" s="162"/>
      <c r="L35" s="162"/>
      <c r="M35" s="162"/>
      <c r="N35" s="162"/>
      <c r="O35" s="162"/>
      <c r="P35" s="162"/>
    </row>
    <row r="36" spans="1:19" ht="15.75" x14ac:dyDescent="0.25">
      <c r="A36" s="150" t="str">
        <f>NAME</f>
        <v>DUKE ENERGY KENTUCKY, INC.</v>
      </c>
      <c r="B36" s="150"/>
      <c r="C36" s="150"/>
      <c r="D36" s="150"/>
      <c r="E36" s="150"/>
      <c r="F36" s="150"/>
      <c r="G36" s="187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</row>
    <row r="37" spans="1:19" ht="15.75" x14ac:dyDescent="0.25">
      <c r="A37" s="150" t="str">
        <f>CASE_NO</f>
        <v>CASE NO.   2017-00321</v>
      </c>
      <c r="B37" s="150"/>
      <c r="C37" s="150"/>
      <c r="D37" s="150"/>
      <c r="E37" s="150"/>
      <c r="F37" s="150"/>
      <c r="G37" s="187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</row>
    <row r="38" spans="1:19" ht="15.75" x14ac:dyDescent="0.25">
      <c r="A38" s="187" t="s">
        <v>193</v>
      </c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</row>
    <row r="39" spans="1:19" ht="15.75" x14ac:dyDescent="0.25">
      <c r="A39" s="187" t="str">
        <f>SERVICE</f>
        <v>(ELECTRIC SERVICE)</v>
      </c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</row>
    <row r="40" spans="1:19" ht="15.75" x14ac:dyDescent="0.25">
      <c r="A40" s="82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</row>
    <row r="41" spans="1:19" ht="15.75" x14ac:dyDescent="0.25">
      <c r="A41" s="159" t="str">
        <f>DATA_PERIOD</f>
        <v>DATA: __X__ BASE PERIOD   ____FORECASTED PERIOD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2" t="s">
        <v>194</v>
      </c>
      <c r="S41" s="80"/>
    </row>
    <row r="42" spans="1:19" ht="15.75" x14ac:dyDescent="0.25">
      <c r="A42" s="159" t="str">
        <f>TYPE</f>
        <v>TYPE OF FILING: _X_ ORIGINAL   ___UPDATED  ___ REVISED</v>
      </c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2" t="s">
        <v>142</v>
      </c>
      <c r="S42" s="80"/>
    </row>
    <row r="43" spans="1:19" ht="15.75" x14ac:dyDescent="0.25">
      <c r="A43" s="82" t="s">
        <v>122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2" t="s">
        <v>3</v>
      </c>
      <c r="S43" s="80"/>
    </row>
    <row r="44" spans="1:19" ht="15.75" x14ac:dyDescent="0.25">
      <c r="A44" s="258" t="str">
        <f>TIME</f>
        <v>6 Months Actual and 6 Months Projected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159" t="str">
        <f>WIT</f>
        <v>B. L. SAILERS</v>
      </c>
      <c r="S44" s="80"/>
    </row>
    <row r="45" spans="1:19" x14ac:dyDescent="0.2">
      <c r="A45" s="500" t="s">
        <v>548</v>
      </c>
      <c r="B45" s="500"/>
      <c r="C45" s="500"/>
      <c r="D45" s="500"/>
      <c r="E45" s="500"/>
      <c r="F45" s="500"/>
      <c r="G45" s="500"/>
      <c r="H45" s="500"/>
      <c r="I45" s="500"/>
      <c r="J45" s="500"/>
      <c r="K45" s="500"/>
      <c r="L45" s="500"/>
      <c r="M45" s="500"/>
      <c r="N45" s="500"/>
      <c r="O45" s="500"/>
      <c r="P45" s="500"/>
      <c r="Q45" s="500"/>
      <c r="R45" s="500"/>
      <c r="S45" s="500"/>
    </row>
    <row r="46" spans="1:19" ht="15.75" x14ac:dyDescent="0.25">
      <c r="A46" s="254"/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</row>
    <row r="47" spans="1:19" ht="15.75" x14ac:dyDescent="0.25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</row>
    <row r="48" spans="1:19" ht="15.75" x14ac:dyDescent="0.25">
      <c r="A48" s="80"/>
      <c r="B48" s="80"/>
      <c r="C48" s="80"/>
      <c r="D48" s="80"/>
      <c r="E48" s="80"/>
      <c r="F48" s="479" t="s">
        <v>485</v>
      </c>
      <c r="G48" s="480"/>
      <c r="H48" s="480"/>
      <c r="I48" s="480"/>
      <c r="J48" s="100"/>
      <c r="K48" s="499" t="s">
        <v>467</v>
      </c>
      <c r="L48" s="499"/>
      <c r="M48" s="499"/>
      <c r="N48" s="499"/>
      <c r="O48" s="499"/>
      <c r="P48" s="499"/>
      <c r="Q48" s="83" t="s">
        <v>11</v>
      </c>
      <c r="R48" s="83" t="s">
        <v>11</v>
      </c>
      <c r="S48" s="80"/>
    </row>
    <row r="49" spans="1:19" ht="17.100000000000001" customHeight="1" x14ac:dyDescent="0.25">
      <c r="A49" s="80"/>
      <c r="B49" s="80"/>
      <c r="C49" s="80"/>
      <c r="D49" s="83" t="s">
        <v>123</v>
      </c>
      <c r="E49" s="83" t="s">
        <v>123</v>
      </c>
      <c r="F49" s="80"/>
      <c r="G49" s="80"/>
      <c r="H49" s="83" t="s">
        <v>124</v>
      </c>
      <c r="I49" s="83" t="s">
        <v>125</v>
      </c>
      <c r="J49" s="83"/>
      <c r="K49" s="80"/>
      <c r="L49" s="80"/>
      <c r="M49" s="80"/>
      <c r="N49" s="80"/>
      <c r="O49" s="80"/>
      <c r="P49" s="80"/>
      <c r="Q49" s="83" t="s">
        <v>8</v>
      </c>
      <c r="R49" s="83" t="s">
        <v>6</v>
      </c>
      <c r="S49" s="83" t="s">
        <v>125</v>
      </c>
    </row>
    <row r="50" spans="1:19" ht="15.75" x14ac:dyDescent="0.25">
      <c r="A50" s="80"/>
      <c r="B50" s="80"/>
      <c r="C50" s="80"/>
      <c r="D50" s="83" t="s">
        <v>126</v>
      </c>
      <c r="E50" s="83" t="s">
        <v>126</v>
      </c>
      <c r="F50" s="83" t="s">
        <v>8</v>
      </c>
      <c r="G50" s="83" t="s">
        <v>6</v>
      </c>
      <c r="H50" s="83" t="s">
        <v>127</v>
      </c>
      <c r="I50" s="83" t="s">
        <v>127</v>
      </c>
      <c r="J50" s="83"/>
      <c r="K50" s="83" t="s">
        <v>306</v>
      </c>
      <c r="L50" s="83" t="s">
        <v>306</v>
      </c>
      <c r="M50" s="83" t="s">
        <v>306</v>
      </c>
      <c r="N50" s="83" t="s">
        <v>306</v>
      </c>
      <c r="O50" s="83" t="s">
        <v>306</v>
      </c>
      <c r="P50" s="83" t="s">
        <v>306</v>
      </c>
      <c r="Q50" s="83" t="s">
        <v>128</v>
      </c>
      <c r="R50" s="83" t="s">
        <v>128</v>
      </c>
      <c r="S50" s="83" t="s">
        <v>127</v>
      </c>
    </row>
    <row r="51" spans="1:19" ht="15.75" x14ac:dyDescent="0.25">
      <c r="A51" s="83" t="s">
        <v>17</v>
      </c>
      <c r="B51" s="80"/>
      <c r="C51" s="82" t="s">
        <v>18</v>
      </c>
      <c r="D51" s="83" t="s">
        <v>130</v>
      </c>
      <c r="E51" s="83" t="s">
        <v>131</v>
      </c>
      <c r="F51" s="83" t="s">
        <v>600</v>
      </c>
      <c r="G51" s="83" t="s">
        <v>600</v>
      </c>
      <c r="H51" s="256" t="s">
        <v>132</v>
      </c>
      <c r="I51" s="256" t="s">
        <v>133</v>
      </c>
      <c r="J51" s="83"/>
      <c r="K51" s="83" t="s">
        <v>465</v>
      </c>
      <c r="L51" s="196" t="s">
        <v>309</v>
      </c>
      <c r="M51" s="83" t="s">
        <v>714</v>
      </c>
      <c r="N51" s="83" t="s">
        <v>713</v>
      </c>
      <c r="O51" s="83" t="s">
        <v>712</v>
      </c>
      <c r="P51" s="83" t="s">
        <v>701</v>
      </c>
      <c r="Q51" s="481" t="s">
        <v>696</v>
      </c>
      <c r="R51" s="481" t="s">
        <v>700</v>
      </c>
      <c r="S51" s="481" t="s">
        <v>695</v>
      </c>
    </row>
    <row r="52" spans="1:19" ht="15.75" x14ac:dyDescent="0.25">
      <c r="A52" s="391" t="s">
        <v>24</v>
      </c>
      <c r="B52" s="390"/>
      <c r="C52" s="482" t="s">
        <v>25</v>
      </c>
      <c r="D52" s="459" t="s">
        <v>35</v>
      </c>
      <c r="E52" s="459" t="s">
        <v>36</v>
      </c>
      <c r="F52" s="459" t="s">
        <v>37</v>
      </c>
      <c r="G52" s="459" t="s">
        <v>38</v>
      </c>
      <c r="H52" s="459" t="s">
        <v>39</v>
      </c>
      <c r="I52" s="459" t="s">
        <v>40</v>
      </c>
      <c r="J52" s="459"/>
      <c r="K52" s="459" t="s">
        <v>41</v>
      </c>
      <c r="L52" s="459" t="s">
        <v>42</v>
      </c>
      <c r="M52" s="459" t="s">
        <v>43</v>
      </c>
      <c r="N52" s="459" t="s">
        <v>44</v>
      </c>
      <c r="O52" s="459" t="s">
        <v>45</v>
      </c>
      <c r="P52" s="483" t="s">
        <v>46</v>
      </c>
      <c r="Q52" s="483" t="s">
        <v>47</v>
      </c>
      <c r="R52" s="483" t="s">
        <v>48</v>
      </c>
      <c r="S52" s="483" t="s">
        <v>50</v>
      </c>
    </row>
    <row r="53" spans="1:19" ht="15.75" x14ac:dyDescent="0.25">
      <c r="A53" s="80"/>
      <c r="B53" s="80"/>
      <c r="C53" s="80"/>
      <c r="D53" s="259" t="s">
        <v>139</v>
      </c>
      <c r="E53" s="259" t="s">
        <v>51</v>
      </c>
      <c r="F53" s="259" t="s">
        <v>52</v>
      </c>
      <c r="G53" s="259" t="s">
        <v>52</v>
      </c>
      <c r="H53" s="259" t="s">
        <v>52</v>
      </c>
      <c r="I53" s="259" t="s">
        <v>53</v>
      </c>
      <c r="J53" s="259"/>
      <c r="K53" s="259" t="s">
        <v>52</v>
      </c>
      <c r="L53" s="259" t="s">
        <v>52</v>
      </c>
      <c r="M53" s="259" t="s">
        <v>52</v>
      </c>
      <c r="N53" s="259" t="s">
        <v>52</v>
      </c>
      <c r="O53" s="259" t="s">
        <v>52</v>
      </c>
      <c r="P53" s="259" t="s">
        <v>52</v>
      </c>
      <c r="Q53" s="259" t="s">
        <v>52</v>
      </c>
      <c r="R53" s="259" t="s">
        <v>52</v>
      </c>
      <c r="S53" s="259" t="s">
        <v>53</v>
      </c>
    </row>
    <row r="54" spans="1:19" ht="15.75" x14ac:dyDescent="0.25">
      <c r="A54" s="302">
        <v>1</v>
      </c>
      <c r="C54" s="82" t="s">
        <v>113</v>
      </c>
      <c r="D54" s="302">
        <v>5</v>
      </c>
      <c r="E54" s="79">
        <v>2000</v>
      </c>
      <c r="F54" s="162">
        <f>'BILL CALC'!I21</f>
        <v>178.29</v>
      </c>
      <c r="G54" s="162">
        <f>'BILL CALC'!R21</f>
        <v>218.11</v>
      </c>
      <c r="H54" s="162">
        <f t="shared" ref="H54:H74" si="13">G54-F54</f>
        <v>39.820000000000022</v>
      </c>
      <c r="I54" s="158">
        <f t="shared" ref="I54:I74" si="14">ROUND(H54/F54,3)*100</f>
        <v>22.3</v>
      </c>
      <c r="J54" s="158"/>
      <c r="K54" s="162">
        <f t="shared" ref="K54:K74" si="15">ROUND(E54*CUR_FAC,2)</f>
        <v>2.06</v>
      </c>
      <c r="L54" s="162">
        <f t="shared" ref="L54:L74" si="16">ROUND(E54*DSM_DIST,2)</f>
        <v>5.15</v>
      </c>
      <c r="M54" s="162">
        <f t="shared" ref="M54:M74" si="17">ROUND($G54*PRO_ESM,2)</f>
        <v>0</v>
      </c>
      <c r="N54" s="162">
        <f t="shared" ref="N54:N74" si="18">ROUND(PRO_DCI_DIST,2)</f>
        <v>0</v>
      </c>
      <c r="O54" s="162">
        <f t="shared" ref="O54:O74" si="19">ROUND($E54*PRO_FTR_DIST,2)</f>
        <v>0</v>
      </c>
      <c r="P54" s="162">
        <f t="shared" ref="P54:P74" si="20">ROUND(E54*RS_PSM,2)</f>
        <v>-0.91</v>
      </c>
      <c r="Q54" s="162">
        <f>F54+K54+L54+P54</f>
        <v>184.59</v>
      </c>
      <c r="R54" s="162">
        <f>G54+K54+L54+M54+N54+O54+P54</f>
        <v>224.41000000000003</v>
      </c>
      <c r="S54" s="156">
        <f>ROUND((R54-Q54)/Q54,3)*100</f>
        <v>21.6</v>
      </c>
    </row>
    <row r="55" spans="1:19" x14ac:dyDescent="0.2">
      <c r="A55" s="302">
        <v>2</v>
      </c>
      <c r="D55" s="302">
        <v>10</v>
      </c>
      <c r="E55" s="79">
        <v>4000</v>
      </c>
      <c r="F55" s="162">
        <f>'BILL CALC'!I22</f>
        <v>341.58</v>
      </c>
      <c r="G55" s="162">
        <f>'BILL CALC'!R22</f>
        <v>401.95000000000005</v>
      </c>
      <c r="H55" s="162">
        <f t="shared" si="13"/>
        <v>60.370000000000061</v>
      </c>
      <c r="I55" s="158">
        <f t="shared" si="14"/>
        <v>17.7</v>
      </c>
      <c r="J55" s="158"/>
      <c r="K55" s="162">
        <f t="shared" si="15"/>
        <v>4.1100000000000003</v>
      </c>
      <c r="L55" s="162">
        <f t="shared" si="16"/>
        <v>10.3</v>
      </c>
      <c r="M55" s="162">
        <f t="shared" si="17"/>
        <v>0</v>
      </c>
      <c r="N55" s="162">
        <f t="shared" si="18"/>
        <v>0</v>
      </c>
      <c r="O55" s="162">
        <f t="shared" si="19"/>
        <v>0</v>
      </c>
      <c r="P55" s="162">
        <f t="shared" si="20"/>
        <v>-1.82</v>
      </c>
      <c r="Q55" s="162">
        <f t="shared" ref="Q55:Q74" si="21">F55+K55+L55+P55</f>
        <v>354.17</v>
      </c>
      <c r="R55" s="162">
        <f t="shared" ref="R55:R74" si="22">G55+K55+L55+M55+N55+O55+P55</f>
        <v>414.54000000000008</v>
      </c>
      <c r="S55" s="156">
        <f>ROUND((R55-Q55)/Q55,3)*100</f>
        <v>17</v>
      </c>
    </row>
    <row r="56" spans="1:19" x14ac:dyDescent="0.2">
      <c r="A56" s="302">
        <v>3</v>
      </c>
      <c r="D56" s="302">
        <v>10</v>
      </c>
      <c r="E56" s="79">
        <v>6000</v>
      </c>
      <c r="F56" s="162">
        <f>'BILL CALC'!I23</f>
        <v>504.87</v>
      </c>
      <c r="G56" s="162">
        <f>'BILL CALC'!R23</f>
        <v>585.78</v>
      </c>
      <c r="H56" s="162">
        <f t="shared" si="13"/>
        <v>80.909999999999968</v>
      </c>
      <c r="I56" s="158">
        <f t="shared" si="14"/>
        <v>16</v>
      </c>
      <c r="J56" s="158"/>
      <c r="K56" s="162">
        <f t="shared" si="15"/>
        <v>6.17</v>
      </c>
      <c r="L56" s="162">
        <f t="shared" si="16"/>
        <v>15.46</v>
      </c>
      <c r="M56" s="162">
        <f t="shared" si="17"/>
        <v>0</v>
      </c>
      <c r="N56" s="162">
        <f t="shared" si="18"/>
        <v>0</v>
      </c>
      <c r="O56" s="162">
        <f t="shared" si="19"/>
        <v>0</v>
      </c>
      <c r="P56" s="162">
        <f t="shared" si="20"/>
        <v>-2.74</v>
      </c>
      <c r="Q56" s="162">
        <f t="shared" si="21"/>
        <v>523.76</v>
      </c>
      <c r="R56" s="162">
        <f t="shared" si="22"/>
        <v>604.66999999999996</v>
      </c>
      <c r="S56" s="158">
        <f t="shared" ref="S56:S74" si="23">ROUND((R56-Q56)/Q56,3)*100</f>
        <v>15.4</v>
      </c>
    </row>
    <row r="57" spans="1:19" x14ac:dyDescent="0.2">
      <c r="A57" s="302">
        <v>4</v>
      </c>
      <c r="D57" s="302">
        <v>30</v>
      </c>
      <c r="E57" s="79">
        <v>6000</v>
      </c>
      <c r="F57" s="162">
        <f>'BILL CALC'!I24</f>
        <v>621.12</v>
      </c>
      <c r="G57" s="162">
        <f>'BILL CALC'!R24</f>
        <v>716.73</v>
      </c>
      <c r="H57" s="162">
        <f t="shared" si="13"/>
        <v>95.610000000000014</v>
      </c>
      <c r="I57" s="158">
        <f t="shared" si="14"/>
        <v>15.4</v>
      </c>
      <c r="J57" s="158"/>
      <c r="K57" s="162">
        <f t="shared" si="15"/>
        <v>6.17</v>
      </c>
      <c r="L57" s="162">
        <f t="shared" si="16"/>
        <v>15.46</v>
      </c>
      <c r="M57" s="162">
        <f t="shared" si="17"/>
        <v>0</v>
      </c>
      <c r="N57" s="162">
        <f t="shared" si="18"/>
        <v>0</v>
      </c>
      <c r="O57" s="162">
        <f t="shared" si="19"/>
        <v>0</v>
      </c>
      <c r="P57" s="162">
        <f t="shared" si="20"/>
        <v>-2.74</v>
      </c>
      <c r="Q57" s="162">
        <f t="shared" si="21"/>
        <v>640.01</v>
      </c>
      <c r="R57" s="162">
        <f t="shared" si="22"/>
        <v>735.62</v>
      </c>
      <c r="S57" s="158">
        <f t="shared" si="23"/>
        <v>14.899999999999999</v>
      </c>
    </row>
    <row r="58" spans="1:19" x14ac:dyDescent="0.2">
      <c r="A58" s="302">
        <v>5</v>
      </c>
      <c r="D58" s="302">
        <v>30</v>
      </c>
      <c r="E58" s="79">
        <v>9000</v>
      </c>
      <c r="F58" s="162">
        <f>'BILL CALC'!I25</f>
        <v>771.48</v>
      </c>
      <c r="G58" s="162">
        <f>'BILL CALC'!R25</f>
        <v>886.01</v>
      </c>
      <c r="H58" s="162">
        <f t="shared" si="13"/>
        <v>114.52999999999997</v>
      </c>
      <c r="I58" s="158">
        <f t="shared" si="14"/>
        <v>14.799999999999999</v>
      </c>
      <c r="J58" s="158"/>
      <c r="K58" s="162">
        <f t="shared" si="15"/>
        <v>9.25</v>
      </c>
      <c r="L58" s="162">
        <f t="shared" si="16"/>
        <v>23.18</v>
      </c>
      <c r="M58" s="162">
        <f t="shared" si="17"/>
        <v>0</v>
      </c>
      <c r="N58" s="162">
        <f t="shared" si="18"/>
        <v>0</v>
      </c>
      <c r="O58" s="162">
        <f t="shared" si="19"/>
        <v>0</v>
      </c>
      <c r="P58" s="162">
        <f t="shared" si="20"/>
        <v>-4.0999999999999996</v>
      </c>
      <c r="Q58" s="162">
        <f t="shared" si="21"/>
        <v>799.81</v>
      </c>
      <c r="R58" s="162">
        <f t="shared" si="22"/>
        <v>914.33999999999992</v>
      </c>
      <c r="S58" s="158">
        <f t="shared" si="23"/>
        <v>14.299999999999999</v>
      </c>
    </row>
    <row r="59" spans="1:19" x14ac:dyDescent="0.2">
      <c r="A59" s="302">
        <v>6</v>
      </c>
      <c r="D59" s="302">
        <v>30</v>
      </c>
      <c r="E59" s="79">
        <v>12000</v>
      </c>
      <c r="F59" s="162">
        <f>'BILL CALC'!I26</f>
        <v>921.82999999999993</v>
      </c>
      <c r="G59" s="162">
        <f>'BILL CALC'!R26</f>
        <v>1055.28</v>
      </c>
      <c r="H59" s="162">
        <f t="shared" si="13"/>
        <v>133.45000000000005</v>
      </c>
      <c r="I59" s="158">
        <f t="shared" si="14"/>
        <v>14.499999999999998</v>
      </c>
      <c r="J59" s="158"/>
      <c r="K59" s="162">
        <f t="shared" si="15"/>
        <v>12.34</v>
      </c>
      <c r="L59" s="162">
        <f t="shared" si="16"/>
        <v>30.91</v>
      </c>
      <c r="M59" s="162">
        <f t="shared" si="17"/>
        <v>0</v>
      </c>
      <c r="N59" s="162">
        <f t="shared" si="18"/>
        <v>0</v>
      </c>
      <c r="O59" s="162">
        <f t="shared" si="19"/>
        <v>0</v>
      </c>
      <c r="P59" s="162">
        <f t="shared" si="20"/>
        <v>-5.47</v>
      </c>
      <c r="Q59" s="162">
        <f t="shared" si="21"/>
        <v>959.6099999999999</v>
      </c>
      <c r="R59" s="162">
        <f t="shared" si="22"/>
        <v>1093.06</v>
      </c>
      <c r="S59" s="158">
        <f t="shared" si="23"/>
        <v>13.900000000000002</v>
      </c>
    </row>
    <row r="60" spans="1:19" x14ac:dyDescent="0.2">
      <c r="A60" s="302">
        <v>7</v>
      </c>
      <c r="D60" s="302">
        <v>50</v>
      </c>
      <c r="E60" s="79">
        <v>10000</v>
      </c>
      <c r="F60" s="162">
        <f>'BILL CALC'!I27</f>
        <v>976.6</v>
      </c>
      <c r="G60" s="162">
        <f>'BILL CALC'!R27</f>
        <v>1117.03</v>
      </c>
      <c r="H60" s="162">
        <f t="shared" si="13"/>
        <v>140.42999999999995</v>
      </c>
      <c r="I60" s="158">
        <f t="shared" si="14"/>
        <v>14.399999999999999</v>
      </c>
      <c r="J60" s="158"/>
      <c r="K60" s="162">
        <f t="shared" si="15"/>
        <v>10.28</v>
      </c>
      <c r="L60" s="162">
        <f t="shared" si="16"/>
        <v>25.76</v>
      </c>
      <c r="M60" s="162">
        <f t="shared" si="17"/>
        <v>0</v>
      </c>
      <c r="N60" s="162">
        <f t="shared" si="18"/>
        <v>0</v>
      </c>
      <c r="O60" s="162">
        <f t="shared" si="19"/>
        <v>0</v>
      </c>
      <c r="P60" s="162">
        <f t="shared" si="20"/>
        <v>-4.5599999999999996</v>
      </c>
      <c r="Q60" s="162">
        <f t="shared" si="21"/>
        <v>1008.08</v>
      </c>
      <c r="R60" s="162">
        <f t="shared" si="22"/>
        <v>1148.51</v>
      </c>
      <c r="S60" s="158">
        <f t="shared" si="23"/>
        <v>13.900000000000002</v>
      </c>
    </row>
    <row r="61" spans="1:19" x14ac:dyDescent="0.2">
      <c r="A61" s="302">
        <v>8</v>
      </c>
      <c r="D61" s="302">
        <v>50</v>
      </c>
      <c r="E61" s="79">
        <v>15000</v>
      </c>
      <c r="F61" s="162">
        <f>'BILL CALC'!I28</f>
        <v>1227.19</v>
      </c>
      <c r="G61" s="162">
        <f>'BILL CALC'!R28</f>
        <v>1399.16</v>
      </c>
      <c r="H61" s="162">
        <f t="shared" si="13"/>
        <v>171.97000000000003</v>
      </c>
      <c r="I61" s="158">
        <f t="shared" si="14"/>
        <v>14.000000000000002</v>
      </c>
      <c r="J61" s="158"/>
      <c r="K61" s="162">
        <f t="shared" si="15"/>
        <v>15.42</v>
      </c>
      <c r="L61" s="162">
        <f t="shared" si="16"/>
        <v>38.64</v>
      </c>
      <c r="M61" s="162">
        <f t="shared" si="17"/>
        <v>0</v>
      </c>
      <c r="N61" s="162">
        <f t="shared" si="18"/>
        <v>0</v>
      </c>
      <c r="O61" s="162">
        <f t="shared" si="19"/>
        <v>0</v>
      </c>
      <c r="P61" s="162">
        <f t="shared" si="20"/>
        <v>-6.84</v>
      </c>
      <c r="Q61" s="162">
        <f t="shared" si="21"/>
        <v>1274.4100000000003</v>
      </c>
      <c r="R61" s="162">
        <f t="shared" si="22"/>
        <v>1446.3800000000003</v>
      </c>
      <c r="S61" s="158">
        <f t="shared" si="23"/>
        <v>13.5</v>
      </c>
    </row>
    <row r="62" spans="1:19" x14ac:dyDescent="0.2">
      <c r="A62" s="302">
        <v>9</v>
      </c>
      <c r="D62" s="302">
        <v>50</v>
      </c>
      <c r="E62" s="79">
        <v>20000</v>
      </c>
      <c r="F62" s="162">
        <f>'BILL CALC'!I29</f>
        <v>1477.79</v>
      </c>
      <c r="G62" s="162">
        <f>'BILL CALC'!R29</f>
        <v>1681.2800000000002</v>
      </c>
      <c r="H62" s="162">
        <f t="shared" si="13"/>
        <v>203.49000000000024</v>
      </c>
      <c r="I62" s="158">
        <f t="shared" si="14"/>
        <v>13.8</v>
      </c>
      <c r="J62" s="158"/>
      <c r="K62" s="162">
        <f t="shared" si="15"/>
        <v>20.56</v>
      </c>
      <c r="L62" s="162">
        <f t="shared" si="16"/>
        <v>51.52</v>
      </c>
      <c r="M62" s="162">
        <f t="shared" si="17"/>
        <v>0</v>
      </c>
      <c r="N62" s="162">
        <f t="shared" si="18"/>
        <v>0</v>
      </c>
      <c r="O62" s="162">
        <f t="shared" si="19"/>
        <v>0</v>
      </c>
      <c r="P62" s="162">
        <f t="shared" si="20"/>
        <v>-9.1199999999999992</v>
      </c>
      <c r="Q62" s="162">
        <f t="shared" si="21"/>
        <v>1540.75</v>
      </c>
      <c r="R62" s="162">
        <f t="shared" si="22"/>
        <v>1744.2400000000002</v>
      </c>
      <c r="S62" s="158">
        <f t="shared" si="23"/>
        <v>13.200000000000001</v>
      </c>
    </row>
    <row r="63" spans="1:19" x14ac:dyDescent="0.2">
      <c r="A63" s="302">
        <v>10</v>
      </c>
      <c r="D63" s="302">
        <v>75</v>
      </c>
      <c r="E63" s="79">
        <v>15000</v>
      </c>
      <c r="F63" s="162">
        <f>'BILL CALC'!I30</f>
        <v>1420.94</v>
      </c>
      <c r="G63" s="162">
        <f>'BILL CALC'!R30</f>
        <v>1617.4099999999999</v>
      </c>
      <c r="H63" s="162">
        <f t="shared" si="13"/>
        <v>196.4699999999998</v>
      </c>
      <c r="I63" s="158">
        <f t="shared" si="14"/>
        <v>13.8</v>
      </c>
      <c r="J63" s="158"/>
      <c r="K63" s="162">
        <f t="shared" si="15"/>
        <v>15.42</v>
      </c>
      <c r="L63" s="162">
        <f t="shared" si="16"/>
        <v>38.64</v>
      </c>
      <c r="M63" s="162">
        <f t="shared" si="17"/>
        <v>0</v>
      </c>
      <c r="N63" s="162">
        <f t="shared" si="18"/>
        <v>0</v>
      </c>
      <c r="O63" s="162">
        <f t="shared" si="19"/>
        <v>0</v>
      </c>
      <c r="P63" s="162">
        <f t="shared" si="20"/>
        <v>-6.84</v>
      </c>
      <c r="Q63" s="162">
        <f t="shared" si="21"/>
        <v>1468.1600000000003</v>
      </c>
      <c r="R63" s="162">
        <f t="shared" si="22"/>
        <v>1664.63</v>
      </c>
      <c r="S63" s="158">
        <f t="shared" si="23"/>
        <v>13.4</v>
      </c>
    </row>
    <row r="64" spans="1:19" x14ac:dyDescent="0.2">
      <c r="A64" s="302">
        <v>11</v>
      </c>
      <c r="D64" s="302">
        <v>75</v>
      </c>
      <c r="E64" s="79">
        <v>20000</v>
      </c>
      <c r="F64" s="162">
        <f>'BILL CALC'!I31</f>
        <v>1671.54</v>
      </c>
      <c r="G64" s="162">
        <f>'BILL CALC'!R31</f>
        <v>1899.53</v>
      </c>
      <c r="H64" s="162">
        <f t="shared" si="13"/>
        <v>227.99</v>
      </c>
      <c r="I64" s="158">
        <f t="shared" si="14"/>
        <v>13.600000000000001</v>
      </c>
      <c r="J64" s="158"/>
      <c r="K64" s="162">
        <f t="shared" si="15"/>
        <v>20.56</v>
      </c>
      <c r="L64" s="162">
        <f t="shared" si="16"/>
        <v>51.52</v>
      </c>
      <c r="M64" s="162">
        <f t="shared" si="17"/>
        <v>0</v>
      </c>
      <c r="N64" s="162">
        <f t="shared" si="18"/>
        <v>0</v>
      </c>
      <c r="O64" s="162">
        <f t="shared" si="19"/>
        <v>0</v>
      </c>
      <c r="P64" s="162">
        <f t="shared" si="20"/>
        <v>-9.1199999999999992</v>
      </c>
      <c r="Q64" s="162">
        <f t="shared" si="21"/>
        <v>1734.5</v>
      </c>
      <c r="R64" s="162">
        <f t="shared" si="22"/>
        <v>1962.49</v>
      </c>
      <c r="S64" s="158">
        <f t="shared" si="23"/>
        <v>13.100000000000001</v>
      </c>
    </row>
    <row r="65" spans="1:19" x14ac:dyDescent="0.2">
      <c r="A65" s="302">
        <v>12</v>
      </c>
      <c r="D65" s="302">
        <v>75</v>
      </c>
      <c r="E65" s="79">
        <v>30000</v>
      </c>
      <c r="F65" s="162">
        <f>'BILL CALC'!I32</f>
        <v>2159.11</v>
      </c>
      <c r="G65" s="162">
        <f>'BILL CALC'!R32</f>
        <v>2448.4499999999998</v>
      </c>
      <c r="H65" s="162">
        <f t="shared" si="13"/>
        <v>289.33999999999969</v>
      </c>
      <c r="I65" s="158">
        <f t="shared" si="14"/>
        <v>13.4</v>
      </c>
      <c r="J65" s="158"/>
      <c r="K65" s="162">
        <f t="shared" si="15"/>
        <v>30.84</v>
      </c>
      <c r="L65" s="162">
        <f t="shared" si="16"/>
        <v>77.28</v>
      </c>
      <c r="M65" s="162">
        <f t="shared" si="17"/>
        <v>0</v>
      </c>
      <c r="N65" s="162">
        <f t="shared" si="18"/>
        <v>0</v>
      </c>
      <c r="O65" s="162">
        <f t="shared" si="19"/>
        <v>0</v>
      </c>
      <c r="P65" s="162">
        <f t="shared" si="20"/>
        <v>-13.68</v>
      </c>
      <c r="Q65" s="162">
        <f t="shared" si="21"/>
        <v>2253.5500000000006</v>
      </c>
      <c r="R65" s="162">
        <f t="shared" si="22"/>
        <v>2542.8900000000003</v>
      </c>
      <c r="S65" s="158">
        <f t="shared" si="23"/>
        <v>12.8</v>
      </c>
    </row>
    <row r="66" spans="1:19" x14ac:dyDescent="0.2">
      <c r="A66" s="302">
        <v>13</v>
      </c>
      <c r="D66" s="302">
        <v>100</v>
      </c>
      <c r="E66" s="79">
        <v>20000</v>
      </c>
      <c r="F66" s="162">
        <f>'BILL CALC'!I33</f>
        <v>1865.29</v>
      </c>
      <c r="G66" s="162">
        <f>'BILL CALC'!R33</f>
        <v>2117.7799999999997</v>
      </c>
      <c r="H66" s="162">
        <f t="shared" si="13"/>
        <v>252.48999999999978</v>
      </c>
      <c r="I66" s="158">
        <f t="shared" si="14"/>
        <v>13.5</v>
      </c>
      <c r="J66" s="158"/>
      <c r="K66" s="162">
        <f t="shared" si="15"/>
        <v>20.56</v>
      </c>
      <c r="L66" s="162">
        <f t="shared" si="16"/>
        <v>51.52</v>
      </c>
      <c r="M66" s="162">
        <f t="shared" si="17"/>
        <v>0</v>
      </c>
      <c r="N66" s="162">
        <f t="shared" si="18"/>
        <v>0</v>
      </c>
      <c r="O66" s="162">
        <f t="shared" si="19"/>
        <v>0</v>
      </c>
      <c r="P66" s="162">
        <f t="shared" si="20"/>
        <v>-9.1199999999999992</v>
      </c>
      <c r="Q66" s="162">
        <f t="shared" si="21"/>
        <v>1928.25</v>
      </c>
      <c r="R66" s="162">
        <f t="shared" si="22"/>
        <v>2180.7399999999998</v>
      </c>
      <c r="S66" s="158">
        <f t="shared" si="23"/>
        <v>13.100000000000001</v>
      </c>
    </row>
    <row r="67" spans="1:19" x14ac:dyDescent="0.2">
      <c r="A67" s="302">
        <v>14</v>
      </c>
      <c r="D67" s="302">
        <v>100</v>
      </c>
      <c r="E67" s="79">
        <v>30000</v>
      </c>
      <c r="F67" s="162">
        <f>'BILL CALC'!I34</f>
        <v>2366.4799999999996</v>
      </c>
      <c r="G67" s="162">
        <f>'BILL CALC'!R34</f>
        <v>2682.0299999999997</v>
      </c>
      <c r="H67" s="162">
        <f t="shared" si="13"/>
        <v>315.55000000000018</v>
      </c>
      <c r="I67" s="158">
        <f t="shared" si="14"/>
        <v>13.3</v>
      </c>
      <c r="J67" s="158"/>
      <c r="K67" s="162">
        <f t="shared" si="15"/>
        <v>30.84</v>
      </c>
      <c r="L67" s="162">
        <f t="shared" si="16"/>
        <v>77.28</v>
      </c>
      <c r="M67" s="162">
        <f t="shared" si="17"/>
        <v>0</v>
      </c>
      <c r="N67" s="162">
        <f t="shared" si="18"/>
        <v>0</v>
      </c>
      <c r="O67" s="162">
        <f t="shared" si="19"/>
        <v>0</v>
      </c>
      <c r="P67" s="162">
        <f t="shared" si="20"/>
        <v>-13.68</v>
      </c>
      <c r="Q67" s="162">
        <f t="shared" si="21"/>
        <v>2460.92</v>
      </c>
      <c r="R67" s="162">
        <f t="shared" si="22"/>
        <v>2776.4700000000003</v>
      </c>
      <c r="S67" s="158">
        <f t="shared" si="23"/>
        <v>12.8</v>
      </c>
    </row>
    <row r="68" spans="1:19" x14ac:dyDescent="0.2">
      <c r="A68" s="302">
        <v>15</v>
      </c>
      <c r="D68" s="302">
        <v>100</v>
      </c>
      <c r="E68" s="79">
        <v>40000</v>
      </c>
      <c r="F68" s="162">
        <f>'BILL CALC'!I35</f>
        <v>2831.3599999999997</v>
      </c>
      <c r="G68" s="162">
        <f>'BILL CALC'!R35</f>
        <v>3205.4</v>
      </c>
      <c r="H68" s="162">
        <f t="shared" si="13"/>
        <v>374.04000000000042</v>
      </c>
      <c r="I68" s="158">
        <f t="shared" si="14"/>
        <v>13.200000000000001</v>
      </c>
      <c r="J68" s="158"/>
      <c r="K68" s="162">
        <f t="shared" si="15"/>
        <v>41.12</v>
      </c>
      <c r="L68" s="162">
        <f t="shared" si="16"/>
        <v>103.04</v>
      </c>
      <c r="M68" s="162">
        <f t="shared" si="17"/>
        <v>0</v>
      </c>
      <c r="N68" s="162">
        <f t="shared" si="18"/>
        <v>0</v>
      </c>
      <c r="O68" s="162">
        <f t="shared" si="19"/>
        <v>0</v>
      </c>
      <c r="P68" s="162">
        <f t="shared" si="20"/>
        <v>-18.239999999999998</v>
      </c>
      <c r="Q68" s="162">
        <f t="shared" si="21"/>
        <v>2957.2799999999997</v>
      </c>
      <c r="R68" s="162">
        <f t="shared" si="22"/>
        <v>3331.32</v>
      </c>
      <c r="S68" s="158">
        <f t="shared" si="23"/>
        <v>12.6</v>
      </c>
    </row>
    <row r="69" spans="1:19" x14ac:dyDescent="0.2">
      <c r="A69" s="302">
        <v>16</v>
      </c>
      <c r="D69" s="302">
        <v>300</v>
      </c>
      <c r="E69" s="79">
        <v>60000</v>
      </c>
      <c r="F69" s="162">
        <f>'BILL CALC'!I36</f>
        <v>5420.0499999999993</v>
      </c>
      <c r="G69" s="162">
        <f>'BILL CALC'!R36</f>
        <v>6120.7800000000007</v>
      </c>
      <c r="H69" s="162">
        <f t="shared" si="13"/>
        <v>700.73000000000138</v>
      </c>
      <c r="I69" s="158">
        <f t="shared" si="14"/>
        <v>12.9</v>
      </c>
      <c r="J69" s="158"/>
      <c r="K69" s="162">
        <f t="shared" si="15"/>
        <v>61.68</v>
      </c>
      <c r="L69" s="162">
        <f t="shared" si="16"/>
        <v>154.56</v>
      </c>
      <c r="M69" s="162">
        <f t="shared" si="17"/>
        <v>0</v>
      </c>
      <c r="N69" s="162">
        <f t="shared" si="18"/>
        <v>0</v>
      </c>
      <c r="O69" s="162">
        <f t="shared" si="19"/>
        <v>0</v>
      </c>
      <c r="P69" s="162">
        <f t="shared" si="20"/>
        <v>-27.36</v>
      </c>
      <c r="Q69" s="162">
        <f t="shared" si="21"/>
        <v>5608.93</v>
      </c>
      <c r="R69" s="162">
        <f t="shared" si="22"/>
        <v>6309.6600000000017</v>
      </c>
      <c r="S69" s="158">
        <f t="shared" si="23"/>
        <v>12.5</v>
      </c>
    </row>
    <row r="70" spans="1:19" x14ac:dyDescent="0.2">
      <c r="A70" s="302">
        <v>17</v>
      </c>
      <c r="D70" s="302">
        <v>300</v>
      </c>
      <c r="E70" s="79">
        <v>90000</v>
      </c>
      <c r="F70" s="162">
        <f>'BILL CALC'!I37</f>
        <v>6923.62</v>
      </c>
      <c r="G70" s="162">
        <f>'BILL CALC'!R37</f>
        <v>7813.5300000000007</v>
      </c>
      <c r="H70" s="162">
        <f t="shared" si="13"/>
        <v>889.91000000000076</v>
      </c>
      <c r="I70" s="158">
        <f t="shared" si="14"/>
        <v>12.9</v>
      </c>
      <c r="J70" s="158"/>
      <c r="K70" s="162">
        <f t="shared" si="15"/>
        <v>92.52</v>
      </c>
      <c r="L70" s="162">
        <f t="shared" si="16"/>
        <v>231.84</v>
      </c>
      <c r="M70" s="162">
        <f t="shared" si="17"/>
        <v>0</v>
      </c>
      <c r="N70" s="162">
        <f t="shared" si="18"/>
        <v>0</v>
      </c>
      <c r="O70" s="162">
        <f t="shared" si="19"/>
        <v>0</v>
      </c>
      <c r="P70" s="162">
        <f t="shared" si="20"/>
        <v>-41.04</v>
      </c>
      <c r="Q70" s="162">
        <f t="shared" si="21"/>
        <v>7206.9400000000005</v>
      </c>
      <c r="R70" s="162">
        <f t="shared" si="22"/>
        <v>8096.8500000000013</v>
      </c>
      <c r="S70" s="158">
        <f t="shared" si="23"/>
        <v>12.3</v>
      </c>
    </row>
    <row r="71" spans="1:19" x14ac:dyDescent="0.2">
      <c r="A71" s="302">
        <v>18</v>
      </c>
      <c r="D71" s="302">
        <v>300</v>
      </c>
      <c r="E71" s="79">
        <v>120000</v>
      </c>
      <c r="F71" s="162">
        <f>'BILL CALC'!I38</f>
        <v>8209.36</v>
      </c>
      <c r="G71" s="162">
        <f>'BILL CALC'!R38</f>
        <v>9260.98</v>
      </c>
      <c r="H71" s="162">
        <f t="shared" si="13"/>
        <v>1051.619999999999</v>
      </c>
      <c r="I71" s="158">
        <f t="shared" si="14"/>
        <v>12.8</v>
      </c>
      <c r="J71" s="158"/>
      <c r="K71" s="162">
        <f t="shared" si="15"/>
        <v>123.36</v>
      </c>
      <c r="L71" s="162">
        <f t="shared" si="16"/>
        <v>309.12</v>
      </c>
      <c r="M71" s="162">
        <f t="shared" si="17"/>
        <v>0</v>
      </c>
      <c r="N71" s="162">
        <f t="shared" si="18"/>
        <v>0</v>
      </c>
      <c r="O71" s="162">
        <f t="shared" si="19"/>
        <v>0</v>
      </c>
      <c r="P71" s="162">
        <f t="shared" si="20"/>
        <v>-54.72</v>
      </c>
      <c r="Q71" s="162">
        <f t="shared" si="21"/>
        <v>8587.1200000000026</v>
      </c>
      <c r="R71" s="162">
        <f t="shared" si="22"/>
        <v>9638.7400000000016</v>
      </c>
      <c r="S71" s="158">
        <f t="shared" si="23"/>
        <v>12.2</v>
      </c>
    </row>
    <row r="72" spans="1:19" x14ac:dyDescent="0.2">
      <c r="A72" s="302">
        <v>19</v>
      </c>
      <c r="D72" s="302">
        <v>500</v>
      </c>
      <c r="E72" s="79">
        <v>100000</v>
      </c>
      <c r="F72" s="162">
        <f>'BILL CALC'!I39</f>
        <v>8974.81</v>
      </c>
      <c r="G72" s="162">
        <f>'BILL CALC'!R39</f>
        <v>10123.779999999999</v>
      </c>
      <c r="H72" s="162">
        <f t="shared" si="13"/>
        <v>1148.9699999999993</v>
      </c>
      <c r="I72" s="158">
        <f t="shared" si="14"/>
        <v>12.8</v>
      </c>
      <c r="J72" s="158"/>
      <c r="K72" s="162">
        <f t="shared" si="15"/>
        <v>102.8</v>
      </c>
      <c r="L72" s="162">
        <f t="shared" si="16"/>
        <v>257.60000000000002</v>
      </c>
      <c r="M72" s="162">
        <f t="shared" si="17"/>
        <v>0</v>
      </c>
      <c r="N72" s="162">
        <f t="shared" si="18"/>
        <v>0</v>
      </c>
      <c r="O72" s="162">
        <f t="shared" si="19"/>
        <v>0</v>
      </c>
      <c r="P72" s="162">
        <f t="shared" si="20"/>
        <v>-45.6</v>
      </c>
      <c r="Q72" s="162">
        <f t="shared" si="21"/>
        <v>9289.6099999999988</v>
      </c>
      <c r="R72" s="162">
        <f t="shared" si="22"/>
        <v>10438.579999999998</v>
      </c>
      <c r="S72" s="158">
        <f t="shared" si="23"/>
        <v>12.4</v>
      </c>
    </row>
    <row r="73" spans="1:19" x14ac:dyDescent="0.2">
      <c r="A73" s="302">
        <v>20</v>
      </c>
      <c r="D73" s="302">
        <v>500</v>
      </c>
      <c r="E73" s="79">
        <v>200000</v>
      </c>
      <c r="F73" s="162">
        <f>'BILL CALC'!I40</f>
        <v>13587.36</v>
      </c>
      <c r="G73" s="162">
        <f>'BILL CALC'!R40</f>
        <v>15316.56</v>
      </c>
      <c r="H73" s="162">
        <f t="shared" si="13"/>
        <v>1729.1999999999989</v>
      </c>
      <c r="I73" s="158">
        <f t="shared" si="14"/>
        <v>12.7</v>
      </c>
      <c r="J73" s="158"/>
      <c r="K73" s="162">
        <f t="shared" si="15"/>
        <v>205.6</v>
      </c>
      <c r="L73" s="162">
        <f t="shared" si="16"/>
        <v>515.20000000000005</v>
      </c>
      <c r="M73" s="162">
        <f t="shared" si="17"/>
        <v>0</v>
      </c>
      <c r="N73" s="162">
        <f t="shared" si="18"/>
        <v>0</v>
      </c>
      <c r="O73" s="162">
        <f t="shared" si="19"/>
        <v>0</v>
      </c>
      <c r="P73" s="162">
        <f t="shared" si="20"/>
        <v>-91.2</v>
      </c>
      <c r="Q73" s="162">
        <f t="shared" si="21"/>
        <v>14216.960000000001</v>
      </c>
      <c r="R73" s="162">
        <f t="shared" si="22"/>
        <v>15946.16</v>
      </c>
      <c r="S73" s="158">
        <f t="shared" si="23"/>
        <v>12.2</v>
      </c>
    </row>
    <row r="74" spans="1:19" x14ac:dyDescent="0.2">
      <c r="A74" s="302">
        <v>21</v>
      </c>
      <c r="D74" s="302">
        <v>500</v>
      </c>
      <c r="E74" s="79">
        <v>300000</v>
      </c>
      <c r="F74" s="162">
        <f>'BILL CALC'!I41</f>
        <v>17691.66</v>
      </c>
      <c r="G74" s="162">
        <f>'BILL CALC'!R41</f>
        <v>19936.96</v>
      </c>
      <c r="H74" s="162">
        <f t="shared" si="13"/>
        <v>2245.2999999999993</v>
      </c>
      <c r="I74" s="158">
        <f t="shared" si="14"/>
        <v>12.7</v>
      </c>
      <c r="J74" s="158"/>
      <c r="K74" s="162">
        <f t="shared" si="15"/>
        <v>308.39999999999998</v>
      </c>
      <c r="L74" s="162">
        <f t="shared" si="16"/>
        <v>772.8</v>
      </c>
      <c r="M74" s="162">
        <f t="shared" si="17"/>
        <v>0</v>
      </c>
      <c r="N74" s="162">
        <f t="shared" si="18"/>
        <v>0</v>
      </c>
      <c r="O74" s="162">
        <f t="shared" si="19"/>
        <v>0</v>
      </c>
      <c r="P74" s="162">
        <f t="shared" si="20"/>
        <v>-136.80000000000001</v>
      </c>
      <c r="Q74" s="162">
        <f t="shared" si="21"/>
        <v>18636.060000000001</v>
      </c>
      <c r="R74" s="162">
        <f t="shared" si="22"/>
        <v>20881.36</v>
      </c>
      <c r="S74" s="158">
        <f t="shared" si="23"/>
        <v>12</v>
      </c>
    </row>
    <row r="75" spans="1:19" x14ac:dyDescent="0.2">
      <c r="E75" s="79"/>
      <c r="F75" s="162"/>
      <c r="G75" s="162"/>
      <c r="H75" s="162"/>
      <c r="I75" s="158"/>
      <c r="J75" s="158"/>
      <c r="K75" s="162"/>
      <c r="L75" s="162"/>
      <c r="M75" s="162"/>
      <c r="N75" s="162"/>
      <c r="O75" s="162"/>
      <c r="P75" s="162"/>
      <c r="Q75" s="162"/>
      <c r="R75" s="162"/>
      <c r="S75" s="158"/>
    </row>
    <row r="76" spans="1:19" ht="15.75" x14ac:dyDescent="0.25">
      <c r="A76" s="302">
        <v>22</v>
      </c>
      <c r="C76" s="82" t="s">
        <v>116</v>
      </c>
      <c r="D76" s="83" t="s">
        <v>141</v>
      </c>
      <c r="E76" s="79"/>
      <c r="F76" s="162"/>
      <c r="G76" s="162"/>
      <c r="H76" s="162"/>
      <c r="I76" s="158"/>
      <c r="J76" s="158"/>
      <c r="K76" s="162"/>
      <c r="L76" s="162"/>
      <c r="M76" s="162"/>
      <c r="N76" s="162"/>
      <c r="O76" s="162"/>
      <c r="P76" s="162"/>
      <c r="Q76" s="162"/>
      <c r="R76" s="162"/>
      <c r="S76" s="158"/>
    </row>
    <row r="77" spans="1:19" x14ac:dyDescent="0.2">
      <c r="A77" s="302">
        <v>23</v>
      </c>
      <c r="D77" s="368" t="s">
        <v>140</v>
      </c>
      <c r="E77" s="79">
        <v>9400</v>
      </c>
      <c r="F77" s="162">
        <f>ROUND(($E77*CUR_EH_KWH_1)+CUR_EH_CST_2,2)</f>
        <v>593.33000000000004</v>
      </c>
      <c r="G77" s="162">
        <f>ROUND($E77*PRO_EH_KWH_1+PRO_EH_CST_2,2)</f>
        <v>691.78</v>
      </c>
      <c r="H77" s="162">
        <f>G77-F77</f>
        <v>98.449999999999932</v>
      </c>
      <c r="I77" s="158">
        <f>ROUND(H77/F77,3)*100</f>
        <v>16.600000000000001</v>
      </c>
      <c r="J77" s="158"/>
      <c r="K77" s="162">
        <f>ROUND(E77*CUR_FAC,2)</f>
        <v>9.66</v>
      </c>
      <c r="L77" s="162">
        <f>ROUND(E77*DSM_DIST,2)</f>
        <v>24.21</v>
      </c>
      <c r="M77" s="162">
        <f>ROUND($G77*PRO_ESM,2)</f>
        <v>0</v>
      </c>
      <c r="N77" s="162">
        <f>ROUND(PRO_DCI_DIST,2)</f>
        <v>0</v>
      </c>
      <c r="O77" s="162">
        <f>ROUND($E77*PRO_FTR_DIST,2)</f>
        <v>0</v>
      </c>
      <c r="P77" s="162">
        <f>ROUND(E77*RS_PSM,2)</f>
        <v>-4.29</v>
      </c>
      <c r="Q77" s="162">
        <f t="shared" ref="Q77:Q79" si="24">F77+K77+L77+P77</f>
        <v>622.91000000000008</v>
      </c>
      <c r="R77" s="162">
        <f t="shared" ref="R77:R79" si="25">G77+K77+L77+M77+N77+O77+P77</f>
        <v>721.36</v>
      </c>
      <c r="S77" s="158">
        <f>ROUND((R77-Q77)/Q77,3)*100</f>
        <v>15.8</v>
      </c>
    </row>
    <row r="78" spans="1:19" x14ac:dyDescent="0.2">
      <c r="A78" s="302">
        <v>24</v>
      </c>
      <c r="D78" s="368" t="s">
        <v>140</v>
      </c>
      <c r="E78" s="79">
        <v>23600</v>
      </c>
      <c r="F78" s="162">
        <f>ROUND($E78*CUR_EH_KWH_1+CUR_EH_CST_2,2)</f>
        <v>1466.97</v>
      </c>
      <c r="G78" s="162">
        <f>ROUND($E78*PRO_EH_KWH_1+PRO_EH_CST_2,2)</f>
        <v>1685.03</v>
      </c>
      <c r="H78" s="162">
        <f>G78-F78</f>
        <v>218.05999999999995</v>
      </c>
      <c r="I78" s="158">
        <f>ROUND(H78/F78,3)*100</f>
        <v>14.899999999999999</v>
      </c>
      <c r="J78" s="158"/>
      <c r="K78" s="162">
        <f>ROUND(E78*CUR_FAC,2)</f>
        <v>24.26</v>
      </c>
      <c r="L78" s="162">
        <f>ROUND(E78*DSM_DIST,2)</f>
        <v>60.79</v>
      </c>
      <c r="M78" s="162">
        <f>ROUND($G78*PRO_ESM,2)</f>
        <v>0</v>
      </c>
      <c r="N78" s="162">
        <f>ROUND(PRO_DCI_DIST,2)</f>
        <v>0</v>
      </c>
      <c r="O78" s="162">
        <f>ROUND($E78*PRO_FTR_DIST,2)</f>
        <v>0</v>
      </c>
      <c r="P78" s="162">
        <f>ROUND(E78*RS_PSM,2)</f>
        <v>-10.76</v>
      </c>
      <c r="Q78" s="162">
        <f t="shared" si="24"/>
        <v>1541.26</v>
      </c>
      <c r="R78" s="162">
        <f t="shared" si="25"/>
        <v>1759.32</v>
      </c>
      <c r="S78" s="158">
        <f>ROUND((R78-Q78)/Q78,3)*100</f>
        <v>14.099999999999998</v>
      </c>
    </row>
    <row r="79" spans="1:19" x14ac:dyDescent="0.2">
      <c r="A79" s="302">
        <v>25</v>
      </c>
      <c r="D79" s="368" t="s">
        <v>140</v>
      </c>
      <c r="E79" s="79">
        <v>37800</v>
      </c>
      <c r="F79" s="162">
        <f>ROUND($E79*CUR_EH_KWH_1+CUR_EH_CST_2,2)</f>
        <v>2340.61</v>
      </c>
      <c r="G79" s="162">
        <f>ROUND($E79*PRO_EH_KWH_1+PRO_EH_CST_2,2)</f>
        <v>2678.28</v>
      </c>
      <c r="H79" s="162">
        <f>G79-F79</f>
        <v>337.67000000000007</v>
      </c>
      <c r="I79" s="158">
        <f>ROUND(H79/F79,3)*100</f>
        <v>14.399999999999999</v>
      </c>
      <c r="J79" s="158"/>
      <c r="K79" s="162">
        <f>ROUND(E79*CUR_FAC,2)</f>
        <v>38.86</v>
      </c>
      <c r="L79" s="162">
        <f>ROUND(E79*DSM_DIST,2)</f>
        <v>97.37</v>
      </c>
      <c r="M79" s="162">
        <f>ROUND($G79*PRO_ESM,2)</f>
        <v>0</v>
      </c>
      <c r="N79" s="162">
        <f>ROUND(PRO_DCI_DIST,2)</f>
        <v>0</v>
      </c>
      <c r="O79" s="162">
        <f>ROUND($E79*PRO_FTR_DIST,2)</f>
        <v>0</v>
      </c>
      <c r="P79" s="162">
        <f>ROUND(E79*RS_PSM,2)</f>
        <v>-17.239999999999998</v>
      </c>
      <c r="Q79" s="162">
        <f t="shared" si="24"/>
        <v>2459.6000000000004</v>
      </c>
      <c r="R79" s="162">
        <f t="shared" si="25"/>
        <v>2797.2700000000004</v>
      </c>
      <c r="S79" s="158">
        <f>ROUND((R79-Q79)/Q79,3)*100</f>
        <v>13.700000000000001</v>
      </c>
    </row>
    <row r="80" spans="1:19" x14ac:dyDescent="0.2">
      <c r="F80" s="162"/>
      <c r="G80" s="162"/>
      <c r="H80" s="162"/>
      <c r="I80" s="158"/>
      <c r="J80" s="158"/>
      <c r="K80" s="162"/>
      <c r="L80" s="162"/>
      <c r="M80" s="162"/>
      <c r="N80" s="162"/>
      <c r="O80" s="162"/>
      <c r="P80" s="162"/>
      <c r="Q80" s="162"/>
      <c r="R80" s="162"/>
      <c r="S80" s="158"/>
    </row>
    <row r="81" spans="1:19" ht="15.75" x14ac:dyDescent="0.25">
      <c r="C81" s="82" t="s">
        <v>549</v>
      </c>
    </row>
    <row r="82" spans="1:19" ht="15.75" x14ac:dyDescent="0.25">
      <c r="C82" s="82" t="str">
        <f>"(1) REFLECTS FUEL ADJUSTMENT COMPONENT (FAC) OF "&amp;TEXT(CUR_FAC,"$0.000000;($0.000000)")&amp;" PER KWH."</f>
        <v>(1) REFLECTS FUEL ADJUSTMENT COMPONENT (FAC) OF $0.001028 PER KWH.</v>
      </c>
      <c r="H82" s="162"/>
      <c r="I82" s="158"/>
      <c r="J82" s="158"/>
      <c r="K82" s="162"/>
      <c r="L82" s="162"/>
      <c r="M82" s="162"/>
      <c r="N82" s="162"/>
      <c r="O82" s="162"/>
      <c r="P82" s="162"/>
      <c r="Q82" s="162"/>
      <c r="R82" s="162"/>
      <c r="S82" s="158"/>
    </row>
    <row r="83" spans="1:19" ht="15.75" x14ac:dyDescent="0.25">
      <c r="A83" s="484"/>
      <c r="C83" s="82" t="str">
        <f>"(2) RIDER DSMR "&amp;TEXT(DSM_DIST,"$0.000000;($0.000000)")&amp;" PER KWH."</f>
        <v>(2) RIDER DSMR $0.002576 PER KWH.</v>
      </c>
      <c r="H83" s="162"/>
      <c r="K83" s="162"/>
      <c r="L83" s="162"/>
      <c r="M83" s="162"/>
      <c r="N83" s="162"/>
      <c r="O83" s="162"/>
      <c r="P83" s="162"/>
    </row>
    <row r="84" spans="1:19" ht="15.75" x14ac:dyDescent="0.25">
      <c r="A84" s="484"/>
      <c r="C84" s="82" t="str">
        <f>"(3) RIDER ESM "&amp;TEXT(PRO_ESM,"$0.000000;($0.000000)")&amp;"  PER KWH FOR PROPOSED BILL ONLY."</f>
        <v>(3) RIDER ESM $0.000000  PER KWH FOR PROPOSED BILL ONLY.</v>
      </c>
      <c r="H84" s="162"/>
      <c r="K84" s="162"/>
      <c r="L84" s="162"/>
      <c r="M84" s="162"/>
      <c r="N84" s="162"/>
      <c r="O84" s="162"/>
      <c r="P84" s="162"/>
    </row>
    <row r="85" spans="1:19" ht="15.75" x14ac:dyDescent="0.25">
      <c r="A85" s="484"/>
      <c r="C85" s="82" t="str">
        <f>"(4) RIDER DCI  "&amp;TEXT(PRO_DCI_DIST,"$0.00;($0.00)")&amp;" PER BILL FOR PROPOSED BILL ONLY."</f>
        <v>(4) RIDER DCI  $0.00 PER BILL FOR PROPOSED BILL ONLY.</v>
      </c>
      <c r="H85" s="162"/>
      <c r="K85" s="162"/>
      <c r="L85" s="162"/>
      <c r="M85" s="162"/>
      <c r="N85" s="162"/>
      <c r="O85" s="162"/>
      <c r="P85" s="162"/>
    </row>
    <row r="86" spans="1:19" ht="15.75" x14ac:dyDescent="0.25">
      <c r="A86" s="484"/>
      <c r="C86" s="82" t="str">
        <f>"(5) RIDER FTR "&amp;TEXT(PRO_FTR_DIST,"$0.000000;($0.000000)")&amp;"  PER KW FOR PROPOSED BILL ONLY."</f>
        <v>(5) RIDER FTR $0.000000  PER KW FOR PROPOSED BILL ONLY.</v>
      </c>
      <c r="H86" s="162"/>
      <c r="K86" s="162"/>
      <c r="L86" s="162"/>
      <c r="M86" s="162"/>
      <c r="N86" s="162"/>
      <c r="O86" s="162"/>
      <c r="P86" s="162"/>
    </row>
    <row r="87" spans="1:19" ht="15.75" x14ac:dyDescent="0.25">
      <c r="A87" s="484"/>
      <c r="C87" s="82" t="str">
        <f>"(6) RIDER PSM  "&amp;TEXT(RS_PSM,"$0.000000;($0.000000)")&amp;" PER KWH."</f>
        <v>(6) RIDER PSM  ($0.000456) PER KWH.</v>
      </c>
      <c r="H87" s="162"/>
      <c r="K87" s="162"/>
      <c r="L87" s="162"/>
      <c r="M87" s="162"/>
      <c r="N87" s="162"/>
      <c r="O87" s="162"/>
      <c r="P87" s="162"/>
    </row>
    <row r="88" spans="1:19" ht="15.75" x14ac:dyDescent="0.25">
      <c r="A88" s="484"/>
      <c r="C88" s="82" t="str">
        <f>"(7) REFLECTS FUEL COST RECOVERY INCLUDED IN BASE RATES OF "&amp;TEXT(CUR_BASE_FUEL,"$0.000000;($0.000000)")&amp;"  PER KWH."</f>
        <v>(7) REFLECTS FUEL COST RECOVERY INCLUDED IN BASE RATES OF $0.023837  PER KWH.</v>
      </c>
      <c r="H88" s="162"/>
      <c r="K88" s="162"/>
      <c r="L88" s="162"/>
      <c r="M88" s="162"/>
      <c r="N88" s="162"/>
      <c r="O88" s="162"/>
      <c r="P88" s="162"/>
    </row>
    <row r="89" spans="1:19" ht="15.75" x14ac:dyDescent="0.25">
      <c r="A89" s="150" t="str">
        <f>NAME</f>
        <v>DUKE ENERGY KENTUCKY, INC.</v>
      </c>
      <c r="B89" s="150"/>
      <c r="C89" s="150"/>
      <c r="D89" s="150"/>
      <c r="E89" s="150"/>
      <c r="F89" s="150"/>
      <c r="G89" s="187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</row>
    <row r="90" spans="1:19" ht="15.75" x14ac:dyDescent="0.25">
      <c r="A90" s="150" t="str">
        <f>CASE_NO</f>
        <v>CASE NO.   2017-00321</v>
      </c>
      <c r="B90" s="150"/>
      <c r="C90" s="150"/>
      <c r="D90" s="150"/>
      <c r="E90" s="150"/>
      <c r="F90" s="150"/>
      <c r="G90" s="187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</row>
    <row r="91" spans="1:19" ht="15.75" x14ac:dyDescent="0.25">
      <c r="A91" s="187" t="s">
        <v>193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</row>
    <row r="92" spans="1:19" ht="15.75" x14ac:dyDescent="0.25">
      <c r="A92" s="187" t="str">
        <f>SERVICE</f>
        <v>(ELECTRIC SERVICE)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</row>
    <row r="93" spans="1:19" ht="15.75" x14ac:dyDescent="0.25">
      <c r="A93" s="82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</row>
    <row r="94" spans="1:19" ht="15.75" x14ac:dyDescent="0.25">
      <c r="A94" s="159" t="str">
        <f>DATA_PERIOD</f>
        <v>DATA: __X__ BASE PERIOD   ____FORECASTED PERIOD</v>
      </c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2" t="s">
        <v>194</v>
      </c>
      <c r="S94" s="80"/>
    </row>
    <row r="95" spans="1:19" ht="15.75" x14ac:dyDescent="0.25">
      <c r="A95" s="159" t="str">
        <f>TYPE</f>
        <v>TYPE OF FILING: _X_ ORIGINAL   ___UPDATED  ___ REVISED</v>
      </c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2" t="s">
        <v>148</v>
      </c>
      <c r="S95" s="80"/>
    </row>
    <row r="96" spans="1:19" ht="15.75" x14ac:dyDescent="0.25">
      <c r="A96" s="82" t="s">
        <v>122</v>
      </c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2" t="s">
        <v>3</v>
      </c>
      <c r="S96" s="80"/>
    </row>
    <row r="97" spans="1:26" ht="15.75" x14ac:dyDescent="0.25">
      <c r="A97" s="258" t="str">
        <f>TIME</f>
        <v>6 Months Actual and 6 Months Projected</v>
      </c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159" t="str">
        <f>WIT</f>
        <v>B. L. SAILERS</v>
      </c>
      <c r="S97" s="80"/>
    </row>
    <row r="98" spans="1:26" x14ac:dyDescent="0.2">
      <c r="A98" s="500" t="s">
        <v>548</v>
      </c>
      <c r="B98" s="500"/>
      <c r="C98" s="500"/>
      <c r="D98" s="500"/>
      <c r="E98" s="500"/>
      <c r="F98" s="500"/>
      <c r="G98" s="500"/>
      <c r="H98" s="500"/>
      <c r="I98" s="500"/>
      <c r="J98" s="500"/>
      <c r="K98" s="500"/>
      <c r="L98" s="500"/>
      <c r="M98" s="500"/>
      <c r="N98" s="500"/>
      <c r="O98" s="500"/>
      <c r="P98" s="500"/>
      <c r="Q98" s="500"/>
      <c r="R98" s="500"/>
      <c r="S98" s="500"/>
    </row>
    <row r="99" spans="1:26" ht="15.75" x14ac:dyDescent="0.25">
      <c r="A99" s="254"/>
      <c r="B99" s="254"/>
      <c r="C99" s="254"/>
      <c r="D99" s="254"/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</row>
    <row r="100" spans="1:26" ht="15.75" x14ac:dyDescent="0.25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</row>
    <row r="101" spans="1:26" ht="15.75" x14ac:dyDescent="0.25">
      <c r="A101" s="80"/>
      <c r="B101" s="80"/>
      <c r="C101" s="80"/>
      <c r="D101" s="80"/>
      <c r="E101" s="80"/>
      <c r="F101" s="479" t="s">
        <v>485</v>
      </c>
      <c r="G101" s="480"/>
      <c r="H101" s="480"/>
      <c r="I101" s="480"/>
      <c r="J101" s="100"/>
      <c r="K101" s="499" t="s">
        <v>467</v>
      </c>
      <c r="L101" s="499"/>
      <c r="M101" s="499"/>
      <c r="N101" s="499"/>
      <c r="O101" s="499"/>
      <c r="P101" s="499"/>
      <c r="Q101" s="83" t="s">
        <v>11</v>
      </c>
      <c r="R101" s="83" t="s">
        <v>11</v>
      </c>
      <c r="S101" s="80"/>
    </row>
    <row r="102" spans="1:26" ht="17.100000000000001" customHeight="1" x14ac:dyDescent="0.25">
      <c r="A102" s="80"/>
      <c r="B102" s="80"/>
      <c r="C102" s="80"/>
      <c r="D102" s="83" t="s">
        <v>123</v>
      </c>
      <c r="E102" s="83" t="s">
        <v>123</v>
      </c>
      <c r="F102" s="80"/>
      <c r="G102" s="80"/>
      <c r="H102" s="83" t="s">
        <v>124</v>
      </c>
      <c r="I102" s="83" t="s">
        <v>125</v>
      </c>
      <c r="J102" s="83"/>
      <c r="K102" s="80"/>
      <c r="L102" s="80"/>
      <c r="M102" s="80"/>
      <c r="N102" s="80"/>
      <c r="O102" s="80"/>
      <c r="P102" s="80"/>
      <c r="Q102" s="83" t="s">
        <v>8</v>
      </c>
      <c r="R102" s="83" t="s">
        <v>6</v>
      </c>
      <c r="S102" s="83" t="s">
        <v>125</v>
      </c>
    </row>
    <row r="103" spans="1:26" ht="15.75" x14ac:dyDescent="0.25">
      <c r="A103" s="80"/>
      <c r="B103" s="80"/>
      <c r="C103" s="80"/>
      <c r="D103" s="83" t="s">
        <v>126</v>
      </c>
      <c r="E103" s="83" t="s">
        <v>126</v>
      </c>
      <c r="F103" s="83" t="s">
        <v>8</v>
      </c>
      <c r="G103" s="83" t="s">
        <v>6</v>
      </c>
      <c r="H103" s="83" t="s">
        <v>127</v>
      </c>
      <c r="I103" s="83" t="s">
        <v>127</v>
      </c>
      <c r="J103" s="83"/>
      <c r="K103" s="83" t="s">
        <v>306</v>
      </c>
      <c r="L103" s="83" t="s">
        <v>306</v>
      </c>
      <c r="M103" s="83" t="s">
        <v>306</v>
      </c>
      <c r="N103" s="83" t="s">
        <v>306</v>
      </c>
      <c r="O103" s="83" t="s">
        <v>306</v>
      </c>
      <c r="P103" s="83" t="s">
        <v>306</v>
      </c>
      <c r="Q103" s="83" t="s">
        <v>128</v>
      </c>
      <c r="R103" s="83" t="s">
        <v>128</v>
      </c>
      <c r="S103" s="83" t="s">
        <v>127</v>
      </c>
    </row>
    <row r="104" spans="1:26" ht="15.75" x14ac:dyDescent="0.25">
      <c r="A104" s="83" t="s">
        <v>17</v>
      </c>
      <c r="B104" s="80"/>
      <c r="C104" s="82" t="s">
        <v>18</v>
      </c>
      <c r="D104" s="83" t="s">
        <v>130</v>
      </c>
      <c r="E104" s="83" t="s">
        <v>703</v>
      </c>
      <c r="F104" s="83" t="s">
        <v>600</v>
      </c>
      <c r="G104" s="83" t="s">
        <v>600</v>
      </c>
      <c r="H104" s="256" t="s">
        <v>132</v>
      </c>
      <c r="I104" s="256" t="s">
        <v>133</v>
      </c>
      <c r="J104" s="83"/>
      <c r="K104" s="83" t="s">
        <v>465</v>
      </c>
      <c r="L104" s="196" t="s">
        <v>309</v>
      </c>
      <c r="M104" s="83" t="s">
        <v>714</v>
      </c>
      <c r="N104" s="83" t="s">
        <v>713</v>
      </c>
      <c r="O104" s="83" t="s">
        <v>712</v>
      </c>
      <c r="P104" s="83" t="s">
        <v>701</v>
      </c>
      <c r="Q104" s="481" t="s">
        <v>696</v>
      </c>
      <c r="R104" s="481" t="s">
        <v>700</v>
      </c>
      <c r="S104" s="481" t="s">
        <v>695</v>
      </c>
    </row>
    <row r="105" spans="1:26" ht="15.75" x14ac:dyDescent="0.25">
      <c r="A105" s="391" t="s">
        <v>24</v>
      </c>
      <c r="B105" s="390"/>
      <c r="C105" s="482" t="s">
        <v>25</v>
      </c>
      <c r="D105" s="485" t="s">
        <v>35</v>
      </c>
      <c r="E105" s="485" t="s">
        <v>36</v>
      </c>
      <c r="F105" s="485" t="s">
        <v>37</v>
      </c>
      <c r="G105" s="485" t="s">
        <v>38</v>
      </c>
      <c r="H105" s="485" t="s">
        <v>39</v>
      </c>
      <c r="I105" s="485" t="s">
        <v>40</v>
      </c>
      <c r="J105" s="485"/>
      <c r="K105" s="485" t="s">
        <v>41</v>
      </c>
      <c r="L105" s="485" t="s">
        <v>42</v>
      </c>
      <c r="M105" s="459" t="s">
        <v>43</v>
      </c>
      <c r="N105" s="459" t="s">
        <v>44</v>
      </c>
      <c r="O105" s="459" t="s">
        <v>45</v>
      </c>
      <c r="P105" s="486" t="s">
        <v>46</v>
      </c>
      <c r="Q105" s="486" t="s">
        <v>47</v>
      </c>
      <c r="R105" s="486" t="s">
        <v>48</v>
      </c>
      <c r="S105" s="486" t="s">
        <v>50</v>
      </c>
      <c r="W105" s="70" t="s">
        <v>692</v>
      </c>
      <c r="Y105" s="70" t="s">
        <v>693</v>
      </c>
    </row>
    <row r="106" spans="1:26" ht="15.75" x14ac:dyDescent="0.25">
      <c r="A106" s="80"/>
      <c r="B106" s="80"/>
      <c r="C106" s="80"/>
      <c r="D106" s="259" t="s">
        <v>139</v>
      </c>
      <c r="E106" s="259" t="s">
        <v>51</v>
      </c>
      <c r="F106" s="259" t="s">
        <v>52</v>
      </c>
      <c r="G106" s="259" t="s">
        <v>52</v>
      </c>
      <c r="H106" s="259" t="s">
        <v>52</v>
      </c>
      <c r="I106" s="259" t="s">
        <v>53</v>
      </c>
      <c r="J106" s="259"/>
      <c r="K106" s="259" t="s">
        <v>52</v>
      </c>
      <c r="L106" s="259" t="s">
        <v>52</v>
      </c>
      <c r="M106" s="259" t="s">
        <v>52</v>
      </c>
      <c r="N106" s="259" t="s">
        <v>52</v>
      </c>
      <c r="O106" s="259" t="s">
        <v>52</v>
      </c>
      <c r="P106" s="259" t="s">
        <v>52</v>
      </c>
      <c r="Q106" s="259" t="s">
        <v>52</v>
      </c>
      <c r="R106" s="259" t="s">
        <v>52</v>
      </c>
      <c r="S106" s="259" t="s">
        <v>53</v>
      </c>
      <c r="W106" s="70" t="s">
        <v>196</v>
      </c>
      <c r="X106" s="70" t="s">
        <v>197</v>
      </c>
      <c r="Y106" s="70" t="s">
        <v>196</v>
      </c>
      <c r="Z106" s="70" t="s">
        <v>197</v>
      </c>
    </row>
    <row r="107" spans="1:26" ht="15.75" x14ac:dyDescent="0.25">
      <c r="A107" s="302">
        <v>1</v>
      </c>
      <c r="C107" s="82" t="s">
        <v>149</v>
      </c>
      <c r="D107" s="79">
        <v>500</v>
      </c>
      <c r="E107" s="79">
        <v>144000</v>
      </c>
      <c r="F107" s="162">
        <f t="shared" ref="F107:F116" si="26">ROUND($E107*$W$107*CUR_DT_SUM_E_ON,2)+ROUND($E107*(1-$W$107)*CUR_DT_SUM_E_OFF,2)+ROUND($D107*$Y$107*CUR_DT_SEC_DEMON,2)+ROUND($D107*(1-$Y$107)*CUR_DT_SEC_DEMOFF,2)+CUR_DT_SEC_CST3</f>
        <v>11832.05</v>
      </c>
      <c r="G107" s="162">
        <f t="shared" ref="G107:G116" si="27">ROUND($E107*$W$107*PRO_DT_SUM_E_ON,2)+ROUND($E107*(1-$W$107)*PRO_DT_SUM_E_OFF,2)+ROUND($D107*$Y$107*PRO_DT_SUM_PEAK,2)+ROUND($D107*(1-$Y$107)*PRO_DT_SUM_PK_OFF,2)+PRO_DT_SEC_CST3</f>
        <v>13736.2</v>
      </c>
      <c r="H107" s="162">
        <f t="shared" ref="H107:H116" si="28">G107-F107</f>
        <v>1904.1500000000015</v>
      </c>
      <c r="I107" s="158">
        <f t="shared" ref="I107:I116" si="29">ROUND(H107/F107,3)*100</f>
        <v>16.100000000000001</v>
      </c>
      <c r="J107" s="158"/>
      <c r="K107" s="162">
        <f t="shared" ref="K107:K116" si="30">ROUND(E107*CUR_FAC,2)</f>
        <v>148.03</v>
      </c>
      <c r="L107" s="162">
        <f t="shared" ref="L107:L116" si="31">ROUND(E107*DSM_DIST,2)</f>
        <v>370.94</v>
      </c>
      <c r="M107" s="162">
        <f t="shared" ref="M107:M116" si="32">ROUND($G107*PRO_ESM,2)</f>
        <v>0</v>
      </c>
      <c r="N107" s="162">
        <f t="shared" ref="N107:N116" si="33">ROUND(PRO_DCI_DIST,2)</f>
        <v>0</v>
      </c>
      <c r="O107" s="162">
        <f t="shared" ref="O107:O116" si="34">ROUND($E107*PRO_FTR_DIST,2)</f>
        <v>0</v>
      </c>
      <c r="P107" s="162">
        <f t="shared" ref="P107:P116" si="35">ROUND(E107*RS_PSM,2)</f>
        <v>-65.66</v>
      </c>
      <c r="Q107" s="162">
        <f>F107+K107+L107+P107</f>
        <v>12285.36</v>
      </c>
      <c r="R107" s="162">
        <f>G107+K107+L107+M107+N107+O107+P107</f>
        <v>14189.510000000002</v>
      </c>
      <c r="S107" s="156">
        <f>ROUND((R107-Q107)/Q107,3)*100</f>
        <v>15.5</v>
      </c>
      <c r="W107" s="70">
        <f>'Rate DT-Sec'!H33/'Rate DT-Sec'!H35</f>
        <v>0.31342354482301149</v>
      </c>
      <c r="X107" s="70">
        <f>'Rate DT-Sec'!H49/'Rate DT-Sec'!H51</f>
        <v>0.30370736623163902</v>
      </c>
      <c r="Y107" s="70">
        <f>'Rate DT-Sec'!H28/'Rate DT-Sec'!H30</f>
        <v>0.97739828667750506</v>
      </c>
      <c r="Z107" s="70">
        <f>'Rate DT-Sec'!H44/'Rate DT-Sec'!H46</f>
        <v>0.97684669850422257</v>
      </c>
    </row>
    <row r="108" spans="1:26" x14ac:dyDescent="0.2">
      <c r="A108" s="302">
        <v>2</v>
      </c>
      <c r="D108" s="79">
        <v>500</v>
      </c>
      <c r="E108" s="79">
        <v>288000</v>
      </c>
      <c r="F108" s="162">
        <f t="shared" si="26"/>
        <v>17405.199999999997</v>
      </c>
      <c r="G108" s="162">
        <f t="shared" si="27"/>
        <v>20025.34</v>
      </c>
      <c r="H108" s="162">
        <f t="shared" si="28"/>
        <v>2620.1400000000031</v>
      </c>
      <c r="I108" s="158">
        <f t="shared" si="29"/>
        <v>15.1</v>
      </c>
      <c r="J108" s="158"/>
      <c r="K108" s="162">
        <f t="shared" si="30"/>
        <v>296.06</v>
      </c>
      <c r="L108" s="162">
        <f t="shared" si="31"/>
        <v>741.89</v>
      </c>
      <c r="M108" s="162">
        <f t="shared" si="32"/>
        <v>0</v>
      </c>
      <c r="N108" s="162">
        <f t="shared" si="33"/>
        <v>0</v>
      </c>
      <c r="O108" s="162">
        <f t="shared" si="34"/>
        <v>0</v>
      </c>
      <c r="P108" s="162">
        <f t="shared" si="35"/>
        <v>-131.33000000000001</v>
      </c>
      <c r="Q108" s="162">
        <f t="shared" ref="Q108:Q127" si="36">F108+K108+L108+P108</f>
        <v>18311.819999999996</v>
      </c>
      <c r="R108" s="162">
        <f t="shared" ref="R108:R127" si="37">G108+K108+L108+M108+N108+O108+P108</f>
        <v>20931.96</v>
      </c>
      <c r="S108" s="158">
        <f t="shared" ref="S108:S116" si="38">ROUND((R108-Q108)/Q108,3)*100</f>
        <v>14.299999999999999</v>
      </c>
    </row>
    <row r="109" spans="1:26" x14ac:dyDescent="0.2">
      <c r="A109" s="302">
        <v>3</v>
      </c>
      <c r="D109" s="79">
        <v>800</v>
      </c>
      <c r="E109" s="79">
        <v>230400</v>
      </c>
      <c r="F109" s="162">
        <f t="shared" si="26"/>
        <v>18922.28</v>
      </c>
      <c r="G109" s="162">
        <f t="shared" si="27"/>
        <v>21737.929999999997</v>
      </c>
      <c r="H109" s="162">
        <f t="shared" si="28"/>
        <v>2815.6499999999978</v>
      </c>
      <c r="I109" s="158">
        <f t="shared" si="29"/>
        <v>14.899999999999999</v>
      </c>
      <c r="J109" s="158"/>
      <c r="K109" s="162">
        <f t="shared" si="30"/>
        <v>236.85</v>
      </c>
      <c r="L109" s="162">
        <f t="shared" si="31"/>
        <v>593.51</v>
      </c>
      <c r="M109" s="162">
        <f t="shared" si="32"/>
        <v>0</v>
      </c>
      <c r="N109" s="162">
        <f t="shared" si="33"/>
        <v>0</v>
      </c>
      <c r="O109" s="162">
        <f t="shared" si="34"/>
        <v>0</v>
      </c>
      <c r="P109" s="162">
        <f t="shared" si="35"/>
        <v>-105.06</v>
      </c>
      <c r="Q109" s="162">
        <f t="shared" si="36"/>
        <v>19647.579999999994</v>
      </c>
      <c r="R109" s="162">
        <f t="shared" si="37"/>
        <v>22463.229999999992</v>
      </c>
      <c r="S109" s="158">
        <f t="shared" si="38"/>
        <v>14.299999999999999</v>
      </c>
    </row>
    <row r="110" spans="1:26" x14ac:dyDescent="0.2">
      <c r="A110" s="302">
        <v>4</v>
      </c>
      <c r="D110" s="79">
        <v>800</v>
      </c>
      <c r="E110" s="79">
        <v>460800</v>
      </c>
      <c r="F110" s="162">
        <f t="shared" si="26"/>
        <v>27839.31</v>
      </c>
      <c r="G110" s="162">
        <f t="shared" si="27"/>
        <v>31800.55</v>
      </c>
      <c r="H110" s="162">
        <f t="shared" si="28"/>
        <v>3961.239999999998</v>
      </c>
      <c r="I110" s="158">
        <f t="shared" si="29"/>
        <v>14.2</v>
      </c>
      <c r="J110" s="158"/>
      <c r="K110" s="162">
        <f t="shared" si="30"/>
        <v>473.7</v>
      </c>
      <c r="L110" s="162">
        <f t="shared" si="31"/>
        <v>1187.02</v>
      </c>
      <c r="M110" s="162">
        <f t="shared" si="32"/>
        <v>0</v>
      </c>
      <c r="N110" s="162">
        <f t="shared" si="33"/>
        <v>0</v>
      </c>
      <c r="O110" s="162">
        <f t="shared" si="34"/>
        <v>0</v>
      </c>
      <c r="P110" s="162">
        <f t="shared" si="35"/>
        <v>-210.12</v>
      </c>
      <c r="Q110" s="162">
        <f t="shared" si="36"/>
        <v>29289.910000000003</v>
      </c>
      <c r="R110" s="162">
        <f t="shared" si="37"/>
        <v>33251.149999999994</v>
      </c>
      <c r="S110" s="158">
        <f t="shared" si="38"/>
        <v>13.5</v>
      </c>
    </row>
    <row r="111" spans="1:26" x14ac:dyDescent="0.2">
      <c r="A111" s="302">
        <v>5</v>
      </c>
      <c r="D111" s="79">
        <v>1000</v>
      </c>
      <c r="E111" s="79">
        <v>288000</v>
      </c>
      <c r="F111" s="162">
        <f t="shared" si="26"/>
        <v>23649.11</v>
      </c>
      <c r="G111" s="162">
        <f t="shared" si="27"/>
        <v>27072.41</v>
      </c>
      <c r="H111" s="162">
        <f t="shared" si="28"/>
        <v>3423.2999999999993</v>
      </c>
      <c r="I111" s="158">
        <f t="shared" si="29"/>
        <v>14.499999999999998</v>
      </c>
      <c r="J111" s="158"/>
      <c r="K111" s="162">
        <f t="shared" si="30"/>
        <v>296.06</v>
      </c>
      <c r="L111" s="162">
        <f t="shared" si="31"/>
        <v>741.89</v>
      </c>
      <c r="M111" s="162">
        <f t="shared" si="32"/>
        <v>0</v>
      </c>
      <c r="N111" s="162">
        <f t="shared" si="33"/>
        <v>0</v>
      </c>
      <c r="O111" s="162">
        <f t="shared" si="34"/>
        <v>0</v>
      </c>
      <c r="P111" s="162">
        <f t="shared" si="35"/>
        <v>-131.33000000000001</v>
      </c>
      <c r="Q111" s="162">
        <f t="shared" si="36"/>
        <v>24555.73</v>
      </c>
      <c r="R111" s="162">
        <f t="shared" si="37"/>
        <v>27979.03</v>
      </c>
      <c r="S111" s="158">
        <f t="shared" si="38"/>
        <v>13.900000000000002</v>
      </c>
    </row>
    <row r="112" spans="1:26" x14ac:dyDescent="0.2">
      <c r="A112" s="302">
        <v>6</v>
      </c>
      <c r="D112" s="79">
        <v>1000</v>
      </c>
      <c r="E112" s="79">
        <v>576000</v>
      </c>
      <c r="F112" s="162">
        <f t="shared" si="26"/>
        <v>34795.399999999994</v>
      </c>
      <c r="G112" s="162">
        <f t="shared" si="27"/>
        <v>39650.67</v>
      </c>
      <c r="H112" s="162">
        <f t="shared" si="28"/>
        <v>4855.2700000000041</v>
      </c>
      <c r="I112" s="158">
        <f t="shared" si="29"/>
        <v>14.000000000000002</v>
      </c>
      <c r="J112" s="158"/>
      <c r="K112" s="162">
        <f t="shared" si="30"/>
        <v>592.13</v>
      </c>
      <c r="L112" s="162">
        <f t="shared" si="31"/>
        <v>1483.78</v>
      </c>
      <c r="M112" s="162">
        <f t="shared" si="32"/>
        <v>0</v>
      </c>
      <c r="N112" s="162">
        <f t="shared" si="33"/>
        <v>0</v>
      </c>
      <c r="O112" s="162">
        <f t="shared" si="34"/>
        <v>0</v>
      </c>
      <c r="P112" s="162">
        <f t="shared" si="35"/>
        <v>-262.66000000000003</v>
      </c>
      <c r="Q112" s="162">
        <f t="shared" si="36"/>
        <v>36608.649999999987</v>
      </c>
      <c r="R112" s="162">
        <f t="shared" si="37"/>
        <v>41463.919999999991</v>
      </c>
      <c r="S112" s="158">
        <f t="shared" si="38"/>
        <v>13.3</v>
      </c>
    </row>
    <row r="113" spans="1:19" x14ac:dyDescent="0.2">
      <c r="A113" s="302">
        <v>7</v>
      </c>
      <c r="D113" s="79">
        <v>1200</v>
      </c>
      <c r="E113" s="79">
        <v>345600</v>
      </c>
      <c r="F113" s="162">
        <f t="shared" si="26"/>
        <v>28375.929999999997</v>
      </c>
      <c r="G113" s="162">
        <f t="shared" si="27"/>
        <v>32406.889999999996</v>
      </c>
      <c r="H113" s="162">
        <f t="shared" si="28"/>
        <v>4030.9599999999991</v>
      </c>
      <c r="I113" s="158">
        <f t="shared" si="29"/>
        <v>14.2</v>
      </c>
      <c r="J113" s="158"/>
      <c r="K113" s="162">
        <f t="shared" si="30"/>
        <v>355.28</v>
      </c>
      <c r="L113" s="162">
        <f t="shared" si="31"/>
        <v>890.27</v>
      </c>
      <c r="M113" s="162">
        <f t="shared" si="32"/>
        <v>0</v>
      </c>
      <c r="N113" s="162">
        <f t="shared" si="33"/>
        <v>0</v>
      </c>
      <c r="O113" s="162">
        <f t="shared" si="34"/>
        <v>0</v>
      </c>
      <c r="P113" s="162">
        <f t="shared" si="35"/>
        <v>-157.59</v>
      </c>
      <c r="Q113" s="162">
        <f t="shared" si="36"/>
        <v>29463.889999999996</v>
      </c>
      <c r="R113" s="162">
        <f t="shared" si="37"/>
        <v>33494.85</v>
      </c>
      <c r="S113" s="158">
        <f t="shared" si="38"/>
        <v>13.700000000000001</v>
      </c>
    </row>
    <row r="114" spans="1:19" x14ac:dyDescent="0.2">
      <c r="A114" s="302">
        <v>8</v>
      </c>
      <c r="D114" s="79">
        <v>1200</v>
      </c>
      <c r="E114" s="79">
        <v>691200</v>
      </c>
      <c r="F114" s="162">
        <f t="shared" si="26"/>
        <v>41751.47</v>
      </c>
      <c r="G114" s="162">
        <f t="shared" si="27"/>
        <v>47500.810000000005</v>
      </c>
      <c r="H114" s="162">
        <f t="shared" si="28"/>
        <v>5749.3400000000038</v>
      </c>
      <c r="I114" s="158">
        <f t="shared" si="29"/>
        <v>13.8</v>
      </c>
      <c r="J114" s="158"/>
      <c r="K114" s="162">
        <f t="shared" si="30"/>
        <v>710.55</v>
      </c>
      <c r="L114" s="162">
        <f t="shared" si="31"/>
        <v>1780.53</v>
      </c>
      <c r="M114" s="162">
        <f t="shared" si="32"/>
        <v>0</v>
      </c>
      <c r="N114" s="162">
        <f t="shared" si="33"/>
        <v>0</v>
      </c>
      <c r="O114" s="162">
        <f t="shared" si="34"/>
        <v>0</v>
      </c>
      <c r="P114" s="162">
        <f t="shared" si="35"/>
        <v>-315.19</v>
      </c>
      <c r="Q114" s="162">
        <f t="shared" si="36"/>
        <v>43927.360000000001</v>
      </c>
      <c r="R114" s="162">
        <f t="shared" si="37"/>
        <v>49676.700000000004</v>
      </c>
      <c r="S114" s="158">
        <f t="shared" si="38"/>
        <v>13.100000000000001</v>
      </c>
    </row>
    <row r="115" spans="1:19" x14ac:dyDescent="0.2">
      <c r="A115" s="302">
        <v>9</v>
      </c>
      <c r="D115" s="79">
        <v>1500</v>
      </c>
      <c r="E115" s="79">
        <v>432000</v>
      </c>
      <c r="F115" s="162">
        <f t="shared" si="26"/>
        <v>35466.159999999996</v>
      </c>
      <c r="G115" s="162">
        <f t="shared" si="27"/>
        <v>40408.6</v>
      </c>
      <c r="H115" s="162">
        <f t="shared" si="28"/>
        <v>4942.4400000000023</v>
      </c>
      <c r="I115" s="158">
        <f t="shared" si="29"/>
        <v>13.900000000000002</v>
      </c>
      <c r="J115" s="158"/>
      <c r="K115" s="162">
        <f t="shared" si="30"/>
        <v>444.1</v>
      </c>
      <c r="L115" s="162">
        <f t="shared" si="31"/>
        <v>1112.83</v>
      </c>
      <c r="M115" s="162">
        <f t="shared" si="32"/>
        <v>0</v>
      </c>
      <c r="N115" s="162">
        <f t="shared" si="33"/>
        <v>0</v>
      </c>
      <c r="O115" s="162">
        <f t="shared" si="34"/>
        <v>0</v>
      </c>
      <c r="P115" s="162">
        <f t="shared" si="35"/>
        <v>-196.99</v>
      </c>
      <c r="Q115" s="162">
        <f t="shared" si="36"/>
        <v>36826.1</v>
      </c>
      <c r="R115" s="162">
        <f t="shared" si="37"/>
        <v>41768.54</v>
      </c>
      <c r="S115" s="158">
        <f t="shared" si="38"/>
        <v>13.4</v>
      </c>
    </row>
    <row r="116" spans="1:19" x14ac:dyDescent="0.2">
      <c r="A116" s="302">
        <v>10</v>
      </c>
      <c r="D116" s="79">
        <v>1500</v>
      </c>
      <c r="E116" s="79">
        <v>864000</v>
      </c>
      <c r="F116" s="162">
        <f t="shared" si="26"/>
        <v>52185.599999999999</v>
      </c>
      <c r="G116" s="162">
        <f t="shared" si="27"/>
        <v>59276</v>
      </c>
      <c r="H116" s="162">
        <f t="shared" si="28"/>
        <v>7090.4000000000015</v>
      </c>
      <c r="I116" s="158">
        <f t="shared" si="29"/>
        <v>13.600000000000001</v>
      </c>
      <c r="J116" s="158"/>
      <c r="K116" s="162">
        <f t="shared" si="30"/>
        <v>888.19</v>
      </c>
      <c r="L116" s="162">
        <f t="shared" si="31"/>
        <v>2225.66</v>
      </c>
      <c r="M116" s="162">
        <f t="shared" si="32"/>
        <v>0</v>
      </c>
      <c r="N116" s="162">
        <f t="shared" si="33"/>
        <v>0</v>
      </c>
      <c r="O116" s="162">
        <f t="shared" si="34"/>
        <v>0</v>
      </c>
      <c r="P116" s="162">
        <f t="shared" si="35"/>
        <v>-393.98</v>
      </c>
      <c r="Q116" s="162">
        <f t="shared" si="36"/>
        <v>54905.469999999994</v>
      </c>
      <c r="R116" s="162">
        <f t="shared" si="37"/>
        <v>61995.87</v>
      </c>
      <c r="S116" s="158">
        <f t="shared" si="38"/>
        <v>12.9</v>
      </c>
    </row>
    <row r="117" spans="1:19" x14ac:dyDescent="0.2">
      <c r="D117" s="79"/>
      <c r="E117" s="79"/>
      <c r="K117" s="162"/>
      <c r="L117" s="162"/>
      <c r="M117" s="162"/>
      <c r="N117" s="162"/>
      <c r="O117" s="162"/>
      <c r="P117" s="162"/>
      <c r="Q117" s="162"/>
      <c r="R117" s="162"/>
    </row>
    <row r="118" spans="1:19" ht="15.75" x14ac:dyDescent="0.25">
      <c r="A118" s="302">
        <v>11</v>
      </c>
      <c r="C118" s="82" t="s">
        <v>150</v>
      </c>
      <c r="D118" s="79">
        <v>500</v>
      </c>
      <c r="E118" s="79">
        <v>144000</v>
      </c>
      <c r="F118" s="162">
        <f t="shared" ref="F118:F127" si="39">ROUND($E118*$X$107*CUR_DT_WIN_E_ON,2)+ROUND($E118*(1-$X$107)*CUR_DT_SUM_E_OFF,2)+ROUND($D118*$Z$107*CUR_DT_WIN_PEAK_ON,2)+ROUND($D118*(1-$Z$107)*CUR_DT_WIN_PK_OFF,2)+CUR_DT_SEC_CST3</f>
        <v>11398.06</v>
      </c>
      <c r="G118" s="162">
        <f t="shared" ref="G118:G127" si="40">ROUND($E118*$X$107*PRO_DT_WIN_E_ON,2)+ROUND($E118*(1-$X$107)*PRO_DT_WIN_E_OFF,2)+ROUND($D118*$Z$107*PRO_DT_WIN_PEAK,2)+ROUND($D118*(1-$Z$107)*PRO_DT_WIN_PK_OFF,2)+PRO_DT_SEC_CST3</f>
        <v>13244.91</v>
      </c>
      <c r="H118" s="162">
        <f t="shared" ref="H118:H127" si="41">G118-F118</f>
        <v>1846.8500000000004</v>
      </c>
      <c r="I118" s="158">
        <f t="shared" ref="I118:I127" si="42">ROUND(H118/F118,3)*100</f>
        <v>16.2</v>
      </c>
      <c r="J118" s="158"/>
      <c r="K118" s="162">
        <f t="shared" ref="K118:K127" si="43">ROUND(E118*CUR_FAC,2)</f>
        <v>148.03</v>
      </c>
      <c r="L118" s="162">
        <f t="shared" ref="L118:L127" si="44">ROUND(E118*DSM_DIST,2)</f>
        <v>370.94</v>
      </c>
      <c r="M118" s="162">
        <f t="shared" ref="M118:M127" si="45">ROUND($G118*PRO_ESM,2)</f>
        <v>0</v>
      </c>
      <c r="N118" s="162">
        <f t="shared" ref="N118:N127" si="46">ROUND(PRO_DCI_DIST,2)</f>
        <v>0</v>
      </c>
      <c r="O118" s="162">
        <f t="shared" ref="O118:O127" si="47">ROUND($E118*PRO_FTR_DIST,2)</f>
        <v>0</v>
      </c>
      <c r="P118" s="162">
        <f t="shared" ref="P118:P127" si="48">ROUND(E118*RS_PSM,2)</f>
        <v>-65.66</v>
      </c>
      <c r="Q118" s="162">
        <f t="shared" si="36"/>
        <v>11851.37</v>
      </c>
      <c r="R118" s="162">
        <f t="shared" si="37"/>
        <v>13698.220000000001</v>
      </c>
      <c r="S118" s="158">
        <f t="shared" ref="S118:S127" si="49">ROUND((R118-Q118)/Q118,3)*100</f>
        <v>15.6</v>
      </c>
    </row>
    <row r="119" spans="1:19" x14ac:dyDescent="0.2">
      <c r="A119" s="302">
        <v>12</v>
      </c>
      <c r="D119" s="79">
        <v>500</v>
      </c>
      <c r="E119" s="79">
        <v>288000</v>
      </c>
      <c r="F119" s="162">
        <f t="shared" si="39"/>
        <v>16872.550000000003</v>
      </c>
      <c r="G119" s="162">
        <f t="shared" si="40"/>
        <v>19422.429999999997</v>
      </c>
      <c r="H119" s="162">
        <f t="shared" si="41"/>
        <v>2549.8799999999937</v>
      </c>
      <c r="I119" s="158">
        <f t="shared" si="42"/>
        <v>15.1</v>
      </c>
      <c r="J119" s="158"/>
      <c r="K119" s="162">
        <f t="shared" si="43"/>
        <v>296.06</v>
      </c>
      <c r="L119" s="162">
        <f t="shared" si="44"/>
        <v>741.89</v>
      </c>
      <c r="M119" s="162">
        <f t="shared" si="45"/>
        <v>0</v>
      </c>
      <c r="N119" s="162">
        <f t="shared" si="46"/>
        <v>0</v>
      </c>
      <c r="O119" s="162">
        <f t="shared" si="47"/>
        <v>0</v>
      </c>
      <c r="P119" s="162">
        <f t="shared" si="48"/>
        <v>-131.33000000000001</v>
      </c>
      <c r="Q119" s="162">
        <f t="shared" si="36"/>
        <v>17779.170000000002</v>
      </c>
      <c r="R119" s="162">
        <f t="shared" si="37"/>
        <v>20329.049999999996</v>
      </c>
      <c r="S119" s="158">
        <f t="shared" si="49"/>
        <v>14.299999999999999</v>
      </c>
    </row>
    <row r="120" spans="1:19" x14ac:dyDescent="0.2">
      <c r="A120" s="302">
        <v>13</v>
      </c>
      <c r="D120" s="79">
        <v>800</v>
      </c>
      <c r="E120" s="79">
        <v>230400</v>
      </c>
      <c r="F120" s="162">
        <f t="shared" si="39"/>
        <v>18227.899999999998</v>
      </c>
      <c r="G120" s="162">
        <f t="shared" si="40"/>
        <v>20951.840000000004</v>
      </c>
      <c r="H120" s="162">
        <f t="shared" si="41"/>
        <v>2723.940000000006</v>
      </c>
      <c r="I120" s="158">
        <f t="shared" si="42"/>
        <v>14.899999999999999</v>
      </c>
      <c r="J120" s="158"/>
      <c r="K120" s="162">
        <f t="shared" si="43"/>
        <v>236.85</v>
      </c>
      <c r="L120" s="162">
        <f t="shared" si="44"/>
        <v>593.51</v>
      </c>
      <c r="M120" s="162">
        <f t="shared" si="45"/>
        <v>0</v>
      </c>
      <c r="N120" s="162">
        <f t="shared" si="46"/>
        <v>0</v>
      </c>
      <c r="O120" s="162">
        <f t="shared" si="47"/>
        <v>0</v>
      </c>
      <c r="P120" s="162">
        <f t="shared" si="48"/>
        <v>-105.06</v>
      </c>
      <c r="Q120" s="162">
        <f t="shared" si="36"/>
        <v>18953.199999999993</v>
      </c>
      <c r="R120" s="162">
        <f t="shared" si="37"/>
        <v>21677.14</v>
      </c>
      <c r="S120" s="158">
        <f t="shared" si="49"/>
        <v>14.399999999999999</v>
      </c>
    </row>
    <row r="121" spans="1:19" x14ac:dyDescent="0.2">
      <c r="A121" s="302">
        <v>14</v>
      </c>
      <c r="D121" s="79">
        <v>800</v>
      </c>
      <c r="E121" s="79">
        <v>460800</v>
      </c>
      <c r="F121" s="162">
        <f t="shared" si="39"/>
        <v>26987.079999999998</v>
      </c>
      <c r="G121" s="162">
        <f t="shared" si="40"/>
        <v>30835.880000000005</v>
      </c>
      <c r="H121" s="162">
        <f t="shared" si="41"/>
        <v>3848.8000000000065</v>
      </c>
      <c r="I121" s="158">
        <f t="shared" si="42"/>
        <v>14.299999999999999</v>
      </c>
      <c r="J121" s="158"/>
      <c r="K121" s="162">
        <f t="shared" si="43"/>
        <v>473.7</v>
      </c>
      <c r="L121" s="162">
        <f t="shared" si="44"/>
        <v>1187.02</v>
      </c>
      <c r="M121" s="162">
        <f t="shared" si="45"/>
        <v>0</v>
      </c>
      <c r="N121" s="162">
        <f t="shared" si="46"/>
        <v>0</v>
      </c>
      <c r="O121" s="162">
        <f t="shared" si="47"/>
        <v>0</v>
      </c>
      <c r="P121" s="162">
        <f t="shared" si="48"/>
        <v>-210.12</v>
      </c>
      <c r="Q121" s="162">
        <f t="shared" si="36"/>
        <v>28437.68</v>
      </c>
      <c r="R121" s="162">
        <f t="shared" si="37"/>
        <v>32286.480000000007</v>
      </c>
      <c r="S121" s="158">
        <f t="shared" si="49"/>
        <v>13.5</v>
      </c>
    </row>
    <row r="122" spans="1:19" x14ac:dyDescent="0.2">
      <c r="A122" s="302">
        <v>15</v>
      </c>
      <c r="D122" s="79">
        <v>1000</v>
      </c>
      <c r="E122" s="79">
        <v>288000</v>
      </c>
      <c r="F122" s="162">
        <f t="shared" si="39"/>
        <v>22781.140000000003</v>
      </c>
      <c r="G122" s="162">
        <f t="shared" si="40"/>
        <v>26089.799999999996</v>
      </c>
      <c r="H122" s="162">
        <f t="shared" si="41"/>
        <v>3308.6599999999926</v>
      </c>
      <c r="I122" s="158">
        <f t="shared" si="42"/>
        <v>14.499999999999998</v>
      </c>
      <c r="J122" s="158"/>
      <c r="K122" s="162">
        <f t="shared" si="43"/>
        <v>296.06</v>
      </c>
      <c r="L122" s="162">
        <f t="shared" si="44"/>
        <v>741.89</v>
      </c>
      <c r="M122" s="162">
        <f t="shared" si="45"/>
        <v>0</v>
      </c>
      <c r="N122" s="162">
        <f t="shared" si="46"/>
        <v>0</v>
      </c>
      <c r="O122" s="162">
        <f t="shared" si="47"/>
        <v>0</v>
      </c>
      <c r="P122" s="162">
        <f t="shared" si="48"/>
        <v>-131.33000000000001</v>
      </c>
      <c r="Q122" s="162">
        <f t="shared" si="36"/>
        <v>23687.760000000002</v>
      </c>
      <c r="R122" s="162">
        <f t="shared" si="37"/>
        <v>26996.419999999995</v>
      </c>
      <c r="S122" s="158">
        <f t="shared" si="49"/>
        <v>14.000000000000002</v>
      </c>
    </row>
    <row r="123" spans="1:19" x14ac:dyDescent="0.2">
      <c r="A123" s="302">
        <v>16</v>
      </c>
      <c r="D123" s="79">
        <v>1000</v>
      </c>
      <c r="E123" s="79">
        <v>576000</v>
      </c>
      <c r="F123" s="162">
        <f t="shared" si="39"/>
        <v>33730.1</v>
      </c>
      <c r="G123" s="162">
        <f t="shared" si="40"/>
        <v>38444.86</v>
      </c>
      <c r="H123" s="162">
        <f t="shared" si="41"/>
        <v>4714.760000000002</v>
      </c>
      <c r="I123" s="158">
        <f t="shared" si="42"/>
        <v>14.000000000000002</v>
      </c>
      <c r="J123" s="158"/>
      <c r="K123" s="162">
        <f t="shared" si="43"/>
        <v>592.13</v>
      </c>
      <c r="L123" s="162">
        <f t="shared" si="44"/>
        <v>1483.78</v>
      </c>
      <c r="M123" s="162">
        <f t="shared" si="45"/>
        <v>0</v>
      </c>
      <c r="N123" s="162">
        <f t="shared" si="46"/>
        <v>0</v>
      </c>
      <c r="O123" s="162">
        <f t="shared" si="47"/>
        <v>0</v>
      </c>
      <c r="P123" s="162">
        <f t="shared" si="48"/>
        <v>-262.66000000000003</v>
      </c>
      <c r="Q123" s="162">
        <f t="shared" si="36"/>
        <v>35543.349999999991</v>
      </c>
      <c r="R123" s="162">
        <f t="shared" si="37"/>
        <v>40258.109999999993</v>
      </c>
      <c r="S123" s="158">
        <f t="shared" si="49"/>
        <v>13.3</v>
      </c>
    </row>
    <row r="124" spans="1:19" x14ac:dyDescent="0.2">
      <c r="A124" s="302">
        <v>17</v>
      </c>
      <c r="D124" s="79">
        <v>1200</v>
      </c>
      <c r="E124" s="79">
        <v>345600</v>
      </c>
      <c r="F124" s="162">
        <f t="shared" si="39"/>
        <v>27334.36</v>
      </c>
      <c r="G124" s="162">
        <f t="shared" si="40"/>
        <v>31227.77</v>
      </c>
      <c r="H124" s="162">
        <f t="shared" si="41"/>
        <v>3893.41</v>
      </c>
      <c r="I124" s="158">
        <f t="shared" si="42"/>
        <v>14.2</v>
      </c>
      <c r="J124" s="158"/>
      <c r="K124" s="162">
        <f t="shared" si="43"/>
        <v>355.28</v>
      </c>
      <c r="L124" s="162">
        <f t="shared" si="44"/>
        <v>890.27</v>
      </c>
      <c r="M124" s="162">
        <f t="shared" si="45"/>
        <v>0</v>
      </c>
      <c r="N124" s="162">
        <f t="shared" si="46"/>
        <v>0</v>
      </c>
      <c r="O124" s="162">
        <f t="shared" si="47"/>
        <v>0</v>
      </c>
      <c r="P124" s="162">
        <f t="shared" si="48"/>
        <v>-157.59</v>
      </c>
      <c r="Q124" s="162">
        <f t="shared" si="36"/>
        <v>28422.32</v>
      </c>
      <c r="R124" s="162">
        <f t="shared" si="37"/>
        <v>32315.73</v>
      </c>
      <c r="S124" s="158">
        <f t="shared" si="49"/>
        <v>13.700000000000001</v>
      </c>
    </row>
    <row r="125" spans="1:19" x14ac:dyDescent="0.2">
      <c r="A125" s="302">
        <v>18</v>
      </c>
      <c r="D125" s="79">
        <v>1200</v>
      </c>
      <c r="E125" s="79">
        <v>691200</v>
      </c>
      <c r="F125" s="162">
        <f t="shared" si="39"/>
        <v>40473.119999999995</v>
      </c>
      <c r="G125" s="162">
        <f t="shared" si="40"/>
        <v>46053.83</v>
      </c>
      <c r="H125" s="162">
        <f t="shared" si="41"/>
        <v>5580.7100000000064</v>
      </c>
      <c r="I125" s="158">
        <f t="shared" si="42"/>
        <v>13.8</v>
      </c>
      <c r="J125" s="158"/>
      <c r="K125" s="162">
        <f t="shared" si="43"/>
        <v>710.55</v>
      </c>
      <c r="L125" s="162">
        <f t="shared" si="44"/>
        <v>1780.53</v>
      </c>
      <c r="M125" s="162">
        <f t="shared" si="45"/>
        <v>0</v>
      </c>
      <c r="N125" s="162">
        <f t="shared" si="46"/>
        <v>0</v>
      </c>
      <c r="O125" s="162">
        <f t="shared" si="47"/>
        <v>0</v>
      </c>
      <c r="P125" s="162">
        <f t="shared" si="48"/>
        <v>-315.19</v>
      </c>
      <c r="Q125" s="162">
        <f t="shared" si="36"/>
        <v>42649.009999999995</v>
      </c>
      <c r="R125" s="162">
        <f t="shared" si="37"/>
        <v>48229.72</v>
      </c>
      <c r="S125" s="158">
        <f t="shared" si="49"/>
        <v>13.100000000000001</v>
      </c>
    </row>
    <row r="126" spans="1:19" x14ac:dyDescent="0.2">
      <c r="A126" s="302">
        <v>19</v>
      </c>
      <c r="D126" s="79">
        <v>1500</v>
      </c>
      <c r="E126" s="79">
        <v>432000</v>
      </c>
      <c r="F126" s="162">
        <f t="shared" si="39"/>
        <v>34164.200000000004</v>
      </c>
      <c r="G126" s="162">
        <f t="shared" si="40"/>
        <v>38934.71</v>
      </c>
      <c r="H126" s="162">
        <f t="shared" si="41"/>
        <v>4770.5099999999948</v>
      </c>
      <c r="I126" s="158">
        <f t="shared" si="42"/>
        <v>14.000000000000002</v>
      </c>
      <c r="J126" s="158"/>
      <c r="K126" s="162">
        <f t="shared" si="43"/>
        <v>444.1</v>
      </c>
      <c r="L126" s="162">
        <f t="shared" si="44"/>
        <v>1112.83</v>
      </c>
      <c r="M126" s="162">
        <f t="shared" si="45"/>
        <v>0</v>
      </c>
      <c r="N126" s="162">
        <f t="shared" si="46"/>
        <v>0</v>
      </c>
      <c r="O126" s="162">
        <f t="shared" si="47"/>
        <v>0</v>
      </c>
      <c r="P126" s="162">
        <f t="shared" si="48"/>
        <v>-196.99</v>
      </c>
      <c r="Q126" s="162">
        <f t="shared" si="36"/>
        <v>35524.140000000007</v>
      </c>
      <c r="R126" s="162">
        <f t="shared" si="37"/>
        <v>40294.65</v>
      </c>
      <c r="S126" s="158">
        <f t="shared" si="49"/>
        <v>13.4</v>
      </c>
    </row>
    <row r="127" spans="1:19" x14ac:dyDescent="0.2">
      <c r="A127" s="302">
        <v>20</v>
      </c>
      <c r="D127" s="79">
        <v>1500</v>
      </c>
      <c r="E127" s="79">
        <v>864000</v>
      </c>
      <c r="F127" s="162">
        <f t="shared" si="39"/>
        <v>50587.650000000009</v>
      </c>
      <c r="G127" s="162">
        <f t="shared" si="40"/>
        <v>57467.29</v>
      </c>
      <c r="H127" s="162">
        <f t="shared" si="41"/>
        <v>6879.6399999999921</v>
      </c>
      <c r="I127" s="158">
        <f t="shared" si="42"/>
        <v>13.600000000000001</v>
      </c>
      <c r="J127" s="158"/>
      <c r="K127" s="162">
        <f t="shared" si="43"/>
        <v>888.19</v>
      </c>
      <c r="L127" s="162">
        <f t="shared" si="44"/>
        <v>2225.66</v>
      </c>
      <c r="M127" s="162">
        <f t="shared" si="45"/>
        <v>0</v>
      </c>
      <c r="N127" s="162">
        <f t="shared" si="46"/>
        <v>0</v>
      </c>
      <c r="O127" s="162">
        <f t="shared" si="47"/>
        <v>0</v>
      </c>
      <c r="P127" s="162">
        <f t="shared" si="48"/>
        <v>-393.98</v>
      </c>
      <c r="Q127" s="162">
        <f t="shared" si="36"/>
        <v>53307.520000000011</v>
      </c>
      <c r="R127" s="162">
        <f t="shared" si="37"/>
        <v>60187.159999999996</v>
      </c>
      <c r="S127" s="158">
        <f t="shared" si="49"/>
        <v>12.9</v>
      </c>
    </row>
    <row r="129" spans="1:19" ht="15.75" x14ac:dyDescent="0.25">
      <c r="C129" s="82" t="str">
        <f>"(1) REFLECTS FUEL ADJUSTMENT COMPONENT (FAC) OF "&amp;TEXT(CUR_FAC,"$0.000000;($0.000000)")&amp;" PER KWH."</f>
        <v>(1) REFLECTS FUEL ADJUSTMENT COMPONENT (FAC) OF $0.001028 PER KWH.</v>
      </c>
    </row>
    <row r="130" spans="1:19" ht="15.75" x14ac:dyDescent="0.25">
      <c r="C130" s="82" t="str">
        <f>"(2) RIDER DSMR "&amp;TEXT(DSM_DIST,"$0.000000;($0.000000)")&amp;" PER KWH."</f>
        <v>(2) RIDER DSMR $0.002576 PER KWH.</v>
      </c>
    </row>
    <row r="131" spans="1:19" ht="15.75" x14ac:dyDescent="0.25">
      <c r="A131" s="484"/>
      <c r="C131" s="82" t="str">
        <f>"(3) RIDER ESM "&amp;TEXT(PRO_ESM,"$0.000000;($0.000000)")&amp;"  PER KWH FOR CURRENT BILL ONLY."</f>
        <v>(3) RIDER ESM $0.000000  PER KWH FOR CURRENT BILL ONLY.</v>
      </c>
    </row>
    <row r="132" spans="1:19" ht="15.75" x14ac:dyDescent="0.25">
      <c r="A132" s="484"/>
      <c r="C132" s="82" t="str">
        <f>"(4) RIDER DCI  "&amp;TEXT(PRO_DCI_DIST,"$0.00;($0.00)")&amp;" PER BILL FOR PROPOSED BILL ONLY."</f>
        <v>(4) RIDER DCI  $0.00 PER BILL FOR PROPOSED BILL ONLY.</v>
      </c>
    </row>
    <row r="133" spans="1:19" ht="15.75" x14ac:dyDescent="0.25">
      <c r="A133" s="484"/>
      <c r="C133" s="82" t="str">
        <f>"(5) RIDER FTR "&amp;TEXT(PRO_FTR_DIST,"$0.000000;($0.000000)")&amp;"  PER KW FOR PROPOSED BILL ONLY."</f>
        <v>(5) RIDER FTR $0.000000  PER KW FOR PROPOSED BILL ONLY.</v>
      </c>
    </row>
    <row r="134" spans="1:19" ht="15.75" x14ac:dyDescent="0.25">
      <c r="A134" s="484"/>
      <c r="C134" s="82" t="str">
        <f>"(6) RIDER PSM "&amp;TEXT(RS_PSM,"$0.000000;($0.000000)")&amp;"  PER KWH."</f>
        <v>(6) RIDER PSM ($0.000456)  PER KWH.</v>
      </c>
    </row>
    <row r="135" spans="1:19" ht="15.75" x14ac:dyDescent="0.25">
      <c r="A135" s="484"/>
      <c r="C135" s="82" t="str">
        <f>"(7) REFLECTS FUEL COST RECOVERY INCLUDED IN BASE RATES OF "&amp;TEXT(CUR_BASE_FUEL,"$0.000000;($0.000000)")&amp;"  PER KWH AND THREE PHASE SECONDARY SERVICE."</f>
        <v>(7) REFLECTS FUEL COST RECOVERY INCLUDED IN BASE RATES OF $0.023837  PER KWH AND THREE PHASE SECONDARY SERVICE.</v>
      </c>
    </row>
    <row r="136" spans="1:19" ht="15.75" x14ac:dyDescent="0.25">
      <c r="A136" s="484"/>
      <c r="C136" s="82" t="str">
        <f>"(8) DEMAND AND ENERGY VALUES REPRESENT THE SUM OF ON AND OFF PEAK.  FOR BILL CALCULATION, VALUES ARE SPLIT USING THE RATIO OF VALUES IN SCHEDULE M-2.3."</f>
        <v>(8) DEMAND AND ENERGY VALUES REPRESENT THE SUM OF ON AND OFF PEAK.  FOR BILL CALCULATION, VALUES ARE SPLIT USING THE RATIO OF VALUES IN SCHEDULE M-2.3.</v>
      </c>
    </row>
    <row r="137" spans="1:19" ht="15.75" x14ac:dyDescent="0.25">
      <c r="A137" s="150" t="str">
        <f>NAME</f>
        <v>DUKE ENERGY KENTUCKY, INC.</v>
      </c>
      <c r="B137" s="150"/>
      <c r="C137" s="150"/>
      <c r="D137" s="150"/>
      <c r="E137" s="150"/>
      <c r="F137" s="150"/>
      <c r="G137" s="187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</row>
    <row r="138" spans="1:19" ht="15.75" x14ac:dyDescent="0.25">
      <c r="A138" s="150" t="str">
        <f>CASE_NO</f>
        <v>CASE NO.   2017-00321</v>
      </c>
      <c r="B138" s="150"/>
      <c r="C138" s="150"/>
      <c r="D138" s="150"/>
      <c r="E138" s="150"/>
      <c r="F138" s="150"/>
      <c r="G138" s="187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</row>
    <row r="139" spans="1:19" ht="15.75" x14ac:dyDescent="0.25">
      <c r="A139" s="187" t="s">
        <v>193</v>
      </c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</row>
    <row r="140" spans="1:19" ht="15.75" x14ac:dyDescent="0.25">
      <c r="A140" s="187" t="str">
        <f>SERVICE</f>
        <v>(ELECTRIC SERVICE)</v>
      </c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</row>
    <row r="141" spans="1:19" ht="15.75" x14ac:dyDescent="0.25">
      <c r="A141" s="82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</row>
    <row r="142" spans="1:19" ht="15.75" x14ac:dyDescent="0.25">
      <c r="A142" s="159" t="str">
        <f>DATA_PERIOD</f>
        <v>DATA: __X__ BASE PERIOD   ____FORECASTED PERIOD</v>
      </c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2" t="s">
        <v>194</v>
      </c>
      <c r="S142" s="80"/>
    </row>
    <row r="143" spans="1:19" ht="15.75" x14ac:dyDescent="0.25">
      <c r="A143" s="159" t="str">
        <f>TYPE</f>
        <v>TYPE OF FILING: _X_ ORIGINAL   ___UPDATED  ___ REVISED</v>
      </c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2" t="s">
        <v>202</v>
      </c>
      <c r="S143" s="80"/>
    </row>
    <row r="144" spans="1:19" ht="15.75" x14ac:dyDescent="0.25">
      <c r="A144" s="82" t="s">
        <v>122</v>
      </c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2" t="s">
        <v>3</v>
      </c>
      <c r="S144" s="80"/>
    </row>
    <row r="145" spans="1:19" ht="16.5" customHeight="1" x14ac:dyDescent="0.25">
      <c r="A145" s="258" t="str">
        <f>TIME</f>
        <v>6 Months Actual and 6 Months Projected</v>
      </c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159" t="str">
        <f>WIT</f>
        <v>B. L. SAILERS</v>
      </c>
      <c r="S145" s="80"/>
    </row>
    <row r="146" spans="1:19" x14ac:dyDescent="0.2">
      <c r="A146" s="500" t="s">
        <v>548</v>
      </c>
      <c r="B146" s="500"/>
      <c r="C146" s="500"/>
      <c r="D146" s="500"/>
      <c r="E146" s="500"/>
      <c r="F146" s="500"/>
      <c r="G146" s="500"/>
      <c r="H146" s="500"/>
      <c r="I146" s="500"/>
      <c r="J146" s="500"/>
      <c r="K146" s="500"/>
      <c r="L146" s="500"/>
      <c r="M146" s="500"/>
      <c r="N146" s="500"/>
      <c r="O146" s="500"/>
      <c r="P146" s="500"/>
      <c r="Q146" s="500"/>
      <c r="R146" s="500"/>
      <c r="S146" s="500"/>
    </row>
    <row r="147" spans="1:19" ht="15.75" x14ac:dyDescent="0.25">
      <c r="A147" s="254"/>
      <c r="B147" s="254"/>
      <c r="C147" s="254"/>
      <c r="D147" s="254"/>
      <c r="E147" s="254"/>
      <c r="F147" s="254"/>
      <c r="G147" s="254"/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</row>
    <row r="148" spans="1:19" ht="15.75" x14ac:dyDescent="0.25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</row>
    <row r="149" spans="1:19" ht="15.75" x14ac:dyDescent="0.25">
      <c r="A149" s="80"/>
      <c r="B149" s="80"/>
      <c r="C149" s="80"/>
      <c r="D149" s="80"/>
      <c r="E149" s="80"/>
      <c r="F149" s="479" t="s">
        <v>485</v>
      </c>
      <c r="G149" s="480"/>
      <c r="H149" s="480"/>
      <c r="I149" s="480"/>
      <c r="J149" s="100"/>
      <c r="K149" s="499" t="s">
        <v>467</v>
      </c>
      <c r="L149" s="499"/>
      <c r="M149" s="499"/>
      <c r="N149" s="499"/>
      <c r="O149" s="499"/>
      <c r="P149" s="499"/>
      <c r="Q149" s="83" t="s">
        <v>11</v>
      </c>
      <c r="R149" s="83" t="s">
        <v>11</v>
      </c>
      <c r="S149" s="80"/>
    </row>
    <row r="150" spans="1:19" ht="17.100000000000001" customHeight="1" x14ac:dyDescent="0.25">
      <c r="A150" s="80"/>
      <c r="B150" s="80"/>
      <c r="C150" s="80"/>
      <c r="D150" s="83" t="s">
        <v>123</v>
      </c>
      <c r="E150" s="83" t="s">
        <v>123</v>
      </c>
      <c r="F150" s="80"/>
      <c r="G150" s="80"/>
      <c r="H150" s="83" t="s">
        <v>124</v>
      </c>
      <c r="I150" s="83" t="s">
        <v>125</v>
      </c>
      <c r="J150" s="83"/>
      <c r="K150" s="80"/>
      <c r="L150" s="80"/>
      <c r="M150" s="80"/>
      <c r="N150" s="80"/>
      <c r="O150" s="80"/>
      <c r="P150" s="80"/>
      <c r="Q150" s="83" t="s">
        <v>8</v>
      </c>
      <c r="R150" s="83" t="s">
        <v>6</v>
      </c>
      <c r="S150" s="83" t="s">
        <v>125</v>
      </c>
    </row>
    <row r="151" spans="1:19" ht="15.75" x14ac:dyDescent="0.25">
      <c r="A151" s="80"/>
      <c r="B151" s="80"/>
      <c r="C151" s="80"/>
      <c r="D151" s="83" t="s">
        <v>126</v>
      </c>
      <c r="E151" s="83" t="s">
        <v>126</v>
      </c>
      <c r="F151" s="83" t="s">
        <v>8</v>
      </c>
      <c r="G151" s="83" t="s">
        <v>6</v>
      </c>
      <c r="H151" s="83" t="s">
        <v>127</v>
      </c>
      <c r="I151" s="83" t="s">
        <v>127</v>
      </c>
      <c r="J151" s="83"/>
      <c r="K151" s="83" t="s">
        <v>306</v>
      </c>
      <c r="L151" s="83" t="s">
        <v>306</v>
      </c>
      <c r="M151" s="83" t="s">
        <v>306</v>
      </c>
      <c r="N151" s="83" t="s">
        <v>306</v>
      </c>
      <c r="O151" s="83" t="s">
        <v>306</v>
      </c>
      <c r="P151" s="83" t="s">
        <v>306</v>
      </c>
      <c r="Q151" s="83" t="s">
        <v>128</v>
      </c>
      <c r="R151" s="83" t="s">
        <v>128</v>
      </c>
      <c r="S151" s="83" t="s">
        <v>127</v>
      </c>
    </row>
    <row r="152" spans="1:19" ht="15.75" x14ac:dyDescent="0.25">
      <c r="A152" s="83" t="s">
        <v>17</v>
      </c>
      <c r="B152" s="80"/>
      <c r="C152" s="82" t="s">
        <v>18</v>
      </c>
      <c r="D152" s="83" t="s">
        <v>130</v>
      </c>
      <c r="E152" s="83" t="s">
        <v>131</v>
      </c>
      <c r="F152" s="83" t="s">
        <v>600</v>
      </c>
      <c r="G152" s="83" t="s">
        <v>600</v>
      </c>
      <c r="H152" s="256" t="s">
        <v>132</v>
      </c>
      <c r="I152" s="256" t="s">
        <v>133</v>
      </c>
      <c r="J152" s="83"/>
      <c r="K152" s="83" t="s">
        <v>465</v>
      </c>
      <c r="L152" s="196" t="s">
        <v>309</v>
      </c>
      <c r="M152" s="83" t="s">
        <v>714</v>
      </c>
      <c r="N152" s="83" t="s">
        <v>713</v>
      </c>
      <c r="O152" s="83" t="s">
        <v>712</v>
      </c>
      <c r="P152" s="83" t="s">
        <v>701</v>
      </c>
      <c r="Q152" s="481" t="s">
        <v>696</v>
      </c>
      <c r="R152" s="481" t="s">
        <v>700</v>
      </c>
      <c r="S152" s="481" t="s">
        <v>695</v>
      </c>
    </row>
    <row r="153" spans="1:19" ht="15.75" x14ac:dyDescent="0.25">
      <c r="A153" s="391" t="s">
        <v>24</v>
      </c>
      <c r="B153" s="390"/>
      <c r="C153" s="482" t="s">
        <v>25</v>
      </c>
      <c r="D153" s="485" t="s">
        <v>35</v>
      </c>
      <c r="E153" s="485" t="s">
        <v>36</v>
      </c>
      <c r="F153" s="485" t="s">
        <v>37</v>
      </c>
      <c r="G153" s="485" t="s">
        <v>38</v>
      </c>
      <c r="H153" s="485" t="s">
        <v>39</v>
      </c>
      <c r="I153" s="485" t="s">
        <v>40</v>
      </c>
      <c r="J153" s="485"/>
      <c r="K153" s="485" t="s">
        <v>41</v>
      </c>
      <c r="L153" s="485" t="s">
        <v>42</v>
      </c>
      <c r="M153" s="459" t="s">
        <v>43</v>
      </c>
      <c r="N153" s="459" t="s">
        <v>44</v>
      </c>
      <c r="O153" s="459" t="s">
        <v>45</v>
      </c>
      <c r="P153" s="486" t="s">
        <v>46</v>
      </c>
      <c r="Q153" s="486" t="s">
        <v>47</v>
      </c>
      <c r="R153" s="486" t="s">
        <v>48</v>
      </c>
      <c r="S153" s="486" t="s">
        <v>50</v>
      </c>
    </row>
    <row r="154" spans="1:19" ht="15.75" x14ac:dyDescent="0.25">
      <c r="A154" s="80"/>
      <c r="B154" s="80"/>
      <c r="C154" s="80"/>
      <c r="D154" s="259" t="s">
        <v>139</v>
      </c>
      <c r="E154" s="259" t="s">
        <v>51</v>
      </c>
      <c r="F154" s="259" t="s">
        <v>52</v>
      </c>
      <c r="G154" s="259" t="s">
        <v>52</v>
      </c>
      <c r="H154" s="259" t="s">
        <v>52</v>
      </c>
      <c r="I154" s="259" t="s">
        <v>53</v>
      </c>
      <c r="J154" s="259"/>
      <c r="K154" s="259" t="s">
        <v>52</v>
      </c>
      <c r="L154" s="259" t="s">
        <v>52</v>
      </c>
      <c r="M154" s="259" t="s">
        <v>52</v>
      </c>
      <c r="N154" s="259" t="s">
        <v>52</v>
      </c>
      <c r="O154" s="259" t="s">
        <v>52</v>
      </c>
      <c r="P154" s="259" t="s">
        <v>52</v>
      </c>
      <c r="Q154" s="259" t="s">
        <v>52</v>
      </c>
      <c r="R154" s="259" t="s">
        <v>52</v>
      </c>
      <c r="S154" s="259" t="s">
        <v>53</v>
      </c>
    </row>
    <row r="155" spans="1:19" ht="15.75" x14ac:dyDescent="0.25">
      <c r="A155" s="302">
        <v>1</v>
      </c>
      <c r="C155" s="82" t="s">
        <v>114</v>
      </c>
      <c r="D155" s="302">
        <v>100</v>
      </c>
      <c r="E155" s="79">
        <v>14400</v>
      </c>
      <c r="F155" s="162">
        <f t="shared" ref="F155:F178" si="50">IF($E155&gt;($D155*300),((($D155*300)*CUR_DP_KWH1)+(($E155-($D155*300))*CUR_DP_KWH2)+($D155*CUR_DP_DEMAND)+CUR_DP_CST),(($E155*CUR_DP_KWH1)+($D155*CUR_DP_DEMAND)+CUR_DP_CST))</f>
        <v>1543.3792000000001</v>
      </c>
      <c r="G155" s="162">
        <f t="shared" ref="G155:G178" si="51">IF($E155&gt;($D155*300),((($D155*300)*PRO_DP_KWH1)+(($E155-($D155*300))*PRO_DP_KWH2)+($D155*PRO_DP_DEMAND)+PRO_DP_CST),(($E155*PRO_DP_KWH1)+($D155*PRO_DP_DEMAND)+PRO_DP_CST))</f>
        <v>1831.3480000000002</v>
      </c>
      <c r="H155" s="162">
        <f t="shared" ref="H155:H178" si="52">G155-F155</f>
        <v>287.9688000000001</v>
      </c>
      <c r="I155" s="158">
        <f t="shared" ref="I155:I178" si="53">ROUND(H155/F155,3)*100</f>
        <v>18.7</v>
      </c>
      <c r="J155" s="162"/>
      <c r="K155" s="162">
        <f t="shared" ref="K155:K178" si="54">ROUND(E155*CUR_FAC,2)</f>
        <v>14.8</v>
      </c>
      <c r="L155" s="162">
        <f t="shared" ref="L155:L178" si="55">ROUND(E155*DSM_DIST,2)</f>
        <v>37.090000000000003</v>
      </c>
      <c r="M155" s="162">
        <f t="shared" ref="M155:M178" si="56">ROUND($G155*PRO_ESM,2)</f>
        <v>0</v>
      </c>
      <c r="N155" s="162">
        <f t="shared" ref="N155:N178" si="57">ROUND(PRO_DCI_DIST,2)</f>
        <v>0</v>
      </c>
      <c r="O155" s="162">
        <f t="shared" ref="O155:O178" si="58">ROUND($E155*PRO_FTR_DIST,2)</f>
        <v>0</v>
      </c>
      <c r="P155" s="162">
        <f t="shared" ref="P155:P178" si="59">ROUND(E155*RS_PSM,2)</f>
        <v>-6.57</v>
      </c>
      <c r="Q155" s="162">
        <f>F155+K155+L155+P155</f>
        <v>1588.6992</v>
      </c>
      <c r="R155" s="162">
        <f>G155+K155+L155+M155+N155+O155+P155</f>
        <v>1876.6680000000001</v>
      </c>
      <c r="S155" s="156">
        <f>ROUND((R155-Q155)/Q155,3)*100</f>
        <v>18.099999999999998</v>
      </c>
    </row>
    <row r="156" spans="1:19" x14ac:dyDescent="0.2">
      <c r="A156" s="302">
        <v>2</v>
      </c>
      <c r="D156" s="302">
        <v>100</v>
      </c>
      <c r="E156" s="79">
        <v>28800</v>
      </c>
      <c r="F156" s="162">
        <f t="shared" si="50"/>
        <v>2278.7584000000002</v>
      </c>
      <c r="G156" s="162">
        <f t="shared" si="51"/>
        <v>2703.9160000000006</v>
      </c>
      <c r="H156" s="162">
        <f t="shared" si="52"/>
        <v>425.15760000000046</v>
      </c>
      <c r="I156" s="158">
        <f t="shared" si="53"/>
        <v>18.7</v>
      </c>
      <c r="J156" s="162"/>
      <c r="K156" s="162">
        <f t="shared" si="54"/>
        <v>29.61</v>
      </c>
      <c r="L156" s="162">
        <f t="shared" si="55"/>
        <v>74.19</v>
      </c>
      <c r="M156" s="162">
        <f t="shared" si="56"/>
        <v>0</v>
      </c>
      <c r="N156" s="162">
        <f t="shared" si="57"/>
        <v>0</v>
      </c>
      <c r="O156" s="162">
        <f t="shared" si="58"/>
        <v>0</v>
      </c>
      <c r="P156" s="162">
        <f t="shared" si="59"/>
        <v>-13.13</v>
      </c>
      <c r="Q156" s="162">
        <f t="shared" ref="Q156:Q178" si="60">F156+K156+L156+P156</f>
        <v>2369.4284000000002</v>
      </c>
      <c r="R156" s="162">
        <f t="shared" ref="R156:R178" si="61">G156+K156+L156+M156+N156+O156+P156</f>
        <v>2794.5860000000007</v>
      </c>
      <c r="S156" s="156">
        <f t="shared" ref="S156:S178" si="62">ROUND((R156-Q156)/Q156,3)*100</f>
        <v>17.899999999999999</v>
      </c>
    </row>
    <row r="157" spans="1:19" x14ac:dyDescent="0.2">
      <c r="A157" s="302">
        <v>3</v>
      </c>
      <c r="D157" s="302">
        <v>100</v>
      </c>
      <c r="E157" s="79">
        <v>43200</v>
      </c>
      <c r="F157" s="162">
        <f t="shared" si="50"/>
        <v>2910.2536</v>
      </c>
      <c r="G157" s="162">
        <f t="shared" si="51"/>
        <v>3453.3544000000002</v>
      </c>
      <c r="H157" s="162">
        <f t="shared" si="52"/>
        <v>543.10080000000016</v>
      </c>
      <c r="I157" s="158">
        <f t="shared" si="53"/>
        <v>18.7</v>
      </c>
      <c r="J157" s="162"/>
      <c r="K157" s="162">
        <f t="shared" si="54"/>
        <v>44.41</v>
      </c>
      <c r="L157" s="162">
        <f t="shared" si="55"/>
        <v>111.28</v>
      </c>
      <c r="M157" s="162">
        <f t="shared" si="56"/>
        <v>0</v>
      </c>
      <c r="N157" s="162">
        <f t="shared" si="57"/>
        <v>0</v>
      </c>
      <c r="O157" s="162">
        <f t="shared" si="58"/>
        <v>0</v>
      </c>
      <c r="P157" s="162">
        <f t="shared" si="59"/>
        <v>-19.7</v>
      </c>
      <c r="Q157" s="162">
        <f t="shared" si="60"/>
        <v>3046.2436000000002</v>
      </c>
      <c r="R157" s="162">
        <f t="shared" si="61"/>
        <v>3589.3444000000004</v>
      </c>
      <c r="S157" s="156">
        <f t="shared" si="62"/>
        <v>17.8</v>
      </c>
    </row>
    <row r="158" spans="1:19" x14ac:dyDescent="0.2">
      <c r="A158" s="302">
        <v>4</v>
      </c>
      <c r="D158" s="302">
        <v>200</v>
      </c>
      <c r="E158" s="79">
        <v>28800</v>
      </c>
      <c r="F158" s="162">
        <f t="shared" si="50"/>
        <v>2986.7584000000002</v>
      </c>
      <c r="G158" s="162">
        <f t="shared" si="51"/>
        <v>3543.9160000000006</v>
      </c>
      <c r="H158" s="162">
        <f t="shared" si="52"/>
        <v>557.15760000000046</v>
      </c>
      <c r="I158" s="158">
        <f t="shared" si="53"/>
        <v>18.7</v>
      </c>
      <c r="J158" s="162"/>
      <c r="K158" s="162">
        <f t="shared" si="54"/>
        <v>29.61</v>
      </c>
      <c r="L158" s="162">
        <f t="shared" si="55"/>
        <v>74.19</v>
      </c>
      <c r="M158" s="162">
        <f t="shared" si="56"/>
        <v>0</v>
      </c>
      <c r="N158" s="162">
        <f t="shared" si="57"/>
        <v>0</v>
      </c>
      <c r="O158" s="162">
        <f t="shared" si="58"/>
        <v>0</v>
      </c>
      <c r="P158" s="162">
        <f t="shared" si="59"/>
        <v>-13.13</v>
      </c>
      <c r="Q158" s="162">
        <f t="shared" si="60"/>
        <v>3077.4284000000002</v>
      </c>
      <c r="R158" s="162">
        <f t="shared" si="61"/>
        <v>3634.5860000000007</v>
      </c>
      <c r="S158" s="156">
        <f t="shared" si="62"/>
        <v>18.099999999999998</v>
      </c>
    </row>
    <row r="159" spans="1:19" x14ac:dyDescent="0.2">
      <c r="A159" s="302">
        <v>5</v>
      </c>
      <c r="D159" s="302">
        <v>200</v>
      </c>
      <c r="E159" s="79">
        <v>57600</v>
      </c>
      <c r="F159" s="162">
        <f t="shared" si="50"/>
        <v>4457.5168000000003</v>
      </c>
      <c r="G159" s="162">
        <f t="shared" si="51"/>
        <v>5289.0520000000006</v>
      </c>
      <c r="H159" s="162">
        <f t="shared" si="52"/>
        <v>831.53520000000026</v>
      </c>
      <c r="I159" s="158">
        <f t="shared" si="53"/>
        <v>18.7</v>
      </c>
      <c r="J159" s="162"/>
      <c r="K159" s="162">
        <f t="shared" si="54"/>
        <v>59.21</v>
      </c>
      <c r="L159" s="162">
        <f t="shared" si="55"/>
        <v>148.38</v>
      </c>
      <c r="M159" s="162">
        <f t="shared" si="56"/>
        <v>0</v>
      </c>
      <c r="N159" s="162">
        <f t="shared" si="57"/>
        <v>0</v>
      </c>
      <c r="O159" s="162">
        <f t="shared" si="58"/>
        <v>0</v>
      </c>
      <c r="P159" s="162">
        <f t="shared" si="59"/>
        <v>-26.27</v>
      </c>
      <c r="Q159" s="162">
        <f t="shared" si="60"/>
        <v>4638.8368</v>
      </c>
      <c r="R159" s="162">
        <f t="shared" si="61"/>
        <v>5470.3720000000003</v>
      </c>
      <c r="S159" s="156">
        <f t="shared" si="62"/>
        <v>17.899999999999999</v>
      </c>
    </row>
    <row r="160" spans="1:19" x14ac:dyDescent="0.2">
      <c r="A160" s="302">
        <v>6</v>
      </c>
      <c r="D160" s="302">
        <v>200</v>
      </c>
      <c r="E160" s="79">
        <v>86400</v>
      </c>
      <c r="F160" s="162">
        <f t="shared" si="50"/>
        <v>5720.5072</v>
      </c>
      <c r="G160" s="162">
        <f t="shared" si="51"/>
        <v>6787.9287999999997</v>
      </c>
      <c r="H160" s="162">
        <f t="shared" si="52"/>
        <v>1067.4215999999997</v>
      </c>
      <c r="I160" s="158">
        <f t="shared" si="53"/>
        <v>18.7</v>
      </c>
      <c r="J160" s="162"/>
      <c r="K160" s="162">
        <f t="shared" si="54"/>
        <v>88.82</v>
      </c>
      <c r="L160" s="162">
        <f t="shared" si="55"/>
        <v>222.57</v>
      </c>
      <c r="M160" s="162">
        <f t="shared" si="56"/>
        <v>0</v>
      </c>
      <c r="N160" s="162">
        <f t="shared" si="57"/>
        <v>0</v>
      </c>
      <c r="O160" s="162">
        <f t="shared" si="58"/>
        <v>0</v>
      </c>
      <c r="P160" s="162">
        <f t="shared" si="59"/>
        <v>-39.4</v>
      </c>
      <c r="Q160" s="162">
        <f t="shared" si="60"/>
        <v>5992.4971999999998</v>
      </c>
      <c r="R160" s="162">
        <f t="shared" si="61"/>
        <v>7059.9187999999995</v>
      </c>
      <c r="S160" s="156">
        <f t="shared" si="62"/>
        <v>17.8</v>
      </c>
    </row>
    <row r="161" spans="1:19" x14ac:dyDescent="0.2">
      <c r="A161" s="302">
        <v>7</v>
      </c>
      <c r="D161" s="302">
        <v>300</v>
      </c>
      <c r="E161" s="79">
        <v>43200</v>
      </c>
      <c r="F161" s="162">
        <f t="shared" si="50"/>
        <v>4430.1376</v>
      </c>
      <c r="G161" s="162">
        <f t="shared" si="51"/>
        <v>5256.4839999999995</v>
      </c>
      <c r="H161" s="162">
        <f t="shared" si="52"/>
        <v>826.34639999999945</v>
      </c>
      <c r="I161" s="158">
        <f t="shared" si="53"/>
        <v>18.7</v>
      </c>
      <c r="J161" s="162"/>
      <c r="K161" s="162">
        <f t="shared" si="54"/>
        <v>44.41</v>
      </c>
      <c r="L161" s="162">
        <f t="shared" si="55"/>
        <v>111.28</v>
      </c>
      <c r="M161" s="162">
        <f t="shared" si="56"/>
        <v>0</v>
      </c>
      <c r="N161" s="162">
        <f t="shared" si="57"/>
        <v>0</v>
      </c>
      <c r="O161" s="162">
        <f t="shared" si="58"/>
        <v>0</v>
      </c>
      <c r="P161" s="162">
        <f t="shared" si="59"/>
        <v>-19.7</v>
      </c>
      <c r="Q161" s="162">
        <f t="shared" si="60"/>
        <v>4566.1275999999998</v>
      </c>
      <c r="R161" s="162">
        <f t="shared" si="61"/>
        <v>5392.4739999999993</v>
      </c>
      <c r="S161" s="156">
        <f t="shared" si="62"/>
        <v>18.099999999999998</v>
      </c>
    </row>
    <row r="162" spans="1:19" x14ac:dyDescent="0.2">
      <c r="A162" s="302">
        <v>8</v>
      </c>
      <c r="D162" s="302">
        <v>300</v>
      </c>
      <c r="E162" s="79">
        <v>86400</v>
      </c>
      <c r="F162" s="162">
        <f t="shared" si="50"/>
        <v>6636.2752</v>
      </c>
      <c r="G162" s="162">
        <f t="shared" si="51"/>
        <v>7874.1880000000001</v>
      </c>
      <c r="H162" s="162">
        <f t="shared" si="52"/>
        <v>1237.9128000000001</v>
      </c>
      <c r="I162" s="158">
        <f t="shared" si="53"/>
        <v>18.7</v>
      </c>
      <c r="J162" s="162"/>
      <c r="K162" s="162">
        <f t="shared" si="54"/>
        <v>88.82</v>
      </c>
      <c r="L162" s="162">
        <f t="shared" si="55"/>
        <v>222.57</v>
      </c>
      <c r="M162" s="162">
        <f t="shared" si="56"/>
        <v>0</v>
      </c>
      <c r="N162" s="162">
        <f t="shared" si="57"/>
        <v>0</v>
      </c>
      <c r="O162" s="162">
        <f t="shared" si="58"/>
        <v>0</v>
      </c>
      <c r="P162" s="162">
        <f t="shared" si="59"/>
        <v>-39.4</v>
      </c>
      <c r="Q162" s="162">
        <f t="shared" si="60"/>
        <v>6908.2651999999998</v>
      </c>
      <c r="R162" s="162">
        <f t="shared" si="61"/>
        <v>8146.1779999999999</v>
      </c>
      <c r="S162" s="156">
        <f t="shared" si="62"/>
        <v>17.899999999999999</v>
      </c>
    </row>
    <row r="163" spans="1:19" x14ac:dyDescent="0.2">
      <c r="A163" s="302">
        <v>9</v>
      </c>
      <c r="D163" s="302">
        <v>300</v>
      </c>
      <c r="E163" s="79">
        <v>129600</v>
      </c>
      <c r="F163" s="162">
        <f t="shared" si="50"/>
        <v>8530.7608</v>
      </c>
      <c r="G163" s="162">
        <f t="shared" si="51"/>
        <v>10122.503200000001</v>
      </c>
      <c r="H163" s="162">
        <f t="shared" si="52"/>
        <v>1591.742400000001</v>
      </c>
      <c r="I163" s="158">
        <f t="shared" si="53"/>
        <v>18.7</v>
      </c>
      <c r="J163" s="162"/>
      <c r="K163" s="162">
        <f t="shared" si="54"/>
        <v>133.22999999999999</v>
      </c>
      <c r="L163" s="162">
        <f t="shared" si="55"/>
        <v>333.85</v>
      </c>
      <c r="M163" s="162">
        <f t="shared" si="56"/>
        <v>0</v>
      </c>
      <c r="N163" s="162">
        <f t="shared" si="57"/>
        <v>0</v>
      </c>
      <c r="O163" s="162">
        <f t="shared" si="58"/>
        <v>0</v>
      </c>
      <c r="P163" s="162">
        <f t="shared" si="59"/>
        <v>-59.1</v>
      </c>
      <c r="Q163" s="162">
        <f t="shared" si="60"/>
        <v>8938.7407999999996</v>
      </c>
      <c r="R163" s="162">
        <f t="shared" si="61"/>
        <v>10530.483200000001</v>
      </c>
      <c r="S163" s="156">
        <f t="shared" si="62"/>
        <v>17.8</v>
      </c>
    </row>
    <row r="164" spans="1:19" x14ac:dyDescent="0.2">
      <c r="A164" s="302">
        <v>10</v>
      </c>
      <c r="D164" s="302">
        <v>500</v>
      </c>
      <c r="E164" s="79">
        <v>72000</v>
      </c>
      <c r="F164" s="162">
        <f t="shared" si="50"/>
        <v>7316.8960000000006</v>
      </c>
      <c r="G164" s="162">
        <f t="shared" si="51"/>
        <v>8681.6200000000008</v>
      </c>
      <c r="H164" s="162">
        <f t="shared" si="52"/>
        <v>1364.7240000000002</v>
      </c>
      <c r="I164" s="158">
        <f t="shared" si="53"/>
        <v>18.7</v>
      </c>
      <c r="J164" s="162"/>
      <c r="K164" s="162">
        <f t="shared" si="54"/>
        <v>74.02</v>
      </c>
      <c r="L164" s="162">
        <f t="shared" si="55"/>
        <v>185.47</v>
      </c>
      <c r="M164" s="162">
        <f t="shared" si="56"/>
        <v>0</v>
      </c>
      <c r="N164" s="162">
        <f t="shared" si="57"/>
        <v>0</v>
      </c>
      <c r="O164" s="162">
        <f t="shared" si="58"/>
        <v>0</v>
      </c>
      <c r="P164" s="162">
        <f t="shared" si="59"/>
        <v>-32.83</v>
      </c>
      <c r="Q164" s="162">
        <f t="shared" si="60"/>
        <v>7543.5560000000014</v>
      </c>
      <c r="R164" s="162">
        <f t="shared" si="61"/>
        <v>8908.2800000000007</v>
      </c>
      <c r="S164" s="156">
        <f t="shared" si="62"/>
        <v>18.099999999999998</v>
      </c>
    </row>
    <row r="165" spans="1:19" x14ac:dyDescent="0.2">
      <c r="A165" s="302">
        <v>11</v>
      </c>
      <c r="D165" s="302">
        <v>500</v>
      </c>
      <c r="E165" s="79">
        <v>144000</v>
      </c>
      <c r="F165" s="162">
        <f t="shared" si="50"/>
        <v>10993.792000000001</v>
      </c>
      <c r="G165" s="162">
        <f t="shared" si="51"/>
        <v>13044.460000000001</v>
      </c>
      <c r="H165" s="162">
        <f t="shared" si="52"/>
        <v>2050.6679999999997</v>
      </c>
      <c r="I165" s="158">
        <f t="shared" si="53"/>
        <v>18.7</v>
      </c>
      <c r="J165" s="162"/>
      <c r="K165" s="162">
        <f t="shared" si="54"/>
        <v>148.03</v>
      </c>
      <c r="L165" s="162">
        <f t="shared" si="55"/>
        <v>370.94</v>
      </c>
      <c r="M165" s="162">
        <f t="shared" si="56"/>
        <v>0</v>
      </c>
      <c r="N165" s="162">
        <f t="shared" si="57"/>
        <v>0</v>
      </c>
      <c r="O165" s="162">
        <f t="shared" si="58"/>
        <v>0</v>
      </c>
      <c r="P165" s="162">
        <f t="shared" si="59"/>
        <v>-65.66</v>
      </c>
      <c r="Q165" s="162">
        <f t="shared" si="60"/>
        <v>11447.102000000003</v>
      </c>
      <c r="R165" s="162">
        <f t="shared" si="61"/>
        <v>13497.770000000002</v>
      </c>
      <c r="S165" s="156">
        <f t="shared" si="62"/>
        <v>17.899999999999999</v>
      </c>
    </row>
    <row r="166" spans="1:19" x14ac:dyDescent="0.2">
      <c r="A166" s="302">
        <v>12</v>
      </c>
      <c r="D166" s="302">
        <v>500</v>
      </c>
      <c r="E166" s="79">
        <v>216000</v>
      </c>
      <c r="F166" s="162">
        <f t="shared" si="50"/>
        <v>14151.268</v>
      </c>
      <c r="G166" s="162">
        <f t="shared" si="51"/>
        <v>16791.651999999998</v>
      </c>
      <c r="H166" s="162">
        <f t="shared" si="52"/>
        <v>2640.3839999999982</v>
      </c>
      <c r="I166" s="158">
        <f t="shared" si="53"/>
        <v>18.7</v>
      </c>
      <c r="J166" s="162"/>
      <c r="K166" s="162">
        <f t="shared" si="54"/>
        <v>222.05</v>
      </c>
      <c r="L166" s="162">
        <f t="shared" si="55"/>
        <v>556.41999999999996</v>
      </c>
      <c r="M166" s="162">
        <f t="shared" si="56"/>
        <v>0</v>
      </c>
      <c r="N166" s="162">
        <f t="shared" si="57"/>
        <v>0</v>
      </c>
      <c r="O166" s="162">
        <f t="shared" si="58"/>
        <v>0</v>
      </c>
      <c r="P166" s="162">
        <f t="shared" si="59"/>
        <v>-98.5</v>
      </c>
      <c r="Q166" s="162">
        <f t="shared" si="60"/>
        <v>14831.237999999999</v>
      </c>
      <c r="R166" s="162">
        <f t="shared" si="61"/>
        <v>17471.621999999996</v>
      </c>
      <c r="S166" s="156">
        <f t="shared" si="62"/>
        <v>17.8</v>
      </c>
    </row>
    <row r="167" spans="1:19" x14ac:dyDescent="0.2">
      <c r="A167" s="302">
        <v>13</v>
      </c>
      <c r="D167" s="302">
        <v>800</v>
      </c>
      <c r="E167" s="79">
        <v>115200</v>
      </c>
      <c r="F167" s="162">
        <f t="shared" si="50"/>
        <v>11647.033600000001</v>
      </c>
      <c r="G167" s="162">
        <f t="shared" si="51"/>
        <v>13819.324000000002</v>
      </c>
      <c r="H167" s="162">
        <f t="shared" si="52"/>
        <v>2172.2904000000017</v>
      </c>
      <c r="I167" s="158">
        <f t="shared" si="53"/>
        <v>18.7</v>
      </c>
      <c r="J167" s="162"/>
      <c r="K167" s="162">
        <f t="shared" si="54"/>
        <v>118.43</v>
      </c>
      <c r="L167" s="162">
        <f t="shared" si="55"/>
        <v>296.76</v>
      </c>
      <c r="M167" s="162">
        <f t="shared" si="56"/>
        <v>0</v>
      </c>
      <c r="N167" s="162">
        <f t="shared" si="57"/>
        <v>0</v>
      </c>
      <c r="O167" s="162">
        <f t="shared" si="58"/>
        <v>0</v>
      </c>
      <c r="P167" s="162">
        <f t="shared" si="59"/>
        <v>-52.53</v>
      </c>
      <c r="Q167" s="162">
        <f t="shared" si="60"/>
        <v>12009.693600000001</v>
      </c>
      <c r="R167" s="162">
        <f t="shared" si="61"/>
        <v>14181.984000000002</v>
      </c>
      <c r="S167" s="156">
        <f t="shared" si="62"/>
        <v>18.099999999999998</v>
      </c>
    </row>
    <row r="168" spans="1:19" x14ac:dyDescent="0.2">
      <c r="A168" s="302">
        <v>14</v>
      </c>
      <c r="D168" s="302">
        <v>800</v>
      </c>
      <c r="E168" s="79">
        <v>230400</v>
      </c>
      <c r="F168" s="162">
        <f t="shared" si="50"/>
        <v>17530.067200000001</v>
      </c>
      <c r="G168" s="162">
        <f t="shared" si="51"/>
        <v>20799.868000000002</v>
      </c>
      <c r="H168" s="162">
        <f t="shared" si="52"/>
        <v>3269.8008000000009</v>
      </c>
      <c r="I168" s="158">
        <f t="shared" si="53"/>
        <v>18.7</v>
      </c>
      <c r="J168" s="162"/>
      <c r="K168" s="162">
        <f t="shared" si="54"/>
        <v>236.85</v>
      </c>
      <c r="L168" s="162">
        <f t="shared" si="55"/>
        <v>593.51</v>
      </c>
      <c r="M168" s="162">
        <f t="shared" si="56"/>
        <v>0</v>
      </c>
      <c r="N168" s="162">
        <f t="shared" si="57"/>
        <v>0</v>
      </c>
      <c r="O168" s="162">
        <f t="shared" si="58"/>
        <v>0</v>
      </c>
      <c r="P168" s="162">
        <f t="shared" si="59"/>
        <v>-105.06</v>
      </c>
      <c r="Q168" s="162">
        <f t="shared" si="60"/>
        <v>18255.367199999997</v>
      </c>
      <c r="R168" s="162">
        <f t="shared" si="61"/>
        <v>21525.167999999998</v>
      </c>
      <c r="S168" s="156">
        <f t="shared" si="62"/>
        <v>17.899999999999999</v>
      </c>
    </row>
    <row r="169" spans="1:19" x14ac:dyDescent="0.2">
      <c r="A169" s="302">
        <v>15</v>
      </c>
      <c r="D169" s="302">
        <v>800</v>
      </c>
      <c r="E169" s="79">
        <v>345600</v>
      </c>
      <c r="F169" s="162">
        <f t="shared" si="50"/>
        <v>22582.0288</v>
      </c>
      <c r="G169" s="162">
        <f t="shared" si="51"/>
        <v>26795.375199999999</v>
      </c>
      <c r="H169" s="162">
        <f t="shared" si="52"/>
        <v>4213.3463999999985</v>
      </c>
      <c r="I169" s="158">
        <f t="shared" si="53"/>
        <v>18.7</v>
      </c>
      <c r="J169" s="162"/>
      <c r="K169" s="162">
        <f t="shared" si="54"/>
        <v>355.28</v>
      </c>
      <c r="L169" s="162">
        <f t="shared" si="55"/>
        <v>890.27</v>
      </c>
      <c r="M169" s="162">
        <f t="shared" si="56"/>
        <v>0</v>
      </c>
      <c r="N169" s="162">
        <f t="shared" si="57"/>
        <v>0</v>
      </c>
      <c r="O169" s="162">
        <f t="shared" si="58"/>
        <v>0</v>
      </c>
      <c r="P169" s="162">
        <f t="shared" si="59"/>
        <v>-157.59</v>
      </c>
      <c r="Q169" s="162">
        <f t="shared" si="60"/>
        <v>23669.988799999999</v>
      </c>
      <c r="R169" s="162">
        <f t="shared" si="61"/>
        <v>27883.335199999998</v>
      </c>
      <c r="S169" s="156">
        <f t="shared" si="62"/>
        <v>17.8</v>
      </c>
    </row>
    <row r="170" spans="1:19" x14ac:dyDescent="0.2">
      <c r="A170" s="302">
        <v>16</v>
      </c>
      <c r="D170" s="302">
        <v>1000</v>
      </c>
      <c r="E170" s="79">
        <v>144000</v>
      </c>
      <c r="F170" s="162">
        <f t="shared" si="50"/>
        <v>14533.792000000001</v>
      </c>
      <c r="G170" s="162">
        <f t="shared" si="51"/>
        <v>17244.46</v>
      </c>
      <c r="H170" s="162">
        <f t="shared" si="52"/>
        <v>2710.6679999999978</v>
      </c>
      <c r="I170" s="158">
        <f t="shared" si="53"/>
        <v>18.7</v>
      </c>
      <c r="J170" s="162"/>
      <c r="K170" s="162">
        <f t="shared" si="54"/>
        <v>148.03</v>
      </c>
      <c r="L170" s="162">
        <f t="shared" si="55"/>
        <v>370.94</v>
      </c>
      <c r="M170" s="162">
        <f t="shared" si="56"/>
        <v>0</v>
      </c>
      <c r="N170" s="162">
        <f t="shared" si="57"/>
        <v>0</v>
      </c>
      <c r="O170" s="162">
        <f t="shared" si="58"/>
        <v>0</v>
      </c>
      <c r="P170" s="162">
        <f t="shared" si="59"/>
        <v>-65.66</v>
      </c>
      <c r="Q170" s="162">
        <f t="shared" si="60"/>
        <v>14987.102000000003</v>
      </c>
      <c r="R170" s="162">
        <f t="shared" si="61"/>
        <v>17697.769999999997</v>
      </c>
      <c r="S170" s="156">
        <f t="shared" si="62"/>
        <v>18.099999999999998</v>
      </c>
    </row>
    <row r="171" spans="1:19" x14ac:dyDescent="0.2">
      <c r="A171" s="302">
        <v>17</v>
      </c>
      <c r="D171" s="302">
        <v>1000</v>
      </c>
      <c r="E171" s="79">
        <v>288000</v>
      </c>
      <c r="F171" s="162">
        <f t="shared" si="50"/>
        <v>21887.584000000003</v>
      </c>
      <c r="G171" s="162">
        <f t="shared" si="51"/>
        <v>25970.14</v>
      </c>
      <c r="H171" s="162">
        <f t="shared" si="52"/>
        <v>4082.5559999999969</v>
      </c>
      <c r="I171" s="158">
        <f t="shared" si="53"/>
        <v>18.7</v>
      </c>
      <c r="J171" s="162"/>
      <c r="K171" s="162">
        <f t="shared" si="54"/>
        <v>296.06</v>
      </c>
      <c r="L171" s="162">
        <f t="shared" si="55"/>
        <v>741.89</v>
      </c>
      <c r="M171" s="162">
        <f t="shared" si="56"/>
        <v>0</v>
      </c>
      <c r="N171" s="162">
        <f t="shared" si="57"/>
        <v>0</v>
      </c>
      <c r="O171" s="162">
        <f t="shared" si="58"/>
        <v>0</v>
      </c>
      <c r="P171" s="162">
        <f t="shared" si="59"/>
        <v>-131.33000000000001</v>
      </c>
      <c r="Q171" s="162">
        <f t="shared" si="60"/>
        <v>22794.204000000002</v>
      </c>
      <c r="R171" s="162">
        <f t="shared" si="61"/>
        <v>26876.76</v>
      </c>
      <c r="S171" s="156">
        <f t="shared" si="62"/>
        <v>17.899999999999999</v>
      </c>
    </row>
    <row r="172" spans="1:19" x14ac:dyDescent="0.2">
      <c r="A172" s="302">
        <v>18</v>
      </c>
      <c r="D172" s="302">
        <v>1000</v>
      </c>
      <c r="E172" s="79">
        <v>432000</v>
      </c>
      <c r="F172" s="162">
        <f t="shared" si="50"/>
        <v>28202.536</v>
      </c>
      <c r="G172" s="162">
        <f t="shared" si="51"/>
        <v>33464.523999999998</v>
      </c>
      <c r="H172" s="162">
        <f t="shared" si="52"/>
        <v>5261.9879999999976</v>
      </c>
      <c r="I172" s="158">
        <f t="shared" si="53"/>
        <v>18.7</v>
      </c>
      <c r="J172" s="162"/>
      <c r="K172" s="162">
        <f t="shared" si="54"/>
        <v>444.1</v>
      </c>
      <c r="L172" s="162">
        <f t="shared" si="55"/>
        <v>1112.83</v>
      </c>
      <c r="M172" s="162">
        <f t="shared" si="56"/>
        <v>0</v>
      </c>
      <c r="N172" s="162">
        <f t="shared" si="57"/>
        <v>0</v>
      </c>
      <c r="O172" s="162">
        <f t="shared" si="58"/>
        <v>0</v>
      </c>
      <c r="P172" s="162">
        <f t="shared" si="59"/>
        <v>-196.99</v>
      </c>
      <c r="Q172" s="162">
        <f t="shared" si="60"/>
        <v>29562.475999999999</v>
      </c>
      <c r="R172" s="162">
        <f t="shared" si="61"/>
        <v>34824.464</v>
      </c>
      <c r="S172" s="156">
        <f t="shared" si="62"/>
        <v>17.8</v>
      </c>
    </row>
    <row r="173" spans="1:19" x14ac:dyDescent="0.2">
      <c r="A173" s="302">
        <v>19</v>
      </c>
      <c r="D173" s="302">
        <v>1500</v>
      </c>
      <c r="E173" s="79">
        <v>216000</v>
      </c>
      <c r="F173" s="162">
        <f t="shared" si="50"/>
        <v>21750.688000000002</v>
      </c>
      <c r="G173" s="162">
        <f t="shared" si="51"/>
        <v>25807.3</v>
      </c>
      <c r="H173" s="162">
        <f t="shared" si="52"/>
        <v>4056.6119999999974</v>
      </c>
      <c r="I173" s="158">
        <f t="shared" si="53"/>
        <v>18.7</v>
      </c>
      <c r="J173" s="162"/>
      <c r="K173" s="162">
        <f t="shared" si="54"/>
        <v>222.05</v>
      </c>
      <c r="L173" s="162">
        <f t="shared" si="55"/>
        <v>556.41999999999996</v>
      </c>
      <c r="M173" s="162">
        <f t="shared" si="56"/>
        <v>0</v>
      </c>
      <c r="N173" s="162">
        <f t="shared" si="57"/>
        <v>0</v>
      </c>
      <c r="O173" s="162">
        <f t="shared" si="58"/>
        <v>0</v>
      </c>
      <c r="P173" s="162">
        <f t="shared" si="59"/>
        <v>-98.5</v>
      </c>
      <c r="Q173" s="162">
        <f t="shared" si="60"/>
        <v>22430.657999999999</v>
      </c>
      <c r="R173" s="162">
        <f t="shared" si="61"/>
        <v>26487.269999999997</v>
      </c>
      <c r="S173" s="156">
        <f t="shared" si="62"/>
        <v>18.099999999999998</v>
      </c>
    </row>
    <row r="174" spans="1:19" x14ac:dyDescent="0.2">
      <c r="A174" s="302">
        <v>20</v>
      </c>
      <c r="D174" s="302">
        <v>1500</v>
      </c>
      <c r="E174" s="79">
        <v>432000</v>
      </c>
      <c r="F174" s="162">
        <f t="shared" si="50"/>
        <v>32781.376000000004</v>
      </c>
      <c r="G174" s="162">
        <f t="shared" si="51"/>
        <v>38895.82</v>
      </c>
      <c r="H174" s="162">
        <f t="shared" si="52"/>
        <v>6114.4439999999959</v>
      </c>
      <c r="I174" s="158">
        <f t="shared" si="53"/>
        <v>18.7</v>
      </c>
      <c r="J174" s="162"/>
      <c r="K174" s="162">
        <f t="shared" si="54"/>
        <v>444.1</v>
      </c>
      <c r="L174" s="162">
        <f t="shared" si="55"/>
        <v>1112.83</v>
      </c>
      <c r="M174" s="162">
        <f t="shared" si="56"/>
        <v>0</v>
      </c>
      <c r="N174" s="162">
        <f t="shared" si="57"/>
        <v>0</v>
      </c>
      <c r="O174" s="162">
        <f t="shared" si="58"/>
        <v>0</v>
      </c>
      <c r="P174" s="162">
        <f t="shared" si="59"/>
        <v>-196.99</v>
      </c>
      <c r="Q174" s="162">
        <f t="shared" si="60"/>
        <v>34141.316000000006</v>
      </c>
      <c r="R174" s="162">
        <f t="shared" si="61"/>
        <v>40255.760000000002</v>
      </c>
      <c r="S174" s="156">
        <f t="shared" si="62"/>
        <v>17.899999999999999</v>
      </c>
    </row>
    <row r="175" spans="1:19" x14ac:dyDescent="0.2">
      <c r="A175" s="302">
        <v>21</v>
      </c>
      <c r="D175" s="302">
        <v>1500</v>
      </c>
      <c r="E175" s="79">
        <v>648000</v>
      </c>
      <c r="F175" s="162">
        <f t="shared" si="50"/>
        <v>42253.804000000004</v>
      </c>
      <c r="G175" s="162">
        <f t="shared" si="51"/>
        <v>50137.396000000001</v>
      </c>
      <c r="H175" s="162">
        <f t="shared" si="52"/>
        <v>7883.5919999999969</v>
      </c>
      <c r="I175" s="158">
        <f t="shared" si="53"/>
        <v>18.7</v>
      </c>
      <c r="J175" s="162"/>
      <c r="K175" s="162">
        <f t="shared" si="54"/>
        <v>666.14</v>
      </c>
      <c r="L175" s="162">
        <f t="shared" si="55"/>
        <v>1669.25</v>
      </c>
      <c r="M175" s="162">
        <f t="shared" si="56"/>
        <v>0</v>
      </c>
      <c r="N175" s="162">
        <f t="shared" si="57"/>
        <v>0</v>
      </c>
      <c r="O175" s="162">
        <f t="shared" si="58"/>
        <v>0</v>
      </c>
      <c r="P175" s="162">
        <f t="shared" si="59"/>
        <v>-295.49</v>
      </c>
      <c r="Q175" s="162">
        <f t="shared" si="60"/>
        <v>44293.704000000005</v>
      </c>
      <c r="R175" s="162">
        <f t="shared" si="61"/>
        <v>52177.296000000002</v>
      </c>
      <c r="S175" s="156">
        <f t="shared" si="62"/>
        <v>17.8</v>
      </c>
    </row>
    <row r="176" spans="1:19" x14ac:dyDescent="0.2">
      <c r="A176" s="302">
        <v>22</v>
      </c>
      <c r="D176" s="302">
        <v>3000</v>
      </c>
      <c r="E176" s="79">
        <v>432000</v>
      </c>
      <c r="F176" s="162">
        <f t="shared" si="50"/>
        <v>43401.376000000004</v>
      </c>
      <c r="G176" s="162">
        <f t="shared" si="51"/>
        <v>51495.82</v>
      </c>
      <c r="H176" s="162">
        <f t="shared" si="52"/>
        <v>8094.4439999999959</v>
      </c>
      <c r="I176" s="158">
        <f t="shared" si="53"/>
        <v>18.7</v>
      </c>
      <c r="J176" s="162"/>
      <c r="K176" s="162">
        <f t="shared" si="54"/>
        <v>444.1</v>
      </c>
      <c r="L176" s="162">
        <f t="shared" si="55"/>
        <v>1112.83</v>
      </c>
      <c r="M176" s="162">
        <f t="shared" si="56"/>
        <v>0</v>
      </c>
      <c r="N176" s="162">
        <f t="shared" si="57"/>
        <v>0</v>
      </c>
      <c r="O176" s="162">
        <f t="shared" si="58"/>
        <v>0</v>
      </c>
      <c r="P176" s="162">
        <f t="shared" si="59"/>
        <v>-196.99</v>
      </c>
      <c r="Q176" s="162">
        <f t="shared" si="60"/>
        <v>44761.316000000006</v>
      </c>
      <c r="R176" s="162">
        <f t="shared" si="61"/>
        <v>52855.76</v>
      </c>
      <c r="S176" s="156">
        <f t="shared" si="62"/>
        <v>18.099999999999998</v>
      </c>
    </row>
    <row r="177" spans="1:19" x14ac:dyDescent="0.2">
      <c r="A177" s="302">
        <v>23</v>
      </c>
      <c r="D177" s="302">
        <v>3000</v>
      </c>
      <c r="E177" s="79">
        <v>864000</v>
      </c>
      <c r="F177" s="162">
        <f t="shared" si="50"/>
        <v>65462.752</v>
      </c>
      <c r="G177" s="162">
        <f t="shared" si="51"/>
        <v>77672.86</v>
      </c>
      <c r="H177" s="162">
        <f t="shared" si="52"/>
        <v>12210.108</v>
      </c>
      <c r="I177" s="158">
        <f t="shared" si="53"/>
        <v>18.7</v>
      </c>
      <c r="J177" s="162"/>
      <c r="K177" s="162">
        <f t="shared" si="54"/>
        <v>888.19</v>
      </c>
      <c r="L177" s="162">
        <f t="shared" si="55"/>
        <v>2225.66</v>
      </c>
      <c r="M177" s="162">
        <f t="shared" si="56"/>
        <v>0</v>
      </c>
      <c r="N177" s="162">
        <f t="shared" si="57"/>
        <v>0</v>
      </c>
      <c r="O177" s="162">
        <f t="shared" si="58"/>
        <v>0</v>
      </c>
      <c r="P177" s="162">
        <f t="shared" si="59"/>
        <v>-393.98</v>
      </c>
      <c r="Q177" s="162">
        <f t="shared" si="60"/>
        <v>68182.622000000003</v>
      </c>
      <c r="R177" s="162">
        <f t="shared" si="61"/>
        <v>80392.73000000001</v>
      </c>
      <c r="S177" s="156">
        <f t="shared" si="62"/>
        <v>17.899999999999999</v>
      </c>
    </row>
    <row r="178" spans="1:19" x14ac:dyDescent="0.2">
      <c r="A178" s="302">
        <v>24</v>
      </c>
      <c r="D178" s="302">
        <v>3000</v>
      </c>
      <c r="E178" s="79">
        <v>1296000</v>
      </c>
      <c r="F178" s="162">
        <f t="shared" si="50"/>
        <v>84407.608000000007</v>
      </c>
      <c r="G178" s="162">
        <f t="shared" si="51"/>
        <v>100156.012</v>
      </c>
      <c r="H178" s="162">
        <f t="shared" si="52"/>
        <v>15748.403999999995</v>
      </c>
      <c r="I178" s="158">
        <f t="shared" si="53"/>
        <v>18.7</v>
      </c>
      <c r="J178" s="162"/>
      <c r="K178" s="162">
        <f t="shared" si="54"/>
        <v>1332.29</v>
      </c>
      <c r="L178" s="162">
        <f t="shared" si="55"/>
        <v>3338.5</v>
      </c>
      <c r="M178" s="162">
        <f t="shared" si="56"/>
        <v>0</v>
      </c>
      <c r="N178" s="162">
        <f t="shared" si="57"/>
        <v>0</v>
      </c>
      <c r="O178" s="162">
        <f t="shared" si="58"/>
        <v>0</v>
      </c>
      <c r="P178" s="162">
        <f t="shared" si="59"/>
        <v>-590.98</v>
      </c>
      <c r="Q178" s="162">
        <f t="shared" si="60"/>
        <v>88487.418000000005</v>
      </c>
      <c r="R178" s="162">
        <f t="shared" si="61"/>
        <v>104235.822</v>
      </c>
      <c r="S178" s="156">
        <f t="shared" si="62"/>
        <v>17.8</v>
      </c>
    </row>
    <row r="179" spans="1:19" x14ac:dyDescent="0.2">
      <c r="A179" s="484" t="s">
        <v>195</v>
      </c>
    </row>
    <row r="180" spans="1:19" x14ac:dyDescent="0.2">
      <c r="H180" s="162"/>
      <c r="I180" s="158"/>
      <c r="J180" s="158"/>
      <c r="K180" s="162"/>
      <c r="L180" s="162"/>
      <c r="M180" s="162"/>
      <c r="N180" s="162"/>
      <c r="O180" s="162"/>
      <c r="P180" s="162"/>
      <c r="Q180" s="162"/>
      <c r="R180" s="162"/>
      <c r="S180" s="158"/>
    </row>
    <row r="181" spans="1:19" ht="15.75" x14ac:dyDescent="0.25">
      <c r="C181" s="82" t="str">
        <f>"(1) REFLECTS FUEL ADJUSTMENT COMPONENT (FAC) OF "&amp;TEXT(CUR_FAC,"$0.000000;($0.000000)")&amp;" PER KWH."</f>
        <v>(1) REFLECTS FUEL ADJUSTMENT COMPONENT (FAC) OF $0.001028 PER KWH.</v>
      </c>
      <c r="H181" s="162"/>
      <c r="I181" s="158"/>
      <c r="J181" s="158"/>
      <c r="K181" s="162"/>
      <c r="L181" s="162"/>
      <c r="M181" s="162"/>
      <c r="N181" s="162"/>
      <c r="O181" s="162"/>
      <c r="P181" s="162"/>
      <c r="Q181" s="162"/>
      <c r="R181" s="162"/>
      <c r="S181" s="158"/>
    </row>
    <row r="182" spans="1:19" ht="15.75" x14ac:dyDescent="0.25">
      <c r="A182" s="484" t="s">
        <v>195</v>
      </c>
      <c r="C182" s="82" t="str">
        <f>"(2) RIDER DSMR "&amp;TEXT(DSM_DIST,"$0.000000;($0.000000)")&amp;" PER KWH."</f>
        <v>(2) RIDER DSMR $0.002576 PER KWH.</v>
      </c>
      <c r="H182" s="162"/>
      <c r="K182" s="162"/>
      <c r="L182" s="162"/>
      <c r="M182" s="162"/>
      <c r="N182" s="162"/>
      <c r="O182" s="162"/>
      <c r="P182" s="162"/>
    </row>
    <row r="183" spans="1:19" ht="15.75" x14ac:dyDescent="0.25">
      <c r="A183" s="484"/>
      <c r="C183" s="82" t="str">
        <f>"(3) RIDER ESM "&amp;TEXT(PRO_ESM,"$0.000000;($0.000000)")&amp;"  PER KWH FOR CURRENT BILL ONLY."</f>
        <v>(3) RIDER ESM $0.000000  PER KWH FOR CURRENT BILL ONLY.</v>
      </c>
      <c r="H183" s="162"/>
      <c r="K183" s="162"/>
      <c r="L183" s="162"/>
      <c r="M183" s="162"/>
      <c r="N183" s="162"/>
      <c r="O183" s="162"/>
      <c r="P183" s="162"/>
    </row>
    <row r="184" spans="1:19" ht="15.75" x14ac:dyDescent="0.25">
      <c r="A184" s="484"/>
      <c r="C184" s="82" t="str">
        <f>"(4) RIDER DCI  "&amp;TEXT(PRO_DCI_DIST,"$0.00;($0.00)")&amp;" PER BILL FOR PROPOSED BILL ONLY."</f>
        <v>(4) RIDER DCI  $0.00 PER BILL FOR PROPOSED BILL ONLY.</v>
      </c>
      <c r="H184" s="162"/>
      <c r="K184" s="162"/>
      <c r="L184" s="162"/>
      <c r="M184" s="162"/>
      <c r="N184" s="162"/>
      <c r="O184" s="162"/>
      <c r="P184" s="162"/>
    </row>
    <row r="185" spans="1:19" ht="15.75" x14ac:dyDescent="0.25">
      <c r="A185" s="484"/>
      <c r="C185" s="82" t="str">
        <f>"(5) RIDER FTR "&amp;TEXT(PRO_FTR_DIST,"$0.000000;($0.000000)")&amp;"  PER KW FOR PROPOSED BILL ONLY."</f>
        <v>(5) RIDER FTR $0.000000  PER KW FOR PROPOSED BILL ONLY.</v>
      </c>
      <c r="H185" s="162"/>
      <c r="K185" s="162"/>
      <c r="L185" s="162"/>
      <c r="M185" s="162"/>
      <c r="N185" s="162"/>
      <c r="O185" s="162"/>
      <c r="P185" s="162"/>
    </row>
    <row r="186" spans="1:19" ht="15.75" x14ac:dyDescent="0.25">
      <c r="A186" s="484"/>
      <c r="C186" s="82" t="str">
        <f>"(6) RIDER PSM "&amp;TEXT(RS_PSM,"$0.000000;($0.000000)")&amp;"  PER KWH."</f>
        <v>(6) RIDER PSM ($0.000456)  PER KWH.</v>
      </c>
      <c r="H186" s="162"/>
      <c r="K186" s="162"/>
      <c r="L186" s="162"/>
      <c r="M186" s="162"/>
      <c r="N186" s="162"/>
      <c r="O186" s="162"/>
      <c r="P186" s="162"/>
    </row>
    <row r="187" spans="1:19" ht="15.75" x14ac:dyDescent="0.25">
      <c r="C187" s="82" t="str">
        <f>"(7) REFLECTS FUEL COST RECOVERY INCLUDED IN BASE RATES OF "&amp;TEXT(CUR_BASE_FUEL,"$0.000000;($0.000000)")&amp;"  PER KWH."</f>
        <v>(7) REFLECTS FUEL COST RECOVERY INCLUDED IN BASE RATES OF $0.023837  PER KWH.</v>
      </c>
    </row>
    <row r="188" spans="1:19" ht="15.75" x14ac:dyDescent="0.25">
      <c r="A188" s="150" t="str">
        <f>NAME</f>
        <v>DUKE ENERGY KENTUCKY, INC.</v>
      </c>
      <c r="B188" s="150"/>
      <c r="C188" s="150"/>
      <c r="D188" s="150"/>
      <c r="E188" s="150"/>
      <c r="F188" s="150"/>
      <c r="G188" s="187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</row>
    <row r="189" spans="1:19" ht="15.75" x14ac:dyDescent="0.25">
      <c r="A189" s="150" t="str">
        <f>CASE_NO</f>
        <v>CASE NO.   2017-00321</v>
      </c>
      <c r="B189" s="150"/>
      <c r="C189" s="150"/>
      <c r="D189" s="150"/>
      <c r="E189" s="150"/>
      <c r="F189" s="150"/>
      <c r="G189" s="187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</row>
    <row r="190" spans="1:19" ht="15.75" x14ac:dyDescent="0.25">
      <c r="A190" s="187" t="s">
        <v>193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</row>
    <row r="191" spans="1:19" ht="15.75" x14ac:dyDescent="0.25">
      <c r="A191" s="187" t="str">
        <f>SERVICE</f>
        <v>(ELECTRIC SERVICE)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</row>
    <row r="192" spans="1:19" ht="15.75" x14ac:dyDescent="0.25">
      <c r="A192" s="82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</row>
    <row r="193" spans="1:28" ht="15.75" x14ac:dyDescent="0.25">
      <c r="A193" s="159" t="str">
        <f>DATA_PERIOD</f>
        <v>DATA: __X__ BASE PERIOD   ____FORECASTED PERIOD</v>
      </c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2" t="s">
        <v>194</v>
      </c>
      <c r="S193" s="80"/>
    </row>
    <row r="194" spans="1:28" ht="15.75" x14ac:dyDescent="0.25">
      <c r="A194" s="159" t="str">
        <f>TYPE</f>
        <v>TYPE OF FILING: _X_ ORIGINAL   ___UPDATED  ___ REVISED</v>
      </c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2" t="s">
        <v>145</v>
      </c>
      <c r="S194" s="80"/>
    </row>
    <row r="195" spans="1:28" ht="15.75" x14ac:dyDescent="0.25">
      <c r="A195" s="82" t="s">
        <v>122</v>
      </c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2" t="s">
        <v>3</v>
      </c>
      <c r="S195" s="80"/>
    </row>
    <row r="196" spans="1:28" ht="15.75" x14ac:dyDescent="0.25">
      <c r="A196" s="258" t="str">
        <f>TIME</f>
        <v>6 Months Actual and 6 Months Projected</v>
      </c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159" t="str">
        <f>WIT</f>
        <v>B. L. SAILERS</v>
      </c>
      <c r="S196" s="80"/>
    </row>
    <row r="197" spans="1:28" x14ac:dyDescent="0.2">
      <c r="A197" s="500" t="s">
        <v>548</v>
      </c>
      <c r="B197" s="500"/>
      <c r="C197" s="500"/>
      <c r="D197" s="500"/>
      <c r="E197" s="500"/>
      <c r="F197" s="500"/>
      <c r="G197" s="500"/>
      <c r="H197" s="500"/>
      <c r="I197" s="500"/>
      <c r="J197" s="500"/>
      <c r="K197" s="500"/>
      <c r="L197" s="500"/>
      <c r="M197" s="500"/>
      <c r="N197" s="500"/>
      <c r="O197" s="500"/>
      <c r="P197" s="500"/>
      <c r="Q197" s="500"/>
      <c r="R197" s="500"/>
      <c r="S197" s="500"/>
    </row>
    <row r="198" spans="1:28" ht="15.75" x14ac:dyDescent="0.25">
      <c r="A198" s="254"/>
      <c r="B198" s="254"/>
      <c r="C198" s="254"/>
      <c r="D198" s="254"/>
      <c r="E198" s="254"/>
      <c r="F198" s="254"/>
      <c r="G198" s="254"/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</row>
    <row r="199" spans="1:28" ht="15.75" x14ac:dyDescent="0.25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</row>
    <row r="200" spans="1:28" ht="15.75" x14ac:dyDescent="0.25">
      <c r="A200" s="80"/>
      <c r="B200" s="80"/>
      <c r="C200" s="80"/>
      <c r="D200" s="80"/>
      <c r="E200" s="80"/>
      <c r="F200" s="479" t="s">
        <v>485</v>
      </c>
      <c r="G200" s="480"/>
      <c r="H200" s="480"/>
      <c r="I200" s="480"/>
      <c r="J200" s="100"/>
      <c r="K200" s="499" t="s">
        <v>467</v>
      </c>
      <c r="L200" s="499"/>
      <c r="M200" s="499"/>
      <c r="N200" s="499"/>
      <c r="O200" s="499"/>
      <c r="P200" s="499"/>
      <c r="Q200" s="83" t="s">
        <v>11</v>
      </c>
      <c r="R200" s="83" t="s">
        <v>11</v>
      </c>
      <c r="S200" s="80"/>
    </row>
    <row r="201" spans="1:28" ht="17.100000000000001" customHeight="1" x14ac:dyDescent="0.25">
      <c r="A201" s="80"/>
      <c r="B201" s="80"/>
      <c r="C201" s="80"/>
      <c r="D201" s="83" t="s">
        <v>123</v>
      </c>
      <c r="E201" s="83" t="s">
        <v>123</v>
      </c>
      <c r="F201" s="80"/>
      <c r="G201" s="80"/>
      <c r="H201" s="83" t="s">
        <v>124</v>
      </c>
      <c r="I201" s="83" t="s">
        <v>125</v>
      </c>
      <c r="J201" s="83"/>
      <c r="K201" s="80"/>
      <c r="L201" s="80"/>
      <c r="M201" s="80"/>
      <c r="N201" s="80"/>
      <c r="O201" s="80"/>
      <c r="P201" s="80"/>
      <c r="Q201" s="83" t="s">
        <v>8</v>
      </c>
      <c r="R201" s="83" t="s">
        <v>6</v>
      </c>
      <c r="S201" s="83" t="s">
        <v>125</v>
      </c>
    </row>
    <row r="202" spans="1:28" ht="15.75" x14ac:dyDescent="0.25">
      <c r="A202" s="80"/>
      <c r="B202" s="80"/>
      <c r="C202" s="80"/>
      <c r="D202" s="83" t="s">
        <v>126</v>
      </c>
      <c r="E202" s="83" t="s">
        <v>126</v>
      </c>
      <c r="F202" s="83" t="s">
        <v>8</v>
      </c>
      <c r="G202" s="83" t="s">
        <v>6</v>
      </c>
      <c r="H202" s="83" t="s">
        <v>127</v>
      </c>
      <c r="I202" s="83" t="s">
        <v>127</v>
      </c>
      <c r="J202" s="83"/>
      <c r="K202" s="83" t="s">
        <v>306</v>
      </c>
      <c r="L202" s="83" t="s">
        <v>306</v>
      </c>
      <c r="M202" s="83" t="s">
        <v>306</v>
      </c>
      <c r="N202" s="83"/>
      <c r="O202" s="83" t="s">
        <v>306</v>
      </c>
      <c r="P202" s="83" t="s">
        <v>306</v>
      </c>
      <c r="Q202" s="83" t="s">
        <v>128</v>
      </c>
      <c r="R202" s="83" t="s">
        <v>601</v>
      </c>
      <c r="S202" s="83" t="s">
        <v>127</v>
      </c>
    </row>
    <row r="203" spans="1:28" ht="15.75" x14ac:dyDescent="0.25">
      <c r="A203" s="83" t="s">
        <v>17</v>
      </c>
      <c r="B203" s="80"/>
      <c r="C203" s="82" t="s">
        <v>18</v>
      </c>
      <c r="D203" s="83" t="s">
        <v>130</v>
      </c>
      <c r="E203" s="83" t="s">
        <v>131</v>
      </c>
      <c r="F203" s="83" t="s">
        <v>704</v>
      </c>
      <c r="G203" s="83" t="s">
        <v>704</v>
      </c>
      <c r="H203" s="256" t="s">
        <v>132</v>
      </c>
      <c r="I203" s="256" t="s">
        <v>133</v>
      </c>
      <c r="J203" s="83"/>
      <c r="K203" s="83" t="s">
        <v>465</v>
      </c>
      <c r="L203" s="196" t="s">
        <v>309</v>
      </c>
      <c r="M203" s="83" t="s">
        <v>714</v>
      </c>
      <c r="N203" s="83"/>
      <c r="O203" s="83" t="s">
        <v>715</v>
      </c>
      <c r="P203" s="83" t="s">
        <v>468</v>
      </c>
      <c r="Q203" s="481" t="s">
        <v>696</v>
      </c>
      <c r="R203" s="481" t="s">
        <v>702</v>
      </c>
      <c r="S203" s="481" t="s">
        <v>695</v>
      </c>
    </row>
    <row r="204" spans="1:28" ht="15.75" x14ac:dyDescent="0.25">
      <c r="A204" s="391" t="s">
        <v>24</v>
      </c>
      <c r="B204" s="390"/>
      <c r="C204" s="482" t="s">
        <v>25</v>
      </c>
      <c r="D204" s="485" t="s">
        <v>35</v>
      </c>
      <c r="E204" s="485" t="s">
        <v>36</v>
      </c>
      <c r="F204" s="485" t="s">
        <v>37</v>
      </c>
      <c r="G204" s="485" t="s">
        <v>38</v>
      </c>
      <c r="H204" s="485" t="s">
        <v>39</v>
      </c>
      <c r="I204" s="485" t="s">
        <v>40</v>
      </c>
      <c r="J204" s="485"/>
      <c r="K204" s="485" t="s">
        <v>41</v>
      </c>
      <c r="L204" s="485" t="s">
        <v>42</v>
      </c>
      <c r="M204" s="459" t="s">
        <v>43</v>
      </c>
      <c r="N204" s="459" t="s">
        <v>44</v>
      </c>
      <c r="O204" s="459" t="s">
        <v>45</v>
      </c>
      <c r="P204" s="486" t="s">
        <v>46</v>
      </c>
      <c r="Q204" s="486" t="s">
        <v>47</v>
      </c>
      <c r="R204" s="486" t="s">
        <v>48</v>
      </c>
      <c r="S204" s="486" t="s">
        <v>50</v>
      </c>
      <c r="Y204" s="70" t="s">
        <v>693</v>
      </c>
      <c r="AA204" s="70" t="s">
        <v>692</v>
      </c>
    </row>
    <row r="205" spans="1:28" ht="15.75" x14ac:dyDescent="0.25">
      <c r="A205" s="80"/>
      <c r="B205" s="80"/>
      <c r="C205" s="80"/>
      <c r="D205" s="259" t="s">
        <v>139</v>
      </c>
      <c r="E205" s="259" t="s">
        <v>51</v>
      </c>
      <c r="F205" s="259" t="s">
        <v>52</v>
      </c>
      <c r="G205" s="259" t="s">
        <v>52</v>
      </c>
      <c r="H205" s="259" t="s">
        <v>52</v>
      </c>
      <c r="I205" s="259" t="s">
        <v>53</v>
      </c>
      <c r="J205" s="259"/>
      <c r="K205" s="259" t="s">
        <v>52</v>
      </c>
      <c r="L205" s="259" t="s">
        <v>52</v>
      </c>
      <c r="M205" s="259" t="s">
        <v>52</v>
      </c>
      <c r="N205" s="259"/>
      <c r="O205" s="259" t="s">
        <v>52</v>
      </c>
      <c r="P205" s="259" t="s">
        <v>52</v>
      </c>
      <c r="Q205" s="259" t="s">
        <v>52</v>
      </c>
      <c r="R205" s="259" t="s">
        <v>52</v>
      </c>
      <c r="S205" s="259" t="s">
        <v>53</v>
      </c>
      <c r="Y205" s="70" t="s">
        <v>196</v>
      </c>
      <c r="Z205" s="70" t="s">
        <v>197</v>
      </c>
      <c r="AA205" s="70" t="s">
        <v>196</v>
      </c>
      <c r="AB205" s="70" t="s">
        <v>197</v>
      </c>
    </row>
    <row r="206" spans="1:28" ht="15.75" x14ac:dyDescent="0.25">
      <c r="A206" s="302">
        <v>1</v>
      </c>
      <c r="C206" s="82" t="s">
        <v>146</v>
      </c>
      <c r="D206" s="79">
        <v>1000</v>
      </c>
      <c r="E206" s="79">
        <v>200000</v>
      </c>
      <c r="F206" s="162">
        <f t="shared" ref="F206:F223" si="63">ROUND($E206*CUR_TT_KWH,2)+ROUND($D206*$Y$206*CUR_TT_SUM_PEAK,2)+ROUND($D206*(1-$Y$206)*CUR_TT_SUM_PK_OFF,2)+CUR_TT_SUM_CST</f>
        <v>16372.85</v>
      </c>
      <c r="G206" s="162">
        <f t="shared" ref="G206:G223" si="64">ROUND($E206*$AA$206*PRO_SUM_TT_ON_KWH,2)+ROUND($E206*(1-$AA$206)*PRO_TT_OFF,2)+ROUND($D206*$Y$206*PRO_TT_SUM_PEAK,2)+ROUND($D206*(1-$Y$206)*PRO_TT_SUM_PK_OFF,2)+PRO_TT_SUM_CST</f>
        <v>18296.829999999998</v>
      </c>
      <c r="H206" s="162">
        <f t="shared" ref="H206:H223" si="65">G206-F206</f>
        <v>1923.9799999999977</v>
      </c>
      <c r="I206" s="158">
        <f t="shared" ref="I206:I223" si="66">ROUND(H206/F206,3)*100</f>
        <v>11.799999999999999</v>
      </c>
      <c r="J206" s="158"/>
      <c r="K206" s="162">
        <f t="shared" ref="K206:K223" si="67">ROUND(E206*CUR_FAC,2)</f>
        <v>205.6</v>
      </c>
      <c r="L206" s="162">
        <f t="shared" ref="L206:L223" si="68">ROUND(E206*DSM_TRANS,2)</f>
        <v>36.6</v>
      </c>
      <c r="M206" s="162">
        <f t="shared" ref="M206:M223" si="69">ROUND($G206*PRO_ESM,2)</f>
        <v>0</v>
      </c>
      <c r="N206" s="162"/>
      <c r="O206" s="162">
        <f t="shared" ref="O206:O223" si="70">ROUND($E206*PRO_FTR_DTP,2)</f>
        <v>0</v>
      </c>
      <c r="P206" s="162">
        <f t="shared" ref="P206:P223" si="71">ROUND(E206*RS_PSM,2)</f>
        <v>-91.2</v>
      </c>
      <c r="Q206" s="162">
        <f>F206+K206+L206+P206</f>
        <v>16523.849999999999</v>
      </c>
      <c r="R206" s="162">
        <f>G206+K206+L206+M206+O206+P206</f>
        <v>18447.829999999994</v>
      </c>
      <c r="S206" s="156">
        <f>ROUND((R206-Q206)/Q206,3)*100</f>
        <v>11.600000000000001</v>
      </c>
      <c r="Y206" s="70">
        <f>'Rate TT'!H24/'Rate TT'!H26</f>
        <v>0.96019373391857121</v>
      </c>
      <c r="Z206" s="70">
        <f>'Rate TT'!H38/'Rate TT'!H40</f>
        <v>0.96533183982077841</v>
      </c>
      <c r="AA206" s="70">
        <f>'Rate TT'!H29/'Rate TT'!H31</f>
        <v>0.35691861068234526</v>
      </c>
      <c r="AB206" s="70">
        <f>'Rate TT'!H43/'Rate TT'!H45</f>
        <v>0.34871048801882892</v>
      </c>
    </row>
    <row r="207" spans="1:28" x14ac:dyDescent="0.2">
      <c r="A207" s="302">
        <v>2</v>
      </c>
      <c r="D207" s="79">
        <v>1000</v>
      </c>
      <c r="E207" s="79">
        <v>400000</v>
      </c>
      <c r="F207" s="162">
        <f t="shared" si="63"/>
        <v>24902.45</v>
      </c>
      <c r="G207" s="162">
        <f t="shared" si="64"/>
        <v>27919.48</v>
      </c>
      <c r="H207" s="162">
        <f t="shared" si="65"/>
        <v>3017.0299999999988</v>
      </c>
      <c r="I207" s="158">
        <f t="shared" si="66"/>
        <v>12.1</v>
      </c>
      <c r="J207" s="158"/>
      <c r="K207" s="162">
        <f t="shared" si="67"/>
        <v>411.2</v>
      </c>
      <c r="L207" s="162">
        <f t="shared" si="68"/>
        <v>73.2</v>
      </c>
      <c r="M207" s="162">
        <f t="shared" si="69"/>
        <v>0</v>
      </c>
      <c r="N207" s="162"/>
      <c r="O207" s="162">
        <f t="shared" si="70"/>
        <v>0</v>
      </c>
      <c r="P207" s="162">
        <f t="shared" si="71"/>
        <v>-182.4</v>
      </c>
      <c r="Q207" s="162">
        <f t="shared" ref="Q207:Q242" si="72">F207+K207+L207+P207</f>
        <v>25204.45</v>
      </c>
      <c r="R207" s="162">
        <f t="shared" ref="R207:R242" si="73">G207+K207+L207+M207+O207+P207</f>
        <v>28221.48</v>
      </c>
      <c r="S207" s="158">
        <f t="shared" ref="S207:S223" si="74">ROUND((R207-Q207)/Q207,3)*100</f>
        <v>12</v>
      </c>
    </row>
    <row r="208" spans="1:28" x14ac:dyDescent="0.2">
      <c r="A208" s="302">
        <v>3</v>
      </c>
      <c r="D208" s="79">
        <v>2500</v>
      </c>
      <c r="E208" s="79">
        <v>500000</v>
      </c>
      <c r="F208" s="162">
        <f t="shared" si="63"/>
        <v>40182.120000000003</v>
      </c>
      <c r="G208" s="162">
        <f t="shared" si="64"/>
        <v>44992.09</v>
      </c>
      <c r="H208" s="162">
        <f t="shared" si="65"/>
        <v>4809.9699999999939</v>
      </c>
      <c r="I208" s="158">
        <f t="shared" si="66"/>
        <v>12</v>
      </c>
      <c r="J208" s="158"/>
      <c r="K208" s="162">
        <f t="shared" si="67"/>
        <v>514</v>
      </c>
      <c r="L208" s="162">
        <f t="shared" si="68"/>
        <v>91.5</v>
      </c>
      <c r="M208" s="162">
        <f t="shared" si="69"/>
        <v>0</v>
      </c>
      <c r="N208" s="162"/>
      <c r="O208" s="162">
        <f t="shared" si="70"/>
        <v>0</v>
      </c>
      <c r="P208" s="162">
        <f t="shared" si="71"/>
        <v>-228</v>
      </c>
      <c r="Q208" s="162">
        <f t="shared" si="72"/>
        <v>40559.620000000003</v>
      </c>
      <c r="R208" s="162">
        <f t="shared" si="73"/>
        <v>45369.59</v>
      </c>
      <c r="S208" s="158">
        <f t="shared" si="74"/>
        <v>11.899999999999999</v>
      </c>
    </row>
    <row r="209" spans="1:19" x14ac:dyDescent="0.2">
      <c r="A209" s="302">
        <v>4</v>
      </c>
      <c r="D209" s="79">
        <v>2500</v>
      </c>
      <c r="E209" s="79">
        <v>1000000</v>
      </c>
      <c r="F209" s="162">
        <f t="shared" si="63"/>
        <v>61506.12</v>
      </c>
      <c r="G209" s="162">
        <f t="shared" si="64"/>
        <v>69048.700000000012</v>
      </c>
      <c r="H209" s="162">
        <f t="shared" si="65"/>
        <v>7542.580000000009</v>
      </c>
      <c r="I209" s="158">
        <f t="shared" si="66"/>
        <v>12.3</v>
      </c>
      <c r="J209" s="158"/>
      <c r="K209" s="162">
        <f t="shared" si="67"/>
        <v>1028</v>
      </c>
      <c r="L209" s="162">
        <f t="shared" si="68"/>
        <v>183</v>
      </c>
      <c r="M209" s="162">
        <f t="shared" si="69"/>
        <v>0</v>
      </c>
      <c r="N209" s="162"/>
      <c r="O209" s="162">
        <f t="shared" si="70"/>
        <v>0</v>
      </c>
      <c r="P209" s="162">
        <f t="shared" si="71"/>
        <v>-456</v>
      </c>
      <c r="Q209" s="162">
        <f t="shared" si="72"/>
        <v>62261.120000000003</v>
      </c>
      <c r="R209" s="162">
        <f t="shared" si="73"/>
        <v>69803.700000000012</v>
      </c>
      <c r="S209" s="158">
        <f t="shared" si="74"/>
        <v>12.1</v>
      </c>
    </row>
    <row r="210" spans="1:19" x14ac:dyDescent="0.2">
      <c r="A210" s="302">
        <v>5</v>
      </c>
      <c r="D210" s="79">
        <v>5000</v>
      </c>
      <c r="E210" s="79">
        <v>1000000</v>
      </c>
      <c r="F210" s="162">
        <f t="shared" si="63"/>
        <v>79864.25</v>
      </c>
      <c r="G210" s="162">
        <f t="shared" si="64"/>
        <v>89484.17</v>
      </c>
      <c r="H210" s="162">
        <f t="shared" si="65"/>
        <v>9619.9199999999983</v>
      </c>
      <c r="I210" s="158">
        <f t="shared" si="66"/>
        <v>12</v>
      </c>
      <c r="J210" s="158"/>
      <c r="K210" s="162">
        <f t="shared" si="67"/>
        <v>1028</v>
      </c>
      <c r="L210" s="162">
        <f t="shared" si="68"/>
        <v>183</v>
      </c>
      <c r="M210" s="162">
        <f t="shared" si="69"/>
        <v>0</v>
      </c>
      <c r="N210" s="162"/>
      <c r="O210" s="162">
        <f t="shared" si="70"/>
        <v>0</v>
      </c>
      <c r="P210" s="162">
        <f t="shared" si="71"/>
        <v>-456</v>
      </c>
      <c r="Q210" s="162">
        <f t="shared" si="72"/>
        <v>80619.25</v>
      </c>
      <c r="R210" s="162">
        <f t="shared" si="73"/>
        <v>90239.17</v>
      </c>
      <c r="S210" s="158">
        <f t="shared" si="74"/>
        <v>11.899999999999999</v>
      </c>
    </row>
    <row r="211" spans="1:19" x14ac:dyDescent="0.2">
      <c r="A211" s="302">
        <v>6</v>
      </c>
      <c r="D211" s="79">
        <v>5000</v>
      </c>
      <c r="E211" s="79">
        <v>2000000</v>
      </c>
      <c r="F211" s="162">
        <f t="shared" si="63"/>
        <v>122512.25</v>
      </c>
      <c r="G211" s="162">
        <f t="shared" si="64"/>
        <v>137597.38</v>
      </c>
      <c r="H211" s="162">
        <f t="shared" si="65"/>
        <v>15085.130000000005</v>
      </c>
      <c r="I211" s="158">
        <f t="shared" si="66"/>
        <v>12.3</v>
      </c>
      <c r="J211" s="158"/>
      <c r="K211" s="162">
        <f t="shared" si="67"/>
        <v>2056</v>
      </c>
      <c r="L211" s="162">
        <f t="shared" si="68"/>
        <v>366</v>
      </c>
      <c r="M211" s="162">
        <f t="shared" si="69"/>
        <v>0</v>
      </c>
      <c r="N211" s="162"/>
      <c r="O211" s="162">
        <f t="shared" si="70"/>
        <v>0</v>
      </c>
      <c r="P211" s="162">
        <f t="shared" si="71"/>
        <v>-912</v>
      </c>
      <c r="Q211" s="162">
        <f t="shared" si="72"/>
        <v>124022.25</v>
      </c>
      <c r="R211" s="162">
        <f t="shared" si="73"/>
        <v>139107.38</v>
      </c>
      <c r="S211" s="158">
        <f t="shared" si="74"/>
        <v>12.2</v>
      </c>
    </row>
    <row r="212" spans="1:19" x14ac:dyDescent="0.2">
      <c r="A212" s="302">
        <v>7</v>
      </c>
      <c r="D212" s="79">
        <v>10000</v>
      </c>
      <c r="E212" s="79">
        <v>2000000</v>
      </c>
      <c r="F212" s="162">
        <f t="shared" si="63"/>
        <v>159228.49</v>
      </c>
      <c r="G212" s="162">
        <f t="shared" si="64"/>
        <v>178468.34</v>
      </c>
      <c r="H212" s="162">
        <f t="shared" si="65"/>
        <v>19239.850000000006</v>
      </c>
      <c r="I212" s="158">
        <f t="shared" si="66"/>
        <v>12.1</v>
      </c>
      <c r="J212" s="158"/>
      <c r="K212" s="162">
        <f t="shared" si="67"/>
        <v>2056</v>
      </c>
      <c r="L212" s="162">
        <f t="shared" si="68"/>
        <v>366</v>
      </c>
      <c r="M212" s="162">
        <f t="shared" si="69"/>
        <v>0</v>
      </c>
      <c r="N212" s="162"/>
      <c r="O212" s="162">
        <f t="shared" si="70"/>
        <v>0</v>
      </c>
      <c r="P212" s="162">
        <f t="shared" si="71"/>
        <v>-912</v>
      </c>
      <c r="Q212" s="162">
        <f t="shared" si="72"/>
        <v>160738.49</v>
      </c>
      <c r="R212" s="162">
        <f t="shared" si="73"/>
        <v>179978.34</v>
      </c>
      <c r="S212" s="158">
        <f t="shared" si="74"/>
        <v>12</v>
      </c>
    </row>
    <row r="213" spans="1:19" x14ac:dyDescent="0.2">
      <c r="A213" s="302">
        <v>8</v>
      </c>
      <c r="D213" s="79">
        <v>10000</v>
      </c>
      <c r="E213" s="79">
        <v>4000000</v>
      </c>
      <c r="F213" s="162">
        <f t="shared" si="63"/>
        <v>244524.49</v>
      </c>
      <c r="G213" s="162">
        <f t="shared" si="64"/>
        <v>274694.78000000003</v>
      </c>
      <c r="H213" s="162">
        <f t="shared" si="65"/>
        <v>30170.290000000037</v>
      </c>
      <c r="I213" s="158">
        <f t="shared" si="66"/>
        <v>12.3</v>
      </c>
      <c r="J213" s="158"/>
      <c r="K213" s="162">
        <f t="shared" si="67"/>
        <v>4112</v>
      </c>
      <c r="L213" s="162">
        <f t="shared" si="68"/>
        <v>732</v>
      </c>
      <c r="M213" s="162">
        <f t="shared" si="69"/>
        <v>0</v>
      </c>
      <c r="N213" s="162"/>
      <c r="O213" s="162">
        <f t="shared" si="70"/>
        <v>0</v>
      </c>
      <c r="P213" s="162">
        <f t="shared" si="71"/>
        <v>-1824</v>
      </c>
      <c r="Q213" s="162">
        <f t="shared" si="72"/>
        <v>247544.49</v>
      </c>
      <c r="R213" s="162">
        <f t="shared" si="73"/>
        <v>277714.78000000003</v>
      </c>
      <c r="S213" s="158">
        <f t="shared" si="74"/>
        <v>12.2</v>
      </c>
    </row>
    <row r="214" spans="1:19" x14ac:dyDescent="0.2">
      <c r="A214" s="302">
        <v>9</v>
      </c>
      <c r="D214" s="79">
        <v>10000</v>
      </c>
      <c r="E214" s="79">
        <v>6000000</v>
      </c>
      <c r="F214" s="162">
        <f t="shared" si="63"/>
        <v>329820.49</v>
      </c>
      <c r="G214" s="162">
        <f t="shared" si="64"/>
        <v>370921.22000000003</v>
      </c>
      <c r="H214" s="162">
        <f t="shared" si="65"/>
        <v>41100.73000000004</v>
      </c>
      <c r="I214" s="158">
        <f t="shared" si="66"/>
        <v>12.5</v>
      </c>
      <c r="J214" s="158"/>
      <c r="K214" s="162">
        <f t="shared" si="67"/>
        <v>6168</v>
      </c>
      <c r="L214" s="162">
        <f t="shared" si="68"/>
        <v>1098</v>
      </c>
      <c r="M214" s="162">
        <f t="shared" si="69"/>
        <v>0</v>
      </c>
      <c r="N214" s="162"/>
      <c r="O214" s="162">
        <f t="shared" si="70"/>
        <v>0</v>
      </c>
      <c r="P214" s="162">
        <f t="shared" si="71"/>
        <v>-2736</v>
      </c>
      <c r="Q214" s="162">
        <f t="shared" si="72"/>
        <v>334350.49</v>
      </c>
      <c r="R214" s="162">
        <f t="shared" si="73"/>
        <v>375451.22000000003</v>
      </c>
      <c r="S214" s="158">
        <f t="shared" si="74"/>
        <v>12.3</v>
      </c>
    </row>
    <row r="215" spans="1:19" x14ac:dyDescent="0.2">
      <c r="A215" s="302">
        <v>10</v>
      </c>
      <c r="D215" s="79">
        <v>20000</v>
      </c>
      <c r="E215" s="79">
        <v>4000000</v>
      </c>
      <c r="F215" s="162">
        <f t="shared" si="63"/>
        <v>317956.99</v>
      </c>
      <c r="G215" s="162">
        <f t="shared" si="64"/>
        <v>356436.69</v>
      </c>
      <c r="H215" s="162">
        <f t="shared" si="65"/>
        <v>38479.700000000012</v>
      </c>
      <c r="I215" s="158">
        <f t="shared" si="66"/>
        <v>12.1</v>
      </c>
      <c r="J215" s="158"/>
      <c r="K215" s="162">
        <f t="shared" si="67"/>
        <v>4112</v>
      </c>
      <c r="L215" s="162">
        <f t="shared" si="68"/>
        <v>732</v>
      </c>
      <c r="M215" s="162">
        <f t="shared" si="69"/>
        <v>0</v>
      </c>
      <c r="N215" s="162"/>
      <c r="O215" s="162">
        <f t="shared" si="70"/>
        <v>0</v>
      </c>
      <c r="P215" s="162">
        <f t="shared" si="71"/>
        <v>-1824</v>
      </c>
      <c r="Q215" s="162">
        <f t="shared" si="72"/>
        <v>320976.99</v>
      </c>
      <c r="R215" s="162">
        <f t="shared" si="73"/>
        <v>359456.69</v>
      </c>
      <c r="S215" s="158">
        <f t="shared" si="74"/>
        <v>12</v>
      </c>
    </row>
    <row r="216" spans="1:19" x14ac:dyDescent="0.2">
      <c r="A216" s="302">
        <v>11</v>
      </c>
      <c r="D216" s="79">
        <v>20000</v>
      </c>
      <c r="E216" s="79">
        <v>8000000</v>
      </c>
      <c r="F216" s="162">
        <f t="shared" si="63"/>
        <v>488548.99</v>
      </c>
      <c r="G216" s="162">
        <f t="shared" si="64"/>
        <v>548889.56000000006</v>
      </c>
      <c r="H216" s="162">
        <f t="shared" si="65"/>
        <v>60340.570000000065</v>
      </c>
      <c r="I216" s="158">
        <f t="shared" si="66"/>
        <v>12.4</v>
      </c>
      <c r="J216" s="158"/>
      <c r="K216" s="162">
        <f t="shared" si="67"/>
        <v>8224</v>
      </c>
      <c r="L216" s="162">
        <f t="shared" si="68"/>
        <v>1464</v>
      </c>
      <c r="M216" s="162">
        <f t="shared" si="69"/>
        <v>0</v>
      </c>
      <c r="N216" s="162"/>
      <c r="O216" s="162">
        <f t="shared" si="70"/>
        <v>0</v>
      </c>
      <c r="P216" s="162">
        <f t="shared" si="71"/>
        <v>-3648</v>
      </c>
      <c r="Q216" s="162">
        <f t="shared" si="72"/>
        <v>494588.99</v>
      </c>
      <c r="R216" s="162">
        <f t="shared" si="73"/>
        <v>554929.56000000006</v>
      </c>
      <c r="S216" s="158">
        <f t="shared" si="74"/>
        <v>12.2</v>
      </c>
    </row>
    <row r="217" spans="1:19" x14ac:dyDescent="0.2">
      <c r="A217" s="302">
        <v>12</v>
      </c>
      <c r="D217" s="79">
        <v>20000</v>
      </c>
      <c r="E217" s="79">
        <v>12000000</v>
      </c>
      <c r="F217" s="162">
        <f t="shared" si="63"/>
        <v>659140.99</v>
      </c>
      <c r="G217" s="162">
        <f t="shared" si="64"/>
        <v>741342.43</v>
      </c>
      <c r="H217" s="162">
        <f t="shared" si="65"/>
        <v>82201.440000000061</v>
      </c>
      <c r="I217" s="158">
        <f t="shared" si="66"/>
        <v>12.5</v>
      </c>
      <c r="J217" s="158"/>
      <c r="K217" s="162">
        <f t="shared" si="67"/>
        <v>12336</v>
      </c>
      <c r="L217" s="162">
        <f t="shared" si="68"/>
        <v>2196</v>
      </c>
      <c r="M217" s="162">
        <f t="shared" si="69"/>
        <v>0</v>
      </c>
      <c r="N217" s="162"/>
      <c r="O217" s="162">
        <f t="shared" si="70"/>
        <v>0</v>
      </c>
      <c r="P217" s="162">
        <f t="shared" si="71"/>
        <v>-5472</v>
      </c>
      <c r="Q217" s="162">
        <f t="shared" si="72"/>
        <v>668200.99</v>
      </c>
      <c r="R217" s="162">
        <f t="shared" si="73"/>
        <v>750402.43</v>
      </c>
      <c r="S217" s="158">
        <f t="shared" si="74"/>
        <v>12.3</v>
      </c>
    </row>
    <row r="218" spans="1:19" x14ac:dyDescent="0.2">
      <c r="A218" s="302">
        <v>13</v>
      </c>
      <c r="D218" s="79">
        <v>40000</v>
      </c>
      <c r="E218" s="79">
        <v>16000000</v>
      </c>
      <c r="F218" s="162">
        <f t="shared" si="63"/>
        <v>976597.99</v>
      </c>
      <c r="G218" s="162">
        <f t="shared" si="64"/>
        <v>1097279.1200000001</v>
      </c>
      <c r="H218" s="162">
        <f t="shared" si="65"/>
        <v>120681.13000000012</v>
      </c>
      <c r="I218" s="158">
        <f t="shared" si="66"/>
        <v>12.4</v>
      </c>
      <c r="J218" s="158"/>
      <c r="K218" s="162">
        <f t="shared" si="67"/>
        <v>16448</v>
      </c>
      <c r="L218" s="162">
        <f t="shared" si="68"/>
        <v>2928</v>
      </c>
      <c r="M218" s="162">
        <f t="shared" si="69"/>
        <v>0</v>
      </c>
      <c r="N218" s="162"/>
      <c r="O218" s="162">
        <f t="shared" si="70"/>
        <v>0</v>
      </c>
      <c r="P218" s="162">
        <f t="shared" si="71"/>
        <v>-7296</v>
      </c>
      <c r="Q218" s="162">
        <f t="shared" si="72"/>
        <v>988677.99</v>
      </c>
      <c r="R218" s="162">
        <f t="shared" si="73"/>
        <v>1109359.1200000001</v>
      </c>
      <c r="S218" s="158">
        <f t="shared" si="74"/>
        <v>12.2</v>
      </c>
    </row>
    <row r="219" spans="1:19" x14ac:dyDescent="0.2">
      <c r="A219" s="302">
        <v>14</v>
      </c>
      <c r="D219" s="79">
        <v>40000</v>
      </c>
      <c r="E219" s="79">
        <v>24000000</v>
      </c>
      <c r="F219" s="162">
        <f t="shared" si="63"/>
        <v>1317781.99</v>
      </c>
      <c r="G219" s="162">
        <f t="shared" si="64"/>
        <v>1482184.86</v>
      </c>
      <c r="H219" s="162">
        <f t="shared" si="65"/>
        <v>164402.87000000011</v>
      </c>
      <c r="I219" s="158">
        <f t="shared" si="66"/>
        <v>12.5</v>
      </c>
      <c r="J219" s="158"/>
      <c r="K219" s="162">
        <f t="shared" si="67"/>
        <v>24672</v>
      </c>
      <c r="L219" s="162">
        <f t="shared" si="68"/>
        <v>4392</v>
      </c>
      <c r="M219" s="162">
        <f t="shared" si="69"/>
        <v>0</v>
      </c>
      <c r="N219" s="162"/>
      <c r="O219" s="162">
        <f t="shared" si="70"/>
        <v>0</v>
      </c>
      <c r="P219" s="162">
        <f t="shared" si="71"/>
        <v>-10944</v>
      </c>
      <c r="Q219" s="162">
        <f t="shared" si="72"/>
        <v>1335901.99</v>
      </c>
      <c r="R219" s="162">
        <f t="shared" si="73"/>
        <v>1500304.86</v>
      </c>
      <c r="S219" s="158">
        <f t="shared" si="74"/>
        <v>12.3</v>
      </c>
    </row>
    <row r="220" spans="1:19" x14ac:dyDescent="0.2">
      <c r="A220" s="302">
        <v>15</v>
      </c>
      <c r="D220" s="79">
        <v>80000</v>
      </c>
      <c r="E220" s="79">
        <v>32000000</v>
      </c>
      <c r="F220" s="162">
        <f t="shared" si="63"/>
        <v>1952695.97</v>
      </c>
      <c r="G220" s="162">
        <f t="shared" si="64"/>
        <v>2194058.2400000002</v>
      </c>
      <c r="H220" s="162">
        <f t="shared" si="65"/>
        <v>241362.27000000025</v>
      </c>
      <c r="I220" s="158">
        <f t="shared" si="66"/>
        <v>12.4</v>
      </c>
      <c r="J220" s="158"/>
      <c r="K220" s="162">
        <f t="shared" si="67"/>
        <v>32896</v>
      </c>
      <c r="L220" s="162">
        <f t="shared" si="68"/>
        <v>5856</v>
      </c>
      <c r="M220" s="162">
        <f t="shared" si="69"/>
        <v>0</v>
      </c>
      <c r="N220" s="162"/>
      <c r="O220" s="162">
        <f t="shared" si="70"/>
        <v>0</v>
      </c>
      <c r="P220" s="162">
        <f t="shared" si="71"/>
        <v>-14592</v>
      </c>
      <c r="Q220" s="162">
        <f t="shared" si="72"/>
        <v>1976855.97</v>
      </c>
      <c r="R220" s="162">
        <f t="shared" si="73"/>
        <v>2218218.2400000002</v>
      </c>
      <c r="S220" s="158">
        <f t="shared" si="74"/>
        <v>12.2</v>
      </c>
    </row>
    <row r="221" spans="1:19" x14ac:dyDescent="0.2">
      <c r="A221" s="302">
        <v>16</v>
      </c>
      <c r="D221" s="79">
        <v>80000</v>
      </c>
      <c r="E221" s="79">
        <v>48000000</v>
      </c>
      <c r="F221" s="162">
        <f t="shared" si="63"/>
        <v>2635063.9700000002</v>
      </c>
      <c r="G221" s="162">
        <f t="shared" si="64"/>
        <v>2963869.72</v>
      </c>
      <c r="H221" s="162">
        <f t="shared" si="65"/>
        <v>328805.75</v>
      </c>
      <c r="I221" s="158">
        <f t="shared" si="66"/>
        <v>12.5</v>
      </c>
      <c r="J221" s="158"/>
      <c r="K221" s="162">
        <f t="shared" si="67"/>
        <v>49344</v>
      </c>
      <c r="L221" s="162">
        <f t="shared" si="68"/>
        <v>8784</v>
      </c>
      <c r="M221" s="162">
        <f t="shared" si="69"/>
        <v>0</v>
      </c>
      <c r="N221" s="162"/>
      <c r="O221" s="162">
        <f t="shared" si="70"/>
        <v>0</v>
      </c>
      <c r="P221" s="162">
        <f t="shared" si="71"/>
        <v>-21888</v>
      </c>
      <c r="Q221" s="162">
        <f t="shared" si="72"/>
        <v>2671303.9700000002</v>
      </c>
      <c r="R221" s="162">
        <f t="shared" si="73"/>
        <v>3000109.72</v>
      </c>
      <c r="S221" s="158">
        <f t="shared" si="74"/>
        <v>12.3</v>
      </c>
    </row>
    <row r="222" spans="1:19" x14ac:dyDescent="0.2">
      <c r="A222" s="302">
        <v>17</v>
      </c>
      <c r="D222" s="79">
        <v>160000</v>
      </c>
      <c r="E222" s="79">
        <v>64000000</v>
      </c>
      <c r="F222" s="162">
        <f t="shared" si="63"/>
        <v>3904891.93</v>
      </c>
      <c r="G222" s="162">
        <f t="shared" si="64"/>
        <v>4387616.4800000004</v>
      </c>
      <c r="H222" s="162">
        <f t="shared" si="65"/>
        <v>482724.55000000028</v>
      </c>
      <c r="I222" s="158">
        <f t="shared" si="66"/>
        <v>12.4</v>
      </c>
      <c r="J222" s="158"/>
      <c r="K222" s="162">
        <f t="shared" si="67"/>
        <v>65792</v>
      </c>
      <c r="L222" s="162">
        <f t="shared" si="68"/>
        <v>11712</v>
      </c>
      <c r="M222" s="162">
        <f t="shared" si="69"/>
        <v>0</v>
      </c>
      <c r="N222" s="162"/>
      <c r="O222" s="162">
        <f t="shared" si="70"/>
        <v>0</v>
      </c>
      <c r="P222" s="162">
        <f t="shared" si="71"/>
        <v>-29184</v>
      </c>
      <c r="Q222" s="162">
        <f t="shared" si="72"/>
        <v>3953211.93</v>
      </c>
      <c r="R222" s="162">
        <f t="shared" si="73"/>
        <v>4435936.4800000004</v>
      </c>
      <c r="S222" s="158">
        <f t="shared" si="74"/>
        <v>12.2</v>
      </c>
    </row>
    <row r="223" spans="1:19" x14ac:dyDescent="0.2">
      <c r="A223" s="302">
        <v>18</v>
      </c>
      <c r="D223" s="79">
        <v>160000</v>
      </c>
      <c r="E223" s="79">
        <v>96000000</v>
      </c>
      <c r="F223" s="162">
        <f t="shared" si="63"/>
        <v>5269627.93</v>
      </c>
      <c r="G223" s="162">
        <f t="shared" si="64"/>
        <v>5927239.4400000004</v>
      </c>
      <c r="H223" s="162">
        <f t="shared" si="65"/>
        <v>657611.51000000071</v>
      </c>
      <c r="I223" s="158">
        <f t="shared" si="66"/>
        <v>12.5</v>
      </c>
      <c r="J223" s="158"/>
      <c r="K223" s="162">
        <f t="shared" si="67"/>
        <v>98688</v>
      </c>
      <c r="L223" s="162">
        <f t="shared" si="68"/>
        <v>17568</v>
      </c>
      <c r="M223" s="162">
        <f t="shared" si="69"/>
        <v>0</v>
      </c>
      <c r="N223" s="162"/>
      <c r="O223" s="162">
        <f t="shared" si="70"/>
        <v>0</v>
      </c>
      <c r="P223" s="162">
        <f t="shared" si="71"/>
        <v>-43776</v>
      </c>
      <c r="Q223" s="162">
        <f t="shared" si="72"/>
        <v>5342107.93</v>
      </c>
      <c r="R223" s="162">
        <f t="shared" si="73"/>
        <v>5999719.4400000004</v>
      </c>
      <c r="S223" s="158">
        <f t="shared" si="74"/>
        <v>12.3</v>
      </c>
    </row>
    <row r="224" spans="1:19" x14ac:dyDescent="0.2">
      <c r="H224" s="162"/>
      <c r="K224" s="162"/>
      <c r="L224" s="162"/>
      <c r="M224" s="162"/>
      <c r="N224" s="162"/>
      <c r="O224" s="162"/>
      <c r="P224" s="162"/>
      <c r="Q224" s="162"/>
      <c r="R224" s="162"/>
    </row>
    <row r="225" spans="1:19" ht="15.75" x14ac:dyDescent="0.25">
      <c r="A225" s="302">
        <v>19</v>
      </c>
      <c r="C225" s="82" t="s">
        <v>147</v>
      </c>
      <c r="D225" s="79">
        <v>1000</v>
      </c>
      <c r="E225" s="79">
        <v>200000</v>
      </c>
      <c r="F225" s="162">
        <f t="shared" ref="F225:F242" si="75">ROUND($E225*CUR_TT_KWH,2)+ROUND($D225*$Z$206*CUR_TT_WIN_PEAK,2)+ROUND($D225*(1-$Z$206)*CUR_TT_WIN_PK_OFF,2)+CUR_TT_WIN_CST</f>
        <v>15093.140000000001</v>
      </c>
      <c r="G225" s="162">
        <f t="shared" ref="G225:G242" si="76">ROUND($E225*$AB$206*PRO_WIN_TT_ON_KWH,2)+ROUND($E225*(1-$AB$206)*PRO_TT_OFF,2)+ROUND($D225*$Z$206*PRO_TT_WIN_PEAK,2)+ROUND($D225*(1-$Z$206)*PRO_TT_WIN_PK_OFF,2)+PRO_TT_WIN_CST</f>
        <v>16687.559999999998</v>
      </c>
      <c r="H225" s="162">
        <f t="shared" ref="H225:H242" si="77">G225-F225</f>
        <v>1594.4199999999964</v>
      </c>
      <c r="I225" s="158">
        <f t="shared" ref="I225:I242" si="78">ROUND(H225/F225,3)*100</f>
        <v>10.6</v>
      </c>
      <c r="J225" s="158"/>
      <c r="K225" s="162">
        <f t="shared" ref="K225:K242" si="79">ROUND(E225*CUR_FAC,2)</f>
        <v>205.6</v>
      </c>
      <c r="L225" s="162">
        <f t="shared" ref="L225:L242" si="80">ROUND(E225*DSM_TRANS,2)</f>
        <v>36.6</v>
      </c>
      <c r="M225" s="162">
        <f t="shared" ref="M225:M242" si="81">ROUND($G225*PRO_ESM,2)</f>
        <v>0</v>
      </c>
      <c r="N225" s="162"/>
      <c r="O225" s="162">
        <f t="shared" ref="O225:O242" si="82">ROUND($E225*PRO_FTR_DTP,2)</f>
        <v>0</v>
      </c>
      <c r="P225" s="162">
        <f t="shared" ref="P225:P242" si="83">ROUND(E225*RS_PSM,2)</f>
        <v>-91.2</v>
      </c>
      <c r="Q225" s="162">
        <f t="shared" si="72"/>
        <v>15244.140000000001</v>
      </c>
      <c r="R225" s="162">
        <f t="shared" si="73"/>
        <v>16838.559999999994</v>
      </c>
      <c r="S225" s="158">
        <f t="shared" ref="S225:S242" si="84">ROUND((R225-Q225)/Q225,3)*100</f>
        <v>10.5</v>
      </c>
    </row>
    <row r="226" spans="1:19" x14ac:dyDescent="0.2">
      <c r="A226" s="302">
        <v>20</v>
      </c>
      <c r="D226" s="79">
        <v>1000</v>
      </c>
      <c r="E226" s="79">
        <v>400000</v>
      </c>
      <c r="F226" s="162">
        <f t="shared" si="75"/>
        <v>23622.74</v>
      </c>
      <c r="G226" s="162">
        <f t="shared" si="76"/>
        <v>26121.690000000002</v>
      </c>
      <c r="H226" s="162">
        <f t="shared" si="77"/>
        <v>2498.9500000000007</v>
      </c>
      <c r="I226" s="158">
        <f t="shared" si="78"/>
        <v>10.6</v>
      </c>
      <c r="J226" s="158"/>
      <c r="K226" s="162">
        <f t="shared" si="79"/>
        <v>411.2</v>
      </c>
      <c r="L226" s="162">
        <f t="shared" si="80"/>
        <v>73.2</v>
      </c>
      <c r="M226" s="162">
        <f t="shared" si="81"/>
        <v>0</v>
      </c>
      <c r="N226" s="162"/>
      <c r="O226" s="162">
        <f t="shared" si="82"/>
        <v>0</v>
      </c>
      <c r="P226" s="162">
        <f t="shared" si="83"/>
        <v>-182.4</v>
      </c>
      <c r="Q226" s="162">
        <f t="shared" si="72"/>
        <v>23924.74</v>
      </c>
      <c r="R226" s="162">
        <f t="shared" si="73"/>
        <v>26423.690000000002</v>
      </c>
      <c r="S226" s="158">
        <f t="shared" si="84"/>
        <v>10.4</v>
      </c>
    </row>
    <row r="227" spans="1:19" x14ac:dyDescent="0.2">
      <c r="A227" s="302">
        <v>21</v>
      </c>
      <c r="D227" s="79">
        <v>2500</v>
      </c>
      <c r="E227" s="79">
        <v>500000</v>
      </c>
      <c r="F227" s="162">
        <f t="shared" si="75"/>
        <v>36982.85</v>
      </c>
      <c r="G227" s="162">
        <f t="shared" si="76"/>
        <v>40968.89</v>
      </c>
      <c r="H227" s="162">
        <f t="shared" si="77"/>
        <v>3986.0400000000009</v>
      </c>
      <c r="I227" s="158">
        <f t="shared" si="78"/>
        <v>10.8</v>
      </c>
      <c r="J227" s="158"/>
      <c r="K227" s="162">
        <f t="shared" si="79"/>
        <v>514</v>
      </c>
      <c r="L227" s="162">
        <f t="shared" si="80"/>
        <v>91.5</v>
      </c>
      <c r="M227" s="162">
        <f t="shared" si="81"/>
        <v>0</v>
      </c>
      <c r="N227" s="162"/>
      <c r="O227" s="162">
        <f t="shared" si="82"/>
        <v>0</v>
      </c>
      <c r="P227" s="162">
        <f t="shared" si="83"/>
        <v>-228</v>
      </c>
      <c r="Q227" s="162">
        <f t="shared" si="72"/>
        <v>37360.35</v>
      </c>
      <c r="R227" s="162">
        <f t="shared" si="73"/>
        <v>41346.39</v>
      </c>
      <c r="S227" s="158">
        <f t="shared" si="84"/>
        <v>10.7</v>
      </c>
    </row>
    <row r="228" spans="1:19" x14ac:dyDescent="0.2">
      <c r="A228" s="302">
        <v>22</v>
      </c>
      <c r="D228" s="79">
        <v>2500</v>
      </c>
      <c r="E228" s="79">
        <v>1000000</v>
      </c>
      <c r="F228" s="162">
        <f t="shared" si="75"/>
        <v>58306.85</v>
      </c>
      <c r="G228" s="162">
        <f t="shared" si="76"/>
        <v>64554.2</v>
      </c>
      <c r="H228" s="162">
        <f t="shared" si="77"/>
        <v>6247.3499999999985</v>
      </c>
      <c r="I228" s="158">
        <f t="shared" si="78"/>
        <v>10.7</v>
      </c>
      <c r="J228" s="158"/>
      <c r="K228" s="162">
        <f t="shared" si="79"/>
        <v>1028</v>
      </c>
      <c r="L228" s="162">
        <f t="shared" si="80"/>
        <v>183</v>
      </c>
      <c r="M228" s="162">
        <f t="shared" si="81"/>
        <v>0</v>
      </c>
      <c r="N228" s="162"/>
      <c r="O228" s="162">
        <f t="shared" si="82"/>
        <v>0</v>
      </c>
      <c r="P228" s="162">
        <f t="shared" si="83"/>
        <v>-456</v>
      </c>
      <c r="Q228" s="162">
        <f t="shared" si="72"/>
        <v>59061.85</v>
      </c>
      <c r="R228" s="162">
        <f t="shared" si="73"/>
        <v>65309.2</v>
      </c>
      <c r="S228" s="158">
        <f t="shared" si="84"/>
        <v>10.6</v>
      </c>
    </row>
    <row r="229" spans="1:19" x14ac:dyDescent="0.2">
      <c r="A229" s="302">
        <v>23</v>
      </c>
      <c r="D229" s="79">
        <v>5000</v>
      </c>
      <c r="E229" s="79">
        <v>1000000</v>
      </c>
      <c r="F229" s="162">
        <f t="shared" si="75"/>
        <v>73465.69</v>
      </c>
      <c r="G229" s="162">
        <f t="shared" si="76"/>
        <v>81437.78</v>
      </c>
      <c r="H229" s="162">
        <f t="shared" si="77"/>
        <v>7972.0899999999965</v>
      </c>
      <c r="I229" s="158">
        <f t="shared" si="78"/>
        <v>10.9</v>
      </c>
      <c r="J229" s="158"/>
      <c r="K229" s="162">
        <f t="shared" si="79"/>
        <v>1028</v>
      </c>
      <c r="L229" s="162">
        <f t="shared" si="80"/>
        <v>183</v>
      </c>
      <c r="M229" s="162">
        <f t="shared" si="81"/>
        <v>0</v>
      </c>
      <c r="N229" s="162"/>
      <c r="O229" s="162">
        <f t="shared" si="82"/>
        <v>0</v>
      </c>
      <c r="P229" s="162">
        <f t="shared" si="83"/>
        <v>-456</v>
      </c>
      <c r="Q229" s="162">
        <f t="shared" si="72"/>
        <v>74220.69</v>
      </c>
      <c r="R229" s="162">
        <f t="shared" si="73"/>
        <v>82192.78</v>
      </c>
      <c r="S229" s="158">
        <f t="shared" si="84"/>
        <v>10.7</v>
      </c>
    </row>
    <row r="230" spans="1:19" x14ac:dyDescent="0.2">
      <c r="A230" s="302">
        <v>24</v>
      </c>
      <c r="D230" s="79">
        <v>5000</v>
      </c>
      <c r="E230" s="79">
        <v>2000000</v>
      </c>
      <c r="F230" s="162">
        <f t="shared" si="75"/>
        <v>116113.69</v>
      </c>
      <c r="G230" s="162">
        <f t="shared" si="76"/>
        <v>128608.4</v>
      </c>
      <c r="H230" s="162">
        <f t="shared" si="77"/>
        <v>12494.709999999992</v>
      </c>
      <c r="I230" s="158">
        <f t="shared" si="78"/>
        <v>10.8</v>
      </c>
      <c r="J230" s="158"/>
      <c r="K230" s="162">
        <f t="shared" si="79"/>
        <v>2056</v>
      </c>
      <c r="L230" s="162">
        <f t="shared" si="80"/>
        <v>366</v>
      </c>
      <c r="M230" s="162">
        <f t="shared" si="81"/>
        <v>0</v>
      </c>
      <c r="N230" s="162"/>
      <c r="O230" s="162">
        <f t="shared" si="82"/>
        <v>0</v>
      </c>
      <c r="P230" s="162">
        <f t="shared" si="83"/>
        <v>-912</v>
      </c>
      <c r="Q230" s="162">
        <f t="shared" si="72"/>
        <v>117623.69</v>
      </c>
      <c r="R230" s="162">
        <f t="shared" si="73"/>
        <v>130118.39999999999</v>
      </c>
      <c r="S230" s="158">
        <f t="shared" si="84"/>
        <v>10.6</v>
      </c>
    </row>
    <row r="231" spans="1:19" x14ac:dyDescent="0.2">
      <c r="A231" s="302">
        <v>25</v>
      </c>
      <c r="D231" s="79">
        <v>10000</v>
      </c>
      <c r="E231" s="79">
        <v>2000000</v>
      </c>
      <c r="F231" s="162">
        <f t="shared" si="75"/>
        <v>146431.38999999998</v>
      </c>
      <c r="G231" s="162">
        <f t="shared" si="76"/>
        <v>162375.54999999999</v>
      </c>
      <c r="H231" s="162">
        <f t="shared" si="77"/>
        <v>15944.160000000003</v>
      </c>
      <c r="I231" s="158">
        <f t="shared" si="78"/>
        <v>10.9</v>
      </c>
      <c r="J231" s="158"/>
      <c r="K231" s="162">
        <f t="shared" si="79"/>
        <v>2056</v>
      </c>
      <c r="L231" s="162">
        <f t="shared" si="80"/>
        <v>366</v>
      </c>
      <c r="M231" s="162">
        <f t="shared" si="81"/>
        <v>0</v>
      </c>
      <c r="N231" s="162"/>
      <c r="O231" s="162">
        <f t="shared" si="82"/>
        <v>0</v>
      </c>
      <c r="P231" s="162">
        <f t="shared" si="83"/>
        <v>-912</v>
      </c>
      <c r="Q231" s="162">
        <f t="shared" si="72"/>
        <v>147941.38999999998</v>
      </c>
      <c r="R231" s="162">
        <f t="shared" si="73"/>
        <v>163885.54999999999</v>
      </c>
      <c r="S231" s="158">
        <f t="shared" si="84"/>
        <v>10.8</v>
      </c>
    </row>
    <row r="232" spans="1:19" x14ac:dyDescent="0.2">
      <c r="A232" s="302">
        <v>26</v>
      </c>
      <c r="D232" s="79">
        <v>10000</v>
      </c>
      <c r="E232" s="79">
        <v>4000000</v>
      </c>
      <c r="F232" s="162">
        <f t="shared" si="75"/>
        <v>231727.38999999998</v>
      </c>
      <c r="G232" s="162">
        <f t="shared" si="76"/>
        <v>256716.79999999999</v>
      </c>
      <c r="H232" s="162">
        <f t="shared" si="77"/>
        <v>24989.410000000003</v>
      </c>
      <c r="I232" s="158">
        <f t="shared" si="78"/>
        <v>10.8</v>
      </c>
      <c r="J232" s="158"/>
      <c r="K232" s="162">
        <f t="shared" si="79"/>
        <v>4112</v>
      </c>
      <c r="L232" s="162">
        <f t="shared" si="80"/>
        <v>732</v>
      </c>
      <c r="M232" s="162">
        <f t="shared" si="81"/>
        <v>0</v>
      </c>
      <c r="N232" s="162"/>
      <c r="O232" s="162">
        <f t="shared" si="82"/>
        <v>0</v>
      </c>
      <c r="P232" s="162">
        <f t="shared" si="83"/>
        <v>-1824</v>
      </c>
      <c r="Q232" s="162">
        <f t="shared" si="72"/>
        <v>234747.38999999998</v>
      </c>
      <c r="R232" s="162">
        <f t="shared" si="73"/>
        <v>259736.8</v>
      </c>
      <c r="S232" s="158">
        <f t="shared" si="84"/>
        <v>10.6</v>
      </c>
    </row>
    <row r="233" spans="1:19" x14ac:dyDescent="0.2">
      <c r="A233" s="302">
        <v>27</v>
      </c>
      <c r="D233" s="79">
        <v>10000</v>
      </c>
      <c r="E233" s="79">
        <v>6000000</v>
      </c>
      <c r="F233" s="162">
        <f t="shared" si="75"/>
        <v>317023.39</v>
      </c>
      <c r="G233" s="162">
        <f t="shared" si="76"/>
        <v>351058.04</v>
      </c>
      <c r="H233" s="162">
        <f t="shared" si="77"/>
        <v>34034.649999999965</v>
      </c>
      <c r="I233" s="158">
        <f t="shared" si="78"/>
        <v>10.7</v>
      </c>
      <c r="J233" s="158"/>
      <c r="K233" s="162">
        <f t="shared" si="79"/>
        <v>6168</v>
      </c>
      <c r="L233" s="162">
        <f t="shared" si="80"/>
        <v>1098</v>
      </c>
      <c r="M233" s="162">
        <f t="shared" si="81"/>
        <v>0</v>
      </c>
      <c r="N233" s="162"/>
      <c r="O233" s="162">
        <f t="shared" si="82"/>
        <v>0</v>
      </c>
      <c r="P233" s="162">
        <f t="shared" si="83"/>
        <v>-2736</v>
      </c>
      <c r="Q233" s="162">
        <f t="shared" si="72"/>
        <v>321553.39</v>
      </c>
      <c r="R233" s="162">
        <f t="shared" si="73"/>
        <v>355588.04</v>
      </c>
      <c r="S233" s="158">
        <f t="shared" si="84"/>
        <v>10.6</v>
      </c>
    </row>
    <row r="234" spans="1:19" x14ac:dyDescent="0.2">
      <c r="A234" s="302">
        <v>28</v>
      </c>
      <c r="D234" s="79">
        <v>20000</v>
      </c>
      <c r="E234" s="79">
        <v>4000000</v>
      </c>
      <c r="F234" s="162">
        <f t="shared" si="75"/>
        <v>292362.78000000003</v>
      </c>
      <c r="G234" s="162">
        <f t="shared" si="76"/>
        <v>324251.12</v>
      </c>
      <c r="H234" s="162">
        <f t="shared" si="77"/>
        <v>31888.339999999967</v>
      </c>
      <c r="I234" s="158">
        <f t="shared" si="78"/>
        <v>10.9</v>
      </c>
      <c r="J234" s="158"/>
      <c r="K234" s="162">
        <f t="shared" si="79"/>
        <v>4112</v>
      </c>
      <c r="L234" s="162">
        <f t="shared" si="80"/>
        <v>732</v>
      </c>
      <c r="M234" s="162">
        <f t="shared" si="81"/>
        <v>0</v>
      </c>
      <c r="N234" s="162"/>
      <c r="O234" s="162">
        <f t="shared" si="82"/>
        <v>0</v>
      </c>
      <c r="P234" s="162">
        <f t="shared" si="83"/>
        <v>-1824</v>
      </c>
      <c r="Q234" s="162">
        <f t="shared" si="72"/>
        <v>295382.78000000003</v>
      </c>
      <c r="R234" s="162">
        <f t="shared" si="73"/>
        <v>327271.12</v>
      </c>
      <c r="S234" s="158">
        <f t="shared" si="84"/>
        <v>10.8</v>
      </c>
    </row>
    <row r="235" spans="1:19" x14ac:dyDescent="0.2">
      <c r="A235" s="302">
        <v>29</v>
      </c>
      <c r="D235" s="79">
        <v>20000</v>
      </c>
      <c r="E235" s="79">
        <v>8000000</v>
      </c>
      <c r="F235" s="162">
        <f t="shared" si="75"/>
        <v>462954.78</v>
      </c>
      <c r="G235" s="162">
        <f t="shared" si="76"/>
        <v>512933.61</v>
      </c>
      <c r="H235" s="162">
        <f t="shared" si="77"/>
        <v>49978.829999999958</v>
      </c>
      <c r="I235" s="158">
        <f t="shared" si="78"/>
        <v>10.8</v>
      </c>
      <c r="J235" s="158"/>
      <c r="K235" s="162">
        <f t="shared" si="79"/>
        <v>8224</v>
      </c>
      <c r="L235" s="162">
        <f t="shared" si="80"/>
        <v>1464</v>
      </c>
      <c r="M235" s="162">
        <f t="shared" si="81"/>
        <v>0</v>
      </c>
      <c r="N235" s="162"/>
      <c r="O235" s="162">
        <f t="shared" si="82"/>
        <v>0</v>
      </c>
      <c r="P235" s="162">
        <f t="shared" si="83"/>
        <v>-3648</v>
      </c>
      <c r="Q235" s="162">
        <f t="shared" si="72"/>
        <v>468994.78</v>
      </c>
      <c r="R235" s="162">
        <f t="shared" si="73"/>
        <v>518973.61</v>
      </c>
      <c r="S235" s="158">
        <f t="shared" si="84"/>
        <v>10.7</v>
      </c>
    </row>
    <row r="236" spans="1:19" x14ac:dyDescent="0.2">
      <c r="A236" s="302">
        <v>30</v>
      </c>
      <c r="D236" s="79">
        <v>20000</v>
      </c>
      <c r="E236" s="79">
        <v>12000000</v>
      </c>
      <c r="F236" s="162">
        <f t="shared" si="75"/>
        <v>633546.78</v>
      </c>
      <c r="G236" s="162">
        <f t="shared" si="76"/>
        <v>701616.09</v>
      </c>
      <c r="H236" s="162">
        <f t="shared" si="77"/>
        <v>68069.309999999939</v>
      </c>
      <c r="I236" s="158">
        <f t="shared" si="78"/>
        <v>10.7</v>
      </c>
      <c r="J236" s="158"/>
      <c r="K236" s="162">
        <f t="shared" si="79"/>
        <v>12336</v>
      </c>
      <c r="L236" s="162">
        <f t="shared" si="80"/>
        <v>2196</v>
      </c>
      <c r="M236" s="162">
        <f t="shared" si="81"/>
        <v>0</v>
      </c>
      <c r="N236" s="162"/>
      <c r="O236" s="162">
        <f t="shared" si="82"/>
        <v>0</v>
      </c>
      <c r="P236" s="162">
        <f t="shared" si="83"/>
        <v>-5472</v>
      </c>
      <c r="Q236" s="162">
        <f t="shared" si="72"/>
        <v>642606.78</v>
      </c>
      <c r="R236" s="162">
        <f t="shared" si="73"/>
        <v>710676.09</v>
      </c>
      <c r="S236" s="158">
        <f t="shared" si="84"/>
        <v>10.6</v>
      </c>
    </row>
    <row r="237" spans="1:19" x14ac:dyDescent="0.2">
      <c r="A237" s="302">
        <v>31</v>
      </c>
      <c r="D237" s="79">
        <v>40000</v>
      </c>
      <c r="E237" s="79">
        <v>16000000</v>
      </c>
      <c r="F237" s="162">
        <f t="shared" si="75"/>
        <v>925409.57</v>
      </c>
      <c r="G237" s="162">
        <f t="shared" si="76"/>
        <v>1025367.21</v>
      </c>
      <c r="H237" s="162">
        <f t="shared" si="77"/>
        <v>99957.640000000014</v>
      </c>
      <c r="I237" s="158">
        <f t="shared" si="78"/>
        <v>10.8</v>
      </c>
      <c r="J237" s="158"/>
      <c r="K237" s="162">
        <f t="shared" si="79"/>
        <v>16448</v>
      </c>
      <c r="L237" s="162">
        <f t="shared" si="80"/>
        <v>2928</v>
      </c>
      <c r="M237" s="162">
        <f t="shared" si="81"/>
        <v>0</v>
      </c>
      <c r="N237" s="162"/>
      <c r="O237" s="162">
        <f t="shared" si="82"/>
        <v>0</v>
      </c>
      <c r="P237" s="162">
        <f t="shared" si="83"/>
        <v>-7296</v>
      </c>
      <c r="Q237" s="162">
        <f t="shared" si="72"/>
        <v>937489.57</v>
      </c>
      <c r="R237" s="162">
        <f t="shared" si="73"/>
        <v>1037447.21</v>
      </c>
      <c r="S237" s="158">
        <f t="shared" si="84"/>
        <v>10.7</v>
      </c>
    </row>
    <row r="238" spans="1:19" x14ac:dyDescent="0.2">
      <c r="A238" s="302">
        <v>32</v>
      </c>
      <c r="D238" s="79">
        <v>40000</v>
      </c>
      <c r="E238" s="79">
        <v>24000000</v>
      </c>
      <c r="F238" s="162">
        <f t="shared" si="75"/>
        <v>1266593.57</v>
      </c>
      <c r="G238" s="162">
        <f t="shared" si="76"/>
        <v>1402732.19</v>
      </c>
      <c r="H238" s="162">
        <f t="shared" si="77"/>
        <v>136138.61999999988</v>
      </c>
      <c r="I238" s="158">
        <f t="shared" si="78"/>
        <v>10.7</v>
      </c>
      <c r="J238" s="158"/>
      <c r="K238" s="162">
        <f t="shared" si="79"/>
        <v>24672</v>
      </c>
      <c r="L238" s="162">
        <f t="shared" si="80"/>
        <v>4392</v>
      </c>
      <c r="M238" s="162">
        <f t="shared" si="81"/>
        <v>0</v>
      </c>
      <c r="N238" s="162"/>
      <c r="O238" s="162">
        <f t="shared" si="82"/>
        <v>0</v>
      </c>
      <c r="P238" s="162">
        <f t="shared" si="83"/>
        <v>-10944</v>
      </c>
      <c r="Q238" s="162">
        <f t="shared" si="72"/>
        <v>1284713.57</v>
      </c>
      <c r="R238" s="162">
        <f t="shared" si="73"/>
        <v>1420852.19</v>
      </c>
      <c r="S238" s="158">
        <f t="shared" si="84"/>
        <v>10.6</v>
      </c>
    </row>
    <row r="239" spans="1:19" x14ac:dyDescent="0.2">
      <c r="A239" s="302">
        <v>33</v>
      </c>
      <c r="D239" s="79">
        <v>80000</v>
      </c>
      <c r="E239" s="79">
        <v>32000000</v>
      </c>
      <c r="F239" s="162">
        <f t="shared" si="75"/>
        <v>1850319.1199999999</v>
      </c>
      <c r="G239" s="162">
        <f t="shared" si="76"/>
        <v>2050234.4100000001</v>
      </c>
      <c r="H239" s="162">
        <f t="shared" si="77"/>
        <v>199915.29000000027</v>
      </c>
      <c r="I239" s="158">
        <f t="shared" si="78"/>
        <v>10.8</v>
      </c>
      <c r="J239" s="158"/>
      <c r="K239" s="162">
        <f t="shared" si="79"/>
        <v>32896</v>
      </c>
      <c r="L239" s="162">
        <f t="shared" si="80"/>
        <v>5856</v>
      </c>
      <c r="M239" s="162">
        <f t="shared" si="81"/>
        <v>0</v>
      </c>
      <c r="N239" s="162"/>
      <c r="O239" s="162">
        <f t="shared" si="82"/>
        <v>0</v>
      </c>
      <c r="P239" s="162">
        <f t="shared" si="83"/>
        <v>-14592</v>
      </c>
      <c r="Q239" s="162">
        <f t="shared" si="72"/>
        <v>1874479.1199999999</v>
      </c>
      <c r="R239" s="162">
        <f t="shared" si="73"/>
        <v>2074394.4100000001</v>
      </c>
      <c r="S239" s="158">
        <f t="shared" si="84"/>
        <v>10.7</v>
      </c>
    </row>
    <row r="240" spans="1:19" x14ac:dyDescent="0.2">
      <c r="A240" s="302">
        <v>34</v>
      </c>
      <c r="D240" s="79">
        <v>80000</v>
      </c>
      <c r="E240" s="79">
        <v>48000000</v>
      </c>
      <c r="F240" s="162">
        <f t="shared" si="75"/>
        <v>2532687.12</v>
      </c>
      <c r="G240" s="162">
        <f t="shared" si="76"/>
        <v>2804964.37</v>
      </c>
      <c r="H240" s="162">
        <f t="shared" si="77"/>
        <v>272277.25</v>
      </c>
      <c r="I240" s="158">
        <f t="shared" si="78"/>
        <v>10.8</v>
      </c>
      <c r="J240" s="158"/>
      <c r="K240" s="162">
        <f t="shared" si="79"/>
        <v>49344</v>
      </c>
      <c r="L240" s="162">
        <f t="shared" si="80"/>
        <v>8784</v>
      </c>
      <c r="M240" s="162">
        <f t="shared" si="81"/>
        <v>0</v>
      </c>
      <c r="N240" s="162"/>
      <c r="O240" s="162">
        <f t="shared" si="82"/>
        <v>0</v>
      </c>
      <c r="P240" s="162">
        <f t="shared" si="83"/>
        <v>-21888</v>
      </c>
      <c r="Q240" s="162">
        <f t="shared" si="72"/>
        <v>2568927.12</v>
      </c>
      <c r="R240" s="162">
        <f t="shared" si="73"/>
        <v>2841204.37</v>
      </c>
      <c r="S240" s="158">
        <f t="shared" si="84"/>
        <v>10.6</v>
      </c>
    </row>
    <row r="241" spans="1:19" x14ac:dyDescent="0.2">
      <c r="A241" s="302">
        <v>35</v>
      </c>
      <c r="D241" s="79">
        <v>160000</v>
      </c>
      <c r="E241" s="79">
        <v>64000000</v>
      </c>
      <c r="F241" s="162">
        <f t="shared" si="75"/>
        <v>3700138.25</v>
      </c>
      <c r="G241" s="162">
        <f t="shared" si="76"/>
        <v>4099968.8499999996</v>
      </c>
      <c r="H241" s="162">
        <f t="shared" si="77"/>
        <v>399830.59999999963</v>
      </c>
      <c r="I241" s="158">
        <f t="shared" si="78"/>
        <v>10.8</v>
      </c>
      <c r="J241" s="158"/>
      <c r="K241" s="162">
        <f t="shared" si="79"/>
        <v>65792</v>
      </c>
      <c r="L241" s="162">
        <f t="shared" si="80"/>
        <v>11712</v>
      </c>
      <c r="M241" s="162">
        <f t="shared" si="81"/>
        <v>0</v>
      </c>
      <c r="N241" s="162"/>
      <c r="O241" s="162">
        <f t="shared" si="82"/>
        <v>0</v>
      </c>
      <c r="P241" s="162">
        <f t="shared" si="83"/>
        <v>-29184</v>
      </c>
      <c r="Q241" s="162">
        <f t="shared" si="72"/>
        <v>3748458.25</v>
      </c>
      <c r="R241" s="162">
        <f t="shared" si="73"/>
        <v>4148288.8499999996</v>
      </c>
      <c r="S241" s="158">
        <f t="shared" si="84"/>
        <v>10.7</v>
      </c>
    </row>
    <row r="242" spans="1:19" x14ac:dyDescent="0.2">
      <c r="A242" s="302">
        <v>36</v>
      </c>
      <c r="D242" s="79">
        <v>160000</v>
      </c>
      <c r="E242" s="79">
        <v>96000000</v>
      </c>
      <c r="F242" s="162">
        <f t="shared" si="75"/>
        <v>5064874.2500000009</v>
      </c>
      <c r="G242" s="162">
        <f t="shared" si="76"/>
        <v>5609428.7399999993</v>
      </c>
      <c r="H242" s="162">
        <f t="shared" si="77"/>
        <v>544554.48999999836</v>
      </c>
      <c r="I242" s="158">
        <f t="shared" si="78"/>
        <v>10.8</v>
      </c>
      <c r="J242" s="158"/>
      <c r="K242" s="162">
        <f t="shared" si="79"/>
        <v>98688</v>
      </c>
      <c r="L242" s="162">
        <f t="shared" si="80"/>
        <v>17568</v>
      </c>
      <c r="M242" s="162">
        <f t="shared" si="81"/>
        <v>0</v>
      </c>
      <c r="N242" s="162"/>
      <c r="O242" s="162">
        <f t="shared" si="82"/>
        <v>0</v>
      </c>
      <c r="P242" s="162">
        <f t="shared" si="83"/>
        <v>-43776</v>
      </c>
      <c r="Q242" s="162">
        <f t="shared" si="72"/>
        <v>5137354.2500000009</v>
      </c>
      <c r="R242" s="162">
        <f t="shared" si="73"/>
        <v>5681908.7399999993</v>
      </c>
      <c r="S242" s="158">
        <f t="shared" si="84"/>
        <v>10.6</v>
      </c>
    </row>
    <row r="243" spans="1:19" x14ac:dyDescent="0.2">
      <c r="K243" s="162"/>
      <c r="L243" s="162"/>
      <c r="M243" s="162"/>
      <c r="N243" s="162"/>
      <c r="O243" s="162"/>
      <c r="P243" s="162"/>
    </row>
    <row r="244" spans="1:19" ht="15.75" x14ac:dyDescent="0.25">
      <c r="C244" s="82" t="str">
        <f>"(1) REFLECTS FUEL ADJUSTMENT COMPONENT (FAC) OF "&amp;TEXT(CUR_FAC,"$0.000000;($0.000000)")&amp;" PER KWH."</f>
        <v>(1) REFLECTS FUEL ADJUSTMENT COMPONENT (FAC) OF $0.001028 PER KWH.</v>
      </c>
      <c r="K244" s="162"/>
      <c r="L244" s="162"/>
      <c r="M244" s="162"/>
      <c r="N244" s="162"/>
      <c r="O244" s="162"/>
      <c r="P244" s="162"/>
    </row>
    <row r="245" spans="1:19" ht="15.75" x14ac:dyDescent="0.25">
      <c r="C245" s="82" t="str">
        <f>"(2) RIDER DSMR "&amp;TEXT(DSM_TRANS,"$0.000000;($0.000000)")&amp;" PER KWH."</f>
        <v>(2) RIDER DSMR $0.000183 PER KWH.</v>
      </c>
    </row>
    <row r="246" spans="1:19" ht="15.75" x14ac:dyDescent="0.25">
      <c r="C246" s="82" t="str">
        <f>"(3) RIDER ESM "&amp;TEXT(PRO_ESM,"$0.000000;($0.000000)")&amp;"  PER KWH FOR CURRENT BILL ONLY."</f>
        <v>(3) RIDER ESM $0.000000  PER KWH FOR CURRENT BILL ONLY.</v>
      </c>
    </row>
    <row r="247" spans="1:19" ht="15.75" x14ac:dyDescent="0.25">
      <c r="C247" s="82" t="str">
        <f>"(4) RIDER FTR "&amp;TEXT(PRO_FTR_DTP,"$0.000000;($0.000000)")&amp;"  PER KW FOR PROPOSED BILL ONLY."</f>
        <v>(4) RIDER FTR $0.000000  PER KW FOR PROPOSED BILL ONLY.</v>
      </c>
    </row>
    <row r="248" spans="1:19" ht="15.75" x14ac:dyDescent="0.25">
      <c r="C248" s="82" t="str">
        <f>"(5) RIDER PSM "&amp;TEXT(RS_PSM,"$0.000000;($0.000000)")&amp;"  PER KWH."</f>
        <v>(5) RIDER PSM ($0.000456)  PER KWH.</v>
      </c>
    </row>
    <row r="249" spans="1:19" ht="15.75" x14ac:dyDescent="0.25">
      <c r="C249" s="82" t="str">
        <f>"(6) REFLECTS FUEL COST RECOVERY INCLUDED IN BASE RATES OF "&amp;TEXT(CUR_BASE_FUEL,"$0.000000;($0.000000)")&amp;"  PER KWH."</f>
        <v>(6) REFLECTS FUEL COST RECOVERY INCLUDED IN BASE RATES OF $0.023837  PER KWH.</v>
      </c>
    </row>
    <row r="250" spans="1:19" ht="15.75" x14ac:dyDescent="0.25">
      <c r="C250" s="82" t="str">
        <f>"(7) DEMAND VALUE REPRESENTS THE SUM OF ON AND OFF PEAK.  FOR BILL CALCULATION, VALUE IS SPLIT USING THE RATIO OF VALUES IN SCHEDULE M-2.3."</f>
        <v>(7) DEMAND VALUE REPRESENTS THE SUM OF ON AND OFF PEAK.  FOR BILL CALCULATION, VALUE IS SPLIT USING THE RATIO OF VALUES IN SCHEDULE M-2.3.</v>
      </c>
    </row>
    <row r="251" spans="1:19" ht="15.75" x14ac:dyDescent="0.25">
      <c r="C251" s="82"/>
    </row>
    <row r="252" spans="1:19" ht="15.75" x14ac:dyDescent="0.25">
      <c r="C252" s="81"/>
    </row>
  </sheetData>
  <customSheetViews>
    <customSheetView guid="{195DF303-1BBD-4236-94B5-47432850B006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3"/>
      <headerFooter alignWithMargins="0"/>
    </customSheetView>
    <customSheetView guid="{2431C9E5-7CC2-4B8D-99C3-962247B1DBF5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4"/>
      <headerFooter alignWithMargins="0"/>
    </customSheetView>
    <customSheetView guid="{2EA35095-1ADC-4CC7-8C3C-B487D65FA247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8"/>
      <headerFooter alignWithMargins="0"/>
    </customSheetView>
    <customSheetView guid="{0BC1F393-8A13-47D5-BC6C-0C99615B5AB9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9"/>
      <headerFooter alignWithMargins="0"/>
    </customSheetView>
    <customSheetView guid="{18BDED73-BFA0-442E-87EC-CED86EE4CF94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1"/>
      <headerFooter alignWithMargins="0"/>
    </customSheetView>
    <customSheetView guid="{F562D92E-120C-4AE9-9663-89E64D41DC53}" scale="75" fitToPage="1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2"/>
      <headerFooter alignWithMargins="0"/>
    </customSheetView>
  </customSheetViews>
  <mergeCells count="10">
    <mergeCell ref="K200:P200"/>
    <mergeCell ref="K13:P13"/>
    <mergeCell ref="K48:P48"/>
    <mergeCell ref="K101:P101"/>
    <mergeCell ref="A10:S10"/>
    <mergeCell ref="A45:S45"/>
    <mergeCell ref="A98:S98"/>
    <mergeCell ref="A146:S146"/>
    <mergeCell ref="A197:S197"/>
    <mergeCell ref="K149:P149"/>
  </mergeCells>
  <phoneticPr fontId="9" type="noConversion"/>
  <pageMargins left="0.75" right="0.75" top="1" bottom="1" header="0.5" footer="0.5"/>
  <pageSetup scale="47" orientation="landscape" verticalDpi="300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2" manualBreakCount="2">
    <brk id="35" max="16383" man="1"/>
    <brk id="8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90"/>
  <sheetViews>
    <sheetView showRowColHeaders="0" tabSelected="1" view="pageLayout" zoomScaleNormal="75" workbookViewId="0">
      <selection activeCell="L6" sqref="L6"/>
    </sheetView>
  </sheetViews>
  <sheetFormatPr defaultRowHeight="15" x14ac:dyDescent="0.2"/>
  <cols>
    <col min="1" max="1" width="8.44140625" style="2" customWidth="1"/>
    <col min="2" max="2" width="10.88671875" style="2" customWidth="1"/>
    <col min="3" max="3" width="12.109375" style="2" customWidth="1"/>
    <col min="4" max="4" width="12.21875" style="2" customWidth="1"/>
    <col min="5" max="5" width="12.5546875" style="2" customWidth="1"/>
    <col min="6" max="6" width="14.44140625" style="2" customWidth="1"/>
    <col min="7" max="7" width="10" style="2" customWidth="1"/>
    <col min="8" max="8" width="10.44140625" style="2" customWidth="1"/>
    <col min="9" max="9" width="12.109375" style="2" customWidth="1"/>
    <col min="10" max="10" width="10.44140625" style="2" customWidth="1"/>
    <col min="11" max="11" width="12.44140625" style="2" customWidth="1"/>
    <col min="12" max="12" width="12" style="2" customWidth="1"/>
    <col min="13" max="13" width="10.109375" style="2" customWidth="1"/>
    <col min="14" max="17" width="8.88671875" style="2"/>
    <col min="18" max="18" width="9.77734375" style="2" customWidth="1"/>
    <col min="19" max="16384" width="8.88671875" style="2"/>
  </cols>
  <sheetData>
    <row r="1" spans="2:18" ht="15.75" x14ac:dyDescent="0.25">
      <c r="B1" s="13" t="s">
        <v>204</v>
      </c>
      <c r="C1" s="11"/>
      <c r="D1" s="11"/>
      <c r="E1" s="11"/>
      <c r="F1" s="10"/>
      <c r="H1" s="13" t="s">
        <v>205</v>
      </c>
      <c r="I1" s="11"/>
      <c r="J1" s="11"/>
      <c r="K1" s="11"/>
      <c r="L1" s="10"/>
    </row>
    <row r="2" spans="2:18" x14ac:dyDescent="0.2">
      <c r="C2" s="3" t="s">
        <v>129</v>
      </c>
      <c r="D2" s="3" t="s">
        <v>129</v>
      </c>
      <c r="E2" s="3" t="s">
        <v>129</v>
      </c>
      <c r="I2" s="3" t="s">
        <v>129</v>
      </c>
      <c r="J2" s="3" t="s">
        <v>129</v>
      </c>
      <c r="K2" s="3" t="s">
        <v>129</v>
      </c>
    </row>
    <row r="3" spans="2:18" x14ac:dyDescent="0.2">
      <c r="B3" s="3" t="s">
        <v>20</v>
      </c>
      <c r="C3" s="3" t="s">
        <v>134</v>
      </c>
      <c r="D3" s="3" t="s">
        <v>135</v>
      </c>
      <c r="E3" s="3" t="s">
        <v>136</v>
      </c>
      <c r="F3" s="3" t="s">
        <v>11</v>
      </c>
      <c r="H3" s="3" t="s">
        <v>20</v>
      </c>
      <c r="I3" s="3" t="s">
        <v>134</v>
      </c>
      <c r="J3" s="3" t="s">
        <v>135</v>
      </c>
      <c r="K3" s="3" t="s">
        <v>136</v>
      </c>
      <c r="L3" s="3" t="s">
        <v>11</v>
      </c>
    </row>
    <row r="4" spans="2:18" x14ac:dyDescent="0.2">
      <c r="B4" s="9" t="s">
        <v>137</v>
      </c>
      <c r="C4" s="9" t="s">
        <v>138</v>
      </c>
      <c r="D4" s="9" t="s">
        <v>138</v>
      </c>
      <c r="E4" s="9" t="s">
        <v>138</v>
      </c>
      <c r="F4" s="9" t="s">
        <v>128</v>
      </c>
      <c r="H4" s="9" t="s">
        <v>137</v>
      </c>
      <c r="I4" s="9" t="s">
        <v>138</v>
      </c>
      <c r="J4" s="9" t="s">
        <v>138</v>
      </c>
      <c r="K4" s="9" t="s">
        <v>138</v>
      </c>
      <c r="L4" s="9" t="s">
        <v>128</v>
      </c>
    </row>
    <row r="5" spans="2:18" x14ac:dyDescent="0.2">
      <c r="B5" s="95" t="s">
        <v>691</v>
      </c>
    </row>
    <row r="7" spans="2:18" x14ac:dyDescent="0.2">
      <c r="B7" s="5">
        <f t="shared" ref="B7:B13" si="0">+CUR_RS_CUST</f>
        <v>4.5</v>
      </c>
      <c r="C7" s="5">
        <f>IF('SCH N'!E20&lt;=1000,ROUND('SCH N'!E20*(+CUR_RS_ENERGY),2),ROUND(1000*(CUR_RS_ENERGY),2))</f>
        <v>22.64</v>
      </c>
      <c r="D7" s="93">
        <v>0</v>
      </c>
      <c r="E7" s="93">
        <v>0</v>
      </c>
      <c r="F7" s="5">
        <f t="shared" ref="F7:F13" si="1">SUM(B7:E7)</f>
        <v>27.14</v>
      </c>
      <c r="H7" s="5">
        <f t="shared" ref="H7:H13" si="2">PRO_RS_CUST</f>
        <v>11.219999999999999</v>
      </c>
      <c r="I7" s="5">
        <f>IF('SCH N'!E20&lt;=1000,ROUND('SCH N'!E20*(PRO_RS_ENERGY),2),ROUND(1000*(PRO_RS_ENERGY),2))</f>
        <v>25.17</v>
      </c>
      <c r="J7" s="93">
        <v>0</v>
      </c>
      <c r="K7" s="93">
        <v>0</v>
      </c>
      <c r="L7" s="5">
        <f t="shared" ref="L7:L13" si="3">SUM(H7:K7)</f>
        <v>36.39</v>
      </c>
    </row>
    <row r="8" spans="2:18" x14ac:dyDescent="0.2">
      <c r="B8" s="5">
        <f t="shared" si="0"/>
        <v>4.5</v>
      </c>
      <c r="C8" s="5">
        <f>IF('SCH N'!E21&lt;=1000,ROUND('SCH N'!E21*(+CUR_RS_ENERGY),2),ROUND(1000*(CUR_RS_ENERGY),2))</f>
        <v>30.18</v>
      </c>
      <c r="D8" s="93">
        <v>0</v>
      </c>
      <c r="E8" s="93">
        <v>0</v>
      </c>
      <c r="F8" s="5">
        <f t="shared" si="1"/>
        <v>34.68</v>
      </c>
      <c r="H8" s="5">
        <f t="shared" si="2"/>
        <v>11.219999999999999</v>
      </c>
      <c r="I8" s="5">
        <f>IF('SCH N'!E21&lt;=1000,ROUND('SCH N'!E21*(PRO_RS_ENERGY),2),ROUND(1000*(PRO_RS_ENERGY),2))</f>
        <v>33.56</v>
      </c>
      <c r="J8" s="93">
        <v>0</v>
      </c>
      <c r="K8" s="93">
        <v>0</v>
      </c>
      <c r="L8" s="5">
        <f t="shared" si="3"/>
        <v>44.78</v>
      </c>
    </row>
    <row r="9" spans="2:18" x14ac:dyDescent="0.2">
      <c r="B9" s="5">
        <f t="shared" si="0"/>
        <v>4.5</v>
      </c>
      <c r="C9" s="5">
        <f>IF('SCH N'!E22&lt;=1000,ROUND('SCH N'!E22*(+CUR_RS_ENERGY),2),ROUND(1000*(CUR_RS_ENERGY),2))</f>
        <v>37.729999999999997</v>
      </c>
      <c r="D9" s="93">
        <v>0</v>
      </c>
      <c r="E9" s="93">
        <v>0</v>
      </c>
      <c r="F9" s="5">
        <f t="shared" si="1"/>
        <v>42.23</v>
      </c>
      <c r="H9" s="5">
        <f t="shared" si="2"/>
        <v>11.219999999999999</v>
      </c>
      <c r="I9" s="5">
        <f>IF('SCH N'!E22&lt;=1000,ROUND('SCH N'!E22*(PRO_RS_ENERGY),2),ROUND(1000*(PRO_RS_ENERGY),2))</f>
        <v>41.95</v>
      </c>
      <c r="J9" s="93">
        <v>0</v>
      </c>
      <c r="K9" s="93">
        <v>0</v>
      </c>
      <c r="L9" s="5">
        <f t="shared" si="3"/>
        <v>53.17</v>
      </c>
    </row>
    <row r="10" spans="2:18" x14ac:dyDescent="0.2">
      <c r="B10" s="5">
        <f t="shared" si="0"/>
        <v>4.5</v>
      </c>
      <c r="C10" s="5">
        <f>IF('SCH N'!E23&lt;=1000,ROUND('SCH N'!E23*(+CUR_RS_ENERGY),2),ROUND(1000*(CUR_RS_ENERGY),2))</f>
        <v>60.36</v>
      </c>
      <c r="D10" s="93">
        <v>0</v>
      </c>
      <c r="E10" s="93">
        <v>0</v>
      </c>
      <c r="F10" s="5">
        <f t="shared" si="1"/>
        <v>64.86</v>
      </c>
      <c r="H10" s="5">
        <f t="shared" si="2"/>
        <v>11.219999999999999</v>
      </c>
      <c r="I10" s="5">
        <f>IF('SCH N'!E23&lt;=1000,ROUND('SCH N'!E23*(PRO_RS_ENERGY),2),ROUND(1000*(PRO_RS_ENERGY),2))</f>
        <v>67.13</v>
      </c>
      <c r="J10" s="93">
        <v>0</v>
      </c>
      <c r="K10" s="93">
        <v>0</v>
      </c>
      <c r="L10" s="5">
        <f t="shared" si="3"/>
        <v>78.349999999999994</v>
      </c>
    </row>
    <row r="11" spans="2:18" x14ac:dyDescent="0.2">
      <c r="B11" s="5">
        <f t="shared" si="0"/>
        <v>4.5</v>
      </c>
      <c r="C11" s="5">
        <f>IF('SCH N'!E24&lt;=1000,ROUND('SCH N'!E24*(+CUR_RS_ENERGY),2),ROUND(1000*(CUR_RS_ENERGY),2))</f>
        <v>75.459999999999994</v>
      </c>
      <c r="D11" s="93">
        <v>0</v>
      </c>
      <c r="E11" s="93">
        <v>0</v>
      </c>
      <c r="F11" s="5">
        <f t="shared" si="1"/>
        <v>79.959999999999994</v>
      </c>
      <c r="H11" s="5">
        <f t="shared" si="2"/>
        <v>11.219999999999999</v>
      </c>
      <c r="I11" s="5">
        <f>IF('SCH N'!E24&lt;=1000,ROUND('SCH N'!E24*(PRO_RS_ENERGY),2),ROUND(1000*(PRO_RS_ENERGY),2))</f>
        <v>83.91</v>
      </c>
      <c r="J11" s="93">
        <v>0</v>
      </c>
      <c r="K11" s="93">
        <v>0</v>
      </c>
      <c r="L11" s="5">
        <f t="shared" si="3"/>
        <v>95.13</v>
      </c>
    </row>
    <row r="12" spans="2:18" x14ac:dyDescent="0.2">
      <c r="B12" s="5">
        <f t="shared" si="0"/>
        <v>4.5</v>
      </c>
      <c r="C12" s="5">
        <f>IF('SCH N'!E25&lt;=1000,ROUND('SCH N'!E25*(+CUR_RS_ENERGY),2),ROUND(1000*(CUR_RS_ENERGY),2))</f>
        <v>75.459999999999994</v>
      </c>
      <c r="D12" s="93">
        <v>0</v>
      </c>
      <c r="E12" s="93">
        <v>0</v>
      </c>
      <c r="F12" s="5">
        <f t="shared" si="1"/>
        <v>79.959999999999994</v>
      </c>
      <c r="H12" s="5">
        <f t="shared" si="2"/>
        <v>11.219999999999999</v>
      </c>
      <c r="I12" s="5">
        <f>IF('SCH N'!E25&lt;=1000,ROUND('SCH N'!E25*(PRO_RS_ENERGY),2),ROUND(1000*(PRO_RS_ENERGY),2))</f>
        <v>83.91</v>
      </c>
      <c r="J12" s="93">
        <v>0</v>
      </c>
      <c r="K12" s="93">
        <v>0</v>
      </c>
      <c r="L12" s="5">
        <f t="shared" si="3"/>
        <v>95.13</v>
      </c>
    </row>
    <row r="13" spans="2:18" x14ac:dyDescent="0.2">
      <c r="B13" s="5">
        <f t="shared" si="0"/>
        <v>4.5</v>
      </c>
      <c r="C13" s="5">
        <f>IF('SCH N'!E26&lt;=1000,ROUND('SCH N'!E26*(+CUR_RS_ENERGY),2),ROUND(1000*(CUR_RS_ENERGY),2))</f>
        <v>75.459999999999994</v>
      </c>
      <c r="D13" s="93">
        <v>0</v>
      </c>
      <c r="E13" s="93">
        <v>0</v>
      </c>
      <c r="F13" s="5">
        <f t="shared" si="1"/>
        <v>79.959999999999994</v>
      </c>
      <c r="H13" s="5">
        <f t="shared" si="2"/>
        <v>11.219999999999999</v>
      </c>
      <c r="I13" s="5">
        <f>IF('SCH N'!E26&lt;=1000,ROUND('SCH N'!E26*(PRO_RS_ENERGY),2),ROUND(1000*(PRO_RS_ENERGY),2))</f>
        <v>83.91</v>
      </c>
      <c r="J13" s="93">
        <v>0</v>
      </c>
      <c r="K13" s="93">
        <v>0</v>
      </c>
      <c r="L13" s="5">
        <f t="shared" si="3"/>
        <v>95.13</v>
      </c>
    </row>
    <row r="14" spans="2:18" x14ac:dyDescent="0.2">
      <c r="F14" s="5"/>
      <c r="L14" s="5"/>
    </row>
    <row r="15" spans="2:18" s="16" customFormat="1" x14ac:dyDescent="0.2"/>
    <row r="16" spans="2:18" ht="15.75" x14ac:dyDescent="0.25">
      <c r="B16" s="13" t="s">
        <v>198</v>
      </c>
      <c r="C16" s="10"/>
      <c r="D16" s="11"/>
      <c r="E16" s="11"/>
      <c r="F16" s="11"/>
      <c r="G16" s="11"/>
      <c r="H16" s="10"/>
      <c r="I16" s="10"/>
      <c r="K16" s="13" t="s">
        <v>199</v>
      </c>
      <c r="L16" s="10"/>
      <c r="M16" s="11"/>
      <c r="N16" s="11"/>
      <c r="O16" s="11"/>
      <c r="P16" s="11"/>
      <c r="Q16" s="10"/>
      <c r="R16" s="10"/>
    </row>
    <row r="17" spans="1:18" x14ac:dyDescent="0.2">
      <c r="C17" s="3" t="s">
        <v>130</v>
      </c>
      <c r="D17" s="3" t="s">
        <v>130</v>
      </c>
      <c r="E17" s="3" t="s">
        <v>130</v>
      </c>
      <c r="F17" s="3" t="s">
        <v>129</v>
      </c>
      <c r="G17" s="3" t="s">
        <v>129</v>
      </c>
      <c r="H17" s="3" t="s">
        <v>129</v>
      </c>
      <c r="L17" s="3" t="s">
        <v>130</v>
      </c>
      <c r="M17" s="3" t="s">
        <v>130</v>
      </c>
      <c r="N17" s="3" t="s">
        <v>130</v>
      </c>
      <c r="O17" s="3" t="s">
        <v>129</v>
      </c>
      <c r="P17" s="3" t="s">
        <v>129</v>
      </c>
      <c r="Q17" s="3" t="s">
        <v>129</v>
      </c>
    </row>
    <row r="18" spans="1:18" x14ac:dyDescent="0.2">
      <c r="B18" s="3" t="s">
        <v>20</v>
      </c>
      <c r="C18" s="3" t="s">
        <v>134</v>
      </c>
      <c r="D18" s="3" t="s">
        <v>135</v>
      </c>
      <c r="E18" s="3" t="s">
        <v>136</v>
      </c>
      <c r="F18" s="3" t="s">
        <v>134</v>
      </c>
      <c r="G18" s="3" t="s">
        <v>135</v>
      </c>
      <c r="H18" s="3" t="s">
        <v>136</v>
      </c>
      <c r="I18" s="3" t="s">
        <v>11</v>
      </c>
      <c r="K18" s="3" t="s">
        <v>20</v>
      </c>
      <c r="L18" s="3" t="s">
        <v>134</v>
      </c>
      <c r="M18" s="3" t="s">
        <v>135</v>
      </c>
      <c r="N18" s="3" t="s">
        <v>136</v>
      </c>
      <c r="O18" s="3" t="s">
        <v>134</v>
      </c>
      <c r="P18" s="3" t="s">
        <v>135</v>
      </c>
      <c r="Q18" s="3" t="s">
        <v>136</v>
      </c>
      <c r="R18" s="3" t="s">
        <v>11</v>
      </c>
    </row>
    <row r="19" spans="1:18" x14ac:dyDescent="0.2">
      <c r="B19" s="9" t="s">
        <v>137</v>
      </c>
      <c r="C19" s="9" t="s">
        <v>138</v>
      </c>
      <c r="D19" s="9" t="s">
        <v>138</v>
      </c>
      <c r="E19" s="9" t="s">
        <v>138</v>
      </c>
      <c r="F19" s="9" t="s">
        <v>138</v>
      </c>
      <c r="G19" s="9" t="s">
        <v>138</v>
      </c>
      <c r="H19" s="9" t="s">
        <v>138</v>
      </c>
      <c r="I19" s="9" t="s">
        <v>128</v>
      </c>
      <c r="J19" s="8"/>
      <c r="K19" s="9" t="s">
        <v>137</v>
      </c>
      <c r="L19" s="9" t="s">
        <v>138</v>
      </c>
      <c r="M19" s="9" t="s">
        <v>138</v>
      </c>
      <c r="N19" s="9" t="s">
        <v>138</v>
      </c>
      <c r="O19" s="9" t="s">
        <v>138</v>
      </c>
      <c r="P19" s="9" t="s">
        <v>138</v>
      </c>
      <c r="Q19" s="9" t="s">
        <v>138</v>
      </c>
      <c r="R19" s="9" t="s">
        <v>128</v>
      </c>
    </row>
    <row r="20" spans="1:18" x14ac:dyDescent="0.2">
      <c r="B20" s="95" t="s">
        <v>464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</row>
    <row r="21" spans="1:18" x14ac:dyDescent="0.2">
      <c r="A21" s="2" t="s">
        <v>113</v>
      </c>
      <c r="B21" s="5">
        <f>CUR_DS_CST_2</f>
        <v>15</v>
      </c>
      <c r="C21" s="5">
        <f>IF('SCH N'!$D54&lt;=15,ROUND('SCH N'!$D54*CUR_DS_DEM_1,2),ROUND(15*CUR_DS_DEM_1,2))</f>
        <v>0</v>
      </c>
      <c r="D21" s="5">
        <f>IF('SCH N'!$D54&lt;=15,0,ROUND(('SCH N'!$D54-15)*CUR_DS_DEM_3,2))</f>
        <v>0</v>
      </c>
      <c r="E21" s="14">
        <v>0</v>
      </c>
      <c r="F21" s="5">
        <f>IF('SCH N'!$E54&lt;=6000,ROUND('SCH N'!$E54*(CUR_DS_KWH_1),2),ROUND(6000*(CUR_DS_KWH_1),2))</f>
        <v>163.29</v>
      </c>
      <c r="G21" s="5">
        <f>IF('SCH N'!$E54&lt;=6000,0,IF(('SCH N'!$D54*300)&lt;=('SCH N'!$E54-6000),ROUND(('SCH N'!$D54*300)*(CUR_DS_KWH_2),2),ROUND(('SCH N'!$E54-6000)*(CUR_DS_KWH_2),2)))</f>
        <v>0</v>
      </c>
      <c r="H21" s="5">
        <f>IF('SCH N'!$E54&lt;=(6000+('SCH N'!$D54*300)),0,ROUND(('SCH N'!$E54-(6000+('SCH N'!$D54*300)))*(CUR_DS_KWH_3),2))</f>
        <v>0</v>
      </c>
      <c r="I21" s="5">
        <f t="shared" ref="I21:I41" si="4">SUM(B21:H21)</f>
        <v>178.29</v>
      </c>
      <c r="J21" s="5"/>
      <c r="K21" s="5">
        <f>PRO_DS_CST_2</f>
        <v>34.28</v>
      </c>
      <c r="L21" s="5">
        <f>IF('SCH N'!$D54&lt;=15,ROUND('SCH N'!$D54*PRO_DS_DEM_1,2),ROUND(15*PRO_DS_DEM_1,2))</f>
        <v>0</v>
      </c>
      <c r="M21" s="5">
        <f>IF('SCH N'!$D54&lt;=15,0,ROUND(('SCH N'!$D54-15)*PRO_DS_DEM_3,2))</f>
        <v>0</v>
      </c>
      <c r="N21" s="14">
        <v>0</v>
      </c>
      <c r="O21" s="5">
        <f>IF('SCH N'!$E54&lt;=6000,ROUND('SCH N'!$E54*(PRO_DS_KWH_1),2),ROUND(6000*(PRO_DS_KWH_1),2))</f>
        <v>183.83</v>
      </c>
      <c r="P21" s="5">
        <f>IF('SCH N'!$E54&lt;=6000,0,IF(('SCH N'!$D54*300)&lt;=('SCH N'!$E54-6000),ROUND(('SCH N'!$D54*300)*(PRO_DS_KWH_2),2),ROUND(('SCH N'!$E54-6000)*(PRO_DS_KWH_2),2)))</f>
        <v>0</v>
      </c>
      <c r="Q21" s="5">
        <f>IF('SCH N'!$E54&lt;=(6000+('SCH N'!$D54*300)),0,ROUND(('SCH N'!$E54-(6000+('SCH N'!$D54*300)))*(PRO_DS_KWH_3),2))</f>
        <v>0</v>
      </c>
      <c r="R21" s="5">
        <f t="shared" ref="R21:R41" si="5">SUM(K21:Q21)</f>
        <v>218.11</v>
      </c>
    </row>
    <row r="22" spans="1:18" x14ac:dyDescent="0.2">
      <c r="B22" s="5">
        <f t="shared" ref="B22:B41" si="6">CUR_DS_CST_2</f>
        <v>15</v>
      </c>
      <c r="C22" s="5">
        <f>IF('SCH N'!$D55&lt;=15,ROUND('SCH N'!$D55*CUR_DS_DEM_1,2),ROUND(15*CUR_DS_DEM_1,2))</f>
        <v>0</v>
      </c>
      <c r="D22" s="5">
        <f>IF('SCH N'!$D55&lt;=15,0,ROUND(('SCH N'!$D55-15)*CUR_DS_DEM_3,2))</f>
        <v>0</v>
      </c>
      <c r="E22" s="14">
        <v>0</v>
      </c>
      <c r="F22" s="5">
        <f>IF('SCH N'!$E55&lt;=6000,ROUND('SCH N'!$E55*(CUR_DS_KWH_1),2),ROUND(6000*(CUR_DS_KWH_1),2))</f>
        <v>326.58</v>
      </c>
      <c r="G22" s="5">
        <f>IF('SCH N'!$E55&lt;=6000,0,IF(('SCH N'!$D55*300)&lt;=('SCH N'!$E55-6000),ROUND(('SCH N'!$D55*300)*(CUR_DS_KWH_2),2),ROUND(('SCH N'!$E55-6000)*(CUR_DS_KWH_2),2)))</f>
        <v>0</v>
      </c>
      <c r="H22" s="5">
        <f>IF('SCH N'!$E55&lt;=(6000+('SCH N'!$D55*300)),0,ROUND(('SCH N'!$E55-(6000+('SCH N'!$D55*300)))*(CUR_DS_KWH_3),2))</f>
        <v>0</v>
      </c>
      <c r="I22" s="5">
        <f t="shared" si="4"/>
        <v>341.58</v>
      </c>
      <c r="J22" s="5"/>
      <c r="K22" s="5">
        <f t="shared" ref="K22:K41" si="7">PRO_DS_CST_2</f>
        <v>34.28</v>
      </c>
      <c r="L22" s="5">
        <f>IF('SCH N'!$D55&lt;=15,ROUND('SCH N'!$D55*PRO_DS_DEM_1,2),ROUND(15*PRO_DS_DEM_1,2))</f>
        <v>0</v>
      </c>
      <c r="M22" s="5">
        <f>IF('SCH N'!$D55&lt;=15,0,ROUND(('SCH N'!$D55-15)*PRO_DS_DEM_3,2))</f>
        <v>0</v>
      </c>
      <c r="N22" s="14">
        <v>0</v>
      </c>
      <c r="O22" s="5">
        <f>IF('SCH N'!$E55&lt;=6000,ROUND('SCH N'!$E55*(PRO_DS_KWH_1),2),ROUND(6000*(PRO_DS_KWH_1),2))</f>
        <v>367.67</v>
      </c>
      <c r="P22" s="5">
        <f>IF('SCH N'!$E55&lt;=6000,0,IF(('SCH N'!$D55*300)&lt;=('SCH N'!$E55-6000),ROUND(('SCH N'!$D55*300)*(PRO_DS_KWH_2),2),ROUND(('SCH N'!$E55-6000)*(PRO_DS_KWH_2),2)))</f>
        <v>0</v>
      </c>
      <c r="Q22" s="5">
        <f>IF('SCH N'!$E55&lt;=(6000+('SCH N'!$D55*300)),0,ROUND(('SCH N'!$E55-(6000+('SCH N'!$D55*300)))*(PRO_DS_KWH_3),2))</f>
        <v>0</v>
      </c>
      <c r="R22" s="5">
        <f t="shared" si="5"/>
        <v>401.95000000000005</v>
      </c>
    </row>
    <row r="23" spans="1:18" x14ac:dyDescent="0.2">
      <c r="B23" s="5">
        <f t="shared" si="6"/>
        <v>15</v>
      </c>
      <c r="C23" s="5">
        <f>IF('SCH N'!$D56&lt;=15,ROUND('SCH N'!$D56*CUR_DS_DEM_1,2),ROUND(15*CUR_DS_DEM_1,2))</f>
        <v>0</v>
      </c>
      <c r="D23" s="5">
        <f>IF('SCH N'!$D56&lt;=15,0,ROUND(('SCH N'!$D56-15)*CUR_DS_DEM_3,2))</f>
        <v>0</v>
      </c>
      <c r="E23" s="14">
        <v>0</v>
      </c>
      <c r="F23" s="5">
        <f>IF('SCH N'!$E56&lt;=6000,ROUND('SCH N'!$E56*(CUR_DS_KWH_1),2),ROUND(6000*(CUR_DS_KWH_1),2))</f>
        <v>489.87</v>
      </c>
      <c r="G23" s="5">
        <f>IF('SCH N'!$E56&lt;=6000,0,IF(('SCH N'!$D56*300)&lt;=('SCH N'!$E56-6000),ROUND(('SCH N'!$D56*300)*(CUR_DS_KWH_2),2),ROUND(('SCH N'!$E56-6000)*(CUR_DS_KWH_2),2)))</f>
        <v>0</v>
      </c>
      <c r="H23" s="5">
        <f>IF('SCH N'!$E56&lt;=(6000+('SCH N'!$D56*300)),0,ROUND(('SCH N'!$E56-(6000+('SCH N'!$D56*300)))*(CUR_DS_KWH_3),2))</f>
        <v>0</v>
      </c>
      <c r="I23" s="5">
        <f t="shared" si="4"/>
        <v>504.87</v>
      </c>
      <c r="J23" s="5"/>
      <c r="K23" s="5">
        <f t="shared" si="7"/>
        <v>34.28</v>
      </c>
      <c r="L23" s="5">
        <f>IF('SCH N'!$D56&lt;=15,ROUND('SCH N'!$D56*PRO_DS_DEM_1,2),ROUND(15*PRO_DS_DEM_1,2))</f>
        <v>0</v>
      </c>
      <c r="M23" s="5">
        <f>IF('SCH N'!$D56&lt;=15,0,ROUND(('SCH N'!$D56-15)*PRO_DS_DEM_3,2))</f>
        <v>0</v>
      </c>
      <c r="N23" s="14">
        <v>0</v>
      </c>
      <c r="O23" s="5">
        <f>IF('SCH N'!$E56&lt;=6000,ROUND('SCH N'!$E56*(PRO_DS_KWH_1),2),ROUND(6000*(PRO_DS_KWH_1),2))</f>
        <v>551.5</v>
      </c>
      <c r="P23" s="5">
        <f>IF('SCH N'!$E56&lt;=6000,0,IF(('SCH N'!$D56*300)&lt;=('SCH N'!$E56-6000),ROUND(('SCH N'!$D56*300)*(PRO_DS_KWH_2),2),ROUND(('SCH N'!$E56-6000)*(PRO_DS_KWH_2),2)))</f>
        <v>0</v>
      </c>
      <c r="Q23" s="5">
        <f>IF('SCH N'!$E56&lt;=(6000+('SCH N'!$D56*300)),0,ROUND(('SCH N'!$E56-(6000+('SCH N'!$D56*300)))*(PRO_DS_KWH_3),2))</f>
        <v>0</v>
      </c>
      <c r="R23" s="5">
        <f t="shared" si="5"/>
        <v>585.78</v>
      </c>
    </row>
    <row r="24" spans="1:18" x14ac:dyDescent="0.2">
      <c r="B24" s="5">
        <f t="shared" si="6"/>
        <v>15</v>
      </c>
      <c r="C24" s="5">
        <f>IF('SCH N'!$D57&lt;=15,ROUND('SCH N'!$D57*CUR_DS_DEM_1,2),ROUND(15*CUR_DS_DEM_1,2))</f>
        <v>0</v>
      </c>
      <c r="D24" s="5">
        <f>IF('SCH N'!$D57&lt;=15,0,ROUND(('SCH N'!$D57-15)*CUR_DS_DEM_3,2))</f>
        <v>116.25</v>
      </c>
      <c r="E24" s="14">
        <v>0</v>
      </c>
      <c r="F24" s="5">
        <f>IF('SCH N'!$E57&lt;=6000,ROUND('SCH N'!$E57*(CUR_DS_KWH_1),2),ROUND(6000*(CUR_DS_KWH_1),2))</f>
        <v>489.87</v>
      </c>
      <c r="G24" s="5">
        <f>IF('SCH N'!$E57&lt;=6000,0,IF(('SCH N'!$D57*300)&lt;=('SCH N'!$E57-6000),ROUND(('SCH N'!$D57*300)*(CUR_DS_KWH_2),2),ROUND(('SCH N'!$E57-6000)*(CUR_DS_KWH_2),2)))</f>
        <v>0</v>
      </c>
      <c r="H24" s="5">
        <f>IF('SCH N'!$E57&lt;=(6000+('SCH N'!$D57*300)),0,ROUND(('SCH N'!$E57-(6000+('SCH N'!$D57*300)))*(CUR_DS_KWH_3),2))</f>
        <v>0</v>
      </c>
      <c r="I24" s="5">
        <f t="shared" si="4"/>
        <v>621.12</v>
      </c>
      <c r="J24" s="5"/>
      <c r="K24" s="5">
        <f t="shared" si="7"/>
        <v>34.28</v>
      </c>
      <c r="L24" s="5">
        <f>IF('SCH N'!$D57&lt;=15,ROUND('SCH N'!$D57*PRO_DS_DEM_1,2),ROUND(15*PRO_DS_DEM_1,2))</f>
        <v>0</v>
      </c>
      <c r="M24" s="5">
        <f>IF('SCH N'!$D57&lt;=15,0,ROUND(('SCH N'!$D57-15)*PRO_DS_DEM_3,2))</f>
        <v>130.94999999999999</v>
      </c>
      <c r="N24" s="14">
        <v>0</v>
      </c>
      <c r="O24" s="5">
        <f>IF('SCH N'!$E57&lt;=6000,ROUND('SCH N'!$E57*(PRO_DS_KWH_1),2),ROUND(6000*(PRO_DS_KWH_1),2))</f>
        <v>551.5</v>
      </c>
      <c r="P24" s="5">
        <f>IF('SCH N'!$E57&lt;=6000,0,IF(('SCH N'!$D57*300)&lt;=('SCH N'!$E57-6000),ROUND(('SCH N'!$D57*300)*(PRO_DS_KWH_2),2),ROUND(('SCH N'!$E57-6000)*(PRO_DS_KWH_2),2)))</f>
        <v>0</v>
      </c>
      <c r="Q24" s="5">
        <f>IF('SCH N'!$E57&lt;=(6000+('SCH N'!$D57*300)),0,ROUND(('SCH N'!$E57-(6000+('SCH N'!$D57*300)))*(PRO_DS_KWH_3),2))</f>
        <v>0</v>
      </c>
      <c r="R24" s="5">
        <f t="shared" si="5"/>
        <v>716.73</v>
      </c>
    </row>
    <row r="25" spans="1:18" x14ac:dyDescent="0.2">
      <c r="B25" s="5">
        <f t="shared" si="6"/>
        <v>15</v>
      </c>
      <c r="C25" s="5">
        <f>IF('SCH N'!$D58&lt;=15,ROUND('SCH N'!$D58*CUR_DS_DEM_1,2),ROUND(15*CUR_DS_DEM_1,2))</f>
        <v>0</v>
      </c>
      <c r="D25" s="5">
        <f>IF('SCH N'!$D58&lt;=15,0,ROUND(('SCH N'!$D58-15)*CUR_DS_DEM_3,2))</f>
        <v>116.25</v>
      </c>
      <c r="E25" s="14">
        <v>0</v>
      </c>
      <c r="F25" s="5">
        <f>IF('SCH N'!$E58&lt;=6000,ROUND('SCH N'!$E58*(CUR_DS_KWH_1),2),ROUND(6000*(CUR_DS_KWH_1),2))</f>
        <v>489.87</v>
      </c>
      <c r="G25" s="5">
        <f>IF('SCH N'!$E58&lt;=6000,0,IF(('SCH N'!$D58*300)&lt;=('SCH N'!$E58-6000),ROUND(('SCH N'!$D58*300)*(CUR_DS_KWH_2),2),ROUND(('SCH N'!$E58-6000)*(CUR_DS_KWH_2),2)))</f>
        <v>150.36000000000001</v>
      </c>
      <c r="H25" s="5">
        <f>IF('SCH N'!$E58&lt;=(6000+('SCH N'!$D58*300)),0,ROUND(('SCH N'!$E58-(6000+('SCH N'!$D58*300)))*(CUR_DS_KWH_3),2))</f>
        <v>0</v>
      </c>
      <c r="I25" s="5">
        <f t="shared" si="4"/>
        <v>771.48</v>
      </c>
      <c r="J25" s="5"/>
      <c r="K25" s="5">
        <f t="shared" si="7"/>
        <v>34.28</v>
      </c>
      <c r="L25" s="5">
        <f>IF('SCH N'!$D58&lt;=15,ROUND('SCH N'!$D58*PRO_DS_DEM_1,2),ROUND(15*PRO_DS_DEM_1,2))</f>
        <v>0</v>
      </c>
      <c r="M25" s="5">
        <f>IF('SCH N'!$D58&lt;=15,0,ROUND(('SCH N'!$D58-15)*PRO_DS_DEM_3,2))</f>
        <v>130.94999999999999</v>
      </c>
      <c r="N25" s="14">
        <v>0</v>
      </c>
      <c r="O25" s="5">
        <f>IF('SCH N'!$E58&lt;=6000,ROUND('SCH N'!$E58*(PRO_DS_KWH_1),2),ROUND(6000*(PRO_DS_KWH_1),2))</f>
        <v>551.5</v>
      </c>
      <c r="P25" s="5">
        <f>IF('SCH N'!$E58&lt;=6000,0,IF(('SCH N'!$D58*300)&lt;=('SCH N'!$E58-6000),ROUND(('SCH N'!$D58*300)*(PRO_DS_KWH_2),2),ROUND(('SCH N'!$E58-6000)*(PRO_DS_KWH_2),2)))</f>
        <v>169.28</v>
      </c>
      <c r="Q25" s="5">
        <f>IF('SCH N'!$E58&lt;=(6000+('SCH N'!$D58*300)),0,ROUND(('SCH N'!$E58-(6000+('SCH N'!$D58*300)))*(PRO_DS_KWH_3),2))</f>
        <v>0</v>
      </c>
      <c r="R25" s="5">
        <f t="shared" si="5"/>
        <v>886.01</v>
      </c>
    </row>
    <row r="26" spans="1:18" x14ac:dyDescent="0.2">
      <c r="B26" s="5">
        <f t="shared" si="6"/>
        <v>15</v>
      </c>
      <c r="C26" s="5">
        <f>IF('SCH N'!$D59&lt;=15,ROUND('SCH N'!$D59*CUR_DS_DEM_1,2),ROUND(15*CUR_DS_DEM_1,2))</f>
        <v>0</v>
      </c>
      <c r="D26" s="5">
        <f>IF('SCH N'!$D59&lt;=15,0,ROUND(('SCH N'!$D59-15)*CUR_DS_DEM_3,2))</f>
        <v>116.25</v>
      </c>
      <c r="E26" s="14">
        <v>0</v>
      </c>
      <c r="F26" s="5">
        <f>IF('SCH N'!$E59&lt;=6000,ROUND('SCH N'!$E59*(CUR_DS_KWH_1),2),ROUND(6000*(CUR_DS_KWH_1),2))</f>
        <v>489.87</v>
      </c>
      <c r="G26" s="5">
        <f>IF('SCH N'!$E59&lt;=6000,0,IF(('SCH N'!$D59*300)&lt;=('SCH N'!$E59-6000),ROUND(('SCH N'!$D59*300)*(CUR_DS_KWH_2),2),ROUND(('SCH N'!$E59-6000)*(CUR_DS_KWH_2),2)))</f>
        <v>300.70999999999998</v>
      </c>
      <c r="H26" s="5">
        <f>IF('SCH N'!$E59&lt;=(6000+('SCH N'!$D59*300)),0,ROUND(('SCH N'!$E59-(6000+('SCH N'!$D59*300)))*(CUR_DS_KWH_3),2))</f>
        <v>0</v>
      </c>
      <c r="I26" s="5">
        <f t="shared" si="4"/>
        <v>921.82999999999993</v>
      </c>
      <c r="J26" s="5"/>
      <c r="K26" s="5">
        <f t="shared" si="7"/>
        <v>34.28</v>
      </c>
      <c r="L26" s="5">
        <f>IF('SCH N'!$D59&lt;=15,ROUND('SCH N'!$D59*PRO_DS_DEM_1,2),ROUND(15*PRO_DS_DEM_1,2))</f>
        <v>0</v>
      </c>
      <c r="M26" s="5">
        <f>IF('SCH N'!$D59&lt;=15,0,ROUND(('SCH N'!$D59-15)*PRO_DS_DEM_3,2))</f>
        <v>130.94999999999999</v>
      </c>
      <c r="N26" s="14">
        <v>0</v>
      </c>
      <c r="O26" s="5">
        <f>IF('SCH N'!$E59&lt;=6000,ROUND('SCH N'!$E59*(PRO_DS_KWH_1),2),ROUND(6000*(PRO_DS_KWH_1),2))</f>
        <v>551.5</v>
      </c>
      <c r="P26" s="5">
        <f>IF('SCH N'!$E59&lt;=6000,0,IF(('SCH N'!$D59*300)&lt;=('SCH N'!$E59-6000),ROUND(('SCH N'!$D59*300)*(PRO_DS_KWH_2),2),ROUND(('SCH N'!$E59-6000)*(PRO_DS_KWH_2),2)))</f>
        <v>338.55</v>
      </c>
      <c r="Q26" s="5">
        <f>IF('SCH N'!$E59&lt;=(6000+('SCH N'!$D59*300)),0,ROUND(('SCH N'!$E59-(6000+('SCH N'!$D59*300)))*(PRO_DS_KWH_3),2))</f>
        <v>0</v>
      </c>
      <c r="R26" s="5">
        <f t="shared" si="5"/>
        <v>1055.28</v>
      </c>
    </row>
    <row r="27" spans="1:18" x14ac:dyDescent="0.2">
      <c r="B27" s="5">
        <f t="shared" si="6"/>
        <v>15</v>
      </c>
      <c r="C27" s="5">
        <f>IF('SCH N'!$D60&lt;=15,ROUND('SCH N'!$D60*CUR_DS_DEM_1,2),ROUND(15*CUR_DS_DEM_1,2))</f>
        <v>0</v>
      </c>
      <c r="D27" s="5">
        <f>IF('SCH N'!$D60&lt;=15,0,ROUND(('SCH N'!$D60-15)*CUR_DS_DEM_3,2))</f>
        <v>271.25</v>
      </c>
      <c r="E27" s="14">
        <v>0</v>
      </c>
      <c r="F27" s="5">
        <f>IF('SCH N'!$E60&lt;=6000,ROUND('SCH N'!$E60*(CUR_DS_KWH_1),2),ROUND(6000*(CUR_DS_KWH_1),2))</f>
        <v>489.87</v>
      </c>
      <c r="G27" s="5">
        <f>IF('SCH N'!$E60&lt;=6000,0,IF(('SCH N'!$D60*300)&lt;=('SCH N'!$E60-6000),ROUND(('SCH N'!$D60*300)*(CUR_DS_KWH_2),2),ROUND(('SCH N'!$E60-6000)*(CUR_DS_KWH_2),2)))</f>
        <v>200.48</v>
      </c>
      <c r="H27" s="5">
        <f>IF('SCH N'!$E60&lt;=(6000+('SCH N'!$D60*300)),0,ROUND(('SCH N'!$E60-(6000+('SCH N'!$D60*300)))*(CUR_DS_KWH_3),2))</f>
        <v>0</v>
      </c>
      <c r="I27" s="5">
        <f t="shared" si="4"/>
        <v>976.6</v>
      </c>
      <c r="J27" s="5"/>
      <c r="K27" s="5">
        <f t="shared" si="7"/>
        <v>34.28</v>
      </c>
      <c r="L27" s="5">
        <f>IF('SCH N'!$D60&lt;=15,ROUND('SCH N'!$D60*PRO_DS_DEM_1,2),ROUND(15*PRO_DS_DEM_1,2))</f>
        <v>0</v>
      </c>
      <c r="M27" s="5">
        <f>IF('SCH N'!$D60&lt;=15,0,ROUND(('SCH N'!$D60-15)*PRO_DS_DEM_3,2))</f>
        <v>305.55</v>
      </c>
      <c r="N27" s="14">
        <v>0</v>
      </c>
      <c r="O27" s="5">
        <f>IF('SCH N'!$E60&lt;=6000,ROUND('SCH N'!$E60*(PRO_DS_KWH_1),2),ROUND(6000*(PRO_DS_KWH_1),2))</f>
        <v>551.5</v>
      </c>
      <c r="P27" s="5">
        <f>IF('SCH N'!$E60&lt;=6000,0,IF(('SCH N'!$D60*300)&lt;=('SCH N'!$E60-6000),ROUND(('SCH N'!$D60*300)*(PRO_DS_KWH_2),2),ROUND(('SCH N'!$E60-6000)*(PRO_DS_KWH_2),2)))</f>
        <v>225.7</v>
      </c>
      <c r="Q27" s="5">
        <f>IF('SCH N'!$E60&lt;=(6000+('SCH N'!$D60*300)),0,ROUND(('SCH N'!$E60-(6000+('SCH N'!$D60*300)))*(PRO_DS_KWH_3),2))</f>
        <v>0</v>
      </c>
      <c r="R27" s="5">
        <f t="shared" si="5"/>
        <v>1117.03</v>
      </c>
    </row>
    <row r="28" spans="1:18" x14ac:dyDescent="0.2">
      <c r="B28" s="5">
        <f t="shared" si="6"/>
        <v>15</v>
      </c>
      <c r="C28" s="5">
        <f>IF('SCH N'!$D61&lt;=15,ROUND('SCH N'!$D61*CUR_DS_DEM_1,2),ROUND(15*CUR_DS_DEM_1,2))</f>
        <v>0</v>
      </c>
      <c r="D28" s="5">
        <f>IF('SCH N'!$D61&lt;=15,0,ROUND(('SCH N'!$D61-15)*CUR_DS_DEM_3,2))</f>
        <v>271.25</v>
      </c>
      <c r="E28" s="14">
        <v>0</v>
      </c>
      <c r="F28" s="5">
        <f>IF('SCH N'!$E61&lt;=6000,ROUND('SCH N'!$E61*(CUR_DS_KWH_1),2),ROUND(6000*(CUR_DS_KWH_1),2))</f>
        <v>489.87</v>
      </c>
      <c r="G28" s="5">
        <f>IF('SCH N'!$E61&lt;=6000,0,IF(('SCH N'!$D61*300)&lt;=('SCH N'!$E61-6000),ROUND(('SCH N'!$D61*300)*(CUR_DS_KWH_2),2),ROUND(('SCH N'!$E61-6000)*(CUR_DS_KWH_2),2)))</f>
        <v>451.07</v>
      </c>
      <c r="H28" s="5">
        <f>IF('SCH N'!$E61&lt;=(6000+('SCH N'!$D61*300)),0,ROUND(('SCH N'!$E61-(6000+('SCH N'!$D61*300)))*(CUR_DS_KWH_3),2))</f>
        <v>0</v>
      </c>
      <c r="I28" s="5">
        <f t="shared" si="4"/>
        <v>1227.19</v>
      </c>
      <c r="J28" s="5"/>
      <c r="K28" s="5">
        <f t="shared" si="7"/>
        <v>34.28</v>
      </c>
      <c r="L28" s="5">
        <f>IF('SCH N'!$D61&lt;=15,ROUND('SCH N'!$D61*PRO_DS_DEM_1,2),ROUND(15*PRO_DS_DEM_1,2))</f>
        <v>0</v>
      </c>
      <c r="M28" s="5">
        <f>IF('SCH N'!$D61&lt;=15,0,ROUND(('SCH N'!$D61-15)*PRO_DS_DEM_3,2))</f>
        <v>305.55</v>
      </c>
      <c r="N28" s="14">
        <v>0</v>
      </c>
      <c r="O28" s="5">
        <f>IF('SCH N'!$E61&lt;=6000,ROUND('SCH N'!$E61*(PRO_DS_KWH_1),2),ROUND(6000*(PRO_DS_KWH_1),2))</f>
        <v>551.5</v>
      </c>
      <c r="P28" s="5">
        <f>IF('SCH N'!$E61&lt;=6000,0,IF(('SCH N'!$D61*300)&lt;=('SCH N'!$E61-6000),ROUND(('SCH N'!$D61*300)*(PRO_DS_KWH_2),2),ROUND(('SCH N'!$E61-6000)*(PRO_DS_KWH_2),2)))</f>
        <v>507.83</v>
      </c>
      <c r="Q28" s="5">
        <f>IF('SCH N'!$E61&lt;=(6000+('SCH N'!$D61*300)),0,ROUND(('SCH N'!$E61-(6000+('SCH N'!$D61*300)))*(PRO_DS_KWH_3),2))</f>
        <v>0</v>
      </c>
      <c r="R28" s="5">
        <f t="shared" si="5"/>
        <v>1399.16</v>
      </c>
    </row>
    <row r="29" spans="1:18" x14ac:dyDescent="0.2">
      <c r="B29" s="5">
        <f t="shared" si="6"/>
        <v>15</v>
      </c>
      <c r="C29" s="5">
        <f>IF('SCH N'!$D62&lt;=15,ROUND('SCH N'!$D62*CUR_DS_DEM_1,2),ROUND(15*CUR_DS_DEM_1,2))</f>
        <v>0</v>
      </c>
      <c r="D29" s="5">
        <f>IF('SCH N'!$D62&lt;=15,0,ROUND(('SCH N'!$D62-15)*CUR_DS_DEM_3,2))</f>
        <v>271.25</v>
      </c>
      <c r="E29" s="14">
        <v>0</v>
      </c>
      <c r="F29" s="5">
        <f>IF('SCH N'!$E62&lt;=6000,ROUND('SCH N'!$E62*(CUR_DS_KWH_1),2),ROUND(6000*(CUR_DS_KWH_1),2))</f>
        <v>489.87</v>
      </c>
      <c r="G29" s="5">
        <f>IF('SCH N'!$E62&lt;=6000,0,IF(('SCH N'!$D62*300)&lt;=('SCH N'!$E62-6000),ROUND(('SCH N'!$D62*300)*(CUR_DS_KWH_2),2),ROUND(('SCH N'!$E62-6000)*(CUR_DS_KWH_2),2)))</f>
        <v>701.67</v>
      </c>
      <c r="H29" s="5">
        <f>IF('SCH N'!$E62&lt;=(6000+('SCH N'!$D62*300)),0,ROUND(('SCH N'!$E62-(6000+('SCH N'!$D62*300)))*(CUR_DS_KWH_3),2))</f>
        <v>0</v>
      </c>
      <c r="I29" s="5">
        <f t="shared" si="4"/>
        <v>1477.79</v>
      </c>
      <c r="J29" s="5"/>
      <c r="K29" s="5">
        <f t="shared" si="7"/>
        <v>34.28</v>
      </c>
      <c r="L29" s="5">
        <f>IF('SCH N'!$D62&lt;=15,ROUND('SCH N'!$D62*PRO_DS_DEM_1,2),ROUND(15*PRO_DS_DEM_1,2))</f>
        <v>0</v>
      </c>
      <c r="M29" s="5">
        <f>IF('SCH N'!$D62&lt;=15,0,ROUND(('SCH N'!$D62-15)*PRO_DS_DEM_3,2))</f>
        <v>305.55</v>
      </c>
      <c r="N29" s="14">
        <v>0</v>
      </c>
      <c r="O29" s="5">
        <f>IF('SCH N'!$E62&lt;=6000,ROUND('SCH N'!$E62*(PRO_DS_KWH_1),2),ROUND(6000*(PRO_DS_KWH_1),2))</f>
        <v>551.5</v>
      </c>
      <c r="P29" s="5">
        <f>IF('SCH N'!$E62&lt;=6000,0,IF(('SCH N'!$D62*300)&lt;=('SCH N'!$E62-6000),ROUND(('SCH N'!$D62*300)*(PRO_DS_KWH_2),2),ROUND(('SCH N'!$E62-6000)*(PRO_DS_KWH_2),2)))</f>
        <v>789.95</v>
      </c>
      <c r="Q29" s="5">
        <f>IF('SCH N'!$E62&lt;=(6000+('SCH N'!$D62*300)),0,ROUND(('SCH N'!$E62-(6000+('SCH N'!$D62*300)))*(PRO_DS_KWH_3),2))</f>
        <v>0</v>
      </c>
      <c r="R29" s="5">
        <f t="shared" si="5"/>
        <v>1681.2800000000002</v>
      </c>
    </row>
    <row r="30" spans="1:18" x14ac:dyDescent="0.2">
      <c r="B30" s="5">
        <f t="shared" si="6"/>
        <v>15</v>
      </c>
      <c r="C30" s="5">
        <f>IF('SCH N'!$D63&lt;=15,ROUND('SCH N'!$D63*CUR_DS_DEM_1,2),ROUND(15*CUR_DS_DEM_1,2))</f>
        <v>0</v>
      </c>
      <c r="D30" s="5">
        <f>IF('SCH N'!$D63&lt;=15,0,ROUND(('SCH N'!$D63-15)*CUR_DS_DEM_3,2))</f>
        <v>465</v>
      </c>
      <c r="E30" s="14">
        <v>0</v>
      </c>
      <c r="F30" s="5">
        <f>IF('SCH N'!$E63&lt;=6000,ROUND('SCH N'!$E63*(CUR_DS_KWH_1),2),ROUND(6000*(CUR_DS_KWH_1),2))</f>
        <v>489.87</v>
      </c>
      <c r="G30" s="5">
        <f>IF('SCH N'!$E63&lt;=6000,0,IF(('SCH N'!$D63*300)&lt;=('SCH N'!$E63-6000),ROUND(('SCH N'!$D63*300)*(CUR_DS_KWH_2),2),ROUND(('SCH N'!$E63-6000)*(CUR_DS_KWH_2),2)))</f>
        <v>451.07</v>
      </c>
      <c r="H30" s="5">
        <f>IF('SCH N'!$E63&lt;=(6000+('SCH N'!$D63*300)),0,ROUND(('SCH N'!$E63-(6000+('SCH N'!$D63*300)))*(CUR_DS_KWH_3),2))</f>
        <v>0</v>
      </c>
      <c r="I30" s="5">
        <f t="shared" si="4"/>
        <v>1420.94</v>
      </c>
      <c r="J30" s="5"/>
      <c r="K30" s="5">
        <f t="shared" si="7"/>
        <v>34.28</v>
      </c>
      <c r="L30" s="5">
        <f>IF('SCH N'!$D63&lt;=15,ROUND('SCH N'!$D63*PRO_DS_DEM_1,2),ROUND(15*PRO_DS_DEM_1,2))</f>
        <v>0</v>
      </c>
      <c r="M30" s="5">
        <f>IF('SCH N'!$D63&lt;=15,0,ROUND(('SCH N'!$D63-15)*PRO_DS_DEM_3,2))</f>
        <v>523.79999999999995</v>
      </c>
      <c r="N30" s="14">
        <v>0</v>
      </c>
      <c r="O30" s="5">
        <f>IF('SCH N'!$E63&lt;=6000,ROUND('SCH N'!$E63*(PRO_DS_KWH_1),2),ROUND(6000*(PRO_DS_KWH_1),2))</f>
        <v>551.5</v>
      </c>
      <c r="P30" s="5">
        <f>IF('SCH N'!$E63&lt;=6000,0,IF(('SCH N'!$D63*300)&lt;=('SCH N'!$E63-6000),ROUND(('SCH N'!$D63*300)*(PRO_DS_KWH_2),2),ROUND(('SCH N'!$E63-6000)*(PRO_DS_KWH_2),2)))</f>
        <v>507.83</v>
      </c>
      <c r="Q30" s="5">
        <f>IF('SCH N'!$E63&lt;=(6000+('SCH N'!$D63*300)),0,ROUND(('SCH N'!$E63-(6000+('SCH N'!$D63*300)))*(PRO_DS_KWH_3),2))</f>
        <v>0</v>
      </c>
      <c r="R30" s="5">
        <f t="shared" si="5"/>
        <v>1617.4099999999999</v>
      </c>
    </row>
    <row r="31" spans="1:18" x14ac:dyDescent="0.2">
      <c r="B31" s="5">
        <f t="shared" si="6"/>
        <v>15</v>
      </c>
      <c r="C31" s="5">
        <f>IF('SCH N'!$D64&lt;=15,ROUND('SCH N'!$D64*CUR_DS_DEM_1,2),ROUND(15*CUR_DS_DEM_1,2))</f>
        <v>0</v>
      </c>
      <c r="D31" s="5">
        <f>IF('SCH N'!$D64&lt;=15,0,ROUND(('SCH N'!$D64-15)*CUR_DS_DEM_3,2))</f>
        <v>465</v>
      </c>
      <c r="E31" s="14">
        <v>0</v>
      </c>
      <c r="F31" s="5">
        <f>IF('SCH N'!$E64&lt;=6000,ROUND('SCH N'!$E64*(CUR_DS_KWH_1),2),ROUND(6000*(CUR_DS_KWH_1),2))</f>
        <v>489.87</v>
      </c>
      <c r="G31" s="5">
        <f>IF('SCH N'!$E64&lt;=6000,0,IF(('SCH N'!$D64*300)&lt;=('SCH N'!$E64-6000),ROUND(('SCH N'!$D64*300)*(CUR_DS_KWH_2),2),ROUND(('SCH N'!$E64-6000)*(CUR_DS_KWH_2),2)))</f>
        <v>701.67</v>
      </c>
      <c r="H31" s="5">
        <f>IF('SCH N'!$E64&lt;=(6000+('SCH N'!$D64*300)),0,ROUND(('SCH N'!$E64-(6000+('SCH N'!$D64*300)))*(CUR_DS_KWH_3),2))</f>
        <v>0</v>
      </c>
      <c r="I31" s="5">
        <f t="shared" si="4"/>
        <v>1671.54</v>
      </c>
      <c r="J31" s="5"/>
      <c r="K31" s="5">
        <f t="shared" si="7"/>
        <v>34.28</v>
      </c>
      <c r="L31" s="5">
        <f>IF('SCH N'!$D64&lt;=15,ROUND('SCH N'!$D64*PRO_DS_DEM_1,2),ROUND(15*PRO_DS_DEM_1,2))</f>
        <v>0</v>
      </c>
      <c r="M31" s="5">
        <f>IF('SCH N'!$D64&lt;=15,0,ROUND(('SCH N'!$D64-15)*PRO_DS_DEM_3,2))</f>
        <v>523.79999999999995</v>
      </c>
      <c r="N31" s="14">
        <v>0</v>
      </c>
      <c r="O31" s="5">
        <f>IF('SCH N'!$E64&lt;=6000,ROUND('SCH N'!$E64*(PRO_DS_KWH_1),2),ROUND(6000*(PRO_DS_KWH_1),2))</f>
        <v>551.5</v>
      </c>
      <c r="P31" s="5">
        <f>IF('SCH N'!$E64&lt;=6000,0,IF(('SCH N'!$D64*300)&lt;=('SCH N'!$E64-6000),ROUND(('SCH N'!$D64*300)*(PRO_DS_KWH_2),2),ROUND(('SCH N'!$E64-6000)*(PRO_DS_KWH_2),2)))</f>
        <v>789.95</v>
      </c>
      <c r="Q31" s="5">
        <f>IF('SCH N'!$E64&lt;=(6000+('SCH N'!$D64*300)),0,ROUND(('SCH N'!$E64-(6000+('SCH N'!$D64*300)))*(PRO_DS_KWH_3),2))</f>
        <v>0</v>
      </c>
      <c r="R31" s="5">
        <f t="shared" si="5"/>
        <v>1899.53</v>
      </c>
    </row>
    <row r="32" spans="1:18" x14ac:dyDescent="0.2">
      <c r="B32" s="5">
        <f t="shared" si="6"/>
        <v>15</v>
      </c>
      <c r="C32" s="5">
        <f>IF('SCH N'!$D65&lt;=15,ROUND('SCH N'!$D65*CUR_DS_DEM_1,2),ROUND(15*CUR_DS_DEM_1,2))</f>
        <v>0</v>
      </c>
      <c r="D32" s="5">
        <f>IF('SCH N'!$D65&lt;=15,0,ROUND(('SCH N'!$D65-15)*CUR_DS_DEM_3,2))</f>
        <v>465</v>
      </c>
      <c r="E32" s="14">
        <v>0</v>
      </c>
      <c r="F32" s="5">
        <f>IF('SCH N'!$E65&lt;=6000,ROUND('SCH N'!$E65*(CUR_DS_KWH_1),2),ROUND(6000*(CUR_DS_KWH_1),2))</f>
        <v>489.87</v>
      </c>
      <c r="G32" s="5">
        <f>IF('SCH N'!$E65&lt;=6000,0,IF(('SCH N'!$D65*300)&lt;=('SCH N'!$E65-6000),ROUND(('SCH N'!$D65*300)*(CUR_DS_KWH_2),2),ROUND(('SCH N'!$E65-6000)*(CUR_DS_KWH_2),2)))</f>
        <v>1127.68</v>
      </c>
      <c r="H32" s="5">
        <f>IF('SCH N'!$E65&lt;=(6000+('SCH N'!$D65*300)),0,ROUND(('SCH N'!$E65-(6000+('SCH N'!$D65*300)))*(CUR_DS_KWH_3),2))</f>
        <v>61.56</v>
      </c>
      <c r="I32" s="5">
        <f t="shared" si="4"/>
        <v>2159.11</v>
      </c>
      <c r="J32" s="5"/>
      <c r="K32" s="5">
        <f t="shared" si="7"/>
        <v>34.28</v>
      </c>
      <c r="L32" s="5">
        <f>IF('SCH N'!$D65&lt;=15,ROUND('SCH N'!$D65*PRO_DS_DEM_1,2),ROUND(15*PRO_DS_DEM_1,2))</f>
        <v>0</v>
      </c>
      <c r="M32" s="5">
        <f>IF('SCH N'!$D65&lt;=15,0,ROUND(('SCH N'!$D65-15)*PRO_DS_DEM_3,2))</f>
        <v>523.79999999999995</v>
      </c>
      <c r="N32" s="14">
        <v>0</v>
      </c>
      <c r="O32" s="5">
        <f>IF('SCH N'!$E65&lt;=6000,ROUND('SCH N'!$E65*(PRO_DS_KWH_1),2),ROUND(6000*(PRO_DS_KWH_1),2))</f>
        <v>551.5</v>
      </c>
      <c r="P32" s="5">
        <f>IF('SCH N'!$E65&lt;=6000,0,IF(('SCH N'!$D65*300)&lt;=('SCH N'!$E65-6000),ROUND(('SCH N'!$D65*300)*(PRO_DS_KWH_2),2),ROUND(('SCH N'!$E65-6000)*(PRO_DS_KWH_2),2)))</f>
        <v>1269.56</v>
      </c>
      <c r="Q32" s="5">
        <f>IF('SCH N'!$E65&lt;=(6000+('SCH N'!$D65*300)),0,ROUND(('SCH N'!$E65-(6000+('SCH N'!$D65*300)))*(PRO_DS_KWH_3),2))</f>
        <v>69.31</v>
      </c>
      <c r="R32" s="5">
        <f t="shared" si="5"/>
        <v>2448.4499999999998</v>
      </c>
    </row>
    <row r="33" spans="1:18" x14ac:dyDescent="0.2">
      <c r="B33" s="5">
        <f t="shared" si="6"/>
        <v>15</v>
      </c>
      <c r="C33" s="5">
        <f>IF('SCH N'!$D66&lt;=15,ROUND('SCH N'!$D66*CUR_DS_DEM_1,2),ROUND(15*CUR_DS_DEM_1,2))</f>
        <v>0</v>
      </c>
      <c r="D33" s="5">
        <f>IF('SCH N'!$D66&lt;=15,0,ROUND(('SCH N'!$D66-15)*CUR_DS_DEM_3,2))</f>
        <v>658.75</v>
      </c>
      <c r="E33" s="14">
        <v>0</v>
      </c>
      <c r="F33" s="5">
        <f>IF('SCH N'!$E66&lt;=6000,ROUND('SCH N'!$E66*(CUR_DS_KWH_1),2),ROUND(6000*(CUR_DS_KWH_1),2))</f>
        <v>489.87</v>
      </c>
      <c r="G33" s="5">
        <f>IF('SCH N'!$E66&lt;=6000,0,IF(('SCH N'!$D66*300)&lt;=('SCH N'!$E66-6000),ROUND(('SCH N'!$D66*300)*(CUR_DS_KWH_2),2),ROUND(('SCH N'!$E66-6000)*(CUR_DS_KWH_2),2)))</f>
        <v>701.67</v>
      </c>
      <c r="H33" s="5">
        <f>IF('SCH N'!$E66&lt;=(6000+('SCH N'!$D66*300)),0,ROUND(('SCH N'!$E66-(6000+('SCH N'!$D66*300)))*(CUR_DS_KWH_3),2))</f>
        <v>0</v>
      </c>
      <c r="I33" s="5">
        <f t="shared" si="4"/>
        <v>1865.29</v>
      </c>
      <c r="J33" s="5"/>
      <c r="K33" s="5">
        <f t="shared" si="7"/>
        <v>34.28</v>
      </c>
      <c r="L33" s="5">
        <f>IF('SCH N'!$D66&lt;=15,ROUND('SCH N'!$D66*PRO_DS_DEM_1,2),ROUND(15*PRO_DS_DEM_1,2))</f>
        <v>0</v>
      </c>
      <c r="M33" s="5">
        <f>IF('SCH N'!$D66&lt;=15,0,ROUND(('SCH N'!$D66-15)*PRO_DS_DEM_3,2))</f>
        <v>742.05</v>
      </c>
      <c r="N33" s="14">
        <v>0</v>
      </c>
      <c r="O33" s="5">
        <f>IF('SCH N'!$E66&lt;=6000,ROUND('SCH N'!$E66*(PRO_DS_KWH_1),2),ROUND(6000*(PRO_DS_KWH_1),2))</f>
        <v>551.5</v>
      </c>
      <c r="P33" s="5">
        <f>IF('SCH N'!$E66&lt;=6000,0,IF(('SCH N'!$D66*300)&lt;=('SCH N'!$E66-6000),ROUND(('SCH N'!$D66*300)*(PRO_DS_KWH_2),2),ROUND(('SCH N'!$E66-6000)*(PRO_DS_KWH_2),2)))</f>
        <v>789.95</v>
      </c>
      <c r="Q33" s="5">
        <f>IF('SCH N'!$E66&lt;=(6000+('SCH N'!$D66*300)),0,ROUND(('SCH N'!$E66-(6000+('SCH N'!$D66*300)))*(PRO_DS_KWH_3),2))</f>
        <v>0</v>
      </c>
      <c r="R33" s="5">
        <f t="shared" si="5"/>
        <v>2117.7799999999997</v>
      </c>
    </row>
    <row r="34" spans="1:18" x14ac:dyDescent="0.2">
      <c r="B34" s="5">
        <f t="shared" si="6"/>
        <v>15</v>
      </c>
      <c r="C34" s="5">
        <f>IF('SCH N'!$D67&lt;=15,ROUND('SCH N'!$D67*CUR_DS_DEM_1,2),ROUND(15*CUR_DS_DEM_1,2))</f>
        <v>0</v>
      </c>
      <c r="D34" s="5">
        <f>IF('SCH N'!$D67&lt;=15,0,ROUND(('SCH N'!$D67-15)*CUR_DS_DEM_3,2))</f>
        <v>658.75</v>
      </c>
      <c r="E34" s="14">
        <v>0</v>
      </c>
      <c r="F34" s="5">
        <f>IF('SCH N'!$E67&lt;=6000,ROUND('SCH N'!$E67*(CUR_DS_KWH_1),2),ROUND(6000*(CUR_DS_KWH_1),2))</f>
        <v>489.87</v>
      </c>
      <c r="G34" s="5">
        <f>IF('SCH N'!$E67&lt;=6000,0,IF(('SCH N'!$D67*300)&lt;=('SCH N'!$E67-6000),ROUND(('SCH N'!$D67*300)*(CUR_DS_KWH_2),2),ROUND(('SCH N'!$E67-6000)*(CUR_DS_KWH_2),2)))</f>
        <v>1202.8599999999999</v>
      </c>
      <c r="H34" s="5">
        <f>IF('SCH N'!$E67&lt;=(6000+('SCH N'!$D67*300)),0,ROUND(('SCH N'!$E67-(6000+('SCH N'!$D67*300)))*(CUR_DS_KWH_3),2))</f>
        <v>0</v>
      </c>
      <c r="I34" s="5">
        <f t="shared" si="4"/>
        <v>2366.4799999999996</v>
      </c>
      <c r="J34" s="5"/>
      <c r="K34" s="5">
        <f t="shared" si="7"/>
        <v>34.28</v>
      </c>
      <c r="L34" s="5">
        <f>IF('SCH N'!$D67&lt;=15,ROUND('SCH N'!$D67*PRO_DS_DEM_1,2),ROUND(15*PRO_DS_DEM_1,2))</f>
        <v>0</v>
      </c>
      <c r="M34" s="5">
        <f>IF('SCH N'!$D67&lt;=15,0,ROUND(('SCH N'!$D67-15)*PRO_DS_DEM_3,2))</f>
        <v>742.05</v>
      </c>
      <c r="N34" s="14">
        <v>0</v>
      </c>
      <c r="O34" s="5">
        <f>IF('SCH N'!$E67&lt;=6000,ROUND('SCH N'!$E67*(PRO_DS_KWH_1),2),ROUND(6000*(PRO_DS_KWH_1),2))</f>
        <v>551.5</v>
      </c>
      <c r="P34" s="5">
        <f>IF('SCH N'!$E67&lt;=6000,0,IF(('SCH N'!$D67*300)&lt;=('SCH N'!$E67-6000),ROUND(('SCH N'!$D67*300)*(PRO_DS_KWH_2),2),ROUND(('SCH N'!$E67-6000)*(PRO_DS_KWH_2),2)))</f>
        <v>1354.2</v>
      </c>
      <c r="Q34" s="5">
        <f>IF('SCH N'!$E67&lt;=(6000+('SCH N'!$D67*300)),0,ROUND(('SCH N'!$E67-(6000+('SCH N'!$D67*300)))*(PRO_DS_KWH_3),2))</f>
        <v>0</v>
      </c>
      <c r="R34" s="5">
        <f t="shared" si="5"/>
        <v>2682.0299999999997</v>
      </c>
    </row>
    <row r="35" spans="1:18" x14ac:dyDescent="0.2">
      <c r="B35" s="5">
        <f t="shared" si="6"/>
        <v>15</v>
      </c>
      <c r="C35" s="5">
        <f>IF('SCH N'!$D68&lt;=15,ROUND('SCH N'!$D68*CUR_DS_DEM_1,2),ROUND(15*CUR_DS_DEM_1,2))</f>
        <v>0</v>
      </c>
      <c r="D35" s="5">
        <f>IF('SCH N'!$D68&lt;=15,0,ROUND(('SCH N'!$D68-15)*CUR_DS_DEM_3,2))</f>
        <v>658.75</v>
      </c>
      <c r="E35" s="14">
        <v>0</v>
      </c>
      <c r="F35" s="5">
        <f>IF('SCH N'!$E68&lt;=6000,ROUND('SCH N'!$E68*(CUR_DS_KWH_1),2),ROUND(6000*(CUR_DS_KWH_1),2))</f>
        <v>489.87</v>
      </c>
      <c r="G35" s="5">
        <f>IF('SCH N'!$E68&lt;=6000,0,IF(('SCH N'!$D68*300)&lt;=('SCH N'!$E68-6000),ROUND(('SCH N'!$D68*300)*(CUR_DS_KWH_2),2),ROUND(('SCH N'!$E68-6000)*(CUR_DS_KWH_2),2)))</f>
        <v>1503.57</v>
      </c>
      <c r="H35" s="5">
        <f>IF('SCH N'!$E68&lt;=(6000+('SCH N'!$D68*300)),0,ROUND(('SCH N'!$E68-(6000+('SCH N'!$D68*300)))*(CUR_DS_KWH_3),2))</f>
        <v>164.17</v>
      </c>
      <c r="I35" s="5">
        <f t="shared" si="4"/>
        <v>2831.3599999999997</v>
      </c>
      <c r="J35" s="5"/>
      <c r="K35" s="5">
        <f t="shared" si="7"/>
        <v>34.28</v>
      </c>
      <c r="L35" s="5">
        <f>IF('SCH N'!$D68&lt;=15,ROUND('SCH N'!$D68*PRO_DS_DEM_1,2),ROUND(15*PRO_DS_DEM_1,2))</f>
        <v>0</v>
      </c>
      <c r="M35" s="5">
        <f>IF('SCH N'!$D68&lt;=15,0,ROUND(('SCH N'!$D68-15)*PRO_DS_DEM_3,2))</f>
        <v>742.05</v>
      </c>
      <c r="N35" s="14">
        <v>0</v>
      </c>
      <c r="O35" s="5">
        <f>IF('SCH N'!$E68&lt;=6000,ROUND('SCH N'!$E68*(PRO_DS_KWH_1),2),ROUND(6000*(PRO_DS_KWH_1),2))</f>
        <v>551.5</v>
      </c>
      <c r="P35" s="5">
        <f>IF('SCH N'!$E68&lt;=6000,0,IF(('SCH N'!$D68*300)&lt;=('SCH N'!$E68-6000),ROUND(('SCH N'!$D68*300)*(PRO_DS_KWH_2),2),ROUND(('SCH N'!$E68-6000)*(PRO_DS_KWH_2),2)))</f>
        <v>1692.75</v>
      </c>
      <c r="Q35" s="5">
        <f>IF('SCH N'!$E68&lt;=(6000+('SCH N'!$D68*300)),0,ROUND(('SCH N'!$E68-(6000+('SCH N'!$D68*300)))*(PRO_DS_KWH_3),2))</f>
        <v>184.82</v>
      </c>
      <c r="R35" s="5">
        <f t="shared" si="5"/>
        <v>3205.4</v>
      </c>
    </row>
    <row r="36" spans="1:18" x14ac:dyDescent="0.2">
      <c r="B36" s="5">
        <f t="shared" si="6"/>
        <v>15</v>
      </c>
      <c r="C36" s="5">
        <f>IF('SCH N'!$D69&lt;=15,ROUND('SCH N'!$D69*CUR_DS_DEM_1,2),ROUND(15*CUR_DS_DEM_1,2))</f>
        <v>0</v>
      </c>
      <c r="D36" s="5">
        <f>IF('SCH N'!$D69&lt;=15,0,ROUND(('SCH N'!$D69-15)*CUR_DS_DEM_3,2))</f>
        <v>2208.75</v>
      </c>
      <c r="E36" s="14">
        <v>0</v>
      </c>
      <c r="F36" s="5">
        <f>IF('SCH N'!$E69&lt;=6000,ROUND('SCH N'!$E69*(CUR_DS_KWH_1),2),ROUND(6000*(CUR_DS_KWH_1),2))</f>
        <v>489.87</v>
      </c>
      <c r="G36" s="5">
        <f>IF('SCH N'!$E69&lt;=6000,0,IF(('SCH N'!$D69*300)&lt;=('SCH N'!$E69-6000),ROUND(('SCH N'!$D69*300)*(CUR_DS_KWH_2),2),ROUND(('SCH N'!$E69-6000)*(CUR_DS_KWH_2),2)))</f>
        <v>2706.43</v>
      </c>
      <c r="H36" s="5">
        <f>IF('SCH N'!$E69&lt;=(6000+('SCH N'!$D69*300)),0,ROUND(('SCH N'!$E69-(6000+('SCH N'!$D69*300)))*(CUR_DS_KWH_3),2))</f>
        <v>0</v>
      </c>
      <c r="I36" s="5">
        <f t="shared" si="4"/>
        <v>5420.0499999999993</v>
      </c>
      <c r="J36" s="5"/>
      <c r="K36" s="5">
        <f t="shared" si="7"/>
        <v>34.28</v>
      </c>
      <c r="L36" s="5">
        <f>IF('SCH N'!$D69&lt;=15,ROUND('SCH N'!$D69*PRO_DS_DEM_1,2),ROUND(15*PRO_DS_DEM_1,2))</f>
        <v>0</v>
      </c>
      <c r="M36" s="5">
        <f>IF('SCH N'!$D69&lt;=15,0,ROUND(('SCH N'!$D69-15)*PRO_DS_DEM_3,2))</f>
        <v>2488.0500000000002</v>
      </c>
      <c r="N36" s="14">
        <v>0</v>
      </c>
      <c r="O36" s="5">
        <f>IF('SCH N'!$E69&lt;=6000,ROUND('SCH N'!$E69*(PRO_DS_KWH_1),2),ROUND(6000*(PRO_DS_KWH_1),2))</f>
        <v>551.5</v>
      </c>
      <c r="P36" s="5">
        <f>IF('SCH N'!$E69&lt;=6000,0,IF(('SCH N'!$D69*300)&lt;=('SCH N'!$E69-6000),ROUND(('SCH N'!$D69*300)*(PRO_DS_KWH_2),2),ROUND(('SCH N'!$E69-6000)*(PRO_DS_KWH_2),2)))</f>
        <v>3046.95</v>
      </c>
      <c r="Q36" s="5">
        <f>IF('SCH N'!$E69&lt;=(6000+('SCH N'!$D69*300)),0,ROUND(('SCH N'!$E69-(6000+('SCH N'!$D69*300)))*(PRO_DS_KWH_3),2))</f>
        <v>0</v>
      </c>
      <c r="R36" s="5">
        <f t="shared" si="5"/>
        <v>6120.7800000000007</v>
      </c>
    </row>
    <row r="37" spans="1:18" x14ac:dyDescent="0.2">
      <c r="B37" s="5">
        <f t="shared" si="6"/>
        <v>15</v>
      </c>
      <c r="C37" s="5">
        <f>IF('SCH N'!$D70&lt;=15,ROUND('SCH N'!$D70*CUR_DS_DEM_1,2),ROUND(15*CUR_DS_DEM_1,2))</f>
        <v>0</v>
      </c>
      <c r="D37" s="5">
        <f>IF('SCH N'!$D70&lt;=15,0,ROUND(('SCH N'!$D70-15)*CUR_DS_DEM_3,2))</f>
        <v>2208.75</v>
      </c>
      <c r="E37" s="14">
        <v>0</v>
      </c>
      <c r="F37" s="5">
        <f>IF('SCH N'!$E70&lt;=6000,ROUND('SCH N'!$E70*(CUR_DS_KWH_1),2),ROUND(6000*(CUR_DS_KWH_1),2))</f>
        <v>489.87</v>
      </c>
      <c r="G37" s="5">
        <f>IF('SCH N'!$E70&lt;=6000,0,IF(('SCH N'!$D70*300)&lt;=('SCH N'!$E70-6000),ROUND(('SCH N'!$D70*300)*(CUR_DS_KWH_2),2),ROUND(('SCH N'!$E70-6000)*(CUR_DS_KWH_2),2)))</f>
        <v>4210</v>
      </c>
      <c r="H37" s="5">
        <f>IF('SCH N'!$E70&lt;=(6000+('SCH N'!$D70*300)),0,ROUND(('SCH N'!$E70-(6000+('SCH N'!$D70*300)))*(CUR_DS_KWH_3),2))</f>
        <v>0</v>
      </c>
      <c r="I37" s="5">
        <f t="shared" si="4"/>
        <v>6923.62</v>
      </c>
      <c r="J37" s="5"/>
      <c r="K37" s="5">
        <f t="shared" si="7"/>
        <v>34.28</v>
      </c>
      <c r="L37" s="5">
        <f>IF('SCH N'!$D70&lt;=15,ROUND('SCH N'!$D70*PRO_DS_DEM_1,2),ROUND(15*PRO_DS_DEM_1,2))</f>
        <v>0</v>
      </c>
      <c r="M37" s="5">
        <f>IF('SCH N'!$D70&lt;=15,0,ROUND(('SCH N'!$D70-15)*PRO_DS_DEM_3,2))</f>
        <v>2488.0500000000002</v>
      </c>
      <c r="N37" s="14">
        <v>0</v>
      </c>
      <c r="O37" s="5">
        <f>IF('SCH N'!$E70&lt;=6000,ROUND('SCH N'!$E70*(PRO_DS_KWH_1),2),ROUND(6000*(PRO_DS_KWH_1),2))</f>
        <v>551.5</v>
      </c>
      <c r="P37" s="5">
        <f>IF('SCH N'!$E70&lt;=6000,0,IF(('SCH N'!$D70*300)&lt;=('SCH N'!$E70-6000),ROUND(('SCH N'!$D70*300)*(PRO_DS_KWH_2),2),ROUND(('SCH N'!$E70-6000)*(PRO_DS_KWH_2),2)))</f>
        <v>4739.7</v>
      </c>
      <c r="Q37" s="5">
        <f>IF('SCH N'!$E70&lt;=(6000+('SCH N'!$D70*300)),0,ROUND(('SCH N'!$E70-(6000+('SCH N'!$D70*300)))*(PRO_DS_KWH_3),2))</f>
        <v>0</v>
      </c>
      <c r="R37" s="5">
        <f t="shared" si="5"/>
        <v>7813.5300000000007</v>
      </c>
    </row>
    <row r="38" spans="1:18" x14ac:dyDescent="0.2">
      <c r="B38" s="5">
        <f t="shared" si="6"/>
        <v>15</v>
      </c>
      <c r="C38" s="5">
        <f>IF('SCH N'!$D71&lt;=15,ROUND('SCH N'!$D71*CUR_DS_DEM_1,2),ROUND(15*CUR_DS_DEM_1,2))</f>
        <v>0</v>
      </c>
      <c r="D38" s="5">
        <f>IF('SCH N'!$D71&lt;=15,0,ROUND(('SCH N'!$D71-15)*CUR_DS_DEM_3,2))</f>
        <v>2208.75</v>
      </c>
      <c r="E38" s="14">
        <v>0</v>
      </c>
      <c r="F38" s="5">
        <f>IF('SCH N'!$E71&lt;=6000,ROUND('SCH N'!$E71*(CUR_DS_KWH_1),2),ROUND(6000*(CUR_DS_KWH_1),2))</f>
        <v>489.87</v>
      </c>
      <c r="G38" s="5">
        <f>IF('SCH N'!$E71&lt;=6000,0,IF(('SCH N'!$D71*300)&lt;=('SCH N'!$E71-6000),ROUND(('SCH N'!$D71*300)*(CUR_DS_KWH_2),2),ROUND(('SCH N'!$E71-6000)*(CUR_DS_KWH_2),2)))</f>
        <v>4510.71</v>
      </c>
      <c r="H38" s="5">
        <f>IF('SCH N'!$E71&lt;=(6000+('SCH N'!$D71*300)),0,ROUND(('SCH N'!$E71-(6000+('SCH N'!$D71*300)))*(CUR_DS_KWH_3),2))</f>
        <v>985.03</v>
      </c>
      <c r="I38" s="5">
        <f t="shared" si="4"/>
        <v>8209.36</v>
      </c>
      <c r="J38" s="5"/>
      <c r="K38" s="5">
        <f t="shared" si="7"/>
        <v>34.28</v>
      </c>
      <c r="L38" s="5">
        <f>IF('SCH N'!$D71&lt;=15,ROUND('SCH N'!$D71*PRO_DS_DEM_1,2),ROUND(15*PRO_DS_DEM_1,2))</f>
        <v>0</v>
      </c>
      <c r="M38" s="5">
        <f>IF('SCH N'!$D71&lt;=15,0,ROUND(('SCH N'!$D71-15)*PRO_DS_DEM_3,2))</f>
        <v>2488.0500000000002</v>
      </c>
      <c r="N38" s="14">
        <v>0</v>
      </c>
      <c r="O38" s="5">
        <f>IF('SCH N'!$E71&lt;=6000,ROUND('SCH N'!$E71*(PRO_DS_KWH_1),2),ROUND(6000*(PRO_DS_KWH_1),2))</f>
        <v>551.5</v>
      </c>
      <c r="P38" s="5">
        <f>IF('SCH N'!$E71&lt;=6000,0,IF(('SCH N'!$D71*300)&lt;=('SCH N'!$E71-6000),ROUND(('SCH N'!$D71*300)*(PRO_DS_KWH_2),2),ROUND(('SCH N'!$E71-6000)*(PRO_DS_KWH_2),2)))</f>
        <v>5078.25</v>
      </c>
      <c r="Q38" s="5">
        <f>IF('SCH N'!$E71&lt;=(6000+('SCH N'!$D71*300)),0,ROUND(('SCH N'!$E71-(6000+('SCH N'!$D71*300)))*(PRO_DS_KWH_3),2))</f>
        <v>1108.9000000000001</v>
      </c>
      <c r="R38" s="5">
        <f t="shared" si="5"/>
        <v>9260.98</v>
      </c>
    </row>
    <row r="39" spans="1:18" x14ac:dyDescent="0.2">
      <c r="B39" s="5">
        <f t="shared" si="6"/>
        <v>15</v>
      </c>
      <c r="C39" s="5">
        <f>IF('SCH N'!$D72&lt;=15,ROUND('SCH N'!$D72*CUR_DS_DEM_1,2),ROUND(15*CUR_DS_DEM_1,2))</f>
        <v>0</v>
      </c>
      <c r="D39" s="5">
        <f>IF('SCH N'!$D72&lt;=15,0,ROUND(('SCH N'!$D72-15)*CUR_DS_DEM_3,2))</f>
        <v>3758.75</v>
      </c>
      <c r="E39" s="14">
        <v>0</v>
      </c>
      <c r="F39" s="5">
        <f>IF('SCH N'!$E72&lt;=6000,ROUND('SCH N'!$E72*(CUR_DS_KWH_1),2),ROUND(6000*(CUR_DS_KWH_1),2))</f>
        <v>489.87</v>
      </c>
      <c r="G39" s="5">
        <f>IF('SCH N'!$E72&lt;=6000,0,IF(('SCH N'!$D72*300)&lt;=('SCH N'!$E72-6000),ROUND(('SCH N'!$D72*300)*(CUR_DS_KWH_2),2),ROUND(('SCH N'!$E72-6000)*(CUR_DS_KWH_2),2)))</f>
        <v>4711.1899999999996</v>
      </c>
      <c r="H39" s="5">
        <f>IF('SCH N'!$E72&lt;=(6000+('SCH N'!$D72*300)),0,ROUND(('SCH N'!$E72-(6000+('SCH N'!$D72*300)))*(CUR_DS_KWH_3),2))</f>
        <v>0</v>
      </c>
      <c r="I39" s="5">
        <f t="shared" si="4"/>
        <v>8974.81</v>
      </c>
      <c r="J39" s="5"/>
      <c r="K39" s="5">
        <f t="shared" si="7"/>
        <v>34.28</v>
      </c>
      <c r="L39" s="5">
        <f>IF('SCH N'!$D72&lt;=15,ROUND('SCH N'!$D72*PRO_DS_DEM_1,2),ROUND(15*PRO_DS_DEM_1,2))</f>
        <v>0</v>
      </c>
      <c r="M39" s="5">
        <f>IF('SCH N'!$D72&lt;=15,0,ROUND(('SCH N'!$D72-15)*PRO_DS_DEM_3,2))</f>
        <v>4234.05</v>
      </c>
      <c r="N39" s="14">
        <v>0</v>
      </c>
      <c r="O39" s="5">
        <f>IF('SCH N'!$E72&lt;=6000,ROUND('SCH N'!$E72*(PRO_DS_KWH_1),2),ROUND(6000*(PRO_DS_KWH_1),2))</f>
        <v>551.5</v>
      </c>
      <c r="P39" s="5">
        <f>IF('SCH N'!$E72&lt;=6000,0,IF(('SCH N'!$D72*300)&lt;=('SCH N'!$E72-6000),ROUND(('SCH N'!$D72*300)*(PRO_DS_KWH_2),2),ROUND(('SCH N'!$E72-6000)*(PRO_DS_KWH_2),2)))</f>
        <v>5303.95</v>
      </c>
      <c r="Q39" s="5">
        <f>IF('SCH N'!$E72&lt;=(6000+('SCH N'!$D72*300)),0,ROUND(('SCH N'!$E72-(6000+('SCH N'!$D72*300)))*(PRO_DS_KWH_3),2))</f>
        <v>0</v>
      </c>
      <c r="R39" s="5">
        <f t="shared" si="5"/>
        <v>10123.779999999999</v>
      </c>
    </row>
    <row r="40" spans="1:18" x14ac:dyDescent="0.2">
      <c r="B40" s="5">
        <f t="shared" si="6"/>
        <v>15</v>
      </c>
      <c r="C40" s="5">
        <f>IF('SCH N'!$D73&lt;=15,ROUND('SCH N'!$D73*CUR_DS_DEM_1,2),ROUND(15*CUR_DS_DEM_1,2))</f>
        <v>0</v>
      </c>
      <c r="D40" s="5">
        <f>IF('SCH N'!$D73&lt;=15,0,ROUND(('SCH N'!$D73-15)*CUR_DS_DEM_3,2))</f>
        <v>3758.75</v>
      </c>
      <c r="E40" s="14">
        <v>0</v>
      </c>
      <c r="F40" s="5">
        <f>IF('SCH N'!$E73&lt;=6000,ROUND('SCH N'!$E73*(CUR_DS_KWH_1),2),ROUND(6000*(CUR_DS_KWH_1),2))</f>
        <v>489.87</v>
      </c>
      <c r="G40" s="5">
        <f>IF('SCH N'!$E73&lt;=6000,0,IF(('SCH N'!$D73*300)&lt;=('SCH N'!$E73-6000),ROUND(('SCH N'!$D73*300)*(CUR_DS_KWH_2),2),ROUND(('SCH N'!$E73-6000)*(CUR_DS_KWH_2),2)))</f>
        <v>7517.85</v>
      </c>
      <c r="H40" s="5">
        <f>IF('SCH N'!$E73&lt;=(6000+('SCH N'!$D73*300)),0,ROUND(('SCH N'!$E73-(6000+('SCH N'!$D73*300)))*(CUR_DS_KWH_3),2))</f>
        <v>1805.89</v>
      </c>
      <c r="I40" s="5">
        <f t="shared" si="4"/>
        <v>13587.36</v>
      </c>
      <c r="J40" s="5"/>
      <c r="K40" s="5">
        <f t="shared" si="7"/>
        <v>34.28</v>
      </c>
      <c r="L40" s="5">
        <f>IF('SCH N'!$D73&lt;=15,ROUND('SCH N'!$D73*PRO_DS_DEM_1,2),ROUND(15*PRO_DS_DEM_1,2))</f>
        <v>0</v>
      </c>
      <c r="M40" s="5">
        <f>IF('SCH N'!$D73&lt;=15,0,ROUND(('SCH N'!$D73-15)*PRO_DS_DEM_3,2))</f>
        <v>4234.05</v>
      </c>
      <c r="N40" s="14">
        <v>0</v>
      </c>
      <c r="O40" s="5">
        <f>IF('SCH N'!$E73&lt;=6000,ROUND('SCH N'!$E73*(PRO_DS_KWH_1),2),ROUND(6000*(PRO_DS_KWH_1),2))</f>
        <v>551.5</v>
      </c>
      <c r="P40" s="5">
        <f>IF('SCH N'!$E73&lt;=6000,0,IF(('SCH N'!$D73*300)&lt;=('SCH N'!$E73-6000),ROUND(('SCH N'!$D73*300)*(PRO_DS_KWH_2),2),ROUND(('SCH N'!$E73-6000)*(PRO_DS_KWH_2),2)))</f>
        <v>8463.75</v>
      </c>
      <c r="Q40" s="5">
        <f>IF('SCH N'!$E73&lt;=(6000+('SCH N'!$D73*300)),0,ROUND(('SCH N'!$E73-(6000+('SCH N'!$D73*300)))*(PRO_DS_KWH_3),2))</f>
        <v>2032.98</v>
      </c>
      <c r="R40" s="5">
        <f t="shared" si="5"/>
        <v>15316.56</v>
      </c>
    </row>
    <row r="41" spans="1:18" x14ac:dyDescent="0.2">
      <c r="B41" s="5">
        <f t="shared" si="6"/>
        <v>15</v>
      </c>
      <c r="C41" s="5">
        <f>IF('SCH N'!$D74&lt;=15,ROUND('SCH N'!$D74*CUR_DS_DEM_1,2),ROUND(15*CUR_DS_DEM_1,2))</f>
        <v>0</v>
      </c>
      <c r="D41" s="5">
        <f>IF('SCH N'!$D74&lt;=15,0,ROUND(('SCH N'!$D74-15)*CUR_DS_DEM_3,2))</f>
        <v>3758.75</v>
      </c>
      <c r="E41" s="14">
        <v>0</v>
      </c>
      <c r="F41" s="5">
        <f>IF('SCH N'!$E74&lt;=6000,ROUND('SCH N'!$E74*(CUR_DS_KWH_1),2),ROUND(6000*(CUR_DS_KWH_1),2))</f>
        <v>489.87</v>
      </c>
      <c r="G41" s="5">
        <f>IF('SCH N'!$E74&lt;=6000,0,IF(('SCH N'!$D74*300)&lt;=('SCH N'!$E74-6000),ROUND(('SCH N'!$D74*300)*(CUR_DS_KWH_2),2),ROUND(('SCH N'!$E74-6000)*(CUR_DS_KWH_2),2)))</f>
        <v>7517.85</v>
      </c>
      <c r="H41" s="5">
        <f>IF('SCH N'!$E74&lt;=(6000+('SCH N'!$D74*300)),0,ROUND(('SCH N'!$E74-(6000+('SCH N'!$D74*300)))*(CUR_DS_KWH_3),2))</f>
        <v>5910.19</v>
      </c>
      <c r="I41" s="5">
        <f t="shared" si="4"/>
        <v>17691.66</v>
      </c>
      <c r="J41" s="5"/>
      <c r="K41" s="5">
        <f t="shared" si="7"/>
        <v>34.28</v>
      </c>
      <c r="L41" s="5">
        <f>IF('SCH N'!$D74&lt;=15,ROUND('SCH N'!$D74*PRO_DS_DEM_1,2),ROUND(15*PRO_DS_DEM_1,2))</f>
        <v>0</v>
      </c>
      <c r="M41" s="5">
        <f>IF('SCH N'!$D74&lt;=15,0,ROUND(('SCH N'!$D74-15)*PRO_DS_DEM_3,2))</f>
        <v>4234.05</v>
      </c>
      <c r="N41" s="14">
        <v>0</v>
      </c>
      <c r="O41" s="5">
        <f>IF('SCH N'!$E74&lt;=6000,ROUND('SCH N'!$E74*(PRO_DS_KWH_1),2),ROUND(6000*(PRO_DS_KWH_1),2))</f>
        <v>551.5</v>
      </c>
      <c r="P41" s="5">
        <f>IF('SCH N'!$E74&lt;=6000,0,IF(('SCH N'!$D74*300)&lt;=('SCH N'!$E74-6000),ROUND(('SCH N'!$D74*300)*(PRO_DS_KWH_2),2),ROUND(('SCH N'!$E74-6000)*(PRO_DS_KWH_2),2)))</f>
        <v>8463.75</v>
      </c>
      <c r="Q41" s="5">
        <f>IF('SCH N'!$E74&lt;=(6000+('SCH N'!$D74*300)),0,ROUND(('SCH N'!$E74-(6000+('SCH N'!$D74*300)))*(PRO_DS_KWH_3),2))</f>
        <v>6653.38</v>
      </c>
      <c r="R41" s="5">
        <f t="shared" si="5"/>
        <v>19936.96</v>
      </c>
    </row>
    <row r="42" spans="1:18" s="16" customFormat="1" x14ac:dyDescent="0.2">
      <c r="B42" s="17"/>
      <c r="C42" s="17"/>
      <c r="D42" s="17"/>
      <c r="E42" s="18"/>
      <c r="F42" s="17"/>
      <c r="G42" s="17"/>
      <c r="H42" s="17"/>
      <c r="I42" s="17"/>
      <c r="J42" s="17"/>
      <c r="K42" s="17"/>
      <c r="L42" s="17"/>
      <c r="M42" s="17"/>
      <c r="N42" s="18"/>
      <c r="O42" s="17"/>
      <c r="P42" s="17"/>
      <c r="Q42" s="17"/>
      <c r="R42" s="17"/>
    </row>
    <row r="43" spans="1:18" ht="15.75" x14ac:dyDescent="0.25">
      <c r="B43" s="13" t="s">
        <v>200</v>
      </c>
      <c r="C43" s="10"/>
      <c r="D43" s="11"/>
      <c r="E43" s="11"/>
      <c r="F43" s="11"/>
      <c r="G43" s="11"/>
      <c r="H43" s="10"/>
      <c r="I43" s="10"/>
      <c r="J43" s="5"/>
      <c r="K43" s="13" t="s">
        <v>201</v>
      </c>
      <c r="L43" s="10"/>
      <c r="M43" s="11"/>
      <c r="N43" s="11"/>
      <c r="O43" s="11"/>
      <c r="P43" s="11"/>
      <c r="Q43" s="10"/>
      <c r="R43" s="10"/>
    </row>
    <row r="44" spans="1:18" x14ac:dyDescent="0.2">
      <c r="B44" s="12" t="s">
        <v>143</v>
      </c>
      <c r="C44" s="5"/>
      <c r="D44" s="5"/>
      <c r="E44" s="5"/>
      <c r="F44" s="12" t="s">
        <v>144</v>
      </c>
      <c r="G44" s="15"/>
      <c r="H44" s="5"/>
      <c r="I44" s="12" t="s">
        <v>11</v>
      </c>
      <c r="J44" s="5"/>
      <c r="K44" s="12" t="s">
        <v>143</v>
      </c>
      <c r="L44" s="5"/>
      <c r="M44" s="5"/>
      <c r="N44" s="5"/>
      <c r="O44" s="12" t="s">
        <v>144</v>
      </c>
      <c r="P44" s="15"/>
      <c r="Q44" s="5"/>
      <c r="R44" s="12" t="s">
        <v>11</v>
      </c>
    </row>
    <row r="45" spans="1:18" x14ac:dyDescent="0.2">
      <c r="A45" s="2" t="s">
        <v>116</v>
      </c>
      <c r="B45" s="5">
        <f>CUR_EH_CST_2</f>
        <v>15</v>
      </c>
      <c r="C45" s="5"/>
      <c r="D45" s="5"/>
      <c r="E45" s="5"/>
      <c r="F45" s="5">
        <f>ROUND('SCH N'!E77*(CUR_EH_KWH_1),2)</f>
        <v>578.33000000000004</v>
      </c>
      <c r="G45" s="15"/>
      <c r="H45" s="5"/>
      <c r="I45" s="5">
        <f>SUM(B45:H45)</f>
        <v>593.33000000000004</v>
      </c>
      <c r="J45" s="5"/>
      <c r="K45" s="5">
        <f>PRO_EH_CST_2</f>
        <v>34.28</v>
      </c>
      <c r="L45" s="5"/>
      <c r="M45" s="5"/>
      <c r="N45" s="5"/>
      <c r="O45" s="5">
        <f>ROUND('SCH N'!E77*(PRO_EH_KWH_1),2)</f>
        <v>657.5</v>
      </c>
      <c r="P45" s="15"/>
      <c r="Q45" s="5"/>
      <c r="R45" s="5">
        <f>SUM(K45:Q45)</f>
        <v>691.78</v>
      </c>
    </row>
    <row r="46" spans="1:18" x14ac:dyDescent="0.2">
      <c r="B46" s="5">
        <f>CUR_EH_CST_2</f>
        <v>15</v>
      </c>
      <c r="C46" s="5"/>
      <c r="D46" s="5"/>
      <c r="E46" s="5"/>
      <c r="F46" s="5">
        <f>ROUND('SCH N'!E78*(CUR_EH_KWH_1),2)</f>
        <v>1451.97</v>
      </c>
      <c r="G46" s="15"/>
      <c r="H46" s="5"/>
      <c r="I46" s="5">
        <f>SUM(B46:H46)</f>
        <v>1466.97</v>
      </c>
      <c r="J46" s="5"/>
      <c r="K46" s="5">
        <f>PRO_EH_CST_2</f>
        <v>34.28</v>
      </c>
      <c r="L46" s="5"/>
      <c r="M46" s="5"/>
      <c r="N46" s="5"/>
      <c r="O46" s="5">
        <f>ROUND('SCH N'!E78*(PRO_EH_KWH_1),2)</f>
        <v>1650.75</v>
      </c>
      <c r="P46" s="15"/>
      <c r="Q46" s="5"/>
      <c r="R46" s="5">
        <f>SUM(K46:Q46)</f>
        <v>1685.03</v>
      </c>
    </row>
    <row r="47" spans="1:18" x14ac:dyDescent="0.2">
      <c r="B47" s="5">
        <f>CUR_EH_CST_2</f>
        <v>15</v>
      </c>
      <c r="C47" s="5"/>
      <c r="D47" s="5"/>
      <c r="E47" s="5"/>
      <c r="F47" s="5">
        <f>ROUND('SCH N'!E79*(CUR_EH_KWH_1),2)</f>
        <v>2325.61</v>
      </c>
      <c r="G47" s="15"/>
      <c r="H47" s="5"/>
      <c r="I47" s="5">
        <f>SUM(B47:H47)</f>
        <v>2340.61</v>
      </c>
      <c r="J47" s="5"/>
      <c r="K47" s="5">
        <f>PRO_EH_CST_2</f>
        <v>34.28</v>
      </c>
      <c r="L47" s="5"/>
      <c r="M47" s="5"/>
      <c r="N47" s="5"/>
      <c r="O47" s="5">
        <f>ROUND('SCH N'!E79*(PRO_EH_KWH_1),2)</f>
        <v>2644</v>
      </c>
      <c r="P47" s="15"/>
      <c r="Q47" s="5"/>
      <c r="R47" s="5">
        <f>SUM(K47:Q47)</f>
        <v>2678.28</v>
      </c>
    </row>
    <row r="48" spans="1:18" s="16" customFormat="1" x14ac:dyDescent="0.2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</row>
    <row r="49" spans="2:14" ht="15.75" x14ac:dyDescent="0.25">
      <c r="B49" s="13"/>
      <c r="C49" s="11"/>
      <c r="D49" s="11"/>
      <c r="E49" s="11"/>
      <c r="F49" s="10"/>
      <c r="H49" s="13"/>
      <c r="I49" s="11"/>
      <c r="J49" s="11"/>
      <c r="K49" s="11"/>
      <c r="L49" s="10"/>
    </row>
    <row r="50" spans="2:14" x14ac:dyDescent="0.2">
      <c r="C50" s="3"/>
      <c r="D50" s="3"/>
      <c r="I50" s="3"/>
      <c r="J50" s="3"/>
    </row>
    <row r="51" spans="2:14" x14ac:dyDescent="0.2">
      <c r="B51" s="3"/>
      <c r="C51" s="3"/>
      <c r="D51" s="3"/>
      <c r="E51" s="3"/>
      <c r="F51" s="3"/>
      <c r="H51" s="3"/>
      <c r="I51" s="3"/>
      <c r="J51" s="3"/>
      <c r="K51" s="3"/>
      <c r="L51" s="3"/>
    </row>
    <row r="52" spans="2:14" x14ac:dyDescent="0.2">
      <c r="B52" s="9"/>
      <c r="C52" s="9"/>
      <c r="D52" s="9"/>
      <c r="E52" s="9"/>
      <c r="F52" s="9"/>
      <c r="H52" s="9"/>
      <c r="I52" s="9"/>
      <c r="J52" s="9"/>
      <c r="K52" s="9"/>
      <c r="L52" s="9"/>
    </row>
    <row r="53" spans="2:14" x14ac:dyDescent="0.2">
      <c r="B53" s="95"/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2:14" x14ac:dyDescent="0.2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2:14" x14ac:dyDescent="0.2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2:14" x14ac:dyDescent="0.2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2:14" x14ac:dyDescent="0.2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2:14" x14ac:dyDescent="0.2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2:14" x14ac:dyDescent="0.2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2:14" x14ac:dyDescent="0.2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2:14" x14ac:dyDescent="0.2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2:14" x14ac:dyDescent="0.2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2:14" x14ac:dyDescent="0.2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2:14" x14ac:dyDescent="0.2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2:14" x14ac:dyDescent="0.2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2:14" x14ac:dyDescent="0.2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2:14" x14ac:dyDescent="0.2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2:14" x14ac:dyDescent="0.2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2:14" x14ac:dyDescent="0.2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</row>
    <row r="70" spans="2:14" x14ac:dyDescent="0.2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</row>
    <row r="71" spans="2:14" x14ac:dyDescent="0.2"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</row>
    <row r="72" spans="2:14" x14ac:dyDescent="0.2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</row>
    <row r="73" spans="2:14" x14ac:dyDescent="0.2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2:14" x14ac:dyDescent="0.2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2:14" x14ac:dyDescent="0.2"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2:14" x14ac:dyDescent="0.2"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2:14" x14ac:dyDescent="0.2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2:14" x14ac:dyDescent="0.2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2:14" x14ac:dyDescent="0.2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2:14" x14ac:dyDescent="0.2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2:12" x14ac:dyDescent="0.2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2:12" x14ac:dyDescent="0.2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2:12" x14ac:dyDescent="0.2"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2:12" x14ac:dyDescent="0.2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2:12" x14ac:dyDescent="0.2"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2:12" x14ac:dyDescent="0.2"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2:12" x14ac:dyDescent="0.2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2:12" x14ac:dyDescent="0.2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2:12" x14ac:dyDescent="0.2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2:12" x14ac:dyDescent="0.2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</row>
  </sheetData>
  <customSheetViews>
    <customSheetView guid="{195DF303-1BBD-4236-94B5-47432850B006}" scale="75" showRuler="0">
      <pane xSplit="6.4558823529411766" topLeftCell="M1"/>
      <pageMargins left="0.75" right="0.75" top="1" bottom="1" header="0.5" footer="0.5"/>
      <pageSetup orientation="portrait" r:id="rId1"/>
      <headerFooter alignWithMargins="0"/>
    </customSheetView>
    <customSheetView guid="{0C49E549-011E-46F4-A82E-2CC8951A9C1E}" scale="75" showRuler="0">
      <pane xSplit="6.8555555555555552" topLeftCell="M1"/>
      <selection activeCell="I13" sqref="I13"/>
      <pageMargins left="0.75" right="0.75" top="1" bottom="1" header="0.5" footer="0.5"/>
      <pageSetup orientation="portrait" r:id="rId2"/>
      <headerFooter alignWithMargins="0"/>
    </customSheetView>
    <customSheetView guid="{4BC93440-BA85-4935-A8C9-66DC6AE5DE5E}" scale="75" showRuler="0">
      <pane xSplit="9.8591549295774641" topLeftCell="M1"/>
      <pageMargins left="0.75" right="0.75" top="1" bottom="1" header="0.5" footer="0.5"/>
      <pageSetup orientation="portrait" r:id="rId3"/>
      <headerFooter alignWithMargins="0"/>
    </customSheetView>
    <customSheetView guid="{2431C9E5-7CC2-4B8D-99C3-962247B1DBF5}" scale="75" showRuler="0">
      <pane xSplit="9.8591549295774641" topLeftCell="M1"/>
      <pageMargins left="0.75" right="0.75" top="1" bottom="1" header="0.5" footer="0.5"/>
      <pageSetup orientation="portrait" r:id="rId4"/>
      <headerFooter alignWithMargins="0"/>
    </customSheetView>
    <customSheetView guid="{2EA35095-1ADC-4CC7-8C3C-B487D65FA247}" scale="75" showRuler="0">
      <pane xSplit="11.712962962962964" topLeftCell="M1"/>
      <selection activeCell="I13" sqref="I13"/>
      <pageMargins left="0.75" right="0.75" top="1" bottom="1" header="0.5" footer="0.5"/>
      <pageSetup orientation="portrait" r:id="rId5"/>
      <headerFooter alignWithMargins="0"/>
    </customSheetView>
    <customSheetView guid="{8FC77C99-DBF7-40B8-99B8-01B75826CDCB}" scale="75" showRuler="0">
      <pane xSplit="12.426470588235293" topLeftCell="M1"/>
      <selection activeCell="I13" sqref="I13"/>
      <pageMargins left="0.75" right="0.75" top="1" bottom="1" header="0.5" footer="0.5"/>
      <pageSetup orientation="portrait" r:id="rId6"/>
      <headerFooter alignWithMargins="0"/>
    </customSheetView>
    <customSheetView guid="{8FB94551-8874-4095-B8FB-5316E0D2FD2C}" scale="75" showRuler="0">
      <pane xSplit="12.426470588235293" topLeftCell="M1"/>
      <pageMargins left="0.75" right="0.75" top="1" bottom="1" header="0.5" footer="0.5"/>
      <pageSetup orientation="portrait" r:id="rId7"/>
      <headerFooter alignWithMargins="0"/>
    </customSheetView>
    <customSheetView guid="{6B3D5C27-2FDE-4561-9575-1E98BFB869D0}" scale="75" showRuler="0">
      <pane xSplit="12.426470588235293" topLeftCell="M1"/>
      <selection activeCell="H1" sqref="H1"/>
      <pageMargins left="0.75" right="0.75" top="1" bottom="1" header="0.5" footer="0.5"/>
      <pageSetup orientation="portrait" r:id="rId8"/>
      <headerFooter alignWithMargins="0"/>
    </customSheetView>
    <customSheetView guid="{0BC1F393-8A13-47D5-BC6C-0C99615B5AB9}" scale="75" showRuler="0">
      <pane xSplit="12.426470588235293" topLeftCell="M1"/>
      <pageMargins left="0.75" right="0.75" top="1" bottom="1" header="0.5" footer="0.5"/>
      <pageSetup orientation="portrait" r:id="rId9"/>
      <headerFooter alignWithMargins="0"/>
    </customSheetView>
    <customSheetView guid="{18BDED73-BFA0-442E-87EC-CED86EE4CF94}" scale="75" showRuler="0">
      <pane xSplit="12.426470588235293" topLeftCell="M1"/>
      <pageMargins left="0.75" right="0.75" top="1" bottom="1" header="0.5" footer="0.5"/>
      <pageSetup orientation="portrait" r:id="rId10"/>
      <headerFooter alignWithMargins="0"/>
    </customSheetView>
    <customSheetView guid="{35F19056-2E6F-4935-B863-78836FE990BF}" scale="75" showRuler="0">
      <pane xSplit="12.426470588235293" topLeftCell="M1"/>
      <pageMargins left="0.75" right="0.75" top="1" bottom="1" header="0.5" footer="0.5"/>
      <pageSetup orientation="portrait" r:id="rId11"/>
      <headerFooter alignWithMargins="0"/>
    </customSheetView>
    <customSheetView guid="{F562D92E-120C-4AE9-9663-89E64D41DC53}" scale="75">
      <pane xSplit="12.426470588235293" topLeftCell="M1"/>
      <selection activeCell="H7" sqref="H7"/>
      <pageMargins left="0.75" right="0.75" top="1" bottom="1" header="0.5" footer="0.5"/>
      <pageSetup orientation="portrait" r:id="rId12"/>
      <headerFooter alignWithMargins="0"/>
    </customSheetView>
  </customSheetViews>
  <phoneticPr fontId="9" type="noConversion"/>
  <pageMargins left="0.75" right="0.75" top="1" bottom="1" header="0.5" footer="0.5"/>
  <pageSetup scale="47" orientation="portrait" r:id="rId13"/>
  <headerFooter alignWithMargins="0">
    <oddHeader>&amp;C&amp;A&amp;R&amp;"Times New Roman,Bold"&amp;10KyPSC Case No. 2017-00321
STAFF-DR-01-053(B) Attachment
Page &amp;P of &amp;N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41"/>
  <dimension ref="A1:Y52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4.21875" style="221" customWidth="1"/>
    <col min="2" max="2" width="0.44140625" style="221" customWidth="1"/>
    <col min="3" max="3" width="11.88671875" style="221" customWidth="1"/>
    <col min="4" max="4" width="29.6640625" style="221" customWidth="1"/>
    <col min="5" max="5" width="0.33203125" style="221" customWidth="1"/>
    <col min="6" max="6" width="12.44140625" style="221" customWidth="1"/>
    <col min="7" max="7" width="0.44140625" style="221" customWidth="1"/>
    <col min="8" max="8" width="14.77734375" style="221" customWidth="1"/>
    <col min="9" max="9" width="0.33203125" style="221" customWidth="1"/>
    <col min="10" max="10" width="15.6640625" style="221" customWidth="1"/>
    <col min="11" max="11" width="0.33203125" style="221" customWidth="1"/>
    <col min="12" max="12" width="10.109375" style="221" customWidth="1"/>
    <col min="13" max="13" width="0.44140625" style="221" customWidth="1"/>
    <col min="14" max="14" width="12.5546875" style="221" customWidth="1"/>
    <col min="15" max="15" width="0.33203125" style="221" customWidth="1"/>
    <col min="16" max="16" width="14.77734375" style="221" customWidth="1"/>
    <col min="17" max="17" width="0.44140625" style="221" customWidth="1"/>
    <col min="18" max="18" width="15.77734375" style="221" customWidth="1"/>
    <col min="19" max="19" width="0.44140625" style="221" customWidth="1"/>
    <col min="20" max="20" width="9.77734375" style="221" customWidth="1"/>
    <col min="21" max="22" width="9.77734375" style="221"/>
    <col min="23" max="23" width="14.88671875" style="221" bestFit="1" customWidth="1"/>
    <col min="24" max="24" width="9.77734375" style="221"/>
    <col min="25" max="25" width="13.33203125" style="221" bestFit="1" customWidth="1"/>
    <col min="26" max="72" width="9.77734375" style="221"/>
    <col min="73" max="73" width="20.77734375" style="221" customWidth="1"/>
    <col min="74" max="16384" width="9.77734375" style="221"/>
  </cols>
  <sheetData>
    <row r="1" spans="1:20" x14ac:dyDescent="0.25">
      <c r="A1" s="42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</row>
    <row r="2" spans="1:20" x14ac:dyDescent="0.25">
      <c r="A2" s="42" t="str">
        <f>CASE_NO</f>
        <v>CASE NO.   2017-00321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</row>
    <row r="3" spans="1:20" x14ac:dyDescent="0.25">
      <c r="A3" s="42" t="s">
        <v>773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</row>
    <row r="4" spans="1:20" x14ac:dyDescent="0.25">
      <c r="A4" s="41" t="str">
        <f>DATE</f>
        <v>FOR THE TWELVE MONTHS ENDED November 30, 2017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</row>
    <row r="5" spans="1:20" x14ac:dyDescent="0.25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2"/>
      <c r="K5" s="42"/>
      <c r="L5" s="41"/>
      <c r="M5" s="41"/>
      <c r="N5" s="41"/>
      <c r="O5" s="41"/>
      <c r="P5" s="41"/>
      <c r="Q5" s="41"/>
      <c r="R5" s="41"/>
      <c r="S5" s="41"/>
      <c r="T5" s="41"/>
    </row>
    <row r="6" spans="1:20" x14ac:dyDescent="0.25">
      <c r="A6" s="43" t="str">
        <f>DATA_PERIOD</f>
        <v>DATA: __X__ BASE PERIOD   ____FORECASTED PERIOD</v>
      </c>
      <c r="R6" s="44" t="s">
        <v>209</v>
      </c>
      <c r="S6" s="44"/>
    </row>
    <row r="7" spans="1:20" x14ac:dyDescent="0.25">
      <c r="A7" s="43" t="str">
        <f>TYPE</f>
        <v>TYPE OF FILING: _X_ ORIGINAL   ___UPDATED  ___ REVISED</v>
      </c>
      <c r="R7" s="44" t="s">
        <v>180</v>
      </c>
      <c r="S7" s="44"/>
    </row>
    <row r="8" spans="1:20" x14ac:dyDescent="0.25">
      <c r="A8" s="44" t="s">
        <v>192</v>
      </c>
      <c r="R8" s="44" t="s">
        <v>3</v>
      </c>
      <c r="S8" s="44"/>
    </row>
    <row r="9" spans="1:20" x14ac:dyDescent="0.25">
      <c r="A9" s="96" t="str">
        <f>TIME</f>
        <v>6 Months Actual and 6 Months Projected</v>
      </c>
      <c r="R9" s="43" t="str">
        <f>WIT</f>
        <v>B. L. SAILERS</v>
      </c>
      <c r="S9" s="44"/>
    </row>
    <row r="10" spans="1:20" s="94" customFormat="1" ht="15" x14ac:dyDescent="0.2">
      <c r="A10" s="96" t="str">
        <f>INPUT!B5</f>
        <v>6 Months Actual Ending May 31, 2017</v>
      </c>
      <c r="R10" s="250"/>
      <c r="S10" s="96"/>
    </row>
    <row r="11" spans="1:20" x14ac:dyDescent="0.25">
      <c r="A11" s="42" t="s">
        <v>773</v>
      </c>
      <c r="B11" s="41"/>
      <c r="C11" s="41"/>
      <c r="D11" s="41"/>
      <c r="E11" s="41"/>
      <c r="F11" s="41"/>
      <c r="G11" s="41"/>
      <c r="H11" s="41"/>
      <c r="I11" s="41"/>
      <c r="J11" s="41"/>
      <c r="K11" s="42"/>
      <c r="L11" s="41"/>
      <c r="M11" s="41"/>
      <c r="N11" s="41"/>
      <c r="O11" s="41"/>
      <c r="P11" s="41"/>
      <c r="Q11" s="41"/>
      <c r="R11" s="41"/>
      <c r="S11" s="42"/>
      <c r="T11" s="41"/>
    </row>
    <row r="12" spans="1:20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0" ht="18" customHeight="1" x14ac:dyDescent="0.25">
      <c r="J13" s="238" t="s">
        <v>731</v>
      </c>
      <c r="K13" s="238"/>
      <c r="L13" s="238"/>
      <c r="M13" s="238"/>
      <c r="N13" s="238" t="s">
        <v>212</v>
      </c>
      <c r="O13" s="238"/>
      <c r="R13" s="238"/>
      <c r="S13" s="238"/>
      <c r="T13" s="238"/>
    </row>
    <row r="14" spans="1:20" x14ac:dyDescent="0.25">
      <c r="J14" s="238" t="s">
        <v>12</v>
      </c>
      <c r="K14" s="238"/>
      <c r="L14" s="238"/>
      <c r="M14" s="238"/>
      <c r="N14" s="238" t="s">
        <v>213</v>
      </c>
      <c r="O14" s="238"/>
      <c r="R14" s="238" t="s">
        <v>731</v>
      </c>
      <c r="S14" s="238"/>
      <c r="T14" s="238"/>
    </row>
    <row r="15" spans="1:20" x14ac:dyDescent="0.25">
      <c r="A15" s="238" t="s">
        <v>17</v>
      </c>
      <c r="C15" s="238" t="s">
        <v>18</v>
      </c>
      <c r="D15" s="238" t="s">
        <v>19</v>
      </c>
      <c r="E15" s="238"/>
      <c r="F15" s="238" t="s">
        <v>20</v>
      </c>
      <c r="J15" s="238" t="s">
        <v>21</v>
      </c>
      <c r="K15" s="238"/>
      <c r="L15" s="238" t="s">
        <v>210</v>
      </c>
      <c r="M15" s="238"/>
      <c r="N15" s="238" t="s">
        <v>214</v>
      </c>
      <c r="O15" s="238"/>
      <c r="P15" s="238" t="s">
        <v>21</v>
      </c>
      <c r="Q15" s="238"/>
      <c r="R15" s="238" t="s">
        <v>9</v>
      </c>
      <c r="S15" s="238"/>
      <c r="T15" s="238" t="s">
        <v>212</v>
      </c>
    </row>
    <row r="16" spans="1:20" x14ac:dyDescent="0.25">
      <c r="A16" s="238" t="s">
        <v>24</v>
      </c>
      <c r="C16" s="238" t="s">
        <v>25</v>
      </c>
      <c r="D16" s="238" t="s">
        <v>26</v>
      </c>
      <c r="E16" s="238"/>
      <c r="F16" s="238" t="s">
        <v>57</v>
      </c>
      <c r="H16" s="238" t="s">
        <v>28</v>
      </c>
      <c r="I16" s="238"/>
      <c r="J16" s="238" t="s">
        <v>9</v>
      </c>
      <c r="K16" s="238"/>
      <c r="L16" s="238" t="s">
        <v>18</v>
      </c>
      <c r="M16" s="238"/>
      <c r="N16" s="238" t="s">
        <v>21</v>
      </c>
      <c r="O16" s="238"/>
      <c r="P16" s="238" t="s">
        <v>9</v>
      </c>
      <c r="Q16" s="238"/>
      <c r="R16" s="238" t="s">
        <v>11</v>
      </c>
      <c r="S16" s="238"/>
      <c r="T16" s="238" t="s">
        <v>213</v>
      </c>
    </row>
    <row r="17" spans="1:25" x14ac:dyDescent="0.25">
      <c r="C17" s="127" t="s">
        <v>35</v>
      </c>
      <c r="D17" s="127" t="s">
        <v>36</v>
      </c>
      <c r="E17" s="127"/>
      <c r="F17" s="127" t="s">
        <v>37</v>
      </c>
      <c r="G17" s="94"/>
      <c r="H17" s="127" t="s">
        <v>38</v>
      </c>
      <c r="I17" s="127"/>
      <c r="J17" s="251" t="s">
        <v>39</v>
      </c>
      <c r="K17" s="127"/>
      <c r="L17" s="251" t="s">
        <v>211</v>
      </c>
      <c r="M17" s="127"/>
      <c r="N17" s="251" t="s">
        <v>41</v>
      </c>
      <c r="O17" s="127"/>
      <c r="P17" s="127" t="s">
        <v>42</v>
      </c>
      <c r="Q17" s="127"/>
      <c r="R17" s="251" t="s">
        <v>43</v>
      </c>
      <c r="S17" s="127"/>
      <c r="T17" s="251" t="s">
        <v>44</v>
      </c>
    </row>
    <row r="18" spans="1:25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5" s="94" customFormat="1" ht="17.100000000000001" customHeight="1" x14ac:dyDescent="0.2">
      <c r="H19" s="127" t="s">
        <v>51</v>
      </c>
      <c r="I19" s="127"/>
      <c r="J19" s="127" t="s">
        <v>52</v>
      </c>
      <c r="K19" s="127"/>
      <c r="L19" s="251" t="s">
        <v>219</v>
      </c>
      <c r="M19" s="127"/>
      <c r="N19" s="127" t="s">
        <v>53</v>
      </c>
      <c r="O19" s="127"/>
      <c r="P19" s="127" t="s">
        <v>52</v>
      </c>
      <c r="Q19" s="127"/>
      <c r="R19" s="127" t="s">
        <v>52</v>
      </c>
      <c r="S19" s="127"/>
      <c r="T19" s="127" t="s">
        <v>53</v>
      </c>
    </row>
    <row r="20" spans="1:25" x14ac:dyDescent="0.25">
      <c r="A20" s="238">
        <v>1</v>
      </c>
      <c r="C20" s="44" t="s">
        <v>54</v>
      </c>
      <c r="D20" s="48" t="s">
        <v>296</v>
      </c>
      <c r="E20" s="44"/>
      <c r="F20" s="54">
        <f>'Rate RS'!X83</f>
        <v>1525197</v>
      </c>
      <c r="G20" s="55"/>
      <c r="H20" s="54">
        <f>'Rate RS'!Z83</f>
        <v>1453752034</v>
      </c>
      <c r="I20" s="54"/>
      <c r="J20" s="54">
        <f>'Rate RS'!AD83</f>
        <v>127629351</v>
      </c>
      <c r="K20" s="54"/>
      <c r="L20" s="97">
        <f t="shared" ref="L20:L49" si="0">IF(H20=0,"-",ROUND(J20/H20*100,6))</f>
        <v>8.7793069999999993</v>
      </c>
      <c r="M20" s="56"/>
      <c r="N20" s="63">
        <f>IF(ABS(J20/$J$49*100)&lt;0.005,"-   ",ROUND(J20/$J$49*100,2))-0.01</f>
        <v>37.96</v>
      </c>
      <c r="O20" s="59"/>
      <c r="P20" s="54">
        <f>'Rate RS'!AL83</f>
        <v>1494457</v>
      </c>
      <c r="Q20" s="54"/>
      <c r="R20" s="54">
        <f>'Rate RS'!AN83</f>
        <v>129123808</v>
      </c>
      <c r="S20" s="54"/>
      <c r="T20" s="63">
        <f>IF(ABS(R20/$R$49*100)&lt;0.005,"-    ",ROUND(R20/$R$49*100,2))-0.01</f>
        <v>37.940000000000005</v>
      </c>
      <c r="U20" s="222"/>
    </row>
    <row r="21" spans="1:25" x14ac:dyDescent="0.25">
      <c r="A21" s="238">
        <v>2</v>
      </c>
      <c r="C21" s="44" t="s">
        <v>113</v>
      </c>
      <c r="D21" s="48" t="s">
        <v>297</v>
      </c>
      <c r="E21" s="44"/>
      <c r="F21" s="54">
        <f>'Rate DS'!Y111</f>
        <v>157022</v>
      </c>
      <c r="G21" s="55"/>
      <c r="H21" s="54">
        <f>'Rate DS'!AA111</f>
        <v>1115844489</v>
      </c>
      <c r="I21" s="54"/>
      <c r="J21" s="54">
        <f>'Rate DS'!AE111</f>
        <v>90203109</v>
      </c>
      <c r="K21" s="54"/>
      <c r="L21" s="97">
        <f t="shared" si="0"/>
        <v>8.0838420000000006</v>
      </c>
      <c r="M21" s="56"/>
      <c r="N21" s="63">
        <f>IF(ABS(J21/$J$49*100)&lt;0.005,"-   ",ROUND(J21/$J$49*100,2))-0.01</f>
        <v>26.83</v>
      </c>
      <c r="O21" s="59"/>
      <c r="P21" s="54">
        <f>'Rate DS'!AM111</f>
        <v>1147088</v>
      </c>
      <c r="Q21" s="54"/>
      <c r="R21" s="54">
        <f>'Rate DS'!AO111</f>
        <v>91350197</v>
      </c>
      <c r="S21" s="54"/>
      <c r="T21" s="63">
        <f t="shared" ref="T21:T47" si="1">IF(ABS(R21/$R$49*100)&lt;0.005,"-    ",ROUND(R21/$R$49*100,2))</f>
        <v>26.85</v>
      </c>
      <c r="U21" s="222"/>
    </row>
    <row r="22" spans="1:25" x14ac:dyDescent="0.25">
      <c r="A22" s="238">
        <v>3</v>
      </c>
      <c r="C22" s="44" t="s">
        <v>491</v>
      </c>
      <c r="D22" s="44" t="s">
        <v>63</v>
      </c>
      <c r="E22" s="44"/>
      <c r="F22" s="4">
        <f>'Rate DT-Pri'!Y137</f>
        <v>443</v>
      </c>
      <c r="G22" s="2"/>
      <c r="H22" s="4">
        <f>'Rate DT-Pri'!AA137</f>
        <v>492952443</v>
      </c>
      <c r="I22" s="4"/>
      <c r="J22" s="4">
        <f>'Rate DT-Pri'!AE137</f>
        <v>30821870</v>
      </c>
      <c r="K22" s="4"/>
      <c r="L22" s="97">
        <f t="shared" si="0"/>
        <v>6.2525040000000001</v>
      </c>
      <c r="M22" s="7"/>
      <c r="N22" s="63">
        <f t="shared" ref="N22:N26" si="2">IF(ABS(J22/$J$49*100)&lt;0.005,"-   ",ROUND(J22/$J$49*100,2))</f>
        <v>9.17</v>
      </c>
      <c r="O22" s="6"/>
      <c r="P22" s="4">
        <f>'Rate DT-Pri'!AM137</f>
        <v>506755</v>
      </c>
      <c r="Q22" s="4"/>
      <c r="R22" s="4">
        <f>'Rate DT-Pri'!AO137</f>
        <v>31328625</v>
      </c>
      <c r="S22" s="4"/>
      <c r="T22" s="63">
        <f t="shared" si="1"/>
        <v>9.2100000000000009</v>
      </c>
    </row>
    <row r="23" spans="1:25" x14ac:dyDescent="0.25">
      <c r="A23" s="238">
        <v>4</v>
      </c>
      <c r="C23" s="44" t="s">
        <v>489</v>
      </c>
      <c r="D23" s="44" t="s">
        <v>63</v>
      </c>
      <c r="E23" s="44"/>
      <c r="F23" s="4">
        <f>'Rate DT-Sec'!Y133</f>
        <v>1786</v>
      </c>
      <c r="G23" s="2"/>
      <c r="H23" s="4">
        <f>'Rate DT-Sec'!AA133</f>
        <v>683434130</v>
      </c>
      <c r="I23" s="4"/>
      <c r="J23" s="4">
        <f>'Rate DT-Sec'!AE133</f>
        <v>45866347</v>
      </c>
      <c r="K23" s="4"/>
      <c r="L23" s="97">
        <f t="shared" si="0"/>
        <v>6.7111580000000002</v>
      </c>
      <c r="M23" s="7"/>
      <c r="N23" s="63">
        <f>IF(ABS(J23/$J$49*100)&lt;0.005,"-   ",ROUND(J23/$J$49*100,2))-0.01</f>
        <v>13.64</v>
      </c>
      <c r="O23" s="6"/>
      <c r="P23" s="4">
        <f>'Rate DT-Sec'!AM133</f>
        <v>702570</v>
      </c>
      <c r="Q23" s="4"/>
      <c r="R23" s="4">
        <f>J23+P23</f>
        <v>46568917</v>
      </c>
      <c r="S23" s="4"/>
      <c r="T23" s="63">
        <f t="shared" si="1"/>
        <v>13.69</v>
      </c>
    </row>
    <row r="24" spans="1:25" x14ac:dyDescent="0.25">
      <c r="A24" s="238">
        <v>5</v>
      </c>
      <c r="C24" s="44" t="s">
        <v>116</v>
      </c>
      <c r="D24" s="44" t="s">
        <v>299</v>
      </c>
      <c r="E24" s="44"/>
      <c r="F24" s="4">
        <f>'Rate EH'!Y95</f>
        <v>502</v>
      </c>
      <c r="G24" s="2"/>
      <c r="H24" s="4">
        <f>'Rate EH'!AA95</f>
        <v>9803357</v>
      </c>
      <c r="I24" s="4"/>
      <c r="J24" s="4">
        <f>'Rate EH'!AE95</f>
        <v>630615</v>
      </c>
      <c r="K24" s="4"/>
      <c r="L24" s="97">
        <f t="shared" si="0"/>
        <v>6.4326429999999997</v>
      </c>
      <c r="M24" s="7"/>
      <c r="N24" s="63">
        <f t="shared" si="2"/>
        <v>0.19</v>
      </c>
      <c r="O24" s="6"/>
      <c r="P24" s="4">
        <f>'Rate EH'!AM95</f>
        <v>10078</v>
      </c>
      <c r="Q24" s="4"/>
      <c r="R24" s="4">
        <f>'Rate EH'!AO95</f>
        <v>640693</v>
      </c>
      <c r="S24" s="4"/>
      <c r="T24" s="63">
        <f t="shared" si="1"/>
        <v>0.19</v>
      </c>
    </row>
    <row r="25" spans="1:25" x14ac:dyDescent="0.25">
      <c r="A25" s="238">
        <v>6</v>
      </c>
      <c r="C25" s="44" t="s">
        <v>117</v>
      </c>
      <c r="D25" s="48" t="s">
        <v>298</v>
      </c>
      <c r="E25" s="44"/>
      <c r="F25" s="4">
        <f>'Rate SP GSFL'!Y107</f>
        <v>184</v>
      </c>
      <c r="G25" s="2"/>
      <c r="H25" s="4">
        <f>'Rate SP GSFL'!AA107</f>
        <v>269849</v>
      </c>
      <c r="I25" s="4"/>
      <c r="J25" s="4">
        <f>'Rate SP GSFL'!AE107</f>
        <v>29098</v>
      </c>
      <c r="K25" s="4"/>
      <c r="L25" s="97">
        <f t="shared" si="0"/>
        <v>10.783068</v>
      </c>
      <c r="M25" s="7"/>
      <c r="N25" s="63">
        <f t="shared" si="2"/>
        <v>0.01</v>
      </c>
      <c r="O25" s="6"/>
      <c r="P25" s="4">
        <f>'Rate SP GSFL'!AM107</f>
        <v>277</v>
      </c>
      <c r="Q25" s="4"/>
      <c r="R25" s="4">
        <f>'Rate SP GSFL'!AO107</f>
        <v>29375</v>
      </c>
      <c r="S25" s="4"/>
      <c r="T25" s="88">
        <f t="shared" si="1"/>
        <v>0.01</v>
      </c>
      <c r="Y25" s="87"/>
    </row>
    <row r="26" spans="1:25" x14ac:dyDescent="0.25">
      <c r="A26" s="238">
        <v>7</v>
      </c>
      <c r="C26" s="44" t="s">
        <v>115</v>
      </c>
      <c r="D26" s="44" t="s">
        <v>174</v>
      </c>
      <c r="E26" s="44"/>
      <c r="F26" s="4">
        <f>'Rate SP GSFL'!Y128</f>
        <v>540</v>
      </c>
      <c r="G26" s="2"/>
      <c r="H26" s="4">
        <f>'Rate SP GSFL'!AA128</f>
        <v>6194943</v>
      </c>
      <c r="I26" s="4"/>
      <c r="J26" s="4">
        <f>'Rate SP GSFL'!AE128</f>
        <v>590407</v>
      </c>
      <c r="K26" s="4"/>
      <c r="L26" s="97">
        <f t="shared" si="0"/>
        <v>9.5304669999999998</v>
      </c>
      <c r="M26" s="7"/>
      <c r="N26" s="63">
        <f t="shared" si="2"/>
        <v>0.18</v>
      </c>
      <c r="O26" s="6"/>
      <c r="P26" s="4">
        <f>'Rate SP GSFL'!AM128</f>
        <v>6368</v>
      </c>
      <c r="Q26" s="4"/>
      <c r="R26" s="4">
        <f>J26+P26</f>
        <v>596775</v>
      </c>
      <c r="S26" s="4"/>
      <c r="T26" s="63">
        <f t="shared" si="1"/>
        <v>0.18</v>
      </c>
    </row>
    <row r="27" spans="1:25" x14ac:dyDescent="0.25">
      <c r="A27" s="238">
        <v>8</v>
      </c>
      <c r="C27" s="44" t="s">
        <v>114</v>
      </c>
      <c r="D27" s="48" t="s">
        <v>203</v>
      </c>
      <c r="E27" s="44"/>
      <c r="F27" s="4">
        <f>'Rate DP'!Y102</f>
        <v>120</v>
      </c>
      <c r="G27" s="2"/>
      <c r="H27" s="4">
        <f>'Rate DP'!AA102</f>
        <v>13046582</v>
      </c>
      <c r="I27" s="4"/>
      <c r="J27" s="4">
        <f>'Rate DP'!AE102</f>
        <v>934990</v>
      </c>
      <c r="K27" s="4"/>
      <c r="L27" s="97">
        <f t="shared" si="0"/>
        <v>7.1665510000000001</v>
      </c>
      <c r="M27" s="7"/>
      <c r="N27" s="63">
        <f t="shared" ref="N27:N34" si="3">IF(ABS(J27/$J$49*100)&lt;0.005,"-   ",ROUND(J27/$J$49*100,2))</f>
        <v>0.28000000000000003</v>
      </c>
      <c r="O27" s="6"/>
      <c r="P27" s="4">
        <f>'Rate DP'!AM102</f>
        <v>13412</v>
      </c>
      <c r="Q27" s="4"/>
      <c r="R27" s="4">
        <f>'Rate DP'!AO102</f>
        <v>948402</v>
      </c>
      <c r="S27" s="4"/>
      <c r="T27" s="63">
        <f t="shared" si="1"/>
        <v>0.28000000000000003</v>
      </c>
      <c r="Y27" s="87"/>
    </row>
    <row r="28" spans="1:25" x14ac:dyDescent="0.25">
      <c r="A28" s="238">
        <v>9</v>
      </c>
      <c r="C28" s="44" t="s">
        <v>62</v>
      </c>
      <c r="D28" s="44" t="s">
        <v>63</v>
      </c>
      <c r="E28" s="44"/>
      <c r="F28" s="4">
        <f>'Rate TT'!Y122</f>
        <v>156</v>
      </c>
      <c r="G28" s="2"/>
      <c r="H28" s="4">
        <f>'Rate TT'!AA122</f>
        <v>213269428</v>
      </c>
      <c r="I28" s="4"/>
      <c r="J28" s="4">
        <f>'Rate TT'!AE122</f>
        <v>12309452</v>
      </c>
      <c r="K28" s="4"/>
      <c r="L28" s="97">
        <f t="shared" si="0"/>
        <v>5.7717850000000004</v>
      </c>
      <c r="M28" s="7"/>
      <c r="N28" s="63">
        <f t="shared" si="3"/>
        <v>3.66</v>
      </c>
      <c r="O28" s="6"/>
      <c r="P28" s="4">
        <f>'Rate TT'!AM122</f>
        <v>219241</v>
      </c>
      <c r="Q28" s="4"/>
      <c r="R28" s="4">
        <f>'Rate TT'!AO122</f>
        <v>12528693</v>
      </c>
      <c r="S28" s="4"/>
      <c r="T28" s="63">
        <f t="shared" si="1"/>
        <v>3.68</v>
      </c>
    </row>
    <row r="29" spans="1:25" x14ac:dyDescent="0.25">
      <c r="A29" s="238">
        <v>10</v>
      </c>
      <c r="C29" s="221" t="s">
        <v>478</v>
      </c>
      <c r="D29" s="221" t="s">
        <v>311</v>
      </c>
      <c r="E29" s="44"/>
      <c r="F29" s="4">
        <f>'Rate DT RTP-P'!Y84</f>
        <v>0</v>
      </c>
      <c r="G29" s="2"/>
      <c r="H29" s="4">
        <f>'Rate DT RTP-P'!AA84</f>
        <v>0</v>
      </c>
      <c r="I29" s="4"/>
      <c r="J29" s="4">
        <f>'Rate DT RTP-P'!AE84</f>
        <v>0</v>
      </c>
      <c r="K29" s="4"/>
      <c r="L29" s="97" t="str">
        <f>IF(H29=0,"-",ROUND(J29/H29*100,6))</f>
        <v>-</v>
      </c>
      <c r="M29" s="7"/>
      <c r="N29" s="63" t="str">
        <f t="shared" si="3"/>
        <v xml:space="preserve">-   </v>
      </c>
      <c r="O29" s="6"/>
      <c r="P29" s="4">
        <f>'Rate DT RTP-P'!AM84</f>
        <v>0</v>
      </c>
      <c r="Q29" s="4"/>
      <c r="R29" s="4">
        <f>'Rate DT RTP-P'!AO84</f>
        <v>0</v>
      </c>
      <c r="S29" s="4"/>
      <c r="T29" s="63" t="str">
        <f t="shared" si="1"/>
        <v xml:space="preserve">-    </v>
      </c>
      <c r="W29" s="231"/>
    </row>
    <row r="30" spans="1:25" x14ac:dyDescent="0.25">
      <c r="A30" s="238">
        <v>11</v>
      </c>
      <c r="C30" s="221" t="s">
        <v>479</v>
      </c>
      <c r="D30" s="221" t="s">
        <v>311</v>
      </c>
      <c r="E30" s="44"/>
      <c r="F30" s="4">
        <f>'Rate DT RTP-S'!Y89</f>
        <v>24</v>
      </c>
      <c r="G30" s="2"/>
      <c r="H30" s="4">
        <f>'Rate DT RTP-S'!AA89</f>
        <v>4131069</v>
      </c>
      <c r="I30" s="4"/>
      <c r="J30" s="4">
        <f>'Rate DT RTP-S'!AE89</f>
        <v>141597</v>
      </c>
      <c r="K30" s="4"/>
      <c r="L30" s="97">
        <f t="shared" si="0"/>
        <v>3.4276119999999999</v>
      </c>
      <c r="M30" s="7"/>
      <c r="N30" s="63">
        <f t="shared" si="3"/>
        <v>0.04</v>
      </c>
      <c r="O30" s="6"/>
      <c r="P30" s="4">
        <f>'Rate DT RTP-S'!AM89</f>
        <v>0</v>
      </c>
      <c r="Q30" s="4"/>
      <c r="R30" s="4">
        <f>'Rate DT RTP-S'!AO89</f>
        <v>141597</v>
      </c>
      <c r="S30" s="4"/>
      <c r="T30" s="63">
        <f t="shared" si="1"/>
        <v>0.04</v>
      </c>
    </row>
    <row r="31" spans="1:25" x14ac:dyDescent="0.25">
      <c r="A31" s="238">
        <v>12</v>
      </c>
      <c r="C31" s="221" t="s">
        <v>341</v>
      </c>
      <c r="D31" s="221" t="s">
        <v>311</v>
      </c>
      <c r="E31" s="44"/>
      <c r="F31" s="4">
        <f>'Rate DS RTP'!Y89</f>
        <v>36</v>
      </c>
      <c r="G31" s="2"/>
      <c r="H31" s="4">
        <f>'Rate DS RTP'!AA89</f>
        <v>299922</v>
      </c>
      <c r="I31" s="4"/>
      <c r="J31" s="4">
        <f>'Rate DS RTP'!AE89</f>
        <v>25921</v>
      </c>
      <c r="K31" s="4"/>
      <c r="L31" s="97">
        <f t="shared" si="0"/>
        <v>8.6425800000000006</v>
      </c>
      <c r="M31" s="7"/>
      <c r="N31" s="63">
        <f t="shared" si="3"/>
        <v>0.01</v>
      </c>
      <c r="O31" s="6"/>
      <c r="P31" s="4">
        <f>'Rate DS RTP'!AM89</f>
        <v>0</v>
      </c>
      <c r="Q31" s="4"/>
      <c r="R31" s="4">
        <f>'Rate DS RTP'!AO89</f>
        <v>25921</v>
      </c>
      <c r="S31" s="4"/>
      <c r="T31" s="63">
        <f t="shared" si="1"/>
        <v>0.01</v>
      </c>
      <c r="W31" s="89"/>
    </row>
    <row r="32" spans="1:25" x14ac:dyDescent="0.25">
      <c r="A32" s="238">
        <v>13</v>
      </c>
      <c r="C32" s="221" t="s">
        <v>342</v>
      </c>
      <c r="D32" s="221" t="s">
        <v>311</v>
      </c>
      <c r="E32" s="44"/>
      <c r="F32" s="4">
        <f>'Rate TT RTP'!Y89</f>
        <v>24</v>
      </c>
      <c r="G32" s="2"/>
      <c r="H32" s="4">
        <f>'Rate TT RTP'!AA89</f>
        <v>12915280</v>
      </c>
      <c r="I32" s="4"/>
      <c r="J32" s="4">
        <f>'Rate TT RTP'!AE89</f>
        <v>414116</v>
      </c>
      <c r="K32" s="4"/>
      <c r="L32" s="97">
        <f t="shared" si="0"/>
        <v>3.206404</v>
      </c>
      <c r="M32" s="7"/>
      <c r="N32" s="63">
        <f t="shared" si="3"/>
        <v>0.12</v>
      </c>
      <c r="O32" s="6"/>
      <c r="P32" s="4">
        <f>'Rate TT RTP'!AM89</f>
        <v>0</v>
      </c>
      <c r="Q32" s="4"/>
      <c r="R32" s="4">
        <f>'Rate TT RTP'!AO89</f>
        <v>414116</v>
      </c>
      <c r="S32" s="4"/>
      <c r="T32" s="63">
        <f t="shared" si="1"/>
        <v>0.12</v>
      </c>
      <c r="W32" s="232"/>
    </row>
    <row r="33" spans="1:24" x14ac:dyDescent="0.25">
      <c r="A33" s="238">
        <v>14</v>
      </c>
      <c r="C33" s="44" t="s">
        <v>81</v>
      </c>
      <c r="D33" s="48" t="s">
        <v>82</v>
      </c>
      <c r="E33" s="44"/>
      <c r="F33" s="4">
        <f>'Rate SL'!Y433</f>
        <v>138477</v>
      </c>
      <c r="G33" s="2"/>
      <c r="H33" s="4">
        <f>'Rate SL'!AA433</f>
        <v>10839811</v>
      </c>
      <c r="I33" s="4"/>
      <c r="J33" s="4">
        <f>'Rate SL'!AE433</f>
        <v>1335809</v>
      </c>
      <c r="K33" s="4"/>
      <c r="L33" s="97">
        <f t="shared" si="0"/>
        <v>12.323176</v>
      </c>
      <c r="M33" s="7"/>
      <c r="N33" s="63">
        <f t="shared" si="3"/>
        <v>0.4</v>
      </c>
      <c r="O33" s="6"/>
      <c r="P33" s="4">
        <f>'Rate SL'!AM433</f>
        <v>11143</v>
      </c>
      <c r="Q33" s="4"/>
      <c r="R33" s="4">
        <f>'Rate SL'!AO433</f>
        <v>1346952</v>
      </c>
      <c r="S33" s="4"/>
      <c r="T33" s="63">
        <f t="shared" si="1"/>
        <v>0.4</v>
      </c>
      <c r="W33" s="87"/>
    </row>
    <row r="34" spans="1:24" x14ac:dyDescent="0.25">
      <c r="A34" s="238">
        <v>15</v>
      </c>
      <c r="C34" s="44" t="s">
        <v>85</v>
      </c>
      <c r="D34" s="48" t="s">
        <v>86</v>
      </c>
      <c r="E34" s="44"/>
      <c r="F34" s="4">
        <f>'Rate TL'!Y102</f>
        <v>94895</v>
      </c>
      <c r="G34" s="2"/>
      <c r="H34" s="4">
        <f>'Rate TL'!AA102</f>
        <v>1438465</v>
      </c>
      <c r="I34" s="4"/>
      <c r="J34" s="4">
        <f>'Rate TL'!AE102</f>
        <v>70080</v>
      </c>
      <c r="K34" s="4"/>
      <c r="L34" s="97">
        <f t="shared" si="0"/>
        <v>4.8718599999999999</v>
      </c>
      <c r="M34" s="7"/>
      <c r="N34" s="88">
        <f t="shared" si="3"/>
        <v>0.02</v>
      </c>
      <c r="O34" s="6"/>
      <c r="P34" s="4">
        <f>'Rate TL'!AM102</f>
        <v>1479</v>
      </c>
      <c r="Q34" s="4"/>
      <c r="R34" s="4">
        <f>'Rate TL'!AO102</f>
        <v>71559</v>
      </c>
      <c r="S34" s="4"/>
      <c r="T34" s="88">
        <f t="shared" si="1"/>
        <v>0.02</v>
      </c>
    </row>
    <row r="35" spans="1:24" x14ac:dyDescent="0.25">
      <c r="A35" s="238">
        <v>16</v>
      </c>
      <c r="C35" s="44" t="s">
        <v>293</v>
      </c>
      <c r="D35" s="44" t="s">
        <v>300</v>
      </c>
      <c r="E35" s="44"/>
      <c r="F35" s="4">
        <f>'Rate UOLS'!Y67</f>
        <v>83973</v>
      </c>
      <c r="G35" s="2"/>
      <c r="H35" s="4">
        <f>'Rate UOLS'!AA67</f>
        <v>5308606</v>
      </c>
      <c r="I35" s="4"/>
      <c r="J35" s="4">
        <f>'Rate UOLS'!AE67</f>
        <v>196551</v>
      </c>
      <c r="K35" s="4"/>
      <c r="L35" s="97">
        <f t="shared" si="0"/>
        <v>3.7024970000000001</v>
      </c>
      <c r="M35" s="7"/>
      <c r="N35" s="63">
        <f>IF(ABS(J35/$J$49*100)&lt;0.005,"-   ",ROUND(J35/$J$49*100,2))</f>
        <v>0.06</v>
      </c>
      <c r="O35" s="6"/>
      <c r="P35" s="4">
        <f>'Rate UOLS'!AM67</f>
        <v>5457</v>
      </c>
      <c r="Q35" s="4"/>
      <c r="R35" s="4">
        <f>'Rate UOLS'!AO67</f>
        <v>202008</v>
      </c>
      <c r="S35" s="4"/>
      <c r="T35" s="63">
        <f t="shared" si="1"/>
        <v>0.06</v>
      </c>
    </row>
    <row r="36" spans="1:24" x14ac:dyDescent="0.25">
      <c r="A36" s="238">
        <v>17</v>
      </c>
      <c r="C36" s="44" t="s">
        <v>94</v>
      </c>
      <c r="D36" s="48" t="s">
        <v>747</v>
      </c>
      <c r="E36" s="44"/>
      <c r="F36" s="4">
        <f>'Rate OL'!Y165</f>
        <v>1382</v>
      </c>
      <c r="G36" s="2"/>
      <c r="H36" s="4">
        <f>'Rate OL'!AA165</f>
        <v>138105</v>
      </c>
      <c r="I36" s="4"/>
      <c r="J36" s="4">
        <f>'Rate OL'!AE165</f>
        <v>16679</v>
      </c>
      <c r="K36" s="4"/>
      <c r="L36" s="97">
        <f t="shared" si="0"/>
        <v>12.077043</v>
      </c>
      <c r="M36" s="7"/>
      <c r="N36" s="63" t="str">
        <f>IF(ABS(J36/$J$49*100)&lt;0.005,"-   ",ROUND(J36/$J$49*100,2))</f>
        <v xml:space="preserve">-   </v>
      </c>
      <c r="O36" s="6"/>
      <c r="P36" s="4">
        <f>'Rate OL'!AM165</f>
        <v>142</v>
      </c>
      <c r="Q36" s="4"/>
      <c r="R36" s="4">
        <f>'Rate OL'!AO165</f>
        <v>16821</v>
      </c>
      <c r="S36" s="4"/>
      <c r="T36" s="63" t="str">
        <f t="shared" si="1"/>
        <v xml:space="preserve">-    </v>
      </c>
    </row>
    <row r="37" spans="1:24" x14ac:dyDescent="0.25">
      <c r="A37" s="238">
        <v>18</v>
      </c>
      <c r="C37" s="44" t="s">
        <v>96</v>
      </c>
      <c r="D37" s="48" t="s">
        <v>301</v>
      </c>
      <c r="E37" s="44"/>
      <c r="F37" s="4">
        <f>'Rate NSU'!Y99</f>
        <v>8364</v>
      </c>
      <c r="G37" s="2"/>
      <c r="H37" s="4">
        <f>'Rate NSU'!AA99</f>
        <v>405021</v>
      </c>
      <c r="I37" s="4"/>
      <c r="J37" s="4">
        <f>'Rate NSU'!AE99</f>
        <v>61591</v>
      </c>
      <c r="K37" s="4"/>
      <c r="L37" s="97">
        <f t="shared" si="0"/>
        <v>15.206866</v>
      </c>
      <c r="M37" s="7"/>
      <c r="N37" s="63">
        <f t="shared" ref="N37:N42" si="4">IF(ABS(J37/$J$49*100)&lt;0.005,"-   ",ROUND(J37/$J$49*100,2))</f>
        <v>0.02</v>
      </c>
      <c r="O37" s="6"/>
      <c r="P37" s="4">
        <f>'Rate NSU'!AM99</f>
        <v>416</v>
      </c>
      <c r="Q37" s="4"/>
      <c r="R37" s="4">
        <f>'Rate NSU'!AO99</f>
        <v>62007</v>
      </c>
      <c r="S37" s="4"/>
      <c r="T37" s="63">
        <f t="shared" si="1"/>
        <v>0.02</v>
      </c>
    </row>
    <row r="38" spans="1:24" x14ac:dyDescent="0.25">
      <c r="A38" s="238">
        <v>19</v>
      </c>
      <c r="C38" s="44" t="s">
        <v>101</v>
      </c>
      <c r="D38" s="44" t="s">
        <v>748</v>
      </c>
      <c r="E38" s="44"/>
      <c r="F38" s="4">
        <f>'Rate NSP'!Y123</f>
        <v>137</v>
      </c>
      <c r="G38" s="2"/>
      <c r="H38" s="4">
        <f>'Rate NSP'!AA123</f>
        <v>7610</v>
      </c>
      <c r="I38" s="4"/>
      <c r="J38" s="4">
        <f>'Rate NSP'!AE123</f>
        <v>1448</v>
      </c>
      <c r="K38" s="4"/>
      <c r="L38" s="97">
        <f t="shared" si="0"/>
        <v>19.027595000000002</v>
      </c>
      <c r="M38" s="7"/>
      <c r="N38" s="63" t="str">
        <f>IF(ABS(J38/$J$49*100)&lt;0.005,"-   ",ROUND(J38/$J$49*100,2))</f>
        <v xml:space="preserve">-   </v>
      </c>
      <c r="O38" s="6"/>
      <c r="P38" s="4">
        <f>'Rate NSP'!AM123</f>
        <v>8</v>
      </c>
      <c r="Q38" s="4"/>
      <c r="R38" s="4">
        <f>'Rate NSP'!AO123</f>
        <v>1456</v>
      </c>
      <c r="S38" s="4"/>
      <c r="T38" s="63" t="str">
        <f t="shared" si="1"/>
        <v xml:space="preserve">-    </v>
      </c>
    </row>
    <row r="39" spans="1:24" x14ac:dyDescent="0.25">
      <c r="A39" s="238">
        <v>20</v>
      </c>
      <c r="C39" s="44" t="s">
        <v>77</v>
      </c>
      <c r="D39" s="44" t="s">
        <v>546</v>
      </c>
      <c r="E39" s="44"/>
      <c r="F39" s="4">
        <f>'Rate SC'!Y149</f>
        <v>2064</v>
      </c>
      <c r="G39" s="4"/>
      <c r="H39" s="4">
        <f>'Rate SC'!AA149</f>
        <v>97596</v>
      </c>
      <c r="I39" s="4"/>
      <c r="J39" s="4">
        <f>'Rate SC'!AE149</f>
        <v>3613</v>
      </c>
      <c r="K39" s="4"/>
      <c r="L39" s="97">
        <f t="shared" si="0"/>
        <v>3.7019959999999998</v>
      </c>
      <c r="M39" s="7"/>
      <c r="N39" s="88" t="str">
        <f>IF(ABS(J39/$J$49*100)&lt;0.005,"-   ",ROUND(J39/$J$49*100,2))</f>
        <v xml:space="preserve">-   </v>
      </c>
      <c r="O39" s="6"/>
      <c r="P39" s="4">
        <f>'Rate SC'!AM149</f>
        <v>100</v>
      </c>
      <c r="Q39" s="4"/>
      <c r="R39" s="4">
        <f>'Rate SC'!AO149</f>
        <v>3713</v>
      </c>
      <c r="S39" s="4"/>
      <c r="T39" s="63" t="str">
        <f t="shared" si="1"/>
        <v xml:space="preserve">-    </v>
      </c>
    </row>
    <row r="40" spans="1:24" x14ac:dyDescent="0.25">
      <c r="A40" s="238">
        <v>21</v>
      </c>
      <c r="C40" s="44" t="s">
        <v>72</v>
      </c>
      <c r="D40" s="44" t="s">
        <v>547</v>
      </c>
      <c r="E40" s="44"/>
      <c r="F40" s="4">
        <f>'Rate SE'!Y112</f>
        <v>24744</v>
      </c>
      <c r="G40" s="4"/>
      <c r="H40" s="4">
        <f>'Rate SE'!AA112</f>
        <v>1476997</v>
      </c>
      <c r="I40" s="4"/>
      <c r="J40" s="4">
        <f>'Rate SE'!AE112</f>
        <v>189543</v>
      </c>
      <c r="K40" s="4"/>
      <c r="L40" s="97">
        <f t="shared" si="0"/>
        <v>12.832998</v>
      </c>
      <c r="M40" s="7"/>
      <c r="N40" s="63">
        <f t="shared" si="4"/>
        <v>0.06</v>
      </c>
      <c r="O40" s="6"/>
      <c r="P40" s="4">
        <f>'Rate SE'!AM112</f>
        <v>1519</v>
      </c>
      <c r="Q40" s="4"/>
      <c r="R40" s="4">
        <f>'Rate SE'!AO112</f>
        <v>191062</v>
      </c>
      <c r="S40" s="4"/>
      <c r="T40" s="63">
        <f t="shared" si="1"/>
        <v>0.06</v>
      </c>
    </row>
    <row r="41" spans="1:24" x14ac:dyDescent="0.25">
      <c r="A41" s="238">
        <v>22</v>
      </c>
      <c r="C41" s="80" t="s">
        <v>462</v>
      </c>
      <c r="D41" s="80" t="s">
        <v>433</v>
      </c>
      <c r="E41" s="44"/>
      <c r="F41" s="4">
        <f>'SCH M-2.2'!F57</f>
        <v>12</v>
      </c>
      <c r="G41" s="4"/>
      <c r="H41" s="4">
        <f>'SCH M-2.2'!H57</f>
        <v>729253</v>
      </c>
      <c r="I41" s="4"/>
      <c r="J41" s="4">
        <f>'SCH M-2.2'!L57</f>
        <v>51324</v>
      </c>
      <c r="K41" s="4"/>
      <c r="L41" s="97">
        <f t="shared" si="0"/>
        <v>7.0378869999999996</v>
      </c>
      <c r="M41" s="7"/>
      <c r="N41" s="63">
        <f>IF(ABS(J41/$J$49*100)&lt;0.005,"-   ",ROUND(J41/$J$49*100,2))</f>
        <v>0.02</v>
      </c>
      <c r="O41" s="6"/>
      <c r="P41" s="4">
        <f>'SCH M-2.2'!T57</f>
        <v>750</v>
      </c>
      <c r="Q41" s="4"/>
      <c r="R41" s="4">
        <f>'SCH M-2.2'!V57</f>
        <v>52074</v>
      </c>
      <c r="S41" s="4"/>
      <c r="T41" s="63">
        <f>IF(ABS(R41/$R$49*100)&lt;0.005,"-    ",ROUND(R41/$R$49*100,2))</f>
        <v>0.02</v>
      </c>
    </row>
    <row r="42" spans="1:24" x14ac:dyDescent="0.25">
      <c r="A42" s="238">
        <v>23</v>
      </c>
      <c r="C42" s="82" t="s">
        <v>118</v>
      </c>
      <c r="D42" s="82" t="s">
        <v>678</v>
      </c>
      <c r="E42" s="44"/>
      <c r="F42" s="4">
        <f>'SCH M-2.2'!F58</f>
        <v>0</v>
      </c>
      <c r="G42" s="4"/>
      <c r="H42" s="4">
        <f>'SCH M-2.2'!H58</f>
        <v>0</v>
      </c>
      <c r="I42" s="4"/>
      <c r="J42" s="4">
        <f>'SCH M-2.2'!L58</f>
        <v>3984486</v>
      </c>
      <c r="K42" s="4"/>
      <c r="L42" s="97" t="str">
        <f t="shared" ref="L42:L48" si="5">IF(H42=0,"-",ROUND(J42/H42*100,6))</f>
        <v>-</v>
      </c>
      <c r="M42" s="7"/>
      <c r="N42" s="63">
        <f t="shared" si="4"/>
        <v>1.19</v>
      </c>
      <c r="O42" s="6"/>
      <c r="P42" s="4">
        <f>'SCH M-2.2'!T58</f>
        <v>0</v>
      </c>
      <c r="Q42" s="4"/>
      <c r="R42" s="4">
        <f>'SCH M-2.2'!V58</f>
        <v>3984486</v>
      </c>
      <c r="S42" s="4"/>
      <c r="T42" s="63">
        <f t="shared" si="1"/>
        <v>1.17</v>
      </c>
      <c r="W42" s="231"/>
    </row>
    <row r="43" spans="1:24" x14ac:dyDescent="0.25">
      <c r="A43" s="238">
        <v>24</v>
      </c>
      <c r="C43" s="80"/>
      <c r="D43" s="81" t="s">
        <v>302</v>
      </c>
      <c r="E43" s="44"/>
      <c r="F43" s="4">
        <f>'SCH M-2.2'!F59</f>
        <v>0</v>
      </c>
      <c r="G43" s="4"/>
      <c r="H43" s="4">
        <f>'SCH M-2.2'!H59</f>
        <v>0</v>
      </c>
      <c r="I43" s="4"/>
      <c r="J43" s="4">
        <f>'SCH M-2.2'!L59</f>
        <v>23092</v>
      </c>
      <c r="K43" s="4"/>
      <c r="L43" s="97" t="str">
        <f t="shared" si="5"/>
        <v>-</v>
      </c>
      <c r="M43" s="7"/>
      <c r="N43" s="88">
        <f t="shared" ref="N43:N48" si="6">IF(ABS(J43/$J$49*100)&lt;0.005,"-   ",ROUND(J43/$J$49*100,2))</f>
        <v>0.01</v>
      </c>
      <c r="O43" s="6"/>
      <c r="P43" s="4">
        <f>'SCH M-2.2'!T59</f>
        <v>0</v>
      </c>
      <c r="Q43" s="4"/>
      <c r="R43" s="4">
        <f>'SCH M-2.2'!V59</f>
        <v>23092</v>
      </c>
      <c r="S43" s="4"/>
      <c r="T43" s="63">
        <f t="shared" si="1"/>
        <v>0.01</v>
      </c>
      <c r="W43" s="89"/>
    </row>
    <row r="44" spans="1:24" x14ac:dyDescent="0.25">
      <c r="A44" s="238">
        <v>25</v>
      </c>
      <c r="C44" s="80"/>
      <c r="D44" s="82" t="s">
        <v>305</v>
      </c>
      <c r="E44" s="44"/>
      <c r="F44" s="4">
        <f>'SCH M-2.2'!F60</f>
        <v>0</v>
      </c>
      <c r="G44" s="4"/>
      <c r="H44" s="4">
        <f>'SCH M-2.2'!H60</f>
        <v>0</v>
      </c>
      <c r="I44" s="4"/>
      <c r="J44" s="4">
        <f>'SCH M-2.2'!L60</f>
        <v>189382</v>
      </c>
      <c r="K44" s="4"/>
      <c r="L44" s="97" t="str">
        <f t="shared" si="5"/>
        <v>-</v>
      </c>
      <c r="M44" s="56"/>
      <c r="N44" s="63">
        <f t="shared" si="6"/>
        <v>0.06</v>
      </c>
      <c r="O44" s="59"/>
      <c r="P44" s="4">
        <f>'SCH M-2.2'!T60</f>
        <v>0</v>
      </c>
      <c r="Q44" s="4"/>
      <c r="R44" s="4">
        <f>'SCH M-2.2'!V60</f>
        <v>189382</v>
      </c>
      <c r="S44" s="54"/>
      <c r="T44" s="63">
        <f t="shared" si="1"/>
        <v>0.06</v>
      </c>
      <c r="W44" s="232"/>
    </row>
    <row r="45" spans="1:24" x14ac:dyDescent="0.25">
      <c r="A45" s="238">
        <v>26</v>
      </c>
      <c r="C45" s="80"/>
      <c r="D45" s="82" t="s">
        <v>624</v>
      </c>
      <c r="E45" s="44"/>
      <c r="F45" s="4">
        <f>'SCH M-2.2'!F61</f>
        <v>0</v>
      </c>
      <c r="G45" s="4"/>
      <c r="H45" s="4">
        <f>'SCH M-2.2'!H61</f>
        <v>0</v>
      </c>
      <c r="I45" s="4"/>
      <c r="J45" s="4">
        <f>'SCH M-2.2'!L61</f>
        <v>117775</v>
      </c>
      <c r="K45" s="4"/>
      <c r="L45" s="97" t="str">
        <f t="shared" ref="L45" si="7">IF(H45=0,"-",ROUND(J45/H45*100,6))</f>
        <v>-</v>
      </c>
      <c r="M45" s="56"/>
      <c r="N45" s="63">
        <f t="shared" si="6"/>
        <v>0.04</v>
      </c>
      <c r="O45" s="59"/>
      <c r="P45" s="4">
        <f>'SCH M-2.2'!T61</f>
        <v>0</v>
      </c>
      <c r="Q45" s="4"/>
      <c r="R45" s="4">
        <f>'SCH M-2.2'!V61</f>
        <v>117775</v>
      </c>
      <c r="S45" s="54"/>
      <c r="T45" s="63">
        <f t="shared" ref="T45" si="8">IF(ABS(R45/$R$49*100)&lt;0.005,"-    ",ROUND(R45/$R$49*100,2))</f>
        <v>0.03</v>
      </c>
    </row>
    <row r="46" spans="1:24" x14ac:dyDescent="0.25">
      <c r="A46" s="236">
        <v>27</v>
      </c>
      <c r="C46" s="80"/>
      <c r="D46" s="82" t="s">
        <v>304</v>
      </c>
      <c r="E46" s="44"/>
      <c r="F46" s="4">
        <f>'SCH M-2.2'!F62</f>
        <v>0</v>
      </c>
      <c r="G46" s="4"/>
      <c r="H46" s="4">
        <f>'SCH M-2.2'!H62</f>
        <v>0</v>
      </c>
      <c r="I46" s="4"/>
      <c r="J46" s="4">
        <f>'SCH M-2.2'!L62</f>
        <v>930344</v>
      </c>
      <c r="K46" s="4"/>
      <c r="L46" s="97" t="str">
        <f t="shared" si="5"/>
        <v>-</v>
      </c>
      <c r="M46" s="57"/>
      <c r="N46" s="63">
        <f t="shared" si="6"/>
        <v>0.28000000000000003</v>
      </c>
      <c r="O46" s="7"/>
      <c r="P46" s="4">
        <f>'SCH M-2.2'!T62</f>
        <v>0</v>
      </c>
      <c r="Q46" s="4"/>
      <c r="R46" s="4">
        <f>'SCH M-2.2'!V62</f>
        <v>930344</v>
      </c>
      <c r="S46" s="6"/>
      <c r="T46" s="63">
        <f t="shared" si="1"/>
        <v>0.27</v>
      </c>
      <c r="U46" s="46"/>
      <c r="V46" s="46"/>
      <c r="W46" s="46"/>
      <c r="X46" s="47"/>
    </row>
    <row r="47" spans="1:24" x14ac:dyDescent="0.25">
      <c r="A47" s="236">
        <v>28</v>
      </c>
      <c r="C47" s="80" t="s">
        <v>436</v>
      </c>
      <c r="D47" s="82" t="s">
        <v>434</v>
      </c>
      <c r="E47" s="44"/>
      <c r="F47" s="4">
        <f>'SCH M-2.2'!F63</f>
        <v>132</v>
      </c>
      <c r="G47" s="4"/>
      <c r="H47" s="4">
        <f>'SCH M-2.2'!H63</f>
        <v>138735</v>
      </c>
      <c r="I47" s="4"/>
      <c r="J47" s="4">
        <f>'SCH M-2.2'!L63</f>
        <v>7570</v>
      </c>
      <c r="K47" s="4"/>
      <c r="L47" s="97">
        <f t="shared" si="5"/>
        <v>5.4564459999999997</v>
      </c>
      <c r="M47" s="57"/>
      <c r="N47" s="88" t="str">
        <f>IF(ABS(J47/$J$49*100)&lt;0.005,"-   ",ROUND(J47/$J$49*100,2))</f>
        <v xml:space="preserve">-   </v>
      </c>
      <c r="O47" s="7"/>
      <c r="P47" s="4">
        <f>'SCH M-2.2'!T63</f>
        <v>143</v>
      </c>
      <c r="Q47" s="4"/>
      <c r="R47" s="4">
        <f>'SCH M-2.2'!V63</f>
        <v>7713</v>
      </c>
      <c r="S47" s="6"/>
      <c r="T47" s="63" t="str">
        <f t="shared" si="1"/>
        <v xml:space="preserve">-    </v>
      </c>
      <c r="U47" s="46"/>
      <c r="V47" s="46"/>
      <c r="W47" s="46"/>
      <c r="X47" s="47"/>
    </row>
    <row r="48" spans="1:24" x14ac:dyDescent="0.25">
      <c r="A48" s="236">
        <v>29</v>
      </c>
      <c r="C48" s="80"/>
      <c r="D48" s="82" t="s">
        <v>119</v>
      </c>
      <c r="E48" s="44"/>
      <c r="F48" s="4">
        <f>'SCH M-2.2'!F64</f>
        <v>0</v>
      </c>
      <c r="G48" s="4"/>
      <c r="H48" s="4">
        <f>'SCH M-2.2'!H64</f>
        <v>0</v>
      </c>
      <c r="I48" s="4"/>
      <c r="J48" s="4">
        <f>'SCH M-2.2'!L64</f>
        <v>19330403</v>
      </c>
      <c r="K48" s="4"/>
      <c r="L48" s="98" t="str">
        <f t="shared" si="5"/>
        <v>-</v>
      </c>
      <c r="M48" s="57"/>
      <c r="N48" s="63">
        <f t="shared" si="6"/>
        <v>5.75</v>
      </c>
      <c r="O48" s="7"/>
      <c r="P48" s="4">
        <f>'SCH M-2.2'!T64</f>
        <v>0</v>
      </c>
      <c r="Q48" s="4"/>
      <c r="R48" s="4">
        <f>'SCH M-2.2'!V64</f>
        <v>19330403</v>
      </c>
      <c r="S48" s="6"/>
      <c r="T48" s="63">
        <f>IF(ABS(R48/$R$49*100)&lt;0.005,"-    ",ROUND(R48/$R$49*100,2))</f>
        <v>5.68</v>
      </c>
      <c r="U48" s="46"/>
      <c r="V48" s="46"/>
      <c r="W48" s="46"/>
      <c r="X48" s="47"/>
    </row>
    <row r="49" spans="1:20" ht="20.100000000000001" customHeight="1" thickBot="1" x14ac:dyDescent="0.3">
      <c r="A49" s="236">
        <v>30</v>
      </c>
      <c r="C49" s="44" t="s">
        <v>120</v>
      </c>
      <c r="F49" s="62">
        <f>SUM(F20:F48)</f>
        <v>2040214</v>
      </c>
      <c r="G49" s="2"/>
      <c r="H49" s="62">
        <f>SUM(H20:H48)</f>
        <v>4026493725</v>
      </c>
      <c r="I49" s="4"/>
      <c r="J49" s="62">
        <f>SUM(J20:J48)</f>
        <v>336106563</v>
      </c>
      <c r="K49" s="4"/>
      <c r="L49" s="99">
        <f t="shared" si="0"/>
        <v>8.3473760000000006</v>
      </c>
      <c r="M49" s="7"/>
      <c r="N49" s="64">
        <f>SUM(N20:N48)</f>
        <v>100.00000000000003</v>
      </c>
      <c r="O49" s="6"/>
      <c r="P49" s="62">
        <f>SUM(P20:P48)</f>
        <v>4121403</v>
      </c>
      <c r="Q49" s="4"/>
      <c r="R49" s="62">
        <f>SUM(R20:R48)</f>
        <v>340227966</v>
      </c>
      <c r="S49" s="4"/>
      <c r="T49" s="64">
        <f>SUM(T20:T48)</f>
        <v>100.00000000000003</v>
      </c>
    </row>
    <row r="50" spans="1:20" ht="16.5" thickTop="1" x14ac:dyDescent="0.25"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x14ac:dyDescent="0.25">
      <c r="C51" s="48" t="s">
        <v>215</v>
      </c>
    </row>
    <row r="52" spans="1:20" x14ac:dyDescent="0.25">
      <c r="A52" s="44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63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L9" sqref="L9"/>
      <pageMargins left="0.5" right="0.5" top="1" bottom="0" header="0.5" footer="0.5"/>
      <printOptions horizontalCentered="1"/>
      <pageSetup scale="63" orientation="landscape" horizontalDpi="300" verticalDpi="300" r:id="rId2"/>
      <headerFooter alignWithMargins="0"/>
    </customSheetView>
    <customSheetView guid="{4BC93440-BA85-4935-A8C9-66DC6AE5DE5E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R40" sqref="R40"/>
      <pageMargins left="0.5" right="0.5" top="1" bottom="0" header="0.5" footer="0.5"/>
      <printOptions horizontalCentered="1"/>
      <pageSetup scale="63" orientation="landscape" horizontalDpi="300" verticalDpi="300" r:id="rId4"/>
      <headerFooter alignWithMargins="0"/>
    </customSheetView>
    <customSheetView guid="{2EA35095-1ADC-4CC7-8C3C-B487D65FA247}" scale="75" fitToPage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63" orientation="landscape" horizontalDpi="300" verticalDpi="300" r:id="rId7"/>
      <headerFooter alignWithMargins="0"/>
    </customSheetView>
    <customSheetView guid="{6B3D5C27-2FDE-4561-9575-1E98BFB869D0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8"/>
      <headerFooter alignWithMargins="0"/>
    </customSheetView>
    <customSheetView guid="{0BC1F393-8A13-47D5-BC6C-0C99615B5AB9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9"/>
      <headerFooter alignWithMargins="0"/>
    </customSheetView>
    <customSheetView guid="{18BDED73-BFA0-442E-87EC-CED86EE4CF94}" scale="75" fitToPage="1" showRuler="0" topLeftCell="A10">
      <selection activeCell="H28" sqref="H28:H31"/>
      <pageMargins left="0.5" right="0.5" top="1" bottom="0" header="0.5" footer="0.5"/>
      <printOptions horizontalCentered="1"/>
      <pageSetup scale="63" orientation="landscape" horizontalDpi="300" verticalDpi="300" r:id="rId10"/>
      <headerFooter alignWithMargins="0"/>
    </customSheetView>
    <customSheetView guid="{35F19056-2E6F-4935-B863-78836FE990BF}" scale="75" fitToPage="1" showRuler="0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1"/>
      <headerFooter alignWithMargins="0"/>
    </customSheetView>
    <customSheetView guid="{F562D92E-120C-4AE9-9663-89E64D41DC53}" scale="75" fitToPage="1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2"/>
      <headerFooter alignWithMargins="0"/>
    </customSheetView>
  </customSheetViews>
  <phoneticPr fontId="9" type="noConversion"/>
  <printOptions horizontalCentered="1"/>
  <pageMargins left="0.75" right="0.75" top="1" bottom="1" header="0.5" footer="0.5"/>
  <pageSetup scale="47" orientation="landscape" horizontalDpi="300" verticalDpi="300" r:id="rId13"/>
  <headerFooter alignWithMargins="0">
    <oddHeader>&amp;C&amp;A&amp;R&amp;"Times New Roman,Bold"&amp;10KyPSC Case No. 2017-00321
STAFF-DR-01-053(B) Attachment
Page &amp;P of &amp;N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5" transitionEvaluation="1" transitionEntry="1" codeName="Sheet4"/>
  <dimension ref="A1:AC122"/>
  <sheetViews>
    <sheetView tabSelected="1" view="pageLayout" topLeftCell="A25" zoomScaleNormal="75" workbookViewId="0">
      <selection activeCell="L6" sqref="L6"/>
    </sheetView>
  </sheetViews>
  <sheetFormatPr defaultColWidth="9.77734375" defaultRowHeight="15.75" x14ac:dyDescent="0.25"/>
  <cols>
    <col min="1" max="1" width="4.21875" style="80" customWidth="1"/>
    <col min="2" max="2" width="0.44140625" style="80" customWidth="1"/>
    <col min="3" max="3" width="11.21875" style="80" customWidth="1"/>
    <col min="4" max="4" width="28.21875" style="80" customWidth="1"/>
    <col min="5" max="5" width="0.33203125" style="80" customWidth="1"/>
    <col min="6" max="6" width="13.77734375" style="80" customWidth="1"/>
    <col min="7" max="7" width="0.44140625" style="80" customWidth="1"/>
    <col min="8" max="8" width="15.6640625" style="80" customWidth="1"/>
    <col min="9" max="9" width="0.33203125" style="80" customWidth="1"/>
    <col min="10" max="10" width="10" style="80" bestFit="1" customWidth="1"/>
    <col min="11" max="11" width="0.33203125" style="80" customWidth="1"/>
    <col min="12" max="12" width="15.6640625" style="80" customWidth="1"/>
    <col min="13" max="13" width="0.33203125" style="80" customWidth="1"/>
    <col min="14" max="14" width="11.77734375" style="80" customWidth="1"/>
    <col min="15" max="15" width="0.44140625" style="80" customWidth="1"/>
    <col min="16" max="16" width="15.77734375" style="80" customWidth="1"/>
    <col min="17" max="17" width="0.33203125" style="80" customWidth="1"/>
    <col min="18" max="18" width="13.88671875" style="188" customWidth="1"/>
    <col min="19" max="19" width="0.33203125" style="80" customWidth="1"/>
    <col min="20" max="20" width="14.44140625" style="80" customWidth="1"/>
    <col min="21" max="21" width="0.44140625" style="80" customWidth="1"/>
    <col min="22" max="22" width="14.44140625" style="80" customWidth="1"/>
    <col min="23" max="23" width="0.44140625" style="80" customWidth="1"/>
    <col min="24" max="24" width="11.77734375" style="188" customWidth="1"/>
    <col min="25" max="25" width="13.21875" style="80" customWidth="1"/>
    <col min="26" max="26" width="9.77734375" style="80" customWidth="1"/>
    <col min="27" max="27" width="11.77734375" style="229" bestFit="1" customWidth="1"/>
    <col min="28" max="28" width="9.77734375" style="80"/>
    <col min="29" max="29" width="11.77734375" style="229" bestFit="1" customWidth="1"/>
    <col min="30" max="76" width="9.77734375" style="80"/>
    <col min="77" max="77" width="20.77734375" style="80" customWidth="1"/>
    <col min="78" max="16384" width="9.77734375" style="80"/>
  </cols>
  <sheetData>
    <row r="1" spans="1:26" x14ac:dyDescent="0.25">
      <c r="A1" s="494" t="str">
        <f>NAME</f>
        <v>DUKE ENERGY KENTUCKY, INC.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Z1" s="237"/>
    </row>
    <row r="2" spans="1:26" x14ac:dyDescent="0.25">
      <c r="A2" s="494" t="str">
        <f>CASE_NO</f>
        <v>CASE NO.   2017-00321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Z2" s="237"/>
    </row>
    <row r="3" spans="1:26" x14ac:dyDescent="0.25">
      <c r="A3" s="494" t="str">
        <f>TITLE</f>
        <v>ANNUALIZED BASE YEAR REVENUES AT PROPOSED VS. MOST CURRENT RATES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Z3" s="237"/>
    </row>
    <row r="4" spans="1:26" x14ac:dyDescent="0.25">
      <c r="A4" s="494" t="str">
        <f>DATE</f>
        <v>FOR THE TWELVE MONTHS ENDED November 30, 2017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Z4" s="237"/>
    </row>
    <row r="5" spans="1:26" x14ac:dyDescent="0.25">
      <c r="A5" s="494" t="str">
        <f>SERVICE</f>
        <v>(ELECTRIC SERVICE)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  <c r="T5" s="494"/>
      <c r="U5" s="494"/>
      <c r="V5" s="494"/>
      <c r="W5" s="494"/>
      <c r="X5" s="494"/>
      <c r="Z5" s="237"/>
    </row>
    <row r="6" spans="1:26" x14ac:dyDescent="0.25">
      <c r="A6" s="159" t="str">
        <f>DATA_PERIOD</f>
        <v>DATA: __X__ BASE PERIOD   ____FORECASTED PERIOD</v>
      </c>
      <c r="V6" s="82" t="s">
        <v>179</v>
      </c>
      <c r="W6" s="82"/>
      <c r="Z6" s="237"/>
    </row>
    <row r="7" spans="1:26" x14ac:dyDescent="0.25">
      <c r="A7" s="159" t="str">
        <f>TYPE</f>
        <v>TYPE OF FILING: _X_ ORIGINAL   ___UPDATED  ___ REVISED</v>
      </c>
      <c r="V7" s="81" t="s">
        <v>749</v>
      </c>
      <c r="W7" s="82"/>
      <c r="Z7" s="237"/>
    </row>
    <row r="8" spans="1:26" x14ac:dyDescent="0.25">
      <c r="A8" s="82" t="s">
        <v>192</v>
      </c>
      <c r="V8" s="82" t="s">
        <v>3</v>
      </c>
      <c r="W8" s="82"/>
      <c r="Z8" s="237"/>
    </row>
    <row r="9" spans="1:26" x14ac:dyDescent="0.25">
      <c r="A9" s="253" t="str">
        <f>TIME</f>
        <v>6 Months Actual and 6 Months Projected</v>
      </c>
      <c r="V9" s="159" t="str">
        <f>WIT</f>
        <v>B. L. SAILERS</v>
      </c>
      <c r="W9" s="82"/>
      <c r="Z9" s="237"/>
    </row>
    <row r="10" spans="1:26" x14ac:dyDescent="0.25">
      <c r="A10" s="253" t="str">
        <f>INPUT!B5</f>
        <v>6 Months Actual Ending May 31, 2017</v>
      </c>
      <c r="V10" s="159"/>
      <c r="W10" s="82"/>
      <c r="Z10" s="237"/>
    </row>
    <row r="11" spans="1:26" x14ac:dyDescent="0.25">
      <c r="A11" s="187" t="s">
        <v>152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87"/>
      <c r="N11" s="150"/>
      <c r="O11" s="150"/>
      <c r="P11" s="150"/>
      <c r="Q11" s="150"/>
      <c r="R11" s="190"/>
      <c r="S11" s="150"/>
      <c r="T11" s="150"/>
      <c r="U11" s="150"/>
      <c r="V11" s="150"/>
      <c r="W11" s="187"/>
      <c r="X11" s="190"/>
      <c r="Z11" s="237"/>
    </row>
    <row r="12" spans="1:26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5"/>
      <c r="S12" s="254"/>
      <c r="T12" s="254"/>
      <c r="U12" s="254"/>
      <c r="V12" s="254"/>
      <c r="W12" s="254"/>
      <c r="X12" s="255"/>
      <c r="Z12" s="237"/>
    </row>
    <row r="13" spans="1:26" ht="18" customHeight="1" x14ac:dyDescent="0.25">
      <c r="L13" s="83" t="s">
        <v>8</v>
      </c>
      <c r="M13" s="83"/>
      <c r="N13" s="83" t="s">
        <v>7</v>
      </c>
      <c r="O13" s="83"/>
      <c r="P13" s="83" t="s">
        <v>9</v>
      </c>
      <c r="Q13" s="83"/>
      <c r="R13" s="195" t="s">
        <v>10</v>
      </c>
      <c r="S13" s="83"/>
      <c r="V13" s="83" t="s">
        <v>8</v>
      </c>
      <c r="W13" s="83"/>
      <c r="X13" s="195" t="s">
        <v>11</v>
      </c>
      <c r="Z13" s="237"/>
    </row>
    <row r="14" spans="1:26" x14ac:dyDescent="0.25">
      <c r="J14" s="83" t="s">
        <v>14</v>
      </c>
      <c r="K14" s="83"/>
      <c r="L14" s="83" t="s">
        <v>12</v>
      </c>
      <c r="M14" s="83"/>
      <c r="N14" s="83" t="s">
        <v>13</v>
      </c>
      <c r="O14" s="83"/>
      <c r="P14" s="83" t="s">
        <v>15</v>
      </c>
      <c r="Q14" s="83"/>
      <c r="R14" s="195" t="s">
        <v>16</v>
      </c>
      <c r="S14" s="83"/>
      <c r="V14" s="83" t="s">
        <v>11</v>
      </c>
      <c r="W14" s="83"/>
      <c r="X14" s="195" t="s">
        <v>9</v>
      </c>
      <c r="Z14" s="237"/>
    </row>
    <row r="15" spans="1:26" x14ac:dyDescent="0.25">
      <c r="A15" s="83" t="s">
        <v>17</v>
      </c>
      <c r="C15" s="83" t="s">
        <v>18</v>
      </c>
      <c r="D15" s="83" t="s">
        <v>19</v>
      </c>
      <c r="E15" s="83"/>
      <c r="F15" s="83" t="s">
        <v>20</v>
      </c>
      <c r="J15" s="83" t="s">
        <v>8</v>
      </c>
      <c r="K15" s="83"/>
      <c r="L15" s="83" t="s">
        <v>21</v>
      </c>
      <c r="M15" s="83"/>
      <c r="N15" s="83" t="s">
        <v>21</v>
      </c>
      <c r="O15" s="83"/>
      <c r="P15" s="83" t="s">
        <v>22</v>
      </c>
      <c r="Q15" s="83"/>
      <c r="R15" s="195" t="s">
        <v>22</v>
      </c>
      <c r="S15" s="83"/>
      <c r="T15" s="83" t="s">
        <v>21</v>
      </c>
      <c r="U15" s="83"/>
      <c r="V15" s="83" t="s">
        <v>9</v>
      </c>
      <c r="W15" s="83"/>
      <c r="X15" s="195" t="s">
        <v>23</v>
      </c>
      <c r="Z15" s="237"/>
    </row>
    <row r="16" spans="1:26" x14ac:dyDescent="0.25">
      <c r="A16" s="83" t="s">
        <v>24</v>
      </c>
      <c r="C16" s="83" t="s">
        <v>25</v>
      </c>
      <c r="D16" s="83" t="s">
        <v>26</v>
      </c>
      <c r="E16" s="83"/>
      <c r="F16" s="83" t="s">
        <v>57</v>
      </c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256" t="s">
        <v>31</v>
      </c>
      <c r="Q16" s="83"/>
      <c r="R16" s="257" t="s">
        <v>32</v>
      </c>
      <c r="S16" s="83"/>
      <c r="T16" s="83" t="s">
        <v>9</v>
      </c>
      <c r="U16" s="83"/>
      <c r="V16" s="256" t="s">
        <v>33</v>
      </c>
      <c r="W16" s="83"/>
      <c r="X16" s="257" t="s">
        <v>34</v>
      </c>
      <c r="Y16" s="101"/>
      <c r="Z16" s="104"/>
    </row>
    <row r="17" spans="1:26" x14ac:dyDescent="0.25"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44</v>
      </c>
      <c r="K17" s="256"/>
      <c r="L17" s="256" t="s">
        <v>45</v>
      </c>
      <c r="M17" s="256"/>
      <c r="N17" s="256" t="s">
        <v>46</v>
      </c>
      <c r="O17" s="256"/>
      <c r="P17" s="256" t="s">
        <v>47</v>
      </c>
      <c r="Q17" s="256"/>
      <c r="R17" s="257" t="s">
        <v>48</v>
      </c>
      <c r="S17" s="256"/>
      <c r="T17" s="256" t="s">
        <v>42</v>
      </c>
      <c r="U17" s="256"/>
      <c r="V17" s="256" t="s">
        <v>49</v>
      </c>
      <c r="W17" s="256"/>
      <c r="X17" s="257" t="s">
        <v>50</v>
      </c>
      <c r="Y17" s="104"/>
      <c r="Z17" s="104"/>
    </row>
    <row r="18" spans="1:26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5"/>
      <c r="S18" s="254"/>
      <c r="T18" s="254"/>
      <c r="U18" s="254"/>
      <c r="V18" s="254"/>
      <c r="W18" s="254"/>
      <c r="X18" s="255"/>
      <c r="Y18" s="104"/>
      <c r="Z18" s="104"/>
    </row>
    <row r="19" spans="1:26" ht="17.100000000000001" customHeight="1" x14ac:dyDescent="0.25">
      <c r="H19" s="259" t="s">
        <v>51</v>
      </c>
      <c r="I19" s="259"/>
      <c r="J19" s="260" t="s">
        <v>219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61" t="s">
        <v>53</v>
      </c>
      <c r="S19" s="259"/>
      <c r="T19" s="259" t="s">
        <v>52</v>
      </c>
      <c r="U19" s="259"/>
      <c r="V19" s="259" t="s">
        <v>52</v>
      </c>
      <c r="W19" s="259"/>
      <c r="X19" s="261" t="s">
        <v>53</v>
      </c>
      <c r="Y19" s="109"/>
      <c r="Z19" s="104"/>
    </row>
    <row r="20" spans="1:26" x14ac:dyDescent="0.25">
      <c r="C20" s="496" t="s">
        <v>55</v>
      </c>
      <c r="D20" s="496"/>
      <c r="H20" s="83"/>
      <c r="I20" s="83"/>
      <c r="J20" s="196"/>
      <c r="K20" s="83"/>
      <c r="L20" s="83"/>
      <c r="M20" s="83"/>
      <c r="N20" s="83"/>
      <c r="O20" s="83"/>
      <c r="P20" s="83"/>
      <c r="Q20" s="83"/>
      <c r="R20" s="195"/>
      <c r="S20" s="83"/>
      <c r="T20" s="83"/>
      <c r="U20" s="83"/>
      <c r="V20" s="83"/>
      <c r="W20" s="83"/>
      <c r="X20" s="195"/>
      <c r="Y20" s="109"/>
      <c r="Z20" s="104"/>
    </row>
    <row r="21" spans="1:26" x14ac:dyDescent="0.25">
      <c r="A21" s="83">
        <v>1</v>
      </c>
      <c r="C21" s="82" t="s">
        <v>54</v>
      </c>
      <c r="D21" s="81" t="s">
        <v>296</v>
      </c>
      <c r="E21" s="82"/>
      <c r="F21" s="167">
        <f>'Rate RS'!X83</f>
        <v>1525197</v>
      </c>
      <c r="G21" s="70"/>
      <c r="H21" s="167">
        <f>'Rate RS'!Z83</f>
        <v>1453752034</v>
      </c>
      <c r="I21" s="79"/>
      <c r="J21" s="262">
        <f>IF(H21=0,"-",ROUND((L21/H21)*100,6))</f>
        <v>8.7793069999999993</v>
      </c>
      <c r="K21" s="263"/>
      <c r="L21" s="167">
        <f>'Rate RS'!AD83</f>
        <v>127629351</v>
      </c>
      <c r="M21" s="79"/>
      <c r="N21" s="264">
        <f>ROUND((L21/L$22)*100,2)</f>
        <v>100</v>
      </c>
      <c r="O21" s="263"/>
      <c r="P21" s="167">
        <f>'Rate RS'!AH83</f>
        <v>22536436</v>
      </c>
      <c r="Q21" s="79"/>
      <c r="R21" s="155">
        <f>ROUND((P21/L21)*100,1)</f>
        <v>17.7</v>
      </c>
      <c r="S21" s="158"/>
      <c r="T21" s="167">
        <f>'Rate RS'!AL83</f>
        <v>1494457</v>
      </c>
      <c r="U21" s="79"/>
      <c r="V21" s="167">
        <f>'Rate RS'!AN83</f>
        <v>129123808</v>
      </c>
      <c r="W21" s="79"/>
      <c r="X21" s="155">
        <f>ROUND((P21/V21)*100,1)</f>
        <v>17.5</v>
      </c>
      <c r="Y21" s="109"/>
      <c r="Z21" s="104"/>
    </row>
    <row r="22" spans="1:26" ht="20.100000000000001" customHeight="1" x14ac:dyDescent="0.25">
      <c r="A22" s="83">
        <v>2</v>
      </c>
      <c r="C22" s="265" t="s">
        <v>217</v>
      </c>
      <c r="F22" s="169">
        <f>F21</f>
        <v>1525197</v>
      </c>
      <c r="G22" s="70"/>
      <c r="H22" s="169">
        <f>H21</f>
        <v>1453752034</v>
      </c>
      <c r="I22" s="79"/>
      <c r="J22" s="262">
        <f>IF(H22=0,"-",ROUND((L22/H22)*100,6))</f>
        <v>8.7793069999999993</v>
      </c>
      <c r="K22" s="263"/>
      <c r="L22" s="169">
        <f>L21</f>
        <v>127629351</v>
      </c>
      <c r="M22" s="79"/>
      <c r="N22" s="266">
        <f>ROUND((L22/L$67)*100,2)</f>
        <v>37.97</v>
      </c>
      <c r="O22" s="263"/>
      <c r="P22" s="169">
        <f>P21</f>
        <v>22536436</v>
      </c>
      <c r="Q22" s="79"/>
      <c r="R22" s="155">
        <f>ROUND((P22/L22)*100,1)</f>
        <v>17.7</v>
      </c>
      <c r="S22" s="158"/>
      <c r="T22" s="169">
        <f>T21</f>
        <v>1494457</v>
      </c>
      <c r="U22" s="79"/>
      <c r="V22" s="169">
        <f>V21</f>
        <v>129123808</v>
      </c>
      <c r="W22" s="79"/>
      <c r="X22" s="155">
        <f>ROUND((P22/V22)*100,1)</f>
        <v>17.5</v>
      </c>
      <c r="Y22" s="109"/>
      <c r="Z22" s="104"/>
    </row>
    <row r="23" spans="1:26" x14ac:dyDescent="0.25">
      <c r="A23" s="237"/>
      <c r="F23" s="79"/>
      <c r="G23" s="70"/>
      <c r="H23" s="79"/>
      <c r="I23" s="79"/>
      <c r="J23" s="262"/>
      <c r="K23" s="263"/>
      <c r="L23" s="79"/>
      <c r="M23" s="79"/>
      <c r="N23" s="162"/>
      <c r="O23" s="263"/>
      <c r="P23" s="70"/>
      <c r="Q23" s="70"/>
      <c r="R23" s="155"/>
      <c r="S23" s="158"/>
      <c r="T23" s="79"/>
      <c r="U23" s="79"/>
      <c r="V23" s="79"/>
      <c r="W23" s="79"/>
      <c r="X23" s="155"/>
      <c r="Y23" s="109"/>
      <c r="Z23" s="104"/>
    </row>
    <row r="24" spans="1:26" x14ac:dyDescent="0.25">
      <c r="A24" s="237"/>
      <c r="C24" s="495" t="s">
        <v>307</v>
      </c>
      <c r="D24" s="495"/>
      <c r="F24" s="79"/>
      <c r="G24" s="70"/>
      <c r="H24" s="79"/>
      <c r="I24" s="79"/>
      <c r="J24" s="262"/>
      <c r="K24" s="263"/>
      <c r="L24" s="79"/>
      <c r="M24" s="79"/>
      <c r="N24" s="162"/>
      <c r="O24" s="263"/>
      <c r="P24" s="70"/>
      <c r="Q24" s="70"/>
      <c r="R24" s="155"/>
      <c r="S24" s="158"/>
      <c r="T24" s="79"/>
      <c r="U24" s="79"/>
      <c r="V24" s="79"/>
      <c r="W24" s="79"/>
      <c r="X24" s="155"/>
      <c r="Y24" s="109"/>
      <c r="Z24" s="104"/>
    </row>
    <row r="25" spans="1:26" x14ac:dyDescent="0.25">
      <c r="A25" s="83">
        <v>3</v>
      </c>
      <c r="C25" s="82" t="s">
        <v>113</v>
      </c>
      <c r="D25" s="81" t="s">
        <v>297</v>
      </c>
      <c r="E25" s="82"/>
      <c r="F25" s="79">
        <f>'Rate DS'!Y111</f>
        <v>157022</v>
      </c>
      <c r="G25" s="70"/>
      <c r="H25" s="79">
        <f>'Rate DS'!AA111</f>
        <v>1115844489</v>
      </c>
      <c r="I25" s="79"/>
      <c r="J25" s="262">
        <f t="shared" ref="J25:J31" si="0">IF(H25=0,"-",ROUND((L25/H25)*100,6))</f>
        <v>8.0838420000000006</v>
      </c>
      <c r="K25" s="263"/>
      <c r="L25" s="79">
        <f>'Rate DS'!AE111</f>
        <v>90203109</v>
      </c>
      <c r="M25" s="79"/>
      <c r="N25" s="162">
        <f t="shared" ref="N25:N30" si="1">ROUND((L25/L$32)*100,2)</f>
        <v>53.35</v>
      </c>
      <c r="O25" s="263"/>
      <c r="P25" s="79">
        <f>'Rate DS'!AI111</f>
        <v>13056945</v>
      </c>
      <c r="Q25" s="79"/>
      <c r="R25" s="155">
        <f t="shared" ref="R25:R31" si="2">ROUND((P25/L25)*100,1)</f>
        <v>14.5</v>
      </c>
      <c r="S25" s="158"/>
      <c r="T25" s="79">
        <f>'Rate DS'!AM111</f>
        <v>1147088</v>
      </c>
      <c r="U25" s="79"/>
      <c r="V25" s="79">
        <f>'Rate DS'!AO111</f>
        <v>91350197</v>
      </c>
      <c r="W25" s="79"/>
      <c r="X25" s="155">
        <f t="shared" ref="X25:X31" si="3">ROUND((P25/V25)*100,1)</f>
        <v>14.3</v>
      </c>
      <c r="Y25" s="109"/>
      <c r="Z25" s="104"/>
    </row>
    <row r="26" spans="1:26" x14ac:dyDescent="0.25">
      <c r="A26" s="83">
        <v>4</v>
      </c>
      <c r="C26" s="82" t="s">
        <v>491</v>
      </c>
      <c r="D26" s="82" t="s">
        <v>63</v>
      </c>
      <c r="E26" s="82"/>
      <c r="F26" s="79">
        <f>'Rate DT-Pri'!Y137</f>
        <v>443</v>
      </c>
      <c r="G26" s="70"/>
      <c r="H26" s="79">
        <f>'Rate DT-Pri'!AA137</f>
        <v>492952443</v>
      </c>
      <c r="I26" s="79"/>
      <c r="J26" s="262">
        <f t="shared" si="0"/>
        <v>6.2525040000000001</v>
      </c>
      <c r="K26" s="263"/>
      <c r="L26" s="79">
        <f>'Rate DT-Pri'!AE137</f>
        <v>30821870</v>
      </c>
      <c r="M26" s="79"/>
      <c r="N26" s="162">
        <f t="shared" si="1"/>
        <v>18.23</v>
      </c>
      <c r="O26" s="263"/>
      <c r="P26" s="79">
        <f>'Rate DT-Pri'!AI137</f>
        <v>3985169</v>
      </c>
      <c r="Q26" s="79"/>
      <c r="R26" s="155">
        <f t="shared" si="2"/>
        <v>12.9</v>
      </c>
      <c r="S26" s="158"/>
      <c r="T26" s="79">
        <f>'Rate DT-Pri'!AM137</f>
        <v>506755</v>
      </c>
      <c r="U26" s="79"/>
      <c r="V26" s="79">
        <f>'Rate DT-Pri'!AO137</f>
        <v>31328625</v>
      </c>
      <c r="W26" s="79"/>
      <c r="X26" s="155">
        <f t="shared" si="3"/>
        <v>12.7</v>
      </c>
      <c r="Y26" s="109"/>
      <c r="Z26" s="104"/>
    </row>
    <row r="27" spans="1:26" x14ac:dyDescent="0.25">
      <c r="A27" s="83">
        <v>5</v>
      </c>
      <c r="C27" s="82" t="s">
        <v>489</v>
      </c>
      <c r="D27" s="82" t="s">
        <v>63</v>
      </c>
      <c r="E27" s="82"/>
      <c r="F27" s="79">
        <f>'Rate DT-Sec'!Y133</f>
        <v>1786</v>
      </c>
      <c r="G27" s="70"/>
      <c r="H27" s="79">
        <f>'Rate DT-Sec'!AA133</f>
        <v>683434130</v>
      </c>
      <c r="I27" s="79"/>
      <c r="J27" s="262">
        <f t="shared" si="0"/>
        <v>6.7111580000000002</v>
      </c>
      <c r="K27" s="263"/>
      <c r="L27" s="79">
        <f>'Rate DT-Sec'!AE133</f>
        <v>45866347</v>
      </c>
      <c r="M27" s="79"/>
      <c r="N27" s="162">
        <f t="shared" si="1"/>
        <v>27.13</v>
      </c>
      <c r="O27" s="263"/>
      <c r="P27" s="79">
        <f>'Rate DT-Sec'!AI133</f>
        <v>6390213</v>
      </c>
      <c r="Q27" s="79"/>
      <c r="R27" s="155">
        <f t="shared" si="2"/>
        <v>13.9</v>
      </c>
      <c r="S27" s="158"/>
      <c r="T27" s="79">
        <f>'Rate DT-Sec'!AM133</f>
        <v>702570</v>
      </c>
      <c r="U27" s="79"/>
      <c r="V27" s="79">
        <f>'Rate DT-Sec'!AO133</f>
        <v>46568917</v>
      </c>
      <c r="W27" s="79"/>
      <c r="X27" s="155">
        <f>ROUND((P27/V27)*100,1)</f>
        <v>13.7</v>
      </c>
      <c r="Y27" s="109"/>
      <c r="Z27" s="104"/>
    </row>
    <row r="28" spans="1:26" x14ac:dyDescent="0.25">
      <c r="A28" s="83">
        <v>6</v>
      </c>
      <c r="C28" s="82" t="s">
        <v>116</v>
      </c>
      <c r="D28" s="81" t="s">
        <v>299</v>
      </c>
      <c r="E28" s="82"/>
      <c r="F28" s="79">
        <f>'Rate EH'!Y95</f>
        <v>502</v>
      </c>
      <c r="G28" s="70"/>
      <c r="H28" s="79">
        <f>'Rate EH'!AA95</f>
        <v>9803357</v>
      </c>
      <c r="I28" s="79"/>
      <c r="J28" s="262">
        <f t="shared" si="0"/>
        <v>6.4326429999999997</v>
      </c>
      <c r="K28" s="263"/>
      <c r="L28" s="79">
        <f>'Rate EH'!AE95</f>
        <v>630615</v>
      </c>
      <c r="M28" s="79"/>
      <c r="N28" s="162">
        <f t="shared" si="1"/>
        <v>0.37</v>
      </c>
      <c r="O28" s="263"/>
      <c r="P28" s="79">
        <f>'Rate EH'!AI95</f>
        <v>91172</v>
      </c>
      <c r="Q28" s="79"/>
      <c r="R28" s="155">
        <f>ROUND((P28/L28)*100,1)</f>
        <v>14.5</v>
      </c>
      <c r="S28" s="158"/>
      <c r="T28" s="79">
        <f>'Rate EH'!AM95</f>
        <v>10078</v>
      </c>
      <c r="U28" s="79"/>
      <c r="V28" s="79">
        <f>'Rate EH'!AO95</f>
        <v>640693</v>
      </c>
      <c r="W28" s="79"/>
      <c r="X28" s="155">
        <f>ROUND((P28/V28)*100,1)</f>
        <v>14.2</v>
      </c>
      <c r="Y28" s="109"/>
      <c r="Z28" s="104"/>
    </row>
    <row r="29" spans="1:26" x14ac:dyDescent="0.25">
      <c r="A29" s="83">
        <v>7</v>
      </c>
      <c r="C29" s="82" t="s">
        <v>117</v>
      </c>
      <c r="D29" s="81" t="s">
        <v>298</v>
      </c>
      <c r="E29" s="82"/>
      <c r="F29" s="79">
        <f>'Rate SP GSFL'!Y107</f>
        <v>184</v>
      </c>
      <c r="G29" s="70"/>
      <c r="H29" s="79">
        <f>'Rate SP GSFL'!AA107</f>
        <v>269849</v>
      </c>
      <c r="I29" s="79"/>
      <c r="J29" s="262">
        <f t="shared" si="0"/>
        <v>10.783068</v>
      </c>
      <c r="K29" s="263"/>
      <c r="L29" s="79">
        <f>'Rate SP GSFL'!AE107</f>
        <v>29098</v>
      </c>
      <c r="M29" s="79"/>
      <c r="N29" s="162">
        <f t="shared" si="1"/>
        <v>0.02</v>
      </c>
      <c r="O29" s="263"/>
      <c r="P29" s="79">
        <f>'Rate SP GSFL'!AI107</f>
        <v>3385</v>
      </c>
      <c r="Q29" s="79"/>
      <c r="R29" s="155">
        <f>ROUND((P29/L29)*100,1)</f>
        <v>11.6</v>
      </c>
      <c r="S29" s="158"/>
      <c r="T29" s="79">
        <f>'Rate SP GSFL'!AM107</f>
        <v>277</v>
      </c>
      <c r="U29" s="79"/>
      <c r="V29" s="79">
        <f>'Rate SP GSFL'!AO107</f>
        <v>29375</v>
      </c>
      <c r="W29" s="79"/>
      <c r="X29" s="155">
        <f>ROUND((P29/V29)*100,1)</f>
        <v>11.5</v>
      </c>
      <c r="Y29" s="109"/>
      <c r="Z29" s="104"/>
    </row>
    <row r="30" spans="1:26" x14ac:dyDescent="0.25">
      <c r="A30" s="83">
        <v>8</v>
      </c>
      <c r="C30" s="82" t="s">
        <v>115</v>
      </c>
      <c r="D30" s="82" t="s">
        <v>174</v>
      </c>
      <c r="E30" s="82"/>
      <c r="F30" s="79">
        <f>'Rate SP GSFL'!Y128</f>
        <v>540</v>
      </c>
      <c r="G30" s="70"/>
      <c r="H30" s="79">
        <f>'Rate SP GSFL'!AA128</f>
        <v>6194943</v>
      </c>
      <c r="I30" s="79"/>
      <c r="J30" s="262">
        <f t="shared" si="0"/>
        <v>9.5304669999999998</v>
      </c>
      <c r="K30" s="263"/>
      <c r="L30" s="79">
        <f>'Rate SP GSFL'!AE128</f>
        <v>590407</v>
      </c>
      <c r="M30" s="79"/>
      <c r="N30" s="162">
        <f t="shared" si="1"/>
        <v>0.35</v>
      </c>
      <c r="O30" s="263"/>
      <c r="P30" s="79">
        <f>'Rate SP GSFL'!AI128</f>
        <v>85667</v>
      </c>
      <c r="Q30" s="79"/>
      <c r="R30" s="155">
        <f>ROUND((P30/L30)*100,1)</f>
        <v>14.5</v>
      </c>
      <c r="S30" s="158"/>
      <c r="T30" s="79">
        <f>'Rate SP GSFL'!AM128</f>
        <v>6368</v>
      </c>
      <c r="U30" s="79"/>
      <c r="V30" s="79">
        <f>'Rate SP GSFL'!AO128</f>
        <v>596775</v>
      </c>
      <c r="W30" s="79"/>
      <c r="X30" s="155">
        <f>ROUND((P30/V30)*100,1)</f>
        <v>14.4</v>
      </c>
      <c r="Y30" s="109"/>
      <c r="Z30" s="104"/>
    </row>
    <row r="31" spans="1:26" x14ac:dyDescent="0.25">
      <c r="A31" s="83">
        <v>9</v>
      </c>
      <c r="C31" s="82" t="s">
        <v>114</v>
      </c>
      <c r="D31" s="81" t="s">
        <v>203</v>
      </c>
      <c r="E31" s="82"/>
      <c r="F31" s="79">
        <f>'Rate DP'!Y102</f>
        <v>120</v>
      </c>
      <c r="G31" s="70"/>
      <c r="H31" s="79">
        <f>'Rate DP'!AA102</f>
        <v>13046582</v>
      </c>
      <c r="I31" s="79"/>
      <c r="J31" s="262">
        <f t="shared" si="0"/>
        <v>7.1665510000000001</v>
      </c>
      <c r="K31" s="263"/>
      <c r="L31" s="79">
        <f>'Rate DP'!AE102</f>
        <v>934990</v>
      </c>
      <c r="M31" s="79"/>
      <c r="N31" s="162">
        <f>ROUND((L31/L$32)*100,2)</f>
        <v>0.55000000000000004</v>
      </c>
      <c r="O31" s="263"/>
      <c r="P31" s="79">
        <f>'Rate DP'!AI102</f>
        <v>166558</v>
      </c>
      <c r="Q31" s="79"/>
      <c r="R31" s="155">
        <f t="shared" si="2"/>
        <v>17.8</v>
      </c>
      <c r="S31" s="158"/>
      <c r="T31" s="79">
        <f>'Rate DP'!AM102</f>
        <v>13412</v>
      </c>
      <c r="U31" s="79"/>
      <c r="V31" s="79">
        <f>'Rate DP'!AO102</f>
        <v>948402</v>
      </c>
      <c r="W31" s="79"/>
      <c r="X31" s="155">
        <f t="shared" si="3"/>
        <v>17.600000000000001</v>
      </c>
      <c r="Y31" s="109"/>
      <c r="Z31" s="104"/>
    </row>
    <row r="32" spans="1:26" ht="20.100000000000001" customHeight="1" x14ac:dyDescent="0.25">
      <c r="A32" s="104">
        <v>10</v>
      </c>
      <c r="C32" s="265" t="s">
        <v>188</v>
      </c>
      <c r="F32" s="169">
        <f>SUM(F25:F31)</f>
        <v>160597</v>
      </c>
      <c r="G32" s="70"/>
      <c r="H32" s="169">
        <f>SUM(H25:H31)</f>
        <v>2321545793</v>
      </c>
      <c r="I32" s="79"/>
      <c r="J32" s="262">
        <f>IF(H32=0,"-",ROUND((L32/H32)*100,6))</f>
        <v>7.2829249999999996</v>
      </c>
      <c r="K32" s="263"/>
      <c r="L32" s="169">
        <f>SUM(L25:L31)</f>
        <v>169076436</v>
      </c>
      <c r="M32" s="79"/>
      <c r="N32" s="266">
        <f>ROUND((L32/L$67)*100,2)+0.01</f>
        <v>50.309999999999995</v>
      </c>
      <c r="O32" s="263"/>
      <c r="P32" s="169">
        <f>SUM(P25:P31)</f>
        <v>23779109</v>
      </c>
      <c r="Q32" s="79"/>
      <c r="R32" s="155">
        <f>ROUND((P32/L32)*100,1)</f>
        <v>14.1</v>
      </c>
      <c r="S32" s="158"/>
      <c r="T32" s="169">
        <f>SUM(T25:T31)</f>
        <v>2386548</v>
      </c>
      <c r="U32" s="79"/>
      <c r="V32" s="169">
        <f>SUM(V25:V31)</f>
        <v>171462984</v>
      </c>
      <c r="W32" s="79"/>
      <c r="X32" s="155">
        <f>ROUND((P32/V32)*100,1)</f>
        <v>13.9</v>
      </c>
      <c r="Y32" s="109"/>
      <c r="Z32" s="104"/>
    </row>
    <row r="33" spans="1:26" x14ac:dyDescent="0.25">
      <c r="A33" s="237"/>
      <c r="F33" s="79"/>
      <c r="G33" s="70"/>
      <c r="H33" s="79"/>
      <c r="I33" s="79"/>
      <c r="J33" s="262"/>
      <c r="K33" s="263"/>
      <c r="L33" s="79"/>
      <c r="M33" s="79"/>
      <c r="N33" s="162"/>
      <c r="O33" s="263"/>
      <c r="P33" s="70"/>
      <c r="Q33" s="70"/>
      <c r="R33" s="155"/>
      <c r="S33" s="158"/>
      <c r="T33" s="79"/>
      <c r="U33" s="79"/>
      <c r="V33" s="79"/>
      <c r="W33" s="79"/>
      <c r="X33" s="155"/>
      <c r="Y33" s="109"/>
      <c r="Z33" s="104"/>
    </row>
    <row r="34" spans="1:26" x14ac:dyDescent="0.25">
      <c r="A34" s="237"/>
      <c r="C34" s="495" t="s">
        <v>308</v>
      </c>
      <c r="D34" s="495"/>
      <c r="F34" s="79"/>
      <c r="G34" s="70"/>
      <c r="H34" s="79"/>
      <c r="I34" s="79"/>
      <c r="J34" s="262"/>
      <c r="K34" s="263"/>
      <c r="L34" s="79"/>
      <c r="M34" s="79"/>
      <c r="N34" s="162"/>
      <c r="O34" s="263"/>
      <c r="P34" s="70"/>
      <c r="Q34" s="70"/>
      <c r="R34" s="155"/>
      <c r="S34" s="158"/>
      <c r="T34" s="79"/>
      <c r="U34" s="79"/>
      <c r="V34" s="79"/>
      <c r="W34" s="79"/>
      <c r="X34" s="155"/>
      <c r="Y34" s="109"/>
      <c r="Z34" s="104"/>
    </row>
    <row r="35" spans="1:26" x14ac:dyDescent="0.25">
      <c r="A35" s="83">
        <v>11</v>
      </c>
      <c r="C35" s="82" t="s">
        <v>62</v>
      </c>
      <c r="D35" s="82" t="s">
        <v>63</v>
      </c>
      <c r="E35" s="82"/>
      <c r="F35" s="79">
        <f>'Rate TT'!Y122</f>
        <v>156</v>
      </c>
      <c r="G35" s="70"/>
      <c r="H35" s="79">
        <f>'Rate TT'!AA122</f>
        <v>213269428</v>
      </c>
      <c r="I35" s="79"/>
      <c r="J35" s="262">
        <f t="shared" ref="J35" si="4">IF(H35=0,"-",ROUND((L35/H35)*100,6))</f>
        <v>5.7717850000000004</v>
      </c>
      <c r="K35" s="263"/>
      <c r="L35" s="79">
        <f>'Rate TT'!AE122</f>
        <v>12309452</v>
      </c>
      <c r="M35" s="79"/>
      <c r="N35" s="162">
        <f>ROUND((L35/L$36)*100,2)</f>
        <v>100</v>
      </c>
      <c r="O35" s="263"/>
      <c r="P35" s="79">
        <f>'Rate TT'!AI122</f>
        <v>1393631</v>
      </c>
      <c r="Q35" s="79"/>
      <c r="R35" s="155">
        <f>ROUND((P35/L35)*100,1)</f>
        <v>11.3</v>
      </c>
      <c r="S35" s="158"/>
      <c r="T35" s="79">
        <f>'Rate TT'!AM122</f>
        <v>219241</v>
      </c>
      <c r="U35" s="79"/>
      <c r="V35" s="79">
        <f>'Rate TT'!AO122</f>
        <v>12528693</v>
      </c>
      <c r="W35" s="79"/>
      <c r="X35" s="155">
        <f>'Rate TT'!AQ122</f>
        <v>11.1</v>
      </c>
      <c r="Y35" s="109"/>
      <c r="Z35" s="104"/>
    </row>
    <row r="36" spans="1:26" ht="20.100000000000001" customHeight="1" x14ac:dyDescent="0.25">
      <c r="A36" s="83">
        <v>12</v>
      </c>
      <c r="C36" s="265" t="s">
        <v>189</v>
      </c>
      <c r="F36" s="169">
        <f>F35</f>
        <v>156</v>
      </c>
      <c r="G36" s="70"/>
      <c r="H36" s="169">
        <f>H35</f>
        <v>213269428</v>
      </c>
      <c r="I36" s="79"/>
      <c r="J36" s="262">
        <f>IF(H36=0,"-",ROUND((L36/H36)*100,6))</f>
        <v>5.7717850000000004</v>
      </c>
      <c r="K36" s="263"/>
      <c r="L36" s="169">
        <f>L35</f>
        <v>12309452</v>
      </c>
      <c r="M36" s="79"/>
      <c r="N36" s="266">
        <f>ROUND((L36/L$67)*100,2)</f>
        <v>3.66</v>
      </c>
      <c r="O36" s="263"/>
      <c r="P36" s="169">
        <f>P35</f>
        <v>1393631</v>
      </c>
      <c r="Q36" s="79"/>
      <c r="R36" s="155">
        <f>ROUND((P36/L36)*100,1)</f>
        <v>11.3</v>
      </c>
      <c r="S36" s="158"/>
      <c r="T36" s="169">
        <f>T35</f>
        <v>219241</v>
      </c>
      <c r="U36" s="79"/>
      <c r="V36" s="169">
        <f>V35</f>
        <v>12528693</v>
      </c>
      <c r="W36" s="79"/>
      <c r="X36" s="155">
        <f>ROUND((P36/V36)*100,1)</f>
        <v>11.1</v>
      </c>
      <c r="Y36" s="109"/>
      <c r="Z36" s="104"/>
    </row>
    <row r="37" spans="1:26" x14ac:dyDescent="0.25">
      <c r="A37" s="237"/>
      <c r="F37" s="79"/>
      <c r="G37" s="70"/>
      <c r="H37" s="79"/>
      <c r="I37" s="79"/>
      <c r="J37" s="262"/>
      <c r="K37" s="263"/>
      <c r="L37" s="79"/>
      <c r="M37" s="79"/>
      <c r="N37" s="162"/>
      <c r="O37" s="263"/>
      <c r="P37" s="70"/>
      <c r="Q37" s="70"/>
      <c r="R37" s="155"/>
      <c r="S37" s="158"/>
      <c r="T37" s="79"/>
      <c r="U37" s="79"/>
      <c r="V37" s="79"/>
      <c r="W37" s="79"/>
      <c r="X37" s="155"/>
      <c r="Y37" s="109"/>
      <c r="Z37" s="104"/>
    </row>
    <row r="38" spans="1:26" x14ac:dyDescent="0.25">
      <c r="A38" s="237"/>
      <c r="C38" s="495" t="s">
        <v>311</v>
      </c>
      <c r="D38" s="495"/>
      <c r="F38" s="79"/>
      <c r="G38" s="70"/>
      <c r="H38" s="79"/>
      <c r="I38" s="79"/>
      <c r="J38" s="262"/>
      <c r="K38" s="263"/>
      <c r="L38" s="79"/>
      <c r="M38" s="79"/>
      <c r="N38" s="162"/>
      <c r="O38" s="263"/>
      <c r="P38" s="70"/>
      <c r="Q38" s="70"/>
      <c r="R38" s="155"/>
      <c r="S38" s="158"/>
      <c r="T38" s="79"/>
      <c r="U38" s="79"/>
      <c r="V38" s="79"/>
      <c r="W38" s="79"/>
      <c r="X38" s="155"/>
      <c r="Y38" s="109"/>
      <c r="Z38" s="104"/>
    </row>
    <row r="39" spans="1:26" x14ac:dyDescent="0.25">
      <c r="A39" s="237">
        <v>13</v>
      </c>
      <c r="C39" s="80" t="s">
        <v>478</v>
      </c>
      <c r="D39" s="80" t="s">
        <v>311</v>
      </c>
      <c r="F39" s="79">
        <f>'Rate DT RTP-P'!Y84</f>
        <v>0</v>
      </c>
      <c r="G39" s="70"/>
      <c r="H39" s="79">
        <f>'Rate DT RTP-P'!AA84</f>
        <v>0</v>
      </c>
      <c r="I39" s="79"/>
      <c r="J39" s="262" t="str">
        <f t="shared" ref="J39:J42" si="5">IF(H39=0,"-",ROUND((L39/H39)*100,6))</f>
        <v>-</v>
      </c>
      <c r="K39" s="263"/>
      <c r="L39" s="79">
        <f>'Rate DT RTP-P'!AE84</f>
        <v>0</v>
      </c>
      <c r="M39" s="79"/>
      <c r="N39" s="162">
        <f>IFERROR(ROUND((L39/L$43)*100,2),0)</f>
        <v>0</v>
      </c>
      <c r="O39" s="263"/>
      <c r="P39" s="161">
        <f>'Rate DT RTP-P'!AI84</f>
        <v>0</v>
      </c>
      <c r="Q39" s="70"/>
      <c r="R39" s="155">
        <f>IFERROR(ROUND((P39/L39)*100,1),0)</f>
        <v>0</v>
      </c>
      <c r="S39" s="158"/>
      <c r="T39" s="79">
        <f>'Rate DT RTP-P'!AM84</f>
        <v>0</v>
      </c>
      <c r="U39" s="79"/>
      <c r="V39" s="79">
        <f>'Rate DT RTP-P'!AO84</f>
        <v>0</v>
      </c>
      <c r="W39" s="79"/>
      <c r="X39" s="155">
        <f>IFERROR(ROUND((P39/V39)*100,1),0)</f>
        <v>0</v>
      </c>
      <c r="Y39" s="109"/>
      <c r="Z39" s="104"/>
    </row>
    <row r="40" spans="1:26" x14ac:dyDescent="0.25">
      <c r="A40" s="237">
        <v>14</v>
      </c>
      <c r="C40" s="80" t="s">
        <v>479</v>
      </c>
      <c r="D40" s="80" t="s">
        <v>311</v>
      </c>
      <c r="F40" s="79">
        <f>'Rate DT RTP-S'!Y89</f>
        <v>24</v>
      </c>
      <c r="G40" s="70"/>
      <c r="H40" s="79">
        <f>'Rate DT RTP-S'!AA89</f>
        <v>4131069</v>
      </c>
      <c r="I40" s="79"/>
      <c r="J40" s="262">
        <f t="shared" si="5"/>
        <v>3.4276119999999999</v>
      </c>
      <c r="K40" s="263"/>
      <c r="L40" s="79">
        <f>'Rate DT RTP-S'!AE89</f>
        <v>141597</v>
      </c>
      <c r="M40" s="79"/>
      <c r="N40" s="162">
        <f>ROUND((L40/L$43)*100,2)</f>
        <v>24.34</v>
      </c>
      <c r="O40" s="263"/>
      <c r="P40" s="161">
        <f>'Rate DT RTP-S'!AI89</f>
        <v>35523</v>
      </c>
      <c r="Q40" s="70"/>
      <c r="R40" s="155">
        <f>ROUND((P40/L40)*100,1)</f>
        <v>25.1</v>
      </c>
      <c r="S40" s="158"/>
      <c r="T40" s="79">
        <f>'Rate DT RTP-S'!AM89</f>
        <v>0</v>
      </c>
      <c r="U40" s="79"/>
      <c r="V40" s="79">
        <f>'Rate DT RTP-S'!AO89</f>
        <v>141597</v>
      </c>
      <c r="W40" s="79"/>
      <c r="X40" s="155">
        <f>ROUND((P40/V40)*100,1)</f>
        <v>25.1</v>
      </c>
      <c r="Y40" s="109"/>
      <c r="Z40" s="104"/>
    </row>
    <row r="41" spans="1:26" x14ac:dyDescent="0.25">
      <c r="A41" s="237">
        <v>15</v>
      </c>
      <c r="C41" s="80" t="s">
        <v>341</v>
      </c>
      <c r="D41" s="80" t="s">
        <v>311</v>
      </c>
      <c r="F41" s="79">
        <f>'Rate DS RTP'!Y89</f>
        <v>36</v>
      </c>
      <c r="G41" s="70"/>
      <c r="H41" s="79">
        <f>'Rate DS RTP'!AA89</f>
        <v>299922</v>
      </c>
      <c r="I41" s="79"/>
      <c r="J41" s="262">
        <f t="shared" si="5"/>
        <v>8.6425800000000006</v>
      </c>
      <c r="K41" s="263"/>
      <c r="L41" s="79">
        <f>'Rate DS RTP'!AE89</f>
        <v>25921</v>
      </c>
      <c r="M41" s="79"/>
      <c r="N41" s="162">
        <f>ROUND((L41/L$43)*100,2)</f>
        <v>4.46</v>
      </c>
      <c r="O41" s="263"/>
      <c r="P41" s="161">
        <f>'Rate DS RTP'!AI89</f>
        <v>2579</v>
      </c>
      <c r="Q41" s="70"/>
      <c r="R41" s="155">
        <f>ROUND((P41/L41)*100,1)</f>
        <v>9.9</v>
      </c>
      <c r="S41" s="158"/>
      <c r="T41" s="79">
        <f>'Rate DS RTP'!AM89</f>
        <v>0</v>
      </c>
      <c r="U41" s="79"/>
      <c r="V41" s="79">
        <f>'Rate DS RTP'!AO89</f>
        <v>25921</v>
      </c>
      <c r="W41" s="79"/>
      <c r="X41" s="155">
        <f>ROUND((P41/V41)*100,1)</f>
        <v>9.9</v>
      </c>
      <c r="Y41" s="109"/>
      <c r="Z41" s="104"/>
    </row>
    <row r="42" spans="1:26" x14ac:dyDescent="0.25">
      <c r="A42" s="237">
        <v>16</v>
      </c>
      <c r="C42" s="80" t="s">
        <v>342</v>
      </c>
      <c r="D42" s="80" t="s">
        <v>311</v>
      </c>
      <c r="F42" s="167">
        <f>'Rate TT RTP'!Y89</f>
        <v>24</v>
      </c>
      <c r="G42" s="70"/>
      <c r="H42" s="167">
        <f>'Rate TT RTP'!AA89</f>
        <v>12915280</v>
      </c>
      <c r="I42" s="79"/>
      <c r="J42" s="262">
        <f t="shared" si="5"/>
        <v>3.206404</v>
      </c>
      <c r="K42" s="263"/>
      <c r="L42" s="167">
        <f>'Rate TT RTP'!AE89</f>
        <v>414116</v>
      </c>
      <c r="M42" s="79"/>
      <c r="N42" s="162">
        <f>ROUND((L42/L$43)*100,2)</f>
        <v>71.2</v>
      </c>
      <c r="O42" s="263"/>
      <c r="P42" s="203">
        <f>'Rate TT RTP'!AI89</f>
        <v>48342</v>
      </c>
      <c r="Q42" s="70"/>
      <c r="R42" s="155">
        <f>ROUND((P42/L42)*100,1)</f>
        <v>11.7</v>
      </c>
      <c r="S42" s="158"/>
      <c r="T42" s="167">
        <f>'Rate TT RTP'!AM89</f>
        <v>0</v>
      </c>
      <c r="U42" s="79"/>
      <c r="V42" s="167">
        <f>'Rate TT RTP'!AO89</f>
        <v>414116</v>
      </c>
      <c r="W42" s="79"/>
      <c r="X42" s="155">
        <f>ROUND((P42/V42)*100,1)</f>
        <v>11.7</v>
      </c>
      <c r="Y42" s="109"/>
      <c r="Z42" s="104"/>
    </row>
    <row r="43" spans="1:26" ht="20.100000000000001" customHeight="1" x14ac:dyDescent="0.25">
      <c r="A43" s="237">
        <v>17</v>
      </c>
      <c r="C43" s="265" t="s">
        <v>343</v>
      </c>
      <c r="F43" s="169">
        <f>SUM(F39:F42)</f>
        <v>84</v>
      </c>
      <c r="G43" s="70"/>
      <c r="H43" s="169">
        <f>SUM(H39:H42)</f>
        <v>17346271</v>
      </c>
      <c r="I43" s="79"/>
      <c r="J43" s="262">
        <f>IF(H43=0,"-",ROUND((L43/H43)*100,6))</f>
        <v>3.353078</v>
      </c>
      <c r="K43" s="263"/>
      <c r="L43" s="169">
        <f>SUM(L39:L42)</f>
        <v>581634</v>
      </c>
      <c r="M43" s="79"/>
      <c r="N43" s="266">
        <f>ROUND((L43/L$67)*100,2)</f>
        <v>0.17</v>
      </c>
      <c r="O43" s="263"/>
      <c r="P43" s="169">
        <f>SUM(P39:P42)</f>
        <v>86444</v>
      </c>
      <c r="Q43" s="70"/>
      <c r="R43" s="155">
        <f>ROUND((P43/L43)*100,1)</f>
        <v>14.9</v>
      </c>
      <c r="S43" s="158"/>
      <c r="T43" s="169">
        <f>SUM(T39:T42)</f>
        <v>0</v>
      </c>
      <c r="U43" s="79"/>
      <c r="V43" s="169">
        <f>SUM(V39:V42)</f>
        <v>581634</v>
      </c>
      <c r="W43" s="79"/>
      <c r="X43" s="155">
        <f>ROUND((P43/V43)*100,1)</f>
        <v>14.9</v>
      </c>
      <c r="Y43" s="109"/>
      <c r="Z43" s="104"/>
    </row>
    <row r="44" spans="1:26" x14ac:dyDescent="0.25">
      <c r="A44" s="237"/>
      <c r="F44" s="79"/>
      <c r="G44" s="70"/>
      <c r="H44" s="79"/>
      <c r="I44" s="79"/>
      <c r="J44" s="262"/>
      <c r="K44" s="263"/>
      <c r="L44" s="79"/>
      <c r="M44" s="79"/>
      <c r="N44" s="162"/>
      <c r="O44" s="263"/>
      <c r="P44" s="70"/>
      <c r="Q44" s="70"/>
      <c r="R44" s="155"/>
      <c r="S44" s="158"/>
      <c r="T44" s="79"/>
      <c r="U44" s="79"/>
      <c r="V44" s="79"/>
      <c r="W44" s="79"/>
      <c r="X44" s="155"/>
      <c r="Y44" s="109"/>
      <c r="Z44" s="104"/>
    </row>
    <row r="45" spans="1:26" x14ac:dyDescent="0.25">
      <c r="A45" s="237"/>
      <c r="C45" s="495" t="s">
        <v>533</v>
      </c>
      <c r="D45" s="495"/>
      <c r="F45" s="79"/>
      <c r="G45" s="70"/>
      <c r="H45" s="79"/>
      <c r="I45" s="79"/>
      <c r="J45" s="262"/>
      <c r="K45" s="263"/>
      <c r="L45" s="79"/>
      <c r="M45" s="79"/>
      <c r="N45" s="162"/>
      <c r="O45" s="263"/>
      <c r="P45" s="70"/>
      <c r="Q45" s="70"/>
      <c r="R45" s="155"/>
      <c r="S45" s="158"/>
      <c r="T45" s="79"/>
      <c r="U45" s="79"/>
      <c r="V45" s="79"/>
      <c r="W45" s="79"/>
      <c r="X45" s="155"/>
      <c r="Y45" s="109"/>
      <c r="Z45" s="104"/>
    </row>
    <row r="46" spans="1:26" x14ac:dyDescent="0.25">
      <c r="A46" s="83">
        <v>18</v>
      </c>
      <c r="C46" s="82" t="s">
        <v>81</v>
      </c>
      <c r="D46" s="81" t="s">
        <v>82</v>
      </c>
      <c r="E46" s="82"/>
      <c r="F46" s="79">
        <f>'Rate SL'!Y433</f>
        <v>138477</v>
      </c>
      <c r="G46" s="70"/>
      <c r="H46" s="79">
        <f>'Rate SL'!AA433</f>
        <v>10839811</v>
      </c>
      <c r="I46" s="79"/>
      <c r="J46" s="262">
        <f t="shared" ref="J46:J53" si="6">IF(H46=0,"-",ROUND((L46/H46)*100,6))</f>
        <v>12.323176</v>
      </c>
      <c r="K46" s="263"/>
      <c r="L46" s="79">
        <f>'Rate SL'!AE433</f>
        <v>1335809</v>
      </c>
      <c r="M46" s="79"/>
      <c r="N46" s="162">
        <f>ROUND((L46/L$54)*100,2)</f>
        <v>71.23</v>
      </c>
      <c r="O46" s="263"/>
      <c r="P46" s="79">
        <f>'Rate SL'!AI433</f>
        <v>159846</v>
      </c>
      <c r="Q46" s="79"/>
      <c r="R46" s="155">
        <f t="shared" ref="R46:R54" si="7">ROUND((P46/L46)*100,1)</f>
        <v>12</v>
      </c>
      <c r="S46" s="158"/>
      <c r="T46" s="79">
        <f>'Rate SL'!AM433</f>
        <v>11143</v>
      </c>
      <c r="U46" s="79"/>
      <c r="V46" s="79">
        <f>'Rate SL'!AO433</f>
        <v>1346952</v>
      </c>
      <c r="W46" s="79"/>
      <c r="X46" s="155">
        <f t="shared" ref="X46:X54" si="8">ROUND((P46/V46)*100,1)</f>
        <v>11.9</v>
      </c>
      <c r="Y46" s="109"/>
      <c r="Z46" s="104"/>
    </row>
    <row r="47" spans="1:26" x14ac:dyDescent="0.25">
      <c r="A47" s="83">
        <v>19</v>
      </c>
      <c r="C47" s="82" t="s">
        <v>85</v>
      </c>
      <c r="D47" s="81" t="s">
        <v>86</v>
      </c>
      <c r="E47" s="82"/>
      <c r="F47" s="79">
        <f>'Rate TL'!Y102</f>
        <v>94895</v>
      </c>
      <c r="G47" s="70"/>
      <c r="H47" s="79">
        <f>'Rate TL'!AA102</f>
        <v>1438465</v>
      </c>
      <c r="I47" s="79"/>
      <c r="J47" s="262">
        <f t="shared" si="6"/>
        <v>4.8718599999999999</v>
      </c>
      <c r="K47" s="263"/>
      <c r="L47" s="79">
        <f>'Rate TL'!AE102</f>
        <v>70080</v>
      </c>
      <c r="M47" s="79"/>
      <c r="N47" s="162">
        <f t="shared" ref="N47:N53" si="9">ROUND((L47/L$54)*100,2)</f>
        <v>3.74</v>
      </c>
      <c r="O47" s="263"/>
      <c r="P47" s="79">
        <f>'Rate TL'!AI102</f>
        <v>8406</v>
      </c>
      <c r="Q47" s="79"/>
      <c r="R47" s="155">
        <f t="shared" si="7"/>
        <v>12</v>
      </c>
      <c r="S47" s="158"/>
      <c r="T47" s="79">
        <f>'Rate TL'!AM102</f>
        <v>1479</v>
      </c>
      <c r="U47" s="79"/>
      <c r="V47" s="79">
        <f>'Rate TL'!AO102</f>
        <v>71559</v>
      </c>
      <c r="W47" s="79"/>
      <c r="X47" s="155">
        <f t="shared" si="8"/>
        <v>11.7</v>
      </c>
      <c r="Y47" s="109"/>
      <c r="Z47" s="104"/>
    </row>
    <row r="48" spans="1:26" x14ac:dyDescent="0.25">
      <c r="A48" s="83">
        <v>20</v>
      </c>
      <c r="C48" s="82" t="s">
        <v>293</v>
      </c>
      <c r="D48" s="81" t="s">
        <v>300</v>
      </c>
      <c r="E48" s="82"/>
      <c r="F48" s="79">
        <f>'Rate UOLS'!Y67</f>
        <v>83973</v>
      </c>
      <c r="G48" s="70"/>
      <c r="H48" s="79">
        <f>'Rate UOLS'!AA67</f>
        <v>5308606</v>
      </c>
      <c r="I48" s="79"/>
      <c r="J48" s="262">
        <f t="shared" si="6"/>
        <v>3.7024970000000001</v>
      </c>
      <c r="K48" s="263"/>
      <c r="L48" s="79">
        <f>'Rate UOLS'!AE67</f>
        <v>196551</v>
      </c>
      <c r="M48" s="79"/>
      <c r="N48" s="162">
        <f t="shared" si="9"/>
        <v>10.48</v>
      </c>
      <c r="O48" s="263"/>
      <c r="P48" s="79">
        <f>'Rate UOLS'!AI67</f>
        <v>23650</v>
      </c>
      <c r="Q48" s="79"/>
      <c r="R48" s="157">
        <f>IF(L48=0,"0.0 ",ROUND((P48/L48)*100,1))</f>
        <v>12</v>
      </c>
      <c r="S48" s="158"/>
      <c r="T48" s="79">
        <f>'Rate UOLS'!AM67</f>
        <v>5457</v>
      </c>
      <c r="U48" s="79"/>
      <c r="V48" s="79">
        <f>'Rate UOLS'!AO67</f>
        <v>202008</v>
      </c>
      <c r="W48" s="79"/>
      <c r="X48" s="157">
        <f>IF(V48=0,"0.0 ",ROUND((P48/V48)*100,1))</f>
        <v>11.7</v>
      </c>
      <c r="Y48" s="109"/>
      <c r="Z48" s="104"/>
    </row>
    <row r="49" spans="1:26" x14ac:dyDescent="0.25">
      <c r="A49" s="83">
        <v>21</v>
      </c>
      <c r="C49" s="82" t="s">
        <v>94</v>
      </c>
      <c r="D49" s="81" t="s">
        <v>747</v>
      </c>
      <c r="E49" s="82"/>
      <c r="F49" s="79">
        <f>'Rate OL'!Y165</f>
        <v>1382</v>
      </c>
      <c r="G49" s="70"/>
      <c r="H49" s="79">
        <f>'Rate OL'!AA165</f>
        <v>138105</v>
      </c>
      <c r="I49" s="79"/>
      <c r="J49" s="262">
        <f t="shared" si="6"/>
        <v>12.077043</v>
      </c>
      <c r="K49" s="263"/>
      <c r="L49" s="79">
        <f>'Rate OL'!AE165</f>
        <v>16679</v>
      </c>
      <c r="M49" s="79"/>
      <c r="N49" s="162">
        <f t="shared" si="9"/>
        <v>0.89</v>
      </c>
      <c r="O49" s="263"/>
      <c r="P49" s="79">
        <f>'Rate OL'!AI165</f>
        <v>1989</v>
      </c>
      <c r="Q49" s="79"/>
      <c r="R49" s="157">
        <f>IF(L49=0,"0.0 ",ROUND((P49/L49)*100,1))</f>
        <v>11.9</v>
      </c>
      <c r="S49" s="158"/>
      <c r="T49" s="79">
        <f>'Rate OL'!AM165</f>
        <v>142</v>
      </c>
      <c r="U49" s="79"/>
      <c r="V49" s="79">
        <f>'Rate OL'!AO165</f>
        <v>16821</v>
      </c>
      <c r="W49" s="79"/>
      <c r="X49" s="157">
        <f>IF(V49=0,"0.0 ",ROUND((P49/V49)*100,1))</f>
        <v>11.8</v>
      </c>
      <c r="Y49" s="109"/>
      <c r="Z49" s="104"/>
    </row>
    <row r="50" spans="1:26" x14ac:dyDescent="0.25">
      <c r="A50" s="83">
        <v>22</v>
      </c>
      <c r="C50" s="82" t="s">
        <v>96</v>
      </c>
      <c r="D50" s="81" t="s">
        <v>301</v>
      </c>
      <c r="E50" s="82"/>
      <c r="F50" s="79">
        <f>'Rate NSU'!Y99</f>
        <v>8364</v>
      </c>
      <c r="G50" s="70"/>
      <c r="H50" s="79">
        <f>'Rate NSU'!AA99</f>
        <v>405021</v>
      </c>
      <c r="I50" s="79"/>
      <c r="J50" s="262">
        <f t="shared" si="6"/>
        <v>15.206866</v>
      </c>
      <c r="K50" s="263"/>
      <c r="L50" s="79">
        <f>'Rate NSU'!AE99</f>
        <v>61591</v>
      </c>
      <c r="M50" s="79"/>
      <c r="N50" s="162">
        <f t="shared" si="9"/>
        <v>3.28</v>
      </c>
      <c r="O50" s="263"/>
      <c r="P50" s="79">
        <f>'Rate NSU'!AI99</f>
        <v>7352</v>
      </c>
      <c r="Q50" s="79"/>
      <c r="R50" s="155">
        <f t="shared" si="7"/>
        <v>11.9</v>
      </c>
      <c r="S50" s="158"/>
      <c r="T50" s="79">
        <f>'Rate NSU'!AM99</f>
        <v>416</v>
      </c>
      <c r="U50" s="79"/>
      <c r="V50" s="79">
        <f>'Rate NSU'!AO99</f>
        <v>62007</v>
      </c>
      <c r="W50" s="79"/>
      <c r="X50" s="155">
        <f t="shared" si="8"/>
        <v>11.9</v>
      </c>
      <c r="Y50" s="109"/>
      <c r="Z50" s="104"/>
    </row>
    <row r="51" spans="1:26" x14ac:dyDescent="0.25">
      <c r="A51" s="83">
        <v>23</v>
      </c>
      <c r="C51" s="82" t="s">
        <v>101</v>
      </c>
      <c r="D51" s="82" t="s">
        <v>748</v>
      </c>
      <c r="E51" s="82"/>
      <c r="F51" s="79">
        <f>'Rate NSP'!Y123</f>
        <v>137</v>
      </c>
      <c r="G51" s="70"/>
      <c r="H51" s="79">
        <f>'Rate NSP'!AA123</f>
        <v>7610</v>
      </c>
      <c r="I51" s="79"/>
      <c r="J51" s="262">
        <f t="shared" si="6"/>
        <v>19.027595000000002</v>
      </c>
      <c r="K51" s="263"/>
      <c r="L51" s="79">
        <f>'Rate NSP'!AE123</f>
        <v>1448</v>
      </c>
      <c r="M51" s="79"/>
      <c r="N51" s="162">
        <f t="shared" si="9"/>
        <v>0.08</v>
      </c>
      <c r="O51" s="263"/>
      <c r="P51" s="79">
        <f>'Rate NSP'!AI123</f>
        <v>174</v>
      </c>
      <c r="Q51" s="79"/>
      <c r="R51" s="157">
        <f>IF(L51=0,"0.0 ",ROUND((P51/L51)*100,1))</f>
        <v>12</v>
      </c>
      <c r="S51" s="158"/>
      <c r="T51" s="79">
        <f>'Rate NSP'!AM123</f>
        <v>8</v>
      </c>
      <c r="U51" s="79"/>
      <c r="V51" s="79">
        <f>'Rate NSP'!AO123</f>
        <v>1456</v>
      </c>
      <c r="W51" s="79"/>
      <c r="X51" s="157">
        <f>IF(V51=0,"0.0 ",ROUND((P51/V51)*100,1))</f>
        <v>12</v>
      </c>
      <c r="Y51" s="109"/>
      <c r="Z51" s="104"/>
    </row>
    <row r="52" spans="1:26" x14ac:dyDescent="0.25">
      <c r="A52" s="83">
        <v>24</v>
      </c>
      <c r="C52" s="82" t="s">
        <v>77</v>
      </c>
      <c r="D52" s="82" t="s">
        <v>546</v>
      </c>
      <c r="E52" s="82"/>
      <c r="F52" s="79">
        <f>'Rate SC'!Y149</f>
        <v>2064</v>
      </c>
      <c r="G52" s="79"/>
      <c r="H52" s="79">
        <f>'Rate SC'!AA149</f>
        <v>97596</v>
      </c>
      <c r="I52" s="79"/>
      <c r="J52" s="262">
        <f t="shared" si="6"/>
        <v>3.7019959999999998</v>
      </c>
      <c r="K52" s="263"/>
      <c r="L52" s="79">
        <f>'Rate SC'!AE149</f>
        <v>3613</v>
      </c>
      <c r="M52" s="79"/>
      <c r="N52" s="162">
        <f t="shared" si="9"/>
        <v>0.19</v>
      </c>
      <c r="O52" s="263"/>
      <c r="P52" s="79">
        <f>'Rate SC'!AI149</f>
        <v>435</v>
      </c>
      <c r="Q52" s="79"/>
      <c r="R52" s="155">
        <f t="shared" si="7"/>
        <v>12</v>
      </c>
      <c r="S52" s="158"/>
      <c r="T52" s="79">
        <f>'Rate SC'!AM149</f>
        <v>100</v>
      </c>
      <c r="U52" s="79"/>
      <c r="V52" s="79">
        <f>'Rate SC'!AO149</f>
        <v>3713</v>
      </c>
      <c r="W52" s="79"/>
      <c r="X52" s="155">
        <f t="shared" si="8"/>
        <v>11.7</v>
      </c>
      <c r="Y52" s="109"/>
      <c r="Z52" s="104"/>
    </row>
    <row r="53" spans="1:26" x14ac:dyDescent="0.25">
      <c r="A53" s="83">
        <v>25</v>
      </c>
      <c r="C53" s="82" t="s">
        <v>72</v>
      </c>
      <c r="D53" s="82" t="s">
        <v>547</v>
      </c>
      <c r="E53" s="82"/>
      <c r="F53" s="79">
        <f>'Rate SE'!Y112</f>
        <v>24744</v>
      </c>
      <c r="G53" s="79"/>
      <c r="H53" s="79">
        <f>'Rate SE'!AA112</f>
        <v>1476997</v>
      </c>
      <c r="I53" s="79"/>
      <c r="J53" s="262">
        <f t="shared" si="6"/>
        <v>12.832998</v>
      </c>
      <c r="K53" s="263"/>
      <c r="L53" s="79">
        <f>'Rate SE'!AE112</f>
        <v>189543</v>
      </c>
      <c r="M53" s="79"/>
      <c r="N53" s="162">
        <f t="shared" si="9"/>
        <v>10.11</v>
      </c>
      <c r="O53" s="263"/>
      <c r="P53" s="79">
        <f>'Rate SE'!AI112</f>
        <v>22650</v>
      </c>
      <c r="Q53" s="79"/>
      <c r="R53" s="155">
        <f t="shared" si="7"/>
        <v>11.9</v>
      </c>
      <c r="S53" s="158"/>
      <c r="T53" s="79">
        <f>'Rate SE'!AM112</f>
        <v>1519</v>
      </c>
      <c r="U53" s="79"/>
      <c r="V53" s="79">
        <f>'Rate SE'!AO112</f>
        <v>191062</v>
      </c>
      <c r="W53" s="79"/>
      <c r="X53" s="155">
        <f t="shared" si="8"/>
        <v>11.9</v>
      </c>
      <c r="Y53" s="109"/>
      <c r="Z53" s="104"/>
    </row>
    <row r="54" spans="1:26" ht="20.100000000000001" customHeight="1" x14ac:dyDescent="0.25">
      <c r="A54" s="83">
        <v>26</v>
      </c>
      <c r="C54" s="265" t="s">
        <v>190</v>
      </c>
      <c r="F54" s="169">
        <f>SUM(F46:F53)</f>
        <v>354036</v>
      </c>
      <c r="G54" s="70"/>
      <c r="H54" s="169">
        <f>SUM(H46:H53)</f>
        <v>19712211</v>
      </c>
      <c r="I54" s="79"/>
      <c r="J54" s="262">
        <f>IF(H54=0,"-",ROUND((L54/H54)*100,6))</f>
        <v>9.5134640000000008</v>
      </c>
      <c r="K54" s="263"/>
      <c r="L54" s="169">
        <f>SUM(L46:L53)</f>
        <v>1875314</v>
      </c>
      <c r="M54" s="79"/>
      <c r="N54" s="266">
        <f>ROUND((L54/L$67)*100,2)</f>
        <v>0.56000000000000005</v>
      </c>
      <c r="O54" s="263"/>
      <c r="P54" s="169">
        <f>SUM(P46:P53)</f>
        <v>224502</v>
      </c>
      <c r="Q54" s="79"/>
      <c r="R54" s="155">
        <f t="shared" si="7"/>
        <v>12</v>
      </c>
      <c r="S54" s="158"/>
      <c r="T54" s="169">
        <f>SUM(T46:T53)</f>
        <v>20264</v>
      </c>
      <c r="U54" s="79"/>
      <c r="V54" s="169">
        <f>SUM(V46:V53)</f>
        <v>1895578</v>
      </c>
      <c r="W54" s="79"/>
      <c r="X54" s="155">
        <f t="shared" si="8"/>
        <v>11.8</v>
      </c>
      <c r="Y54" s="109"/>
      <c r="Z54" s="104"/>
    </row>
    <row r="55" spans="1:26" x14ac:dyDescent="0.25">
      <c r="A55" s="237"/>
      <c r="F55" s="79"/>
      <c r="G55" s="70"/>
      <c r="H55" s="79"/>
      <c r="I55" s="79"/>
      <c r="J55" s="267"/>
      <c r="K55" s="268"/>
      <c r="L55" s="79"/>
      <c r="M55" s="79"/>
      <c r="N55" s="162"/>
      <c r="O55" s="79"/>
      <c r="P55" s="79"/>
      <c r="Q55" s="79"/>
      <c r="R55" s="164"/>
      <c r="S55" s="70"/>
      <c r="T55" s="79"/>
      <c r="U55" s="79"/>
      <c r="V55" s="79"/>
      <c r="W55" s="79"/>
      <c r="X55" s="155"/>
      <c r="Y55" s="109"/>
      <c r="Z55" s="104"/>
    </row>
    <row r="56" spans="1:26" x14ac:dyDescent="0.25">
      <c r="A56" s="237"/>
      <c r="C56" s="495" t="s">
        <v>534</v>
      </c>
      <c r="D56" s="495"/>
      <c r="F56" s="79"/>
      <c r="G56" s="70"/>
      <c r="H56" s="79"/>
      <c r="I56" s="79"/>
      <c r="J56" s="267"/>
      <c r="K56" s="268"/>
      <c r="L56" s="79"/>
      <c r="M56" s="79"/>
      <c r="N56" s="162"/>
      <c r="O56" s="79"/>
      <c r="P56" s="79"/>
      <c r="Q56" s="79"/>
      <c r="R56" s="164"/>
      <c r="S56" s="70"/>
      <c r="T56" s="79"/>
      <c r="U56" s="79"/>
      <c r="V56" s="79"/>
      <c r="W56" s="79"/>
      <c r="X56" s="155"/>
      <c r="Y56" s="109"/>
      <c r="Z56" s="104"/>
    </row>
    <row r="57" spans="1:26" x14ac:dyDescent="0.25">
      <c r="A57" s="83">
        <v>27</v>
      </c>
      <c r="C57" s="80" t="s">
        <v>462</v>
      </c>
      <c r="D57" s="80" t="s">
        <v>433</v>
      </c>
      <c r="E57" s="82"/>
      <c r="F57" s="109">
        <v>12</v>
      </c>
      <c r="G57" s="109"/>
      <c r="H57" s="109">
        <v>729253</v>
      </c>
      <c r="I57" s="85"/>
      <c r="J57" s="262">
        <f>IF(H57=0,"-",ROUND((L57/H57)*100,6))</f>
        <v>7.0378869999999996</v>
      </c>
      <c r="K57" s="85"/>
      <c r="L57" s="200">
        <f>V57-T57</f>
        <v>51324</v>
      </c>
      <c r="M57" s="163"/>
      <c r="N57" s="269">
        <f>ROUND((L57/L$65)*100,2)</f>
        <v>0.21</v>
      </c>
      <c r="O57" s="270"/>
      <c r="P57" s="200">
        <f>'SCH M-2.3'!L57-'SCH M-2.2'!L57</f>
        <v>0</v>
      </c>
      <c r="Q57" s="163"/>
      <c r="R57" s="197">
        <f t="shared" ref="R57:R65" si="10">ROUND((P57/L57)*100,1)</f>
        <v>0</v>
      </c>
      <c r="S57" s="199"/>
      <c r="T57" s="252">
        <f>ROUND(H57*CUR_FAC,0)</f>
        <v>750</v>
      </c>
      <c r="U57" s="271"/>
      <c r="V57" s="163">
        <v>52074</v>
      </c>
      <c r="W57" s="163"/>
      <c r="X57" s="197">
        <f t="shared" ref="X57:X65" si="11">ROUND((P57/V57)*100,1)</f>
        <v>0</v>
      </c>
      <c r="Y57" s="109"/>
      <c r="Z57" s="272"/>
    </row>
    <row r="58" spans="1:26" x14ac:dyDescent="0.25">
      <c r="A58" s="83">
        <v>28</v>
      </c>
      <c r="C58" s="82"/>
      <c r="D58" s="82" t="s">
        <v>678</v>
      </c>
      <c r="E58" s="82"/>
      <c r="F58" s="163">
        <v>0</v>
      </c>
      <c r="G58" s="85"/>
      <c r="H58" s="163">
        <v>0</v>
      </c>
      <c r="I58" s="163"/>
      <c r="J58" s="262" t="str">
        <f>IF(H58=0,"-",ROUND((L58/H58)*100,6))</f>
        <v>-</v>
      </c>
      <c r="K58" s="270"/>
      <c r="L58" s="200">
        <f>2036810+1947676</f>
        <v>3984486</v>
      </c>
      <c r="M58" s="163"/>
      <c r="N58" s="269">
        <f t="shared" ref="N58:N63" si="12">ROUND((L58/L$65)*100,2)</f>
        <v>16.170000000000002</v>
      </c>
      <c r="O58" s="270"/>
      <c r="P58" s="200">
        <f>'SCH M-2.3'!L58-'SCH M-2.2'!L58</f>
        <v>0</v>
      </c>
      <c r="Q58" s="163"/>
      <c r="R58" s="197">
        <f>IF(L58=0,0,ROUND((P58/L58)*100,1))</f>
        <v>0</v>
      </c>
      <c r="S58" s="199"/>
      <c r="T58" s="163">
        <v>0</v>
      </c>
      <c r="U58" s="163"/>
      <c r="V58" s="163">
        <f t="shared" ref="V58:V64" si="13">L58+T58</f>
        <v>3984486</v>
      </c>
      <c r="W58" s="163"/>
      <c r="X58" s="197">
        <f>IF(V58=0,0,ROUND((P58/V58)*100,1))</f>
        <v>0</v>
      </c>
      <c r="Y58" s="273"/>
      <c r="Z58" s="104"/>
    </row>
    <row r="59" spans="1:26" x14ac:dyDescent="0.25">
      <c r="A59" s="83">
        <v>29</v>
      </c>
      <c r="D59" s="81" t="s">
        <v>302</v>
      </c>
      <c r="F59" s="163">
        <v>0</v>
      </c>
      <c r="G59" s="85"/>
      <c r="H59" s="163">
        <v>0</v>
      </c>
      <c r="I59" s="163"/>
      <c r="J59" s="262" t="str">
        <f t="shared" ref="J59:J62" si="14">IF(H59=0,"-",ROUND((L59/H59)*100,6))</f>
        <v>-</v>
      </c>
      <c r="K59" s="270"/>
      <c r="L59" s="200">
        <v>23092</v>
      </c>
      <c r="M59" s="163"/>
      <c r="N59" s="269">
        <f t="shared" si="12"/>
        <v>0.09</v>
      </c>
      <c r="O59" s="270"/>
      <c r="P59" s="200">
        <f>'SCH M-2.3'!L59-'SCH M-2.2'!L59</f>
        <v>0</v>
      </c>
      <c r="Q59" s="85"/>
      <c r="R59" s="197">
        <f t="shared" si="10"/>
        <v>0</v>
      </c>
      <c r="S59" s="199"/>
      <c r="T59" s="163">
        <v>0</v>
      </c>
      <c r="U59" s="163"/>
      <c r="V59" s="163">
        <f t="shared" si="13"/>
        <v>23092</v>
      </c>
      <c r="W59" s="163"/>
      <c r="X59" s="197">
        <f t="shared" si="11"/>
        <v>0</v>
      </c>
      <c r="Y59" s="273"/>
      <c r="Z59" s="104"/>
    </row>
    <row r="60" spans="1:26" x14ac:dyDescent="0.25">
      <c r="A60" s="83">
        <v>30</v>
      </c>
      <c r="D60" s="82" t="s">
        <v>305</v>
      </c>
      <c r="F60" s="163">
        <v>0</v>
      </c>
      <c r="G60" s="85"/>
      <c r="H60" s="163">
        <v>0</v>
      </c>
      <c r="I60" s="163"/>
      <c r="J60" s="262" t="str">
        <f t="shared" si="14"/>
        <v>-</v>
      </c>
      <c r="K60" s="270"/>
      <c r="L60" s="200">
        <v>189382</v>
      </c>
      <c r="M60" s="163"/>
      <c r="N60" s="269">
        <f t="shared" si="12"/>
        <v>0.77</v>
      </c>
      <c r="O60" s="270"/>
      <c r="P60" s="200">
        <f>'SCH M-2.3'!L60-'SCH M-2.2'!L60</f>
        <v>0</v>
      </c>
      <c r="Q60" s="85"/>
      <c r="R60" s="197">
        <f t="shared" si="10"/>
        <v>0</v>
      </c>
      <c r="S60" s="199"/>
      <c r="T60" s="163">
        <v>0</v>
      </c>
      <c r="U60" s="163"/>
      <c r="V60" s="163">
        <f t="shared" si="13"/>
        <v>189382</v>
      </c>
      <c r="W60" s="163"/>
      <c r="X60" s="197">
        <f t="shared" si="11"/>
        <v>0</v>
      </c>
      <c r="Y60" s="273"/>
      <c r="Z60" s="104"/>
    </row>
    <row r="61" spans="1:26" x14ac:dyDescent="0.25">
      <c r="A61" s="83">
        <v>31</v>
      </c>
      <c r="D61" s="82" t="s">
        <v>624</v>
      </c>
      <c r="F61" s="163">
        <v>0</v>
      </c>
      <c r="G61" s="85"/>
      <c r="H61" s="163">
        <v>0</v>
      </c>
      <c r="I61" s="163"/>
      <c r="J61" s="262" t="str">
        <f t="shared" ref="J61" si="15">IF(H61=0,"-",ROUND((L61/H61)*100,6))</f>
        <v>-</v>
      </c>
      <c r="K61" s="270"/>
      <c r="L61" s="200">
        <v>117775</v>
      </c>
      <c r="M61" s="163"/>
      <c r="N61" s="269">
        <f t="shared" ref="N61" si="16">ROUND((L61/L$65)*100,2)</f>
        <v>0.48</v>
      </c>
      <c r="O61" s="270"/>
      <c r="P61" s="200">
        <f>'SCH M-2.3'!L61-'SCH M-2.2'!L61</f>
        <v>0</v>
      </c>
      <c r="Q61" s="85"/>
      <c r="R61" s="197">
        <f t="shared" ref="R61" si="17">ROUND((P61/L61)*100,1)</f>
        <v>0</v>
      </c>
      <c r="S61" s="199"/>
      <c r="T61" s="163">
        <v>0</v>
      </c>
      <c r="U61" s="163"/>
      <c r="V61" s="163">
        <f t="shared" ref="V61" si="18">L61+T61</f>
        <v>117775</v>
      </c>
      <c r="W61" s="163"/>
      <c r="X61" s="197">
        <f t="shared" ref="X61" si="19">ROUND((P61/V61)*100,1)</f>
        <v>0</v>
      </c>
      <c r="Y61" s="273"/>
      <c r="Z61" s="104"/>
    </row>
    <row r="62" spans="1:26" x14ac:dyDescent="0.25">
      <c r="A62" s="83">
        <v>32</v>
      </c>
      <c r="D62" s="82" t="s">
        <v>304</v>
      </c>
      <c r="F62" s="79">
        <v>0</v>
      </c>
      <c r="G62" s="70"/>
      <c r="H62" s="79">
        <v>0</v>
      </c>
      <c r="I62" s="79"/>
      <c r="J62" s="262" t="str">
        <f t="shared" si="14"/>
        <v>-</v>
      </c>
      <c r="K62" s="263"/>
      <c r="L62" s="200">
        <v>930344</v>
      </c>
      <c r="M62" s="79"/>
      <c r="N62" s="269">
        <f t="shared" si="12"/>
        <v>3.78</v>
      </c>
      <c r="O62" s="263"/>
      <c r="P62" s="200">
        <f>'SCH M-2.3'!L62-'SCH M-2.2'!L62</f>
        <v>0</v>
      </c>
      <c r="Q62" s="70"/>
      <c r="R62" s="197">
        <f t="shared" si="10"/>
        <v>0</v>
      </c>
      <c r="S62" s="158"/>
      <c r="T62" s="163">
        <v>0</v>
      </c>
      <c r="U62" s="163"/>
      <c r="V62" s="163">
        <f t="shared" si="13"/>
        <v>930344</v>
      </c>
      <c r="W62" s="79"/>
      <c r="X62" s="197">
        <f t="shared" si="11"/>
        <v>0</v>
      </c>
      <c r="Y62" s="273"/>
      <c r="Z62" s="104"/>
    </row>
    <row r="63" spans="1:26" x14ac:dyDescent="0.25">
      <c r="A63" s="83">
        <v>33</v>
      </c>
      <c r="C63" s="80" t="s">
        <v>436</v>
      </c>
      <c r="D63" s="82" t="s">
        <v>434</v>
      </c>
      <c r="E63" s="82"/>
      <c r="F63" s="189">
        <v>132</v>
      </c>
      <c r="H63" s="189">
        <v>138735</v>
      </c>
      <c r="I63" s="79"/>
      <c r="J63" s="274">
        <f>INPUT!D206</f>
        <v>5.5596E-2</v>
      </c>
      <c r="K63" s="263"/>
      <c r="L63" s="200">
        <f>V63-T63</f>
        <v>7570</v>
      </c>
      <c r="M63" s="78"/>
      <c r="N63" s="269">
        <f t="shared" si="12"/>
        <v>0.03</v>
      </c>
      <c r="O63" s="263"/>
      <c r="P63" s="200">
        <f>'SCH M-2.3'!L63-'SCH M-2.2'!L63</f>
        <v>0</v>
      </c>
      <c r="Q63" s="79"/>
      <c r="R63" s="155">
        <f t="shared" si="10"/>
        <v>0</v>
      </c>
      <c r="S63" s="158"/>
      <c r="T63" s="252">
        <f>ROUND(H63*CUR_FAC,0)</f>
        <v>143</v>
      </c>
      <c r="U63" s="79"/>
      <c r="V63" s="189">
        <f>ROUND(H63*J63,0)</f>
        <v>7713</v>
      </c>
      <c r="W63" s="79"/>
      <c r="X63" s="155">
        <f t="shared" si="11"/>
        <v>0</v>
      </c>
      <c r="Y63" s="109"/>
      <c r="Z63" s="104"/>
    </row>
    <row r="64" spans="1:26" x14ac:dyDescent="0.25">
      <c r="A64" s="237">
        <v>34</v>
      </c>
      <c r="D64" s="82" t="s">
        <v>119</v>
      </c>
      <c r="E64" s="82"/>
      <c r="F64" s="79">
        <v>0</v>
      </c>
      <c r="G64" s="70"/>
      <c r="H64" s="79">
        <v>0</v>
      </c>
      <c r="I64" s="79"/>
      <c r="J64" s="262" t="str">
        <f t="shared" ref="J64" si="20">IF(H64=0,"-",ROUND((L64/H64)*100,6))</f>
        <v>-</v>
      </c>
      <c r="K64" s="263"/>
      <c r="L64" s="225">
        <f>1397911+17932492</f>
        <v>19330403</v>
      </c>
      <c r="M64" s="78"/>
      <c r="N64" s="269">
        <f>ROUND((L64/L$65)*100,2)</f>
        <v>78.47</v>
      </c>
      <c r="O64" s="263"/>
      <c r="P64" s="200">
        <f>'SCH M-2.3'!L64-'SCH M-2.2'!L64</f>
        <v>0</v>
      </c>
      <c r="Q64" s="79"/>
      <c r="R64" s="155">
        <f t="shared" si="10"/>
        <v>0</v>
      </c>
      <c r="S64" s="158"/>
      <c r="T64" s="79">
        <v>0</v>
      </c>
      <c r="U64" s="79"/>
      <c r="V64" s="163">
        <f t="shared" si="13"/>
        <v>19330403</v>
      </c>
      <c r="W64" s="79"/>
      <c r="X64" s="155">
        <f t="shared" si="11"/>
        <v>0</v>
      </c>
      <c r="Y64" s="273"/>
      <c r="Z64" s="104"/>
    </row>
    <row r="65" spans="1:26" ht="20.100000000000001" customHeight="1" x14ac:dyDescent="0.25">
      <c r="A65" s="237">
        <v>35</v>
      </c>
      <c r="C65" s="253" t="s">
        <v>535</v>
      </c>
      <c r="F65" s="169">
        <f>SUM(F57:F64)</f>
        <v>144</v>
      </c>
      <c r="G65" s="70"/>
      <c r="H65" s="169">
        <f>SUM(H57:H64)</f>
        <v>867988</v>
      </c>
      <c r="I65" s="79"/>
      <c r="J65" s="262"/>
      <c r="K65" s="263"/>
      <c r="L65" s="169">
        <f>SUM(L57:L64)</f>
        <v>24634376</v>
      </c>
      <c r="M65" s="79"/>
      <c r="N65" s="266">
        <f>ROUND((L65/L$67)*100,2)</f>
        <v>7.33</v>
      </c>
      <c r="O65" s="263"/>
      <c r="P65" s="169">
        <f>SUM(P57:P64)</f>
        <v>0</v>
      </c>
      <c r="Q65" s="79"/>
      <c r="R65" s="155">
        <f t="shared" si="10"/>
        <v>0</v>
      </c>
      <c r="S65" s="158"/>
      <c r="T65" s="169">
        <f>SUM(T57:T64)</f>
        <v>893</v>
      </c>
      <c r="U65" s="79"/>
      <c r="V65" s="169">
        <f>SUM(V57:V64)</f>
        <v>24635269</v>
      </c>
      <c r="W65" s="79"/>
      <c r="X65" s="155">
        <f t="shared" si="11"/>
        <v>0</v>
      </c>
      <c r="Y65" s="109"/>
      <c r="Z65" s="104"/>
    </row>
    <row r="66" spans="1:26" x14ac:dyDescent="0.25">
      <c r="A66" s="237"/>
      <c r="F66" s="79"/>
      <c r="G66" s="70"/>
      <c r="H66" s="79"/>
      <c r="I66" s="79"/>
      <c r="J66" s="262"/>
      <c r="K66" s="263"/>
      <c r="L66" s="79"/>
      <c r="M66" s="79"/>
      <c r="N66" s="162"/>
      <c r="O66" s="263"/>
      <c r="P66" s="70"/>
      <c r="Q66" s="70"/>
      <c r="R66" s="155"/>
      <c r="S66" s="158"/>
      <c r="T66" s="79"/>
      <c r="U66" s="79"/>
      <c r="V66" s="79"/>
      <c r="W66" s="79"/>
      <c r="X66" s="155"/>
      <c r="Y66" s="109"/>
      <c r="Z66" s="104"/>
    </row>
    <row r="67" spans="1:26" ht="20.100000000000001" customHeight="1" thickBot="1" x14ac:dyDescent="0.3">
      <c r="A67" s="83">
        <v>36</v>
      </c>
      <c r="C67" s="253" t="s">
        <v>120</v>
      </c>
      <c r="F67" s="275">
        <f>F65+F54+F43+F36+F32+F22</f>
        <v>2040214</v>
      </c>
      <c r="G67" s="70"/>
      <c r="H67" s="275">
        <f>H65+H54+H43+H36+H32+H22</f>
        <v>4026493725</v>
      </c>
      <c r="I67" s="79"/>
      <c r="J67" s="262">
        <f>IF(H67=0,"-",ROUND((L67/H67)*100,6))</f>
        <v>8.3473760000000006</v>
      </c>
      <c r="K67" s="263"/>
      <c r="L67" s="275">
        <f>L65+L54+L43+L36+L32+L22</f>
        <v>336106563</v>
      </c>
      <c r="M67" s="79"/>
      <c r="N67" s="276">
        <v>100</v>
      </c>
      <c r="O67" s="263"/>
      <c r="P67" s="275">
        <f>P65+P54+P43+P36+P32+P22</f>
        <v>48020122</v>
      </c>
      <c r="Q67" s="79"/>
      <c r="R67" s="155">
        <f>ROUND((P67/L67)*100,1)</f>
        <v>14.3</v>
      </c>
      <c r="S67" s="158"/>
      <c r="T67" s="275">
        <f>T65+T54+T43+T36+T32+T22</f>
        <v>4121403</v>
      </c>
      <c r="U67" s="79"/>
      <c r="V67" s="275">
        <f>V65+V54+V43+V36+V32+V22</f>
        <v>340227966</v>
      </c>
      <c r="W67" s="79"/>
      <c r="X67" s="155">
        <f>ROUND((P67/V67)*100,1)</f>
        <v>14.1</v>
      </c>
      <c r="Y67" s="109"/>
      <c r="Z67" s="104"/>
    </row>
    <row r="68" spans="1:26" ht="16.5" thickTop="1" x14ac:dyDescent="0.25">
      <c r="F68" s="70"/>
      <c r="G68" s="70"/>
      <c r="H68" s="70"/>
      <c r="I68" s="70"/>
      <c r="J68" s="277"/>
      <c r="K68" s="70"/>
      <c r="L68" s="70"/>
      <c r="M68" s="70"/>
      <c r="N68" s="278"/>
      <c r="O68" s="70"/>
      <c r="P68" s="70"/>
      <c r="Q68" s="70"/>
      <c r="R68" s="164"/>
      <c r="S68" s="70"/>
      <c r="T68" s="70"/>
      <c r="U68" s="70"/>
      <c r="V68" s="70"/>
      <c r="W68" s="70"/>
      <c r="X68" s="164"/>
      <c r="Y68" s="109"/>
      <c r="Z68" s="104"/>
    </row>
    <row r="69" spans="1:26" x14ac:dyDescent="0.25">
      <c r="C69" s="81" t="s">
        <v>780</v>
      </c>
      <c r="J69" s="237"/>
      <c r="N69" s="182"/>
      <c r="Y69" s="109"/>
      <c r="Z69" s="104"/>
    </row>
    <row r="70" spans="1:26" x14ac:dyDescent="0.25">
      <c r="C70" s="81"/>
      <c r="J70" s="237"/>
      <c r="N70" s="182"/>
      <c r="Y70" s="109"/>
      <c r="Z70" s="104"/>
    </row>
    <row r="71" spans="1:26" x14ac:dyDescent="0.25">
      <c r="C71" s="81"/>
      <c r="J71" s="237"/>
      <c r="L71" s="229"/>
      <c r="N71" s="182"/>
      <c r="V71" s="229"/>
      <c r="Y71" s="109"/>
      <c r="Z71" s="104"/>
    </row>
    <row r="72" spans="1:26" x14ac:dyDescent="0.25">
      <c r="C72" s="81"/>
      <c r="H72" s="229"/>
      <c r="J72" s="237"/>
      <c r="N72" s="182"/>
      <c r="Y72" s="109"/>
      <c r="Z72" s="104"/>
    </row>
    <row r="73" spans="1:26" x14ac:dyDescent="0.25">
      <c r="C73" s="81"/>
      <c r="H73" s="229"/>
      <c r="J73" s="237"/>
      <c r="N73" s="182"/>
      <c r="Y73" s="109"/>
      <c r="Z73" s="104"/>
    </row>
    <row r="74" spans="1:26" x14ac:dyDescent="0.25">
      <c r="C74" s="81"/>
      <c r="J74" s="237"/>
      <c r="N74" s="182"/>
      <c r="Y74" s="109"/>
      <c r="Z74" s="104"/>
    </row>
    <row r="75" spans="1:26" x14ac:dyDescent="0.25">
      <c r="A75" s="82"/>
      <c r="J75" s="237"/>
      <c r="N75" s="182"/>
      <c r="Y75" s="109"/>
      <c r="Z75" s="104"/>
    </row>
    <row r="76" spans="1:26" x14ac:dyDescent="0.25">
      <c r="H76" s="229"/>
      <c r="Y76" s="109"/>
      <c r="Z76" s="104"/>
    </row>
    <row r="77" spans="1:26" ht="25.5" x14ac:dyDescent="0.35">
      <c r="H77" s="229"/>
      <c r="L77" s="279"/>
      <c r="Y77" s="109"/>
      <c r="Z77" s="104"/>
    </row>
    <row r="78" spans="1:26" x14ac:dyDescent="0.25">
      <c r="H78" s="280"/>
      <c r="L78" s="280"/>
      <c r="Y78" s="109"/>
      <c r="Z78" s="104"/>
    </row>
    <row r="79" spans="1:26" x14ac:dyDescent="0.25">
      <c r="L79" s="280"/>
      <c r="Y79" s="109"/>
      <c r="Z79" s="104"/>
    </row>
    <row r="80" spans="1:26" x14ac:dyDescent="0.25">
      <c r="H80" s="229"/>
      <c r="L80" s="280"/>
      <c r="Y80" s="109"/>
      <c r="Z80" s="104"/>
    </row>
    <row r="81" spans="8:26" x14ac:dyDescent="0.25">
      <c r="H81" s="229"/>
      <c r="Y81" s="109"/>
      <c r="Z81" s="104"/>
    </row>
    <row r="82" spans="8:26" x14ac:dyDescent="0.25">
      <c r="H82" s="229"/>
      <c r="L82" s="281"/>
      <c r="Y82" s="109"/>
      <c r="Z82" s="104"/>
    </row>
    <row r="83" spans="8:26" x14ac:dyDescent="0.25">
      <c r="Y83" s="109"/>
      <c r="Z83" s="104"/>
    </row>
    <row r="84" spans="8:26" x14ac:dyDescent="0.25">
      <c r="Y84" s="109"/>
      <c r="Z84" s="104"/>
    </row>
    <row r="85" spans="8:26" x14ac:dyDescent="0.25">
      <c r="Y85" s="109"/>
      <c r="Z85" s="104"/>
    </row>
    <row r="86" spans="8:26" x14ac:dyDescent="0.25">
      <c r="Y86" s="101"/>
      <c r="Z86" s="104"/>
    </row>
    <row r="87" spans="8:26" x14ac:dyDescent="0.25">
      <c r="Y87" s="101"/>
      <c r="Z87" s="104"/>
    </row>
    <row r="88" spans="8:26" x14ac:dyDescent="0.25">
      <c r="Y88" s="101"/>
      <c r="Z88" s="104"/>
    </row>
    <row r="89" spans="8:26" x14ac:dyDescent="0.25">
      <c r="Y89" s="101"/>
      <c r="Z89" s="104"/>
    </row>
    <row r="90" spans="8:26" x14ac:dyDescent="0.25">
      <c r="Y90" s="101"/>
      <c r="Z90" s="104"/>
    </row>
    <row r="91" spans="8:26" x14ac:dyDescent="0.25">
      <c r="Y91" s="101"/>
      <c r="Z91" s="104"/>
    </row>
    <row r="92" spans="8:26" x14ac:dyDescent="0.25">
      <c r="Y92" s="101"/>
      <c r="Z92" s="104"/>
    </row>
    <row r="93" spans="8:26" x14ac:dyDescent="0.25">
      <c r="Y93" s="101"/>
      <c r="Z93" s="104"/>
    </row>
    <row r="94" spans="8:26" x14ac:dyDescent="0.25">
      <c r="Y94" s="101"/>
      <c r="Z94" s="104"/>
    </row>
    <row r="95" spans="8:26" x14ac:dyDescent="0.25">
      <c r="Y95" s="101"/>
      <c r="Z95" s="104"/>
    </row>
    <row r="96" spans="8:26" x14ac:dyDescent="0.25">
      <c r="Y96" s="101"/>
      <c r="Z96" s="104"/>
    </row>
    <row r="97" spans="25:26" x14ac:dyDescent="0.25">
      <c r="Y97" s="101"/>
      <c r="Z97" s="104"/>
    </row>
    <row r="98" spans="25:26" x14ac:dyDescent="0.25">
      <c r="Y98" s="101"/>
      <c r="Z98" s="101"/>
    </row>
    <row r="99" spans="25:26" x14ac:dyDescent="0.25">
      <c r="Y99" s="101"/>
      <c r="Z99" s="101"/>
    </row>
    <row r="100" spans="25:26" x14ac:dyDescent="0.25">
      <c r="Y100" s="101"/>
      <c r="Z100" s="101"/>
    </row>
    <row r="101" spans="25:26" x14ac:dyDescent="0.25">
      <c r="Y101" s="101"/>
      <c r="Z101" s="101"/>
    </row>
    <row r="102" spans="25:26" x14ac:dyDescent="0.25">
      <c r="Y102" s="101"/>
      <c r="Z102" s="101"/>
    </row>
    <row r="103" spans="25:26" x14ac:dyDescent="0.25">
      <c r="Y103" s="101"/>
      <c r="Z103" s="101"/>
    </row>
    <row r="104" spans="25:26" x14ac:dyDescent="0.25">
      <c r="Y104" s="101"/>
      <c r="Z104" s="101"/>
    </row>
    <row r="105" spans="25:26" x14ac:dyDescent="0.25">
      <c r="Y105" s="101"/>
      <c r="Z105" s="101"/>
    </row>
    <row r="106" spans="25:26" x14ac:dyDescent="0.25">
      <c r="Y106" s="101"/>
      <c r="Z106" s="101"/>
    </row>
    <row r="107" spans="25:26" x14ac:dyDescent="0.25">
      <c r="Y107" s="101"/>
      <c r="Z107" s="101"/>
    </row>
    <row r="108" spans="25:26" x14ac:dyDescent="0.25">
      <c r="Y108" s="101"/>
      <c r="Z108" s="101"/>
    </row>
    <row r="109" spans="25:26" x14ac:dyDescent="0.25">
      <c r="Y109" s="101"/>
      <c r="Z109" s="101"/>
    </row>
    <row r="110" spans="25:26" x14ac:dyDescent="0.25">
      <c r="Y110" s="101"/>
      <c r="Z110" s="101"/>
    </row>
    <row r="111" spans="25:26" x14ac:dyDescent="0.25">
      <c r="Y111" s="101"/>
      <c r="Z111" s="101"/>
    </row>
    <row r="112" spans="25:26" x14ac:dyDescent="0.25">
      <c r="Y112" s="101"/>
      <c r="Z112" s="101"/>
    </row>
    <row r="113" spans="25:26" x14ac:dyDescent="0.25">
      <c r="Y113" s="101"/>
      <c r="Z113" s="101"/>
    </row>
    <row r="114" spans="25:26" x14ac:dyDescent="0.25">
      <c r="Y114" s="101"/>
      <c r="Z114" s="101"/>
    </row>
    <row r="115" spans="25:26" x14ac:dyDescent="0.25">
      <c r="Y115" s="101"/>
      <c r="Z115" s="101"/>
    </row>
    <row r="116" spans="25:26" x14ac:dyDescent="0.25">
      <c r="Y116" s="101"/>
      <c r="Z116" s="101"/>
    </row>
    <row r="117" spans="25:26" x14ac:dyDescent="0.25">
      <c r="Y117" s="101"/>
      <c r="Z117" s="101"/>
    </row>
    <row r="118" spans="25:26" x14ac:dyDescent="0.25">
      <c r="Y118" s="101"/>
      <c r="Z118" s="101"/>
    </row>
    <row r="119" spans="25:26" x14ac:dyDescent="0.25">
      <c r="Y119" s="101"/>
      <c r="Z119" s="101"/>
    </row>
    <row r="120" spans="25:26" x14ac:dyDescent="0.25">
      <c r="Y120" s="101"/>
      <c r="Z120" s="101"/>
    </row>
    <row r="121" spans="25:26" x14ac:dyDescent="0.25">
      <c r="Y121" s="101"/>
      <c r="Z121" s="101"/>
    </row>
    <row r="122" spans="25:26" x14ac:dyDescent="0.25">
      <c r="Y122" s="101"/>
      <c r="Z122" s="101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4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pane xSplit="5" ySplit="18" topLeftCell="G64" activePane="bottomRight" state="frozen"/>
      <selection pane="bottomRight" activeCell="L68" sqref="L68"/>
      <pageMargins left="0.5" right="0.5" top="1" bottom="0" header="0.5" footer="0.5"/>
      <printOptions horizontalCentered="1"/>
      <pageSetup scale="53" orientation="landscape" horizontalDpi="300" verticalDpi="300" r:id="rId3"/>
      <headerFooter alignWithMargins="0"/>
    </customSheetView>
    <customSheetView guid="{2431C9E5-7CC2-4B8D-99C3-962247B1DBF5}" scale="75" fitToPage="1" showRuler="0">
      <pane xSplit="5" ySplit="18" topLeftCell="F19" activePane="bottomRight" state="frozen"/>
      <selection pane="bottomRight" activeCell="L50" sqref="L50"/>
      <pageMargins left="0.5" right="0.5" top="1" bottom="0" header="0.5" footer="0.5"/>
      <printOptions horizontalCentered="1"/>
      <pageSetup scale="53" orientation="landscape" horizontalDpi="300" verticalDpi="300" r:id="rId4"/>
      <headerFooter alignWithMargins="0"/>
    </customSheetView>
    <customSheetView guid="{2EA35095-1ADC-4CC7-8C3C-B487D65FA247}" scale="75" fitToPage="1" showRuler="0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I46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selection activeCell="D33" sqref="D33"/>
      <pageMargins left="0.5" right="0.5" top="1" bottom="0" header="0.5" footer="0.5"/>
      <printOptions horizontalCentered="1"/>
      <pageSetup scale="48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 topLeftCell="G33">
      <selection activeCell="V55" sqref="V55"/>
      <pageMargins left="0.5" right="0.5" top="1" bottom="0" header="0.5" footer="0.5"/>
      <printOptions horizontalCentered="1"/>
      <pageSetup scale="54" orientation="landscape" horizontalDpi="300" verticalDpi="300" r:id="rId11"/>
      <headerFooter alignWithMargins="0"/>
    </customSheetView>
    <customSheetView guid="{F562D92E-120C-4AE9-9663-89E64D41DC53}" scale="75" fitToPage="1" topLeftCell="G16">
      <selection activeCell="T19" sqref="T19"/>
      <pageMargins left="0.5" right="0.5" top="1" bottom="0" header="0.5" footer="0.5"/>
      <printOptions horizontalCentered="1"/>
      <pageSetup scale="54" orientation="landscape" horizontalDpi="300" verticalDpi="300" r:id="rId12"/>
      <headerFooter alignWithMargins="0"/>
    </customSheetView>
  </customSheetViews>
  <mergeCells count="11">
    <mergeCell ref="C56:D56"/>
    <mergeCell ref="C20:D20"/>
    <mergeCell ref="C24:D24"/>
    <mergeCell ref="C34:D34"/>
    <mergeCell ref="C38:D38"/>
    <mergeCell ref="C45:D45"/>
    <mergeCell ref="A1:X1"/>
    <mergeCell ref="A2:X2"/>
    <mergeCell ref="A3:X3"/>
    <mergeCell ref="A4:X4"/>
    <mergeCell ref="A5:X5"/>
  </mergeCells>
  <phoneticPr fontId="9" type="noConversion"/>
  <printOptions horizontalCentered="1"/>
  <pageMargins left="0.75" right="0.75" top="1" bottom="1" header="0.5" footer="0.5"/>
  <pageSetup scale="47" orientation="landscape" horizontalDpi="300" verticalDpi="300" r:id="rId13"/>
  <headerFooter alignWithMargins="0">
    <oddHeader>&amp;C&amp;A&amp;R&amp;"Times New Roman,Bold"&amp;10KyPSC Case No. 2017-00321
STAFF-DR-01-053(B) Attachment
Page &amp;P of &amp;N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6" transitionEvaluation="1" transitionEntry="1" codeName="Sheet5"/>
  <dimension ref="A1:X98"/>
  <sheetViews>
    <sheetView tabSelected="1" view="pageLayout" topLeftCell="A16" zoomScaleNormal="75" workbookViewId="0">
      <selection activeCell="L6" sqref="L6"/>
    </sheetView>
  </sheetViews>
  <sheetFormatPr defaultColWidth="9.77734375" defaultRowHeight="15.75" x14ac:dyDescent="0.25"/>
  <cols>
    <col min="1" max="1" width="5.6640625" style="101" customWidth="1"/>
    <col min="2" max="2" width="0.33203125" style="101" customWidth="1"/>
    <col min="3" max="3" width="13.5546875" style="101" customWidth="1"/>
    <col min="4" max="4" width="32" style="101" customWidth="1"/>
    <col min="5" max="5" width="0.5546875" style="101" customWidth="1"/>
    <col min="6" max="6" width="15.5546875" style="101" customWidth="1"/>
    <col min="7" max="7" width="0.5546875" style="101" customWidth="1"/>
    <col min="8" max="8" width="19.33203125" style="101" customWidth="1"/>
    <col min="9" max="9" width="0.77734375" style="101" customWidth="1"/>
    <col min="10" max="10" width="12.109375" style="101" customWidth="1"/>
    <col min="11" max="11" width="0.44140625" style="101" customWidth="1"/>
    <col min="12" max="12" width="15.6640625" style="101" customWidth="1"/>
    <col min="13" max="13" width="0.88671875" style="101" customWidth="1"/>
    <col min="14" max="14" width="12.77734375" style="101" customWidth="1"/>
    <col min="15" max="15" width="0.6640625" style="101" customWidth="1"/>
    <col min="16" max="16" width="15.44140625" style="101" customWidth="1"/>
    <col min="17" max="17" width="0.77734375" style="101" customWidth="1"/>
    <col min="18" max="18" width="22.33203125" style="101" customWidth="1"/>
    <col min="19" max="70" width="9.77734375" style="101"/>
    <col min="71" max="71" width="20.77734375" style="101" customWidth="1"/>
    <col min="72" max="16384" width="9.77734375" style="101"/>
  </cols>
  <sheetData>
    <row r="1" spans="1:18" x14ac:dyDescent="0.25">
      <c r="A1" s="187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</row>
    <row r="2" spans="1:18" x14ac:dyDescent="0.25">
      <c r="A2" s="187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</row>
    <row r="3" spans="1:18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</row>
    <row r="4" spans="1:18" x14ac:dyDescent="0.25">
      <c r="A4" s="187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</row>
    <row r="5" spans="1:18" x14ac:dyDescent="0.25">
      <c r="A5" s="187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</row>
    <row r="6" spans="1:18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</row>
    <row r="7" spans="1:18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749</v>
      </c>
    </row>
    <row r="8" spans="1:18" x14ac:dyDescent="0.25">
      <c r="A8" s="82" t="s">
        <v>208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</row>
    <row r="9" spans="1:18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</row>
    <row r="10" spans="1:18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</row>
    <row r="11" spans="1:18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87"/>
      <c r="N11" s="150"/>
      <c r="O11" s="150"/>
      <c r="P11" s="150"/>
      <c r="Q11" s="150"/>
      <c r="R11" s="150"/>
    </row>
    <row r="12" spans="1:18" ht="12.75" customHeight="1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</row>
    <row r="13" spans="1:18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</row>
    <row r="14" spans="1:18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</row>
    <row r="15" spans="1:18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</row>
    <row r="16" spans="1:18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57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9</v>
      </c>
      <c r="Q16" s="83"/>
      <c r="R16" s="256" t="s">
        <v>30</v>
      </c>
    </row>
    <row r="17" spans="1:18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</row>
    <row r="18" spans="1:18" ht="9.75" customHeight="1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</row>
    <row r="19" spans="1:18" ht="17.100000000000001" customHeight="1" x14ac:dyDescent="0.25">
      <c r="A19" s="80"/>
      <c r="B19" s="80"/>
      <c r="C19" s="80"/>
      <c r="D19" s="80"/>
      <c r="E19" s="80"/>
      <c r="F19" s="80"/>
      <c r="G19" s="80"/>
      <c r="H19" s="259" t="s">
        <v>51</v>
      </c>
      <c r="I19" s="259"/>
      <c r="J19" s="260" t="s">
        <v>219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</row>
    <row r="20" spans="1:18" x14ac:dyDescent="0.25">
      <c r="A20" s="80"/>
      <c r="B20" s="80"/>
      <c r="C20" s="495" t="s">
        <v>55</v>
      </c>
      <c r="D20" s="495"/>
      <c r="E20" s="80"/>
      <c r="F20" s="80"/>
      <c r="G20" s="80"/>
      <c r="H20" s="83"/>
      <c r="I20" s="83"/>
      <c r="J20" s="196"/>
      <c r="K20" s="83"/>
      <c r="L20" s="83"/>
      <c r="M20" s="83"/>
      <c r="N20" s="83"/>
      <c r="O20" s="83"/>
      <c r="P20" s="83"/>
      <c r="Q20" s="83"/>
      <c r="R20" s="83"/>
    </row>
    <row r="21" spans="1:18" x14ac:dyDescent="0.25">
      <c r="A21" s="83">
        <v>1</v>
      </c>
      <c r="B21" s="80"/>
      <c r="C21" s="82" t="s">
        <v>54</v>
      </c>
      <c r="D21" s="81" t="s">
        <v>296</v>
      </c>
      <c r="E21" s="82"/>
      <c r="F21" s="79">
        <f>'Rate RS'!F40</f>
        <v>1525197</v>
      </c>
      <c r="G21" s="70"/>
      <c r="H21" s="79">
        <f>'Rate RS'!H40</f>
        <v>1453752034</v>
      </c>
      <c r="I21" s="79"/>
      <c r="J21" s="262">
        <f>IF(H21=0,"-",ROUND((L21/H21)*100,6))</f>
        <v>10.329532</v>
      </c>
      <c r="K21" s="263"/>
      <c r="L21" s="79">
        <f>'Rate RS'!L40</f>
        <v>150165787</v>
      </c>
      <c r="M21" s="79"/>
      <c r="N21" s="162">
        <f>ROUND((L21/L$22)*100,2)</f>
        <v>100</v>
      </c>
      <c r="O21" s="263"/>
      <c r="P21" s="79">
        <f>'Rate RS'!P40</f>
        <v>1494457</v>
      </c>
      <c r="Q21" s="79"/>
      <c r="R21" s="79">
        <f>'Rate RS'!R40</f>
        <v>151660244</v>
      </c>
    </row>
    <row r="22" spans="1:18" ht="20.100000000000001" customHeight="1" x14ac:dyDescent="0.25">
      <c r="A22" s="83">
        <v>2</v>
      </c>
      <c r="B22" s="80"/>
      <c r="C22" s="265" t="s">
        <v>217</v>
      </c>
      <c r="D22" s="80"/>
      <c r="E22" s="80"/>
      <c r="F22" s="169">
        <f>F21</f>
        <v>1525197</v>
      </c>
      <c r="G22" s="70"/>
      <c r="H22" s="169">
        <f>H21</f>
        <v>1453752034</v>
      </c>
      <c r="I22" s="79"/>
      <c r="J22" s="262">
        <f>IF(H22=0,"-",ROUND((L22/H22)*100,6))</f>
        <v>10.329532</v>
      </c>
      <c r="K22" s="263"/>
      <c r="L22" s="169">
        <f>L21</f>
        <v>150165787</v>
      </c>
      <c r="M22" s="79"/>
      <c r="N22" s="266">
        <f>ROUND((L22/L$67)*100,2)</f>
        <v>39.090000000000003</v>
      </c>
      <c r="O22" s="263"/>
      <c r="P22" s="169">
        <f>P21</f>
        <v>1494457</v>
      </c>
      <c r="Q22" s="79"/>
      <c r="R22" s="169">
        <f>R21</f>
        <v>151660244</v>
      </c>
    </row>
    <row r="23" spans="1:18" ht="12" customHeight="1" x14ac:dyDescent="0.25">
      <c r="A23" s="237"/>
      <c r="B23" s="80"/>
      <c r="C23" s="80"/>
      <c r="D23" s="80"/>
      <c r="E23" s="80"/>
      <c r="F23" s="79"/>
      <c r="G23" s="70"/>
      <c r="H23" s="79"/>
      <c r="I23" s="79"/>
      <c r="J23" s="262"/>
      <c r="K23" s="263"/>
      <c r="L23" s="79"/>
      <c r="M23" s="79"/>
      <c r="N23" s="162"/>
      <c r="O23" s="263"/>
      <c r="P23" s="79"/>
      <c r="Q23" s="79"/>
      <c r="R23" s="79"/>
    </row>
    <row r="24" spans="1:18" ht="15.75" customHeight="1" x14ac:dyDescent="0.25">
      <c r="A24" s="237"/>
      <c r="B24" s="80"/>
      <c r="C24" s="495" t="s">
        <v>307</v>
      </c>
      <c r="D24" s="495"/>
      <c r="E24" s="80"/>
      <c r="F24" s="79"/>
      <c r="G24" s="70"/>
      <c r="H24" s="79"/>
      <c r="I24" s="79"/>
      <c r="J24" s="262"/>
      <c r="K24" s="263"/>
      <c r="L24" s="79"/>
      <c r="M24" s="79"/>
      <c r="N24" s="162"/>
      <c r="O24" s="263"/>
      <c r="P24" s="79"/>
      <c r="Q24" s="79"/>
      <c r="R24" s="79"/>
    </row>
    <row r="25" spans="1:18" x14ac:dyDescent="0.25">
      <c r="A25" s="83">
        <v>3</v>
      </c>
      <c r="B25" s="80"/>
      <c r="C25" s="82" t="s">
        <v>113</v>
      </c>
      <c r="D25" s="81" t="s">
        <v>297</v>
      </c>
      <c r="E25" s="82"/>
      <c r="F25" s="79">
        <f>'Rate DS'!F53</f>
        <v>157022</v>
      </c>
      <c r="G25" s="70"/>
      <c r="H25" s="79">
        <f>'Rate DS'!H53</f>
        <v>1115844489</v>
      </c>
      <c r="I25" s="79"/>
      <c r="J25" s="262">
        <f t="shared" ref="J25:J32" si="0">IF(H25=0,"-",ROUND((L25/H25)*100,6))</f>
        <v>9.2539829999999998</v>
      </c>
      <c r="K25" s="263"/>
      <c r="L25" s="79">
        <f>'Rate DS'!L53</f>
        <v>103260054</v>
      </c>
      <c r="M25" s="79"/>
      <c r="N25" s="162">
        <f t="shared" ref="N25:N30" si="1">ROUND((L25/L$32)*100,2)</f>
        <v>53.54</v>
      </c>
      <c r="O25" s="263"/>
      <c r="P25" s="79">
        <f>'Rate DS'!P53</f>
        <v>1147088</v>
      </c>
      <c r="Q25" s="79"/>
      <c r="R25" s="79">
        <f>'Rate DS'!R53</f>
        <v>104407142</v>
      </c>
    </row>
    <row r="26" spans="1:18" x14ac:dyDescent="0.25">
      <c r="A26" s="83">
        <v>4</v>
      </c>
      <c r="B26" s="80"/>
      <c r="C26" s="82" t="s">
        <v>491</v>
      </c>
      <c r="D26" s="82" t="s">
        <v>63</v>
      </c>
      <c r="E26" s="82"/>
      <c r="F26" s="79">
        <f>'Rate DT-Pri'!F65</f>
        <v>443</v>
      </c>
      <c r="G26" s="70"/>
      <c r="H26" s="79">
        <f>'Rate DT-Pri'!H65</f>
        <v>492952443</v>
      </c>
      <c r="I26" s="79"/>
      <c r="J26" s="262">
        <f t="shared" si="0"/>
        <v>7.0609320000000002</v>
      </c>
      <c r="K26" s="263"/>
      <c r="L26" s="79">
        <f>'Rate DT-Pri'!L65</f>
        <v>34807039</v>
      </c>
      <c r="M26" s="79"/>
      <c r="N26" s="162">
        <f t="shared" si="1"/>
        <v>18.05</v>
      </c>
      <c r="O26" s="263"/>
      <c r="P26" s="79">
        <f>'Rate DT-Pri'!P65</f>
        <v>506755</v>
      </c>
      <c r="Q26" s="79"/>
      <c r="R26" s="79">
        <f>'Rate DT-Pri'!R65</f>
        <v>35313794</v>
      </c>
    </row>
    <row r="27" spans="1:18" x14ac:dyDescent="0.25">
      <c r="A27" s="83">
        <v>5</v>
      </c>
      <c r="B27" s="80"/>
      <c r="C27" s="82" t="s">
        <v>489</v>
      </c>
      <c r="D27" s="82" t="s">
        <v>63</v>
      </c>
      <c r="E27" s="82"/>
      <c r="F27" s="79">
        <f>'Rate DT-Sec'!F63</f>
        <v>1786</v>
      </c>
      <c r="G27" s="70"/>
      <c r="H27" s="79">
        <f>'Rate DT-Sec'!H63</f>
        <v>683434130</v>
      </c>
      <c r="I27" s="79"/>
      <c r="J27" s="262">
        <f t="shared" si="0"/>
        <v>7.6461740000000002</v>
      </c>
      <c r="K27" s="263"/>
      <c r="L27" s="79">
        <f>'Rate DT-Sec'!L63</f>
        <v>52256560</v>
      </c>
      <c r="M27" s="79"/>
      <c r="N27" s="162">
        <f t="shared" si="1"/>
        <v>27.1</v>
      </c>
      <c r="O27" s="263"/>
      <c r="P27" s="79">
        <f>'Rate DT-Sec'!P63</f>
        <v>702570</v>
      </c>
      <c r="Q27" s="79"/>
      <c r="R27" s="79">
        <f>'Rate DT-Sec'!R63</f>
        <v>52959130</v>
      </c>
    </row>
    <row r="28" spans="1:18" x14ac:dyDescent="0.25">
      <c r="A28" s="83">
        <v>6</v>
      </c>
      <c r="B28" s="80"/>
      <c r="C28" s="82" t="s">
        <v>116</v>
      </c>
      <c r="D28" s="82" t="s">
        <v>299</v>
      </c>
      <c r="E28" s="82"/>
      <c r="F28" s="79">
        <f>'Rate EH'!F45</f>
        <v>502</v>
      </c>
      <c r="G28" s="70"/>
      <c r="H28" s="79">
        <f>'Rate EH'!H45</f>
        <v>9803357</v>
      </c>
      <c r="I28" s="79"/>
      <c r="J28" s="262">
        <f t="shared" si="0"/>
        <v>7.3626509999999996</v>
      </c>
      <c r="K28" s="263"/>
      <c r="L28" s="79">
        <f>'Rate EH'!L45</f>
        <v>721787</v>
      </c>
      <c r="M28" s="79"/>
      <c r="N28" s="162">
        <f t="shared" si="1"/>
        <v>0.37</v>
      </c>
      <c r="O28" s="263"/>
      <c r="P28" s="79">
        <f>'Rate EH'!P45</f>
        <v>10078</v>
      </c>
      <c r="Q28" s="79"/>
      <c r="R28" s="79">
        <f>'Rate EH'!R45</f>
        <v>731865</v>
      </c>
    </row>
    <row r="29" spans="1:18" x14ac:dyDescent="0.25">
      <c r="A29" s="83">
        <v>7</v>
      </c>
      <c r="B29" s="152"/>
      <c r="C29" s="82" t="s">
        <v>117</v>
      </c>
      <c r="D29" s="81" t="s">
        <v>298</v>
      </c>
      <c r="E29" s="82"/>
      <c r="F29" s="79">
        <f>'Rate SP GSFL'!F40</f>
        <v>184</v>
      </c>
      <c r="G29" s="70"/>
      <c r="H29" s="79">
        <f>'Rate SP GSFL'!H40</f>
        <v>269849</v>
      </c>
      <c r="I29" s="79"/>
      <c r="J29" s="262">
        <f t="shared" si="0"/>
        <v>12.037473</v>
      </c>
      <c r="K29" s="263"/>
      <c r="L29" s="79">
        <f>'Rate SP GSFL'!L40</f>
        <v>32483</v>
      </c>
      <c r="M29" s="79"/>
      <c r="N29" s="162">
        <f t="shared" si="1"/>
        <v>0.02</v>
      </c>
      <c r="O29" s="263"/>
      <c r="P29" s="79">
        <f>'Rate SP GSFL'!P40</f>
        <v>277</v>
      </c>
      <c r="Q29" s="79"/>
      <c r="R29" s="79">
        <f>'Rate SP GSFL'!R40</f>
        <v>32760</v>
      </c>
    </row>
    <row r="30" spans="1:18" x14ac:dyDescent="0.25">
      <c r="A30" s="83">
        <v>8</v>
      </c>
      <c r="B30" s="80"/>
      <c r="C30" s="82" t="s">
        <v>115</v>
      </c>
      <c r="D30" s="82" t="s">
        <v>174</v>
      </c>
      <c r="E30" s="82"/>
      <c r="F30" s="79">
        <f>'Rate SP GSFL'!F61</f>
        <v>540</v>
      </c>
      <c r="G30" s="70"/>
      <c r="H30" s="79">
        <f>'Rate SP GSFL'!H61</f>
        <v>6194943</v>
      </c>
      <c r="I30" s="79"/>
      <c r="J30" s="262">
        <f t="shared" si="0"/>
        <v>10.913321</v>
      </c>
      <c r="K30" s="263"/>
      <c r="L30" s="79">
        <f>'Rate SP GSFL'!L61</f>
        <v>676074</v>
      </c>
      <c r="M30" s="79"/>
      <c r="N30" s="162">
        <f t="shared" si="1"/>
        <v>0.35</v>
      </c>
      <c r="O30" s="263"/>
      <c r="P30" s="79">
        <f>'Rate SP GSFL'!P61</f>
        <v>6368</v>
      </c>
      <c r="Q30" s="79"/>
      <c r="R30" s="79">
        <f>'Rate SP GSFL'!R61</f>
        <v>682442</v>
      </c>
    </row>
    <row r="31" spans="1:18" x14ac:dyDescent="0.25">
      <c r="A31" s="83">
        <v>9</v>
      </c>
      <c r="B31" s="80"/>
      <c r="C31" s="82" t="s">
        <v>114</v>
      </c>
      <c r="D31" s="81" t="s">
        <v>203</v>
      </c>
      <c r="E31" s="82"/>
      <c r="F31" s="79">
        <f>'Rate DP'!F48</f>
        <v>120</v>
      </c>
      <c r="G31" s="70"/>
      <c r="H31" s="79">
        <f>'Rate DP'!H48</f>
        <v>13046582</v>
      </c>
      <c r="I31" s="79"/>
      <c r="J31" s="262">
        <f t="shared" si="0"/>
        <v>8.4431919999999998</v>
      </c>
      <c r="K31" s="263"/>
      <c r="L31" s="79">
        <f>'Rate DP'!L48</f>
        <v>1101548</v>
      </c>
      <c r="M31" s="79"/>
      <c r="N31" s="162">
        <f>ROUND((L31/L$32)*100,2)</f>
        <v>0.56999999999999995</v>
      </c>
      <c r="O31" s="263"/>
      <c r="P31" s="79">
        <f>'Rate DP'!P48</f>
        <v>13412</v>
      </c>
      <c r="Q31" s="79"/>
      <c r="R31" s="79">
        <f>'Rate DP'!R48</f>
        <v>1114960</v>
      </c>
    </row>
    <row r="32" spans="1:18" ht="20.100000000000001" customHeight="1" x14ac:dyDescent="0.25">
      <c r="A32" s="104">
        <v>10</v>
      </c>
      <c r="B32" s="80"/>
      <c r="C32" s="265" t="s">
        <v>188</v>
      </c>
      <c r="D32" s="80"/>
      <c r="E32" s="80"/>
      <c r="F32" s="169">
        <f>SUM(F25:F31)</f>
        <v>160597</v>
      </c>
      <c r="G32" s="70"/>
      <c r="H32" s="169">
        <f>SUM(H25:H31)</f>
        <v>2321545793</v>
      </c>
      <c r="I32" s="79"/>
      <c r="J32" s="262">
        <f t="shared" si="0"/>
        <v>8.3072040000000005</v>
      </c>
      <c r="K32" s="263"/>
      <c r="L32" s="169">
        <f>SUM(L25:L31)</f>
        <v>192855545</v>
      </c>
      <c r="M32" s="79"/>
      <c r="N32" s="266">
        <f>ROUND((L32/L$67)*100,2)</f>
        <v>50.21</v>
      </c>
      <c r="O32" s="263"/>
      <c r="P32" s="169">
        <f>SUM(P25:P31)</f>
        <v>2386548</v>
      </c>
      <c r="Q32" s="79"/>
      <c r="R32" s="169">
        <f>SUM(R25:R31)</f>
        <v>195242093</v>
      </c>
    </row>
    <row r="33" spans="1:18" ht="16.5" customHeight="1" x14ac:dyDescent="0.25">
      <c r="A33" s="237"/>
      <c r="B33" s="80"/>
      <c r="C33" s="80"/>
      <c r="D33" s="80"/>
      <c r="E33" s="80"/>
      <c r="F33" s="79"/>
      <c r="G33" s="70"/>
      <c r="H33" s="79"/>
      <c r="I33" s="79"/>
      <c r="J33" s="262"/>
      <c r="K33" s="263"/>
      <c r="L33" s="79"/>
      <c r="M33" s="79"/>
      <c r="N33" s="162"/>
      <c r="O33" s="263"/>
      <c r="P33" s="79"/>
      <c r="Q33" s="79"/>
      <c r="R33" s="79"/>
    </row>
    <row r="34" spans="1:18" ht="15.75" customHeight="1" x14ac:dyDescent="0.25">
      <c r="A34" s="237"/>
      <c r="B34" s="80"/>
      <c r="C34" s="495" t="s">
        <v>308</v>
      </c>
      <c r="D34" s="495"/>
      <c r="E34" s="80"/>
      <c r="F34" s="79"/>
      <c r="G34" s="70"/>
      <c r="H34" s="79"/>
      <c r="I34" s="79"/>
      <c r="J34" s="262"/>
      <c r="K34" s="263"/>
      <c r="L34" s="79"/>
      <c r="M34" s="79"/>
      <c r="N34" s="162"/>
      <c r="O34" s="263"/>
      <c r="P34" s="79"/>
      <c r="Q34" s="79"/>
      <c r="R34" s="79"/>
    </row>
    <row r="35" spans="1:18" x14ac:dyDescent="0.25">
      <c r="A35" s="83">
        <v>11</v>
      </c>
      <c r="B35" s="80"/>
      <c r="C35" s="82" t="s">
        <v>62</v>
      </c>
      <c r="D35" s="82" t="s">
        <v>63</v>
      </c>
      <c r="E35" s="82"/>
      <c r="F35" s="167">
        <f>'Rate TT'!F57</f>
        <v>156</v>
      </c>
      <c r="G35" s="70"/>
      <c r="H35" s="167">
        <f>'Rate TT'!H57</f>
        <v>213269428</v>
      </c>
      <c r="I35" s="79"/>
      <c r="J35" s="262">
        <f t="shared" ref="J35:J36" si="2">IF(H35=0,"-",ROUND((L35/H35)*100,6))</f>
        <v>6.4252450000000003</v>
      </c>
      <c r="K35" s="263"/>
      <c r="L35" s="167">
        <f>'Rate TT'!L57</f>
        <v>13703083</v>
      </c>
      <c r="M35" s="79"/>
      <c r="N35" s="264">
        <f>ROUND((L35/L$36)*100,2)</f>
        <v>100</v>
      </c>
      <c r="O35" s="263"/>
      <c r="P35" s="167">
        <f>'Rate TT'!P57</f>
        <v>219241</v>
      </c>
      <c r="Q35" s="79"/>
      <c r="R35" s="167">
        <f>'Rate TT'!R57</f>
        <v>13922324</v>
      </c>
    </row>
    <row r="36" spans="1:18" ht="20.100000000000001" customHeight="1" x14ac:dyDescent="0.25">
      <c r="A36" s="83">
        <v>12</v>
      </c>
      <c r="B36" s="80"/>
      <c r="C36" s="265" t="s">
        <v>189</v>
      </c>
      <c r="D36" s="258"/>
      <c r="E36" s="80"/>
      <c r="F36" s="169">
        <f>F35</f>
        <v>156</v>
      </c>
      <c r="G36" s="70"/>
      <c r="H36" s="169">
        <f>H35</f>
        <v>213269428</v>
      </c>
      <c r="I36" s="79"/>
      <c r="J36" s="262">
        <f t="shared" si="2"/>
        <v>6.4252450000000003</v>
      </c>
      <c r="K36" s="263"/>
      <c r="L36" s="169">
        <f>L35</f>
        <v>13703083</v>
      </c>
      <c r="M36" s="79"/>
      <c r="N36" s="266">
        <f>ROUND((L36/L$67)*100,2)</f>
        <v>3.57</v>
      </c>
      <c r="O36" s="263"/>
      <c r="P36" s="169">
        <f>P35</f>
        <v>219241</v>
      </c>
      <c r="Q36" s="79"/>
      <c r="R36" s="169">
        <f>R35</f>
        <v>13922324</v>
      </c>
    </row>
    <row r="37" spans="1:18" ht="12" customHeight="1" x14ac:dyDescent="0.25">
      <c r="A37" s="237"/>
      <c r="B37" s="80"/>
      <c r="C37" s="80"/>
      <c r="D37" s="80"/>
      <c r="E37" s="80"/>
      <c r="F37" s="79"/>
      <c r="G37" s="70"/>
      <c r="H37" s="79"/>
      <c r="I37" s="79"/>
      <c r="J37" s="262"/>
      <c r="K37" s="263"/>
      <c r="L37" s="79"/>
      <c r="M37" s="79"/>
      <c r="N37" s="162"/>
      <c r="O37" s="263"/>
      <c r="P37" s="79"/>
      <c r="Q37" s="79"/>
      <c r="R37" s="79"/>
    </row>
    <row r="38" spans="1:18" ht="15.75" customHeight="1" x14ac:dyDescent="0.25">
      <c r="A38" s="237"/>
      <c r="B38" s="80"/>
      <c r="C38" s="495" t="s">
        <v>311</v>
      </c>
      <c r="D38" s="495"/>
      <c r="E38" s="80"/>
      <c r="F38" s="79"/>
      <c r="G38" s="70"/>
      <c r="H38" s="79"/>
      <c r="I38" s="79"/>
      <c r="J38" s="262"/>
      <c r="K38" s="263"/>
      <c r="L38" s="79"/>
      <c r="M38" s="79"/>
      <c r="N38" s="162"/>
      <c r="O38" s="263"/>
      <c r="P38" s="79"/>
      <c r="Q38" s="79"/>
      <c r="R38" s="79"/>
    </row>
    <row r="39" spans="1:18" x14ac:dyDescent="0.25">
      <c r="A39" s="237">
        <v>13</v>
      </c>
      <c r="B39" s="80"/>
      <c r="C39" s="80" t="s">
        <v>478</v>
      </c>
      <c r="D39" s="80" t="s">
        <v>311</v>
      </c>
      <c r="E39" s="80"/>
      <c r="F39" s="79">
        <f>'Rate DT RTP-P'!F39</f>
        <v>0</v>
      </c>
      <c r="G39" s="70"/>
      <c r="H39" s="79">
        <f>'Rate DT RTP-P'!H39</f>
        <v>0</v>
      </c>
      <c r="I39" s="79"/>
      <c r="J39" s="262" t="str">
        <f t="shared" ref="J39:J43" si="3">IF(H39=0,"-",ROUND((L39/H39)*100,6))</f>
        <v>-</v>
      </c>
      <c r="K39" s="263"/>
      <c r="L39" s="79">
        <f>'Rate DT RTP-P'!L39</f>
        <v>0</v>
      </c>
      <c r="M39" s="79"/>
      <c r="N39" s="269">
        <f>IFERROR(ROUND((L39/L$43)*100,2),0)</f>
        <v>0</v>
      </c>
      <c r="O39" s="263"/>
      <c r="P39" s="79">
        <f>'Rate DT RTP-P'!P39</f>
        <v>0</v>
      </c>
      <c r="Q39" s="79"/>
      <c r="R39" s="79">
        <f>'Rate DT RTP-P'!R39</f>
        <v>0</v>
      </c>
    </row>
    <row r="40" spans="1:18" x14ac:dyDescent="0.25">
      <c r="A40" s="237">
        <v>14</v>
      </c>
      <c r="B40" s="80"/>
      <c r="C40" s="80" t="s">
        <v>479</v>
      </c>
      <c r="D40" s="80" t="s">
        <v>311</v>
      </c>
      <c r="E40" s="80"/>
      <c r="F40" s="79">
        <f>'Rate DT RTP-S'!F42</f>
        <v>24</v>
      </c>
      <c r="G40" s="70"/>
      <c r="H40" s="79">
        <f>'Rate DT RTP-S'!H42</f>
        <v>4131069</v>
      </c>
      <c r="I40" s="79"/>
      <c r="J40" s="262">
        <f t="shared" si="3"/>
        <v>4.2875100000000002</v>
      </c>
      <c r="K40" s="263"/>
      <c r="L40" s="79">
        <f>'Rate DT RTP-S'!L42</f>
        <v>177120</v>
      </c>
      <c r="M40" s="79"/>
      <c r="N40" s="269">
        <f t="shared" ref="N40:N42" si="4">IFERROR(ROUND((L40/L$43)*100,2),0)</f>
        <v>26.51</v>
      </c>
      <c r="O40" s="263"/>
      <c r="P40" s="79">
        <f>'Rate DT RTP-S'!P42</f>
        <v>0</v>
      </c>
      <c r="Q40" s="79"/>
      <c r="R40" s="79">
        <f>'Rate DT RTP-S'!R42</f>
        <v>177120</v>
      </c>
    </row>
    <row r="41" spans="1:18" x14ac:dyDescent="0.25">
      <c r="A41" s="237">
        <v>15</v>
      </c>
      <c r="B41" s="80"/>
      <c r="C41" s="80" t="s">
        <v>341</v>
      </c>
      <c r="D41" s="80" t="s">
        <v>311</v>
      </c>
      <c r="E41" s="80"/>
      <c r="F41" s="79">
        <f>'Rate DS RTP'!F42</f>
        <v>36</v>
      </c>
      <c r="G41" s="70"/>
      <c r="H41" s="79">
        <f>'Rate DS RTP'!H42</f>
        <v>299922</v>
      </c>
      <c r="I41" s="79"/>
      <c r="J41" s="262">
        <f t="shared" si="3"/>
        <v>9.5024709999999999</v>
      </c>
      <c r="K41" s="263"/>
      <c r="L41" s="79">
        <f>'Rate DS RTP'!L42</f>
        <v>28500</v>
      </c>
      <c r="M41" s="79"/>
      <c r="N41" s="269">
        <f t="shared" si="4"/>
        <v>4.2699999999999996</v>
      </c>
      <c r="O41" s="263"/>
      <c r="P41" s="79">
        <f>'Rate DS RTP'!P42</f>
        <v>0</v>
      </c>
      <c r="Q41" s="79"/>
      <c r="R41" s="79">
        <f>'Rate DS RTP'!R42</f>
        <v>28500</v>
      </c>
    </row>
    <row r="42" spans="1:18" x14ac:dyDescent="0.25">
      <c r="A42" s="237">
        <v>16</v>
      </c>
      <c r="B42" s="80"/>
      <c r="C42" s="80" t="s">
        <v>342</v>
      </c>
      <c r="D42" s="80" t="s">
        <v>311</v>
      </c>
      <c r="E42" s="80"/>
      <c r="F42" s="167">
        <f>'Rate TT RTP'!F41</f>
        <v>24</v>
      </c>
      <c r="G42" s="70"/>
      <c r="H42" s="167">
        <f>'Rate TT RTP'!H41</f>
        <v>12915280</v>
      </c>
      <c r="I42" s="79"/>
      <c r="J42" s="262">
        <f t="shared" si="3"/>
        <v>3.5807039999999999</v>
      </c>
      <c r="K42" s="263"/>
      <c r="L42" s="167">
        <f>'Rate TT RTP'!L41</f>
        <v>462458</v>
      </c>
      <c r="M42" s="79"/>
      <c r="N42" s="264">
        <f t="shared" si="4"/>
        <v>69.22</v>
      </c>
      <c r="O42" s="263"/>
      <c r="P42" s="167">
        <f>'Rate TT RTP'!P41</f>
        <v>0</v>
      </c>
      <c r="Q42" s="79"/>
      <c r="R42" s="167">
        <f>'Rate TT RTP'!R41</f>
        <v>462458</v>
      </c>
    </row>
    <row r="43" spans="1:18" ht="20.100000000000001" customHeight="1" x14ac:dyDescent="0.25">
      <c r="A43" s="237">
        <v>17</v>
      </c>
      <c r="B43" s="80"/>
      <c r="C43" s="265" t="s">
        <v>343</v>
      </c>
      <c r="D43" s="80"/>
      <c r="E43" s="80"/>
      <c r="F43" s="169">
        <f>SUM(F39:F42)</f>
        <v>84</v>
      </c>
      <c r="G43" s="70"/>
      <c r="H43" s="169">
        <f>SUM(H39:H42)</f>
        <v>17346271</v>
      </c>
      <c r="I43" s="79"/>
      <c r="J43" s="262">
        <f t="shared" si="3"/>
        <v>3.8514210000000002</v>
      </c>
      <c r="K43" s="263"/>
      <c r="L43" s="169">
        <f>SUM(L39:L42)</f>
        <v>668078</v>
      </c>
      <c r="M43" s="79"/>
      <c r="N43" s="266">
        <f>ROUND((L43/L$67)*100,2)</f>
        <v>0.17</v>
      </c>
      <c r="O43" s="263"/>
      <c r="P43" s="169">
        <f>SUM(P39:P42)</f>
        <v>0</v>
      </c>
      <c r="Q43" s="79"/>
      <c r="R43" s="169">
        <f>SUM(R39:R42)</f>
        <v>668078</v>
      </c>
    </row>
    <row r="44" spans="1:18" ht="10.5" customHeight="1" x14ac:dyDescent="0.25">
      <c r="A44" s="237"/>
      <c r="B44" s="80"/>
      <c r="C44" s="81"/>
      <c r="D44" s="80"/>
      <c r="E44" s="80"/>
      <c r="F44" s="79"/>
      <c r="G44" s="70"/>
      <c r="H44" s="79"/>
      <c r="I44" s="79"/>
      <c r="J44" s="262"/>
      <c r="K44" s="263"/>
      <c r="L44" s="79"/>
      <c r="M44" s="79"/>
      <c r="N44" s="162"/>
      <c r="O44" s="263"/>
      <c r="P44" s="79"/>
      <c r="Q44" s="79"/>
      <c r="R44" s="79"/>
    </row>
    <row r="45" spans="1:18" ht="15.75" customHeight="1" x14ac:dyDescent="0.25">
      <c r="A45" s="237"/>
      <c r="B45" s="80"/>
      <c r="C45" s="497" t="s">
        <v>533</v>
      </c>
      <c r="D45" s="497"/>
      <c r="E45" s="80"/>
      <c r="F45" s="79"/>
      <c r="G45" s="70"/>
      <c r="H45" s="79"/>
      <c r="I45" s="79"/>
      <c r="J45" s="262"/>
      <c r="K45" s="263"/>
      <c r="L45" s="79"/>
      <c r="M45" s="79"/>
      <c r="N45" s="162"/>
      <c r="O45" s="263"/>
      <c r="P45" s="79"/>
      <c r="Q45" s="79"/>
      <c r="R45" s="79"/>
    </row>
    <row r="46" spans="1:18" x14ac:dyDescent="0.25">
      <c r="A46" s="83">
        <v>18</v>
      </c>
      <c r="B46" s="80"/>
      <c r="C46" s="82" t="s">
        <v>81</v>
      </c>
      <c r="D46" s="81" t="s">
        <v>82</v>
      </c>
      <c r="E46" s="82"/>
      <c r="F46" s="79">
        <f>'Rate SL'!F211</f>
        <v>138477</v>
      </c>
      <c r="G46" s="70"/>
      <c r="H46" s="79">
        <f>'Rate SL'!H211</f>
        <v>10839811</v>
      </c>
      <c r="I46" s="79"/>
      <c r="J46" s="262">
        <f t="shared" ref="J46:J54" si="5">IF(H46=0,"-",ROUND((L46/H46)*100,6))</f>
        <v>13.797796</v>
      </c>
      <c r="K46" s="263"/>
      <c r="L46" s="79">
        <f>'Rate SL'!L211</f>
        <v>1495655</v>
      </c>
      <c r="M46" s="79"/>
      <c r="N46" s="162">
        <f>ROUND((L46/L$54)*100,2)-0.01</f>
        <v>71.22</v>
      </c>
      <c r="O46" s="263"/>
      <c r="P46" s="79">
        <f>'Rate SL'!P211</f>
        <v>11143</v>
      </c>
      <c r="Q46" s="79"/>
      <c r="R46" s="79">
        <f>'Rate SL'!R211</f>
        <v>1506798</v>
      </c>
    </row>
    <row r="47" spans="1:18" x14ac:dyDescent="0.25">
      <c r="A47" s="83">
        <v>19</v>
      </c>
      <c r="B47" s="80"/>
      <c r="C47" s="82" t="s">
        <v>85</v>
      </c>
      <c r="D47" s="81" t="s">
        <v>86</v>
      </c>
      <c r="E47" s="82"/>
      <c r="F47" s="79">
        <f>'Rate TL'!F49</f>
        <v>94895</v>
      </c>
      <c r="G47" s="70"/>
      <c r="H47" s="79">
        <f>'Rate TL'!H49</f>
        <v>1438465</v>
      </c>
      <c r="I47" s="79"/>
      <c r="J47" s="262">
        <f t="shared" si="5"/>
        <v>5.4562330000000001</v>
      </c>
      <c r="K47" s="263"/>
      <c r="L47" s="79">
        <f>'Rate TL'!L49</f>
        <v>78486</v>
      </c>
      <c r="M47" s="79"/>
      <c r="N47" s="162">
        <f t="shared" ref="N47:N52" si="6">ROUND((L47/L$54)*100,2)</f>
        <v>3.74</v>
      </c>
      <c r="O47" s="263"/>
      <c r="P47" s="79">
        <f>'Rate TL'!P49</f>
        <v>1479</v>
      </c>
      <c r="Q47" s="79"/>
      <c r="R47" s="79">
        <f>'Rate TL'!R49</f>
        <v>79965</v>
      </c>
    </row>
    <row r="48" spans="1:18" x14ac:dyDescent="0.25">
      <c r="A48" s="83">
        <v>20</v>
      </c>
      <c r="B48" s="80"/>
      <c r="C48" s="82" t="s">
        <v>303</v>
      </c>
      <c r="D48" s="82" t="s">
        <v>300</v>
      </c>
      <c r="E48" s="82"/>
      <c r="F48" s="79">
        <f>'Rate UOLS'!F30</f>
        <v>83973</v>
      </c>
      <c r="G48" s="70"/>
      <c r="H48" s="79">
        <f>'Rate UOLS'!H30</f>
        <v>5308606</v>
      </c>
      <c r="I48" s="79"/>
      <c r="J48" s="262">
        <f t="shared" si="5"/>
        <v>4.1479999999999997</v>
      </c>
      <c r="K48" s="263"/>
      <c r="L48" s="79">
        <f>'Rate UOLS'!L30</f>
        <v>220201</v>
      </c>
      <c r="M48" s="79"/>
      <c r="N48" s="162">
        <f t="shared" si="6"/>
        <v>10.49</v>
      </c>
      <c r="O48" s="263"/>
      <c r="P48" s="79">
        <f>'Rate UOLS'!P30</f>
        <v>5457</v>
      </c>
      <c r="Q48" s="79"/>
      <c r="R48" s="79">
        <f>'Rate UOLS'!R30</f>
        <v>225658</v>
      </c>
    </row>
    <row r="49" spans="1:24" x14ac:dyDescent="0.25">
      <c r="A49" s="83">
        <v>21</v>
      </c>
      <c r="B49" s="80"/>
      <c r="C49" s="82" t="s">
        <v>94</v>
      </c>
      <c r="D49" s="81" t="s">
        <v>747</v>
      </c>
      <c r="E49" s="82"/>
      <c r="F49" s="79">
        <f>'Rate OL'!F79</f>
        <v>1382</v>
      </c>
      <c r="G49" s="70"/>
      <c r="H49" s="79">
        <f>'Rate OL'!H79</f>
        <v>138105</v>
      </c>
      <c r="I49" s="79"/>
      <c r="J49" s="262">
        <f t="shared" si="5"/>
        <v>13.517251</v>
      </c>
      <c r="K49" s="263"/>
      <c r="L49" s="79">
        <f>'Rate OL'!L79</f>
        <v>18668</v>
      </c>
      <c r="M49" s="79"/>
      <c r="N49" s="162">
        <f t="shared" si="6"/>
        <v>0.89</v>
      </c>
      <c r="O49" s="263"/>
      <c r="P49" s="79">
        <f>'Rate OL'!P79</f>
        <v>142</v>
      </c>
      <c r="Q49" s="79"/>
      <c r="R49" s="79">
        <f>'Rate OL'!R79</f>
        <v>18810</v>
      </c>
    </row>
    <row r="50" spans="1:24" x14ac:dyDescent="0.25">
      <c r="A50" s="83">
        <v>22</v>
      </c>
      <c r="B50" s="80"/>
      <c r="C50" s="81" t="s">
        <v>96</v>
      </c>
      <c r="D50" s="81" t="s">
        <v>301</v>
      </c>
      <c r="E50" s="82"/>
      <c r="F50" s="79">
        <f>'Rate NSU'!F47</f>
        <v>8364</v>
      </c>
      <c r="G50" s="70"/>
      <c r="H50" s="79">
        <f>'Rate NSU'!H47</f>
        <v>405021</v>
      </c>
      <c r="I50" s="79"/>
      <c r="J50" s="262">
        <f t="shared" si="5"/>
        <v>17.022079999999999</v>
      </c>
      <c r="K50" s="263"/>
      <c r="L50" s="79">
        <f>'Rate NSU'!L47</f>
        <v>68943</v>
      </c>
      <c r="M50" s="79"/>
      <c r="N50" s="162">
        <f t="shared" si="6"/>
        <v>3.28</v>
      </c>
      <c r="O50" s="263"/>
      <c r="P50" s="79">
        <f>'Rate NSU'!P47</f>
        <v>416</v>
      </c>
      <c r="Q50" s="79"/>
      <c r="R50" s="79">
        <f>'Rate NSU'!R47</f>
        <v>69359</v>
      </c>
    </row>
    <row r="51" spans="1:24" x14ac:dyDescent="0.25">
      <c r="A51" s="83">
        <v>23</v>
      </c>
      <c r="B51" s="80"/>
      <c r="C51" s="82" t="s">
        <v>101</v>
      </c>
      <c r="D51" s="82" t="s">
        <v>748</v>
      </c>
      <c r="E51" s="82"/>
      <c r="F51" s="163">
        <f>'Rate NSP'!F58</f>
        <v>137</v>
      </c>
      <c r="G51" s="85"/>
      <c r="H51" s="163">
        <f>'Rate NSP'!H58</f>
        <v>7610</v>
      </c>
      <c r="I51" s="163"/>
      <c r="J51" s="262">
        <f t="shared" si="5"/>
        <v>21.314060000000001</v>
      </c>
      <c r="K51" s="270"/>
      <c r="L51" s="163">
        <f>'Rate NSP'!L58</f>
        <v>1622</v>
      </c>
      <c r="M51" s="163"/>
      <c r="N51" s="162">
        <f t="shared" si="6"/>
        <v>0.08</v>
      </c>
      <c r="O51" s="270"/>
      <c r="P51" s="163">
        <f>'Rate NSP'!P58</f>
        <v>8</v>
      </c>
      <c r="Q51" s="163"/>
      <c r="R51" s="163">
        <f>'Rate NSP'!R58</f>
        <v>1630</v>
      </c>
    </row>
    <row r="52" spans="1:24" x14ac:dyDescent="0.25">
      <c r="A52" s="83">
        <v>24</v>
      </c>
      <c r="B52" s="80"/>
      <c r="C52" s="82" t="s">
        <v>77</v>
      </c>
      <c r="D52" s="82" t="s">
        <v>546</v>
      </c>
      <c r="E52" s="82"/>
      <c r="F52" s="79">
        <f>'Rate SC'!F74</f>
        <v>2064</v>
      </c>
      <c r="G52" s="79"/>
      <c r="H52" s="79">
        <f>'Rate SC'!H74</f>
        <v>97596</v>
      </c>
      <c r="I52" s="79"/>
      <c r="J52" s="262">
        <f t="shared" si="5"/>
        <v>4.1477110000000001</v>
      </c>
      <c r="K52" s="263"/>
      <c r="L52" s="79">
        <f>'Rate SC'!L74</f>
        <v>4048</v>
      </c>
      <c r="M52" s="79"/>
      <c r="N52" s="162">
        <f t="shared" si="6"/>
        <v>0.19</v>
      </c>
      <c r="O52" s="263"/>
      <c r="P52" s="79">
        <f>'Rate SC'!P74</f>
        <v>100</v>
      </c>
      <c r="Q52" s="79"/>
      <c r="R52" s="79">
        <f>'Rate SC'!R74</f>
        <v>4148</v>
      </c>
    </row>
    <row r="53" spans="1:24" x14ac:dyDescent="0.25">
      <c r="A53" s="83">
        <v>25</v>
      </c>
      <c r="B53" s="80"/>
      <c r="C53" s="82" t="s">
        <v>72</v>
      </c>
      <c r="D53" s="82" t="s">
        <v>547</v>
      </c>
      <c r="E53" s="82"/>
      <c r="F53" s="167">
        <f>'Rate SE'!F54</f>
        <v>24744</v>
      </c>
      <c r="G53" s="79"/>
      <c r="H53" s="167">
        <f>'Rate SE'!H54</f>
        <v>1476997</v>
      </c>
      <c r="I53" s="79"/>
      <c r="J53" s="262">
        <f t="shared" si="5"/>
        <v>14.366515</v>
      </c>
      <c r="K53" s="263"/>
      <c r="L53" s="167">
        <f>'Rate SE'!L54</f>
        <v>212193</v>
      </c>
      <c r="M53" s="79"/>
      <c r="N53" s="264">
        <f>ROUND((L53/L$54)*100,2)</f>
        <v>10.11</v>
      </c>
      <c r="O53" s="263"/>
      <c r="P53" s="167">
        <f>'Rate SE'!P54</f>
        <v>1519</v>
      </c>
      <c r="Q53" s="79"/>
      <c r="R53" s="167">
        <f>'Rate SE'!R54</f>
        <v>213712</v>
      </c>
    </row>
    <row r="54" spans="1:24" ht="20.100000000000001" customHeight="1" x14ac:dyDescent="0.25">
      <c r="A54" s="83">
        <v>26</v>
      </c>
      <c r="B54" s="80"/>
      <c r="C54" s="265" t="s">
        <v>190</v>
      </c>
      <c r="D54" s="258"/>
      <c r="E54" s="80"/>
      <c r="F54" s="169">
        <f>SUM(F46:F53)</f>
        <v>354036</v>
      </c>
      <c r="G54" s="70"/>
      <c r="H54" s="169">
        <f>SUM(H46:H53)</f>
        <v>19712211</v>
      </c>
      <c r="I54" s="79"/>
      <c r="J54" s="262">
        <f t="shared" si="5"/>
        <v>10.652362</v>
      </c>
      <c r="K54" s="263"/>
      <c r="L54" s="169">
        <f>SUM(L46:L53)</f>
        <v>2099816</v>
      </c>
      <c r="M54" s="79"/>
      <c r="N54" s="266">
        <f>ROUND((L54/L$67)*100,2)</f>
        <v>0.55000000000000004</v>
      </c>
      <c r="O54" s="263"/>
      <c r="P54" s="169">
        <f>SUM(P46:P53)</f>
        <v>20264</v>
      </c>
      <c r="Q54" s="79"/>
      <c r="R54" s="169">
        <f>SUM(R46:R53)</f>
        <v>2120080</v>
      </c>
    </row>
    <row r="55" spans="1:24" ht="16.5" customHeight="1" x14ac:dyDescent="0.25">
      <c r="A55" s="237"/>
      <c r="B55" s="80"/>
      <c r="C55" s="80"/>
      <c r="D55" s="80"/>
      <c r="E55" s="80"/>
      <c r="F55" s="70"/>
      <c r="G55" s="70"/>
      <c r="H55" s="70"/>
      <c r="I55" s="70"/>
      <c r="J55" s="282"/>
      <c r="K55" s="70"/>
      <c r="L55" s="70"/>
      <c r="M55" s="70"/>
      <c r="N55" s="278"/>
      <c r="O55" s="70"/>
      <c r="P55" s="70"/>
      <c r="Q55" s="70"/>
      <c r="R55" s="70"/>
    </row>
    <row r="56" spans="1:24" ht="15.75" customHeight="1" x14ac:dyDescent="0.25">
      <c r="A56" s="237"/>
      <c r="B56" s="80"/>
      <c r="C56" s="495" t="s">
        <v>534</v>
      </c>
      <c r="D56" s="495"/>
      <c r="E56" s="80"/>
      <c r="F56" s="70"/>
      <c r="G56" s="70"/>
      <c r="H56" s="70"/>
      <c r="I56" s="70"/>
      <c r="J56" s="282"/>
      <c r="K56" s="70"/>
      <c r="L56" s="70"/>
      <c r="M56" s="70"/>
      <c r="N56" s="278"/>
      <c r="O56" s="70"/>
      <c r="P56" s="70"/>
      <c r="Q56" s="70"/>
      <c r="R56" s="70"/>
    </row>
    <row r="57" spans="1:24" x14ac:dyDescent="0.25">
      <c r="A57" s="83">
        <v>27</v>
      </c>
      <c r="B57" s="80"/>
      <c r="C57" s="80" t="s">
        <v>462</v>
      </c>
      <c r="D57" s="80" t="s">
        <v>433</v>
      </c>
      <c r="E57" s="82"/>
      <c r="F57" s="109">
        <f>'SCH M-2.2'!F57</f>
        <v>12</v>
      </c>
      <c r="G57" s="110"/>
      <c r="H57" s="109">
        <f>'SCH M-2.2'!H57</f>
        <v>729253</v>
      </c>
      <c r="I57" s="85"/>
      <c r="J57" s="262">
        <f t="shared" ref="J57:J67" si="7">IF(H57=0,"-",ROUND((L57/H57)*100,2))</f>
        <v>7.04</v>
      </c>
      <c r="K57" s="85"/>
      <c r="L57" s="109">
        <f>'SCH M-2.2'!L57</f>
        <v>51324</v>
      </c>
      <c r="M57" s="163"/>
      <c r="N57" s="162">
        <f t="shared" ref="N57:N63" si="8">ROUND((L57/L$65)*100,2)</f>
        <v>0.21</v>
      </c>
      <c r="O57" s="270"/>
      <c r="P57" s="109">
        <f>'SCH M-2.2'!T57</f>
        <v>750</v>
      </c>
      <c r="Q57" s="271"/>
      <c r="R57" s="163">
        <f>L57+P57</f>
        <v>52074</v>
      </c>
    </row>
    <row r="58" spans="1:24" x14ac:dyDescent="0.25">
      <c r="A58" s="83">
        <v>28</v>
      </c>
      <c r="B58" s="80"/>
      <c r="C58" s="82"/>
      <c r="D58" s="82" t="s">
        <v>678</v>
      </c>
      <c r="E58" s="82"/>
      <c r="F58" s="109">
        <f>'SCH M-2.2'!F58</f>
        <v>0</v>
      </c>
      <c r="G58" s="110"/>
      <c r="H58" s="109">
        <f>'SCH M-2.2'!H58</f>
        <v>0</v>
      </c>
      <c r="I58" s="230"/>
      <c r="J58" s="262" t="str">
        <f t="shared" si="7"/>
        <v>-</v>
      </c>
      <c r="K58" s="270"/>
      <c r="L58" s="109">
        <f>'SCH M-2.2'!L58</f>
        <v>3984486</v>
      </c>
      <c r="M58" s="163"/>
      <c r="N58" s="162">
        <f t="shared" si="8"/>
        <v>16.170000000000002</v>
      </c>
      <c r="O58" s="270"/>
      <c r="P58" s="109">
        <f>'SCH M-2.2'!T58</f>
        <v>0</v>
      </c>
      <c r="Q58" s="230"/>
      <c r="R58" s="163">
        <f t="shared" ref="R58:R64" si="9">L58+P58</f>
        <v>3984486</v>
      </c>
    </row>
    <row r="59" spans="1:24" ht="18" customHeight="1" x14ac:dyDescent="0.25">
      <c r="A59" s="83">
        <v>29</v>
      </c>
      <c r="B59" s="80"/>
      <c r="C59" s="80"/>
      <c r="D59" s="81" t="s">
        <v>302</v>
      </c>
      <c r="E59" s="80"/>
      <c r="F59" s="109">
        <f>'SCH M-2.2'!F59</f>
        <v>0</v>
      </c>
      <c r="G59" s="110"/>
      <c r="H59" s="109">
        <f>'SCH M-2.2'!H59</f>
        <v>0</v>
      </c>
      <c r="I59" s="79"/>
      <c r="J59" s="262" t="str">
        <f t="shared" si="7"/>
        <v>-</v>
      </c>
      <c r="K59" s="263"/>
      <c r="L59" s="109">
        <f>'SCH M-2.2'!L59</f>
        <v>23092</v>
      </c>
      <c r="M59" s="79"/>
      <c r="N59" s="162">
        <f t="shared" si="8"/>
        <v>0.09</v>
      </c>
      <c r="O59" s="263"/>
      <c r="P59" s="109">
        <f>'SCH M-2.2'!T59</f>
        <v>0</v>
      </c>
      <c r="Q59" s="79"/>
      <c r="R59" s="163">
        <f t="shared" si="9"/>
        <v>23092</v>
      </c>
    </row>
    <row r="60" spans="1:24" ht="18" customHeight="1" x14ac:dyDescent="0.25">
      <c r="A60" s="83">
        <v>30</v>
      </c>
      <c r="B60" s="80"/>
      <c r="C60" s="80"/>
      <c r="D60" s="82" t="s">
        <v>305</v>
      </c>
      <c r="E60" s="80"/>
      <c r="F60" s="109">
        <f>'SCH M-2.2'!F60</f>
        <v>0</v>
      </c>
      <c r="G60" s="110"/>
      <c r="H60" s="109">
        <f>'SCH M-2.2'!H60</f>
        <v>0</v>
      </c>
      <c r="I60" s="79"/>
      <c r="J60" s="262" t="str">
        <f t="shared" si="7"/>
        <v>-</v>
      </c>
      <c r="K60" s="263"/>
      <c r="L60" s="109">
        <f>'SCH M-2.2'!L60</f>
        <v>189382</v>
      </c>
      <c r="M60" s="79"/>
      <c r="N60" s="162">
        <f t="shared" si="8"/>
        <v>0.77</v>
      </c>
      <c r="O60" s="263"/>
      <c r="P60" s="109">
        <f>'SCH M-2.2'!T60</f>
        <v>0</v>
      </c>
      <c r="Q60" s="79"/>
      <c r="R60" s="163">
        <f t="shared" si="9"/>
        <v>189382</v>
      </c>
    </row>
    <row r="61" spans="1:24" ht="18" customHeight="1" x14ac:dyDescent="0.25">
      <c r="A61" s="83">
        <v>31</v>
      </c>
      <c r="B61" s="80"/>
      <c r="C61" s="80"/>
      <c r="D61" s="82" t="s">
        <v>624</v>
      </c>
      <c r="E61" s="80"/>
      <c r="F61" s="109">
        <f>'SCH M-2.2'!F61</f>
        <v>0</v>
      </c>
      <c r="G61" s="110"/>
      <c r="H61" s="109">
        <f>'SCH M-2.2'!H61</f>
        <v>0</v>
      </c>
      <c r="I61" s="79"/>
      <c r="J61" s="262" t="str">
        <f t="shared" ref="J61" si="10">IF(H61=0,"-",ROUND((L61/H61)*100,2))</f>
        <v>-</v>
      </c>
      <c r="K61" s="263"/>
      <c r="L61" s="109">
        <f>'SCH M-2.2'!L61</f>
        <v>117775</v>
      </c>
      <c r="M61" s="79"/>
      <c r="N61" s="162">
        <f t="shared" ref="N61" si="11">ROUND((L61/L$65)*100,2)</f>
        <v>0.48</v>
      </c>
      <c r="O61" s="263"/>
      <c r="P61" s="109">
        <f>'SCH M-2.2'!T61</f>
        <v>0</v>
      </c>
      <c r="Q61" s="79"/>
      <c r="R61" s="163">
        <f t="shared" ref="R61" si="12">L61+P61</f>
        <v>117775</v>
      </c>
      <c r="S61" s="199"/>
      <c r="T61" s="163"/>
      <c r="U61" s="163"/>
      <c r="V61" s="163"/>
      <c r="W61" s="163"/>
      <c r="X61" s="197"/>
    </row>
    <row r="62" spans="1:24" ht="18" customHeight="1" x14ac:dyDescent="0.25">
      <c r="A62" s="83">
        <v>32</v>
      </c>
      <c r="B62" s="80"/>
      <c r="C62" s="80"/>
      <c r="D62" s="82" t="s">
        <v>304</v>
      </c>
      <c r="E62" s="80"/>
      <c r="F62" s="109">
        <f>'SCH M-2.2'!F62</f>
        <v>0</v>
      </c>
      <c r="G62" s="110"/>
      <c r="H62" s="109">
        <f>'SCH M-2.2'!H62</f>
        <v>0</v>
      </c>
      <c r="I62" s="79"/>
      <c r="J62" s="262" t="str">
        <f t="shared" si="7"/>
        <v>-</v>
      </c>
      <c r="K62" s="263"/>
      <c r="L62" s="109">
        <f>'SCH M-2.2'!L62</f>
        <v>930344</v>
      </c>
      <c r="M62" s="79"/>
      <c r="N62" s="162">
        <f t="shared" si="8"/>
        <v>3.78</v>
      </c>
      <c r="O62" s="263"/>
      <c r="P62" s="109">
        <f>'SCH M-2.2'!T62</f>
        <v>0</v>
      </c>
      <c r="Q62" s="79"/>
      <c r="R62" s="163">
        <f t="shared" si="9"/>
        <v>930344</v>
      </c>
    </row>
    <row r="63" spans="1:24" x14ac:dyDescent="0.25">
      <c r="A63" s="83">
        <v>33</v>
      </c>
      <c r="B63" s="80"/>
      <c r="C63" s="80" t="s">
        <v>436</v>
      </c>
      <c r="D63" s="82" t="s">
        <v>434</v>
      </c>
      <c r="E63" s="82"/>
      <c r="F63" s="109">
        <f>'SCH M-2.2'!F63</f>
        <v>132</v>
      </c>
      <c r="G63" s="110"/>
      <c r="H63" s="109">
        <f>'SCH M-2.2'!H63</f>
        <v>138735</v>
      </c>
      <c r="I63" s="79"/>
      <c r="J63" s="262">
        <f t="shared" si="7"/>
        <v>5.46</v>
      </c>
      <c r="K63" s="263"/>
      <c r="L63" s="109">
        <f>'SCH M-2.2'!L63</f>
        <v>7570</v>
      </c>
      <c r="M63" s="78"/>
      <c r="N63" s="162">
        <f t="shared" si="8"/>
        <v>0.03</v>
      </c>
      <c r="O63" s="263"/>
      <c r="P63" s="109">
        <f>'SCH M-2.2'!T63</f>
        <v>143</v>
      </c>
      <c r="Q63" s="79"/>
      <c r="R63" s="163">
        <f t="shared" si="9"/>
        <v>7713</v>
      </c>
    </row>
    <row r="64" spans="1:24" x14ac:dyDescent="0.25">
      <c r="A64" s="237">
        <v>34</v>
      </c>
      <c r="B64" s="80"/>
      <c r="C64" s="80"/>
      <c r="D64" s="82" t="s">
        <v>119</v>
      </c>
      <c r="E64" s="82"/>
      <c r="F64" s="109">
        <f>'SCH M-2.2'!F64</f>
        <v>0</v>
      </c>
      <c r="G64" s="110"/>
      <c r="H64" s="109">
        <f>'SCH M-2.2'!H64</f>
        <v>0</v>
      </c>
      <c r="I64" s="79"/>
      <c r="J64" s="262" t="str">
        <f t="shared" si="7"/>
        <v>-</v>
      </c>
      <c r="K64" s="263"/>
      <c r="L64" s="109">
        <f>'SCH M-2.2'!L64</f>
        <v>19330403</v>
      </c>
      <c r="M64" s="78"/>
      <c r="N64" s="162">
        <f>ROUND((L64/L$65)*100,2)</f>
        <v>78.47</v>
      </c>
      <c r="O64" s="263"/>
      <c r="P64" s="109">
        <f>'SCH M-2.2'!T64</f>
        <v>0</v>
      </c>
      <c r="Q64" s="79"/>
      <c r="R64" s="163">
        <f t="shared" si="9"/>
        <v>19330403</v>
      </c>
    </row>
    <row r="65" spans="1:18" ht="20.100000000000001" customHeight="1" x14ac:dyDescent="0.25">
      <c r="A65" s="237">
        <v>35</v>
      </c>
      <c r="B65" s="80"/>
      <c r="C65" s="253" t="s">
        <v>535</v>
      </c>
      <c r="D65" s="80"/>
      <c r="E65" s="80"/>
      <c r="F65" s="169">
        <f>SUM(F57:F64)</f>
        <v>144</v>
      </c>
      <c r="G65" s="70"/>
      <c r="H65" s="169">
        <f>SUM(H57:H64)</f>
        <v>867988</v>
      </c>
      <c r="I65" s="79"/>
      <c r="J65" s="262">
        <f t="shared" si="7"/>
        <v>2838.1</v>
      </c>
      <c r="K65" s="263"/>
      <c r="L65" s="169">
        <f>SUM(L57:L64)</f>
        <v>24634376</v>
      </c>
      <c r="M65" s="79"/>
      <c r="N65" s="266">
        <f>ROUND((L65/L$67)*100,2)</f>
        <v>6.41</v>
      </c>
      <c r="O65" s="263"/>
      <c r="P65" s="169">
        <f>SUM(P57:P64)</f>
        <v>893</v>
      </c>
      <c r="Q65" s="79"/>
      <c r="R65" s="169">
        <f>SUM(R57:R64)</f>
        <v>24635269</v>
      </c>
    </row>
    <row r="66" spans="1:18" ht="10.5" customHeight="1" x14ac:dyDescent="0.25">
      <c r="A66" s="237"/>
      <c r="B66" s="80"/>
      <c r="C66" s="80"/>
      <c r="D66" s="80"/>
      <c r="E66" s="80"/>
      <c r="F66" s="79"/>
      <c r="G66" s="70"/>
      <c r="H66" s="79"/>
      <c r="I66" s="79"/>
      <c r="J66" s="262"/>
      <c r="K66" s="263"/>
      <c r="L66" s="79"/>
      <c r="M66" s="79"/>
      <c r="N66" s="162"/>
      <c r="O66" s="263"/>
      <c r="P66" s="79"/>
      <c r="Q66" s="79"/>
      <c r="R66" s="79"/>
    </row>
    <row r="67" spans="1:18" ht="20.100000000000001" customHeight="1" thickBot="1" x14ac:dyDescent="0.3">
      <c r="A67" s="83">
        <v>36</v>
      </c>
      <c r="B67" s="80"/>
      <c r="C67" s="253" t="s">
        <v>120</v>
      </c>
      <c r="D67" s="80"/>
      <c r="E67" s="80"/>
      <c r="F67" s="275">
        <f>F65+F54+F43+F36+F32+F22</f>
        <v>2040214</v>
      </c>
      <c r="G67" s="70"/>
      <c r="H67" s="275">
        <f>H65+H54+H43+H36+H32+H22</f>
        <v>4026493725</v>
      </c>
      <c r="I67" s="79"/>
      <c r="J67" s="262">
        <f t="shared" si="7"/>
        <v>9.5399999999999991</v>
      </c>
      <c r="K67" s="263"/>
      <c r="L67" s="275">
        <f>L65+L54+L43+L36+L32+L22</f>
        <v>384126685</v>
      </c>
      <c r="M67" s="79"/>
      <c r="N67" s="276">
        <v>100</v>
      </c>
      <c r="O67" s="263"/>
      <c r="P67" s="275">
        <f>P65+P54+P43+P36+P32+P22</f>
        <v>4121403</v>
      </c>
      <c r="Q67" s="79"/>
      <c r="R67" s="275">
        <f>R65+R54+R43+R36+R32+R22</f>
        <v>388248088</v>
      </c>
    </row>
    <row r="68" spans="1:18" ht="24" customHeight="1" thickTop="1" x14ac:dyDescent="0.25">
      <c r="A68" s="80"/>
      <c r="B68" s="80"/>
      <c r="C68" s="81" t="s">
        <v>781</v>
      </c>
      <c r="D68" s="80"/>
      <c r="E68" s="80"/>
      <c r="F68" s="70"/>
      <c r="G68" s="70"/>
      <c r="H68" s="70"/>
      <c r="I68" s="70"/>
      <c r="J68" s="277"/>
      <c r="K68" s="70"/>
      <c r="L68" s="70"/>
      <c r="M68" s="70"/>
      <c r="N68" s="278"/>
      <c r="O68" s="70"/>
      <c r="P68" s="70"/>
      <c r="Q68" s="70"/>
      <c r="R68" s="70"/>
    </row>
    <row r="69" spans="1:18" x14ac:dyDescent="0.25">
      <c r="A69" s="80"/>
      <c r="B69" s="80"/>
      <c r="D69" s="80"/>
      <c r="E69" s="80"/>
      <c r="F69" s="80"/>
      <c r="G69" s="80"/>
      <c r="H69" s="80"/>
      <c r="I69" s="80"/>
      <c r="J69" s="237"/>
      <c r="K69" s="80"/>
      <c r="L69" s="189"/>
      <c r="M69" s="189"/>
      <c r="N69" s="182"/>
      <c r="O69" s="80"/>
      <c r="P69" s="189"/>
      <c r="Q69" s="189"/>
      <c r="R69" s="189"/>
    </row>
    <row r="70" spans="1:18" x14ac:dyDescent="0.25">
      <c r="A70" s="82"/>
      <c r="B70" s="80"/>
      <c r="C70" s="80"/>
      <c r="D70" s="80"/>
      <c r="E70" s="80"/>
      <c r="F70" s="80"/>
      <c r="G70" s="80"/>
      <c r="H70" s="80"/>
      <c r="I70" s="80"/>
      <c r="J70" s="237"/>
      <c r="K70" s="80"/>
      <c r="L70" s="189"/>
      <c r="M70" s="189"/>
      <c r="N70" s="182"/>
      <c r="O70" s="80"/>
      <c r="P70" s="189"/>
      <c r="Q70" s="189"/>
      <c r="R70" s="189"/>
    </row>
    <row r="71" spans="1:18" x14ac:dyDescent="0.25">
      <c r="A71" s="80"/>
      <c r="B71" s="80"/>
      <c r="C71" s="80"/>
      <c r="D71" s="80"/>
      <c r="E71" s="80"/>
      <c r="F71" s="80"/>
      <c r="G71" s="80"/>
      <c r="H71" s="80"/>
      <c r="I71" s="80"/>
      <c r="J71" s="237"/>
      <c r="K71" s="80"/>
      <c r="L71" s="189"/>
      <c r="M71" s="189"/>
      <c r="N71" s="80"/>
      <c r="O71" s="80"/>
      <c r="P71" s="189"/>
      <c r="Q71" s="189"/>
      <c r="R71" s="189"/>
    </row>
    <row r="72" spans="1:18" x14ac:dyDescent="0.25">
      <c r="A72" s="80"/>
      <c r="B72" s="80"/>
      <c r="C72" s="80"/>
      <c r="D72" s="80"/>
      <c r="E72" s="80"/>
      <c r="F72" s="80"/>
      <c r="G72" s="80"/>
      <c r="H72" s="80"/>
      <c r="I72" s="80"/>
      <c r="J72" s="237"/>
      <c r="K72" s="80"/>
      <c r="L72" s="189"/>
      <c r="M72" s="189"/>
      <c r="N72" s="80"/>
      <c r="O72" s="80"/>
      <c r="P72" s="189"/>
      <c r="Q72" s="189"/>
      <c r="R72" s="189"/>
    </row>
    <row r="73" spans="1:18" x14ac:dyDescent="0.25">
      <c r="A73" s="80"/>
      <c r="B73" s="80"/>
      <c r="C73" s="80"/>
      <c r="D73" s="80"/>
      <c r="E73" s="80"/>
      <c r="F73" s="80"/>
      <c r="G73" s="80"/>
      <c r="H73" s="80"/>
      <c r="I73" s="80"/>
      <c r="J73" s="237"/>
      <c r="K73" s="80"/>
      <c r="L73" s="189"/>
      <c r="M73" s="189"/>
      <c r="N73" s="80"/>
      <c r="O73" s="80"/>
      <c r="P73" s="189"/>
      <c r="Q73" s="189"/>
      <c r="R73" s="189"/>
    </row>
    <row r="74" spans="1:18" x14ac:dyDescent="0.25">
      <c r="A74" s="80"/>
      <c r="B74" s="80"/>
      <c r="C74" s="80"/>
      <c r="D74" s="80"/>
      <c r="E74" s="80"/>
      <c r="F74" s="80"/>
      <c r="G74" s="80"/>
      <c r="H74" s="80"/>
      <c r="I74" s="80"/>
      <c r="J74" s="237"/>
      <c r="K74" s="80"/>
      <c r="L74" s="189"/>
      <c r="M74" s="189"/>
      <c r="N74" s="80"/>
      <c r="O74" s="80"/>
      <c r="P74" s="189"/>
      <c r="Q74" s="189"/>
      <c r="R74" s="189"/>
    </row>
    <row r="75" spans="1:18" x14ac:dyDescent="0.25">
      <c r="A75" s="80"/>
      <c r="B75" s="80"/>
      <c r="C75" s="80"/>
      <c r="D75" s="80"/>
      <c r="E75" s="80"/>
      <c r="F75" s="80"/>
      <c r="G75" s="80"/>
      <c r="H75" s="80"/>
      <c r="I75" s="80"/>
      <c r="J75" s="237"/>
      <c r="K75" s="80"/>
      <c r="L75" s="189"/>
      <c r="M75" s="189"/>
      <c r="N75" s="80"/>
      <c r="O75" s="80"/>
      <c r="P75" s="189"/>
      <c r="Q75" s="189"/>
      <c r="R75" s="189"/>
    </row>
    <row r="76" spans="1:18" x14ac:dyDescent="0.25">
      <c r="A76" s="80"/>
      <c r="B76" s="80"/>
      <c r="C76" s="80"/>
      <c r="D76" s="80"/>
      <c r="E76" s="80"/>
      <c r="F76" s="80"/>
      <c r="G76" s="80"/>
      <c r="H76" s="80"/>
      <c r="I76" s="80"/>
      <c r="J76" s="237"/>
      <c r="K76" s="80"/>
      <c r="L76" s="80"/>
      <c r="M76" s="80"/>
      <c r="N76" s="80"/>
      <c r="O76" s="80"/>
      <c r="P76" s="80"/>
      <c r="Q76" s="80"/>
      <c r="R76" s="80"/>
    </row>
    <row r="77" spans="1:18" x14ac:dyDescent="0.25">
      <c r="A77" s="80"/>
      <c r="B77" s="80"/>
      <c r="C77" s="80"/>
      <c r="D77" s="80"/>
      <c r="E77" s="80"/>
      <c r="F77" s="80"/>
      <c r="G77" s="80"/>
      <c r="H77" s="80"/>
      <c r="I77" s="80"/>
      <c r="J77" s="237"/>
      <c r="K77" s="80"/>
      <c r="L77" s="80"/>
      <c r="M77" s="80"/>
      <c r="N77" s="80"/>
      <c r="O77" s="80"/>
      <c r="P77" s="80"/>
      <c r="Q77" s="80"/>
      <c r="R77" s="80"/>
    </row>
    <row r="78" spans="1:18" x14ac:dyDescent="0.25">
      <c r="A78" s="80"/>
      <c r="B78" s="80"/>
      <c r="C78" s="80"/>
      <c r="D78" s="80"/>
      <c r="E78" s="80"/>
      <c r="F78" s="80"/>
      <c r="G78" s="80"/>
      <c r="H78" s="80"/>
      <c r="I78" s="80"/>
      <c r="J78" s="237"/>
      <c r="K78" s="80"/>
      <c r="L78" s="80"/>
      <c r="M78" s="80"/>
      <c r="N78" s="80"/>
      <c r="O78" s="80"/>
      <c r="P78" s="80"/>
      <c r="Q78" s="80"/>
      <c r="R78" s="80"/>
    </row>
    <row r="79" spans="1:18" x14ac:dyDescent="0.25">
      <c r="A79" s="80"/>
      <c r="B79" s="80"/>
      <c r="C79" s="80"/>
      <c r="D79" s="80"/>
      <c r="E79" s="80"/>
      <c r="F79" s="80"/>
      <c r="G79" s="80"/>
      <c r="H79" s="80"/>
      <c r="I79" s="80"/>
      <c r="J79" s="237"/>
      <c r="K79" s="80"/>
      <c r="L79" s="80"/>
      <c r="M79" s="80"/>
      <c r="N79" s="80"/>
      <c r="O79" s="80"/>
      <c r="P79" s="80"/>
      <c r="Q79" s="80"/>
      <c r="R79" s="80"/>
    </row>
    <row r="80" spans="1:18" x14ac:dyDescent="0.25">
      <c r="A80" s="80"/>
      <c r="B80" s="80"/>
      <c r="C80" s="80"/>
      <c r="D80" s="80"/>
      <c r="E80" s="80"/>
      <c r="F80" s="80"/>
      <c r="G80" s="80"/>
      <c r="H80" s="80"/>
      <c r="I80" s="80"/>
      <c r="J80" s="237"/>
      <c r="K80" s="80"/>
      <c r="L80" s="80"/>
      <c r="M80" s="80"/>
      <c r="N80" s="80"/>
      <c r="O80" s="80"/>
      <c r="P80" s="80"/>
      <c r="Q80" s="80"/>
      <c r="R80" s="80"/>
    </row>
    <row r="81" spans="1:18" x14ac:dyDescent="0.25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</row>
    <row r="82" spans="1:18" x14ac:dyDescent="0.25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</row>
    <row r="83" spans="1:18" x14ac:dyDescent="0.25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</row>
    <row r="84" spans="1:18" x14ac:dyDescent="0.25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</row>
    <row r="85" spans="1:18" x14ac:dyDescent="0.25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</row>
    <row r="86" spans="1:18" x14ac:dyDescent="0.25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</row>
    <row r="87" spans="1:18" x14ac:dyDescent="0.25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</row>
    <row r="88" spans="1:18" x14ac:dyDescent="0.25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</row>
    <row r="89" spans="1:18" x14ac:dyDescent="0.25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</row>
    <row r="90" spans="1:18" x14ac:dyDescent="0.25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</row>
    <row r="91" spans="1:18" x14ac:dyDescent="0.25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</row>
    <row r="92" spans="1:18" x14ac:dyDescent="0.25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</row>
    <row r="93" spans="1:18" x14ac:dyDescent="0.25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</row>
    <row r="94" spans="1:18" x14ac:dyDescent="0.25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</row>
    <row r="95" spans="1:18" x14ac:dyDescent="0.25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</row>
    <row r="96" spans="1:18" x14ac:dyDescent="0.25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</row>
    <row r="97" spans="1:18" x14ac:dyDescent="0.25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</row>
    <row r="98" spans="1:18" x14ac:dyDescent="0.25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</row>
  </sheetData>
  <customSheetViews>
    <customSheetView guid="{195DF303-1BBD-4236-94B5-47432850B006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"/>
      <headerFooter alignWithMargins="0"/>
    </customSheetView>
    <customSheetView guid="{0C49E549-011E-46F4-A82E-2CC8951A9C1E}" scale="75" fitToPage="1" showRuler="0" topLeftCell="D36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2"/>
      <headerFooter alignWithMargins="0"/>
    </customSheetView>
    <customSheetView guid="{4BC93440-BA85-4935-A8C9-66DC6AE5DE5E}" scale="75" fitToPage="1" showRuler="0">
      <selection sqref="A1:R65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L50" sqref="L50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4"/>
      <headerFooter alignWithMargins="0"/>
    </customSheetView>
    <customSheetView guid="{2EA35095-1ADC-4CC7-8C3C-B487D65FA247}" scale="75" fitToPage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7"/>
      <headerFooter alignWithMargins="0"/>
    </customSheetView>
    <customSheetView guid="{6B3D5C27-2FDE-4561-9575-1E98BFB869D0}" scale="75" fitToPage="1" showRuler="0" topLeftCell="F9">
      <selection activeCell="D33" sqref="D33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0"/>
      <headerFooter alignWithMargins="0"/>
    </customSheetView>
    <customSheetView guid="{35F19056-2E6F-4935-B863-78836FE990BF}" scale="75" fitToPage="1" showRuler="0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1"/>
      <headerFooter alignWithMargins="0"/>
    </customSheetView>
    <customSheetView guid="{F562D92E-120C-4AE9-9663-89E64D41DC53}" scale="75" fitToPage="1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2"/>
      <headerFooter alignWithMargins="0"/>
    </customSheetView>
  </customSheetViews>
  <mergeCells count="6">
    <mergeCell ref="C56:D56"/>
    <mergeCell ref="C20:D20"/>
    <mergeCell ref="C24:D24"/>
    <mergeCell ref="C34:D34"/>
    <mergeCell ref="C38:D38"/>
    <mergeCell ref="C45:D45"/>
  </mergeCells>
  <phoneticPr fontId="9" type="noConversion"/>
  <printOptions horizontalCentered="1"/>
  <pageMargins left="0.75" right="0.75" top="1" bottom="1" header="0.5" footer="0.5"/>
  <pageSetup scale="47" orientation="landscape" horizontalDpi="300" verticalDpi="300" r:id="rId13"/>
  <headerFooter alignWithMargins="0">
    <oddHeader>&amp;C&amp;A&amp;R&amp;"Times New Roman,Bold"&amp;10KyPSC Case No. 2017-00321
STAFF-DR-01-053(B) Attachment
Page &amp;P of &amp;N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6"/>
  <dimension ref="A1:CW292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5.6640625" style="80" customWidth="1"/>
    <col min="2" max="2" width="0.6640625" style="80" customWidth="1"/>
    <col min="3" max="3" width="6.77734375" style="80" customWidth="1"/>
    <col min="4" max="4" width="35.6640625" style="80" customWidth="1"/>
    <col min="5" max="5" width="0.44140625" style="80" customWidth="1"/>
    <col min="6" max="6" width="12.33203125" style="80" customWidth="1"/>
    <col min="7" max="7" width="0.88671875" style="80" customWidth="1"/>
    <col min="8" max="8" width="15.6640625" style="80" customWidth="1"/>
    <col min="9" max="9" width="0.77734375" style="80" customWidth="1"/>
    <col min="10" max="10" width="13" style="80" customWidth="1"/>
    <col min="11" max="11" width="0.6640625" style="80" customWidth="1"/>
    <col min="12" max="12" width="15.6640625" style="80" customWidth="1"/>
    <col min="13" max="13" width="0.77734375" style="80" customWidth="1"/>
    <col min="14" max="14" width="12.77734375" style="80" customWidth="1"/>
    <col min="15" max="15" width="0.6640625" style="80" customWidth="1"/>
    <col min="16" max="16" width="14.6640625" style="80" customWidth="1"/>
    <col min="17" max="17" width="0.88671875" style="80" customWidth="1"/>
    <col min="18" max="18" width="18.21875" style="80" customWidth="1"/>
    <col min="19" max="19" width="13.77734375" style="80" customWidth="1"/>
    <col min="20" max="20" width="5.77734375" style="80" customWidth="1"/>
    <col min="21" max="21" width="0.88671875" style="80" customWidth="1"/>
    <col min="22" max="22" width="6.77734375" style="80" customWidth="1"/>
    <col min="23" max="23" width="37.6640625" style="80" customWidth="1"/>
    <col min="24" max="24" width="12.77734375" style="80" customWidth="1"/>
    <col min="25" max="25" width="1" style="80" customWidth="1"/>
    <col min="26" max="26" width="14.21875" style="80" customWidth="1"/>
    <col min="27" max="27" width="1" style="80" customWidth="1"/>
    <col min="28" max="28" width="11.77734375" style="80" customWidth="1"/>
    <col min="29" max="29" width="0.88671875" style="80" customWidth="1"/>
    <col min="30" max="30" width="15.5546875" style="80" customWidth="1"/>
    <col min="31" max="31" width="0.77734375" style="80" customWidth="1"/>
    <col min="32" max="32" width="11.77734375" style="188" customWidth="1"/>
    <col min="33" max="33" width="0.88671875" style="80" customWidth="1"/>
    <col min="34" max="34" width="15" style="80" customWidth="1"/>
    <col min="35" max="35" width="0.5546875" style="80" customWidth="1"/>
    <col min="36" max="36" width="13.77734375" style="188" customWidth="1"/>
    <col min="37" max="37" width="0.44140625" style="80" customWidth="1"/>
    <col min="38" max="38" width="14.44140625" style="80" customWidth="1"/>
    <col min="39" max="39" width="0.6640625" style="80" customWidth="1"/>
    <col min="40" max="40" width="15.44140625" style="80" customWidth="1"/>
    <col min="41" max="41" width="0.77734375" style="80" customWidth="1"/>
    <col min="42" max="42" width="10.77734375" style="188" customWidth="1"/>
    <col min="43" max="99" width="9.77734375" style="80"/>
    <col min="100" max="100" width="20.77734375" style="80" customWidth="1"/>
    <col min="101" max="16384" width="9.77734375" style="80"/>
  </cols>
  <sheetData>
    <row r="1" spans="1:18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</row>
    <row r="2" spans="1:18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</row>
    <row r="3" spans="1:18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</row>
    <row r="4" spans="1:18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</row>
    <row r="5" spans="1:18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</row>
    <row r="6" spans="1:18" x14ac:dyDescent="0.25">
      <c r="A6" s="159" t="str">
        <f>DATA_PERIOD</f>
        <v>DATA: __X__ BASE PERIOD   ____FORECASTED PERIOD</v>
      </c>
      <c r="R6" s="82" t="s">
        <v>178</v>
      </c>
    </row>
    <row r="7" spans="1:18" x14ac:dyDescent="0.25">
      <c r="A7" s="159" t="str">
        <f>TYPE</f>
        <v>TYPE OF FILING: _X_ ORIGINAL   ___UPDATED  ___ REVISED</v>
      </c>
      <c r="R7" s="81" t="s">
        <v>750</v>
      </c>
    </row>
    <row r="8" spans="1:18" x14ac:dyDescent="0.25">
      <c r="A8" s="82" t="s">
        <v>192</v>
      </c>
      <c r="R8" s="82" t="s">
        <v>3</v>
      </c>
    </row>
    <row r="9" spans="1:18" x14ac:dyDescent="0.25">
      <c r="A9" s="253" t="str">
        <f>TIME</f>
        <v>6 Months Actual and 6 Months Projected</v>
      </c>
      <c r="R9" s="159" t="str">
        <f>WIT</f>
        <v>B. L. SAILERS</v>
      </c>
    </row>
    <row r="10" spans="1:18" x14ac:dyDescent="0.25">
      <c r="A10" s="253" t="str">
        <f>INPUT!B5</f>
        <v>6 Months Actual Ending May 31, 2017</v>
      </c>
      <c r="R10" s="159"/>
    </row>
    <row r="11" spans="1:18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</row>
    <row r="12" spans="1:18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</row>
    <row r="13" spans="1:18" ht="18" customHeight="1" x14ac:dyDescent="0.25">
      <c r="L13" s="83" t="s">
        <v>6</v>
      </c>
      <c r="M13" s="83"/>
      <c r="N13" s="83" t="s">
        <v>7</v>
      </c>
      <c r="O13" s="83"/>
      <c r="R13" s="83" t="s">
        <v>6</v>
      </c>
    </row>
    <row r="14" spans="1:18" x14ac:dyDescent="0.25">
      <c r="L14" s="83" t="s">
        <v>12</v>
      </c>
      <c r="M14" s="83"/>
      <c r="N14" s="83" t="s">
        <v>13</v>
      </c>
      <c r="O14" s="83"/>
      <c r="R14" s="83" t="s">
        <v>11</v>
      </c>
    </row>
    <row r="15" spans="1:18" x14ac:dyDescent="0.25">
      <c r="A15" s="83" t="s">
        <v>17</v>
      </c>
      <c r="C15" s="83" t="s">
        <v>18</v>
      </c>
      <c r="D15" s="83" t="s">
        <v>19</v>
      </c>
      <c r="E15" s="83"/>
      <c r="F15" s="83" t="s">
        <v>20</v>
      </c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</row>
    <row r="16" spans="1:18" x14ac:dyDescent="0.25">
      <c r="A16" s="83" t="s">
        <v>24</v>
      </c>
      <c r="C16" s="83" t="s">
        <v>25</v>
      </c>
      <c r="D16" s="83" t="s">
        <v>26</v>
      </c>
      <c r="E16" s="83"/>
      <c r="F16" s="83" t="s">
        <v>27</v>
      </c>
      <c r="H16" s="83" t="s">
        <v>28</v>
      </c>
      <c r="I16" s="83"/>
      <c r="J16" s="83" t="s">
        <v>29</v>
      </c>
      <c r="K16" s="83"/>
      <c r="L16" s="83" t="s">
        <v>475</v>
      </c>
      <c r="M16" s="83"/>
      <c r="N16" s="83" t="s">
        <v>9</v>
      </c>
      <c r="O16" s="83"/>
      <c r="P16" s="83" t="s">
        <v>430</v>
      </c>
      <c r="Q16" s="83"/>
      <c r="R16" s="256" t="s">
        <v>30</v>
      </c>
    </row>
    <row r="17" spans="1:19" x14ac:dyDescent="0.25"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</row>
    <row r="18" spans="1:19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</row>
    <row r="19" spans="1:19" ht="17.100000000000001" customHeight="1" x14ac:dyDescent="0.25">
      <c r="H19" s="259" t="s">
        <v>51</v>
      </c>
      <c r="I19" s="259"/>
      <c r="J19" s="260" t="s">
        <v>418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</row>
    <row r="20" spans="1:19" x14ac:dyDescent="0.25">
      <c r="A20" s="159">
        <v>1</v>
      </c>
      <c r="C20" s="253" t="s">
        <v>54</v>
      </c>
      <c r="D20" s="253" t="s">
        <v>55</v>
      </c>
      <c r="E20" s="82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</row>
    <row r="21" spans="1:19" x14ac:dyDescent="0.25">
      <c r="A21" s="159"/>
      <c r="C21" s="82"/>
      <c r="D21" s="82"/>
      <c r="E21" s="82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</row>
    <row r="22" spans="1:19" x14ac:dyDescent="0.25">
      <c r="A22" s="80">
        <v>2</v>
      </c>
      <c r="C22" s="258" t="s">
        <v>155</v>
      </c>
      <c r="F22" s="78"/>
      <c r="G22" s="70"/>
      <c r="H22" s="78"/>
      <c r="I22" s="78"/>
      <c r="J22" s="268"/>
      <c r="K22" s="268"/>
      <c r="L22" s="79"/>
      <c r="M22" s="79"/>
      <c r="N22" s="156"/>
      <c r="O22" s="156"/>
      <c r="P22" s="79"/>
      <c r="Q22" s="79"/>
      <c r="R22" s="79"/>
      <c r="S22" s="189"/>
    </row>
    <row r="23" spans="1:19" x14ac:dyDescent="0.25">
      <c r="A23" s="159">
        <v>3</v>
      </c>
      <c r="C23" s="153" t="s">
        <v>57</v>
      </c>
      <c r="F23" s="252">
        <v>1525197</v>
      </c>
      <c r="G23" s="70"/>
      <c r="H23" s="78"/>
      <c r="I23" s="78"/>
      <c r="J23" s="283">
        <f>INPUT!D43</f>
        <v>11.219999999999999</v>
      </c>
      <c r="K23" s="284"/>
      <c r="L23" s="163">
        <f>ROUND(F23*J23,0)</f>
        <v>17112710</v>
      </c>
      <c r="M23" s="163"/>
      <c r="N23" s="197">
        <f>ROUND((L23/$L$40)*100,1)</f>
        <v>11.4</v>
      </c>
      <c r="O23" s="198"/>
      <c r="P23" s="163"/>
      <c r="Q23" s="163"/>
      <c r="R23" s="163">
        <f>L23+P23</f>
        <v>17112710</v>
      </c>
      <c r="S23" s="189"/>
    </row>
    <row r="24" spans="1:19" x14ac:dyDescent="0.25">
      <c r="A24" s="159"/>
      <c r="C24" s="82"/>
      <c r="F24" s="230"/>
      <c r="G24" s="70"/>
      <c r="H24" s="78"/>
      <c r="I24" s="78"/>
      <c r="J24" s="284"/>
      <c r="K24" s="284"/>
      <c r="L24" s="163"/>
      <c r="M24" s="79"/>
      <c r="N24" s="197"/>
      <c r="O24" s="156"/>
      <c r="P24" s="163"/>
      <c r="Q24" s="79"/>
      <c r="R24" s="163"/>
      <c r="S24" s="189"/>
    </row>
    <row r="25" spans="1:19" x14ac:dyDescent="0.25">
      <c r="A25" s="80">
        <v>4</v>
      </c>
      <c r="C25" s="258" t="s">
        <v>481</v>
      </c>
      <c r="F25" s="285"/>
      <c r="G25" s="70"/>
      <c r="H25" s="285"/>
      <c r="I25" s="285"/>
      <c r="J25" s="268"/>
      <c r="K25" s="268"/>
      <c r="L25" s="79"/>
      <c r="M25" s="79"/>
      <c r="N25" s="155"/>
      <c r="O25" s="156"/>
      <c r="P25" s="70"/>
      <c r="Q25" s="70"/>
      <c r="R25" s="79"/>
    </row>
    <row r="26" spans="1:19" x14ac:dyDescent="0.25">
      <c r="A26" s="159">
        <v>5</v>
      </c>
      <c r="C26" s="153" t="s">
        <v>144</v>
      </c>
      <c r="F26" s="286"/>
      <c r="G26" s="70"/>
      <c r="H26" s="287">
        <v>1453752034</v>
      </c>
      <c r="I26" s="78"/>
      <c r="J26" s="288">
        <f>INPUT!D44</f>
        <v>8.3907999999999996E-2</v>
      </c>
      <c r="K26" s="289"/>
      <c r="L26" s="167">
        <f>ROUND(H26*J26,0)</f>
        <v>121981426</v>
      </c>
      <c r="M26" s="79"/>
      <c r="N26" s="166">
        <f>ROUND((L26/$L$40)*100,1)</f>
        <v>81.2</v>
      </c>
      <c r="O26" s="156"/>
      <c r="P26" s="167"/>
      <c r="Q26" s="79"/>
      <c r="R26" s="167">
        <f>L26+P26</f>
        <v>121981426</v>
      </c>
      <c r="S26" s="189"/>
    </row>
    <row r="27" spans="1:19" x14ac:dyDescent="0.25">
      <c r="A27" s="159"/>
      <c r="C27" s="153"/>
      <c r="F27" s="230"/>
      <c r="G27" s="70"/>
      <c r="H27" s="252"/>
      <c r="I27" s="78"/>
      <c r="J27" s="290"/>
      <c r="K27" s="289"/>
      <c r="L27" s="163"/>
      <c r="M27" s="79"/>
      <c r="N27" s="197"/>
      <c r="O27" s="156"/>
      <c r="P27" s="163"/>
      <c r="Q27" s="79"/>
      <c r="R27" s="163"/>
      <c r="S27" s="189"/>
    </row>
    <row r="28" spans="1:19" ht="17.100000000000001" customHeight="1" x14ac:dyDescent="0.25">
      <c r="A28" s="159">
        <v>6</v>
      </c>
      <c r="C28" s="265" t="s">
        <v>554</v>
      </c>
      <c r="F28" s="286">
        <f>F23</f>
        <v>1525197</v>
      </c>
      <c r="G28" s="70"/>
      <c r="H28" s="286">
        <f>H26</f>
        <v>1453752034</v>
      </c>
      <c r="I28" s="78"/>
      <c r="J28" s="290"/>
      <c r="K28" s="289"/>
      <c r="L28" s="167">
        <f>SUM(L23:L26)</f>
        <v>139094136</v>
      </c>
      <c r="M28" s="79"/>
      <c r="N28" s="166">
        <f>ROUND((L28/$L$40)*100,1)</f>
        <v>92.6</v>
      </c>
      <c r="O28" s="156"/>
      <c r="P28" s="167"/>
      <c r="Q28" s="79"/>
      <c r="R28" s="167">
        <f>SUM(R23:R26)</f>
        <v>139094136</v>
      </c>
      <c r="S28" s="189"/>
    </row>
    <row r="29" spans="1:19" x14ac:dyDescent="0.25">
      <c r="A29" s="159"/>
      <c r="C29" s="153"/>
      <c r="F29" s="230"/>
      <c r="G29" s="70"/>
      <c r="H29" s="252"/>
      <c r="I29" s="78"/>
      <c r="J29" s="290"/>
      <c r="K29" s="289"/>
      <c r="L29" s="163"/>
      <c r="M29" s="79"/>
      <c r="N29" s="197"/>
      <c r="O29" s="156"/>
      <c r="P29" s="163"/>
      <c r="Q29" s="79"/>
      <c r="R29" s="163"/>
      <c r="S29" s="189"/>
    </row>
    <row r="30" spans="1:19" x14ac:dyDescent="0.25">
      <c r="A30" s="159">
        <v>7</v>
      </c>
      <c r="C30" s="253" t="s">
        <v>553</v>
      </c>
      <c r="F30" s="230"/>
      <c r="G30" s="70"/>
      <c r="H30" s="252"/>
      <c r="I30" s="78"/>
      <c r="J30" s="290"/>
      <c r="K30" s="289"/>
      <c r="L30" s="163"/>
      <c r="M30" s="79"/>
      <c r="N30" s="197"/>
      <c r="O30" s="156"/>
      <c r="P30" s="163"/>
      <c r="Q30" s="79"/>
      <c r="R30" s="163"/>
      <c r="S30" s="189"/>
    </row>
    <row r="31" spans="1:19" x14ac:dyDescent="0.25">
      <c r="A31" s="159">
        <v>8</v>
      </c>
      <c r="C31" s="153" t="str">
        <f>HEA_Name</f>
        <v>HOME ENERGY ASSISTANCE (HEA)</v>
      </c>
      <c r="F31" s="230"/>
      <c r="G31" s="70"/>
      <c r="H31" s="252"/>
      <c r="I31" s="78"/>
      <c r="J31" s="283">
        <f>DSM_RS_CUST</f>
        <v>0.1</v>
      </c>
      <c r="K31" s="289"/>
      <c r="L31" s="163">
        <f>ROUND(F23*J31,0)</f>
        <v>152520</v>
      </c>
      <c r="M31" s="79"/>
      <c r="N31" s="197">
        <f t="shared" ref="N31:N38" si="0">ROUND((L31/$L$40)*100,1)</f>
        <v>0.1</v>
      </c>
      <c r="O31" s="156"/>
      <c r="P31" s="163"/>
      <c r="Q31" s="79"/>
      <c r="R31" s="163">
        <f>L31+P31</f>
        <v>152520</v>
      </c>
      <c r="S31" s="189"/>
    </row>
    <row r="32" spans="1:19" x14ac:dyDescent="0.25">
      <c r="A32" s="159">
        <v>9</v>
      </c>
      <c r="C32" s="153" t="str">
        <f>DSMR_Name</f>
        <v>DEMAND SIDE MANAGEMENT RIDER (DSMR)</v>
      </c>
      <c r="F32" s="230"/>
      <c r="G32" s="70"/>
      <c r="H32" s="252"/>
      <c r="I32" s="78"/>
      <c r="J32" s="288">
        <f>PRO_DSM_RES</f>
        <v>7.9670000000000001E-3</v>
      </c>
      <c r="K32" s="289"/>
      <c r="L32" s="163">
        <f>ROUND(H26*J32,0)</f>
        <v>11582042</v>
      </c>
      <c r="M32" s="79"/>
      <c r="N32" s="197">
        <f t="shared" si="0"/>
        <v>7.7</v>
      </c>
      <c r="O32" s="156"/>
      <c r="P32" s="163"/>
      <c r="Q32" s="79"/>
      <c r="R32" s="163">
        <f>L32+P32</f>
        <v>11582042</v>
      </c>
      <c r="S32" s="189"/>
    </row>
    <row r="33" spans="1:42" x14ac:dyDescent="0.25">
      <c r="A33" s="159">
        <v>10</v>
      </c>
      <c r="C33" s="153" t="str">
        <f>ESM_Name</f>
        <v>ENVIRONMENTAL SURCHARGE MECHANISM RIDER (ESM)</v>
      </c>
      <c r="F33" s="230"/>
      <c r="G33" s="70"/>
      <c r="H33" s="252"/>
      <c r="I33" s="78"/>
      <c r="J33" s="288">
        <f>PRO_ESM</f>
        <v>0</v>
      </c>
      <c r="K33" s="289"/>
      <c r="L33" s="163">
        <f>ROUND(R28*J33,0)</f>
        <v>0</v>
      </c>
      <c r="M33" s="79"/>
      <c r="N33" s="197">
        <f t="shared" si="0"/>
        <v>0</v>
      </c>
      <c r="O33" s="156"/>
      <c r="P33" s="163"/>
      <c r="Q33" s="79"/>
      <c r="R33" s="163">
        <f>L33+P33</f>
        <v>0</v>
      </c>
      <c r="S33" s="189"/>
    </row>
    <row r="34" spans="1:42" x14ac:dyDescent="0.25">
      <c r="A34" s="159">
        <v>11</v>
      </c>
      <c r="C34" s="153" t="str">
        <f>DCI_Name</f>
        <v>DISTRIBUTION CAPITAL INVESTMENT RIDER (DCI)</v>
      </c>
      <c r="F34" s="230"/>
      <c r="G34" s="70"/>
      <c r="H34" s="252"/>
      <c r="I34" s="78"/>
      <c r="J34" s="288">
        <f>PRO_DCI</f>
        <v>0</v>
      </c>
      <c r="K34" s="289"/>
      <c r="L34" s="163">
        <f>ROUND(H26*J34,0)</f>
        <v>0</v>
      </c>
      <c r="M34" s="79"/>
      <c r="N34" s="197">
        <f t="shared" si="0"/>
        <v>0</v>
      </c>
      <c r="O34" s="156"/>
      <c r="P34" s="163"/>
      <c r="Q34" s="79"/>
      <c r="R34" s="163">
        <f t="shared" ref="R34:R36" si="1">L34+P34</f>
        <v>0</v>
      </c>
      <c r="S34" s="189"/>
    </row>
    <row r="35" spans="1:42" x14ac:dyDescent="0.25">
      <c r="A35" s="159">
        <v>12</v>
      </c>
      <c r="C35" s="153" t="str">
        <f>FAC_Name</f>
        <v>FUEL ADJUSTMENT CLAUSE (FAC)</v>
      </c>
      <c r="F35" s="230"/>
      <c r="G35" s="70"/>
      <c r="H35" s="252"/>
      <c r="I35" s="78"/>
      <c r="J35" s="288">
        <f>PRO_FAC</f>
        <v>1.0280000000000003E-3</v>
      </c>
      <c r="K35" s="289"/>
      <c r="L35" s="163"/>
      <c r="M35" s="79"/>
      <c r="N35" s="197">
        <f t="shared" si="0"/>
        <v>0</v>
      </c>
      <c r="O35" s="156"/>
      <c r="P35" s="163">
        <f>ROUND($H$26*PRO_FAC,0)</f>
        <v>1494457</v>
      </c>
      <c r="Q35" s="79"/>
      <c r="R35" s="163">
        <f t="shared" si="1"/>
        <v>1494457</v>
      </c>
      <c r="S35" s="189"/>
    </row>
    <row r="36" spans="1:42" x14ac:dyDescent="0.25">
      <c r="A36" s="159">
        <v>13</v>
      </c>
      <c r="C36" s="153" t="str">
        <f>FTR_Name</f>
        <v>FERC TRANSMISSION COST RECOVERY RECONCILIATION (FTR)</v>
      </c>
      <c r="F36" s="230"/>
      <c r="G36" s="70"/>
      <c r="H36" s="252"/>
      <c r="I36" s="78"/>
      <c r="J36" s="288">
        <f>PRO_FTR_RES</f>
        <v>0</v>
      </c>
      <c r="K36" s="289"/>
      <c r="L36" s="163">
        <f>ROUND(H26*J36,0)</f>
        <v>0</v>
      </c>
      <c r="M36" s="79"/>
      <c r="N36" s="197">
        <f t="shared" si="0"/>
        <v>0</v>
      </c>
      <c r="O36" s="156"/>
      <c r="P36" s="163"/>
      <c r="Q36" s="79"/>
      <c r="R36" s="163">
        <f t="shared" si="1"/>
        <v>0</v>
      </c>
      <c r="S36" s="189"/>
    </row>
    <row r="37" spans="1:42" x14ac:dyDescent="0.25">
      <c r="A37" s="159">
        <v>14</v>
      </c>
      <c r="C37" s="153" t="str">
        <f>PSM_Name</f>
        <v>PROFIT SHARING MECHANISM (PSM)</v>
      </c>
      <c r="F37" s="230"/>
      <c r="G37" s="70"/>
      <c r="H37" s="252"/>
      <c r="I37" s="78"/>
      <c r="J37" s="288">
        <f>PRO_PSM</f>
        <v>-4.5600000000000003E-4</v>
      </c>
      <c r="K37" s="289"/>
      <c r="L37" s="167">
        <f>ROUND(H26*J37,0)</f>
        <v>-662911</v>
      </c>
      <c r="M37" s="79"/>
      <c r="N37" s="166">
        <f t="shared" si="0"/>
        <v>-0.4</v>
      </c>
      <c r="O37" s="156"/>
      <c r="P37" s="167"/>
      <c r="Q37" s="79"/>
      <c r="R37" s="167">
        <f t="shared" ref="R37" si="2">L37+P37</f>
        <v>-662911</v>
      </c>
      <c r="S37" s="189"/>
    </row>
    <row r="38" spans="1:42" ht="18" customHeight="1" x14ac:dyDescent="0.25">
      <c r="A38" s="159">
        <v>15</v>
      </c>
      <c r="C38" s="253" t="s">
        <v>557</v>
      </c>
      <c r="F38" s="286"/>
      <c r="G38" s="70"/>
      <c r="H38" s="287"/>
      <c r="I38" s="78"/>
      <c r="J38" s="290"/>
      <c r="K38" s="289"/>
      <c r="L38" s="169">
        <f>SUM(L31:L37)</f>
        <v>11071651</v>
      </c>
      <c r="M38" s="79"/>
      <c r="N38" s="170">
        <f t="shared" si="0"/>
        <v>7.4</v>
      </c>
      <c r="O38" s="156"/>
      <c r="P38" s="169">
        <f>SUM(P31:P37)</f>
        <v>1494457</v>
      </c>
      <c r="Q38" s="79"/>
      <c r="R38" s="169">
        <f>SUM(R31:R37)</f>
        <v>12566108</v>
      </c>
      <c r="S38" s="189"/>
    </row>
    <row r="39" spans="1:42" x14ac:dyDescent="0.25">
      <c r="A39" s="159"/>
      <c r="C39" s="82"/>
      <c r="F39" s="70"/>
      <c r="G39" s="70"/>
      <c r="H39" s="70"/>
      <c r="I39" s="70"/>
      <c r="J39" s="263"/>
      <c r="K39" s="263"/>
      <c r="L39" s="79"/>
      <c r="M39" s="79"/>
      <c r="N39" s="155"/>
      <c r="O39" s="156"/>
      <c r="P39" s="79"/>
      <c r="Q39" s="79"/>
      <c r="R39" s="79"/>
      <c r="S39" s="189"/>
    </row>
    <row r="40" spans="1:42" ht="24.95" customHeight="1" thickBot="1" x14ac:dyDescent="0.3">
      <c r="A40" s="159">
        <v>16</v>
      </c>
      <c r="C40" s="265" t="s">
        <v>558</v>
      </c>
      <c r="F40" s="275">
        <f>F23</f>
        <v>1525197</v>
      </c>
      <c r="G40" s="70"/>
      <c r="H40" s="275">
        <f>H26</f>
        <v>1453752034</v>
      </c>
      <c r="I40" s="79"/>
      <c r="J40" s="263"/>
      <c r="K40" s="263"/>
      <c r="L40" s="275">
        <f>L28+L38</f>
        <v>150165787</v>
      </c>
      <c r="M40" s="79"/>
      <c r="N40" s="291">
        <v>100</v>
      </c>
      <c r="O40" s="156"/>
      <c r="P40" s="275">
        <f>P38</f>
        <v>1494457</v>
      </c>
      <c r="Q40" s="78"/>
      <c r="R40" s="275">
        <f>R28+R38</f>
        <v>151660244</v>
      </c>
      <c r="S40" s="189"/>
    </row>
    <row r="41" spans="1:42" ht="24.95" customHeight="1" thickTop="1" x14ac:dyDescent="0.25">
      <c r="A41" s="159"/>
      <c r="C41" s="81"/>
      <c r="F41" s="163"/>
      <c r="G41" s="70"/>
      <c r="H41" s="163"/>
      <c r="I41" s="79"/>
      <c r="J41" s="263"/>
      <c r="K41" s="263"/>
      <c r="L41" s="163"/>
      <c r="M41" s="79"/>
      <c r="N41" s="198"/>
      <c r="O41" s="156"/>
      <c r="P41" s="163"/>
      <c r="Q41" s="78"/>
      <c r="R41" s="163"/>
      <c r="S41" s="189"/>
    </row>
    <row r="42" spans="1:42" x14ac:dyDescent="0.25">
      <c r="C42" s="173" t="s">
        <v>61</v>
      </c>
      <c r="L42" s="189"/>
      <c r="M42" s="189"/>
      <c r="N42" s="189"/>
      <c r="O42" s="189"/>
      <c r="P42" s="189"/>
      <c r="Q42" s="189"/>
      <c r="R42" s="189"/>
      <c r="S42" s="189"/>
    </row>
    <row r="43" spans="1:42" x14ac:dyDescent="0.25">
      <c r="C43" s="173" t="str">
        <f>"(2) REFLECTS FUEL ADJUSTMENT CLAUSE (FAC) OF "&amp;TEXT(PRO_FAC,"$0.000000;($0.000000)")&amp;"  PER KWH."</f>
        <v>(2) REFLECTS FUEL ADJUSTMENT CLAUSE (FAC) OF $0.001028  PER KWH.</v>
      </c>
    </row>
    <row r="44" spans="1:42" x14ac:dyDescent="0.25">
      <c r="C44" s="173" t="str">
        <f>"(3) REFLECTS FUEL COST RECOVERY INCLUDED IN BASE RATES OF "&amp;TEXT(PRO_BASE_FUEL,"$0.000000;($0.000000)")&amp;"  PER KWH."</f>
        <v>(3) REFLECTS FUEL COST RECOVERY INCLUDED IN BASE RATES OF $0.023837  PER KWH.</v>
      </c>
      <c r="T44" s="150" t="str">
        <f>NAME</f>
        <v>DUKE ENERGY KENTUCKY, INC.</v>
      </c>
      <c r="U44" s="150"/>
      <c r="V44" s="150"/>
      <c r="W44" s="150"/>
      <c r="X44" s="150"/>
      <c r="Y44" s="150"/>
      <c r="Z44" s="150"/>
      <c r="AA44" s="150"/>
      <c r="AB44" s="187"/>
      <c r="AC44" s="187"/>
      <c r="AD44" s="150"/>
      <c r="AE44" s="150"/>
      <c r="AF44" s="190"/>
      <c r="AG44" s="150"/>
      <c r="AH44" s="150"/>
      <c r="AI44" s="150"/>
      <c r="AJ44" s="190"/>
      <c r="AK44" s="150"/>
      <c r="AL44" s="150"/>
      <c r="AM44" s="150"/>
      <c r="AN44" s="150"/>
      <c r="AO44" s="150"/>
      <c r="AP44" s="190"/>
    </row>
    <row r="45" spans="1:42" x14ac:dyDescent="0.25">
      <c r="T45" s="150" t="str">
        <f>CASE_NO</f>
        <v>CASE NO.   2017-00321</v>
      </c>
      <c r="U45" s="150"/>
      <c r="V45" s="150"/>
      <c r="W45" s="150"/>
      <c r="X45" s="150"/>
      <c r="Y45" s="150"/>
      <c r="Z45" s="150"/>
      <c r="AA45" s="150"/>
      <c r="AB45" s="187"/>
      <c r="AC45" s="187"/>
      <c r="AD45" s="150"/>
      <c r="AE45" s="150"/>
      <c r="AF45" s="190"/>
      <c r="AG45" s="150"/>
      <c r="AH45" s="150"/>
      <c r="AI45" s="150"/>
      <c r="AJ45" s="190"/>
      <c r="AK45" s="150"/>
      <c r="AL45" s="150"/>
      <c r="AM45" s="150"/>
      <c r="AN45" s="150"/>
      <c r="AO45" s="150"/>
      <c r="AP45" s="190"/>
    </row>
    <row r="46" spans="1:42" x14ac:dyDescent="0.25">
      <c r="F46" s="229"/>
      <c r="G46" s="229"/>
      <c r="H46" s="229"/>
      <c r="T46" s="187" t="str">
        <f>TITLE</f>
        <v>ANNUALIZED BASE YEAR REVENUES AT PROPOSED VS. MOST CURRENT RATES</v>
      </c>
      <c r="U46" s="150"/>
      <c r="V46" s="150"/>
      <c r="W46" s="150"/>
      <c r="X46" s="150"/>
      <c r="Y46" s="150"/>
      <c r="Z46" s="187"/>
      <c r="AA46" s="187"/>
      <c r="AB46" s="150"/>
      <c r="AC46" s="150"/>
      <c r="AD46" s="150"/>
      <c r="AE46" s="150"/>
      <c r="AF46" s="190"/>
      <c r="AG46" s="150"/>
      <c r="AH46" s="150"/>
      <c r="AI46" s="150"/>
      <c r="AJ46" s="190"/>
      <c r="AK46" s="150"/>
      <c r="AL46" s="150"/>
      <c r="AM46" s="150"/>
      <c r="AN46" s="150"/>
      <c r="AO46" s="150"/>
      <c r="AP46" s="190"/>
    </row>
    <row r="47" spans="1:42" x14ac:dyDescent="0.25">
      <c r="T47" s="150" t="str">
        <f>DATE</f>
        <v>FOR THE TWELVE MONTHS ENDED November 30, 2017</v>
      </c>
      <c r="U47" s="150"/>
      <c r="V47" s="150"/>
      <c r="W47" s="150"/>
      <c r="X47" s="150"/>
      <c r="Y47" s="150"/>
      <c r="Z47" s="150"/>
      <c r="AA47" s="150"/>
      <c r="AB47" s="187"/>
      <c r="AC47" s="187"/>
      <c r="AD47" s="150"/>
      <c r="AE47" s="150"/>
      <c r="AF47" s="190"/>
      <c r="AG47" s="150"/>
      <c r="AH47" s="150"/>
      <c r="AI47" s="150"/>
      <c r="AJ47" s="190"/>
      <c r="AK47" s="150"/>
      <c r="AL47" s="150"/>
      <c r="AM47" s="150"/>
      <c r="AN47" s="150"/>
      <c r="AO47" s="150"/>
      <c r="AP47" s="190"/>
    </row>
    <row r="48" spans="1:42" x14ac:dyDescent="0.25">
      <c r="F48" s="292"/>
      <c r="T48" s="150" t="str">
        <f>SERVICE</f>
        <v>(ELECTRIC SERVICE)</v>
      </c>
      <c r="U48" s="150"/>
      <c r="V48" s="150"/>
      <c r="W48" s="150"/>
      <c r="X48" s="150"/>
      <c r="Y48" s="150"/>
      <c r="Z48" s="150"/>
      <c r="AA48" s="150"/>
      <c r="AB48" s="150"/>
      <c r="AC48" s="150"/>
      <c r="AD48" s="187"/>
      <c r="AE48" s="187"/>
      <c r="AF48" s="190"/>
      <c r="AG48" s="150"/>
      <c r="AH48" s="150"/>
      <c r="AI48" s="150"/>
      <c r="AJ48" s="190"/>
      <c r="AK48" s="150"/>
      <c r="AL48" s="150"/>
      <c r="AM48" s="150"/>
      <c r="AN48" s="150"/>
      <c r="AO48" s="150"/>
      <c r="AP48" s="190"/>
    </row>
    <row r="49" spans="3:42" x14ac:dyDescent="0.25">
      <c r="T49" s="159" t="str">
        <f>DATA_PERIOD</f>
        <v>DATA: __X__ BASE PERIOD   ____FORECASTED PERIOD</v>
      </c>
      <c r="AN49" s="82" t="s">
        <v>179</v>
      </c>
      <c r="AO49" s="82"/>
    </row>
    <row r="50" spans="3:42" x14ac:dyDescent="0.25">
      <c r="C50" s="153"/>
      <c r="T50" s="159" t="str">
        <f>TYPE</f>
        <v>TYPE OF FILING: _X_ ORIGINAL   ___UPDATED  ___ REVISED</v>
      </c>
      <c r="AN50" s="81" t="str">
        <f>R7</f>
        <v>PAGE  2  OF  22</v>
      </c>
      <c r="AO50" s="82"/>
    </row>
    <row r="51" spans="3:42" x14ac:dyDescent="0.25">
      <c r="T51" s="82" t="s">
        <v>192</v>
      </c>
      <c r="AN51" s="82" t="s">
        <v>3</v>
      </c>
      <c r="AO51" s="82"/>
    </row>
    <row r="52" spans="3:42" x14ac:dyDescent="0.25">
      <c r="T52" s="253" t="str">
        <f>TIME</f>
        <v>6 Months Actual and 6 Months Projected</v>
      </c>
      <c r="AN52" s="82" t="str">
        <f>WIT</f>
        <v>B. L. SAILERS</v>
      </c>
      <c r="AO52" s="82"/>
    </row>
    <row r="53" spans="3:42" x14ac:dyDescent="0.25">
      <c r="T53" s="253" t="str">
        <f>INPUT!B5</f>
        <v>6 Months Actual Ending May 31, 2017</v>
      </c>
      <c r="AN53" s="82"/>
      <c r="AO53" s="82"/>
    </row>
    <row r="54" spans="3:42" x14ac:dyDescent="0.25">
      <c r="AD54" s="82" t="s">
        <v>5</v>
      </c>
      <c r="AE54" s="82"/>
      <c r="AN54" s="159"/>
      <c r="AO54" s="159"/>
    </row>
    <row r="55" spans="3:42" x14ac:dyDescent="0.25"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5"/>
      <c r="AG55" s="254"/>
      <c r="AH55" s="254"/>
      <c r="AI55" s="254"/>
      <c r="AJ55" s="255"/>
      <c r="AK55" s="254"/>
      <c r="AL55" s="254"/>
      <c r="AM55" s="254"/>
      <c r="AN55" s="254"/>
      <c r="AO55" s="254"/>
      <c r="AP55" s="255"/>
    </row>
    <row r="56" spans="3:42" ht="18" customHeight="1" x14ac:dyDescent="0.25">
      <c r="AD56" s="83" t="s">
        <v>8</v>
      </c>
      <c r="AE56" s="83"/>
      <c r="AF56" s="195" t="s">
        <v>7</v>
      </c>
      <c r="AG56" s="83"/>
      <c r="AH56" s="83" t="s">
        <v>9</v>
      </c>
      <c r="AI56" s="83"/>
      <c r="AJ56" s="195" t="s">
        <v>10</v>
      </c>
      <c r="AK56" s="83"/>
      <c r="AN56" s="83" t="s">
        <v>8</v>
      </c>
      <c r="AO56" s="83"/>
      <c r="AP56" s="195" t="s">
        <v>11</v>
      </c>
    </row>
    <row r="57" spans="3:42" x14ac:dyDescent="0.25">
      <c r="AB57" s="83" t="s">
        <v>14</v>
      </c>
      <c r="AC57" s="83"/>
      <c r="AD57" s="83" t="s">
        <v>12</v>
      </c>
      <c r="AE57" s="83"/>
      <c r="AF57" s="195" t="s">
        <v>13</v>
      </c>
      <c r="AG57" s="83"/>
      <c r="AH57" s="83" t="s">
        <v>15</v>
      </c>
      <c r="AI57" s="83"/>
      <c r="AJ57" s="195" t="s">
        <v>16</v>
      </c>
      <c r="AK57" s="83"/>
      <c r="AN57" s="83" t="s">
        <v>11</v>
      </c>
      <c r="AO57" s="83"/>
      <c r="AP57" s="195" t="s">
        <v>9</v>
      </c>
    </row>
    <row r="58" spans="3:42" x14ac:dyDescent="0.25">
      <c r="T58" s="83" t="s">
        <v>17</v>
      </c>
      <c r="V58" s="83" t="s">
        <v>18</v>
      </c>
      <c r="W58" s="83" t="s">
        <v>19</v>
      </c>
      <c r="X58" s="83" t="s">
        <v>20</v>
      </c>
      <c r="AB58" s="83" t="s">
        <v>8</v>
      </c>
      <c r="AC58" s="83"/>
      <c r="AD58" s="83" t="s">
        <v>21</v>
      </c>
      <c r="AE58" s="83"/>
      <c r="AF58" s="195" t="s">
        <v>21</v>
      </c>
      <c r="AG58" s="83"/>
      <c r="AH58" s="83" t="s">
        <v>22</v>
      </c>
      <c r="AI58" s="83"/>
      <c r="AJ58" s="195" t="s">
        <v>22</v>
      </c>
      <c r="AK58" s="83"/>
      <c r="AL58" s="83" t="s">
        <v>21</v>
      </c>
      <c r="AM58" s="83"/>
      <c r="AN58" s="83" t="s">
        <v>9</v>
      </c>
      <c r="AO58" s="83"/>
      <c r="AP58" s="195" t="s">
        <v>23</v>
      </c>
    </row>
    <row r="59" spans="3:42" x14ac:dyDescent="0.25">
      <c r="T59" s="83" t="s">
        <v>24</v>
      </c>
      <c r="V59" s="83" t="s">
        <v>25</v>
      </c>
      <c r="W59" s="83" t="s">
        <v>26</v>
      </c>
      <c r="X59" s="83" t="s">
        <v>27</v>
      </c>
      <c r="Z59" s="83" t="s">
        <v>28</v>
      </c>
      <c r="AA59" s="83"/>
      <c r="AB59" s="83" t="s">
        <v>29</v>
      </c>
      <c r="AC59" s="83"/>
      <c r="AD59" s="83" t="s">
        <v>9</v>
      </c>
      <c r="AE59" s="83"/>
      <c r="AF59" s="195" t="s">
        <v>9</v>
      </c>
      <c r="AG59" s="83"/>
      <c r="AH59" s="256" t="s">
        <v>31</v>
      </c>
      <c r="AI59" s="256"/>
      <c r="AJ59" s="257" t="s">
        <v>32</v>
      </c>
      <c r="AK59" s="83"/>
      <c r="AL59" s="83" t="s">
        <v>430</v>
      </c>
      <c r="AM59" s="83"/>
      <c r="AN59" s="256" t="s">
        <v>33</v>
      </c>
      <c r="AO59" s="256"/>
      <c r="AP59" s="257" t="s">
        <v>34</v>
      </c>
    </row>
    <row r="60" spans="3:42" x14ac:dyDescent="0.25">
      <c r="V60" s="256" t="s">
        <v>35</v>
      </c>
      <c r="W60" s="256" t="s">
        <v>36</v>
      </c>
      <c r="X60" s="256" t="s">
        <v>37</v>
      </c>
      <c r="Y60" s="258"/>
      <c r="Z60" s="256" t="s">
        <v>38</v>
      </c>
      <c r="AA60" s="256"/>
      <c r="AB60" s="256" t="s">
        <v>44</v>
      </c>
      <c r="AC60" s="256"/>
      <c r="AD60" s="256" t="s">
        <v>45</v>
      </c>
      <c r="AE60" s="256"/>
      <c r="AF60" s="257" t="s">
        <v>46</v>
      </c>
      <c r="AG60" s="256"/>
      <c r="AH60" s="256" t="s">
        <v>47</v>
      </c>
      <c r="AI60" s="256"/>
      <c r="AJ60" s="257" t="s">
        <v>48</v>
      </c>
      <c r="AK60" s="256"/>
      <c r="AL60" s="256" t="s">
        <v>42</v>
      </c>
      <c r="AM60" s="256"/>
      <c r="AN60" s="256" t="s">
        <v>49</v>
      </c>
      <c r="AO60" s="256"/>
      <c r="AP60" s="257" t="s">
        <v>50</v>
      </c>
    </row>
    <row r="61" spans="3:42" ht="17.100000000000001" customHeight="1" x14ac:dyDescent="0.25"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5"/>
      <c r="AG61" s="254"/>
      <c r="AH61" s="254"/>
      <c r="AI61" s="254"/>
      <c r="AJ61" s="255"/>
      <c r="AK61" s="254"/>
      <c r="AL61" s="254"/>
      <c r="AM61" s="254"/>
      <c r="AN61" s="254"/>
      <c r="AO61" s="254"/>
      <c r="AP61" s="255"/>
    </row>
    <row r="62" spans="3:42" ht="17.100000000000001" customHeight="1" x14ac:dyDescent="0.25">
      <c r="Z62" s="259" t="s">
        <v>51</v>
      </c>
      <c r="AA62" s="259"/>
      <c r="AB62" s="260" t="s">
        <v>418</v>
      </c>
      <c r="AC62" s="259"/>
      <c r="AD62" s="259" t="s">
        <v>52</v>
      </c>
      <c r="AE62" s="259"/>
      <c r="AF62" s="261" t="s">
        <v>53</v>
      </c>
      <c r="AG62" s="259"/>
      <c r="AH62" s="259" t="s">
        <v>52</v>
      </c>
      <c r="AI62" s="259"/>
      <c r="AJ62" s="261" t="s">
        <v>53</v>
      </c>
      <c r="AK62" s="259"/>
      <c r="AL62" s="259" t="s">
        <v>52</v>
      </c>
      <c r="AM62" s="259"/>
      <c r="AN62" s="259" t="s">
        <v>52</v>
      </c>
      <c r="AO62" s="259"/>
      <c r="AP62" s="261" t="s">
        <v>53</v>
      </c>
    </row>
    <row r="63" spans="3:42" x14ac:dyDescent="0.25">
      <c r="T63" s="159">
        <v>1</v>
      </c>
      <c r="V63" s="253" t="s">
        <v>54</v>
      </c>
      <c r="W63" s="253" t="s">
        <v>55</v>
      </c>
      <c r="X63" s="70"/>
      <c r="Y63" s="70"/>
      <c r="Z63" s="70"/>
      <c r="AA63" s="70"/>
      <c r="AB63" s="70"/>
      <c r="AC63" s="70"/>
      <c r="AD63" s="70"/>
      <c r="AE63" s="70"/>
      <c r="AF63" s="164"/>
      <c r="AG63" s="70"/>
      <c r="AH63" s="70"/>
      <c r="AI63" s="70"/>
      <c r="AJ63" s="164"/>
      <c r="AK63" s="70"/>
      <c r="AL63" s="70"/>
      <c r="AM63" s="70"/>
      <c r="AN63" s="70"/>
      <c r="AO63" s="70"/>
      <c r="AP63" s="164"/>
    </row>
    <row r="64" spans="3:42" x14ac:dyDescent="0.25">
      <c r="T64" s="159"/>
      <c r="V64" s="82"/>
      <c r="W64" s="82"/>
      <c r="X64" s="70"/>
      <c r="Y64" s="70"/>
      <c r="Z64" s="70"/>
      <c r="AA64" s="70"/>
      <c r="AB64" s="70"/>
      <c r="AC64" s="70"/>
      <c r="AD64" s="70"/>
      <c r="AE64" s="70"/>
      <c r="AF64" s="164"/>
      <c r="AG64" s="70"/>
      <c r="AH64" s="70"/>
      <c r="AI64" s="70"/>
      <c r="AJ64" s="164"/>
      <c r="AK64" s="70"/>
      <c r="AL64" s="70"/>
      <c r="AM64" s="70"/>
      <c r="AN64" s="70"/>
      <c r="AO64" s="70"/>
      <c r="AP64" s="164"/>
    </row>
    <row r="65" spans="20:42" x14ac:dyDescent="0.25">
      <c r="T65" s="80">
        <v>2</v>
      </c>
      <c r="V65" s="258" t="s">
        <v>155</v>
      </c>
      <c r="X65" s="78"/>
      <c r="Y65" s="70"/>
      <c r="Z65" s="78"/>
      <c r="AA65" s="78"/>
      <c r="AB65" s="268"/>
      <c r="AC65" s="268"/>
      <c r="AD65" s="79"/>
      <c r="AE65" s="79"/>
      <c r="AF65" s="155"/>
      <c r="AG65" s="156"/>
      <c r="AH65" s="79"/>
      <c r="AI65" s="79"/>
      <c r="AJ65" s="164"/>
      <c r="AK65" s="70"/>
      <c r="AL65" s="79"/>
      <c r="AM65" s="79"/>
      <c r="AN65" s="79"/>
      <c r="AO65" s="79"/>
      <c r="AP65" s="155"/>
    </row>
    <row r="66" spans="20:42" x14ac:dyDescent="0.25">
      <c r="T66" s="159">
        <v>3</v>
      </c>
      <c r="V66" s="153" t="s">
        <v>57</v>
      </c>
      <c r="X66" s="163">
        <f>F23</f>
        <v>1525197</v>
      </c>
      <c r="Y66" s="70"/>
      <c r="Z66" s="78"/>
      <c r="AA66" s="78"/>
      <c r="AB66" s="283">
        <f>INPUT!C43</f>
        <v>4.5</v>
      </c>
      <c r="AC66" s="284"/>
      <c r="AD66" s="163">
        <f>ROUND(X66*AB66,0)</f>
        <v>6863387</v>
      </c>
      <c r="AE66" s="163"/>
      <c r="AF66" s="197">
        <f>ROUND((AD66/$AD$83)*100,1)</f>
        <v>5.4</v>
      </c>
      <c r="AG66" s="198"/>
      <c r="AH66" s="163">
        <f>L23-AD66</f>
        <v>10249323</v>
      </c>
      <c r="AI66" s="163"/>
      <c r="AJ66" s="197">
        <f>ROUND((AH66/AD66)*100,1)</f>
        <v>149.30000000000001</v>
      </c>
      <c r="AK66" s="198"/>
      <c r="AL66" s="163"/>
      <c r="AM66" s="163"/>
      <c r="AN66" s="163">
        <f>AD66+AL66</f>
        <v>6863387</v>
      </c>
      <c r="AO66" s="79"/>
      <c r="AP66" s="155">
        <f>ROUND((AH66/AN66)*100,1)</f>
        <v>149.30000000000001</v>
      </c>
    </row>
    <row r="67" spans="20:42" x14ac:dyDescent="0.25">
      <c r="T67" s="159"/>
      <c r="V67" s="82"/>
      <c r="X67" s="163"/>
      <c r="Y67" s="70"/>
      <c r="Z67" s="78"/>
      <c r="AA67" s="78"/>
      <c r="AB67" s="284"/>
      <c r="AC67" s="284"/>
      <c r="AD67" s="163"/>
      <c r="AE67" s="79"/>
      <c r="AF67" s="197"/>
      <c r="AG67" s="156"/>
      <c r="AH67" s="163"/>
      <c r="AI67" s="79"/>
      <c r="AJ67" s="197"/>
      <c r="AK67" s="156"/>
      <c r="AL67" s="163"/>
      <c r="AM67" s="79"/>
      <c r="AN67" s="163"/>
      <c r="AO67" s="79"/>
      <c r="AP67" s="155"/>
    </row>
    <row r="68" spans="20:42" x14ac:dyDescent="0.25">
      <c r="T68" s="80">
        <v>4</v>
      </c>
      <c r="V68" s="258" t="s">
        <v>481</v>
      </c>
      <c r="X68" s="285"/>
      <c r="Y68" s="70"/>
      <c r="Z68" s="285"/>
      <c r="AA68" s="285"/>
      <c r="AB68" s="268"/>
      <c r="AC68" s="268"/>
      <c r="AD68" s="79"/>
      <c r="AE68" s="79"/>
      <c r="AF68" s="155"/>
      <c r="AG68" s="156"/>
      <c r="AH68" s="79"/>
      <c r="AI68" s="79"/>
      <c r="AJ68" s="155"/>
      <c r="AK68" s="156"/>
      <c r="AL68" s="70"/>
      <c r="AM68" s="70"/>
      <c r="AN68" s="79"/>
      <c r="AO68" s="79"/>
      <c r="AP68" s="155"/>
    </row>
    <row r="69" spans="20:42" x14ac:dyDescent="0.25">
      <c r="T69" s="159">
        <v>5</v>
      </c>
      <c r="V69" s="153" t="s">
        <v>144</v>
      </c>
      <c r="X69" s="286"/>
      <c r="Y69" s="70"/>
      <c r="Z69" s="167">
        <f>H26</f>
        <v>1453752034</v>
      </c>
      <c r="AA69" s="79"/>
      <c r="AB69" s="288">
        <f>INPUT!C44</f>
        <v>7.5455999999999995E-2</v>
      </c>
      <c r="AC69" s="293"/>
      <c r="AD69" s="167">
        <f>ROUND((Z69*AB69),0)</f>
        <v>109694313</v>
      </c>
      <c r="AE69" s="79"/>
      <c r="AF69" s="166">
        <f>ROUND((AD69/$AD$83)*100,1)</f>
        <v>85.9</v>
      </c>
      <c r="AG69" s="156"/>
      <c r="AH69" s="167">
        <f>L26-AD69</f>
        <v>12287113</v>
      </c>
      <c r="AI69" s="79"/>
      <c r="AJ69" s="166">
        <f>ROUND((AH69/AD69)*100,1)</f>
        <v>11.2</v>
      </c>
      <c r="AK69" s="156"/>
      <c r="AL69" s="167"/>
      <c r="AM69" s="79"/>
      <c r="AN69" s="167">
        <f>AD69+AL69</f>
        <v>109694313</v>
      </c>
      <c r="AO69" s="79"/>
      <c r="AP69" s="155">
        <f>ROUND((AH69/AN69)*100,1)</f>
        <v>11.2</v>
      </c>
    </row>
    <row r="70" spans="20:42" x14ac:dyDescent="0.25">
      <c r="T70" s="159"/>
      <c r="V70" s="82"/>
      <c r="X70" s="70"/>
      <c r="Y70" s="70"/>
      <c r="Z70" s="70"/>
      <c r="AA70" s="70"/>
      <c r="AB70" s="268"/>
      <c r="AC70" s="268"/>
      <c r="AD70" s="79"/>
      <c r="AE70" s="79"/>
      <c r="AF70" s="155"/>
      <c r="AG70" s="156"/>
      <c r="AH70" s="79"/>
      <c r="AI70" s="79"/>
      <c r="AJ70" s="155"/>
      <c r="AK70" s="156"/>
      <c r="AL70" s="79"/>
      <c r="AM70" s="79"/>
      <c r="AN70" s="79"/>
      <c r="AO70" s="79"/>
      <c r="AP70" s="155"/>
    </row>
    <row r="71" spans="20:42" x14ac:dyDescent="0.25">
      <c r="T71" s="159">
        <v>6</v>
      </c>
      <c r="V71" s="265" t="s">
        <v>554</v>
      </c>
      <c r="X71" s="203">
        <f>X66</f>
        <v>1525197</v>
      </c>
      <c r="Y71" s="70"/>
      <c r="Z71" s="203">
        <f>Z69</f>
        <v>1453752034</v>
      </c>
      <c r="AA71" s="70"/>
      <c r="AB71" s="268"/>
      <c r="AC71" s="268"/>
      <c r="AD71" s="167">
        <f>SUM(AD66:AD69)</f>
        <v>116557700</v>
      </c>
      <c r="AE71" s="79"/>
      <c r="AF71" s="166">
        <f>ROUND((AD71/$AD$83)*100,1)</f>
        <v>91.3</v>
      </c>
      <c r="AG71" s="156"/>
      <c r="AH71" s="167">
        <f>SUM(AH66:AH69)</f>
        <v>22536436</v>
      </c>
      <c r="AI71" s="79"/>
      <c r="AJ71" s="166">
        <f>ROUND((AH71/AD71)*100,1)</f>
        <v>19.3</v>
      </c>
      <c r="AK71" s="156"/>
      <c r="AL71" s="167"/>
      <c r="AM71" s="79"/>
      <c r="AN71" s="167">
        <f>SUM(AN66:AN69)</f>
        <v>116557700</v>
      </c>
      <c r="AO71" s="79"/>
      <c r="AP71" s="155">
        <f>ROUND((AH71/AN71)*100,1)</f>
        <v>19.3</v>
      </c>
    </row>
    <row r="72" spans="20:42" x14ac:dyDescent="0.25">
      <c r="T72" s="159"/>
      <c r="V72" s="153"/>
      <c r="X72" s="70"/>
      <c r="Y72" s="70"/>
      <c r="Z72" s="70"/>
      <c r="AA72" s="70"/>
      <c r="AB72" s="268"/>
      <c r="AC72" s="268"/>
      <c r="AD72" s="79"/>
      <c r="AE72" s="79"/>
      <c r="AF72" s="155"/>
      <c r="AG72" s="156"/>
      <c r="AH72" s="79"/>
      <c r="AI72" s="79"/>
      <c r="AJ72" s="155"/>
      <c r="AK72" s="156"/>
      <c r="AL72" s="79"/>
      <c r="AM72" s="79"/>
      <c r="AN72" s="79"/>
      <c r="AO72" s="79"/>
      <c r="AP72" s="155"/>
    </row>
    <row r="73" spans="20:42" x14ac:dyDescent="0.25">
      <c r="T73" s="159">
        <v>7</v>
      </c>
      <c r="V73" s="253" t="s">
        <v>553</v>
      </c>
      <c r="X73" s="70"/>
      <c r="Y73" s="70"/>
      <c r="Z73" s="70"/>
      <c r="AA73" s="70"/>
      <c r="AB73" s="268"/>
      <c r="AC73" s="268"/>
      <c r="AD73" s="79"/>
      <c r="AE73" s="79"/>
      <c r="AF73" s="155"/>
      <c r="AG73" s="156"/>
      <c r="AH73" s="79"/>
      <c r="AI73" s="79"/>
      <c r="AJ73" s="155"/>
      <c r="AK73" s="156"/>
      <c r="AL73" s="79"/>
      <c r="AM73" s="79"/>
      <c r="AN73" s="79"/>
      <c r="AO73" s="79"/>
      <c r="AP73" s="155"/>
    </row>
    <row r="74" spans="20:42" x14ac:dyDescent="0.25">
      <c r="T74" s="294">
        <f t="shared" ref="T74:V83" si="3">A31</f>
        <v>8</v>
      </c>
      <c r="V74" s="153" t="str">
        <f t="shared" si="3"/>
        <v>HOME ENERGY ASSISTANCE (HEA)</v>
      </c>
      <c r="X74" s="70"/>
      <c r="Y74" s="70"/>
      <c r="Z74" s="70"/>
      <c r="AA74" s="70"/>
      <c r="AB74" s="283">
        <f>DSM_RS_CUST</f>
        <v>0.1</v>
      </c>
      <c r="AC74" s="268"/>
      <c r="AD74" s="163">
        <f>ROUND(X66*AB74,0)</f>
        <v>152520</v>
      </c>
      <c r="AE74" s="79"/>
      <c r="AF74" s="197">
        <f>ROUND((AD74/$AD$83)*100,1)</f>
        <v>0.1</v>
      </c>
      <c r="AG74" s="198"/>
      <c r="AH74" s="163">
        <f>L31-AD74</f>
        <v>0</v>
      </c>
      <c r="AI74" s="163"/>
      <c r="AJ74" s="197">
        <f t="shared" ref="AJ74:AJ81" si="4">ROUND((AH74/AD74)*100,1)</f>
        <v>0</v>
      </c>
      <c r="AK74" s="198"/>
      <c r="AL74" s="163"/>
      <c r="AM74" s="163"/>
      <c r="AN74" s="163">
        <f t="shared" ref="AN74:AN80" si="5">AD74+AL74</f>
        <v>152520</v>
      </c>
      <c r="AO74" s="79"/>
      <c r="AP74" s="155">
        <f t="shared" ref="AP74:AP80" si="6">ROUND((AH74/AN74)*100,1)</f>
        <v>0</v>
      </c>
    </row>
    <row r="75" spans="20:42" x14ac:dyDescent="0.25">
      <c r="T75" s="294">
        <f t="shared" si="3"/>
        <v>9</v>
      </c>
      <c r="V75" s="153" t="str">
        <f t="shared" si="3"/>
        <v>DEMAND SIDE MANAGEMENT RIDER (DSMR)</v>
      </c>
      <c r="X75" s="70"/>
      <c r="Y75" s="70"/>
      <c r="Z75" s="70"/>
      <c r="AA75" s="70"/>
      <c r="AB75" s="295">
        <f>DSM_RES</f>
        <v>7.9670000000000001E-3</v>
      </c>
      <c r="AC75" s="268"/>
      <c r="AD75" s="163">
        <f>ROUND(Z69*AB75,0)</f>
        <v>11582042</v>
      </c>
      <c r="AE75" s="79"/>
      <c r="AF75" s="197">
        <f>ROUND((AD75/$AD$83)*100,1)</f>
        <v>9.1</v>
      </c>
      <c r="AG75" s="198"/>
      <c r="AH75" s="163">
        <f t="shared" ref="AH75:AH79" si="7">L32-AD75</f>
        <v>0</v>
      </c>
      <c r="AI75" s="163"/>
      <c r="AJ75" s="197">
        <f t="shared" si="4"/>
        <v>0</v>
      </c>
      <c r="AK75" s="198"/>
      <c r="AL75" s="163"/>
      <c r="AM75" s="163"/>
      <c r="AN75" s="163">
        <f t="shared" si="5"/>
        <v>11582042</v>
      </c>
      <c r="AO75" s="79"/>
      <c r="AP75" s="155">
        <f t="shared" si="6"/>
        <v>0</v>
      </c>
    </row>
    <row r="76" spans="20:42" x14ac:dyDescent="0.25">
      <c r="T76" s="294">
        <f t="shared" si="3"/>
        <v>10</v>
      </c>
      <c r="V76" s="153" t="str">
        <f t="shared" si="3"/>
        <v>ENVIRONMENTAL SURCHARGE MECHANISM RIDER (ESM)</v>
      </c>
      <c r="X76" s="70"/>
      <c r="Y76" s="70"/>
      <c r="Z76" s="70"/>
      <c r="AA76" s="70"/>
      <c r="AB76" s="295">
        <f>CUR_ESM</f>
        <v>0</v>
      </c>
      <c r="AC76" s="268"/>
      <c r="AD76" s="163">
        <f>ROUND(AN71*AB76,0)</f>
        <v>0</v>
      </c>
      <c r="AE76" s="79"/>
      <c r="AF76" s="197">
        <f t="shared" ref="AF76:AF79" si="8">ROUND((AD76/$AD$83)*100,1)</f>
        <v>0</v>
      </c>
      <c r="AG76" s="198"/>
      <c r="AH76" s="163">
        <f t="shared" si="7"/>
        <v>0</v>
      </c>
      <c r="AI76" s="163"/>
      <c r="AJ76" s="197">
        <f>IFERROR(ROUND((AH76/AD76)*100,1),0)</f>
        <v>0</v>
      </c>
      <c r="AK76" s="198"/>
      <c r="AL76" s="163"/>
      <c r="AM76" s="163"/>
      <c r="AN76" s="163">
        <f t="shared" si="5"/>
        <v>0</v>
      </c>
      <c r="AO76" s="79"/>
      <c r="AP76" s="155">
        <f>IFERROR(ROUND((AH76/AN76)*100,1),0)</f>
        <v>0</v>
      </c>
    </row>
    <row r="77" spans="20:42" x14ac:dyDescent="0.25">
      <c r="T77" s="294">
        <f t="shared" si="3"/>
        <v>11</v>
      </c>
      <c r="V77" s="153" t="str">
        <f t="shared" si="3"/>
        <v>DISTRIBUTION CAPITAL INVESTMENT RIDER (DCI)</v>
      </c>
      <c r="X77" s="70"/>
      <c r="Y77" s="70"/>
      <c r="Z77" s="70"/>
      <c r="AA77" s="70"/>
      <c r="AB77" s="295">
        <f>CUR_DCI</f>
        <v>0</v>
      </c>
      <c r="AC77" s="268"/>
      <c r="AD77" s="163">
        <f>ROUND(Z69*AB77,0)</f>
        <v>0</v>
      </c>
      <c r="AE77" s="79"/>
      <c r="AF77" s="197">
        <f t="shared" si="8"/>
        <v>0</v>
      </c>
      <c r="AG77" s="198"/>
      <c r="AH77" s="163">
        <f t="shared" si="7"/>
        <v>0</v>
      </c>
      <c r="AI77" s="163"/>
      <c r="AJ77" s="197">
        <f>IFERROR(ROUND((AH77/AD77)*100,1),0)</f>
        <v>0</v>
      </c>
      <c r="AK77" s="198"/>
      <c r="AL77" s="163"/>
      <c r="AM77" s="163"/>
      <c r="AN77" s="163">
        <f t="shared" si="5"/>
        <v>0</v>
      </c>
      <c r="AO77" s="79"/>
      <c r="AP77" s="155">
        <f>IFERROR(ROUND((AH77/AN77)*100,1),0)</f>
        <v>0</v>
      </c>
    </row>
    <row r="78" spans="20:42" x14ac:dyDescent="0.25">
      <c r="T78" s="294">
        <f t="shared" si="3"/>
        <v>12</v>
      </c>
      <c r="V78" s="153" t="str">
        <f t="shared" si="3"/>
        <v>FUEL ADJUSTMENT CLAUSE (FAC)</v>
      </c>
      <c r="X78" s="70"/>
      <c r="Y78" s="70"/>
      <c r="Z78" s="70"/>
      <c r="AA78" s="70"/>
      <c r="AB78" s="295">
        <f>CUR_FAC</f>
        <v>1.0280000000000001E-3</v>
      </c>
      <c r="AC78" s="268"/>
      <c r="AD78" s="163"/>
      <c r="AE78" s="79"/>
      <c r="AF78" s="197"/>
      <c r="AG78" s="198"/>
      <c r="AH78" s="163"/>
      <c r="AI78" s="163"/>
      <c r="AJ78" s="197"/>
      <c r="AK78" s="198"/>
      <c r="AL78" s="163">
        <f>ROUND(Z69*CUR_FAC,0)</f>
        <v>1494457</v>
      </c>
      <c r="AM78" s="163"/>
      <c r="AN78" s="163">
        <f t="shared" si="5"/>
        <v>1494457</v>
      </c>
      <c r="AO78" s="79"/>
      <c r="AP78" s="155">
        <f>ROUND(((R35-AN78)/AN78)*100,1)</f>
        <v>0</v>
      </c>
    </row>
    <row r="79" spans="20:42" x14ac:dyDescent="0.25">
      <c r="T79" s="294">
        <f t="shared" si="3"/>
        <v>13</v>
      </c>
      <c r="V79" s="153" t="str">
        <f>C36</f>
        <v>FERC TRANSMISSION COST RECOVERY RECONCILIATION (FTR)</v>
      </c>
      <c r="X79" s="70"/>
      <c r="Y79" s="70"/>
      <c r="Z79" s="70"/>
      <c r="AA79" s="70"/>
      <c r="AB79" s="295">
        <f>CUR_FTR_RES</f>
        <v>0</v>
      </c>
      <c r="AC79" s="268"/>
      <c r="AD79" s="163">
        <f>ROUND(Z69*AB79,0)</f>
        <v>0</v>
      </c>
      <c r="AE79" s="79"/>
      <c r="AF79" s="197">
        <f t="shared" si="8"/>
        <v>0</v>
      </c>
      <c r="AG79" s="198"/>
      <c r="AH79" s="163">
        <f t="shared" si="7"/>
        <v>0</v>
      </c>
      <c r="AI79" s="163"/>
      <c r="AJ79" s="197">
        <f>IFERROR(ROUND((AH79/AD79)*100,1),0)</f>
        <v>0</v>
      </c>
      <c r="AK79" s="198"/>
      <c r="AL79" s="163"/>
      <c r="AM79" s="163"/>
      <c r="AN79" s="163">
        <f t="shared" si="5"/>
        <v>0</v>
      </c>
      <c r="AO79" s="79"/>
      <c r="AP79" s="155">
        <f>IFERROR(ROUND((AH79/AN79)*100,1),0)</f>
        <v>0</v>
      </c>
    </row>
    <row r="80" spans="20:42" x14ac:dyDescent="0.25">
      <c r="T80" s="294">
        <f t="shared" si="3"/>
        <v>14</v>
      </c>
      <c r="V80" s="153" t="str">
        <f>C37</f>
        <v>PROFIT SHARING MECHANISM (PSM)</v>
      </c>
      <c r="X80" s="85"/>
      <c r="Y80" s="85"/>
      <c r="Z80" s="85"/>
      <c r="AA80" s="70"/>
      <c r="AB80" s="295">
        <f>RS_PSM</f>
        <v>-4.5600000000000003E-4</v>
      </c>
      <c r="AC80" s="268"/>
      <c r="AD80" s="167">
        <f>ROUND(Z69*AB80,0)</f>
        <v>-662911</v>
      </c>
      <c r="AE80" s="79"/>
      <c r="AF80" s="166">
        <f>ROUND((AD80/$AD$83)*100,1)</f>
        <v>-0.5</v>
      </c>
      <c r="AG80" s="198"/>
      <c r="AH80" s="167">
        <f>L37-AD80</f>
        <v>0</v>
      </c>
      <c r="AI80" s="163"/>
      <c r="AJ80" s="166">
        <f t="shared" si="4"/>
        <v>0</v>
      </c>
      <c r="AK80" s="198"/>
      <c r="AL80" s="167"/>
      <c r="AM80" s="163"/>
      <c r="AN80" s="167">
        <f t="shared" si="5"/>
        <v>-662911</v>
      </c>
      <c r="AO80" s="79"/>
      <c r="AP80" s="155">
        <f t="shared" si="6"/>
        <v>0</v>
      </c>
    </row>
    <row r="81" spans="20:42" ht="18" customHeight="1" x14ac:dyDescent="0.25">
      <c r="T81" s="294">
        <f t="shared" si="3"/>
        <v>15</v>
      </c>
      <c r="V81" s="253" t="s">
        <v>557</v>
      </c>
      <c r="X81" s="84"/>
      <c r="Y81" s="70"/>
      <c r="Z81" s="84"/>
      <c r="AA81" s="70"/>
      <c r="AB81" s="268"/>
      <c r="AC81" s="268"/>
      <c r="AD81" s="169">
        <f>SUM(AD74:AD80)</f>
        <v>11071651</v>
      </c>
      <c r="AE81" s="79"/>
      <c r="AF81" s="170">
        <f>ROUND((AD81/$AD$83)*100,1)</f>
        <v>8.6999999999999993</v>
      </c>
      <c r="AG81" s="156"/>
      <c r="AH81" s="169">
        <f>SUM(AH74:AH80)</f>
        <v>0</v>
      </c>
      <c r="AI81" s="79"/>
      <c r="AJ81" s="170">
        <f t="shared" si="4"/>
        <v>0</v>
      </c>
      <c r="AK81" s="156"/>
      <c r="AL81" s="169">
        <f>SUM(AL74:AL80)</f>
        <v>1494457</v>
      </c>
      <c r="AM81" s="79"/>
      <c r="AN81" s="169">
        <f>SUM(AN74:AN80)</f>
        <v>12566108</v>
      </c>
      <c r="AO81" s="79"/>
      <c r="AP81" s="155">
        <f>ROUND((AH81/AN81)*100,1)</f>
        <v>0</v>
      </c>
    </row>
    <row r="82" spans="20:42" x14ac:dyDescent="0.25">
      <c r="T82" s="159"/>
      <c r="V82" s="82"/>
      <c r="X82" s="70"/>
      <c r="Y82" s="70"/>
      <c r="Z82" s="70"/>
      <c r="AA82" s="70"/>
      <c r="AB82" s="268"/>
      <c r="AC82" s="268"/>
      <c r="AD82" s="79"/>
      <c r="AE82" s="79"/>
      <c r="AF82" s="155"/>
      <c r="AG82" s="156"/>
      <c r="AH82" s="79"/>
      <c r="AI82" s="79"/>
      <c r="AJ82" s="155"/>
      <c r="AK82" s="156"/>
      <c r="AL82" s="79"/>
      <c r="AM82" s="79"/>
      <c r="AN82" s="79"/>
      <c r="AO82" s="79"/>
      <c r="AP82" s="155"/>
    </row>
    <row r="83" spans="20:42" ht="24.95" customHeight="1" thickBot="1" x14ac:dyDescent="0.3">
      <c r="T83" s="294">
        <f t="shared" si="3"/>
        <v>16</v>
      </c>
      <c r="V83" s="265" t="s">
        <v>558</v>
      </c>
      <c r="X83" s="275">
        <f>X66</f>
        <v>1525197</v>
      </c>
      <c r="Y83" s="70"/>
      <c r="Z83" s="275">
        <f>Z69</f>
        <v>1453752034</v>
      </c>
      <c r="AA83" s="79"/>
      <c r="AB83" s="268"/>
      <c r="AC83" s="268"/>
      <c r="AD83" s="275">
        <f>AD71+AD81</f>
        <v>127629351</v>
      </c>
      <c r="AE83" s="79"/>
      <c r="AF83" s="291">
        <v>100</v>
      </c>
      <c r="AG83" s="156"/>
      <c r="AH83" s="275">
        <f>AH71+AH81</f>
        <v>22536436</v>
      </c>
      <c r="AI83" s="79"/>
      <c r="AJ83" s="291">
        <f>ROUND((AH83/AD83)*100,1)</f>
        <v>17.7</v>
      </c>
      <c r="AK83" s="156"/>
      <c r="AL83" s="275">
        <f>AL71+AL81</f>
        <v>1494457</v>
      </c>
      <c r="AM83" s="79"/>
      <c r="AN83" s="275">
        <f>AN71+AN81</f>
        <v>129123808</v>
      </c>
      <c r="AO83" s="79"/>
      <c r="AP83" s="155">
        <f>ROUND((AH83/AN83)*100,1)</f>
        <v>17.5</v>
      </c>
    </row>
    <row r="84" spans="20:42" ht="24.95" customHeight="1" thickTop="1" x14ac:dyDescent="0.25">
      <c r="T84" s="159"/>
      <c r="V84" s="81"/>
      <c r="X84" s="163"/>
      <c r="Y84" s="70"/>
      <c r="Z84" s="163"/>
      <c r="AA84" s="79"/>
      <c r="AB84" s="268"/>
      <c r="AC84" s="268"/>
      <c r="AD84" s="163"/>
      <c r="AE84" s="79"/>
      <c r="AF84" s="197"/>
      <c r="AG84" s="156"/>
      <c r="AH84" s="163"/>
      <c r="AI84" s="79"/>
      <c r="AJ84" s="197"/>
      <c r="AK84" s="156"/>
      <c r="AL84" s="163"/>
      <c r="AM84" s="79"/>
      <c r="AN84" s="163"/>
      <c r="AO84" s="79"/>
      <c r="AP84" s="155"/>
    </row>
    <row r="85" spans="20:42" x14ac:dyDescent="0.25">
      <c r="V85" s="173" t="s">
        <v>61</v>
      </c>
      <c r="AD85" s="189"/>
      <c r="AE85" s="189"/>
      <c r="AF85" s="296"/>
      <c r="AG85" s="189"/>
      <c r="AL85" s="189"/>
      <c r="AM85" s="189"/>
      <c r="AN85" s="189"/>
      <c r="AO85" s="189"/>
    </row>
    <row r="86" spans="20:42" x14ac:dyDescent="0.25">
      <c r="V86" s="173" t="str">
        <f>"(2) REFLECTS FUEL ADJUSTMENT CLAUSE (FAC) OF "&amp;TEXT(CUR_FAC,"$0.000000;($0.000000)")&amp;"  PER KWH."</f>
        <v>(2) REFLECTS FUEL ADJUSTMENT CLAUSE (FAC) OF $0.001028  PER KWH.</v>
      </c>
    </row>
    <row r="87" spans="20:42" x14ac:dyDescent="0.25">
      <c r="V87" s="173" t="str">
        <f>"(3) REFLECTS FUEL COST RECOVERY INCLUDED IN BASE RATES OF "&amp;TEXT(CUR_BASE_FUEL,"$0.000000;($0.000000)")&amp;"  PER KWH."</f>
        <v>(3) REFLECTS FUEL COST RECOVERY INCLUDED IN BASE RATES OF $0.023837  PER KWH.</v>
      </c>
    </row>
    <row r="200" spans="1:101" x14ac:dyDescent="0.25">
      <c r="A200" s="82"/>
    </row>
    <row r="201" spans="1:101" x14ac:dyDescent="0.25">
      <c r="A201" s="82"/>
    </row>
    <row r="202" spans="1:101" x14ac:dyDescent="0.25">
      <c r="A202" s="82"/>
    </row>
    <row r="203" spans="1:101" x14ac:dyDescent="0.25">
      <c r="A203" s="82"/>
    </row>
    <row r="204" spans="1:101" x14ac:dyDescent="0.25">
      <c r="A204" s="82"/>
    </row>
    <row r="205" spans="1:101" x14ac:dyDescent="0.25">
      <c r="A205" s="82"/>
    </row>
    <row r="206" spans="1:101" x14ac:dyDescent="0.25">
      <c r="A206" s="82"/>
    </row>
    <row r="207" spans="1:101" x14ac:dyDescent="0.25">
      <c r="A207" s="82"/>
    </row>
    <row r="208" spans="1:101" x14ac:dyDescent="0.25">
      <c r="A208" s="82"/>
      <c r="CV208" s="82"/>
      <c r="CW208" s="82"/>
    </row>
    <row r="209" spans="1:101" x14ac:dyDescent="0.25">
      <c r="A209" s="82"/>
      <c r="CV209" s="82"/>
      <c r="CW209" s="82"/>
    </row>
    <row r="210" spans="1:101" x14ac:dyDescent="0.25">
      <c r="A210" s="82"/>
      <c r="CV210" s="82"/>
      <c r="CW210" s="82"/>
    </row>
    <row r="211" spans="1:101" x14ac:dyDescent="0.25">
      <c r="CV211" s="82"/>
      <c r="CW211" s="82"/>
    </row>
    <row r="212" spans="1:101" x14ac:dyDescent="0.25">
      <c r="CV212" s="82"/>
      <c r="CW212" s="82"/>
    </row>
    <row r="213" spans="1:101" x14ac:dyDescent="0.25">
      <c r="CV213" s="82"/>
      <c r="CW213" s="82"/>
    </row>
    <row r="214" spans="1:101" x14ac:dyDescent="0.25">
      <c r="CV214" s="82"/>
      <c r="CW214" s="82"/>
    </row>
    <row r="215" spans="1:101" x14ac:dyDescent="0.25">
      <c r="A215" s="82"/>
      <c r="CV215" s="82"/>
      <c r="CW215" s="82"/>
    </row>
    <row r="216" spans="1:101" x14ac:dyDescent="0.25">
      <c r="A216" s="82"/>
      <c r="CV216" s="82"/>
      <c r="CW216" s="82"/>
    </row>
    <row r="217" spans="1:101" x14ac:dyDescent="0.25">
      <c r="CV217" s="82"/>
      <c r="CW217" s="82"/>
    </row>
    <row r="218" spans="1:101" x14ac:dyDescent="0.25">
      <c r="CV218" s="82"/>
      <c r="CW218" s="82"/>
    </row>
    <row r="219" spans="1:101" x14ac:dyDescent="0.25">
      <c r="A219" s="82"/>
      <c r="CV219" s="82"/>
      <c r="CW219" s="82"/>
    </row>
    <row r="220" spans="1:101" x14ac:dyDescent="0.25">
      <c r="CV220" s="82"/>
      <c r="CW220" s="82"/>
    </row>
    <row r="221" spans="1:101" x14ac:dyDescent="0.25">
      <c r="A221" s="82"/>
      <c r="CV221" s="82"/>
      <c r="CW221" s="82"/>
    </row>
    <row r="222" spans="1:101" x14ac:dyDescent="0.25">
      <c r="CV222" s="82"/>
      <c r="CW222" s="82"/>
    </row>
    <row r="223" spans="1:101" x14ac:dyDescent="0.25">
      <c r="A223" s="82"/>
      <c r="CV223" s="82"/>
      <c r="CW223" s="82"/>
    </row>
    <row r="224" spans="1:101" x14ac:dyDescent="0.25">
      <c r="CV224" s="82"/>
      <c r="CW224" s="82"/>
    </row>
    <row r="225" spans="1:101" x14ac:dyDescent="0.25">
      <c r="A225" s="82"/>
      <c r="CV225" s="82"/>
      <c r="CW225" s="82"/>
    </row>
    <row r="226" spans="1:101" x14ac:dyDescent="0.25">
      <c r="CV226" s="82"/>
      <c r="CW226" s="82"/>
    </row>
    <row r="227" spans="1:101" x14ac:dyDescent="0.25">
      <c r="CV227" s="82"/>
      <c r="CW227" s="82"/>
    </row>
    <row r="228" spans="1:101" x14ac:dyDescent="0.25">
      <c r="A228" s="82"/>
      <c r="CV228" s="82"/>
      <c r="CW228" s="82"/>
    </row>
    <row r="229" spans="1:101" x14ac:dyDescent="0.25">
      <c r="A229" s="82"/>
      <c r="CV229" s="82"/>
      <c r="CW229" s="82"/>
    </row>
    <row r="230" spans="1:101" x14ac:dyDescent="0.25">
      <c r="A230" s="82"/>
      <c r="CV230" s="82"/>
      <c r="CW230" s="82"/>
    </row>
    <row r="231" spans="1:101" x14ac:dyDescent="0.25">
      <c r="A231" s="82"/>
      <c r="CV231" s="82"/>
      <c r="CW231" s="82"/>
    </row>
    <row r="232" spans="1:101" x14ac:dyDescent="0.25">
      <c r="A232" s="82"/>
      <c r="CV232" s="82"/>
      <c r="CW232" s="82"/>
    </row>
    <row r="233" spans="1:101" x14ac:dyDescent="0.25">
      <c r="A233" s="82"/>
      <c r="CV233" s="82"/>
      <c r="CW233" s="82"/>
    </row>
    <row r="234" spans="1:101" x14ac:dyDescent="0.25">
      <c r="A234" s="82"/>
      <c r="CV234" s="82"/>
      <c r="CW234" s="82"/>
    </row>
    <row r="235" spans="1:101" x14ac:dyDescent="0.25">
      <c r="A235" s="82"/>
      <c r="CV235" s="82"/>
      <c r="CW235" s="82"/>
    </row>
    <row r="236" spans="1:101" x14ac:dyDescent="0.25">
      <c r="CV236" s="82"/>
      <c r="CW236" s="82"/>
    </row>
    <row r="237" spans="1:101" x14ac:dyDescent="0.25">
      <c r="CV237" s="82"/>
      <c r="CW237" s="82"/>
    </row>
    <row r="238" spans="1:101" x14ac:dyDescent="0.25">
      <c r="CV238" s="82"/>
      <c r="CW238" s="82"/>
    </row>
    <row r="239" spans="1:101" x14ac:dyDescent="0.25">
      <c r="CV239" s="82"/>
      <c r="CW239" s="82"/>
    </row>
    <row r="240" spans="1:101" x14ac:dyDescent="0.25">
      <c r="CV240" s="82"/>
      <c r="CW240" s="82"/>
    </row>
    <row r="241" spans="100:101" x14ac:dyDescent="0.25">
      <c r="CV241" s="82"/>
      <c r="CW241" s="82"/>
    </row>
    <row r="242" spans="100:101" x14ac:dyDescent="0.25">
      <c r="CV242" s="82"/>
      <c r="CW242" s="82"/>
    </row>
    <row r="243" spans="100:101" x14ac:dyDescent="0.25">
      <c r="CV243" s="82"/>
      <c r="CW243" s="82"/>
    </row>
    <row r="244" spans="100:101" x14ac:dyDescent="0.25">
      <c r="CV244" s="82"/>
      <c r="CW244" s="82"/>
    </row>
    <row r="245" spans="100:101" x14ac:dyDescent="0.25">
      <c r="CV245" s="82"/>
      <c r="CW245" s="82"/>
    </row>
    <row r="246" spans="100:101" x14ac:dyDescent="0.25">
      <c r="CV246" s="82"/>
      <c r="CW246" s="82"/>
    </row>
    <row r="247" spans="100:101" x14ac:dyDescent="0.25">
      <c r="CV247" s="82"/>
      <c r="CW247" s="82"/>
    </row>
    <row r="248" spans="100:101" x14ac:dyDescent="0.25">
      <c r="CV248" s="82"/>
      <c r="CW248" s="82"/>
    </row>
    <row r="249" spans="100:101" x14ac:dyDescent="0.25">
      <c r="CV249" s="82"/>
      <c r="CW249" s="82"/>
    </row>
    <row r="250" spans="100:101" x14ac:dyDescent="0.25">
      <c r="CV250" s="82"/>
      <c r="CW250" s="82"/>
    </row>
    <row r="251" spans="100:101" x14ac:dyDescent="0.25">
      <c r="CV251" s="82"/>
      <c r="CW251" s="82"/>
    </row>
    <row r="252" spans="100:101" x14ac:dyDescent="0.25">
      <c r="CV252" s="82"/>
      <c r="CW252" s="82"/>
    </row>
    <row r="253" spans="100:101" x14ac:dyDescent="0.25">
      <c r="CV253" s="82"/>
      <c r="CW253" s="82"/>
    </row>
    <row r="254" spans="100:101" x14ac:dyDescent="0.25">
      <c r="CV254" s="82"/>
      <c r="CW254" s="82"/>
    </row>
    <row r="255" spans="100:101" x14ac:dyDescent="0.25">
      <c r="CV255" s="82"/>
      <c r="CW255" s="82"/>
    </row>
    <row r="256" spans="100:101" x14ac:dyDescent="0.25">
      <c r="CV256" s="82"/>
      <c r="CW256" s="82"/>
    </row>
    <row r="257" spans="100:101" x14ac:dyDescent="0.25">
      <c r="CV257" s="82"/>
      <c r="CW257" s="82"/>
    </row>
    <row r="258" spans="100:101" x14ac:dyDescent="0.25">
      <c r="CV258" s="82"/>
      <c r="CW258" s="82"/>
    </row>
    <row r="259" spans="100:101" x14ac:dyDescent="0.25">
      <c r="CV259" s="82"/>
      <c r="CW259" s="82"/>
    </row>
    <row r="260" spans="100:101" x14ac:dyDescent="0.25">
      <c r="CV260" s="82"/>
      <c r="CW260" s="82"/>
    </row>
    <row r="261" spans="100:101" x14ac:dyDescent="0.25">
      <c r="CV261" s="82"/>
      <c r="CW261" s="82"/>
    </row>
    <row r="262" spans="100:101" x14ac:dyDescent="0.25">
      <c r="CV262" s="82"/>
      <c r="CW262" s="82"/>
    </row>
    <row r="263" spans="100:101" x14ac:dyDescent="0.25">
      <c r="CV263" s="82"/>
      <c r="CW263" s="82"/>
    </row>
    <row r="264" spans="100:101" x14ac:dyDescent="0.25">
      <c r="CV264" s="82"/>
      <c r="CW264" s="82"/>
    </row>
    <row r="265" spans="100:101" x14ac:dyDescent="0.25">
      <c r="CV265" s="82"/>
      <c r="CW265" s="82"/>
    </row>
    <row r="266" spans="100:101" x14ac:dyDescent="0.25">
      <c r="CV266" s="82"/>
      <c r="CW266" s="82"/>
    </row>
    <row r="267" spans="100:101" x14ac:dyDescent="0.25">
      <c r="CV267" s="82"/>
      <c r="CW267" s="82"/>
    </row>
    <row r="268" spans="100:101" x14ac:dyDescent="0.25">
      <c r="CV268" s="82"/>
      <c r="CW268" s="82"/>
    </row>
    <row r="269" spans="100:101" x14ac:dyDescent="0.25">
      <c r="CV269" s="82"/>
      <c r="CW269" s="82"/>
    </row>
    <row r="270" spans="100:101" x14ac:dyDescent="0.25">
      <c r="CV270" s="82"/>
      <c r="CW270" s="82"/>
    </row>
    <row r="271" spans="100:101" x14ac:dyDescent="0.25">
      <c r="CV271" s="82"/>
      <c r="CW271" s="82"/>
    </row>
    <row r="272" spans="100:101" x14ac:dyDescent="0.25">
      <c r="CV272" s="82"/>
      <c r="CW272" s="82"/>
    </row>
    <row r="273" spans="100:101" x14ac:dyDescent="0.25">
      <c r="CV273" s="82"/>
      <c r="CW273" s="82"/>
    </row>
    <row r="274" spans="100:101" x14ac:dyDescent="0.25">
      <c r="CV274" s="82"/>
      <c r="CW274" s="82"/>
    </row>
    <row r="275" spans="100:101" x14ac:dyDescent="0.25">
      <c r="CV275" s="82"/>
      <c r="CW275" s="82"/>
    </row>
    <row r="276" spans="100:101" x14ac:dyDescent="0.25">
      <c r="CV276" s="82"/>
      <c r="CW276" s="82"/>
    </row>
    <row r="277" spans="100:101" x14ac:dyDescent="0.25">
      <c r="CV277" s="82"/>
      <c r="CW277" s="82"/>
    </row>
    <row r="278" spans="100:101" x14ac:dyDescent="0.25">
      <c r="CV278" s="82"/>
      <c r="CW278" s="82"/>
    </row>
    <row r="279" spans="100:101" x14ac:dyDescent="0.25">
      <c r="CV279" s="82"/>
      <c r="CW279" s="82"/>
    </row>
    <row r="280" spans="100:101" x14ac:dyDescent="0.25">
      <c r="CV280" s="82"/>
      <c r="CW280" s="82"/>
    </row>
    <row r="281" spans="100:101" x14ac:dyDescent="0.25">
      <c r="CV281" s="82"/>
      <c r="CW281" s="82"/>
    </row>
    <row r="282" spans="100:101" x14ac:dyDescent="0.25">
      <c r="CV282" s="82"/>
      <c r="CW282" s="82"/>
    </row>
    <row r="283" spans="100:101" x14ac:dyDescent="0.25">
      <c r="CV283" s="82"/>
      <c r="CW283" s="82"/>
    </row>
    <row r="284" spans="100:101" x14ac:dyDescent="0.25">
      <c r="CV284" s="82"/>
      <c r="CW284" s="82"/>
    </row>
    <row r="285" spans="100:101" x14ac:dyDescent="0.25">
      <c r="CV285" s="82"/>
      <c r="CW285" s="82"/>
    </row>
    <row r="286" spans="100:101" x14ac:dyDescent="0.25">
      <c r="CV286" s="82"/>
      <c r="CW286" s="82"/>
    </row>
    <row r="287" spans="100:101" x14ac:dyDescent="0.25">
      <c r="CV287" s="82"/>
      <c r="CW287" s="82"/>
    </row>
    <row r="288" spans="100:101" x14ac:dyDescent="0.25">
      <c r="CV288" s="82"/>
      <c r="CW288" s="82"/>
    </row>
    <row r="289" spans="100:101" x14ac:dyDescent="0.25">
      <c r="CV289" s="82"/>
      <c r="CW289" s="82"/>
    </row>
    <row r="290" spans="100:101" x14ac:dyDescent="0.25">
      <c r="CV290" s="82"/>
      <c r="CW290" s="82"/>
    </row>
    <row r="291" spans="100:101" x14ac:dyDescent="0.25">
      <c r="CV291" s="82"/>
      <c r="CW291" s="82"/>
    </row>
    <row r="292" spans="100:101" x14ac:dyDescent="0.25">
      <c r="CV292" s="82"/>
      <c r="CW292" s="82"/>
    </row>
  </sheetData>
  <customSheetViews>
    <customSheetView guid="{195DF303-1BBD-4236-94B5-47432850B006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2"/>
      <headerFooter alignWithMargins="0"/>
    </customSheetView>
    <customSheetView guid="{4BC93440-BA85-4935-A8C9-66DC6AE5DE5E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3"/>
      <headerFooter alignWithMargins="0"/>
    </customSheetView>
    <customSheetView guid="{2431C9E5-7CC2-4B8D-99C3-962247B1DBF5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4"/>
      <headerFooter alignWithMargins="0"/>
    </customSheetView>
    <customSheetView guid="{2EA35095-1ADC-4CC7-8C3C-B487D65FA247}" scale="75" fitToPage="1" showRuler="0" topLeftCell="A26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5"/>
      <headerFooter alignWithMargins="0"/>
    </customSheetView>
    <customSheetView guid="{8FC77C99-DBF7-40B8-99B8-01B75826CDCB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6"/>
      <headerFooter alignWithMargins="0"/>
    </customSheetView>
    <customSheetView guid="{8FB94551-8874-4095-B8FB-5316E0D2FD2C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7"/>
      <headerFooter alignWithMargins="0"/>
    </customSheetView>
    <customSheetView guid="{6B3D5C27-2FDE-4561-9575-1E98BFB869D0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8"/>
      <headerFooter alignWithMargins="0"/>
    </customSheetView>
    <customSheetView guid="{0BC1F393-8A13-47D5-BC6C-0C99615B5AB9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9"/>
      <headerFooter alignWithMargins="0"/>
    </customSheetView>
    <customSheetView guid="{18BDED73-BFA0-442E-87EC-CED86EE4CF94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0"/>
      <headerFooter alignWithMargins="0"/>
    </customSheetView>
    <customSheetView guid="{35F19056-2E6F-4935-B863-78836FE990BF}" scale="75" fitToPage="1" showRuler="0" topLeftCell="A16">
      <selection activeCell="J22" sqref="J22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1"/>
      <headerFooter alignWithMargins="0"/>
    </customSheetView>
    <customSheetView guid="{F562D92E-120C-4AE9-9663-89E64D41DC53}" scale="75" fitToPage="1" printArea="1">
      <selection activeCell="L16" sqref="L16"/>
      <rowBreaks count="3" manualBreakCount="3">
        <brk id="30" max="17" man="1"/>
        <brk id="69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horizontalDpi="300" verticalDpi="300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" manualBreakCount="1">
    <brk id="133" max="65535" man="1"/>
  </rowBreaks>
  <colBreaks count="1" manualBreakCount="1">
    <brk id="1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7"/>
  <dimension ref="A1:BX1145"/>
  <sheetViews>
    <sheetView tabSelected="1" view="pageLayout" zoomScaleNormal="75" workbookViewId="0">
      <selection activeCell="L6" sqref="L6"/>
    </sheetView>
  </sheetViews>
  <sheetFormatPr defaultColWidth="9.77734375" defaultRowHeight="15.75" x14ac:dyDescent="0.25"/>
  <cols>
    <col min="1" max="1" width="4" style="101" customWidth="1"/>
    <col min="2" max="2" width="0.6640625" style="101" customWidth="1"/>
    <col min="3" max="3" width="6.77734375" style="101" customWidth="1"/>
    <col min="4" max="4" width="37.77734375" style="101" customWidth="1"/>
    <col min="5" max="5" width="0.4414062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0.664062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4.77734375" style="101" customWidth="1"/>
    <col min="17" max="17" width="0.5546875" style="101" customWidth="1"/>
    <col min="18" max="18" width="20.21875" style="101" customWidth="1"/>
    <col min="19" max="19" width="8.77734375" style="101" customWidth="1"/>
    <col min="20" max="20" width="5.44140625" style="101" customWidth="1"/>
    <col min="21" max="21" width="0.5546875" style="101" customWidth="1"/>
    <col min="22" max="22" width="4.5546875" style="101" customWidth="1"/>
    <col min="23" max="23" width="39.88671875" style="101" customWidth="1"/>
    <col min="24" max="24" width="0.4414062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6640625" style="101" customWidth="1"/>
    <col min="29" max="29" width="11.44140625" style="101" customWidth="1"/>
    <col min="30" max="30" width="0.554687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88671875" style="101" customWidth="1"/>
    <col min="37" max="37" width="14.5546875" style="183" customWidth="1"/>
    <col min="38" max="38" width="0.664062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751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430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218</v>
      </c>
      <c r="I19" s="259"/>
      <c r="J19" s="260" t="s">
        <v>441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113</v>
      </c>
      <c r="D20" s="253" t="s">
        <v>153</v>
      </c>
      <c r="E20" s="82"/>
      <c r="F20" s="70"/>
      <c r="G20" s="70"/>
      <c r="H20" s="298"/>
      <c r="I20" s="298"/>
      <c r="J20" s="299" t="s">
        <v>435</v>
      </c>
      <c r="K20" s="298"/>
      <c r="L20" s="298"/>
      <c r="M20" s="298"/>
      <c r="N20" s="298"/>
      <c r="O20" s="298"/>
      <c r="P20" s="298"/>
      <c r="Q20" s="298"/>
      <c r="R20" s="298"/>
      <c r="T20" s="154"/>
      <c r="U20" s="154"/>
    </row>
    <row r="21" spans="1:40" x14ac:dyDescent="0.25">
      <c r="A21" s="159">
        <v>2</v>
      </c>
      <c r="B21" s="80"/>
      <c r="C21" s="258"/>
      <c r="D21" s="253" t="s">
        <v>154</v>
      </c>
      <c r="E21" s="82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154"/>
    </row>
    <row r="22" spans="1:40" x14ac:dyDescent="0.25">
      <c r="A22" s="80"/>
      <c r="B22" s="80"/>
      <c r="C22" s="80"/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</row>
    <row r="23" spans="1:40" x14ac:dyDescent="0.25">
      <c r="A23" s="159">
        <v>3</v>
      </c>
      <c r="B23" s="80"/>
      <c r="C23" s="253" t="s">
        <v>155</v>
      </c>
      <c r="D23" s="80"/>
      <c r="E23" s="8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200"/>
      <c r="T23" s="154"/>
      <c r="V23" s="200"/>
      <c r="Y23" s="200"/>
      <c r="Z23" s="300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x14ac:dyDescent="0.25">
      <c r="A24" s="159">
        <v>4</v>
      </c>
      <c r="B24" s="80"/>
      <c r="C24" s="82" t="s">
        <v>688</v>
      </c>
      <c r="D24" s="80"/>
      <c r="E24" s="80"/>
      <c r="F24" s="229">
        <v>1798</v>
      </c>
      <c r="G24" s="70"/>
      <c r="H24" s="70"/>
      <c r="I24" s="70"/>
      <c r="J24" s="301">
        <f>INPUT!D63</f>
        <v>5</v>
      </c>
      <c r="K24" s="70"/>
      <c r="L24" s="79">
        <f>ROUND(F24*J24,0)</f>
        <v>8990</v>
      </c>
      <c r="M24" s="79"/>
      <c r="N24" s="156">
        <f>ROUND((L24/L$53)*100,1)</f>
        <v>0</v>
      </c>
      <c r="O24" s="156"/>
      <c r="P24" s="79"/>
      <c r="Q24" s="302"/>
      <c r="R24" s="79">
        <f>L24+P24</f>
        <v>8990</v>
      </c>
      <c r="S24" s="200"/>
      <c r="T24" s="154"/>
      <c r="V24" s="200"/>
      <c r="Y24" s="200"/>
      <c r="Z24" s="300"/>
      <c r="AA24" s="200"/>
      <c r="AB24" s="200"/>
      <c r="AC24" s="210"/>
      <c r="AD24" s="210"/>
      <c r="AE24" s="200"/>
      <c r="AF24" s="200"/>
      <c r="AG24" s="209"/>
      <c r="AH24" s="210"/>
      <c r="AI24" s="200"/>
      <c r="AJ24" s="200"/>
      <c r="AK24" s="209"/>
      <c r="AL24" s="200"/>
      <c r="AM24" s="210"/>
      <c r="AN24" s="210"/>
    </row>
    <row r="25" spans="1:40" x14ac:dyDescent="0.25">
      <c r="A25" s="159">
        <v>5</v>
      </c>
      <c r="B25" s="80"/>
      <c r="C25" s="82" t="s">
        <v>689</v>
      </c>
      <c r="D25" s="80"/>
      <c r="E25" s="80"/>
      <c r="F25" s="229">
        <v>12</v>
      </c>
      <c r="G25" s="70"/>
      <c r="H25" s="70"/>
      <c r="I25" s="70"/>
      <c r="J25" s="301">
        <f>INPUT!D64</f>
        <v>5</v>
      </c>
      <c r="K25" s="70"/>
      <c r="L25" s="79">
        <f>ROUND(F25*J25,0)</f>
        <v>60</v>
      </c>
      <c r="M25" s="79"/>
      <c r="N25" s="156">
        <f>ROUND((L25/L$53)*100,1)</f>
        <v>0</v>
      </c>
      <c r="O25" s="156"/>
      <c r="P25" s="79"/>
      <c r="Q25" s="302"/>
      <c r="R25" s="79">
        <f>L25+P25</f>
        <v>60</v>
      </c>
      <c r="S25" s="200"/>
      <c r="T25" s="154"/>
      <c r="V25" s="200"/>
      <c r="Y25" s="200"/>
      <c r="Z25" s="300"/>
      <c r="AA25" s="200"/>
      <c r="AB25" s="200"/>
      <c r="AC25" s="210"/>
      <c r="AD25" s="210"/>
      <c r="AE25" s="200"/>
      <c r="AF25" s="200"/>
      <c r="AG25" s="209"/>
      <c r="AH25" s="210"/>
      <c r="AI25" s="200"/>
      <c r="AJ25" s="200"/>
      <c r="AK25" s="209"/>
      <c r="AL25" s="200"/>
      <c r="AM25" s="210"/>
      <c r="AN25" s="210"/>
    </row>
    <row r="26" spans="1:40" x14ac:dyDescent="0.25">
      <c r="A26" s="159">
        <v>6</v>
      </c>
      <c r="B26" s="80"/>
      <c r="C26" s="82" t="s">
        <v>156</v>
      </c>
      <c r="D26" s="80"/>
      <c r="E26" s="80"/>
      <c r="F26" s="225">
        <v>84521</v>
      </c>
      <c r="G26" s="70"/>
      <c r="H26" s="78"/>
      <c r="I26" s="78"/>
      <c r="J26" s="283">
        <f>INPUT!D48</f>
        <v>17.14</v>
      </c>
      <c r="K26" s="284"/>
      <c r="L26" s="79">
        <f>ROUND(F26*J26,0)</f>
        <v>1448690</v>
      </c>
      <c r="M26" s="79"/>
      <c r="N26" s="156">
        <f>ROUND((L26/L$53)*100,1)</f>
        <v>1.4</v>
      </c>
      <c r="O26" s="156"/>
      <c r="P26" s="79"/>
      <c r="Q26" s="302"/>
      <c r="R26" s="79">
        <f>L26+P26</f>
        <v>1448690</v>
      </c>
      <c r="S26" s="200"/>
      <c r="V26" s="211"/>
      <c r="Y26" s="200"/>
      <c r="Z26" s="252"/>
      <c r="AA26" s="200"/>
      <c r="AB26" s="200"/>
      <c r="AC26" s="210"/>
      <c r="AD26" s="210"/>
      <c r="AE26" s="200"/>
      <c r="AF26" s="200"/>
      <c r="AI26" s="200"/>
      <c r="AJ26" s="200"/>
      <c r="AK26" s="209"/>
      <c r="AL26" s="200"/>
    </row>
    <row r="27" spans="1:40" x14ac:dyDescent="0.25">
      <c r="A27" s="159">
        <v>7</v>
      </c>
      <c r="B27" s="80"/>
      <c r="C27" s="82" t="s">
        <v>157</v>
      </c>
      <c r="D27" s="80"/>
      <c r="E27" s="80"/>
      <c r="F27" s="225">
        <v>72501</v>
      </c>
      <c r="G27" s="70"/>
      <c r="H27" s="78"/>
      <c r="I27" s="78"/>
      <c r="J27" s="283">
        <f>INPUT!D49</f>
        <v>34.28</v>
      </c>
      <c r="K27" s="284"/>
      <c r="L27" s="79">
        <f>ROUND(F27*J27,0)</f>
        <v>2485334</v>
      </c>
      <c r="M27" s="79"/>
      <c r="N27" s="156">
        <f>ROUND((L27/L$53)*100,1)</f>
        <v>2.4</v>
      </c>
      <c r="O27" s="156"/>
      <c r="P27" s="79"/>
      <c r="Q27" s="302"/>
      <c r="R27" s="79">
        <f>L27+P27</f>
        <v>2485334</v>
      </c>
      <c r="S27" s="200"/>
      <c r="V27" s="200"/>
      <c r="Y27" s="200"/>
      <c r="Z27" s="252"/>
      <c r="AA27" s="200"/>
      <c r="AB27" s="200"/>
      <c r="AC27" s="210"/>
      <c r="AD27" s="210"/>
      <c r="AE27" s="200"/>
      <c r="AF27" s="200"/>
      <c r="AI27" s="200"/>
      <c r="AJ27" s="200"/>
      <c r="AK27" s="209"/>
      <c r="AL27" s="200"/>
    </row>
    <row r="28" spans="1:40" ht="20.100000000000001" customHeight="1" x14ac:dyDescent="0.25">
      <c r="A28" s="159">
        <v>8</v>
      </c>
      <c r="B28" s="80"/>
      <c r="C28" s="253" t="s">
        <v>158</v>
      </c>
      <c r="D28" s="80"/>
      <c r="E28" s="80"/>
      <c r="F28" s="169">
        <f>SUM(F26:F27)</f>
        <v>157022</v>
      </c>
      <c r="G28" s="70"/>
      <c r="H28" s="79"/>
      <c r="I28" s="79"/>
      <c r="J28" s="268"/>
      <c r="K28" s="268"/>
      <c r="L28" s="169">
        <f>SUM(L24:L27)</f>
        <v>3943074</v>
      </c>
      <c r="M28" s="79"/>
      <c r="N28" s="303">
        <f>ROUND((L28/L$53)*100,1)</f>
        <v>3.8</v>
      </c>
      <c r="O28" s="156"/>
      <c r="P28" s="169"/>
      <c r="Q28" s="79"/>
      <c r="R28" s="169">
        <f>SUM(R24:R27)</f>
        <v>3943074</v>
      </c>
      <c r="S28" s="200"/>
      <c r="T28" s="154"/>
      <c r="V28" s="200"/>
      <c r="Y28" s="200"/>
      <c r="Z28" s="304"/>
      <c r="AA28" s="200"/>
      <c r="AB28" s="200"/>
      <c r="AC28" s="210"/>
      <c r="AD28" s="210"/>
      <c r="AE28" s="200"/>
      <c r="AF28" s="200"/>
      <c r="AG28" s="209"/>
      <c r="AH28" s="210"/>
      <c r="AI28" s="200"/>
      <c r="AJ28" s="200"/>
      <c r="AK28" s="209"/>
      <c r="AL28" s="200"/>
      <c r="AM28" s="210"/>
      <c r="AN28" s="210"/>
    </row>
    <row r="29" spans="1:40" x14ac:dyDescent="0.25">
      <c r="A29" s="80"/>
      <c r="B29" s="80"/>
      <c r="C29" s="80"/>
      <c r="D29" s="80"/>
      <c r="E29" s="80"/>
      <c r="F29" s="79"/>
      <c r="G29" s="70"/>
      <c r="H29" s="79"/>
      <c r="I29" s="79"/>
      <c r="J29" s="268"/>
      <c r="K29" s="268"/>
      <c r="L29" s="79"/>
      <c r="M29" s="79"/>
      <c r="N29" s="156"/>
      <c r="O29" s="156"/>
      <c r="P29" s="79"/>
      <c r="Q29" s="79"/>
      <c r="R29" s="79"/>
      <c r="S29" s="200"/>
      <c r="T29" s="154"/>
      <c r="V29" s="200"/>
      <c r="Y29" s="200"/>
      <c r="Z29" s="305"/>
      <c r="AA29" s="200"/>
      <c r="AB29" s="200"/>
      <c r="AC29" s="210"/>
      <c r="AD29" s="210"/>
      <c r="AE29" s="200"/>
      <c r="AF29" s="200"/>
      <c r="AG29" s="209"/>
      <c r="AH29" s="210"/>
      <c r="AI29" s="200"/>
      <c r="AJ29" s="200"/>
      <c r="AK29" s="209"/>
      <c r="AL29" s="200"/>
      <c r="AM29" s="210"/>
      <c r="AN29" s="210"/>
    </row>
    <row r="30" spans="1:40" x14ac:dyDescent="0.25">
      <c r="A30" s="159">
        <v>9</v>
      </c>
      <c r="B30" s="80"/>
      <c r="C30" s="253" t="s">
        <v>65</v>
      </c>
      <c r="D30" s="80"/>
      <c r="E30" s="80"/>
      <c r="F30" s="79"/>
      <c r="G30" s="70"/>
      <c r="H30" s="79"/>
      <c r="I30" s="79"/>
      <c r="J30" s="268"/>
      <c r="K30" s="268"/>
      <c r="L30" s="79"/>
      <c r="M30" s="79"/>
      <c r="N30" s="156"/>
      <c r="O30" s="156"/>
      <c r="P30" s="79"/>
      <c r="Q30" s="79"/>
      <c r="R30" s="79"/>
      <c r="S30" s="200"/>
      <c r="V30" s="211"/>
      <c r="Y30" s="211"/>
      <c r="Z30" s="305"/>
      <c r="AA30" s="211"/>
      <c r="AB30" s="211"/>
      <c r="AC30" s="211"/>
      <c r="AD30" s="211"/>
      <c r="AE30" s="211"/>
      <c r="AF30" s="211"/>
      <c r="AI30" s="211"/>
      <c r="AJ30" s="211"/>
      <c r="AK30" s="212"/>
      <c r="AL30" s="211"/>
      <c r="AM30" s="210"/>
      <c r="AN30" s="210"/>
    </row>
    <row r="31" spans="1:40" x14ac:dyDescent="0.25">
      <c r="A31" s="159">
        <v>10</v>
      </c>
      <c r="B31" s="80"/>
      <c r="C31" s="82" t="s">
        <v>159</v>
      </c>
      <c r="D31" s="80"/>
      <c r="E31" s="80"/>
      <c r="F31" s="78"/>
      <c r="G31" s="70"/>
      <c r="H31" s="225">
        <v>1388597.1099999999</v>
      </c>
      <c r="I31" s="78"/>
      <c r="J31" s="283">
        <f>INPUT!D55</f>
        <v>0</v>
      </c>
      <c r="K31" s="284"/>
      <c r="L31" s="79">
        <f>ROUND(H31*J31,0)</f>
        <v>0</v>
      </c>
      <c r="M31" s="79"/>
      <c r="N31" s="156">
        <f>ROUND((L31/L$53)*100,1)</f>
        <v>0</v>
      </c>
      <c r="O31" s="156"/>
      <c r="P31" s="79"/>
      <c r="Q31" s="79"/>
      <c r="R31" s="79">
        <f>L31+P31</f>
        <v>0</v>
      </c>
      <c r="S31" s="200"/>
      <c r="T31" s="154"/>
      <c r="V31" s="252"/>
      <c r="Y31" s="252"/>
      <c r="Z31" s="305"/>
      <c r="AA31" s="200"/>
      <c r="AB31" s="200"/>
      <c r="AC31" s="210"/>
      <c r="AD31" s="210"/>
      <c r="AE31" s="200"/>
      <c r="AF31" s="200"/>
      <c r="AI31" s="200"/>
      <c r="AJ31" s="200"/>
      <c r="AK31" s="209"/>
      <c r="AL31" s="200"/>
      <c r="AM31" s="210"/>
      <c r="AN31" s="210"/>
    </row>
    <row r="32" spans="1:40" x14ac:dyDescent="0.25">
      <c r="A32" s="159">
        <v>11</v>
      </c>
      <c r="B32" s="80"/>
      <c r="C32" s="82" t="s">
        <v>160</v>
      </c>
      <c r="D32" s="80"/>
      <c r="E32" s="80"/>
      <c r="F32" s="78"/>
      <c r="G32" s="70"/>
      <c r="H32" s="225">
        <v>2491897.1400000029</v>
      </c>
      <c r="I32" s="78"/>
      <c r="J32" s="283">
        <f>INPUT!D56</f>
        <v>8.73</v>
      </c>
      <c r="K32" s="284"/>
      <c r="L32" s="79">
        <f>ROUND(H32*J32,0)</f>
        <v>21754262</v>
      </c>
      <c r="M32" s="79"/>
      <c r="N32" s="156">
        <f>ROUND((L32/L$53)*100,1)</f>
        <v>21.1</v>
      </c>
      <c r="O32" s="156"/>
      <c r="P32" s="79"/>
      <c r="Q32" s="79"/>
      <c r="R32" s="79">
        <f>L32+P32</f>
        <v>21754262</v>
      </c>
      <c r="S32" s="200"/>
      <c r="V32" s="252"/>
      <c r="W32" s="306"/>
      <c r="Y32" s="252"/>
      <c r="Z32" s="305"/>
      <c r="AA32" s="200"/>
      <c r="AB32" s="200"/>
      <c r="AC32" s="210"/>
      <c r="AD32" s="210"/>
      <c r="AE32" s="200"/>
      <c r="AF32" s="200"/>
      <c r="AI32" s="200"/>
      <c r="AJ32" s="200"/>
      <c r="AK32" s="209"/>
      <c r="AL32" s="200"/>
      <c r="AM32" s="210"/>
      <c r="AN32" s="210"/>
    </row>
    <row r="33" spans="1:40" ht="20.100000000000001" customHeight="1" x14ac:dyDescent="0.25">
      <c r="A33" s="159">
        <v>12</v>
      </c>
      <c r="B33" s="80"/>
      <c r="C33" s="253" t="s">
        <v>68</v>
      </c>
      <c r="D33" s="80"/>
      <c r="E33" s="80"/>
      <c r="F33" s="79"/>
      <c r="G33" s="70"/>
      <c r="H33" s="169">
        <f>SUM(H31:H32)</f>
        <v>3880494.2500000028</v>
      </c>
      <c r="I33" s="79"/>
      <c r="J33" s="268"/>
      <c r="K33" s="268"/>
      <c r="L33" s="169">
        <f>SUM(L31:L32)</f>
        <v>21754262</v>
      </c>
      <c r="M33" s="79"/>
      <c r="N33" s="303">
        <f>ROUND((L33/L$53)*100,1)</f>
        <v>21.1</v>
      </c>
      <c r="O33" s="156"/>
      <c r="P33" s="169"/>
      <c r="Q33" s="79"/>
      <c r="R33" s="169">
        <f>SUM(R31:R32)</f>
        <v>21754262</v>
      </c>
      <c r="S33" s="200"/>
      <c r="V33" s="211"/>
      <c r="Y33" s="252"/>
      <c r="Z33" s="305"/>
      <c r="AA33" s="200"/>
      <c r="AB33" s="200"/>
      <c r="AC33" s="210"/>
      <c r="AD33" s="210"/>
      <c r="AE33" s="200"/>
      <c r="AF33" s="200"/>
      <c r="AG33" s="209"/>
      <c r="AH33" s="210"/>
      <c r="AI33" s="200"/>
      <c r="AJ33" s="200"/>
      <c r="AK33" s="209"/>
      <c r="AL33" s="200"/>
      <c r="AM33" s="210"/>
      <c r="AN33" s="210"/>
    </row>
    <row r="34" spans="1:40" x14ac:dyDescent="0.25">
      <c r="A34" s="159"/>
      <c r="B34" s="80"/>
      <c r="C34" s="82"/>
      <c r="D34" s="80"/>
      <c r="E34" s="80"/>
      <c r="F34" s="79"/>
      <c r="G34" s="70"/>
      <c r="H34" s="163"/>
      <c r="I34" s="79"/>
      <c r="J34" s="268"/>
      <c r="K34" s="268"/>
      <c r="L34" s="163"/>
      <c r="M34" s="79"/>
      <c r="N34" s="198"/>
      <c r="O34" s="156"/>
      <c r="P34" s="163"/>
      <c r="Q34" s="79"/>
      <c r="R34" s="163"/>
      <c r="S34" s="200"/>
      <c r="V34" s="211"/>
      <c r="Y34" s="252"/>
      <c r="Z34" s="305"/>
      <c r="AA34" s="200"/>
      <c r="AB34" s="200"/>
      <c r="AC34" s="210"/>
      <c r="AD34" s="210"/>
      <c r="AE34" s="200"/>
      <c r="AF34" s="200"/>
      <c r="AG34" s="209"/>
      <c r="AH34" s="210"/>
      <c r="AI34" s="200"/>
      <c r="AJ34" s="200"/>
      <c r="AK34" s="209"/>
      <c r="AL34" s="200"/>
      <c r="AM34" s="210"/>
      <c r="AN34" s="210"/>
    </row>
    <row r="35" spans="1:40" x14ac:dyDescent="0.25">
      <c r="A35" s="159">
        <v>13</v>
      </c>
      <c r="B35" s="80"/>
      <c r="C35" s="253" t="s">
        <v>481</v>
      </c>
      <c r="D35" s="80"/>
      <c r="E35" s="80"/>
      <c r="F35" s="79"/>
      <c r="G35" s="70"/>
      <c r="H35" s="79"/>
      <c r="I35" s="79"/>
      <c r="J35" s="263"/>
      <c r="K35" s="263"/>
      <c r="L35" s="79"/>
      <c r="M35" s="79"/>
      <c r="N35" s="156"/>
      <c r="O35" s="156"/>
      <c r="P35" s="79"/>
      <c r="Q35" s="79"/>
      <c r="R35" s="79"/>
      <c r="S35" s="200"/>
      <c r="T35" s="154"/>
      <c r="V35" s="252"/>
      <c r="Y35" s="200"/>
      <c r="Z35" s="304"/>
      <c r="AA35" s="200"/>
      <c r="AB35" s="200"/>
      <c r="AC35" s="210"/>
      <c r="AD35" s="210"/>
      <c r="AE35" s="200"/>
      <c r="AF35" s="200"/>
      <c r="AG35" s="209"/>
      <c r="AH35" s="210"/>
      <c r="AI35" s="200"/>
      <c r="AJ35" s="200"/>
      <c r="AK35" s="209"/>
      <c r="AL35" s="200"/>
      <c r="AM35" s="210"/>
      <c r="AN35" s="210"/>
    </row>
    <row r="36" spans="1:40" x14ac:dyDescent="0.25">
      <c r="A36" s="159">
        <v>14</v>
      </c>
      <c r="B36" s="80"/>
      <c r="C36" s="82" t="s">
        <v>161</v>
      </c>
      <c r="D36" s="80"/>
      <c r="E36" s="80"/>
      <c r="F36" s="78"/>
      <c r="G36" s="70"/>
      <c r="H36" s="225">
        <v>366515604</v>
      </c>
      <c r="I36" s="78"/>
      <c r="J36" s="295">
        <f>INPUT!D51</f>
        <v>9.1916999999999999E-2</v>
      </c>
      <c r="K36" s="289"/>
      <c r="L36" s="79">
        <f>ROUND(H36*J36,0)</f>
        <v>33689015</v>
      </c>
      <c r="M36" s="79"/>
      <c r="N36" s="156">
        <f>ROUND((L36/L$53)*100,1)</f>
        <v>32.6</v>
      </c>
      <c r="O36" s="156"/>
      <c r="P36" s="78"/>
      <c r="Q36" s="78"/>
      <c r="R36" s="79">
        <f t="shared" ref="R36:R40" si="0">L36+P36</f>
        <v>33689015</v>
      </c>
      <c r="S36" s="200"/>
      <c r="T36" s="154"/>
      <c r="V36" s="252"/>
      <c r="Y36" s="200"/>
      <c r="Z36" s="304"/>
      <c r="AA36" s="200"/>
      <c r="AB36" s="200"/>
      <c r="AC36" s="210"/>
      <c r="AD36" s="210"/>
      <c r="AE36" s="200"/>
      <c r="AF36" s="200"/>
      <c r="AG36" s="209"/>
      <c r="AH36" s="210"/>
      <c r="AI36" s="200"/>
      <c r="AJ36" s="200"/>
      <c r="AK36" s="209"/>
      <c r="AL36" s="200"/>
      <c r="AM36" s="210"/>
      <c r="AN36" s="210"/>
    </row>
    <row r="37" spans="1:40" x14ac:dyDescent="0.25">
      <c r="A37" s="159">
        <v>15</v>
      </c>
      <c r="B37" s="80"/>
      <c r="C37" s="82" t="s">
        <v>162</v>
      </c>
      <c r="D37" s="80"/>
      <c r="E37" s="80"/>
      <c r="F37" s="78"/>
      <c r="G37" s="70"/>
      <c r="H37" s="225">
        <v>627126263</v>
      </c>
      <c r="I37" s="78"/>
      <c r="J37" s="295">
        <f>INPUT!D52</f>
        <v>5.6425000000000003E-2</v>
      </c>
      <c r="K37" s="289"/>
      <c r="L37" s="79">
        <f t="shared" ref="L37:L40" si="1">ROUND(H37*J37,0)</f>
        <v>35385599</v>
      </c>
      <c r="M37" s="79"/>
      <c r="N37" s="156">
        <f>ROUND((L37/L$53)*100,1)-0.1</f>
        <v>34.199999999999996</v>
      </c>
      <c r="O37" s="156"/>
      <c r="P37" s="78"/>
      <c r="Q37" s="78"/>
      <c r="R37" s="79">
        <f t="shared" si="0"/>
        <v>35385599</v>
      </c>
      <c r="S37" s="200"/>
      <c r="V37" s="211"/>
      <c r="Y37" s="211"/>
      <c r="Z37" s="305"/>
      <c r="AA37" s="211"/>
      <c r="AB37" s="211"/>
      <c r="AC37" s="211"/>
      <c r="AD37" s="211"/>
      <c r="AE37" s="211"/>
      <c r="AF37" s="211"/>
      <c r="AI37" s="211"/>
      <c r="AJ37" s="211"/>
      <c r="AK37" s="212"/>
      <c r="AL37" s="211"/>
      <c r="AM37" s="210"/>
      <c r="AN37" s="210"/>
    </row>
    <row r="38" spans="1:40" x14ac:dyDescent="0.25">
      <c r="A38" s="159">
        <v>16</v>
      </c>
      <c r="B38" s="80"/>
      <c r="C38" s="82" t="s">
        <v>163</v>
      </c>
      <c r="D38" s="80"/>
      <c r="E38" s="80"/>
      <c r="F38" s="78"/>
      <c r="G38" s="70"/>
      <c r="H38" s="225">
        <v>119801361</v>
      </c>
      <c r="I38" s="78"/>
      <c r="J38" s="295">
        <f>INPUT!D53</f>
        <v>4.6203999999999995E-2</v>
      </c>
      <c r="K38" s="289"/>
      <c r="L38" s="79">
        <f t="shared" si="1"/>
        <v>5535302</v>
      </c>
      <c r="M38" s="79"/>
      <c r="N38" s="156">
        <f t="shared" ref="N38:N42" si="2">ROUND((L38/L$53)*100,1)</f>
        <v>5.4</v>
      </c>
      <c r="O38" s="156"/>
      <c r="P38" s="78"/>
      <c r="Q38" s="78"/>
      <c r="R38" s="79">
        <f t="shared" si="0"/>
        <v>5535302</v>
      </c>
      <c r="S38" s="200"/>
      <c r="T38" s="154"/>
      <c r="V38" s="200"/>
      <c r="Y38" s="200"/>
      <c r="Z38" s="305"/>
      <c r="AA38" s="200"/>
      <c r="AB38" s="200"/>
      <c r="AC38" s="210"/>
      <c r="AD38" s="210"/>
      <c r="AE38" s="200"/>
      <c r="AF38" s="200"/>
      <c r="AG38" s="209"/>
      <c r="AH38" s="210"/>
      <c r="AI38" s="200"/>
      <c r="AJ38" s="200"/>
      <c r="AK38" s="209"/>
      <c r="AL38" s="200"/>
      <c r="AM38" s="210"/>
      <c r="AN38" s="210"/>
    </row>
    <row r="39" spans="1:40" x14ac:dyDescent="0.25">
      <c r="A39" s="159">
        <v>17</v>
      </c>
      <c r="B39" s="80"/>
      <c r="C39" s="82" t="s">
        <v>470</v>
      </c>
      <c r="D39" s="80"/>
      <c r="E39" s="80"/>
      <c r="F39" s="70"/>
      <c r="G39" s="70"/>
      <c r="H39" s="225">
        <v>1783161</v>
      </c>
      <c r="I39" s="78"/>
      <c r="J39" s="295">
        <f>INPUT!D58</f>
        <v>0.27152799999999999</v>
      </c>
      <c r="K39" s="289"/>
      <c r="L39" s="79">
        <f t="shared" si="1"/>
        <v>484178</v>
      </c>
      <c r="M39" s="79"/>
      <c r="N39" s="156">
        <f t="shared" si="2"/>
        <v>0.5</v>
      </c>
      <c r="O39" s="156"/>
      <c r="P39" s="78"/>
      <c r="Q39" s="78"/>
      <c r="R39" s="79">
        <f t="shared" si="0"/>
        <v>484178</v>
      </c>
      <c r="S39" s="200"/>
      <c r="V39" s="211"/>
      <c r="Y39" s="211"/>
      <c r="Z39" s="305"/>
      <c r="AA39" s="211"/>
      <c r="AB39" s="211"/>
      <c r="AC39" s="211"/>
      <c r="AD39" s="211"/>
      <c r="AE39" s="211"/>
      <c r="AF39" s="211"/>
      <c r="AI39" s="211"/>
      <c r="AJ39" s="211"/>
      <c r="AK39" s="212"/>
      <c r="AL39" s="211"/>
      <c r="AM39" s="210"/>
      <c r="AN39" s="210"/>
    </row>
    <row r="40" spans="1:40" x14ac:dyDescent="0.25">
      <c r="A40" s="159">
        <v>18</v>
      </c>
      <c r="B40" s="80"/>
      <c r="C40" s="82" t="s">
        <v>471</v>
      </c>
      <c r="D40" s="80"/>
      <c r="E40" s="80"/>
      <c r="F40" s="85"/>
      <c r="G40" s="70"/>
      <c r="H40" s="225">
        <v>618100</v>
      </c>
      <c r="I40" s="78"/>
      <c r="J40" s="295">
        <f>INPUT!D59</f>
        <v>0.16669400000000001</v>
      </c>
      <c r="K40" s="289"/>
      <c r="L40" s="79">
        <f t="shared" si="1"/>
        <v>103034</v>
      </c>
      <c r="M40" s="79"/>
      <c r="N40" s="156">
        <f t="shared" si="2"/>
        <v>0.1</v>
      </c>
      <c r="O40" s="156"/>
      <c r="P40" s="286"/>
      <c r="Q40" s="78"/>
      <c r="R40" s="79">
        <f t="shared" si="0"/>
        <v>103034</v>
      </c>
      <c r="S40" s="200"/>
      <c r="T40" s="154"/>
      <c r="Z40" s="305"/>
      <c r="AA40" s="200"/>
      <c r="AB40" s="200"/>
      <c r="AC40" s="210"/>
      <c r="AD40" s="210"/>
      <c r="AE40" s="200"/>
      <c r="AF40" s="200"/>
      <c r="AG40" s="209"/>
      <c r="AH40" s="210"/>
      <c r="AI40" s="200"/>
      <c r="AJ40" s="200"/>
      <c r="AK40" s="209"/>
      <c r="AL40" s="200"/>
      <c r="AM40" s="210"/>
      <c r="AN40" s="210"/>
    </row>
    <row r="41" spans="1:40" ht="21.75" customHeight="1" x14ac:dyDescent="0.25">
      <c r="A41" s="159">
        <v>19</v>
      </c>
      <c r="B41" s="80"/>
      <c r="C41" s="253" t="s">
        <v>164</v>
      </c>
      <c r="D41" s="80"/>
      <c r="E41" s="80"/>
      <c r="F41" s="167"/>
      <c r="G41" s="70"/>
      <c r="H41" s="169">
        <f>SUM(H36:H40)</f>
        <v>1115844489</v>
      </c>
      <c r="I41" s="79"/>
      <c r="J41" s="307"/>
      <c r="K41" s="263"/>
      <c r="L41" s="169">
        <f>SUM(L36:L40)</f>
        <v>75197128</v>
      </c>
      <c r="M41" s="79"/>
      <c r="N41" s="303">
        <f t="shared" si="2"/>
        <v>72.8</v>
      </c>
      <c r="O41" s="156"/>
      <c r="P41" s="167"/>
      <c r="Q41" s="79"/>
      <c r="R41" s="169">
        <f>SUM(R36:R40)</f>
        <v>75197128</v>
      </c>
      <c r="S41" s="200"/>
      <c r="V41" s="211"/>
      <c r="Y41" s="211"/>
      <c r="Z41" s="305"/>
      <c r="AA41" s="211"/>
      <c r="AB41" s="211"/>
      <c r="AC41" s="211"/>
      <c r="AD41" s="211"/>
      <c r="AE41" s="211"/>
      <c r="AF41" s="211"/>
      <c r="AI41" s="211"/>
      <c r="AJ41" s="211"/>
      <c r="AK41" s="212"/>
      <c r="AL41" s="211"/>
    </row>
    <row r="42" spans="1:40" ht="21.75" customHeight="1" x14ac:dyDescent="0.25">
      <c r="A42" s="159">
        <v>20</v>
      </c>
      <c r="B42" s="80"/>
      <c r="C42" s="253" t="s">
        <v>559</v>
      </c>
      <c r="D42" s="80"/>
      <c r="E42" s="80"/>
      <c r="F42" s="167">
        <f>F28</f>
        <v>157022</v>
      </c>
      <c r="G42" s="70"/>
      <c r="H42" s="169">
        <f>H41</f>
        <v>1115844489</v>
      </c>
      <c r="I42" s="79"/>
      <c r="J42" s="307"/>
      <c r="K42" s="263"/>
      <c r="L42" s="169">
        <f>L28+L33+L41</f>
        <v>100894464</v>
      </c>
      <c r="M42" s="79"/>
      <c r="N42" s="303">
        <f t="shared" si="2"/>
        <v>97.7</v>
      </c>
      <c r="O42" s="156"/>
      <c r="P42" s="169"/>
      <c r="Q42" s="79"/>
      <c r="R42" s="169">
        <f>R28+R33+R41</f>
        <v>100894464</v>
      </c>
      <c r="S42" s="200"/>
      <c r="V42" s="211"/>
      <c r="Y42" s="211"/>
      <c r="Z42" s="305"/>
      <c r="AA42" s="211"/>
      <c r="AB42" s="211"/>
      <c r="AC42" s="211"/>
      <c r="AD42" s="211"/>
      <c r="AE42" s="211"/>
      <c r="AF42" s="211"/>
      <c r="AI42" s="211"/>
      <c r="AJ42" s="211"/>
      <c r="AK42" s="212"/>
      <c r="AL42" s="211"/>
    </row>
    <row r="43" spans="1:40" ht="15.75" customHeight="1" x14ac:dyDescent="0.25">
      <c r="A43" s="159"/>
      <c r="B43" s="80"/>
      <c r="C43" s="253"/>
      <c r="D43" s="80"/>
      <c r="E43" s="80"/>
      <c r="F43" s="163"/>
      <c r="G43" s="70"/>
      <c r="H43" s="163"/>
      <c r="I43" s="79"/>
      <c r="J43" s="307"/>
      <c r="K43" s="263"/>
      <c r="L43" s="163"/>
      <c r="M43" s="79"/>
      <c r="N43" s="198"/>
      <c r="O43" s="156"/>
      <c r="P43" s="163"/>
      <c r="Q43" s="79"/>
      <c r="R43" s="163"/>
      <c r="S43" s="200"/>
      <c r="V43" s="211"/>
      <c r="Y43" s="211"/>
      <c r="Z43" s="305"/>
      <c r="AA43" s="211"/>
      <c r="AB43" s="211"/>
      <c r="AC43" s="211"/>
      <c r="AD43" s="211"/>
      <c r="AE43" s="211"/>
      <c r="AF43" s="211"/>
      <c r="AI43" s="211"/>
      <c r="AJ43" s="211"/>
      <c r="AK43" s="212"/>
      <c r="AL43" s="211"/>
    </row>
    <row r="44" spans="1:40" ht="15.75" customHeight="1" x14ac:dyDescent="0.25">
      <c r="A44" s="159">
        <v>21</v>
      </c>
      <c r="B44" s="80"/>
      <c r="C44" s="253" t="s">
        <v>553</v>
      </c>
      <c r="D44" s="80"/>
      <c r="E44" s="80"/>
      <c r="F44" s="163"/>
      <c r="G44" s="70"/>
      <c r="H44" s="163"/>
      <c r="I44" s="79"/>
      <c r="J44" s="307"/>
      <c r="K44" s="263"/>
      <c r="L44" s="163"/>
      <c r="M44" s="79"/>
      <c r="N44" s="198"/>
      <c r="O44" s="156"/>
      <c r="P44" s="163"/>
      <c r="Q44" s="79"/>
      <c r="R44" s="163"/>
      <c r="S44" s="200"/>
      <c r="V44" s="211"/>
      <c r="Y44" s="211"/>
      <c r="Z44" s="305"/>
      <c r="AA44" s="211"/>
      <c r="AB44" s="211"/>
      <c r="AC44" s="211"/>
      <c r="AD44" s="211"/>
      <c r="AE44" s="211"/>
      <c r="AF44" s="211"/>
      <c r="AI44" s="211"/>
      <c r="AJ44" s="211"/>
      <c r="AK44" s="212"/>
      <c r="AL44" s="211"/>
    </row>
    <row r="45" spans="1:40" ht="15.75" customHeight="1" x14ac:dyDescent="0.25">
      <c r="A45" s="159">
        <v>22</v>
      </c>
      <c r="B45" s="80"/>
      <c r="C45" s="153" t="str">
        <f>DSMR_Name</f>
        <v>DEMAND SIDE MANAGEMENT RIDER (DSMR)</v>
      </c>
      <c r="D45" s="80"/>
      <c r="E45" s="80"/>
      <c r="F45" s="163"/>
      <c r="G45" s="70"/>
      <c r="H45" s="163"/>
      <c r="I45" s="79"/>
      <c r="J45" s="308">
        <f>PRO_DSM_DIST</f>
        <v>2.5760000000000002E-3</v>
      </c>
      <c r="K45" s="263"/>
      <c r="L45" s="163">
        <f>ROUND($H$42*J45,0)</f>
        <v>2874415</v>
      </c>
      <c r="M45" s="79"/>
      <c r="N45" s="155">
        <f>ROUND((L45/L$53)*100,1)</f>
        <v>2.8</v>
      </c>
      <c r="O45" s="156"/>
      <c r="P45" s="163"/>
      <c r="Q45" s="79"/>
      <c r="R45" s="79">
        <f t="shared" ref="R45:R50" si="3">L45+P45</f>
        <v>2874415</v>
      </c>
      <c r="S45" s="200"/>
      <c r="V45" s="211"/>
      <c r="Y45" s="211"/>
      <c r="Z45" s="305"/>
      <c r="AA45" s="211"/>
      <c r="AB45" s="211"/>
      <c r="AC45" s="211"/>
      <c r="AD45" s="211"/>
      <c r="AE45" s="211"/>
      <c r="AF45" s="211"/>
      <c r="AI45" s="211"/>
      <c r="AJ45" s="211"/>
      <c r="AK45" s="212"/>
      <c r="AL45" s="211"/>
    </row>
    <row r="46" spans="1:40" ht="15.75" customHeight="1" x14ac:dyDescent="0.25">
      <c r="A46" s="159">
        <v>23</v>
      </c>
      <c r="B46" s="80"/>
      <c r="C46" s="153" t="str">
        <f>ESM_Name</f>
        <v>ENVIRONMENTAL SURCHARGE MECHANISM RIDER (ESM)</v>
      </c>
      <c r="D46" s="80"/>
      <c r="E46" s="80"/>
      <c r="F46" s="163"/>
      <c r="G46" s="70"/>
      <c r="H46" s="163"/>
      <c r="I46" s="79"/>
      <c r="J46" s="288">
        <f>PRO_ESM</f>
        <v>0</v>
      </c>
      <c r="K46" s="263"/>
      <c r="L46" s="163">
        <f>ROUND(R42*J46,0)</f>
        <v>0</v>
      </c>
      <c r="M46" s="79"/>
      <c r="N46" s="155">
        <f t="shared" ref="N46:N47" si="4">ROUND((L46/L$53)*100,1)</f>
        <v>0</v>
      </c>
      <c r="O46" s="156"/>
      <c r="P46" s="163"/>
      <c r="Q46" s="79"/>
      <c r="R46" s="79">
        <f t="shared" si="3"/>
        <v>0</v>
      </c>
      <c r="S46" s="200"/>
      <c r="V46" s="211"/>
      <c r="Y46" s="211"/>
      <c r="Z46" s="305"/>
      <c r="AA46" s="211"/>
      <c r="AB46" s="211"/>
      <c r="AC46" s="211"/>
      <c r="AD46" s="211"/>
      <c r="AE46" s="211"/>
      <c r="AF46" s="211"/>
      <c r="AI46" s="211"/>
      <c r="AJ46" s="211"/>
      <c r="AK46" s="212"/>
      <c r="AL46" s="211"/>
    </row>
    <row r="47" spans="1:40" ht="15.75" customHeight="1" x14ac:dyDescent="0.25">
      <c r="A47" s="159">
        <v>24</v>
      </c>
      <c r="B47" s="80"/>
      <c r="C47" s="153" t="str">
        <f>DCI_Name</f>
        <v>DISTRIBUTION CAPITAL INVESTMENT RIDER (DCI)</v>
      </c>
      <c r="D47" s="80"/>
      <c r="E47" s="80"/>
      <c r="F47" s="163"/>
      <c r="G47" s="70"/>
      <c r="H47" s="163"/>
      <c r="I47" s="79"/>
      <c r="J47" s="283">
        <f>PRO_DCI_DIST</f>
        <v>0</v>
      </c>
      <c r="K47" s="263"/>
      <c r="L47" s="163">
        <f>ROUND(H33*J47,0)</f>
        <v>0</v>
      </c>
      <c r="M47" s="79"/>
      <c r="N47" s="155">
        <f t="shared" si="4"/>
        <v>0</v>
      </c>
      <c r="O47" s="156"/>
      <c r="P47" s="163"/>
      <c r="Q47" s="79"/>
      <c r="R47" s="79">
        <f t="shared" si="3"/>
        <v>0</v>
      </c>
      <c r="S47" s="200"/>
      <c r="V47" s="211"/>
      <c r="Y47" s="211"/>
      <c r="Z47" s="305"/>
      <c r="AA47" s="211"/>
      <c r="AB47" s="211"/>
      <c r="AC47" s="211"/>
      <c r="AD47" s="211"/>
      <c r="AE47" s="211"/>
      <c r="AF47" s="211"/>
      <c r="AI47" s="211"/>
      <c r="AJ47" s="211"/>
      <c r="AK47" s="212"/>
      <c r="AL47" s="211"/>
    </row>
    <row r="48" spans="1:40" ht="15.75" customHeight="1" x14ac:dyDescent="0.25">
      <c r="A48" s="159">
        <v>25</v>
      </c>
      <c r="B48" s="80"/>
      <c r="C48" s="153" t="str">
        <f>FAC_Name</f>
        <v>FUEL ADJUSTMENT CLAUSE (FAC)</v>
      </c>
      <c r="D48" s="80"/>
      <c r="E48" s="80"/>
      <c r="F48" s="163"/>
      <c r="G48" s="70"/>
      <c r="H48" s="163"/>
      <c r="I48" s="79"/>
      <c r="J48" s="308">
        <f>PRO_FAC</f>
        <v>1.0280000000000003E-3</v>
      </c>
      <c r="K48" s="263"/>
      <c r="L48" s="163"/>
      <c r="M48" s="79"/>
      <c r="N48" s="155"/>
      <c r="O48" s="156"/>
      <c r="P48" s="163">
        <f>ROUND(H41*J48,0)</f>
        <v>1147088</v>
      </c>
      <c r="Q48" s="79"/>
      <c r="R48" s="79">
        <f t="shared" si="3"/>
        <v>1147088</v>
      </c>
      <c r="S48" s="200"/>
      <c r="V48" s="211"/>
      <c r="Y48" s="211"/>
      <c r="Z48" s="305"/>
      <c r="AA48" s="211"/>
      <c r="AB48" s="211"/>
      <c r="AC48" s="211"/>
      <c r="AD48" s="211"/>
      <c r="AE48" s="211"/>
      <c r="AF48" s="211"/>
      <c r="AI48" s="211"/>
      <c r="AJ48" s="211"/>
      <c r="AK48" s="212"/>
      <c r="AL48" s="211"/>
    </row>
    <row r="49" spans="1:43" ht="15.75" customHeight="1" x14ac:dyDescent="0.25">
      <c r="A49" s="159">
        <v>26</v>
      </c>
      <c r="B49" s="80"/>
      <c r="C49" s="153" t="str">
        <f>FTR_Name</f>
        <v>FERC TRANSMISSION COST RECOVERY RECONCILIATION (FTR)</v>
      </c>
      <c r="D49" s="80"/>
      <c r="E49" s="80"/>
      <c r="F49" s="163"/>
      <c r="G49" s="70"/>
      <c r="H49" s="163"/>
      <c r="I49" s="79"/>
      <c r="J49" s="288">
        <f>PRO_FTR_DIST</f>
        <v>0</v>
      </c>
      <c r="K49" s="263"/>
      <c r="L49" s="163">
        <f>ROUND(H42*J49,0)</f>
        <v>0</v>
      </c>
      <c r="M49" s="79"/>
      <c r="N49" s="155">
        <f>ROUND((L49/L$53)*100,1)</f>
        <v>0</v>
      </c>
      <c r="O49" s="156"/>
      <c r="P49" s="163"/>
      <c r="Q49" s="79"/>
      <c r="R49" s="79">
        <f t="shared" si="3"/>
        <v>0</v>
      </c>
      <c r="S49" s="200"/>
      <c r="V49" s="211"/>
      <c r="Y49" s="211"/>
      <c r="Z49" s="305"/>
      <c r="AA49" s="211"/>
      <c r="AB49" s="211"/>
      <c r="AC49" s="211"/>
      <c r="AD49" s="211"/>
      <c r="AE49" s="211"/>
      <c r="AF49" s="211"/>
      <c r="AI49" s="211"/>
      <c r="AJ49" s="211"/>
      <c r="AK49" s="212"/>
      <c r="AL49" s="211"/>
    </row>
    <row r="50" spans="1:43" ht="15.75" customHeight="1" x14ac:dyDescent="0.25">
      <c r="A50" s="159">
        <v>27</v>
      </c>
      <c r="B50" s="80"/>
      <c r="C50" s="153" t="str">
        <f>PSM_Name</f>
        <v>PROFIT SHARING MECHANISM (PSM)</v>
      </c>
      <c r="D50" s="80"/>
      <c r="E50" s="80"/>
      <c r="F50" s="163"/>
      <c r="G50" s="70"/>
      <c r="H50" s="163"/>
      <c r="I50" s="79"/>
      <c r="J50" s="308">
        <f>PRO_PSM</f>
        <v>-4.5600000000000003E-4</v>
      </c>
      <c r="K50" s="263"/>
      <c r="L50" s="167">
        <f>ROUND(H42*J50,0)</f>
        <v>-508825</v>
      </c>
      <c r="M50" s="79"/>
      <c r="N50" s="166">
        <f>ROUND((L50/L$53)*100,1)</f>
        <v>-0.5</v>
      </c>
      <c r="O50" s="156"/>
      <c r="P50" s="167"/>
      <c r="Q50" s="79"/>
      <c r="R50" s="167">
        <f t="shared" si="3"/>
        <v>-508825</v>
      </c>
      <c r="S50" s="200"/>
      <c r="V50" s="211"/>
      <c r="Y50" s="211"/>
      <c r="Z50" s="305"/>
      <c r="AA50" s="211"/>
      <c r="AB50" s="211"/>
      <c r="AC50" s="211"/>
      <c r="AD50" s="211"/>
      <c r="AE50" s="211"/>
      <c r="AF50" s="211"/>
      <c r="AI50" s="211"/>
      <c r="AJ50" s="211"/>
      <c r="AK50" s="212"/>
      <c r="AL50" s="211"/>
    </row>
    <row r="51" spans="1:43" ht="18" customHeight="1" x14ac:dyDescent="0.25">
      <c r="A51" s="101">
        <v>28</v>
      </c>
      <c r="B51" s="80"/>
      <c r="C51" s="253" t="s">
        <v>557</v>
      </c>
      <c r="D51" s="80"/>
      <c r="E51" s="80"/>
      <c r="F51" s="167"/>
      <c r="G51" s="70"/>
      <c r="H51" s="167"/>
      <c r="I51" s="79"/>
      <c r="J51" s="263"/>
      <c r="K51" s="263"/>
      <c r="L51" s="169">
        <f>SUM(L45:L50)</f>
        <v>2365590</v>
      </c>
      <c r="M51" s="79"/>
      <c r="N51" s="170">
        <f>ROUND((L51/L$53)*100,1)</f>
        <v>2.2999999999999998</v>
      </c>
      <c r="O51" s="156"/>
      <c r="P51" s="169">
        <f>SUM(P45:P50)</f>
        <v>1147088</v>
      </c>
      <c r="Q51" s="79"/>
      <c r="R51" s="169">
        <f>SUM(R45:R50)</f>
        <v>3512678</v>
      </c>
      <c r="S51" s="200"/>
      <c r="V51" s="211"/>
      <c r="Y51" s="211"/>
      <c r="Z51" s="305"/>
      <c r="AA51" s="211"/>
      <c r="AB51" s="211"/>
      <c r="AC51" s="211"/>
      <c r="AD51" s="211"/>
      <c r="AE51" s="211"/>
      <c r="AF51" s="211"/>
      <c r="AI51" s="211"/>
      <c r="AJ51" s="211"/>
      <c r="AK51" s="212"/>
      <c r="AL51" s="211"/>
    </row>
    <row r="52" spans="1:43" x14ac:dyDescent="0.25">
      <c r="A52" s="159"/>
      <c r="B52" s="80"/>
      <c r="C52" s="82"/>
      <c r="D52" s="80"/>
      <c r="E52" s="80"/>
      <c r="F52" s="163"/>
      <c r="G52" s="70"/>
      <c r="H52" s="163"/>
      <c r="I52" s="79"/>
      <c r="J52" s="263"/>
      <c r="K52" s="263"/>
      <c r="L52" s="163"/>
      <c r="M52" s="79"/>
      <c r="N52" s="198"/>
      <c r="O52" s="156"/>
      <c r="P52" s="163"/>
      <c r="Q52" s="79"/>
      <c r="R52" s="163"/>
      <c r="S52" s="200"/>
      <c r="V52" s="211"/>
      <c r="Y52" s="211"/>
      <c r="Z52" s="305"/>
      <c r="AA52" s="211"/>
      <c r="AB52" s="211"/>
      <c r="AC52" s="211"/>
      <c r="AD52" s="211"/>
      <c r="AE52" s="211"/>
      <c r="AF52" s="211"/>
      <c r="AI52" s="211"/>
      <c r="AJ52" s="211"/>
      <c r="AK52" s="212"/>
      <c r="AL52" s="211"/>
    </row>
    <row r="53" spans="1:43" ht="20.100000000000001" customHeight="1" thickBot="1" x14ac:dyDescent="0.3">
      <c r="A53" s="159">
        <v>29</v>
      </c>
      <c r="B53" s="80"/>
      <c r="C53" s="265" t="s">
        <v>560</v>
      </c>
      <c r="D53" s="80"/>
      <c r="E53" s="80"/>
      <c r="F53" s="275">
        <f>F42</f>
        <v>157022</v>
      </c>
      <c r="G53" s="70"/>
      <c r="H53" s="275">
        <f>H42</f>
        <v>1115844489</v>
      </c>
      <c r="I53" s="79"/>
      <c r="J53" s="263"/>
      <c r="K53" s="263"/>
      <c r="L53" s="275">
        <f>L42+L51</f>
        <v>103260054</v>
      </c>
      <c r="M53" s="79"/>
      <c r="N53" s="309">
        <v>100</v>
      </c>
      <c r="O53" s="156"/>
      <c r="P53" s="275">
        <f>P51</f>
        <v>1147088</v>
      </c>
      <c r="Q53" s="79"/>
      <c r="R53" s="275">
        <f>R42+R51</f>
        <v>104407142</v>
      </c>
      <c r="S53" s="200"/>
      <c r="AA53" s="200"/>
      <c r="AB53" s="200"/>
      <c r="AC53" s="200"/>
      <c r="AD53" s="200"/>
      <c r="AI53" s="200"/>
      <c r="AJ53" s="200"/>
      <c r="AK53" s="209"/>
      <c r="AL53" s="200"/>
    </row>
    <row r="54" spans="1:43" ht="15.2" customHeight="1" thickTop="1" x14ac:dyDescent="0.25">
      <c r="A54" s="80"/>
      <c r="B54" s="80"/>
      <c r="C54" s="80"/>
      <c r="D54" s="80"/>
      <c r="E54" s="80"/>
      <c r="F54" s="79"/>
      <c r="G54" s="70"/>
      <c r="H54" s="79"/>
      <c r="I54" s="79"/>
      <c r="J54" s="263"/>
      <c r="K54" s="263"/>
      <c r="L54" s="79"/>
      <c r="M54" s="79"/>
      <c r="N54" s="79"/>
      <c r="O54" s="79"/>
      <c r="P54" s="79"/>
      <c r="Q54" s="79"/>
      <c r="R54" s="79"/>
      <c r="Z54" s="202"/>
    </row>
    <row r="55" spans="1:43" x14ac:dyDescent="0.25">
      <c r="A55" s="80"/>
      <c r="B55" s="80"/>
      <c r="C55" s="173" t="s">
        <v>61</v>
      </c>
      <c r="D55" s="80"/>
      <c r="E55" s="80"/>
      <c r="F55" s="189"/>
      <c r="G55" s="80"/>
      <c r="H55" s="189"/>
      <c r="I55" s="189"/>
      <c r="J55" s="310"/>
      <c r="K55" s="310"/>
      <c r="L55" s="189"/>
      <c r="M55" s="189"/>
      <c r="N55" s="189"/>
      <c r="O55" s="189"/>
      <c r="P55" s="189"/>
      <c r="Q55" s="189"/>
      <c r="R55" s="189"/>
      <c r="Y55" s="154"/>
    </row>
    <row r="56" spans="1:43" x14ac:dyDescent="0.25">
      <c r="A56" s="82"/>
      <c r="B56" s="80"/>
      <c r="C56" s="173" t="str">
        <f>"(2) REFLECTS FUEL ADJUSTMENT CLAUSE OF "&amp;TEXT(PRO_FAC,"$0.000000;($0.000000)")&amp;"  PER KWH."</f>
        <v>(2) REFLECTS FUEL ADJUSTMENT CLAUSE OF $0.001028  PER KWH.</v>
      </c>
      <c r="D56" s="80"/>
      <c r="E56" s="80"/>
      <c r="F56" s="189"/>
      <c r="G56" s="80"/>
      <c r="H56" s="189"/>
      <c r="I56" s="189"/>
      <c r="J56" s="310"/>
      <c r="K56" s="310"/>
      <c r="L56" s="189"/>
      <c r="M56" s="189"/>
      <c r="N56" s="189"/>
      <c r="O56" s="189"/>
      <c r="P56" s="189"/>
      <c r="Q56" s="189"/>
      <c r="R56" s="189"/>
      <c r="Z56" s="202"/>
    </row>
    <row r="57" spans="1:43" x14ac:dyDescent="0.25">
      <c r="C57" s="173" t="str">
        <f>"(3) REFLECTS FUEL COST RECOVERY INCLUDED IN BASE RATES OF "&amp;TEXT(PRO_BASE_FUEL,"$0.000000;($0.000000)")&amp;"  PER KWH."</f>
        <v>(3) REFLECTS FUEL COST RECOVERY INCLUDED IN BASE RATES OF $0.023837  PER KWH.</v>
      </c>
      <c r="L57" s="154"/>
      <c r="M57" s="154"/>
      <c r="AA57" s="154"/>
      <c r="AB57" s="154"/>
    </row>
    <row r="58" spans="1:43" x14ac:dyDescent="0.25">
      <c r="A58" s="202"/>
      <c r="R58" s="154"/>
      <c r="AK58" s="297"/>
      <c r="AL58" s="154"/>
    </row>
    <row r="59" spans="1:43" x14ac:dyDescent="0.25">
      <c r="A59" s="202"/>
      <c r="F59" s="220"/>
      <c r="H59" s="109"/>
      <c r="R59" s="154"/>
      <c r="T59" s="150" t="str">
        <f>NAME</f>
        <v>DUKE ENERGY KENTUCKY, INC.</v>
      </c>
      <c r="U59" s="150"/>
      <c r="V59" s="150"/>
      <c r="W59" s="150"/>
      <c r="X59" s="150"/>
      <c r="Y59" s="150"/>
      <c r="Z59" s="150"/>
      <c r="AA59" s="150"/>
      <c r="AB59" s="150"/>
      <c r="AC59" s="187"/>
      <c r="AD59" s="187"/>
      <c r="AE59" s="150"/>
      <c r="AF59" s="100"/>
      <c r="AG59" s="190"/>
      <c r="AH59" s="100"/>
      <c r="AI59" s="150"/>
      <c r="AJ59" s="150"/>
      <c r="AK59" s="190"/>
      <c r="AL59" s="150"/>
      <c r="AM59" s="150"/>
      <c r="AN59" s="100"/>
      <c r="AO59" s="150"/>
      <c r="AP59" s="150"/>
      <c r="AQ59" s="190"/>
    </row>
    <row r="60" spans="1:43" x14ac:dyDescent="0.25">
      <c r="A60" s="202"/>
      <c r="R60" s="154"/>
      <c r="T60" s="150" t="str">
        <f>CASE_NO</f>
        <v>CASE NO.   2017-00321</v>
      </c>
      <c r="U60" s="150"/>
      <c r="V60" s="150"/>
      <c r="W60" s="150"/>
      <c r="X60" s="150"/>
      <c r="Y60" s="150"/>
      <c r="Z60" s="150"/>
      <c r="AA60" s="150"/>
      <c r="AB60" s="150"/>
      <c r="AC60" s="187"/>
      <c r="AD60" s="187"/>
      <c r="AE60" s="150"/>
      <c r="AF60" s="100"/>
      <c r="AG60" s="190"/>
      <c r="AH60" s="100"/>
      <c r="AI60" s="150"/>
      <c r="AJ60" s="150"/>
      <c r="AK60" s="190"/>
      <c r="AL60" s="150"/>
      <c r="AM60" s="150"/>
      <c r="AN60" s="100"/>
      <c r="AO60" s="150"/>
      <c r="AP60" s="150"/>
      <c r="AQ60" s="190"/>
    </row>
    <row r="61" spans="1:43" x14ac:dyDescent="0.25">
      <c r="A61" s="154"/>
      <c r="H61" s="109"/>
      <c r="R61" s="154"/>
      <c r="T61" s="187" t="str">
        <f>TITLE</f>
        <v>ANNUALIZED BASE YEAR REVENUES AT PROPOSED VS. MOST CURRENT RATES</v>
      </c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00"/>
      <c r="AG61" s="190"/>
      <c r="AH61" s="100"/>
      <c r="AI61" s="150"/>
      <c r="AJ61" s="150"/>
      <c r="AK61" s="190"/>
      <c r="AL61" s="150"/>
      <c r="AM61" s="150"/>
      <c r="AN61" s="100"/>
      <c r="AO61" s="150"/>
      <c r="AP61" s="150"/>
      <c r="AQ61" s="190"/>
    </row>
    <row r="62" spans="1:43" x14ac:dyDescent="0.25">
      <c r="L62" s="154"/>
      <c r="M62" s="154"/>
      <c r="R62" s="202"/>
      <c r="T62" s="150" t="str">
        <f>DATE</f>
        <v>FOR THE TWELVE MONTHS ENDED November 30, 2017</v>
      </c>
      <c r="U62" s="150"/>
      <c r="V62" s="150"/>
      <c r="W62" s="150"/>
      <c r="X62" s="150"/>
      <c r="Y62" s="150"/>
      <c r="Z62" s="150"/>
      <c r="AA62" s="150"/>
      <c r="AB62" s="150"/>
      <c r="AC62" s="187"/>
      <c r="AD62" s="187"/>
      <c r="AE62" s="150"/>
      <c r="AF62" s="100"/>
      <c r="AG62" s="190"/>
      <c r="AH62" s="100"/>
      <c r="AI62" s="150"/>
      <c r="AJ62" s="150"/>
      <c r="AK62" s="190"/>
      <c r="AL62" s="150"/>
      <c r="AM62" s="150"/>
      <c r="AN62" s="100"/>
      <c r="AO62" s="150"/>
      <c r="AP62" s="150"/>
      <c r="AQ62" s="190"/>
    </row>
    <row r="63" spans="1:43" x14ac:dyDescent="0.25">
      <c r="A63" s="102"/>
      <c r="B63" s="102"/>
      <c r="C63" s="102"/>
      <c r="D63" s="102"/>
      <c r="E63" s="102"/>
      <c r="F63" s="311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T63" s="150" t="str">
        <f>SERVICE</f>
        <v>(ELECTRIC SERVICE)</v>
      </c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87"/>
      <c r="AF63" s="312"/>
      <c r="AG63" s="190"/>
      <c r="AH63" s="100"/>
      <c r="AI63" s="150"/>
      <c r="AJ63" s="150"/>
      <c r="AK63" s="190"/>
      <c r="AL63" s="150"/>
      <c r="AM63" s="150"/>
      <c r="AN63" s="100"/>
      <c r="AO63" s="150"/>
      <c r="AP63" s="150"/>
      <c r="AQ63" s="190"/>
    </row>
    <row r="64" spans="1:43" x14ac:dyDescent="0.25">
      <c r="L64" s="103"/>
      <c r="M64" s="103"/>
      <c r="N64" s="103"/>
      <c r="O64" s="103"/>
      <c r="R64" s="103"/>
      <c r="T64" s="159" t="str">
        <f>DATA_PERIOD</f>
        <v>DATA: __X__ BASE PERIOD   ____FORECASTED PERIOD</v>
      </c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G64" s="188"/>
      <c r="AI64" s="80"/>
      <c r="AJ64" s="80"/>
      <c r="AK64" s="188"/>
      <c r="AL64" s="80"/>
      <c r="AM64" s="80"/>
      <c r="AO64" s="82" t="s">
        <v>179</v>
      </c>
      <c r="AP64" s="82"/>
      <c r="AQ64" s="188"/>
    </row>
    <row r="65" spans="1:43" x14ac:dyDescent="0.25">
      <c r="L65" s="103"/>
      <c r="M65" s="103"/>
      <c r="N65" s="103"/>
      <c r="O65" s="103"/>
      <c r="R65" s="103"/>
      <c r="T65" s="159" t="str">
        <f>TYPE</f>
        <v>TYPE OF FILING: _X_ ORIGINAL   ___UPDATED  ___ REVISED</v>
      </c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G65" s="188"/>
      <c r="AI65" s="80"/>
      <c r="AJ65" s="80"/>
      <c r="AK65" s="188"/>
      <c r="AL65" s="80"/>
      <c r="AM65" s="80"/>
      <c r="AO65" s="81" t="str">
        <f>R7</f>
        <v>PAGE  3  OF  22</v>
      </c>
      <c r="AP65" s="82"/>
      <c r="AQ65" s="188"/>
    </row>
    <row r="66" spans="1:43" x14ac:dyDescent="0.25">
      <c r="A66" s="103"/>
      <c r="C66" s="103"/>
      <c r="D66" s="103"/>
      <c r="E66" s="103"/>
      <c r="F66" s="103"/>
      <c r="J66" s="103"/>
      <c r="K66" s="103"/>
      <c r="L66" s="103"/>
      <c r="M66" s="103"/>
      <c r="N66" s="103"/>
      <c r="O66" s="103"/>
      <c r="P66" s="103"/>
      <c r="Q66" s="103"/>
      <c r="R66" s="103"/>
      <c r="T66" s="82" t="s">
        <v>192</v>
      </c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G66" s="188"/>
      <c r="AI66" s="80"/>
      <c r="AJ66" s="80"/>
      <c r="AK66" s="188"/>
      <c r="AL66" s="80"/>
      <c r="AM66" s="80"/>
      <c r="AO66" s="82" t="s">
        <v>3</v>
      </c>
      <c r="AP66" s="82"/>
      <c r="AQ66" s="188"/>
    </row>
    <row r="67" spans="1:43" x14ac:dyDescent="0.25">
      <c r="A67" s="103"/>
      <c r="C67" s="103"/>
      <c r="D67" s="103"/>
      <c r="E67" s="103"/>
      <c r="F67" s="103"/>
      <c r="J67" s="103"/>
      <c r="K67" s="103"/>
      <c r="L67" s="103"/>
      <c r="M67" s="103"/>
      <c r="N67" s="103"/>
      <c r="O67" s="103"/>
      <c r="P67" s="103"/>
      <c r="Q67" s="103"/>
      <c r="R67" s="103"/>
      <c r="T67" s="253" t="str">
        <f>TIME</f>
        <v>6 Months Actual and 6 Months Projected</v>
      </c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G67" s="188"/>
      <c r="AI67" s="80"/>
      <c r="AJ67" s="80"/>
      <c r="AK67" s="188"/>
      <c r="AL67" s="80"/>
      <c r="AM67" s="80"/>
      <c r="AO67" s="159" t="str">
        <f>WIT</f>
        <v>B. L. SAILERS</v>
      </c>
      <c r="AP67" s="159"/>
      <c r="AQ67" s="188"/>
    </row>
    <row r="68" spans="1:43" x14ac:dyDescent="0.25">
      <c r="A68" s="103"/>
      <c r="C68" s="103"/>
      <c r="D68" s="103"/>
      <c r="E68" s="103"/>
      <c r="F68" s="103"/>
      <c r="J68" s="103"/>
      <c r="K68" s="103"/>
      <c r="L68" s="103"/>
      <c r="M68" s="103"/>
      <c r="N68" s="103"/>
      <c r="O68" s="103"/>
      <c r="P68" s="103"/>
      <c r="Q68" s="103"/>
      <c r="R68" s="103"/>
      <c r="T68" s="253" t="str">
        <f>INPUT!B5</f>
        <v>6 Months Actual Ending May 31, 2017</v>
      </c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G68" s="188"/>
      <c r="AI68" s="80"/>
      <c r="AJ68" s="80"/>
      <c r="AK68" s="188"/>
      <c r="AL68" s="80"/>
      <c r="AM68" s="80"/>
      <c r="AO68" s="159"/>
      <c r="AP68" s="159"/>
      <c r="AQ68" s="188"/>
    </row>
    <row r="69" spans="1:43" x14ac:dyDescent="0.25">
      <c r="A69" s="103"/>
      <c r="C69" s="103"/>
      <c r="D69" s="103"/>
      <c r="E69" s="103"/>
      <c r="F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T69" s="187" t="s">
        <v>152</v>
      </c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00"/>
      <c r="AG69" s="190"/>
      <c r="AH69" s="100"/>
      <c r="AI69" s="150"/>
      <c r="AJ69" s="150"/>
      <c r="AK69" s="190"/>
      <c r="AL69" s="150"/>
      <c r="AM69" s="150"/>
      <c r="AN69" s="100"/>
      <c r="AO69" s="150"/>
      <c r="AP69" s="150"/>
      <c r="AQ69" s="190"/>
    </row>
    <row r="70" spans="1:43" x14ac:dyDescent="0.25">
      <c r="C70" s="103"/>
      <c r="D70" s="103"/>
      <c r="E70" s="103"/>
      <c r="F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5"/>
      <c r="AH70" s="254"/>
      <c r="AI70" s="254"/>
      <c r="AJ70" s="254"/>
      <c r="AK70" s="255"/>
      <c r="AL70" s="254"/>
      <c r="AM70" s="254"/>
      <c r="AN70" s="254"/>
      <c r="AO70" s="254"/>
      <c r="AP70" s="254"/>
      <c r="AQ70" s="255"/>
    </row>
    <row r="71" spans="1:43" ht="18" customHeight="1" x14ac:dyDescent="0.2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3" t="s">
        <v>8</v>
      </c>
      <c r="AF71" s="103"/>
      <c r="AG71" s="195" t="s">
        <v>7</v>
      </c>
      <c r="AH71" s="103"/>
      <c r="AI71" s="83" t="s">
        <v>9</v>
      </c>
      <c r="AJ71" s="83"/>
      <c r="AK71" s="195" t="s">
        <v>10</v>
      </c>
      <c r="AL71" s="83"/>
      <c r="AM71" s="80"/>
      <c r="AO71" s="83" t="s">
        <v>8</v>
      </c>
      <c r="AP71" s="83"/>
      <c r="AQ71" s="195" t="s">
        <v>11</v>
      </c>
    </row>
    <row r="72" spans="1:43" x14ac:dyDescent="0.25"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T72" s="80"/>
      <c r="U72" s="80"/>
      <c r="V72" s="80"/>
      <c r="W72" s="80"/>
      <c r="X72" s="80"/>
      <c r="Y72" s="80"/>
      <c r="Z72" s="80"/>
      <c r="AA72" s="80"/>
      <c r="AB72" s="80"/>
      <c r="AC72" s="83" t="s">
        <v>14</v>
      </c>
      <c r="AD72" s="83"/>
      <c r="AE72" s="83" t="s">
        <v>12</v>
      </c>
      <c r="AF72" s="103"/>
      <c r="AG72" s="195" t="s">
        <v>13</v>
      </c>
      <c r="AH72" s="103"/>
      <c r="AI72" s="83" t="s">
        <v>15</v>
      </c>
      <c r="AJ72" s="83"/>
      <c r="AK72" s="195" t="s">
        <v>16</v>
      </c>
      <c r="AL72" s="83"/>
      <c r="AM72" s="80"/>
      <c r="AO72" s="83" t="s">
        <v>11</v>
      </c>
      <c r="AP72" s="83"/>
      <c r="AQ72" s="195" t="s">
        <v>9</v>
      </c>
    </row>
    <row r="73" spans="1:43" x14ac:dyDescent="0.25">
      <c r="A73" s="202"/>
      <c r="C73" s="154"/>
      <c r="D73" s="154"/>
      <c r="E73" s="154"/>
      <c r="T73" s="83" t="s">
        <v>17</v>
      </c>
      <c r="U73" s="80"/>
      <c r="V73" s="83" t="s">
        <v>18</v>
      </c>
      <c r="W73" s="83" t="s">
        <v>19</v>
      </c>
      <c r="X73" s="83"/>
      <c r="Y73" s="83" t="s">
        <v>20</v>
      </c>
      <c r="Z73" s="80"/>
      <c r="AA73" s="80"/>
      <c r="AB73" s="80"/>
      <c r="AC73" s="83" t="s">
        <v>8</v>
      </c>
      <c r="AD73" s="83"/>
      <c r="AE73" s="83" t="s">
        <v>21</v>
      </c>
      <c r="AF73" s="103"/>
      <c r="AG73" s="195" t="s">
        <v>21</v>
      </c>
      <c r="AH73" s="103"/>
      <c r="AI73" s="83" t="s">
        <v>22</v>
      </c>
      <c r="AJ73" s="83"/>
      <c r="AK73" s="195" t="s">
        <v>22</v>
      </c>
      <c r="AL73" s="83"/>
      <c r="AM73" s="83" t="s">
        <v>21</v>
      </c>
      <c r="AN73" s="103"/>
      <c r="AO73" s="83" t="s">
        <v>9</v>
      </c>
      <c r="AP73" s="83"/>
      <c r="AQ73" s="195" t="s">
        <v>23</v>
      </c>
    </row>
    <row r="74" spans="1:43" x14ac:dyDescent="0.25">
      <c r="A74" s="202"/>
      <c r="D74" s="154"/>
      <c r="E74" s="154"/>
      <c r="T74" s="83" t="s">
        <v>24</v>
      </c>
      <c r="U74" s="80"/>
      <c r="V74" s="83" t="s">
        <v>25</v>
      </c>
      <c r="W74" s="83" t="s">
        <v>26</v>
      </c>
      <c r="X74" s="83"/>
      <c r="Y74" s="83" t="s">
        <v>27</v>
      </c>
      <c r="Z74" s="80"/>
      <c r="AA74" s="83" t="s">
        <v>28</v>
      </c>
      <c r="AB74" s="83"/>
      <c r="AC74" s="83" t="s">
        <v>29</v>
      </c>
      <c r="AD74" s="83"/>
      <c r="AE74" s="83" t="s">
        <v>9</v>
      </c>
      <c r="AF74" s="103"/>
      <c r="AG74" s="195" t="s">
        <v>9</v>
      </c>
      <c r="AH74" s="103"/>
      <c r="AI74" s="256" t="s">
        <v>31</v>
      </c>
      <c r="AJ74" s="83"/>
      <c r="AK74" s="257" t="s">
        <v>32</v>
      </c>
      <c r="AL74" s="83"/>
      <c r="AM74" s="83" t="s">
        <v>430</v>
      </c>
      <c r="AN74" s="103"/>
      <c r="AO74" s="256" t="s">
        <v>33</v>
      </c>
      <c r="AP74" s="256"/>
      <c r="AQ74" s="257" t="s">
        <v>34</v>
      </c>
    </row>
    <row r="75" spans="1:43" x14ac:dyDescent="0.25">
      <c r="T75" s="80"/>
      <c r="U75" s="80"/>
      <c r="V75" s="256" t="s">
        <v>35</v>
      </c>
      <c r="W75" s="256" t="s">
        <v>36</v>
      </c>
      <c r="X75" s="256"/>
      <c r="Y75" s="256" t="s">
        <v>37</v>
      </c>
      <c r="Z75" s="258"/>
      <c r="AA75" s="256" t="s">
        <v>38</v>
      </c>
      <c r="AB75" s="256"/>
      <c r="AC75" s="256" t="s">
        <v>44</v>
      </c>
      <c r="AD75" s="256"/>
      <c r="AE75" s="256" t="s">
        <v>45</v>
      </c>
      <c r="AF75" s="313"/>
      <c r="AG75" s="257" t="s">
        <v>46</v>
      </c>
      <c r="AH75" s="313"/>
      <c r="AI75" s="256" t="s">
        <v>47</v>
      </c>
      <c r="AJ75" s="256"/>
      <c r="AK75" s="257" t="s">
        <v>48</v>
      </c>
      <c r="AL75" s="256"/>
      <c r="AM75" s="256" t="s">
        <v>42</v>
      </c>
      <c r="AN75" s="313"/>
      <c r="AO75" s="256" t="s">
        <v>49</v>
      </c>
      <c r="AP75" s="256"/>
      <c r="AQ75" s="257" t="s">
        <v>50</v>
      </c>
    </row>
    <row r="76" spans="1:43" x14ac:dyDescent="0.25">
      <c r="A76" s="202"/>
      <c r="C76" s="1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5"/>
      <c r="AH76" s="254"/>
      <c r="AI76" s="254"/>
      <c r="AJ76" s="254"/>
      <c r="AK76" s="255"/>
      <c r="AL76" s="254"/>
      <c r="AM76" s="254"/>
      <c r="AN76" s="254"/>
      <c r="AO76" s="254"/>
      <c r="AP76" s="254"/>
      <c r="AQ76" s="255"/>
    </row>
    <row r="77" spans="1:43" ht="17.100000000000001" customHeight="1" x14ac:dyDescent="0.25">
      <c r="A77" s="202"/>
      <c r="C77" s="154"/>
      <c r="F77" s="252"/>
      <c r="H77" s="252"/>
      <c r="I77" s="252"/>
      <c r="J77" s="300"/>
      <c r="K77" s="300"/>
      <c r="L77" s="200"/>
      <c r="M77" s="200"/>
      <c r="N77" s="210"/>
      <c r="O77" s="210"/>
      <c r="P77" s="202"/>
      <c r="Q77" s="202"/>
      <c r="R77" s="200"/>
      <c r="T77" s="80"/>
      <c r="U77" s="80"/>
      <c r="V77" s="80"/>
      <c r="W77" s="80"/>
      <c r="X77" s="80"/>
      <c r="Y77" s="80"/>
      <c r="Z77" s="80"/>
      <c r="AA77" s="260" t="s">
        <v>218</v>
      </c>
      <c r="AB77" s="259"/>
      <c r="AC77" s="260" t="s">
        <v>441</v>
      </c>
      <c r="AD77" s="259"/>
      <c r="AE77" s="259" t="s">
        <v>52</v>
      </c>
      <c r="AF77" s="314"/>
      <c r="AG77" s="261" t="s">
        <v>53</v>
      </c>
      <c r="AH77" s="314"/>
      <c r="AI77" s="259" t="s">
        <v>52</v>
      </c>
      <c r="AJ77" s="259"/>
      <c r="AK77" s="261" t="s">
        <v>53</v>
      </c>
      <c r="AL77" s="259"/>
      <c r="AM77" s="259" t="s">
        <v>52</v>
      </c>
      <c r="AN77" s="314"/>
      <c r="AO77" s="259" t="s">
        <v>52</v>
      </c>
      <c r="AP77" s="259"/>
      <c r="AQ77" s="261" t="s">
        <v>53</v>
      </c>
    </row>
    <row r="78" spans="1:43" x14ac:dyDescent="0.25">
      <c r="A78" s="202"/>
      <c r="C78" s="154"/>
      <c r="F78" s="252"/>
      <c r="H78" s="252"/>
      <c r="I78" s="252"/>
      <c r="J78" s="300"/>
      <c r="K78" s="300"/>
      <c r="L78" s="200"/>
      <c r="M78" s="200"/>
      <c r="N78" s="210"/>
      <c r="O78" s="210"/>
      <c r="P78" s="202"/>
      <c r="Q78" s="202"/>
      <c r="R78" s="200"/>
      <c r="T78" s="159">
        <v>1</v>
      </c>
      <c r="U78" s="80"/>
      <c r="V78" s="253" t="s">
        <v>113</v>
      </c>
      <c r="W78" s="253" t="s">
        <v>165</v>
      </c>
      <c r="X78" s="82"/>
      <c r="Y78" s="70"/>
      <c r="Z78" s="70"/>
      <c r="AA78" s="298"/>
      <c r="AB78" s="298"/>
      <c r="AC78" s="299" t="s">
        <v>435</v>
      </c>
      <c r="AD78" s="298"/>
      <c r="AE78" s="298"/>
      <c r="AF78" s="315"/>
      <c r="AG78" s="316"/>
      <c r="AH78" s="315"/>
      <c r="AI78" s="298"/>
      <c r="AJ78" s="298"/>
      <c r="AK78" s="316"/>
      <c r="AL78" s="298"/>
      <c r="AM78" s="298"/>
      <c r="AN78" s="315"/>
      <c r="AO78" s="298"/>
      <c r="AP78" s="298"/>
      <c r="AQ78" s="316"/>
    </row>
    <row r="79" spans="1:43" x14ac:dyDescent="0.25">
      <c r="F79" s="211"/>
      <c r="H79" s="200"/>
      <c r="I79" s="200"/>
      <c r="J79" s="305"/>
      <c r="K79" s="305"/>
      <c r="L79" s="211"/>
      <c r="M79" s="211"/>
      <c r="N79" s="211"/>
      <c r="O79" s="211"/>
      <c r="P79" s="211"/>
      <c r="Q79" s="211"/>
      <c r="R79" s="211"/>
      <c r="T79" s="159">
        <v>2</v>
      </c>
      <c r="U79" s="80"/>
      <c r="V79" s="258"/>
      <c r="W79" s="253" t="s">
        <v>154</v>
      </c>
      <c r="X79" s="82"/>
      <c r="Y79" s="70"/>
      <c r="Z79" s="70"/>
      <c r="AA79" s="70"/>
      <c r="AB79" s="70"/>
      <c r="AC79" s="70"/>
      <c r="AD79" s="70"/>
      <c r="AE79" s="70"/>
      <c r="AF79" s="85"/>
      <c r="AG79" s="164"/>
      <c r="AH79" s="85"/>
      <c r="AI79" s="70"/>
      <c r="AJ79" s="70"/>
      <c r="AK79" s="164"/>
      <c r="AL79" s="70"/>
      <c r="AM79" s="70"/>
      <c r="AN79" s="85"/>
      <c r="AO79" s="70"/>
      <c r="AP79" s="70"/>
      <c r="AQ79" s="164"/>
    </row>
    <row r="80" spans="1:43" x14ac:dyDescent="0.25">
      <c r="A80" s="202"/>
      <c r="C80" s="154"/>
      <c r="F80" s="200"/>
      <c r="H80" s="200"/>
      <c r="I80" s="200"/>
      <c r="J80" s="305"/>
      <c r="K80" s="305"/>
      <c r="L80" s="200"/>
      <c r="M80" s="200"/>
      <c r="N80" s="210"/>
      <c r="O80" s="210"/>
      <c r="P80" s="200"/>
      <c r="Q80" s="200"/>
      <c r="R80" s="200"/>
      <c r="T80" s="80"/>
      <c r="U80" s="80"/>
      <c r="V80" s="80"/>
      <c r="W80" s="80"/>
      <c r="X80" s="80"/>
      <c r="Y80" s="70"/>
      <c r="Z80" s="70"/>
      <c r="AA80" s="70"/>
      <c r="AB80" s="70"/>
      <c r="AC80" s="70"/>
      <c r="AD80" s="70"/>
      <c r="AE80" s="70"/>
      <c r="AF80" s="85"/>
      <c r="AG80" s="164"/>
      <c r="AH80" s="85"/>
      <c r="AI80" s="70"/>
      <c r="AJ80" s="70"/>
      <c r="AK80" s="164"/>
      <c r="AL80" s="70"/>
      <c r="AM80" s="70"/>
      <c r="AN80" s="85"/>
      <c r="AO80" s="70"/>
      <c r="AP80" s="70"/>
      <c r="AQ80" s="164"/>
    </row>
    <row r="81" spans="1:76" x14ac:dyDescent="0.25">
      <c r="F81" s="211"/>
      <c r="H81" s="200"/>
      <c r="I81" s="200"/>
      <c r="J81" s="305"/>
      <c r="K81" s="305"/>
      <c r="L81" s="211"/>
      <c r="M81" s="211"/>
      <c r="N81" s="211"/>
      <c r="O81" s="211"/>
      <c r="P81" s="211"/>
      <c r="Q81" s="211"/>
      <c r="R81" s="211"/>
      <c r="T81" s="159">
        <v>3</v>
      </c>
      <c r="U81" s="80"/>
      <c r="V81" s="253" t="s">
        <v>155</v>
      </c>
      <c r="W81" s="80"/>
      <c r="X81" s="80"/>
      <c r="Y81" s="70"/>
      <c r="Z81" s="70"/>
      <c r="AA81" s="70"/>
      <c r="AB81" s="70"/>
      <c r="AC81" s="70"/>
      <c r="AD81" s="70"/>
      <c r="AE81" s="70"/>
      <c r="AF81" s="85"/>
      <c r="AG81" s="164"/>
      <c r="AH81" s="85"/>
      <c r="AI81" s="70"/>
      <c r="AJ81" s="70"/>
      <c r="AK81" s="164"/>
      <c r="AL81" s="70"/>
      <c r="AM81" s="70"/>
      <c r="AN81" s="85"/>
      <c r="AO81" s="70"/>
      <c r="AP81" s="70"/>
      <c r="AQ81" s="164"/>
    </row>
    <row r="82" spans="1:76" x14ac:dyDescent="0.25">
      <c r="F82" s="211"/>
      <c r="H82" s="200"/>
      <c r="I82" s="200"/>
      <c r="J82" s="305"/>
      <c r="K82" s="305"/>
      <c r="L82" s="211"/>
      <c r="M82" s="211"/>
      <c r="N82" s="211"/>
      <c r="O82" s="211"/>
      <c r="P82" s="211"/>
      <c r="Q82" s="211"/>
      <c r="R82" s="211"/>
      <c r="T82" s="159">
        <v>4</v>
      </c>
      <c r="U82" s="80"/>
      <c r="V82" s="82" t="s">
        <v>688</v>
      </c>
      <c r="W82" s="80"/>
      <c r="X82" s="80"/>
      <c r="Y82" s="79">
        <f>F24</f>
        <v>1798</v>
      </c>
      <c r="Z82" s="70"/>
      <c r="AA82" s="70"/>
      <c r="AB82" s="70"/>
      <c r="AC82" s="283">
        <f>INPUT!C63</f>
        <v>5</v>
      </c>
      <c r="AD82" s="70"/>
      <c r="AE82" s="79">
        <f>ROUND(Y82*AC82,0)</f>
        <v>8990</v>
      </c>
      <c r="AF82" s="163"/>
      <c r="AG82" s="155">
        <f>ROUND((AE82/AE$111)*100,1)</f>
        <v>0</v>
      </c>
      <c r="AH82" s="198"/>
      <c r="AI82" s="79">
        <f>L24-AE82</f>
        <v>0</v>
      </c>
      <c r="AJ82" s="79"/>
      <c r="AK82" s="155">
        <f>ROUND((AI82/AE82)*100,1)</f>
        <v>0</v>
      </c>
      <c r="AL82" s="158"/>
      <c r="AM82" s="79"/>
      <c r="AN82" s="271"/>
      <c r="AO82" s="79">
        <f>AE82+AM82</f>
        <v>8990</v>
      </c>
      <c r="AP82" s="79"/>
      <c r="AQ82" s="157">
        <f>IF(AO82=0,"0.0 ",ROUND((AI82/AO82)*100,1))</f>
        <v>0</v>
      </c>
    </row>
    <row r="83" spans="1:76" x14ac:dyDescent="0.25">
      <c r="F83" s="211"/>
      <c r="H83" s="200"/>
      <c r="I83" s="200"/>
      <c r="J83" s="305"/>
      <c r="K83" s="305"/>
      <c r="L83" s="211"/>
      <c r="M83" s="211"/>
      <c r="N83" s="211"/>
      <c r="O83" s="211"/>
      <c r="P83" s="211"/>
      <c r="Q83" s="211"/>
      <c r="R83" s="211"/>
      <c r="T83" s="159">
        <v>5</v>
      </c>
      <c r="U83" s="80"/>
      <c r="V83" s="82" t="s">
        <v>689</v>
      </c>
      <c r="W83" s="80"/>
      <c r="X83" s="80"/>
      <c r="Y83" s="79">
        <f>F25</f>
        <v>12</v>
      </c>
      <c r="Z83" s="70"/>
      <c r="AA83" s="70"/>
      <c r="AB83" s="70"/>
      <c r="AC83" s="283">
        <f>INPUT!C64</f>
        <v>100</v>
      </c>
      <c r="AD83" s="70"/>
      <c r="AE83" s="79">
        <f>ROUND(Y83*AC83,0)</f>
        <v>1200</v>
      </c>
      <c r="AF83" s="163"/>
      <c r="AG83" s="155">
        <f>ROUND((AE83/AE$111)*100,1)</f>
        <v>0</v>
      </c>
      <c r="AH83" s="198"/>
      <c r="AI83" s="79">
        <f>L25-AE83</f>
        <v>-1140</v>
      </c>
      <c r="AJ83" s="79"/>
      <c r="AK83" s="155">
        <f>ROUND((AI83/AE83)*100,1)</f>
        <v>-95</v>
      </c>
      <c r="AL83" s="158"/>
      <c r="AM83" s="79"/>
      <c r="AN83" s="271"/>
      <c r="AO83" s="79">
        <f>AE83+AM83</f>
        <v>1200</v>
      </c>
      <c r="AP83" s="79"/>
      <c r="AQ83" s="157">
        <f>IF(AO83=0,"0.0 ",ROUND((AI83/AO83)*100,1))</f>
        <v>-95</v>
      </c>
    </row>
    <row r="84" spans="1:76" x14ac:dyDescent="0.25">
      <c r="F84" s="200"/>
      <c r="H84" s="200"/>
      <c r="I84" s="200"/>
      <c r="J84" s="305"/>
      <c r="K84" s="305"/>
      <c r="L84" s="200"/>
      <c r="M84" s="200"/>
      <c r="N84" s="210"/>
      <c r="O84" s="210"/>
      <c r="P84" s="200"/>
      <c r="Q84" s="200"/>
      <c r="R84" s="200"/>
      <c r="T84" s="159">
        <v>6</v>
      </c>
      <c r="U84" s="80"/>
      <c r="V84" s="82" t="s">
        <v>156</v>
      </c>
      <c r="W84" s="80"/>
      <c r="X84" s="80"/>
      <c r="Y84" s="79">
        <f>F26</f>
        <v>84521</v>
      </c>
      <c r="Z84" s="70"/>
      <c r="AA84" s="78"/>
      <c r="AB84" s="78"/>
      <c r="AC84" s="283">
        <f>INPUT!C48</f>
        <v>7.5</v>
      </c>
      <c r="AD84" s="284"/>
      <c r="AE84" s="79">
        <f>ROUND(Y84*AC84,0)</f>
        <v>633908</v>
      </c>
      <c r="AF84" s="163"/>
      <c r="AG84" s="155">
        <f>ROUND((AE84/AE$111)*100,1)</f>
        <v>0.7</v>
      </c>
      <c r="AH84" s="198"/>
      <c r="AI84" s="79">
        <f>L26-AE84</f>
        <v>814782</v>
      </c>
      <c r="AJ84" s="79"/>
      <c r="AK84" s="155">
        <f>ROUND((AI84/AE84)*100,1)</f>
        <v>128.5</v>
      </c>
      <c r="AL84" s="158"/>
      <c r="AM84" s="79"/>
      <c r="AN84" s="271"/>
      <c r="AO84" s="79">
        <f>AE84+AM84</f>
        <v>633908</v>
      </c>
      <c r="AP84" s="79"/>
      <c r="AQ84" s="157">
        <f>IF(AO84=0,"0.0 ",ROUND((AI84/AO84)*100,1))</f>
        <v>128.5</v>
      </c>
      <c r="BX84" s="317"/>
    </row>
    <row r="85" spans="1:76" x14ac:dyDescent="0.25">
      <c r="A85" s="202"/>
      <c r="C85" s="154"/>
      <c r="F85" s="200"/>
      <c r="H85" s="200"/>
      <c r="I85" s="200"/>
      <c r="J85" s="305"/>
      <c r="K85" s="305"/>
      <c r="L85" s="200"/>
      <c r="M85" s="200"/>
      <c r="N85" s="210"/>
      <c r="O85" s="210"/>
      <c r="P85" s="200"/>
      <c r="Q85" s="200"/>
      <c r="R85" s="200"/>
      <c r="T85" s="159">
        <v>7</v>
      </c>
      <c r="U85" s="80"/>
      <c r="V85" s="82" t="s">
        <v>157</v>
      </c>
      <c r="W85" s="80"/>
      <c r="X85" s="80"/>
      <c r="Y85" s="79">
        <f>F27</f>
        <v>72501</v>
      </c>
      <c r="Z85" s="70"/>
      <c r="AA85" s="78"/>
      <c r="AB85" s="78"/>
      <c r="AC85" s="283">
        <f>INPUT!C49</f>
        <v>15</v>
      </c>
      <c r="AD85" s="284"/>
      <c r="AE85" s="79">
        <f>ROUND(Y85*AC85,0)</f>
        <v>1087515</v>
      </c>
      <c r="AF85" s="163"/>
      <c r="AG85" s="166">
        <f>ROUND((AE85/AE$111)*100,1)</f>
        <v>1.2</v>
      </c>
      <c r="AH85" s="198"/>
      <c r="AI85" s="79">
        <f>L27-AE85</f>
        <v>1397819</v>
      </c>
      <c r="AJ85" s="79"/>
      <c r="AK85" s="166">
        <f>ROUND((AI85/AE85)*100,1)</f>
        <v>128.5</v>
      </c>
      <c r="AL85" s="158"/>
      <c r="AM85" s="79"/>
      <c r="AN85" s="271"/>
      <c r="AO85" s="79">
        <f>AE85+AM85</f>
        <v>1087515</v>
      </c>
      <c r="AP85" s="79"/>
      <c r="AQ85" s="157">
        <f>IF(AO85=0,"0.0 ",ROUND((AI85/AO85)*100,1))</f>
        <v>128.5</v>
      </c>
    </row>
    <row r="86" spans="1:76" ht="20.100000000000001" customHeight="1" x14ac:dyDescent="0.25">
      <c r="A86" s="202"/>
      <c r="C86" s="154"/>
      <c r="F86" s="252"/>
      <c r="H86" s="252"/>
      <c r="I86" s="252"/>
      <c r="J86" s="300"/>
      <c r="K86" s="300"/>
      <c r="L86" s="200"/>
      <c r="M86" s="200"/>
      <c r="N86" s="210"/>
      <c r="O86" s="210"/>
      <c r="P86" s="200"/>
      <c r="Q86" s="200"/>
      <c r="R86" s="200"/>
      <c r="T86" s="159">
        <v>8</v>
      </c>
      <c r="U86" s="80"/>
      <c r="V86" s="253" t="s">
        <v>158</v>
      </c>
      <c r="W86" s="80"/>
      <c r="X86" s="80"/>
      <c r="Y86" s="169">
        <f>F28</f>
        <v>157022</v>
      </c>
      <c r="Z86" s="70"/>
      <c r="AA86" s="79"/>
      <c r="AB86" s="79"/>
      <c r="AC86" s="263"/>
      <c r="AD86" s="263"/>
      <c r="AE86" s="169">
        <f>SUM(AE82:AE85)</f>
        <v>1731613</v>
      </c>
      <c r="AF86" s="163"/>
      <c r="AG86" s="170">
        <f>ROUND((AE86/AE$111)*100,1)</f>
        <v>1.9</v>
      </c>
      <c r="AH86" s="198"/>
      <c r="AI86" s="169">
        <f>SUM(AI82:AI85)</f>
        <v>2211461</v>
      </c>
      <c r="AJ86" s="163"/>
      <c r="AK86" s="170">
        <f>ROUND((AI86/AE86)*100,1)</f>
        <v>127.7</v>
      </c>
      <c r="AL86" s="158"/>
      <c r="AM86" s="169"/>
      <c r="AN86" s="163"/>
      <c r="AO86" s="169">
        <f>SUM(AO82:AO85)</f>
        <v>1731613</v>
      </c>
      <c r="AP86" s="163"/>
      <c r="AQ86" s="157">
        <f>IF(AO86=0,"0.0 ",ROUND((AI86/AO86)*100,1))</f>
        <v>127.7</v>
      </c>
    </row>
    <row r="87" spans="1:76" x14ac:dyDescent="0.25">
      <c r="A87" s="202"/>
      <c r="C87" s="154"/>
      <c r="F87" s="200"/>
      <c r="H87" s="200"/>
      <c r="I87" s="200"/>
      <c r="J87" s="305"/>
      <c r="K87" s="305"/>
      <c r="L87" s="200"/>
      <c r="M87" s="200"/>
      <c r="N87" s="210"/>
      <c r="O87" s="210"/>
      <c r="P87" s="200"/>
      <c r="Q87" s="200"/>
      <c r="R87" s="200"/>
      <c r="T87" s="80"/>
      <c r="U87" s="80"/>
      <c r="V87" s="80"/>
      <c r="W87" s="80"/>
      <c r="X87" s="80"/>
      <c r="Y87" s="79"/>
      <c r="Z87" s="70"/>
      <c r="AA87" s="79"/>
      <c r="AB87" s="79"/>
      <c r="AC87" s="263"/>
      <c r="AD87" s="263"/>
      <c r="AE87" s="79"/>
      <c r="AF87" s="163"/>
      <c r="AG87" s="155"/>
      <c r="AH87" s="198"/>
      <c r="AI87" s="79"/>
      <c r="AJ87" s="79"/>
      <c r="AK87" s="155"/>
      <c r="AL87" s="158"/>
      <c r="AM87" s="79"/>
      <c r="AN87" s="163"/>
      <c r="AO87" s="79"/>
      <c r="AP87" s="79"/>
      <c r="AQ87" s="155"/>
    </row>
    <row r="88" spans="1:76" x14ac:dyDescent="0.25">
      <c r="F88" s="200"/>
      <c r="H88" s="211"/>
      <c r="I88" s="211"/>
      <c r="J88" s="305"/>
      <c r="K88" s="305"/>
      <c r="L88" s="211"/>
      <c r="M88" s="211"/>
      <c r="N88" s="211"/>
      <c r="O88" s="211"/>
      <c r="P88" s="211"/>
      <c r="Q88" s="211"/>
      <c r="R88" s="211"/>
      <c r="T88" s="159">
        <v>9</v>
      </c>
      <c r="U88" s="80"/>
      <c r="V88" s="253" t="s">
        <v>65</v>
      </c>
      <c r="W88" s="80"/>
      <c r="X88" s="80"/>
      <c r="Y88" s="79"/>
      <c r="Z88" s="70"/>
      <c r="AA88" s="79"/>
      <c r="AB88" s="79"/>
      <c r="AC88" s="263"/>
      <c r="AD88" s="263"/>
      <c r="AE88" s="79"/>
      <c r="AF88" s="163"/>
      <c r="AG88" s="155"/>
      <c r="AH88" s="198"/>
      <c r="AI88" s="79"/>
      <c r="AJ88" s="79"/>
      <c r="AK88" s="155"/>
      <c r="AL88" s="158"/>
      <c r="AM88" s="79"/>
      <c r="AN88" s="163"/>
      <c r="AO88" s="79"/>
      <c r="AP88" s="79"/>
      <c r="AQ88" s="155"/>
    </row>
    <row r="89" spans="1:76" x14ac:dyDescent="0.25">
      <c r="A89" s="202"/>
      <c r="C89" s="154"/>
      <c r="F89" s="200"/>
      <c r="H89" s="200"/>
      <c r="I89" s="200"/>
      <c r="J89" s="213"/>
      <c r="K89" s="213"/>
      <c r="L89" s="200"/>
      <c r="M89" s="200"/>
      <c r="N89" s="210"/>
      <c r="O89" s="210"/>
      <c r="P89" s="200"/>
      <c r="Q89" s="200"/>
      <c r="R89" s="200"/>
      <c r="T89" s="159">
        <v>10</v>
      </c>
      <c r="U89" s="80"/>
      <c r="V89" s="82" t="s">
        <v>159</v>
      </c>
      <c r="W89" s="80"/>
      <c r="X89" s="80"/>
      <c r="Y89" s="78"/>
      <c r="Z89" s="70"/>
      <c r="AA89" s="79">
        <f>H31</f>
        <v>1388597.1099999999</v>
      </c>
      <c r="AB89" s="79"/>
      <c r="AC89" s="283">
        <f>INPUT!C55</f>
        <v>0</v>
      </c>
      <c r="AD89" s="284"/>
      <c r="AE89" s="79">
        <f>ROUND(AA89*AC89,0)</f>
        <v>0</v>
      </c>
      <c r="AF89" s="163"/>
      <c r="AG89" s="155">
        <f>ROUND((AE89/AE$111)*100,1)</f>
        <v>0</v>
      </c>
      <c r="AH89" s="198"/>
      <c r="AI89" s="79">
        <f>L31-AE89</f>
        <v>0</v>
      </c>
      <c r="AJ89" s="79"/>
      <c r="AK89" s="318">
        <v>0</v>
      </c>
      <c r="AL89" s="319"/>
      <c r="AM89" s="79"/>
      <c r="AN89" s="163"/>
      <c r="AO89" s="79">
        <f>AE89+AM89</f>
        <v>0</v>
      </c>
      <c r="AP89" s="79"/>
      <c r="AQ89" s="157" t="str">
        <f>IF(AO89=0,"0.0 ",ROUND((AI89/AO89)*100,1))</f>
        <v xml:space="preserve">0.0 </v>
      </c>
    </row>
    <row r="90" spans="1:76" x14ac:dyDescent="0.25">
      <c r="A90" s="202"/>
      <c r="C90" s="154"/>
      <c r="F90" s="252"/>
      <c r="H90" s="252"/>
      <c r="I90" s="252"/>
      <c r="J90" s="320"/>
      <c r="K90" s="320"/>
      <c r="L90" s="200"/>
      <c r="M90" s="200"/>
      <c r="N90" s="210"/>
      <c r="O90" s="210"/>
      <c r="P90" s="252"/>
      <c r="Q90" s="252"/>
      <c r="R90" s="200"/>
      <c r="T90" s="159">
        <v>11</v>
      </c>
      <c r="U90" s="80"/>
      <c r="V90" s="82" t="s">
        <v>160</v>
      </c>
      <c r="W90" s="80"/>
      <c r="X90" s="80"/>
      <c r="Y90" s="78"/>
      <c r="Z90" s="70"/>
      <c r="AA90" s="79">
        <f>H32</f>
        <v>2491897.1400000029</v>
      </c>
      <c r="AB90" s="79"/>
      <c r="AC90" s="283">
        <f>INPUT!C56</f>
        <v>7.75</v>
      </c>
      <c r="AD90" s="284"/>
      <c r="AE90" s="79">
        <f>ROUND(AA90*AC90,0)</f>
        <v>19312203</v>
      </c>
      <c r="AF90" s="163"/>
      <c r="AG90" s="166">
        <f>ROUND((AE90/AE$111)*100,1)</f>
        <v>21.4</v>
      </c>
      <c r="AH90" s="198"/>
      <c r="AI90" s="79">
        <f>L32-AE90</f>
        <v>2442059</v>
      </c>
      <c r="AJ90" s="79"/>
      <c r="AK90" s="166">
        <f>ROUND((AI90/AE90)*100,1)</f>
        <v>12.6</v>
      </c>
      <c r="AL90" s="158"/>
      <c r="AM90" s="79"/>
      <c r="AN90" s="163"/>
      <c r="AO90" s="79">
        <f>AE90+AM90</f>
        <v>19312203</v>
      </c>
      <c r="AP90" s="79"/>
      <c r="AQ90" s="157">
        <f>IF(AO90=0,"0.0 ",ROUND((AI90/AO90)*100,1))</f>
        <v>12.6</v>
      </c>
    </row>
    <row r="91" spans="1:76" ht="20.100000000000001" customHeight="1" x14ac:dyDescent="0.25">
      <c r="A91" s="202"/>
      <c r="C91" s="154"/>
      <c r="F91" s="252"/>
      <c r="H91" s="252"/>
      <c r="I91" s="252"/>
      <c r="J91" s="320"/>
      <c r="K91" s="320"/>
      <c r="L91" s="200"/>
      <c r="M91" s="200"/>
      <c r="N91" s="210"/>
      <c r="O91" s="210"/>
      <c r="P91" s="252"/>
      <c r="Q91" s="252"/>
      <c r="R91" s="200"/>
      <c r="T91" s="159">
        <v>12</v>
      </c>
      <c r="U91" s="80"/>
      <c r="V91" s="253" t="s">
        <v>68</v>
      </c>
      <c r="W91" s="80"/>
      <c r="X91" s="80"/>
      <c r="Y91" s="79"/>
      <c r="Z91" s="70"/>
      <c r="AA91" s="169">
        <f>H33</f>
        <v>3880494.2500000028</v>
      </c>
      <c r="AB91" s="163"/>
      <c r="AC91" s="268"/>
      <c r="AD91" s="268"/>
      <c r="AE91" s="169">
        <f>SUM(AE89:AE90)</f>
        <v>19312203</v>
      </c>
      <c r="AF91" s="163"/>
      <c r="AG91" s="170">
        <f>ROUND((AE91/AE$111)*100,1)</f>
        <v>21.4</v>
      </c>
      <c r="AH91" s="198"/>
      <c r="AI91" s="169">
        <f>SUM(AI89:AI90)</f>
        <v>2442059</v>
      </c>
      <c r="AJ91" s="163"/>
      <c r="AK91" s="170">
        <f>ROUND((AI91/AE91)*100,1)</f>
        <v>12.6</v>
      </c>
      <c r="AL91" s="158"/>
      <c r="AM91" s="169"/>
      <c r="AN91" s="163"/>
      <c r="AO91" s="169">
        <f>SUM(AO89:AO90)</f>
        <v>19312203</v>
      </c>
      <c r="AP91" s="163"/>
      <c r="AQ91" s="157">
        <f>IF(AO91=0,"0.0 ",ROUND((AI91/AO91)*100,1))</f>
        <v>12.6</v>
      </c>
      <c r="AT91" s="101">
        <f>1-AT99</f>
        <v>0.22428430170631963</v>
      </c>
    </row>
    <row r="92" spans="1:76" x14ac:dyDescent="0.25">
      <c r="A92" s="202"/>
      <c r="C92" s="154"/>
      <c r="F92" s="252"/>
      <c r="H92" s="252"/>
      <c r="I92" s="252"/>
      <c r="J92" s="320"/>
      <c r="K92" s="320"/>
      <c r="L92" s="200"/>
      <c r="M92" s="200"/>
      <c r="N92" s="210"/>
      <c r="O92" s="210"/>
      <c r="P92" s="252"/>
      <c r="Q92" s="252"/>
      <c r="R92" s="200"/>
      <c r="T92" s="159"/>
      <c r="U92" s="80"/>
      <c r="V92" s="82"/>
      <c r="W92" s="80"/>
      <c r="X92" s="80"/>
      <c r="Y92" s="79"/>
      <c r="Z92" s="70"/>
      <c r="AA92" s="163"/>
      <c r="AB92" s="163"/>
      <c r="AC92" s="268"/>
      <c r="AD92" s="268"/>
      <c r="AE92" s="163"/>
      <c r="AF92" s="163"/>
      <c r="AG92" s="197"/>
      <c r="AH92" s="198"/>
      <c r="AI92" s="163"/>
      <c r="AJ92" s="163"/>
      <c r="AK92" s="155"/>
      <c r="AL92" s="158"/>
      <c r="AM92" s="163"/>
      <c r="AN92" s="163"/>
      <c r="AO92" s="163"/>
      <c r="AP92" s="163"/>
      <c r="AQ92" s="155"/>
    </row>
    <row r="93" spans="1:76" ht="16.5" thickBot="1" x14ac:dyDescent="0.3">
      <c r="A93" s="202"/>
      <c r="C93" s="154"/>
      <c r="H93" s="252"/>
      <c r="I93" s="252"/>
      <c r="J93" s="320"/>
      <c r="K93" s="320"/>
      <c r="L93" s="200"/>
      <c r="M93" s="200"/>
      <c r="N93" s="210"/>
      <c r="O93" s="210"/>
      <c r="P93" s="252"/>
      <c r="Q93" s="252"/>
      <c r="R93" s="200"/>
      <c r="T93" s="159">
        <v>13</v>
      </c>
      <c r="U93" s="80"/>
      <c r="V93" s="253" t="s">
        <v>481</v>
      </c>
      <c r="W93" s="80"/>
      <c r="X93" s="80"/>
      <c r="Y93" s="79"/>
      <c r="Z93" s="70"/>
      <c r="AA93" s="79"/>
      <c r="AB93" s="79"/>
      <c r="AC93" s="263"/>
      <c r="AD93" s="263"/>
      <c r="AE93" s="79"/>
      <c r="AF93" s="163"/>
      <c r="AG93" s="155"/>
      <c r="AH93" s="198"/>
      <c r="AI93" s="79"/>
      <c r="AJ93" s="79"/>
      <c r="AK93" s="155"/>
      <c r="AL93" s="158"/>
      <c r="AM93" s="79"/>
      <c r="AN93" s="163"/>
      <c r="AO93" s="79"/>
      <c r="AP93" s="79"/>
      <c r="AQ93" s="155"/>
    </row>
    <row r="94" spans="1:76" x14ac:dyDescent="0.25">
      <c r="F94" s="211"/>
      <c r="H94" s="211"/>
      <c r="I94" s="211"/>
      <c r="J94" s="305"/>
      <c r="K94" s="305"/>
      <c r="L94" s="211"/>
      <c r="M94" s="211"/>
      <c r="N94" s="211"/>
      <c r="O94" s="211"/>
      <c r="P94" s="211"/>
      <c r="Q94" s="211"/>
      <c r="R94" s="211"/>
      <c r="T94" s="159">
        <v>14</v>
      </c>
      <c r="U94" s="80"/>
      <c r="V94" s="82" t="s">
        <v>161</v>
      </c>
      <c r="W94" s="80"/>
      <c r="X94" s="80"/>
      <c r="Y94" s="78"/>
      <c r="Z94" s="70"/>
      <c r="AA94" s="79">
        <f t="shared" ref="AA94:AA99" si="5">H36</f>
        <v>366515604</v>
      </c>
      <c r="AB94" s="79"/>
      <c r="AC94" s="295">
        <f>INPUT!C51</f>
        <v>8.1644999999999995E-2</v>
      </c>
      <c r="AD94" s="293"/>
      <c r="AE94" s="79">
        <f>ROUND((AA94*AC94),0)</f>
        <v>29924166</v>
      </c>
      <c r="AF94" s="163"/>
      <c r="AG94" s="155">
        <f>ROUND((AE94/AE$111)*100,1)</f>
        <v>33.200000000000003</v>
      </c>
      <c r="AH94" s="198"/>
      <c r="AI94" s="79">
        <f>L36-AE94</f>
        <v>3764849</v>
      </c>
      <c r="AJ94" s="79"/>
      <c r="AK94" s="155">
        <f t="shared" ref="AK94:AK109" si="6">ROUND((AI94/AE94)*100,1)</f>
        <v>12.6</v>
      </c>
      <c r="AL94" s="158"/>
      <c r="AM94" s="78"/>
      <c r="AN94" s="230"/>
      <c r="AO94" s="79">
        <f>AE94+AM94</f>
        <v>29924166</v>
      </c>
      <c r="AP94" s="79"/>
      <c r="AQ94" s="157">
        <f t="shared" ref="AQ94:AQ109" si="7">IF(AO94=0,"0.0 ",ROUND((AI94/AO94)*100,1))</f>
        <v>12.6</v>
      </c>
      <c r="AT94" s="321">
        <f>AO94/SUM($AO$94:$AO$98)</f>
        <v>0.44800878909198971</v>
      </c>
    </row>
    <row r="95" spans="1:76" x14ac:dyDescent="0.25">
      <c r="A95" s="202"/>
      <c r="C95" s="154"/>
      <c r="F95" s="200"/>
      <c r="H95" s="200"/>
      <c r="I95" s="200"/>
      <c r="J95" s="213"/>
      <c r="K95" s="213"/>
      <c r="L95" s="200"/>
      <c r="M95" s="200"/>
      <c r="N95" s="210"/>
      <c r="O95" s="210"/>
      <c r="P95" s="200"/>
      <c r="Q95" s="200"/>
      <c r="R95" s="200"/>
      <c r="T95" s="159">
        <v>15</v>
      </c>
      <c r="U95" s="80"/>
      <c r="V95" s="82" t="s">
        <v>162</v>
      </c>
      <c r="W95" s="80"/>
      <c r="X95" s="80"/>
      <c r="Y95" s="78"/>
      <c r="Z95" s="70"/>
      <c r="AA95" s="79">
        <f t="shared" si="5"/>
        <v>627126263</v>
      </c>
      <c r="AB95" s="79"/>
      <c r="AC95" s="295">
        <f>INPUT!C52</f>
        <v>5.0118999999999997E-2</v>
      </c>
      <c r="AD95" s="293"/>
      <c r="AE95" s="79">
        <f>ROUND((AA95*AC95),0)</f>
        <v>31430941</v>
      </c>
      <c r="AF95" s="163"/>
      <c r="AG95" s="155">
        <f t="shared" ref="AG95:AG100" si="8">ROUND((AE95/AE$111)*100,1)</f>
        <v>34.799999999999997</v>
      </c>
      <c r="AH95" s="198"/>
      <c r="AI95" s="79">
        <f>L37-AE95</f>
        <v>3954658</v>
      </c>
      <c r="AJ95" s="79"/>
      <c r="AK95" s="155">
        <f t="shared" si="6"/>
        <v>12.6</v>
      </c>
      <c r="AL95" s="158"/>
      <c r="AM95" s="78"/>
      <c r="AN95" s="230"/>
      <c r="AO95" s="79">
        <f>AE95+AM95</f>
        <v>31430941</v>
      </c>
      <c r="AP95" s="79"/>
      <c r="AQ95" s="157">
        <f t="shared" si="7"/>
        <v>12.6</v>
      </c>
      <c r="AT95" s="322">
        <f>AO95/SUM($AO$94:$AO$98)</f>
        <v>0.47056742759119075</v>
      </c>
    </row>
    <row r="96" spans="1:76" x14ac:dyDescent="0.25">
      <c r="F96" s="211"/>
      <c r="H96" s="211"/>
      <c r="I96" s="211"/>
      <c r="J96" s="305"/>
      <c r="K96" s="305"/>
      <c r="L96" s="211"/>
      <c r="M96" s="211"/>
      <c r="N96" s="211"/>
      <c r="O96" s="211"/>
      <c r="P96" s="211"/>
      <c r="Q96" s="211"/>
      <c r="R96" s="211"/>
      <c r="T96" s="159">
        <v>16</v>
      </c>
      <c r="U96" s="80"/>
      <c r="V96" s="82" t="s">
        <v>163</v>
      </c>
      <c r="W96" s="80"/>
      <c r="X96" s="80"/>
      <c r="Y96" s="78"/>
      <c r="Z96" s="70"/>
      <c r="AA96" s="79">
        <f t="shared" si="5"/>
        <v>119801361</v>
      </c>
      <c r="AB96" s="79"/>
      <c r="AC96" s="295">
        <f>INPUT!C53</f>
        <v>4.1043000000000003E-2</v>
      </c>
      <c r="AD96" s="293"/>
      <c r="AE96" s="79">
        <f>ROUND((AA96*AC96),0)</f>
        <v>4917007</v>
      </c>
      <c r="AF96" s="163"/>
      <c r="AG96" s="155">
        <f t="shared" si="8"/>
        <v>5.5</v>
      </c>
      <c r="AH96" s="198"/>
      <c r="AI96" s="79">
        <f>L38-AE96</f>
        <v>618295</v>
      </c>
      <c r="AJ96" s="79"/>
      <c r="AK96" s="155">
        <f t="shared" si="6"/>
        <v>12.6</v>
      </c>
      <c r="AL96" s="158"/>
      <c r="AM96" s="78"/>
      <c r="AN96" s="230"/>
      <c r="AO96" s="79">
        <f>AE96+AM96</f>
        <v>4917007</v>
      </c>
      <c r="AP96" s="79"/>
      <c r="AQ96" s="157">
        <f t="shared" si="7"/>
        <v>12.6</v>
      </c>
      <c r="AT96" s="322">
        <f>AO96/SUM($AO$94:$AO$98)</f>
        <v>7.3614828631375626E-2</v>
      </c>
    </row>
    <row r="97" spans="1:46" x14ac:dyDescent="0.25">
      <c r="A97" s="202"/>
      <c r="C97" s="154"/>
      <c r="F97" s="200"/>
      <c r="H97" s="200"/>
      <c r="I97" s="200"/>
      <c r="J97" s="213"/>
      <c r="K97" s="213"/>
      <c r="L97" s="200"/>
      <c r="M97" s="200"/>
      <c r="N97" s="210"/>
      <c r="O97" s="210"/>
      <c r="P97" s="200"/>
      <c r="Q97" s="200"/>
      <c r="R97" s="200"/>
      <c r="T97" s="159">
        <v>17</v>
      </c>
      <c r="U97" s="80"/>
      <c r="V97" s="82" t="s">
        <v>470</v>
      </c>
      <c r="W97" s="80"/>
      <c r="X97" s="80"/>
      <c r="Y97" s="70"/>
      <c r="Z97" s="70"/>
      <c r="AA97" s="79">
        <f t="shared" si="5"/>
        <v>1783161</v>
      </c>
      <c r="AB97" s="79"/>
      <c r="AC97" s="295">
        <f>INPUT!C58</f>
        <v>0.24118400000000001</v>
      </c>
      <c r="AD97" s="293"/>
      <c r="AE97" s="79">
        <f>ROUND((AA97*AC97),0)</f>
        <v>430070</v>
      </c>
      <c r="AF97" s="163"/>
      <c r="AG97" s="155">
        <f t="shared" si="8"/>
        <v>0.5</v>
      </c>
      <c r="AH97" s="198"/>
      <c r="AI97" s="79">
        <f>L39-AE97</f>
        <v>54108</v>
      </c>
      <c r="AJ97" s="79"/>
      <c r="AK97" s="155">
        <f t="shared" si="6"/>
        <v>12.6</v>
      </c>
      <c r="AL97" s="158"/>
      <c r="AM97" s="78"/>
      <c r="AN97" s="230"/>
      <c r="AO97" s="79">
        <f>AE97+AM97</f>
        <v>430070</v>
      </c>
      <c r="AP97" s="79"/>
      <c r="AQ97" s="157">
        <f t="shared" si="7"/>
        <v>12.6</v>
      </c>
      <c r="AT97" s="322">
        <f>AO97/SUM($AO$94:$AO$98)</f>
        <v>6.4387806137952853E-3</v>
      </c>
    </row>
    <row r="98" spans="1:46" ht="16.5" thickBot="1" x14ac:dyDescent="0.3">
      <c r="A98" s="202"/>
      <c r="C98" s="154"/>
      <c r="F98" s="200"/>
      <c r="H98" s="200"/>
      <c r="I98" s="200"/>
      <c r="J98" s="213"/>
      <c r="K98" s="213"/>
      <c r="L98" s="200"/>
      <c r="M98" s="200"/>
      <c r="N98" s="210"/>
      <c r="O98" s="210"/>
      <c r="P98" s="200"/>
      <c r="Q98" s="200"/>
      <c r="R98" s="200"/>
      <c r="T98" s="159">
        <v>18</v>
      </c>
      <c r="U98" s="80"/>
      <c r="V98" s="82" t="s">
        <v>471</v>
      </c>
      <c r="W98" s="80"/>
      <c r="X98" s="80"/>
      <c r="Y98" s="85"/>
      <c r="Z98" s="70"/>
      <c r="AA98" s="79">
        <f t="shared" si="5"/>
        <v>618100</v>
      </c>
      <c r="AB98" s="79"/>
      <c r="AC98" s="295">
        <f>INPUT!C59</f>
        <v>0.148065</v>
      </c>
      <c r="AD98" s="293"/>
      <c r="AE98" s="79">
        <f>ROUND((AA98*AC98),0)</f>
        <v>91519</v>
      </c>
      <c r="AF98" s="163"/>
      <c r="AG98" s="155">
        <f t="shared" si="8"/>
        <v>0.1</v>
      </c>
      <c r="AH98" s="198"/>
      <c r="AI98" s="79">
        <f>L40-AE98</f>
        <v>11515</v>
      </c>
      <c r="AJ98" s="79"/>
      <c r="AK98" s="166">
        <f t="shared" si="6"/>
        <v>12.6</v>
      </c>
      <c r="AL98" s="158"/>
      <c r="AM98" s="286"/>
      <c r="AN98" s="230"/>
      <c r="AO98" s="79">
        <f>AE98+AM98</f>
        <v>91519</v>
      </c>
      <c r="AP98" s="79"/>
      <c r="AQ98" s="157">
        <f t="shared" si="7"/>
        <v>12.6</v>
      </c>
      <c r="AT98" s="323">
        <f>AO98/SUM($AO$94:$AO$98)</f>
        <v>1.3701740716486402E-3</v>
      </c>
    </row>
    <row r="99" spans="1:46" ht="20.100000000000001" customHeight="1" x14ac:dyDescent="0.25">
      <c r="F99" s="200"/>
      <c r="H99" s="200"/>
      <c r="I99" s="200"/>
      <c r="J99" s="213"/>
      <c r="K99" s="213"/>
      <c r="L99" s="200"/>
      <c r="M99" s="200"/>
      <c r="N99" s="200"/>
      <c r="O99" s="200"/>
      <c r="P99" s="200"/>
      <c r="Q99" s="200"/>
      <c r="R99" s="200"/>
      <c r="T99" s="159">
        <v>19</v>
      </c>
      <c r="U99" s="80"/>
      <c r="V99" s="253" t="s">
        <v>164</v>
      </c>
      <c r="W99" s="80"/>
      <c r="X99" s="80"/>
      <c r="Y99" s="163"/>
      <c r="Z99" s="70"/>
      <c r="AA99" s="169">
        <f t="shared" si="5"/>
        <v>1115844489</v>
      </c>
      <c r="AB99" s="163"/>
      <c r="AC99" s="307"/>
      <c r="AD99" s="263"/>
      <c r="AE99" s="169">
        <f>SUM(AE94:AE98)</f>
        <v>66793703</v>
      </c>
      <c r="AF99" s="163"/>
      <c r="AG99" s="170">
        <f>ROUND((AE99/AE$111)*100,1)+0.1</f>
        <v>74.099999999999994</v>
      </c>
      <c r="AH99" s="198"/>
      <c r="AI99" s="169">
        <f>SUM(AI94:AI98)</f>
        <v>8403425</v>
      </c>
      <c r="AJ99" s="163"/>
      <c r="AK99" s="170">
        <f t="shared" si="6"/>
        <v>12.6</v>
      </c>
      <c r="AL99" s="158"/>
      <c r="AM99" s="126"/>
      <c r="AN99" s="163"/>
      <c r="AO99" s="169">
        <f>SUM(AO94:AO98)</f>
        <v>66793703</v>
      </c>
      <c r="AP99" s="163"/>
      <c r="AQ99" s="157">
        <f t="shared" si="7"/>
        <v>12.6</v>
      </c>
      <c r="AT99" s="101">
        <f>AO99/(AO99+AO91)</f>
        <v>0.77571569829368037</v>
      </c>
    </row>
    <row r="100" spans="1:46" ht="20.100000000000001" customHeight="1" x14ac:dyDescent="0.25">
      <c r="F100" s="200"/>
      <c r="H100" s="200"/>
      <c r="I100" s="200"/>
      <c r="J100" s="213"/>
      <c r="K100" s="213"/>
      <c r="L100" s="200"/>
      <c r="M100" s="200"/>
      <c r="N100" s="200"/>
      <c r="O100" s="200"/>
      <c r="P100" s="200"/>
      <c r="Q100" s="200"/>
      <c r="R100" s="200"/>
      <c r="T100" s="159">
        <v>20</v>
      </c>
      <c r="U100" s="80"/>
      <c r="V100" s="253" t="s">
        <v>559</v>
      </c>
      <c r="W100" s="80"/>
      <c r="X100" s="80"/>
      <c r="Y100" s="167">
        <f>Y86</f>
        <v>157022</v>
      </c>
      <c r="Z100" s="70"/>
      <c r="AA100" s="169">
        <f>AA99</f>
        <v>1115844489</v>
      </c>
      <c r="AB100" s="163"/>
      <c r="AC100" s="307"/>
      <c r="AD100" s="263"/>
      <c r="AE100" s="169">
        <f>AE86+AE91+AE99</f>
        <v>87837519</v>
      </c>
      <c r="AF100" s="163"/>
      <c r="AG100" s="170">
        <f t="shared" si="8"/>
        <v>97.4</v>
      </c>
      <c r="AH100" s="198"/>
      <c r="AI100" s="169">
        <f>L42-AE100</f>
        <v>13056945</v>
      </c>
      <c r="AJ100" s="163"/>
      <c r="AK100" s="170">
        <f t="shared" si="6"/>
        <v>14.9</v>
      </c>
      <c r="AL100" s="158"/>
      <c r="AM100" s="169"/>
      <c r="AN100" s="163"/>
      <c r="AO100" s="169">
        <f>AO86+AO91+AO99</f>
        <v>87837519</v>
      </c>
      <c r="AP100" s="163"/>
      <c r="AQ100" s="155">
        <f t="shared" si="7"/>
        <v>14.9</v>
      </c>
    </row>
    <row r="101" spans="1:46" x14ac:dyDescent="0.25">
      <c r="F101" s="200"/>
      <c r="H101" s="200"/>
      <c r="I101" s="200"/>
      <c r="J101" s="213"/>
      <c r="K101" s="213"/>
      <c r="L101" s="200"/>
      <c r="M101" s="200"/>
      <c r="N101" s="200"/>
      <c r="O101" s="200"/>
      <c r="P101" s="200"/>
      <c r="Q101" s="200"/>
      <c r="R101" s="200"/>
      <c r="T101" s="159"/>
      <c r="U101" s="80"/>
      <c r="V101" s="82"/>
      <c r="W101" s="80"/>
      <c r="X101" s="80"/>
      <c r="Y101" s="163"/>
      <c r="Z101" s="70"/>
      <c r="AA101" s="163"/>
      <c r="AB101" s="163"/>
      <c r="AC101" s="307"/>
      <c r="AD101" s="263"/>
      <c r="AE101" s="163"/>
      <c r="AF101" s="163"/>
      <c r="AG101" s="197"/>
      <c r="AH101" s="198"/>
      <c r="AI101" s="163"/>
      <c r="AJ101" s="163"/>
      <c r="AK101" s="155"/>
      <c r="AL101" s="158"/>
      <c r="AM101" s="163"/>
      <c r="AN101" s="163"/>
      <c r="AO101" s="163"/>
      <c r="AP101" s="163"/>
      <c r="AQ101" s="155"/>
    </row>
    <row r="102" spans="1:46" x14ac:dyDescent="0.25">
      <c r="F102" s="200"/>
      <c r="H102" s="200"/>
      <c r="I102" s="200"/>
      <c r="J102" s="213"/>
      <c r="K102" s="213"/>
      <c r="L102" s="200"/>
      <c r="M102" s="200"/>
      <c r="N102" s="200"/>
      <c r="O102" s="200"/>
      <c r="P102" s="200"/>
      <c r="Q102" s="200"/>
      <c r="R102" s="200"/>
      <c r="T102" s="159">
        <f>A44</f>
        <v>21</v>
      </c>
      <c r="U102" s="80"/>
      <c r="V102" s="253" t="s">
        <v>553</v>
      </c>
      <c r="W102" s="80"/>
      <c r="X102" s="80"/>
      <c r="Y102" s="163"/>
      <c r="Z102" s="70"/>
      <c r="AA102" s="163"/>
      <c r="AB102" s="163"/>
      <c r="AC102" s="307"/>
      <c r="AD102" s="263"/>
      <c r="AE102" s="163"/>
      <c r="AF102" s="163"/>
      <c r="AG102" s="197"/>
      <c r="AH102" s="198"/>
      <c r="AI102" s="163"/>
      <c r="AJ102" s="163"/>
      <c r="AK102" s="155"/>
      <c r="AL102" s="158"/>
      <c r="AM102" s="163"/>
      <c r="AN102" s="163"/>
      <c r="AO102" s="163"/>
      <c r="AP102" s="163"/>
      <c r="AQ102" s="155"/>
    </row>
    <row r="103" spans="1:46" x14ac:dyDescent="0.25">
      <c r="F103" s="200"/>
      <c r="H103" s="200"/>
      <c r="I103" s="200"/>
      <c r="J103" s="213"/>
      <c r="K103" s="213"/>
      <c r="L103" s="200"/>
      <c r="M103" s="200"/>
      <c r="N103" s="200"/>
      <c r="O103" s="200"/>
      <c r="P103" s="200"/>
      <c r="Q103" s="200"/>
      <c r="R103" s="200"/>
      <c r="T103" s="159">
        <f t="shared" ref="T103:T111" si="9">A45</f>
        <v>22</v>
      </c>
      <c r="U103" s="80"/>
      <c r="V103" s="153" t="str">
        <f>C45</f>
        <v>DEMAND SIDE MANAGEMENT RIDER (DSMR)</v>
      </c>
      <c r="W103" s="80"/>
      <c r="X103" s="80"/>
      <c r="Y103" s="163"/>
      <c r="Z103" s="70"/>
      <c r="AA103" s="163"/>
      <c r="AB103" s="79"/>
      <c r="AC103" s="308">
        <f>DSM_DIST</f>
        <v>2.5760000000000002E-3</v>
      </c>
      <c r="AD103" s="263"/>
      <c r="AE103" s="163">
        <f>ROUND($AA$99*AC103,0)</f>
        <v>2874415</v>
      </c>
      <c r="AF103" s="163"/>
      <c r="AG103" s="155">
        <f>ROUND((AE103/AE$111)*100,1)</f>
        <v>3.2</v>
      </c>
      <c r="AH103" s="198"/>
      <c r="AI103" s="79">
        <f>L45-AE103</f>
        <v>0</v>
      </c>
      <c r="AJ103" s="163"/>
      <c r="AK103" s="155">
        <f t="shared" si="6"/>
        <v>0</v>
      </c>
      <c r="AL103" s="158"/>
      <c r="AM103" s="163"/>
      <c r="AN103" s="163"/>
      <c r="AO103" s="79">
        <f t="shared" ref="AO103:AO108" si="10">AE103+AM103</f>
        <v>2874415</v>
      </c>
      <c r="AP103" s="163"/>
      <c r="AQ103" s="157">
        <f t="shared" si="7"/>
        <v>0</v>
      </c>
    </row>
    <row r="104" spans="1:46" x14ac:dyDescent="0.25">
      <c r="F104" s="200"/>
      <c r="H104" s="200"/>
      <c r="I104" s="200"/>
      <c r="J104" s="213"/>
      <c r="K104" s="213"/>
      <c r="L104" s="200"/>
      <c r="M104" s="200"/>
      <c r="N104" s="200"/>
      <c r="O104" s="200"/>
      <c r="P104" s="200"/>
      <c r="Q104" s="200"/>
      <c r="R104" s="200"/>
      <c r="T104" s="159">
        <f t="shared" si="9"/>
        <v>23</v>
      </c>
      <c r="U104" s="80"/>
      <c r="V104" s="153" t="str">
        <f t="shared" ref="V104:V108" si="11">C46</f>
        <v>ENVIRONMENTAL SURCHARGE MECHANISM RIDER (ESM)</v>
      </c>
      <c r="W104" s="80"/>
      <c r="X104" s="80"/>
      <c r="Y104" s="163"/>
      <c r="Z104" s="70"/>
      <c r="AA104" s="163"/>
      <c r="AB104" s="79"/>
      <c r="AC104" s="308">
        <f>CUR_ESM</f>
        <v>0</v>
      </c>
      <c r="AD104" s="263"/>
      <c r="AE104" s="163">
        <f>ROUND(AO100*AC104,0)</f>
        <v>0</v>
      </c>
      <c r="AF104" s="163"/>
      <c r="AG104" s="155">
        <f t="shared" ref="AG104:AG107" si="12">ROUND((AE104/AE$111)*100,1)</f>
        <v>0</v>
      </c>
      <c r="AH104" s="198"/>
      <c r="AI104" s="79">
        <f t="shared" ref="AI104:AI107" si="13">L46-AE104</f>
        <v>0</v>
      </c>
      <c r="AJ104" s="163"/>
      <c r="AK104" s="155">
        <f>IFERROR(ROUND((AI104/AE104)*100,1),0)</f>
        <v>0</v>
      </c>
      <c r="AL104" s="158"/>
      <c r="AM104" s="163"/>
      <c r="AN104" s="163"/>
      <c r="AO104" s="79">
        <f t="shared" si="10"/>
        <v>0</v>
      </c>
      <c r="AP104" s="163"/>
      <c r="AQ104" s="157" t="str">
        <f>IF(AO104=0,"0.0 ",ROUND((AI104/AO104)*100,1))</f>
        <v xml:space="preserve">0.0 </v>
      </c>
    </row>
    <row r="105" spans="1:46" x14ac:dyDescent="0.25">
      <c r="F105" s="200"/>
      <c r="H105" s="200"/>
      <c r="I105" s="200"/>
      <c r="J105" s="213"/>
      <c r="K105" s="213"/>
      <c r="L105" s="200"/>
      <c r="M105" s="200"/>
      <c r="N105" s="200"/>
      <c r="O105" s="200"/>
      <c r="P105" s="200"/>
      <c r="Q105" s="200"/>
      <c r="R105" s="200"/>
      <c r="T105" s="159">
        <f t="shared" si="9"/>
        <v>24</v>
      </c>
      <c r="U105" s="80"/>
      <c r="V105" s="153" t="str">
        <f t="shared" si="11"/>
        <v>DISTRIBUTION CAPITAL INVESTMENT RIDER (DCI)</v>
      </c>
      <c r="W105" s="80"/>
      <c r="X105" s="80"/>
      <c r="Y105" s="163"/>
      <c r="Z105" s="70"/>
      <c r="AA105" s="163"/>
      <c r="AB105" s="79"/>
      <c r="AC105" s="324">
        <f>CUR_DCI_DIST</f>
        <v>0</v>
      </c>
      <c r="AD105" s="263"/>
      <c r="AE105" s="163">
        <f>ROUND(AA91*AC105,0)</f>
        <v>0</v>
      </c>
      <c r="AF105" s="163"/>
      <c r="AG105" s="155">
        <f t="shared" si="12"/>
        <v>0</v>
      </c>
      <c r="AH105" s="198"/>
      <c r="AI105" s="79">
        <f t="shared" si="13"/>
        <v>0</v>
      </c>
      <c r="AJ105" s="163"/>
      <c r="AK105" s="155">
        <f>IFERROR(ROUND((AI105/AE105)*100,1),0)</f>
        <v>0</v>
      </c>
      <c r="AL105" s="158"/>
      <c r="AM105" s="163"/>
      <c r="AN105" s="163"/>
      <c r="AO105" s="79">
        <f t="shared" si="10"/>
        <v>0</v>
      </c>
      <c r="AP105" s="163"/>
      <c r="AQ105" s="157" t="str">
        <f>IF(AO105=0,"0.0 ",ROUND((AI105/AO105)*100,1))</f>
        <v xml:space="preserve">0.0 </v>
      </c>
    </row>
    <row r="106" spans="1:46" x14ac:dyDescent="0.25">
      <c r="F106" s="200"/>
      <c r="H106" s="200"/>
      <c r="I106" s="200"/>
      <c r="J106" s="213"/>
      <c r="K106" s="213"/>
      <c r="L106" s="200"/>
      <c r="M106" s="200"/>
      <c r="N106" s="200"/>
      <c r="O106" s="200"/>
      <c r="P106" s="200"/>
      <c r="Q106" s="200"/>
      <c r="R106" s="200"/>
      <c r="T106" s="159">
        <f t="shared" si="9"/>
        <v>25</v>
      </c>
      <c r="U106" s="80"/>
      <c r="V106" s="153" t="str">
        <f t="shared" si="11"/>
        <v>FUEL ADJUSTMENT CLAUSE (FAC)</v>
      </c>
      <c r="W106" s="80"/>
      <c r="X106" s="80"/>
      <c r="Y106" s="163"/>
      <c r="Z106" s="70"/>
      <c r="AA106" s="163"/>
      <c r="AB106" s="79"/>
      <c r="AC106" s="308">
        <f>CUR_FAC</f>
        <v>1.0280000000000001E-3</v>
      </c>
      <c r="AD106" s="263"/>
      <c r="AE106" s="163"/>
      <c r="AF106" s="163"/>
      <c r="AG106" s="155"/>
      <c r="AH106" s="198"/>
      <c r="AI106" s="79"/>
      <c r="AJ106" s="163"/>
      <c r="AK106" s="155"/>
      <c r="AL106" s="158"/>
      <c r="AM106" s="163">
        <f>ROUND(AA99*CUR_FAC,0)</f>
        <v>1147088</v>
      </c>
      <c r="AN106" s="163"/>
      <c r="AO106" s="79">
        <f t="shared" si="10"/>
        <v>1147088</v>
      </c>
      <c r="AP106" s="163"/>
      <c r="AQ106" s="157">
        <f>IF(AO106=0,"0.0 ",ROUND(((R48-AO106)/AO106)*100,1))</f>
        <v>0</v>
      </c>
    </row>
    <row r="107" spans="1:46" x14ac:dyDescent="0.25">
      <c r="F107" s="200"/>
      <c r="H107" s="200"/>
      <c r="I107" s="200"/>
      <c r="J107" s="213"/>
      <c r="K107" s="213"/>
      <c r="L107" s="200"/>
      <c r="M107" s="200"/>
      <c r="N107" s="200"/>
      <c r="O107" s="200"/>
      <c r="P107" s="200"/>
      <c r="Q107" s="200"/>
      <c r="R107" s="200"/>
      <c r="T107" s="159">
        <f t="shared" si="9"/>
        <v>26</v>
      </c>
      <c r="U107" s="80"/>
      <c r="V107" s="153" t="str">
        <f t="shared" si="11"/>
        <v>FERC TRANSMISSION COST RECOVERY RECONCILIATION (FTR)</v>
      </c>
      <c r="W107" s="80"/>
      <c r="X107" s="80"/>
      <c r="Y107" s="163"/>
      <c r="Z107" s="70"/>
      <c r="AA107" s="163"/>
      <c r="AB107" s="79"/>
      <c r="AC107" s="308">
        <f>CUR_FTR_DIST</f>
        <v>0</v>
      </c>
      <c r="AD107" s="263"/>
      <c r="AE107" s="163">
        <f>ROUND($AA$100*AC107,0)</f>
        <v>0</v>
      </c>
      <c r="AF107" s="163"/>
      <c r="AG107" s="155">
        <f t="shared" si="12"/>
        <v>0</v>
      </c>
      <c r="AH107" s="198"/>
      <c r="AI107" s="79">
        <f t="shared" si="13"/>
        <v>0</v>
      </c>
      <c r="AJ107" s="163"/>
      <c r="AK107" s="155">
        <f>IFERROR(ROUND((AI107/AE107)*100,1),0)</f>
        <v>0</v>
      </c>
      <c r="AL107" s="158"/>
      <c r="AM107" s="163"/>
      <c r="AN107" s="163"/>
      <c r="AO107" s="79">
        <f t="shared" si="10"/>
        <v>0</v>
      </c>
      <c r="AP107" s="163"/>
      <c r="AQ107" s="157" t="str">
        <f t="shared" si="7"/>
        <v xml:space="preserve">0.0 </v>
      </c>
    </row>
    <row r="108" spans="1:46" x14ac:dyDescent="0.25">
      <c r="F108" s="200"/>
      <c r="H108" s="200"/>
      <c r="I108" s="200"/>
      <c r="J108" s="213"/>
      <c r="K108" s="213"/>
      <c r="L108" s="200"/>
      <c r="M108" s="200"/>
      <c r="N108" s="200"/>
      <c r="O108" s="200"/>
      <c r="P108" s="200"/>
      <c r="Q108" s="200"/>
      <c r="R108" s="200"/>
      <c r="T108" s="159">
        <f t="shared" si="9"/>
        <v>27</v>
      </c>
      <c r="U108" s="80"/>
      <c r="V108" s="153" t="str">
        <f t="shared" si="11"/>
        <v>PROFIT SHARING MECHANISM (PSM)</v>
      </c>
      <c r="W108" s="80"/>
      <c r="X108" s="80"/>
      <c r="Y108" s="163"/>
      <c r="Z108" s="70"/>
      <c r="AA108" s="163"/>
      <c r="AB108" s="79"/>
      <c r="AC108" s="308">
        <f>RS_PSM</f>
        <v>-4.5600000000000003E-4</v>
      </c>
      <c r="AD108" s="263"/>
      <c r="AE108" s="167">
        <f>ROUND(AA99*AC108,0)</f>
        <v>-508825</v>
      </c>
      <c r="AF108" s="163"/>
      <c r="AG108" s="166">
        <f>ROUND((AE108/AE$111)*100,1)</f>
        <v>-0.6</v>
      </c>
      <c r="AH108" s="198"/>
      <c r="AI108" s="167">
        <f>L50-AE108</f>
        <v>0</v>
      </c>
      <c r="AJ108" s="163"/>
      <c r="AK108" s="166">
        <f t="shared" si="6"/>
        <v>0</v>
      </c>
      <c r="AL108" s="158"/>
      <c r="AM108" s="167"/>
      <c r="AN108" s="163"/>
      <c r="AO108" s="167">
        <f t="shared" si="10"/>
        <v>-508825</v>
      </c>
      <c r="AP108" s="163"/>
      <c r="AQ108" s="157">
        <f t="shared" si="7"/>
        <v>0</v>
      </c>
    </row>
    <row r="109" spans="1:46" ht="20.100000000000001" customHeight="1" x14ac:dyDescent="0.25">
      <c r="F109" s="200"/>
      <c r="H109" s="200"/>
      <c r="I109" s="200"/>
      <c r="J109" s="213"/>
      <c r="K109" s="213"/>
      <c r="L109" s="200"/>
      <c r="M109" s="200"/>
      <c r="N109" s="200"/>
      <c r="O109" s="200"/>
      <c r="P109" s="200"/>
      <c r="Q109" s="200"/>
      <c r="R109" s="200"/>
      <c r="T109" s="159">
        <f t="shared" si="9"/>
        <v>28</v>
      </c>
      <c r="U109" s="80"/>
      <c r="V109" s="253" t="s">
        <v>557</v>
      </c>
      <c r="W109" s="80"/>
      <c r="X109" s="80"/>
      <c r="Y109" s="167"/>
      <c r="Z109" s="70"/>
      <c r="AA109" s="167"/>
      <c r="AB109" s="79"/>
      <c r="AC109" s="263"/>
      <c r="AD109" s="263"/>
      <c r="AE109" s="169">
        <f>SUM(AE103:AE108)</f>
        <v>2365590</v>
      </c>
      <c r="AF109" s="163"/>
      <c r="AG109" s="170">
        <f>ROUND((AE109/AE$111)*100,1)</f>
        <v>2.6</v>
      </c>
      <c r="AH109" s="198"/>
      <c r="AI109" s="169">
        <f>SUM(AI103:AI108)</f>
        <v>0</v>
      </c>
      <c r="AJ109" s="163"/>
      <c r="AK109" s="170">
        <f t="shared" si="6"/>
        <v>0</v>
      </c>
      <c r="AL109" s="158"/>
      <c r="AM109" s="169">
        <f>AM106</f>
        <v>1147088</v>
      </c>
      <c r="AN109" s="163"/>
      <c r="AO109" s="169">
        <f>SUM(AO103:AO108)</f>
        <v>3512678</v>
      </c>
      <c r="AP109" s="163"/>
      <c r="AQ109" s="157">
        <f t="shared" si="7"/>
        <v>0</v>
      </c>
    </row>
    <row r="110" spans="1:46" x14ac:dyDescent="0.25">
      <c r="F110" s="200"/>
      <c r="H110" s="200"/>
      <c r="I110" s="200"/>
      <c r="J110" s="213"/>
      <c r="K110" s="213"/>
      <c r="L110" s="200"/>
      <c r="M110" s="200"/>
      <c r="N110" s="200"/>
      <c r="O110" s="200"/>
      <c r="P110" s="200"/>
      <c r="Q110" s="200"/>
      <c r="R110" s="200"/>
      <c r="T110" s="159"/>
      <c r="U110" s="80"/>
      <c r="V110" s="82"/>
      <c r="W110" s="80"/>
      <c r="X110" s="80"/>
      <c r="Y110" s="163"/>
      <c r="Z110" s="70"/>
      <c r="AA110" s="163"/>
      <c r="AB110" s="79"/>
      <c r="AC110" s="263"/>
      <c r="AD110" s="263"/>
      <c r="AE110" s="163"/>
      <c r="AF110" s="163"/>
      <c r="AG110" s="197"/>
      <c r="AH110" s="198"/>
      <c r="AI110" s="163"/>
      <c r="AJ110" s="163"/>
      <c r="AK110" s="155"/>
      <c r="AL110" s="158"/>
      <c r="AM110" s="163"/>
      <c r="AN110" s="163"/>
      <c r="AO110" s="163"/>
      <c r="AP110" s="163"/>
      <c r="AQ110" s="155"/>
    </row>
    <row r="111" spans="1:46" ht="20.100000000000001" customHeight="1" thickBot="1" x14ac:dyDescent="0.3">
      <c r="T111" s="159">
        <f t="shared" si="9"/>
        <v>29</v>
      </c>
      <c r="U111" s="80"/>
      <c r="V111" s="265" t="s">
        <v>560</v>
      </c>
      <c r="W111" s="80"/>
      <c r="X111" s="80"/>
      <c r="Y111" s="275">
        <f>F53</f>
        <v>157022</v>
      </c>
      <c r="Z111" s="70"/>
      <c r="AA111" s="275">
        <f>H53</f>
        <v>1115844489</v>
      </c>
      <c r="AB111" s="163"/>
      <c r="AC111" s="263"/>
      <c r="AD111" s="263"/>
      <c r="AE111" s="275">
        <f>AE100+AE109</f>
        <v>90203109</v>
      </c>
      <c r="AF111" s="163"/>
      <c r="AG111" s="291">
        <v>100</v>
      </c>
      <c r="AH111" s="198"/>
      <c r="AI111" s="275">
        <f>AI100+AI109</f>
        <v>13056945</v>
      </c>
      <c r="AJ111" s="163"/>
      <c r="AK111" s="291">
        <f>ROUND((AI111/AE111)*100,1)</f>
        <v>14.5</v>
      </c>
      <c r="AL111" s="158"/>
      <c r="AM111" s="275">
        <f>AM109</f>
        <v>1147088</v>
      </c>
      <c r="AN111" s="163"/>
      <c r="AO111" s="275">
        <f>AO100+AO109</f>
        <v>91350197</v>
      </c>
      <c r="AP111" s="79"/>
      <c r="AQ111" s="157">
        <f>IF(AO111=0,"0.0 ",ROUND((AI111/AO111)*100,1))</f>
        <v>14.3</v>
      </c>
    </row>
    <row r="112" spans="1:46" ht="15.75" customHeight="1" thickTop="1" x14ac:dyDescent="0.25">
      <c r="T112" s="80"/>
      <c r="U112" s="80"/>
      <c r="V112" s="80"/>
      <c r="W112" s="80"/>
      <c r="X112" s="80"/>
      <c r="Y112" s="79"/>
      <c r="Z112" s="70"/>
      <c r="AA112" s="79"/>
      <c r="AB112" s="79"/>
      <c r="AC112" s="263"/>
      <c r="AD112" s="263"/>
      <c r="AE112" s="79"/>
      <c r="AF112" s="163"/>
      <c r="AG112" s="155"/>
      <c r="AH112" s="163"/>
      <c r="AI112" s="70"/>
      <c r="AJ112" s="70"/>
      <c r="AK112" s="164"/>
      <c r="AL112" s="70"/>
      <c r="AM112" s="70"/>
      <c r="AN112" s="85"/>
      <c r="AO112" s="70"/>
      <c r="AP112" s="70"/>
      <c r="AQ112" s="164"/>
    </row>
    <row r="113" spans="1:43" x14ac:dyDescent="0.25">
      <c r="L113" s="200"/>
      <c r="M113" s="200"/>
      <c r="N113" s="200"/>
      <c r="O113" s="200"/>
      <c r="P113" s="200"/>
      <c r="Q113" s="200"/>
      <c r="R113" s="200"/>
      <c r="T113" s="80"/>
      <c r="U113" s="80"/>
      <c r="V113" s="173" t="s">
        <v>61</v>
      </c>
      <c r="W113" s="80"/>
      <c r="X113" s="80"/>
      <c r="Y113" s="189"/>
      <c r="Z113" s="80"/>
      <c r="AA113" s="189"/>
      <c r="AB113" s="189"/>
      <c r="AC113" s="310"/>
      <c r="AD113" s="310"/>
      <c r="AE113" s="189"/>
      <c r="AF113" s="200"/>
      <c r="AG113" s="296"/>
      <c r="AH113" s="200"/>
      <c r="AI113" s="80"/>
      <c r="AJ113" s="80"/>
      <c r="AK113" s="188"/>
      <c r="AL113" s="80"/>
      <c r="AM113" s="80"/>
      <c r="AO113" s="80"/>
      <c r="AP113" s="80"/>
      <c r="AQ113" s="188"/>
    </row>
    <row r="114" spans="1:43" x14ac:dyDescent="0.25">
      <c r="T114" s="82"/>
      <c r="U114" s="80"/>
      <c r="V114" s="173" t="str">
        <f>"(2) REFLECTS FUEL ADJUSTMENT CLAUSE OF "&amp;TEXT(CUR_FAC,"$0.000000;($0.000000)")&amp;"  PER KWH."</f>
        <v>(2) REFLECTS FUEL ADJUSTMENT CLAUSE OF $0.001028  PER KWH.</v>
      </c>
      <c r="W114" s="80"/>
      <c r="X114" s="80"/>
      <c r="Y114" s="189"/>
      <c r="Z114" s="80"/>
      <c r="AA114" s="189"/>
      <c r="AB114" s="189"/>
      <c r="AC114" s="310"/>
      <c r="AD114" s="310"/>
      <c r="AE114" s="189"/>
      <c r="AF114" s="200"/>
      <c r="AG114" s="296"/>
      <c r="AH114" s="200"/>
      <c r="AI114" s="80"/>
      <c r="AJ114" s="80"/>
      <c r="AK114" s="188"/>
      <c r="AL114" s="80"/>
      <c r="AM114" s="80"/>
      <c r="AO114" s="80"/>
      <c r="AP114" s="80"/>
      <c r="AQ114" s="188"/>
    </row>
    <row r="115" spans="1:43" x14ac:dyDescent="0.25">
      <c r="J115" s="202"/>
      <c r="K115" s="202"/>
      <c r="V115" s="173" t="str">
        <f>"(3) REFLECTS FUEL COST RECOVERY INCLUDED IN BASE RATES OF "&amp;TEXT(CUR_BASE_FUEL,"$0.000000;($0.000000)")&amp;"  PER KWH."</f>
        <v>(3) REFLECTS FUEL COST RECOVERY INCLUDED IN BASE RATES OF $0.023837  PER KWH.</v>
      </c>
      <c r="Z115" s="202"/>
    </row>
    <row r="116" spans="1:43" x14ac:dyDescent="0.25">
      <c r="H116" s="154"/>
      <c r="I116" s="154"/>
      <c r="Y116" s="154"/>
    </row>
    <row r="117" spans="1:43" x14ac:dyDescent="0.25">
      <c r="J117" s="202"/>
      <c r="K117" s="202"/>
      <c r="Z117" s="202"/>
    </row>
    <row r="118" spans="1:43" x14ac:dyDescent="0.25">
      <c r="L118" s="154"/>
      <c r="M118" s="154"/>
      <c r="AA118" s="154"/>
      <c r="AB118" s="154"/>
    </row>
    <row r="119" spans="1:43" x14ac:dyDescent="0.25">
      <c r="A119" s="202"/>
      <c r="R119" s="154"/>
      <c r="AK119" s="297"/>
      <c r="AL119" s="154"/>
    </row>
    <row r="120" spans="1:43" x14ac:dyDescent="0.25">
      <c r="A120" s="202"/>
      <c r="R120" s="154"/>
      <c r="AK120" s="297"/>
      <c r="AL120" s="154"/>
    </row>
    <row r="121" spans="1:43" x14ac:dyDescent="0.25">
      <c r="A121" s="154"/>
      <c r="R121" s="154"/>
      <c r="AK121" s="297"/>
      <c r="AL121" s="154"/>
    </row>
    <row r="122" spans="1:43" x14ac:dyDescent="0.25">
      <c r="L122" s="154"/>
      <c r="M122" s="154"/>
      <c r="R122" s="202"/>
      <c r="AA122" s="154"/>
      <c r="AB122" s="154"/>
      <c r="AK122" s="209"/>
      <c r="AL122" s="202"/>
    </row>
    <row r="123" spans="1:43" x14ac:dyDescent="0.2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208"/>
      <c r="AH123" s="102"/>
      <c r="AI123" s="102"/>
      <c r="AJ123" s="102"/>
      <c r="AK123" s="208"/>
      <c r="AL123" s="102"/>
      <c r="AM123" s="102"/>
      <c r="AN123" s="102"/>
    </row>
    <row r="124" spans="1:43" x14ac:dyDescent="0.25">
      <c r="L124" s="103"/>
      <c r="M124" s="103"/>
      <c r="N124" s="103"/>
      <c r="O124" s="103"/>
      <c r="R124" s="103"/>
      <c r="AA124" s="103"/>
      <c r="AB124" s="103"/>
      <c r="AC124" s="103"/>
      <c r="AD124" s="103"/>
      <c r="AE124" s="103"/>
      <c r="AF124" s="103"/>
      <c r="AG124" s="185"/>
      <c r="AH124" s="103"/>
      <c r="AK124" s="185"/>
      <c r="AL124" s="103"/>
      <c r="AM124" s="103"/>
      <c r="AN124" s="103"/>
    </row>
    <row r="125" spans="1:43" x14ac:dyDescent="0.25">
      <c r="L125" s="103"/>
      <c r="M125" s="103"/>
      <c r="N125" s="103"/>
      <c r="O125" s="103"/>
      <c r="R125" s="103"/>
      <c r="Z125" s="103"/>
      <c r="AA125" s="103"/>
      <c r="AB125" s="103"/>
      <c r="AC125" s="103"/>
      <c r="AD125" s="103"/>
      <c r="AE125" s="103"/>
      <c r="AF125" s="103"/>
      <c r="AG125" s="185"/>
      <c r="AH125" s="103"/>
      <c r="AK125" s="185"/>
      <c r="AL125" s="103"/>
      <c r="AM125" s="103"/>
      <c r="AN125" s="103"/>
    </row>
    <row r="126" spans="1:43" x14ac:dyDescent="0.25">
      <c r="A126" s="103"/>
      <c r="C126" s="103"/>
      <c r="D126" s="103"/>
      <c r="E126" s="103"/>
      <c r="F126" s="103"/>
      <c r="J126" s="103"/>
      <c r="K126" s="103"/>
      <c r="L126" s="103"/>
      <c r="M126" s="103"/>
      <c r="N126" s="103"/>
      <c r="O126" s="103"/>
      <c r="P126" s="103"/>
      <c r="Q126" s="103"/>
      <c r="R126" s="103"/>
      <c r="T126" s="103"/>
      <c r="U126" s="103"/>
      <c r="V126" s="103"/>
      <c r="Z126" s="103"/>
      <c r="AA126" s="103"/>
      <c r="AB126" s="103"/>
      <c r="AC126" s="103"/>
      <c r="AD126" s="103"/>
      <c r="AE126" s="103"/>
      <c r="AF126" s="103"/>
      <c r="AG126" s="185"/>
      <c r="AH126" s="103"/>
      <c r="AI126" s="103"/>
      <c r="AJ126" s="103"/>
      <c r="AK126" s="185"/>
      <c r="AL126" s="103"/>
      <c r="AM126" s="103"/>
      <c r="AN126" s="103"/>
    </row>
    <row r="127" spans="1:43" x14ac:dyDescent="0.25">
      <c r="A127" s="103"/>
      <c r="C127" s="103"/>
      <c r="D127" s="103"/>
      <c r="E127" s="103"/>
      <c r="F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T127" s="103"/>
      <c r="U127" s="103"/>
      <c r="V127" s="103"/>
      <c r="Y127" s="103"/>
      <c r="Z127" s="103"/>
      <c r="AA127" s="103"/>
      <c r="AB127" s="103"/>
      <c r="AC127" s="103"/>
      <c r="AD127" s="103"/>
      <c r="AE127" s="103"/>
      <c r="AF127" s="103"/>
      <c r="AG127" s="185"/>
      <c r="AH127" s="103"/>
      <c r="AI127" s="103"/>
      <c r="AJ127" s="103"/>
      <c r="AK127" s="185"/>
      <c r="AL127" s="103"/>
      <c r="AM127" s="103"/>
      <c r="AN127" s="103"/>
    </row>
    <row r="128" spans="1:43" x14ac:dyDescent="0.25">
      <c r="C128" s="103"/>
      <c r="D128" s="103"/>
      <c r="E128" s="103"/>
      <c r="F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T128" s="103"/>
      <c r="U128" s="103"/>
      <c r="V128" s="103"/>
      <c r="Y128" s="103"/>
      <c r="Z128" s="103"/>
      <c r="AA128" s="103"/>
      <c r="AB128" s="103"/>
      <c r="AC128" s="103"/>
      <c r="AD128" s="103"/>
      <c r="AE128" s="103"/>
      <c r="AF128" s="103"/>
      <c r="AG128" s="185"/>
      <c r="AH128" s="103"/>
      <c r="AI128" s="103"/>
      <c r="AJ128" s="103"/>
      <c r="AK128" s="185"/>
      <c r="AL128" s="103"/>
      <c r="AM128" s="103"/>
      <c r="AN128" s="103"/>
    </row>
    <row r="129" spans="1:40" x14ac:dyDescent="0.2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208"/>
      <c r="AH129" s="102"/>
      <c r="AI129" s="102"/>
      <c r="AJ129" s="102"/>
      <c r="AK129" s="208"/>
      <c r="AL129" s="102"/>
      <c r="AM129" s="102"/>
      <c r="AN129" s="102"/>
    </row>
    <row r="130" spans="1:40" x14ac:dyDescent="0.25"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Y130" s="103"/>
      <c r="Z130" s="103"/>
      <c r="AA130" s="103"/>
      <c r="AB130" s="103"/>
      <c r="AC130" s="103"/>
      <c r="AD130" s="103"/>
      <c r="AE130" s="103"/>
      <c r="AF130" s="103"/>
      <c r="AG130" s="185"/>
      <c r="AH130" s="103"/>
      <c r="AI130" s="103"/>
      <c r="AJ130" s="103"/>
      <c r="AK130" s="185"/>
      <c r="AL130" s="103"/>
      <c r="AM130" s="103"/>
      <c r="AN130" s="103"/>
    </row>
    <row r="131" spans="1:40" x14ac:dyDescent="0.25">
      <c r="A131" s="202"/>
      <c r="C131" s="154"/>
      <c r="D131" s="154"/>
      <c r="E131" s="154"/>
      <c r="T131" s="154"/>
      <c r="U131" s="154"/>
    </row>
    <row r="132" spans="1:40" x14ac:dyDescent="0.25">
      <c r="A132" s="202"/>
      <c r="C132" s="154"/>
      <c r="T132" s="154"/>
    </row>
    <row r="134" spans="1:40" x14ac:dyDescent="0.25">
      <c r="A134" s="202"/>
      <c r="C134" s="154"/>
      <c r="T134" s="154"/>
    </row>
    <row r="135" spans="1:40" x14ac:dyDescent="0.25">
      <c r="A135" s="202"/>
      <c r="C135" s="154"/>
      <c r="F135" s="252"/>
      <c r="H135" s="252"/>
      <c r="I135" s="252"/>
      <c r="J135" s="300"/>
      <c r="K135" s="300"/>
      <c r="L135" s="200"/>
      <c r="M135" s="200"/>
      <c r="N135" s="210"/>
      <c r="O135" s="210"/>
      <c r="P135" s="202"/>
      <c r="Q135" s="202"/>
      <c r="R135" s="200"/>
      <c r="T135" s="154"/>
      <c r="V135" s="200"/>
      <c r="Y135" s="252"/>
      <c r="Z135" s="300"/>
      <c r="AA135" s="200"/>
      <c r="AB135" s="200"/>
      <c r="AC135" s="210"/>
      <c r="AD135" s="210"/>
      <c r="AE135" s="200"/>
      <c r="AF135" s="200"/>
      <c r="AG135" s="325"/>
      <c r="AH135" s="326"/>
      <c r="AI135" s="202"/>
      <c r="AJ135" s="202"/>
      <c r="AK135" s="209"/>
      <c r="AL135" s="200"/>
      <c r="AM135" s="327"/>
      <c r="AN135" s="327"/>
    </row>
    <row r="136" spans="1:40" x14ac:dyDescent="0.25">
      <c r="A136" s="202"/>
      <c r="C136" s="154"/>
      <c r="F136" s="252"/>
      <c r="H136" s="252"/>
      <c r="I136" s="252"/>
      <c r="J136" s="300"/>
      <c r="K136" s="300"/>
      <c r="L136" s="200"/>
      <c r="M136" s="200"/>
      <c r="N136" s="210"/>
      <c r="O136" s="210"/>
      <c r="P136" s="202"/>
      <c r="Q136" s="202"/>
      <c r="R136" s="200"/>
      <c r="T136" s="154"/>
      <c r="V136" s="200"/>
      <c r="Y136" s="252"/>
      <c r="Z136" s="300"/>
      <c r="AA136" s="200"/>
      <c r="AB136" s="200"/>
      <c r="AC136" s="210"/>
      <c r="AD136" s="210"/>
      <c r="AE136" s="200"/>
      <c r="AF136" s="200"/>
      <c r="AG136" s="209"/>
      <c r="AH136" s="201"/>
      <c r="AI136" s="202"/>
      <c r="AJ136" s="202"/>
      <c r="AK136" s="209"/>
      <c r="AL136" s="200"/>
      <c r="AM136" s="210"/>
      <c r="AN136" s="210"/>
    </row>
    <row r="137" spans="1:40" x14ac:dyDescent="0.25">
      <c r="A137" s="202"/>
      <c r="C137" s="154"/>
      <c r="F137" s="252"/>
      <c r="H137" s="252"/>
      <c r="I137" s="252"/>
      <c r="J137" s="300"/>
      <c r="K137" s="300"/>
      <c r="L137" s="200"/>
      <c r="M137" s="200"/>
      <c r="N137" s="210"/>
      <c r="O137" s="210"/>
      <c r="P137" s="202"/>
      <c r="Q137" s="202"/>
      <c r="R137" s="200"/>
      <c r="T137" s="154"/>
      <c r="V137" s="200"/>
      <c r="Y137" s="252"/>
      <c r="Z137" s="300"/>
      <c r="AA137" s="200"/>
      <c r="AB137" s="200"/>
      <c r="AC137" s="210"/>
      <c r="AD137" s="210"/>
      <c r="AE137" s="200"/>
      <c r="AF137" s="200"/>
      <c r="AG137" s="209"/>
      <c r="AH137" s="201"/>
      <c r="AI137" s="202"/>
      <c r="AJ137" s="202"/>
      <c r="AK137" s="209"/>
      <c r="AL137" s="200"/>
      <c r="AM137" s="210"/>
      <c r="AN137" s="210"/>
    </row>
    <row r="138" spans="1:40" x14ac:dyDescent="0.25">
      <c r="F138" s="211"/>
      <c r="H138" s="200"/>
      <c r="I138" s="200"/>
      <c r="J138" s="305"/>
      <c r="K138" s="305"/>
      <c r="L138" s="211"/>
      <c r="M138" s="211"/>
      <c r="N138" s="211"/>
      <c r="O138" s="211"/>
      <c r="P138" s="211"/>
      <c r="Q138" s="211"/>
      <c r="R138" s="211"/>
      <c r="V138" s="211"/>
      <c r="Y138" s="200"/>
      <c r="Z138" s="305"/>
      <c r="AA138" s="211"/>
      <c r="AB138" s="211"/>
      <c r="AC138" s="211"/>
      <c r="AD138" s="211"/>
      <c r="AE138" s="211"/>
      <c r="AF138" s="211"/>
      <c r="AI138" s="211"/>
      <c r="AJ138" s="211"/>
      <c r="AK138" s="212"/>
      <c r="AL138" s="211"/>
      <c r="AM138" s="210"/>
      <c r="AN138" s="210"/>
    </row>
    <row r="139" spans="1:40" x14ac:dyDescent="0.25">
      <c r="A139" s="202"/>
      <c r="C139" s="154"/>
      <c r="F139" s="200"/>
      <c r="H139" s="200"/>
      <c r="I139" s="200"/>
      <c r="J139" s="305"/>
      <c r="K139" s="305"/>
      <c r="L139" s="200"/>
      <c r="M139" s="200"/>
      <c r="N139" s="210"/>
      <c r="O139" s="210"/>
      <c r="P139" s="200"/>
      <c r="Q139" s="200"/>
      <c r="R139" s="200"/>
      <c r="T139" s="154"/>
      <c r="V139" s="200"/>
      <c r="Y139" s="200"/>
      <c r="Z139" s="213"/>
      <c r="AA139" s="200"/>
      <c r="AB139" s="200"/>
      <c r="AC139" s="210"/>
      <c r="AD139" s="210"/>
      <c r="AE139" s="200"/>
      <c r="AF139" s="200"/>
      <c r="AG139" s="209"/>
      <c r="AH139" s="201"/>
      <c r="AI139" s="200"/>
      <c r="AJ139" s="200"/>
      <c r="AK139" s="209"/>
      <c r="AL139" s="200"/>
      <c r="AM139" s="210"/>
      <c r="AN139" s="210"/>
    </row>
    <row r="140" spans="1:40" x14ac:dyDescent="0.25">
      <c r="F140" s="211"/>
      <c r="H140" s="200"/>
      <c r="I140" s="200"/>
      <c r="J140" s="305"/>
      <c r="K140" s="305"/>
      <c r="L140" s="211"/>
      <c r="M140" s="211"/>
      <c r="N140" s="211"/>
      <c r="O140" s="211"/>
      <c r="P140" s="211"/>
      <c r="Q140" s="211"/>
      <c r="R140" s="211"/>
      <c r="V140" s="211"/>
      <c r="Y140" s="200"/>
      <c r="Z140" s="305"/>
      <c r="AA140" s="211"/>
      <c r="AB140" s="211"/>
      <c r="AC140" s="211"/>
      <c r="AD140" s="211"/>
      <c r="AE140" s="211"/>
      <c r="AF140" s="211"/>
      <c r="AI140" s="211"/>
      <c r="AJ140" s="211"/>
      <c r="AK140" s="212"/>
      <c r="AL140" s="211"/>
      <c r="AM140" s="210"/>
      <c r="AN140" s="210"/>
    </row>
    <row r="141" spans="1:40" x14ac:dyDescent="0.25">
      <c r="A141" s="202"/>
      <c r="C141" s="154"/>
      <c r="F141" s="252"/>
      <c r="H141" s="252"/>
      <c r="I141" s="252"/>
      <c r="J141" s="328"/>
      <c r="K141" s="328"/>
      <c r="L141" s="200"/>
      <c r="M141" s="200"/>
      <c r="N141" s="210"/>
      <c r="O141" s="210"/>
      <c r="P141" s="200"/>
      <c r="Q141" s="200"/>
      <c r="R141" s="200"/>
      <c r="S141" s="200"/>
      <c r="T141" s="154"/>
      <c r="V141" s="252"/>
      <c r="Y141" s="252"/>
      <c r="Z141" s="328"/>
      <c r="AA141" s="200"/>
      <c r="AB141" s="200"/>
      <c r="AC141" s="210"/>
      <c r="AD141" s="210"/>
      <c r="AE141" s="200"/>
      <c r="AF141" s="200"/>
      <c r="AG141" s="209"/>
      <c r="AH141" s="210"/>
      <c r="AI141" s="200"/>
      <c r="AJ141" s="200"/>
      <c r="AK141" s="209"/>
      <c r="AL141" s="200"/>
      <c r="AM141" s="210"/>
      <c r="AN141" s="210"/>
    </row>
    <row r="142" spans="1:40" x14ac:dyDescent="0.25">
      <c r="A142" s="202"/>
      <c r="C142" s="154"/>
      <c r="F142" s="252"/>
      <c r="H142" s="252"/>
      <c r="I142" s="252"/>
      <c r="J142" s="300"/>
      <c r="K142" s="300"/>
      <c r="L142" s="200"/>
      <c r="M142" s="200"/>
      <c r="N142" s="210"/>
      <c r="O142" s="210"/>
      <c r="P142" s="200"/>
      <c r="Q142" s="200"/>
      <c r="R142" s="200"/>
      <c r="T142" s="154"/>
      <c r="V142" s="252"/>
      <c r="Y142" s="200"/>
      <c r="Z142" s="300"/>
      <c r="AA142" s="200"/>
      <c r="AB142" s="200"/>
      <c r="AC142" s="210"/>
      <c r="AD142" s="210"/>
      <c r="AE142" s="200"/>
      <c r="AF142" s="200"/>
      <c r="AG142" s="209"/>
      <c r="AH142" s="201"/>
      <c r="AI142" s="200"/>
      <c r="AJ142" s="200"/>
      <c r="AK142" s="209"/>
      <c r="AL142" s="200"/>
      <c r="AM142" s="210"/>
      <c r="AN142" s="210"/>
    </row>
    <row r="143" spans="1:40" x14ac:dyDescent="0.25">
      <c r="A143" s="202"/>
      <c r="C143" s="154"/>
      <c r="F143" s="252"/>
      <c r="H143" s="252"/>
      <c r="I143" s="252"/>
      <c r="J143" s="300"/>
      <c r="K143" s="300"/>
      <c r="L143" s="200"/>
      <c r="M143" s="200"/>
      <c r="N143" s="210"/>
      <c r="O143" s="210"/>
      <c r="P143" s="200"/>
      <c r="Q143" s="200"/>
      <c r="R143" s="200"/>
      <c r="T143" s="154"/>
      <c r="V143" s="252"/>
      <c r="Y143" s="200"/>
      <c r="Z143" s="300"/>
      <c r="AA143" s="200"/>
      <c r="AB143" s="200"/>
      <c r="AC143" s="210"/>
      <c r="AD143" s="210"/>
      <c r="AE143" s="200"/>
      <c r="AF143" s="200"/>
      <c r="AG143" s="209"/>
      <c r="AH143" s="201"/>
      <c r="AI143" s="200"/>
      <c r="AJ143" s="200"/>
      <c r="AK143" s="209"/>
      <c r="AL143" s="200"/>
      <c r="AM143" s="210"/>
      <c r="AN143" s="210"/>
    </row>
    <row r="144" spans="1:40" x14ac:dyDescent="0.25">
      <c r="F144" s="200"/>
      <c r="H144" s="211"/>
      <c r="I144" s="211"/>
      <c r="J144" s="305"/>
      <c r="K144" s="305"/>
      <c r="L144" s="211"/>
      <c r="M144" s="211"/>
      <c r="N144" s="211"/>
      <c r="O144" s="211"/>
      <c r="P144" s="211"/>
      <c r="Q144" s="211"/>
      <c r="R144" s="211"/>
      <c r="V144" s="200"/>
      <c r="Y144" s="211"/>
      <c r="Z144" s="305"/>
      <c r="AA144" s="211"/>
      <c r="AB144" s="211"/>
      <c r="AC144" s="211"/>
      <c r="AD144" s="211"/>
      <c r="AE144" s="211"/>
      <c r="AF144" s="211"/>
      <c r="AI144" s="211"/>
      <c r="AJ144" s="211"/>
      <c r="AK144" s="212"/>
      <c r="AL144" s="211"/>
      <c r="AM144" s="210"/>
      <c r="AN144" s="210"/>
    </row>
    <row r="145" spans="1:40" x14ac:dyDescent="0.25">
      <c r="A145" s="202"/>
      <c r="C145" s="154"/>
      <c r="F145" s="200"/>
      <c r="H145" s="200"/>
      <c r="I145" s="200"/>
      <c r="J145" s="305"/>
      <c r="K145" s="305"/>
      <c r="L145" s="200"/>
      <c r="M145" s="200"/>
      <c r="N145" s="210"/>
      <c r="O145" s="210"/>
      <c r="P145" s="200"/>
      <c r="Q145" s="200"/>
      <c r="R145" s="200"/>
      <c r="T145" s="154"/>
      <c r="V145" s="200"/>
      <c r="Y145" s="200"/>
      <c r="Z145" s="305"/>
      <c r="AA145" s="200"/>
      <c r="AB145" s="200"/>
      <c r="AC145" s="210"/>
      <c r="AD145" s="210"/>
      <c r="AE145" s="200"/>
      <c r="AF145" s="200"/>
      <c r="AG145" s="209"/>
      <c r="AH145" s="201"/>
      <c r="AI145" s="200"/>
      <c r="AJ145" s="200"/>
      <c r="AK145" s="209"/>
      <c r="AL145" s="200"/>
      <c r="AM145" s="210"/>
      <c r="AN145" s="210"/>
    </row>
    <row r="146" spans="1:40" x14ac:dyDescent="0.25">
      <c r="F146" s="200"/>
      <c r="H146" s="211"/>
      <c r="I146" s="211"/>
      <c r="J146" s="305"/>
      <c r="K146" s="305"/>
      <c r="L146" s="211"/>
      <c r="M146" s="211"/>
      <c r="N146" s="211"/>
      <c r="O146" s="211"/>
      <c r="P146" s="211"/>
      <c r="Q146" s="211"/>
      <c r="R146" s="211"/>
      <c r="V146" s="200"/>
      <c r="Y146" s="211"/>
      <c r="Z146" s="305"/>
      <c r="AA146" s="211"/>
      <c r="AB146" s="211"/>
      <c r="AC146" s="211"/>
      <c r="AD146" s="211"/>
      <c r="AE146" s="211"/>
      <c r="AF146" s="211"/>
      <c r="AI146" s="211"/>
      <c r="AJ146" s="211"/>
      <c r="AK146" s="212"/>
      <c r="AL146" s="211"/>
      <c r="AM146" s="210"/>
      <c r="AN146" s="210"/>
    </row>
    <row r="147" spans="1:40" x14ac:dyDescent="0.25">
      <c r="A147" s="202"/>
      <c r="C147" s="154"/>
      <c r="F147" s="200"/>
      <c r="H147" s="200"/>
      <c r="I147" s="200"/>
      <c r="J147" s="305"/>
      <c r="K147" s="305"/>
      <c r="L147" s="200"/>
      <c r="M147" s="200"/>
      <c r="N147" s="200"/>
      <c r="O147" s="200"/>
      <c r="P147" s="200"/>
      <c r="Q147" s="200"/>
      <c r="R147" s="200"/>
      <c r="T147" s="154"/>
      <c r="V147" s="200"/>
      <c r="Y147" s="200"/>
      <c r="Z147" s="305"/>
      <c r="AA147" s="200"/>
      <c r="AB147" s="200"/>
      <c r="AC147" s="200"/>
      <c r="AD147" s="200"/>
      <c r="AE147" s="200"/>
      <c r="AF147" s="200"/>
      <c r="AG147" s="209"/>
      <c r="AH147" s="201"/>
      <c r="AI147" s="200"/>
      <c r="AJ147" s="200"/>
      <c r="AK147" s="209"/>
      <c r="AL147" s="200"/>
      <c r="AM147" s="210"/>
      <c r="AN147" s="210"/>
    </row>
    <row r="148" spans="1:40" x14ac:dyDescent="0.25">
      <c r="A148" s="202"/>
      <c r="C148" s="154"/>
      <c r="F148" s="200"/>
      <c r="H148" s="252"/>
      <c r="I148" s="252"/>
      <c r="J148" s="329"/>
      <c r="K148" s="329"/>
      <c r="L148" s="200"/>
      <c r="M148" s="200"/>
      <c r="N148" s="210"/>
      <c r="O148" s="210"/>
      <c r="P148" s="200"/>
      <c r="Q148" s="200"/>
      <c r="R148" s="200"/>
      <c r="T148" s="154"/>
      <c r="V148" s="200"/>
      <c r="Y148" s="200"/>
      <c r="Z148" s="329"/>
      <c r="AA148" s="200"/>
      <c r="AB148" s="200"/>
      <c r="AC148" s="210"/>
      <c r="AD148" s="210"/>
      <c r="AE148" s="200"/>
      <c r="AF148" s="200"/>
      <c r="AG148" s="209"/>
      <c r="AH148" s="201"/>
      <c r="AI148" s="200"/>
      <c r="AJ148" s="200"/>
      <c r="AK148" s="209"/>
      <c r="AL148" s="200"/>
      <c r="AM148" s="210"/>
      <c r="AN148" s="210"/>
    </row>
    <row r="149" spans="1:40" x14ac:dyDescent="0.25">
      <c r="A149" s="202"/>
      <c r="C149" s="154"/>
      <c r="H149" s="252"/>
      <c r="I149" s="252"/>
      <c r="J149" s="329"/>
      <c r="K149" s="329"/>
      <c r="L149" s="200"/>
      <c r="M149" s="200"/>
      <c r="N149" s="210"/>
      <c r="O149" s="210"/>
      <c r="P149" s="200"/>
      <c r="Q149" s="200"/>
      <c r="R149" s="200"/>
      <c r="T149" s="154"/>
      <c r="Y149" s="200"/>
      <c r="Z149" s="329"/>
      <c r="AA149" s="200"/>
      <c r="AB149" s="200"/>
      <c r="AC149" s="210"/>
      <c r="AD149" s="210"/>
      <c r="AE149" s="200"/>
      <c r="AF149" s="200"/>
      <c r="AG149" s="209"/>
      <c r="AH149" s="201"/>
      <c r="AI149" s="200"/>
      <c r="AJ149" s="200"/>
      <c r="AK149" s="209"/>
      <c r="AL149" s="200"/>
      <c r="AM149" s="210"/>
      <c r="AN149" s="210"/>
    </row>
    <row r="150" spans="1:40" x14ac:dyDescent="0.25">
      <c r="F150" s="200"/>
      <c r="H150" s="200"/>
      <c r="I150" s="200"/>
      <c r="J150" s="305"/>
      <c r="K150" s="305"/>
      <c r="L150" s="211"/>
      <c r="M150" s="211"/>
      <c r="N150" s="211"/>
      <c r="O150" s="211"/>
      <c r="P150" s="211"/>
      <c r="Q150" s="211"/>
      <c r="R150" s="211"/>
      <c r="V150" s="200"/>
      <c r="Y150" s="200"/>
      <c r="Z150" s="305"/>
      <c r="AA150" s="211"/>
      <c r="AB150" s="211"/>
      <c r="AC150" s="211"/>
      <c r="AD150" s="211"/>
      <c r="AE150" s="211"/>
      <c r="AF150" s="211"/>
      <c r="AI150" s="211"/>
      <c r="AJ150" s="211"/>
      <c r="AK150" s="212"/>
      <c r="AL150" s="211"/>
      <c r="AM150" s="210"/>
      <c r="AN150" s="210"/>
    </row>
    <row r="151" spans="1:40" x14ac:dyDescent="0.25">
      <c r="A151" s="202"/>
      <c r="C151" s="154"/>
      <c r="F151" s="200"/>
      <c r="H151" s="200"/>
      <c r="I151" s="200"/>
      <c r="J151" s="213"/>
      <c r="K151" s="213"/>
      <c r="L151" s="200"/>
      <c r="M151" s="200"/>
      <c r="N151" s="210"/>
      <c r="O151" s="210"/>
      <c r="P151" s="200"/>
      <c r="Q151" s="200"/>
      <c r="R151" s="200"/>
      <c r="T151" s="154"/>
      <c r="V151" s="200"/>
      <c r="Y151" s="200"/>
      <c r="Z151" s="213"/>
      <c r="AA151" s="200"/>
      <c r="AB151" s="200"/>
      <c r="AC151" s="210"/>
      <c r="AD151" s="210"/>
      <c r="AE151" s="200"/>
      <c r="AF151" s="200"/>
      <c r="AG151" s="209"/>
      <c r="AH151" s="201"/>
      <c r="AI151" s="200"/>
      <c r="AJ151" s="200"/>
      <c r="AK151" s="209"/>
      <c r="AL151" s="200"/>
      <c r="AM151" s="210"/>
      <c r="AN151" s="210"/>
    </row>
    <row r="152" spans="1:40" x14ac:dyDescent="0.25">
      <c r="F152" s="200"/>
      <c r="H152" s="200"/>
      <c r="I152" s="200"/>
      <c r="J152" s="305"/>
      <c r="K152" s="305"/>
      <c r="L152" s="211"/>
      <c r="M152" s="211"/>
      <c r="N152" s="211"/>
      <c r="O152" s="211"/>
      <c r="P152" s="211"/>
      <c r="Q152" s="211"/>
      <c r="R152" s="211"/>
      <c r="V152" s="200"/>
      <c r="Y152" s="200"/>
      <c r="Z152" s="305"/>
      <c r="AA152" s="211"/>
      <c r="AB152" s="211"/>
      <c r="AC152" s="211"/>
      <c r="AD152" s="211"/>
      <c r="AE152" s="211"/>
      <c r="AF152" s="211"/>
      <c r="AI152" s="211"/>
      <c r="AJ152" s="211"/>
      <c r="AK152" s="212"/>
      <c r="AL152" s="211"/>
      <c r="AM152" s="210"/>
      <c r="AN152" s="210"/>
    </row>
    <row r="153" spans="1:40" x14ac:dyDescent="0.25">
      <c r="A153" s="202"/>
      <c r="C153" s="154"/>
      <c r="F153" s="200"/>
      <c r="H153" s="200"/>
      <c r="I153" s="200"/>
      <c r="J153" s="213"/>
      <c r="K153" s="213"/>
      <c r="L153" s="200"/>
      <c r="M153" s="200"/>
      <c r="N153" s="210"/>
      <c r="O153" s="210"/>
      <c r="P153" s="200"/>
      <c r="Q153" s="200"/>
      <c r="R153" s="200"/>
      <c r="T153" s="154"/>
      <c r="V153" s="200"/>
      <c r="Y153" s="200"/>
      <c r="Z153" s="213"/>
      <c r="AA153" s="200"/>
      <c r="AB153" s="200"/>
      <c r="AC153" s="210"/>
      <c r="AD153" s="210"/>
      <c r="AE153" s="200"/>
      <c r="AF153" s="200"/>
      <c r="AG153" s="209"/>
      <c r="AH153" s="201"/>
      <c r="AI153" s="200"/>
      <c r="AJ153" s="200"/>
      <c r="AK153" s="209"/>
      <c r="AL153" s="200"/>
      <c r="AM153" s="210"/>
      <c r="AN153" s="210"/>
    </row>
    <row r="154" spans="1:40" x14ac:dyDescent="0.25">
      <c r="A154" s="202"/>
      <c r="C154" s="154"/>
      <c r="F154" s="200"/>
      <c r="H154" s="252"/>
      <c r="I154" s="252"/>
      <c r="J154" s="320"/>
      <c r="K154" s="320"/>
      <c r="L154" s="200"/>
      <c r="M154" s="200"/>
      <c r="N154" s="210"/>
      <c r="O154" s="210"/>
      <c r="P154" s="200"/>
      <c r="Q154" s="200"/>
      <c r="R154" s="200"/>
      <c r="T154" s="154"/>
      <c r="V154" s="252"/>
      <c r="Y154" s="200"/>
      <c r="Z154" s="320"/>
      <c r="AA154" s="200"/>
      <c r="AB154" s="200"/>
      <c r="AC154" s="210"/>
      <c r="AD154" s="210"/>
      <c r="AE154" s="200"/>
      <c r="AF154" s="200"/>
      <c r="AG154" s="209"/>
      <c r="AH154" s="201"/>
      <c r="AI154" s="200"/>
      <c r="AJ154" s="200"/>
      <c r="AK154" s="209"/>
      <c r="AL154" s="200"/>
      <c r="AM154" s="210"/>
      <c r="AN154" s="210"/>
    </row>
    <row r="155" spans="1:40" x14ac:dyDescent="0.25">
      <c r="F155" s="211"/>
      <c r="H155" s="211"/>
      <c r="I155" s="211"/>
      <c r="J155" s="305"/>
      <c r="K155" s="305"/>
      <c r="L155" s="211"/>
      <c r="M155" s="211"/>
      <c r="N155" s="211"/>
      <c r="O155" s="211"/>
      <c r="P155" s="211"/>
      <c r="Q155" s="211"/>
      <c r="R155" s="211"/>
      <c r="V155" s="211"/>
      <c r="Y155" s="211"/>
      <c r="Z155" s="305"/>
      <c r="AA155" s="211"/>
      <c r="AB155" s="211"/>
      <c r="AC155" s="211"/>
      <c r="AD155" s="211"/>
      <c r="AE155" s="211"/>
      <c r="AF155" s="211"/>
      <c r="AI155" s="211"/>
      <c r="AJ155" s="211"/>
      <c r="AK155" s="212"/>
      <c r="AL155" s="211"/>
      <c r="AM155" s="210"/>
      <c r="AN155" s="210"/>
    </row>
    <row r="156" spans="1:40" x14ac:dyDescent="0.25">
      <c r="A156" s="202"/>
      <c r="C156" s="154"/>
      <c r="F156" s="200"/>
      <c r="H156" s="200"/>
      <c r="I156" s="200"/>
      <c r="J156" s="305"/>
      <c r="K156" s="305"/>
      <c r="L156" s="200"/>
      <c r="M156" s="200"/>
      <c r="N156" s="210"/>
      <c r="O156" s="210"/>
      <c r="P156" s="200"/>
      <c r="Q156" s="200"/>
      <c r="R156" s="200"/>
      <c r="S156" s="200"/>
      <c r="T156" s="154"/>
      <c r="V156" s="200"/>
      <c r="Y156" s="200"/>
      <c r="Z156" s="305"/>
      <c r="AA156" s="200"/>
      <c r="AB156" s="200"/>
      <c r="AC156" s="210"/>
      <c r="AD156" s="210"/>
      <c r="AE156" s="200"/>
      <c r="AF156" s="200"/>
      <c r="AG156" s="209"/>
      <c r="AH156" s="210"/>
      <c r="AI156" s="200"/>
      <c r="AJ156" s="200"/>
      <c r="AK156" s="209"/>
      <c r="AL156" s="200"/>
      <c r="AM156" s="210"/>
      <c r="AN156" s="210"/>
    </row>
    <row r="157" spans="1:40" x14ac:dyDescent="0.25">
      <c r="F157" s="211"/>
      <c r="H157" s="211"/>
      <c r="I157" s="211"/>
      <c r="J157" s="305"/>
      <c r="K157" s="305"/>
      <c r="L157" s="211"/>
      <c r="M157" s="211"/>
      <c r="N157" s="211"/>
      <c r="O157" s="211"/>
      <c r="P157" s="211"/>
      <c r="Q157" s="211"/>
      <c r="R157" s="211"/>
      <c r="S157" s="200"/>
      <c r="V157" s="211"/>
      <c r="Y157" s="211"/>
      <c r="Z157" s="305"/>
      <c r="AA157" s="211"/>
      <c r="AB157" s="211"/>
      <c r="AC157" s="211"/>
      <c r="AD157" s="211"/>
      <c r="AE157" s="211"/>
      <c r="AF157" s="211"/>
      <c r="AI157" s="211"/>
      <c r="AJ157" s="211"/>
      <c r="AK157" s="212"/>
      <c r="AL157" s="211"/>
      <c r="AM157" s="210"/>
      <c r="AN157" s="210"/>
    </row>
    <row r="158" spans="1:40" x14ac:dyDescent="0.25">
      <c r="A158" s="202"/>
      <c r="C158" s="154"/>
      <c r="F158" s="252"/>
      <c r="H158" s="330"/>
      <c r="I158" s="330"/>
      <c r="J158" s="305"/>
      <c r="K158" s="305"/>
      <c r="L158" s="200"/>
      <c r="M158" s="200"/>
      <c r="N158" s="210"/>
      <c r="O158" s="210"/>
      <c r="P158" s="200"/>
      <c r="Q158" s="200"/>
      <c r="R158" s="200"/>
      <c r="S158" s="200"/>
      <c r="T158" s="154"/>
      <c r="V158" s="252"/>
      <c r="Y158" s="252"/>
      <c r="Z158" s="305"/>
      <c r="AA158" s="200"/>
      <c r="AB158" s="200"/>
      <c r="AC158" s="210"/>
      <c r="AD158" s="210"/>
      <c r="AE158" s="200"/>
      <c r="AF158" s="200"/>
      <c r="AI158" s="200"/>
      <c r="AJ158" s="200"/>
      <c r="AK158" s="209"/>
      <c r="AL158" s="200"/>
      <c r="AM158" s="210"/>
      <c r="AN158" s="210"/>
    </row>
    <row r="160" spans="1:40" x14ac:dyDescent="0.25">
      <c r="A160" s="202"/>
      <c r="C160" s="154"/>
      <c r="T160" s="154"/>
    </row>
    <row r="161" spans="1:40" x14ac:dyDescent="0.25">
      <c r="A161" s="202"/>
      <c r="C161" s="154"/>
      <c r="F161" s="252"/>
      <c r="H161" s="252"/>
      <c r="I161" s="252"/>
      <c r="J161" s="300"/>
      <c r="K161" s="300"/>
      <c r="L161" s="200"/>
      <c r="M161" s="200"/>
      <c r="N161" s="210"/>
      <c r="O161" s="210"/>
      <c r="P161" s="202"/>
      <c r="Q161" s="202"/>
      <c r="R161" s="200"/>
      <c r="T161" s="154"/>
      <c r="V161" s="200"/>
      <c r="Y161" s="252"/>
      <c r="Z161" s="300"/>
      <c r="AA161" s="200"/>
      <c r="AB161" s="200"/>
      <c r="AC161" s="210"/>
      <c r="AD161" s="210"/>
      <c r="AE161" s="200"/>
      <c r="AF161" s="200"/>
      <c r="AG161" s="325"/>
      <c r="AH161" s="326"/>
      <c r="AI161" s="202"/>
      <c r="AJ161" s="202"/>
      <c r="AK161" s="209"/>
      <c r="AL161" s="200"/>
      <c r="AM161" s="327"/>
      <c r="AN161" s="327"/>
    </row>
    <row r="162" spans="1:40" x14ac:dyDescent="0.25">
      <c r="A162" s="202"/>
      <c r="C162" s="154"/>
      <c r="F162" s="252"/>
      <c r="H162" s="252"/>
      <c r="I162" s="252"/>
      <c r="J162" s="300"/>
      <c r="K162" s="300"/>
      <c r="L162" s="200"/>
      <c r="M162" s="200"/>
      <c r="N162" s="210"/>
      <c r="O162" s="210"/>
      <c r="P162" s="202"/>
      <c r="Q162" s="202"/>
      <c r="R162" s="200"/>
      <c r="T162" s="154"/>
      <c r="V162" s="200"/>
      <c r="Y162" s="252"/>
      <c r="Z162" s="300"/>
      <c r="AA162" s="200"/>
      <c r="AB162" s="200"/>
      <c r="AC162" s="210"/>
      <c r="AD162" s="210"/>
      <c r="AE162" s="200"/>
      <c r="AF162" s="200"/>
      <c r="AG162" s="209"/>
      <c r="AH162" s="201"/>
      <c r="AI162" s="202"/>
      <c r="AJ162" s="202"/>
      <c r="AK162" s="209"/>
      <c r="AL162" s="200"/>
      <c r="AM162" s="210"/>
      <c r="AN162" s="210"/>
    </row>
    <row r="163" spans="1:40" x14ac:dyDescent="0.25">
      <c r="A163" s="202"/>
      <c r="C163" s="154"/>
      <c r="F163" s="252"/>
      <c r="H163" s="252"/>
      <c r="I163" s="252"/>
      <c r="J163" s="300"/>
      <c r="K163" s="300"/>
      <c r="L163" s="200"/>
      <c r="M163" s="200"/>
      <c r="N163" s="210"/>
      <c r="O163" s="210"/>
      <c r="P163" s="202"/>
      <c r="Q163" s="202"/>
      <c r="R163" s="200"/>
      <c r="T163" s="154"/>
      <c r="V163" s="200"/>
      <c r="Y163" s="252"/>
      <c r="Z163" s="300"/>
      <c r="AA163" s="200"/>
      <c r="AB163" s="200"/>
      <c r="AC163" s="210"/>
      <c r="AD163" s="210"/>
      <c r="AE163" s="200"/>
      <c r="AF163" s="200"/>
      <c r="AG163" s="209"/>
      <c r="AH163" s="201"/>
      <c r="AI163" s="202"/>
      <c r="AJ163" s="202"/>
      <c r="AK163" s="209"/>
      <c r="AL163" s="200"/>
      <c r="AM163" s="210"/>
      <c r="AN163" s="210"/>
    </row>
    <row r="164" spans="1:40" x14ac:dyDescent="0.25">
      <c r="F164" s="211"/>
      <c r="H164" s="200"/>
      <c r="I164" s="200"/>
      <c r="J164" s="305"/>
      <c r="K164" s="305"/>
      <c r="L164" s="211"/>
      <c r="M164" s="211"/>
      <c r="N164" s="211"/>
      <c r="O164" s="211"/>
      <c r="P164" s="211"/>
      <c r="Q164" s="211"/>
      <c r="R164" s="211"/>
      <c r="V164" s="211"/>
      <c r="Y164" s="200"/>
      <c r="Z164" s="305"/>
      <c r="AA164" s="211"/>
      <c r="AB164" s="211"/>
      <c r="AC164" s="211"/>
      <c r="AD164" s="211"/>
      <c r="AE164" s="211"/>
      <c r="AF164" s="211"/>
      <c r="AI164" s="211"/>
      <c r="AJ164" s="211"/>
      <c r="AK164" s="212"/>
      <c r="AL164" s="211"/>
      <c r="AM164" s="210"/>
      <c r="AN164" s="210"/>
    </row>
    <row r="165" spans="1:40" x14ac:dyDescent="0.25">
      <c r="A165" s="202"/>
      <c r="C165" s="154"/>
      <c r="F165" s="200"/>
      <c r="H165" s="200"/>
      <c r="I165" s="200"/>
      <c r="J165" s="305"/>
      <c r="K165" s="305"/>
      <c r="L165" s="200"/>
      <c r="M165" s="200"/>
      <c r="N165" s="210"/>
      <c r="O165" s="210"/>
      <c r="P165" s="200"/>
      <c r="Q165" s="200"/>
      <c r="R165" s="200"/>
      <c r="T165" s="154"/>
      <c r="V165" s="200"/>
      <c r="Y165" s="200"/>
      <c r="Z165" s="305"/>
      <c r="AA165" s="200"/>
      <c r="AB165" s="200"/>
      <c r="AC165" s="210"/>
      <c r="AD165" s="210"/>
      <c r="AE165" s="200"/>
      <c r="AF165" s="200"/>
      <c r="AG165" s="209"/>
      <c r="AH165" s="201"/>
      <c r="AI165" s="200"/>
      <c r="AJ165" s="200"/>
      <c r="AK165" s="209"/>
      <c r="AL165" s="200"/>
      <c r="AM165" s="210"/>
      <c r="AN165" s="210"/>
    </row>
    <row r="166" spans="1:40" x14ac:dyDescent="0.25">
      <c r="F166" s="211"/>
      <c r="H166" s="200"/>
      <c r="I166" s="200"/>
      <c r="J166" s="305"/>
      <c r="K166" s="305"/>
      <c r="L166" s="211"/>
      <c r="M166" s="211"/>
      <c r="N166" s="211"/>
      <c r="O166" s="211"/>
      <c r="P166" s="211"/>
      <c r="Q166" s="211"/>
      <c r="R166" s="211"/>
      <c r="V166" s="211"/>
      <c r="Y166" s="200"/>
      <c r="Z166" s="305"/>
      <c r="AA166" s="211"/>
      <c r="AB166" s="211"/>
      <c r="AC166" s="211"/>
      <c r="AD166" s="211"/>
      <c r="AE166" s="211"/>
      <c r="AF166" s="211"/>
      <c r="AI166" s="211"/>
      <c r="AJ166" s="211"/>
      <c r="AK166" s="212"/>
      <c r="AL166" s="211"/>
      <c r="AM166" s="210"/>
      <c r="AN166" s="210"/>
    </row>
    <row r="167" spans="1:40" x14ac:dyDescent="0.25">
      <c r="A167" s="202"/>
      <c r="C167" s="154"/>
      <c r="F167" s="252"/>
      <c r="H167" s="252"/>
      <c r="I167" s="252"/>
      <c r="J167" s="328"/>
      <c r="K167" s="328"/>
      <c r="L167" s="200"/>
      <c r="M167" s="200"/>
      <c r="N167" s="210"/>
      <c r="O167" s="210"/>
      <c r="P167" s="200"/>
      <c r="Q167" s="200"/>
      <c r="R167" s="200"/>
      <c r="S167" s="200"/>
      <c r="T167" s="154"/>
      <c r="V167" s="252"/>
      <c r="Y167" s="252"/>
      <c r="Z167" s="328"/>
      <c r="AA167" s="200"/>
      <c r="AB167" s="200"/>
      <c r="AC167" s="210"/>
      <c r="AD167" s="210"/>
      <c r="AE167" s="200"/>
      <c r="AF167" s="200"/>
      <c r="AG167" s="209"/>
      <c r="AH167" s="210"/>
      <c r="AI167" s="200"/>
      <c r="AJ167" s="200"/>
      <c r="AK167" s="209"/>
      <c r="AL167" s="200"/>
      <c r="AM167" s="210"/>
      <c r="AN167" s="210"/>
    </row>
    <row r="168" spans="1:40" x14ac:dyDescent="0.25">
      <c r="A168" s="202"/>
      <c r="C168" s="154"/>
      <c r="F168" s="252"/>
      <c r="H168" s="252"/>
      <c r="I168" s="252"/>
      <c r="J168" s="300"/>
      <c r="K168" s="300"/>
      <c r="L168" s="200"/>
      <c r="M168" s="200"/>
      <c r="N168" s="210"/>
      <c r="O168" s="210"/>
      <c r="P168" s="200"/>
      <c r="Q168" s="200"/>
      <c r="R168" s="200"/>
      <c r="T168" s="154"/>
      <c r="V168" s="252"/>
      <c r="Y168" s="200"/>
      <c r="Z168" s="300"/>
      <c r="AA168" s="200"/>
      <c r="AB168" s="200"/>
      <c r="AC168" s="210"/>
      <c r="AD168" s="210"/>
      <c r="AE168" s="200"/>
      <c r="AF168" s="200"/>
      <c r="AG168" s="209"/>
      <c r="AH168" s="201"/>
      <c r="AI168" s="200"/>
      <c r="AJ168" s="200"/>
      <c r="AK168" s="209"/>
      <c r="AL168" s="200"/>
      <c r="AM168" s="210"/>
      <c r="AN168" s="210"/>
    </row>
    <row r="169" spans="1:40" x14ac:dyDescent="0.25">
      <c r="A169" s="202"/>
      <c r="C169" s="154"/>
      <c r="F169" s="252"/>
      <c r="H169" s="252"/>
      <c r="I169" s="252"/>
      <c r="J169" s="300"/>
      <c r="K169" s="300"/>
      <c r="L169" s="200"/>
      <c r="M169" s="200"/>
      <c r="N169" s="210"/>
      <c r="O169" s="210"/>
      <c r="P169" s="200"/>
      <c r="Q169" s="200"/>
      <c r="R169" s="200"/>
      <c r="T169" s="154"/>
      <c r="V169" s="252"/>
      <c r="Y169" s="200"/>
      <c r="Z169" s="300"/>
      <c r="AA169" s="200"/>
      <c r="AB169" s="200"/>
      <c r="AC169" s="210"/>
      <c r="AD169" s="210"/>
      <c r="AE169" s="200"/>
      <c r="AF169" s="200"/>
      <c r="AG169" s="209"/>
      <c r="AH169" s="201"/>
      <c r="AI169" s="200"/>
      <c r="AJ169" s="200"/>
      <c r="AK169" s="209"/>
      <c r="AL169" s="200"/>
      <c r="AM169" s="210"/>
      <c r="AN169" s="210"/>
    </row>
    <row r="170" spans="1:40" x14ac:dyDescent="0.25">
      <c r="F170" s="200"/>
      <c r="H170" s="211"/>
      <c r="I170" s="211"/>
      <c r="J170" s="305"/>
      <c r="K170" s="305"/>
      <c r="L170" s="211"/>
      <c r="M170" s="211"/>
      <c r="N170" s="211"/>
      <c r="O170" s="211"/>
      <c r="P170" s="211"/>
      <c r="Q170" s="211"/>
      <c r="R170" s="211"/>
      <c r="V170" s="200"/>
      <c r="Y170" s="211"/>
      <c r="Z170" s="305"/>
      <c r="AA170" s="211"/>
      <c r="AB170" s="211"/>
      <c r="AC170" s="211"/>
      <c r="AD170" s="211"/>
      <c r="AE170" s="211"/>
      <c r="AF170" s="211"/>
      <c r="AI170" s="211"/>
      <c r="AJ170" s="211"/>
      <c r="AK170" s="212"/>
      <c r="AL170" s="211"/>
      <c r="AM170" s="210"/>
      <c r="AN170" s="210"/>
    </row>
    <row r="171" spans="1:40" x14ac:dyDescent="0.25">
      <c r="A171" s="202"/>
      <c r="C171" s="154"/>
      <c r="F171" s="200"/>
      <c r="H171" s="200"/>
      <c r="I171" s="200"/>
      <c r="J171" s="305"/>
      <c r="K171" s="305"/>
      <c r="L171" s="200"/>
      <c r="M171" s="200"/>
      <c r="N171" s="210"/>
      <c r="O171" s="210"/>
      <c r="P171" s="200"/>
      <c r="Q171" s="200"/>
      <c r="R171" s="200"/>
      <c r="T171" s="154"/>
      <c r="V171" s="200"/>
      <c r="Y171" s="200"/>
      <c r="Z171" s="305"/>
      <c r="AA171" s="200"/>
      <c r="AB171" s="200"/>
      <c r="AC171" s="210"/>
      <c r="AD171" s="210"/>
      <c r="AE171" s="200"/>
      <c r="AF171" s="200"/>
      <c r="AG171" s="209"/>
      <c r="AH171" s="201"/>
      <c r="AI171" s="200"/>
      <c r="AJ171" s="200"/>
      <c r="AK171" s="209"/>
      <c r="AL171" s="200"/>
      <c r="AM171" s="210"/>
      <c r="AN171" s="210"/>
    </row>
    <row r="172" spans="1:40" x14ac:dyDescent="0.25">
      <c r="F172" s="200"/>
      <c r="H172" s="211"/>
      <c r="I172" s="211"/>
      <c r="J172" s="305"/>
      <c r="K172" s="305"/>
      <c r="L172" s="211"/>
      <c r="M172" s="211"/>
      <c r="N172" s="211"/>
      <c r="O172" s="211"/>
      <c r="P172" s="211"/>
      <c r="Q172" s="211"/>
      <c r="R172" s="211"/>
      <c r="V172" s="200"/>
      <c r="Y172" s="211"/>
      <c r="Z172" s="305"/>
      <c r="AA172" s="211"/>
      <c r="AB172" s="211"/>
      <c r="AC172" s="211"/>
      <c r="AD172" s="211"/>
      <c r="AE172" s="211"/>
      <c r="AF172" s="211"/>
      <c r="AI172" s="211"/>
      <c r="AJ172" s="211"/>
      <c r="AK172" s="212"/>
      <c r="AL172" s="211"/>
      <c r="AM172" s="210"/>
      <c r="AN172" s="210"/>
    </row>
    <row r="173" spans="1:40" x14ac:dyDescent="0.25">
      <c r="A173" s="202"/>
      <c r="C173" s="154"/>
      <c r="F173" s="200"/>
      <c r="H173" s="200"/>
      <c r="I173" s="200"/>
      <c r="J173" s="305"/>
      <c r="K173" s="305"/>
      <c r="L173" s="200"/>
      <c r="M173" s="200"/>
      <c r="N173" s="200"/>
      <c r="O173" s="200"/>
      <c r="P173" s="200"/>
      <c r="Q173" s="200"/>
      <c r="R173" s="200"/>
      <c r="T173" s="154"/>
      <c r="V173" s="200"/>
      <c r="Y173" s="200"/>
      <c r="Z173" s="305"/>
      <c r="AA173" s="200"/>
      <c r="AB173" s="200"/>
      <c r="AC173" s="200"/>
      <c r="AD173" s="200"/>
      <c r="AE173" s="200"/>
      <c r="AF173" s="200"/>
      <c r="AG173" s="209"/>
      <c r="AH173" s="201"/>
      <c r="AI173" s="200"/>
      <c r="AJ173" s="200"/>
      <c r="AK173" s="209"/>
      <c r="AL173" s="200"/>
      <c r="AM173" s="210"/>
      <c r="AN173" s="210"/>
    </row>
    <row r="174" spans="1:40" x14ac:dyDescent="0.25">
      <c r="A174" s="202"/>
      <c r="C174" s="154"/>
      <c r="F174" s="200"/>
      <c r="H174" s="252"/>
      <c r="I174" s="252"/>
      <c r="J174" s="329"/>
      <c r="K174" s="329"/>
      <c r="L174" s="200"/>
      <c r="M174" s="200"/>
      <c r="N174" s="210"/>
      <c r="O174" s="210"/>
      <c r="P174" s="200"/>
      <c r="Q174" s="200"/>
      <c r="R174" s="200"/>
      <c r="T174" s="154"/>
      <c r="V174" s="200"/>
      <c r="Y174" s="200"/>
      <c r="Z174" s="329"/>
      <c r="AA174" s="200"/>
      <c r="AB174" s="200"/>
      <c r="AC174" s="210"/>
      <c r="AD174" s="210"/>
      <c r="AE174" s="200"/>
      <c r="AF174" s="200"/>
      <c r="AG174" s="209"/>
      <c r="AH174" s="201"/>
      <c r="AI174" s="200"/>
      <c r="AJ174" s="200"/>
      <c r="AK174" s="209"/>
      <c r="AL174" s="200"/>
      <c r="AM174" s="210"/>
      <c r="AN174" s="210"/>
    </row>
    <row r="175" spans="1:40" x14ac:dyDescent="0.25">
      <c r="A175" s="202"/>
      <c r="C175" s="154"/>
      <c r="H175" s="252"/>
      <c r="I175" s="252"/>
      <c r="J175" s="329"/>
      <c r="K175" s="329"/>
      <c r="L175" s="200"/>
      <c r="M175" s="200"/>
      <c r="N175" s="210"/>
      <c r="O175" s="210"/>
      <c r="P175" s="200"/>
      <c r="Q175" s="200"/>
      <c r="R175" s="200"/>
      <c r="T175" s="154"/>
      <c r="Y175" s="200"/>
      <c r="Z175" s="329"/>
      <c r="AA175" s="200"/>
      <c r="AB175" s="200"/>
      <c r="AC175" s="210"/>
      <c r="AD175" s="210"/>
      <c r="AE175" s="200"/>
      <c r="AF175" s="200"/>
      <c r="AG175" s="209"/>
      <c r="AH175" s="201"/>
      <c r="AI175" s="200"/>
      <c r="AJ175" s="200"/>
      <c r="AK175" s="209"/>
      <c r="AL175" s="200"/>
      <c r="AM175" s="210"/>
      <c r="AN175" s="210"/>
    </row>
    <row r="176" spans="1:40" x14ac:dyDescent="0.25">
      <c r="F176" s="200"/>
      <c r="H176" s="200"/>
      <c r="I176" s="200"/>
      <c r="J176" s="305"/>
      <c r="K176" s="305"/>
      <c r="L176" s="211"/>
      <c r="M176" s="211"/>
      <c r="N176" s="211"/>
      <c r="O176" s="211"/>
      <c r="P176" s="211"/>
      <c r="Q176" s="211"/>
      <c r="R176" s="211"/>
      <c r="V176" s="200"/>
      <c r="Y176" s="200"/>
      <c r="Z176" s="305"/>
      <c r="AA176" s="211"/>
      <c r="AB176" s="211"/>
      <c r="AC176" s="211"/>
      <c r="AD176" s="211"/>
      <c r="AE176" s="211"/>
      <c r="AF176" s="211"/>
      <c r="AI176" s="211"/>
      <c r="AJ176" s="211"/>
      <c r="AK176" s="212"/>
      <c r="AL176" s="211"/>
      <c r="AM176" s="210"/>
      <c r="AN176" s="210"/>
    </row>
    <row r="177" spans="1:40" x14ac:dyDescent="0.25">
      <c r="A177" s="202"/>
      <c r="C177" s="154"/>
      <c r="F177" s="200"/>
      <c r="H177" s="200"/>
      <c r="I177" s="200"/>
      <c r="J177" s="213"/>
      <c r="K177" s="213"/>
      <c r="L177" s="200"/>
      <c r="M177" s="200"/>
      <c r="N177" s="210"/>
      <c r="O177" s="210"/>
      <c r="P177" s="200"/>
      <c r="Q177" s="200"/>
      <c r="R177" s="200"/>
      <c r="T177" s="154"/>
      <c r="V177" s="200"/>
      <c r="Y177" s="200"/>
      <c r="Z177" s="213"/>
      <c r="AA177" s="200"/>
      <c r="AB177" s="200"/>
      <c r="AC177" s="210"/>
      <c r="AD177" s="210"/>
      <c r="AE177" s="200"/>
      <c r="AF177" s="200"/>
      <c r="AG177" s="209"/>
      <c r="AH177" s="201"/>
      <c r="AI177" s="200"/>
      <c r="AJ177" s="200"/>
      <c r="AK177" s="209"/>
      <c r="AL177" s="200"/>
      <c r="AM177" s="210"/>
      <c r="AN177" s="210"/>
    </row>
    <row r="178" spans="1:40" x14ac:dyDescent="0.25">
      <c r="F178" s="200"/>
      <c r="H178" s="200"/>
      <c r="I178" s="200"/>
      <c r="J178" s="305"/>
      <c r="K178" s="305"/>
      <c r="L178" s="211"/>
      <c r="M178" s="211"/>
      <c r="N178" s="211"/>
      <c r="O178" s="211"/>
      <c r="P178" s="211"/>
      <c r="Q178" s="211"/>
      <c r="R178" s="211"/>
      <c r="V178" s="200"/>
      <c r="Y178" s="200"/>
      <c r="Z178" s="305"/>
      <c r="AA178" s="211"/>
      <c r="AB178" s="211"/>
      <c r="AC178" s="211"/>
      <c r="AD178" s="211"/>
      <c r="AE178" s="211"/>
      <c r="AF178" s="211"/>
      <c r="AI178" s="211"/>
      <c r="AJ178" s="211"/>
      <c r="AK178" s="212"/>
      <c r="AL178" s="211"/>
      <c r="AM178" s="210"/>
      <c r="AN178" s="210"/>
    </row>
    <row r="179" spans="1:40" x14ac:dyDescent="0.25">
      <c r="A179" s="202"/>
      <c r="C179" s="154"/>
      <c r="F179" s="200"/>
      <c r="H179" s="200"/>
      <c r="I179" s="200"/>
      <c r="J179" s="213"/>
      <c r="K179" s="213"/>
      <c r="L179" s="200"/>
      <c r="M179" s="200"/>
      <c r="N179" s="210"/>
      <c r="O179" s="210"/>
      <c r="P179" s="200"/>
      <c r="Q179" s="200"/>
      <c r="R179" s="200"/>
      <c r="T179" s="154"/>
      <c r="V179" s="200"/>
      <c r="Y179" s="200"/>
      <c r="Z179" s="213"/>
      <c r="AA179" s="200"/>
      <c r="AB179" s="200"/>
      <c r="AC179" s="210"/>
      <c r="AD179" s="210"/>
      <c r="AE179" s="200"/>
      <c r="AF179" s="200"/>
      <c r="AG179" s="209"/>
      <c r="AH179" s="201"/>
      <c r="AI179" s="200"/>
      <c r="AJ179" s="200"/>
      <c r="AK179" s="209"/>
      <c r="AL179" s="200"/>
      <c r="AM179" s="210"/>
      <c r="AN179" s="210"/>
    </row>
    <row r="180" spans="1:40" x14ac:dyDescent="0.25">
      <c r="A180" s="202"/>
      <c r="C180" s="154"/>
      <c r="F180" s="252"/>
      <c r="H180" s="252"/>
      <c r="I180" s="252"/>
      <c r="J180" s="320"/>
      <c r="K180" s="320"/>
      <c r="L180" s="200"/>
      <c r="M180" s="200"/>
      <c r="N180" s="210"/>
      <c r="O180" s="210"/>
      <c r="P180" s="200"/>
      <c r="Q180" s="200"/>
      <c r="R180" s="200"/>
      <c r="T180" s="154"/>
      <c r="V180" s="252"/>
      <c r="Y180" s="200"/>
      <c r="Z180" s="320"/>
      <c r="AA180" s="200"/>
      <c r="AB180" s="200"/>
      <c r="AC180" s="210"/>
      <c r="AD180" s="210"/>
      <c r="AE180" s="200"/>
      <c r="AF180" s="200"/>
      <c r="AG180" s="209"/>
      <c r="AH180" s="201"/>
      <c r="AI180" s="200"/>
      <c r="AJ180" s="200"/>
      <c r="AK180" s="209"/>
      <c r="AL180" s="200"/>
      <c r="AM180" s="210"/>
      <c r="AN180" s="210"/>
    </row>
    <row r="181" spans="1:40" x14ac:dyDescent="0.25">
      <c r="F181" s="211"/>
      <c r="H181" s="211"/>
      <c r="I181" s="211"/>
      <c r="J181" s="305"/>
      <c r="K181" s="305"/>
      <c r="L181" s="211"/>
      <c r="M181" s="211"/>
      <c r="N181" s="211"/>
      <c r="O181" s="211"/>
      <c r="P181" s="211"/>
      <c r="Q181" s="211"/>
      <c r="R181" s="211"/>
      <c r="V181" s="211"/>
      <c r="Y181" s="211"/>
      <c r="Z181" s="305"/>
      <c r="AA181" s="211"/>
      <c r="AB181" s="211"/>
      <c r="AC181" s="211"/>
      <c r="AD181" s="211"/>
      <c r="AE181" s="211"/>
      <c r="AF181" s="211"/>
      <c r="AI181" s="211"/>
      <c r="AJ181" s="211"/>
      <c r="AK181" s="212"/>
      <c r="AL181" s="211"/>
      <c r="AM181" s="210"/>
      <c r="AN181" s="210"/>
    </row>
    <row r="182" spans="1:40" x14ac:dyDescent="0.25">
      <c r="A182" s="202"/>
      <c r="C182" s="154"/>
      <c r="F182" s="200"/>
      <c r="H182" s="200"/>
      <c r="I182" s="200"/>
      <c r="J182" s="305"/>
      <c r="K182" s="305"/>
      <c r="L182" s="200"/>
      <c r="M182" s="200"/>
      <c r="N182" s="210"/>
      <c r="O182" s="210"/>
      <c r="P182" s="200"/>
      <c r="Q182" s="200"/>
      <c r="R182" s="200"/>
      <c r="S182" s="200"/>
      <c r="T182" s="154"/>
      <c r="V182" s="200"/>
      <c r="Y182" s="200"/>
      <c r="Z182" s="305"/>
      <c r="AA182" s="200"/>
      <c r="AB182" s="200"/>
      <c r="AC182" s="210"/>
      <c r="AD182" s="210"/>
      <c r="AE182" s="200"/>
      <c r="AF182" s="200"/>
      <c r="AG182" s="209"/>
      <c r="AH182" s="210"/>
      <c r="AI182" s="200"/>
      <c r="AJ182" s="200"/>
      <c r="AK182" s="209"/>
      <c r="AL182" s="200"/>
      <c r="AM182" s="210"/>
      <c r="AN182" s="210"/>
    </row>
    <row r="183" spans="1:40" x14ac:dyDescent="0.25">
      <c r="F183" s="211"/>
      <c r="H183" s="211"/>
      <c r="I183" s="211"/>
      <c r="J183" s="305"/>
      <c r="K183" s="305"/>
      <c r="L183" s="211"/>
      <c r="M183" s="211"/>
      <c r="N183" s="211"/>
      <c r="O183" s="211"/>
      <c r="P183" s="211"/>
      <c r="Q183" s="211"/>
      <c r="R183" s="211"/>
      <c r="S183" s="200"/>
      <c r="V183" s="211"/>
      <c r="Y183" s="211"/>
      <c r="Z183" s="305"/>
      <c r="AA183" s="211"/>
      <c r="AB183" s="211"/>
      <c r="AC183" s="211"/>
      <c r="AD183" s="211"/>
      <c r="AE183" s="211"/>
      <c r="AF183" s="211"/>
      <c r="AI183" s="211"/>
      <c r="AJ183" s="211"/>
      <c r="AK183" s="212"/>
      <c r="AL183" s="211"/>
      <c r="AM183" s="210"/>
      <c r="AN183" s="210"/>
    </row>
    <row r="184" spans="1:40" x14ac:dyDescent="0.25">
      <c r="A184" s="202"/>
      <c r="C184" s="154"/>
      <c r="T184" s="154"/>
    </row>
    <row r="185" spans="1:40" x14ac:dyDescent="0.25">
      <c r="A185" s="202"/>
      <c r="C185" s="154"/>
      <c r="F185" s="200"/>
      <c r="H185" s="200"/>
      <c r="I185" s="200"/>
      <c r="L185" s="200"/>
      <c r="M185" s="200"/>
      <c r="N185" s="210"/>
      <c r="O185" s="210"/>
      <c r="P185" s="252"/>
      <c r="Q185" s="252"/>
      <c r="R185" s="200"/>
      <c r="T185" s="154"/>
      <c r="V185" s="200"/>
      <c r="Y185" s="200"/>
      <c r="AA185" s="200"/>
      <c r="AB185" s="200"/>
      <c r="AC185" s="210"/>
      <c r="AD185" s="210"/>
      <c r="AE185" s="200"/>
      <c r="AF185" s="200"/>
      <c r="AG185" s="209"/>
      <c r="AH185" s="210"/>
      <c r="AI185" s="252"/>
      <c r="AJ185" s="252"/>
      <c r="AK185" s="209"/>
      <c r="AL185" s="200"/>
      <c r="AM185" s="210"/>
      <c r="AN185" s="210"/>
    </row>
    <row r="186" spans="1:40" x14ac:dyDescent="0.25">
      <c r="F186" s="211"/>
      <c r="H186" s="211"/>
      <c r="I186" s="211"/>
      <c r="J186" s="305"/>
      <c r="K186" s="305"/>
      <c r="L186" s="211"/>
      <c r="M186" s="211"/>
      <c r="N186" s="211"/>
      <c r="O186" s="211"/>
      <c r="P186" s="211"/>
      <c r="Q186" s="211"/>
      <c r="R186" s="211"/>
      <c r="V186" s="211"/>
      <c r="Y186" s="211"/>
      <c r="Z186" s="305"/>
      <c r="AA186" s="211"/>
      <c r="AB186" s="211"/>
      <c r="AC186" s="211"/>
      <c r="AD186" s="211"/>
      <c r="AE186" s="211"/>
      <c r="AF186" s="211"/>
      <c r="AI186" s="211"/>
      <c r="AJ186" s="211"/>
      <c r="AK186" s="212"/>
      <c r="AL186" s="211"/>
    </row>
    <row r="188" spans="1:40" x14ac:dyDescent="0.25">
      <c r="C188" s="154"/>
      <c r="L188" s="200"/>
      <c r="M188" s="200"/>
      <c r="N188" s="200"/>
      <c r="O188" s="200"/>
      <c r="P188" s="200"/>
      <c r="Q188" s="200"/>
      <c r="R188" s="200"/>
      <c r="S188" s="200"/>
      <c r="T188" s="154"/>
      <c r="AA188" s="200"/>
      <c r="AB188" s="200"/>
      <c r="AC188" s="200"/>
      <c r="AD188" s="200"/>
      <c r="AI188" s="200"/>
      <c r="AJ188" s="200"/>
      <c r="AK188" s="209"/>
      <c r="AL188" s="200"/>
    </row>
    <row r="189" spans="1:40" x14ac:dyDescent="0.25">
      <c r="A189" s="154"/>
    </row>
    <row r="190" spans="1:40" x14ac:dyDescent="0.25">
      <c r="J190" s="202"/>
      <c r="K190" s="202"/>
      <c r="Z190" s="202"/>
    </row>
    <row r="191" spans="1:40" x14ac:dyDescent="0.25">
      <c r="H191" s="154"/>
      <c r="I191" s="154"/>
      <c r="Y191" s="154"/>
    </row>
    <row r="192" spans="1:40" x14ac:dyDescent="0.25">
      <c r="J192" s="202"/>
      <c r="K192" s="202"/>
      <c r="Z192" s="202"/>
    </row>
    <row r="193" spans="1:40" x14ac:dyDescent="0.25">
      <c r="L193" s="154"/>
      <c r="M193" s="154"/>
      <c r="AA193" s="154"/>
      <c r="AB193" s="154"/>
    </row>
    <row r="194" spans="1:40" x14ac:dyDescent="0.25">
      <c r="A194" s="202"/>
      <c r="R194" s="154"/>
      <c r="AK194" s="297"/>
      <c r="AL194" s="154"/>
    </row>
    <row r="195" spans="1:40" x14ac:dyDescent="0.25">
      <c r="A195" s="202"/>
      <c r="R195" s="154"/>
      <c r="AK195" s="297"/>
      <c r="AL195" s="154"/>
    </row>
    <row r="196" spans="1:40" x14ac:dyDescent="0.25">
      <c r="A196" s="154"/>
      <c r="R196" s="154"/>
      <c r="AK196" s="297"/>
      <c r="AL196" s="154"/>
    </row>
    <row r="197" spans="1:40" x14ac:dyDescent="0.25">
      <c r="L197" s="154"/>
      <c r="M197" s="154"/>
      <c r="R197" s="202"/>
      <c r="AA197" s="154"/>
      <c r="AB197" s="154"/>
      <c r="AK197" s="209"/>
      <c r="AL197" s="202"/>
    </row>
    <row r="198" spans="1:40" x14ac:dyDescent="0.25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208"/>
      <c r="AH198" s="102"/>
      <c r="AI198" s="102"/>
      <c r="AJ198" s="102"/>
      <c r="AK198" s="208"/>
      <c r="AL198" s="102"/>
      <c r="AM198" s="102"/>
      <c r="AN198" s="102"/>
    </row>
    <row r="199" spans="1:40" x14ac:dyDescent="0.25">
      <c r="L199" s="103"/>
      <c r="M199" s="103"/>
      <c r="N199" s="103"/>
      <c r="O199" s="103"/>
      <c r="R199" s="103"/>
      <c r="AA199" s="103"/>
      <c r="AB199" s="103"/>
      <c r="AC199" s="103"/>
      <c r="AD199" s="103"/>
      <c r="AE199" s="103"/>
      <c r="AF199" s="103"/>
      <c r="AG199" s="185"/>
      <c r="AH199" s="103"/>
      <c r="AK199" s="185"/>
      <c r="AL199" s="103"/>
      <c r="AM199" s="103"/>
      <c r="AN199" s="103"/>
    </row>
    <row r="200" spans="1:40" x14ac:dyDescent="0.25">
      <c r="L200" s="103"/>
      <c r="M200" s="103"/>
      <c r="N200" s="103"/>
      <c r="O200" s="103"/>
      <c r="R200" s="103"/>
      <c r="Z200" s="103"/>
      <c r="AA200" s="103"/>
      <c r="AB200" s="103"/>
      <c r="AC200" s="103"/>
      <c r="AD200" s="103"/>
      <c r="AE200" s="103"/>
      <c r="AF200" s="103"/>
      <c r="AG200" s="185"/>
      <c r="AH200" s="103"/>
      <c r="AK200" s="185"/>
      <c r="AL200" s="103"/>
      <c r="AM200" s="103"/>
      <c r="AN200" s="103"/>
    </row>
    <row r="201" spans="1:40" x14ac:dyDescent="0.25">
      <c r="A201" s="103"/>
      <c r="C201" s="103"/>
      <c r="D201" s="103"/>
      <c r="E201" s="103"/>
      <c r="F201" s="103"/>
      <c r="J201" s="103"/>
      <c r="K201" s="103"/>
      <c r="L201" s="103"/>
      <c r="M201" s="103"/>
      <c r="N201" s="103"/>
      <c r="O201" s="103"/>
      <c r="P201" s="103"/>
      <c r="Q201" s="103"/>
      <c r="R201" s="103"/>
      <c r="T201" s="103"/>
      <c r="U201" s="103"/>
      <c r="V201" s="103"/>
      <c r="Z201" s="103"/>
      <c r="AA201" s="103"/>
      <c r="AB201" s="103"/>
      <c r="AC201" s="103"/>
      <c r="AD201" s="103"/>
      <c r="AE201" s="103"/>
      <c r="AF201" s="103"/>
      <c r="AG201" s="185"/>
      <c r="AH201" s="103"/>
      <c r="AI201" s="103"/>
      <c r="AJ201" s="103"/>
      <c r="AK201" s="185"/>
      <c r="AL201" s="103"/>
      <c r="AM201" s="103"/>
      <c r="AN201" s="103"/>
    </row>
    <row r="202" spans="1:40" x14ac:dyDescent="0.25">
      <c r="A202" s="103"/>
      <c r="C202" s="103"/>
      <c r="D202" s="103"/>
      <c r="E202" s="103"/>
      <c r="F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T202" s="103"/>
      <c r="U202" s="103"/>
      <c r="V202" s="103"/>
      <c r="Y202" s="103"/>
      <c r="Z202" s="103"/>
      <c r="AA202" s="103"/>
      <c r="AB202" s="103"/>
      <c r="AC202" s="103"/>
      <c r="AD202" s="103"/>
      <c r="AE202" s="103"/>
      <c r="AF202" s="103"/>
      <c r="AG202" s="185"/>
      <c r="AH202" s="103"/>
      <c r="AI202" s="103"/>
      <c r="AJ202" s="103"/>
      <c r="AK202" s="185"/>
      <c r="AL202" s="103"/>
      <c r="AM202" s="103"/>
      <c r="AN202" s="103"/>
    </row>
    <row r="203" spans="1:40" x14ac:dyDescent="0.25">
      <c r="C203" s="103"/>
      <c r="D203" s="103"/>
      <c r="E203" s="103"/>
      <c r="F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T203" s="103"/>
      <c r="U203" s="103"/>
      <c r="V203" s="103"/>
      <c r="Y203" s="103"/>
      <c r="Z203" s="103"/>
      <c r="AA203" s="103"/>
      <c r="AB203" s="103"/>
      <c r="AC203" s="103"/>
      <c r="AD203" s="103"/>
      <c r="AE203" s="103"/>
      <c r="AF203" s="103"/>
      <c r="AG203" s="185"/>
      <c r="AH203" s="103"/>
      <c r="AI203" s="103"/>
      <c r="AJ203" s="103"/>
      <c r="AK203" s="185"/>
      <c r="AL203" s="103"/>
      <c r="AM203" s="103"/>
      <c r="AN203" s="103"/>
    </row>
    <row r="204" spans="1:40" x14ac:dyDescent="0.25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208"/>
      <c r="AH204" s="102"/>
      <c r="AI204" s="102"/>
      <c r="AJ204" s="102"/>
      <c r="AK204" s="208"/>
      <c r="AL204" s="102"/>
      <c r="AM204" s="102"/>
      <c r="AN204" s="102"/>
    </row>
    <row r="205" spans="1:40" x14ac:dyDescent="0.25"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Y205" s="103"/>
      <c r="Z205" s="103"/>
      <c r="AA205" s="103"/>
      <c r="AB205" s="103"/>
      <c r="AC205" s="103"/>
      <c r="AD205" s="103"/>
      <c r="AE205" s="103"/>
      <c r="AF205" s="103"/>
      <c r="AG205" s="185"/>
      <c r="AH205" s="103"/>
      <c r="AI205" s="103"/>
      <c r="AJ205" s="103"/>
      <c r="AK205" s="185"/>
      <c r="AL205" s="103"/>
      <c r="AM205" s="103"/>
      <c r="AN205" s="103"/>
    </row>
    <row r="206" spans="1:40" x14ac:dyDescent="0.25">
      <c r="A206" s="202"/>
      <c r="C206" s="154"/>
      <c r="D206" s="154"/>
      <c r="E206" s="154"/>
      <c r="T206" s="154"/>
      <c r="U206" s="154"/>
    </row>
    <row r="207" spans="1:40" x14ac:dyDescent="0.25">
      <c r="A207" s="202"/>
      <c r="D207" s="154"/>
      <c r="E207" s="154"/>
      <c r="U207" s="154"/>
    </row>
    <row r="209" spans="1:40" x14ac:dyDescent="0.25">
      <c r="A209" s="202"/>
      <c r="C209" s="154"/>
      <c r="F209" s="252"/>
      <c r="H209" s="252"/>
      <c r="I209" s="252"/>
      <c r="J209" s="300"/>
      <c r="K209" s="300"/>
      <c r="L209" s="200"/>
      <c r="M209" s="200"/>
      <c r="N209" s="210"/>
      <c r="O209" s="210"/>
      <c r="R209" s="200"/>
      <c r="T209" s="154"/>
      <c r="V209" s="200"/>
      <c r="Y209" s="252"/>
      <c r="Z209" s="300"/>
      <c r="AA209" s="200"/>
      <c r="AB209" s="200"/>
      <c r="AC209" s="210"/>
      <c r="AD209" s="210"/>
      <c r="AE209" s="200"/>
      <c r="AF209" s="200"/>
      <c r="AG209" s="325"/>
      <c r="AH209" s="326"/>
      <c r="AK209" s="209"/>
      <c r="AL209" s="200"/>
      <c r="AM209" s="327"/>
      <c r="AN209" s="327"/>
    </row>
    <row r="210" spans="1:40" x14ac:dyDescent="0.25">
      <c r="A210" s="202"/>
      <c r="C210" s="154"/>
      <c r="F210" s="252"/>
      <c r="H210" s="252"/>
      <c r="I210" s="252"/>
      <c r="J210" s="300"/>
      <c r="K210" s="300"/>
      <c r="L210" s="200"/>
      <c r="M210" s="200"/>
      <c r="N210" s="210"/>
      <c r="O210" s="210"/>
      <c r="P210" s="202"/>
      <c r="Q210" s="202"/>
      <c r="R210" s="200"/>
      <c r="T210" s="154"/>
      <c r="V210" s="200"/>
      <c r="Y210" s="252"/>
      <c r="Z210" s="300"/>
      <c r="AA210" s="200"/>
      <c r="AB210" s="200"/>
      <c r="AC210" s="210"/>
      <c r="AD210" s="210"/>
      <c r="AE210" s="200"/>
      <c r="AF210" s="200"/>
      <c r="AG210" s="209"/>
      <c r="AH210" s="201"/>
      <c r="AI210" s="202"/>
      <c r="AJ210" s="202"/>
      <c r="AK210" s="209"/>
      <c r="AL210" s="200"/>
      <c r="AM210" s="210"/>
      <c r="AN210" s="210"/>
    </row>
    <row r="211" spans="1:40" x14ac:dyDescent="0.25">
      <c r="F211" s="211"/>
      <c r="H211" s="200"/>
      <c r="I211" s="200"/>
      <c r="J211" s="305"/>
      <c r="K211" s="305"/>
      <c r="L211" s="211"/>
      <c r="M211" s="211"/>
      <c r="N211" s="211"/>
      <c r="O211" s="211"/>
      <c r="P211" s="211"/>
      <c r="Q211" s="211"/>
      <c r="R211" s="211"/>
      <c r="V211" s="211"/>
      <c r="Y211" s="200"/>
      <c r="Z211" s="305"/>
      <c r="AA211" s="211"/>
      <c r="AB211" s="211"/>
      <c r="AC211" s="211"/>
      <c r="AD211" s="211"/>
      <c r="AE211" s="211"/>
      <c r="AF211" s="211"/>
      <c r="AI211" s="211"/>
      <c r="AJ211" s="211"/>
      <c r="AK211" s="212"/>
      <c r="AL211" s="211"/>
      <c r="AM211" s="210"/>
      <c r="AN211" s="210"/>
    </row>
    <row r="212" spans="1:40" x14ac:dyDescent="0.25">
      <c r="A212" s="202"/>
      <c r="C212" s="154"/>
      <c r="F212" s="200"/>
      <c r="H212" s="200"/>
      <c r="I212" s="200"/>
      <c r="J212" s="305"/>
      <c r="K212" s="305"/>
      <c r="L212" s="200"/>
      <c r="M212" s="200"/>
      <c r="N212" s="210"/>
      <c r="O212" s="210"/>
      <c r="P212" s="200"/>
      <c r="Q212" s="200"/>
      <c r="R212" s="200"/>
      <c r="T212" s="154"/>
      <c r="V212" s="200"/>
      <c r="Y212" s="200"/>
      <c r="Z212" s="213"/>
      <c r="AA212" s="200"/>
      <c r="AB212" s="200"/>
      <c r="AC212" s="210"/>
      <c r="AD212" s="210"/>
      <c r="AE212" s="200"/>
      <c r="AF212" s="200"/>
      <c r="AG212" s="209"/>
      <c r="AH212" s="201"/>
      <c r="AI212" s="200"/>
      <c r="AJ212" s="200"/>
      <c r="AK212" s="209"/>
      <c r="AL212" s="200"/>
      <c r="AM212" s="210"/>
      <c r="AN212" s="210"/>
    </row>
    <row r="213" spans="1:40" x14ac:dyDescent="0.25">
      <c r="F213" s="211"/>
      <c r="H213" s="200"/>
      <c r="I213" s="200"/>
      <c r="J213" s="305"/>
      <c r="K213" s="305"/>
      <c r="L213" s="211"/>
      <c r="M213" s="211"/>
      <c r="N213" s="211"/>
      <c r="O213" s="211"/>
      <c r="P213" s="211"/>
      <c r="Q213" s="211"/>
      <c r="R213" s="211"/>
      <c r="V213" s="211"/>
      <c r="Y213" s="200"/>
      <c r="Z213" s="305"/>
      <c r="AA213" s="211"/>
      <c r="AB213" s="211"/>
      <c r="AC213" s="211"/>
      <c r="AD213" s="211"/>
      <c r="AE213" s="211"/>
      <c r="AF213" s="211"/>
      <c r="AI213" s="211"/>
      <c r="AJ213" s="211"/>
      <c r="AK213" s="212"/>
      <c r="AL213" s="211"/>
      <c r="AM213" s="210"/>
      <c r="AN213" s="210"/>
    </row>
    <row r="214" spans="1:40" x14ac:dyDescent="0.25">
      <c r="F214" s="200"/>
      <c r="H214" s="200"/>
      <c r="I214" s="200"/>
      <c r="J214" s="305"/>
      <c r="K214" s="305"/>
      <c r="L214" s="200"/>
      <c r="M214" s="200"/>
      <c r="N214" s="210"/>
      <c r="O214" s="210"/>
      <c r="P214" s="200"/>
      <c r="Q214" s="200"/>
      <c r="R214" s="200"/>
      <c r="V214" s="200"/>
      <c r="Y214" s="200"/>
      <c r="Z214" s="213"/>
      <c r="AA214" s="200"/>
      <c r="AB214" s="200"/>
      <c r="AC214" s="210"/>
      <c r="AD214" s="210"/>
      <c r="AE214" s="200"/>
      <c r="AF214" s="200"/>
      <c r="AG214" s="209"/>
      <c r="AH214" s="201"/>
      <c r="AI214" s="200"/>
      <c r="AJ214" s="200"/>
      <c r="AK214" s="209"/>
      <c r="AL214" s="200"/>
      <c r="AM214" s="210"/>
      <c r="AN214" s="210"/>
    </row>
    <row r="215" spans="1:40" x14ac:dyDescent="0.25">
      <c r="A215" s="202"/>
      <c r="C215" s="154"/>
      <c r="F215" s="252"/>
      <c r="H215" s="252"/>
      <c r="I215" s="252"/>
      <c r="J215" s="300"/>
      <c r="K215" s="300"/>
      <c r="L215" s="200"/>
      <c r="M215" s="200"/>
      <c r="N215" s="210"/>
      <c r="O215" s="210"/>
      <c r="P215" s="200"/>
      <c r="Q215" s="200"/>
      <c r="R215" s="200"/>
      <c r="T215" s="154"/>
      <c r="V215" s="252"/>
      <c r="Y215" s="200"/>
      <c r="Z215" s="300"/>
      <c r="AA215" s="200"/>
      <c r="AB215" s="200"/>
      <c r="AC215" s="210"/>
      <c r="AD215" s="210"/>
      <c r="AE215" s="200"/>
      <c r="AF215" s="200"/>
      <c r="AG215" s="325"/>
      <c r="AH215" s="326"/>
      <c r="AI215" s="200"/>
      <c r="AJ215" s="200"/>
      <c r="AK215" s="209"/>
      <c r="AL215" s="200"/>
      <c r="AM215" s="327"/>
      <c r="AN215" s="327"/>
    </row>
    <row r="216" spans="1:40" x14ac:dyDescent="0.25">
      <c r="A216" s="202"/>
      <c r="C216" s="154"/>
      <c r="F216" s="252"/>
      <c r="H216" s="252"/>
      <c r="I216" s="252"/>
      <c r="J216" s="300"/>
      <c r="K216" s="300"/>
      <c r="L216" s="200"/>
      <c r="M216" s="200"/>
      <c r="N216" s="210"/>
      <c r="O216" s="210"/>
      <c r="P216" s="200"/>
      <c r="Q216" s="200"/>
      <c r="R216" s="200"/>
      <c r="T216" s="154"/>
      <c r="V216" s="252"/>
      <c r="Y216" s="200"/>
      <c r="Z216" s="300"/>
      <c r="AA216" s="200"/>
      <c r="AB216" s="200"/>
      <c r="AC216" s="210"/>
      <c r="AD216" s="210"/>
      <c r="AE216" s="200"/>
      <c r="AF216" s="200"/>
      <c r="AG216" s="209"/>
      <c r="AH216" s="201"/>
      <c r="AI216" s="200"/>
      <c r="AJ216" s="200"/>
      <c r="AK216" s="209"/>
      <c r="AL216" s="200"/>
      <c r="AM216" s="210"/>
      <c r="AN216" s="210"/>
    </row>
    <row r="217" spans="1:40" x14ac:dyDescent="0.25">
      <c r="F217" s="200"/>
      <c r="H217" s="211"/>
      <c r="I217" s="211"/>
      <c r="J217" s="305"/>
      <c r="K217" s="305"/>
      <c r="L217" s="211"/>
      <c r="M217" s="211"/>
      <c r="N217" s="211"/>
      <c r="O217" s="211"/>
      <c r="P217" s="211"/>
      <c r="Q217" s="211"/>
      <c r="R217" s="211"/>
      <c r="V217" s="200"/>
      <c r="Y217" s="211"/>
      <c r="Z217" s="305"/>
      <c r="AA217" s="211"/>
      <c r="AB217" s="211"/>
      <c r="AC217" s="211"/>
      <c r="AD217" s="211"/>
      <c r="AE217" s="211"/>
      <c r="AF217" s="211"/>
      <c r="AI217" s="211"/>
      <c r="AJ217" s="211"/>
      <c r="AK217" s="212"/>
      <c r="AL217" s="211"/>
      <c r="AM217" s="210"/>
      <c r="AN217" s="210"/>
    </row>
    <row r="218" spans="1:40" x14ac:dyDescent="0.25">
      <c r="A218" s="202"/>
      <c r="C218" s="154"/>
      <c r="F218" s="200"/>
      <c r="H218" s="200"/>
      <c r="I218" s="200"/>
      <c r="J218" s="305"/>
      <c r="K218" s="305"/>
      <c r="L218" s="200"/>
      <c r="M218" s="200"/>
      <c r="N218" s="210"/>
      <c r="O218" s="210"/>
      <c r="P218" s="200"/>
      <c r="Q218" s="200"/>
      <c r="R218" s="200"/>
      <c r="T218" s="154"/>
      <c r="V218" s="200"/>
      <c r="Y218" s="200"/>
      <c r="Z218" s="305"/>
      <c r="AA218" s="200"/>
      <c r="AB218" s="200"/>
      <c r="AC218" s="210"/>
      <c r="AD218" s="210"/>
      <c r="AE218" s="200"/>
      <c r="AF218" s="200"/>
      <c r="AG218" s="209"/>
      <c r="AH218" s="201"/>
      <c r="AI218" s="200"/>
      <c r="AJ218" s="200"/>
      <c r="AK218" s="209"/>
      <c r="AL218" s="200"/>
      <c r="AM218" s="210"/>
      <c r="AN218" s="210"/>
    </row>
    <row r="219" spans="1:40" x14ac:dyDescent="0.25">
      <c r="F219" s="200"/>
      <c r="H219" s="211"/>
      <c r="I219" s="211"/>
      <c r="J219" s="305"/>
      <c r="K219" s="305"/>
      <c r="L219" s="211"/>
      <c r="M219" s="211"/>
      <c r="N219" s="211"/>
      <c r="O219" s="211"/>
      <c r="P219" s="211"/>
      <c r="Q219" s="211"/>
      <c r="R219" s="211"/>
      <c r="V219" s="200"/>
      <c r="Y219" s="211"/>
      <c r="Z219" s="305"/>
      <c r="AA219" s="211"/>
      <c r="AB219" s="211"/>
      <c r="AC219" s="211"/>
      <c r="AD219" s="211"/>
      <c r="AE219" s="211"/>
      <c r="AF219" s="211"/>
      <c r="AI219" s="211"/>
      <c r="AJ219" s="211"/>
      <c r="AK219" s="212"/>
      <c r="AL219" s="211"/>
      <c r="AM219" s="210"/>
      <c r="AN219" s="210"/>
    </row>
    <row r="220" spans="1:40" x14ac:dyDescent="0.25">
      <c r="F220" s="200"/>
      <c r="H220" s="200"/>
      <c r="I220" s="200"/>
      <c r="J220" s="305"/>
      <c r="K220" s="305"/>
      <c r="L220" s="200"/>
      <c r="M220" s="200"/>
      <c r="N220" s="200"/>
      <c r="O220" s="200"/>
      <c r="P220" s="200"/>
      <c r="Q220" s="200"/>
      <c r="R220" s="200"/>
      <c r="V220" s="200"/>
      <c r="Y220" s="200"/>
      <c r="Z220" s="305"/>
      <c r="AA220" s="200"/>
      <c r="AB220" s="200"/>
      <c r="AC220" s="200"/>
      <c r="AD220" s="200"/>
      <c r="AE220" s="200"/>
      <c r="AF220" s="200"/>
      <c r="AG220" s="209"/>
      <c r="AH220" s="201"/>
      <c r="AI220" s="200"/>
      <c r="AJ220" s="200"/>
      <c r="AK220" s="209"/>
      <c r="AL220" s="200"/>
      <c r="AM220" s="210"/>
      <c r="AN220" s="210"/>
    </row>
    <row r="221" spans="1:40" x14ac:dyDescent="0.25">
      <c r="A221" s="202"/>
      <c r="C221" s="154"/>
      <c r="F221" s="252"/>
      <c r="H221" s="252"/>
      <c r="I221" s="252"/>
      <c r="J221" s="320"/>
      <c r="K221" s="320"/>
      <c r="L221" s="200"/>
      <c r="M221" s="200"/>
      <c r="N221" s="210"/>
      <c r="O221" s="210"/>
      <c r="P221" s="252"/>
      <c r="Q221" s="252"/>
      <c r="R221" s="200"/>
      <c r="T221" s="154"/>
      <c r="V221" s="252"/>
      <c r="Y221" s="252"/>
      <c r="Z221" s="328"/>
      <c r="AA221" s="200"/>
      <c r="AB221" s="200"/>
      <c r="AC221" s="210"/>
      <c r="AD221" s="210"/>
      <c r="AE221" s="200"/>
      <c r="AF221" s="200"/>
      <c r="AG221" s="209"/>
      <c r="AH221" s="201"/>
      <c r="AI221" s="252"/>
      <c r="AJ221" s="252"/>
      <c r="AK221" s="209"/>
      <c r="AL221" s="200"/>
      <c r="AM221" s="210"/>
      <c r="AN221" s="210"/>
    </row>
    <row r="222" spans="1:40" x14ac:dyDescent="0.25">
      <c r="A222" s="202"/>
      <c r="C222" s="154"/>
      <c r="F222" s="252"/>
      <c r="H222" s="252"/>
      <c r="I222" s="252"/>
      <c r="J222" s="320"/>
      <c r="K222" s="320"/>
      <c r="L222" s="200"/>
      <c r="M222" s="200"/>
      <c r="N222" s="210"/>
      <c r="O222" s="210"/>
      <c r="P222" s="252"/>
      <c r="Q222" s="252"/>
      <c r="R222" s="200"/>
      <c r="T222" s="154"/>
      <c r="V222" s="252"/>
      <c r="Y222" s="200"/>
      <c r="Z222" s="304"/>
      <c r="AA222" s="200"/>
      <c r="AB222" s="200"/>
      <c r="AC222" s="210"/>
      <c r="AD222" s="210"/>
      <c r="AE222" s="200"/>
      <c r="AF222" s="200"/>
      <c r="AG222" s="209"/>
      <c r="AH222" s="201"/>
      <c r="AI222" s="252"/>
      <c r="AJ222" s="252"/>
      <c r="AK222" s="209"/>
      <c r="AL222" s="200"/>
      <c r="AM222" s="210"/>
      <c r="AN222" s="210"/>
    </row>
    <row r="223" spans="1:40" x14ac:dyDescent="0.25">
      <c r="A223" s="202"/>
      <c r="C223" s="154"/>
      <c r="F223" s="252"/>
      <c r="H223" s="252"/>
      <c r="I223" s="252"/>
      <c r="J223" s="320"/>
      <c r="K223" s="320"/>
      <c r="L223" s="200"/>
      <c r="M223" s="200"/>
      <c r="N223" s="210"/>
      <c r="O223" s="210"/>
      <c r="P223" s="252"/>
      <c r="Q223" s="252"/>
      <c r="R223" s="200"/>
      <c r="T223" s="154"/>
      <c r="V223" s="252"/>
      <c r="Y223" s="200"/>
      <c r="Z223" s="304"/>
      <c r="AA223" s="200"/>
      <c r="AB223" s="200"/>
      <c r="AC223" s="210"/>
      <c r="AD223" s="210"/>
      <c r="AE223" s="200"/>
      <c r="AF223" s="200"/>
      <c r="AG223" s="209"/>
      <c r="AH223" s="201"/>
      <c r="AI223" s="252"/>
      <c r="AJ223" s="252"/>
      <c r="AK223" s="209"/>
      <c r="AL223" s="200"/>
      <c r="AM223" s="210"/>
      <c r="AN223" s="210"/>
    </row>
    <row r="224" spans="1:40" x14ac:dyDescent="0.25">
      <c r="F224" s="211"/>
      <c r="H224" s="211"/>
      <c r="I224" s="211"/>
      <c r="J224" s="305"/>
      <c r="K224" s="305"/>
      <c r="L224" s="211"/>
      <c r="M224" s="211"/>
      <c r="N224" s="211"/>
      <c r="O224" s="211"/>
      <c r="P224" s="211"/>
      <c r="Q224" s="211"/>
      <c r="R224" s="211"/>
      <c r="V224" s="211"/>
      <c r="Y224" s="211"/>
      <c r="Z224" s="305"/>
      <c r="AA224" s="211"/>
      <c r="AB224" s="211"/>
      <c r="AC224" s="211"/>
      <c r="AD224" s="211"/>
      <c r="AE224" s="211"/>
      <c r="AF224" s="211"/>
      <c r="AI224" s="211"/>
      <c r="AJ224" s="211"/>
      <c r="AK224" s="212"/>
      <c r="AL224" s="211"/>
      <c r="AM224" s="210"/>
      <c r="AN224" s="210"/>
    </row>
    <row r="225" spans="1:40" x14ac:dyDescent="0.25">
      <c r="A225" s="202"/>
      <c r="C225" s="154"/>
      <c r="F225" s="200"/>
      <c r="H225" s="200"/>
      <c r="I225" s="200"/>
      <c r="J225" s="213"/>
      <c r="K225" s="213"/>
      <c r="L225" s="200"/>
      <c r="M225" s="200"/>
      <c r="N225" s="210"/>
      <c r="O225" s="210"/>
      <c r="P225" s="200"/>
      <c r="Q225" s="200"/>
      <c r="R225" s="200"/>
      <c r="T225" s="154"/>
      <c r="V225" s="200"/>
      <c r="Y225" s="200"/>
      <c r="Z225" s="213"/>
      <c r="AA225" s="200"/>
      <c r="AB225" s="200"/>
      <c r="AC225" s="210"/>
      <c r="AD225" s="210"/>
      <c r="AE225" s="200"/>
      <c r="AF225" s="200"/>
      <c r="AG225" s="209"/>
      <c r="AH225" s="201"/>
      <c r="AI225" s="200"/>
      <c r="AJ225" s="200"/>
      <c r="AK225" s="209"/>
      <c r="AL225" s="200"/>
      <c r="AM225" s="210"/>
      <c r="AN225" s="210"/>
    </row>
    <row r="226" spans="1:40" x14ac:dyDescent="0.25">
      <c r="F226" s="211"/>
      <c r="H226" s="211"/>
      <c r="I226" s="211"/>
      <c r="J226" s="305"/>
      <c r="K226" s="305"/>
      <c r="L226" s="211"/>
      <c r="M226" s="211"/>
      <c r="N226" s="211"/>
      <c r="O226" s="211"/>
      <c r="P226" s="211"/>
      <c r="Q226" s="211"/>
      <c r="R226" s="211"/>
      <c r="V226" s="211"/>
      <c r="Y226" s="211"/>
      <c r="Z226" s="305"/>
      <c r="AA226" s="211"/>
      <c r="AB226" s="211"/>
      <c r="AC226" s="211"/>
      <c r="AD226" s="211"/>
      <c r="AE226" s="211"/>
      <c r="AF226" s="211"/>
      <c r="AI226" s="211"/>
      <c r="AJ226" s="211"/>
      <c r="AK226" s="212"/>
      <c r="AL226" s="211"/>
      <c r="AM226" s="210"/>
      <c r="AN226" s="210"/>
    </row>
    <row r="227" spans="1:40" x14ac:dyDescent="0.25">
      <c r="A227" s="202"/>
      <c r="C227" s="154"/>
      <c r="F227" s="200"/>
      <c r="H227" s="200"/>
      <c r="I227" s="200"/>
      <c r="J227" s="213"/>
      <c r="K227" s="213"/>
      <c r="L227" s="200"/>
      <c r="M227" s="200"/>
      <c r="N227" s="210"/>
      <c r="O227" s="210"/>
      <c r="P227" s="200"/>
      <c r="Q227" s="200"/>
      <c r="R227" s="200"/>
      <c r="T227" s="154"/>
      <c r="V227" s="200"/>
      <c r="Y227" s="200"/>
      <c r="Z227" s="213"/>
      <c r="AA227" s="200"/>
      <c r="AB227" s="200"/>
      <c r="AC227" s="210"/>
      <c r="AD227" s="210"/>
      <c r="AE227" s="200"/>
      <c r="AF227" s="200"/>
      <c r="AG227" s="209"/>
      <c r="AH227" s="201"/>
      <c r="AI227" s="200"/>
      <c r="AJ227" s="200"/>
      <c r="AK227" s="209"/>
      <c r="AL227" s="200"/>
      <c r="AM227" s="210"/>
      <c r="AN227" s="210"/>
    </row>
    <row r="228" spans="1:40" x14ac:dyDescent="0.25">
      <c r="A228" s="202"/>
      <c r="C228" s="154"/>
      <c r="F228" s="200"/>
      <c r="H228" s="200"/>
      <c r="I228" s="200"/>
      <c r="J228" s="213"/>
      <c r="K228" s="213"/>
      <c r="L228" s="200"/>
      <c r="M228" s="200"/>
      <c r="N228" s="210"/>
      <c r="O228" s="210"/>
      <c r="P228" s="200"/>
      <c r="Q228" s="200"/>
      <c r="R228" s="200"/>
      <c r="T228" s="154"/>
      <c r="V228" s="200"/>
      <c r="Y228" s="200"/>
      <c r="Z228" s="213"/>
      <c r="AA228" s="200"/>
      <c r="AB228" s="200"/>
      <c r="AC228" s="210"/>
      <c r="AD228" s="210"/>
      <c r="AE228" s="200"/>
      <c r="AF228" s="200"/>
      <c r="AG228" s="209"/>
      <c r="AH228" s="201"/>
      <c r="AI228" s="200"/>
      <c r="AJ228" s="200"/>
      <c r="AK228" s="209"/>
      <c r="AL228" s="200"/>
      <c r="AM228" s="210"/>
      <c r="AN228" s="210"/>
    </row>
    <row r="229" spans="1:40" x14ac:dyDescent="0.25">
      <c r="F229" s="211"/>
      <c r="H229" s="211"/>
      <c r="I229" s="211"/>
      <c r="J229" s="305"/>
      <c r="K229" s="305"/>
      <c r="L229" s="211"/>
      <c r="M229" s="211"/>
      <c r="N229" s="211"/>
      <c r="O229" s="211"/>
      <c r="P229" s="211"/>
      <c r="Q229" s="211"/>
      <c r="R229" s="211"/>
      <c r="V229" s="211"/>
      <c r="Y229" s="211"/>
      <c r="Z229" s="305"/>
      <c r="AA229" s="211"/>
      <c r="AB229" s="211"/>
      <c r="AC229" s="211"/>
      <c r="AD229" s="211"/>
      <c r="AE229" s="211"/>
      <c r="AF229" s="211"/>
      <c r="AI229" s="211"/>
      <c r="AJ229" s="211"/>
      <c r="AK229" s="212"/>
      <c r="AL229" s="211"/>
      <c r="AM229" s="200"/>
      <c r="AN229" s="200"/>
    </row>
    <row r="230" spans="1:40" x14ac:dyDescent="0.25">
      <c r="F230" s="200"/>
      <c r="H230" s="200"/>
      <c r="I230" s="200"/>
      <c r="J230" s="213"/>
      <c r="K230" s="213"/>
      <c r="L230" s="200"/>
      <c r="M230" s="200"/>
      <c r="N230" s="200"/>
      <c r="O230" s="200"/>
      <c r="P230" s="200"/>
      <c r="Q230" s="200"/>
      <c r="R230" s="200"/>
      <c r="V230" s="200"/>
      <c r="Y230" s="200"/>
      <c r="Z230" s="213"/>
      <c r="AA230" s="200"/>
      <c r="AB230" s="200"/>
      <c r="AC230" s="200"/>
      <c r="AD230" s="200"/>
    </row>
    <row r="231" spans="1:40" x14ac:dyDescent="0.25">
      <c r="C231" s="154"/>
      <c r="F231" s="200"/>
      <c r="H231" s="200"/>
      <c r="I231" s="200"/>
      <c r="J231" s="213"/>
      <c r="K231" s="213"/>
      <c r="L231" s="200"/>
      <c r="M231" s="200"/>
      <c r="N231" s="200"/>
      <c r="O231" s="200"/>
      <c r="P231" s="200"/>
      <c r="Q231" s="200"/>
      <c r="R231" s="200"/>
      <c r="T231" s="154"/>
      <c r="V231" s="200"/>
      <c r="Y231" s="200"/>
      <c r="Z231" s="213"/>
      <c r="AA231" s="200"/>
      <c r="AB231" s="200"/>
      <c r="AC231" s="200"/>
      <c r="AD231" s="200"/>
    </row>
    <row r="232" spans="1:40" x14ac:dyDescent="0.25">
      <c r="A232" s="154"/>
    </row>
    <row r="233" spans="1:40" x14ac:dyDescent="0.25">
      <c r="J233" s="202"/>
      <c r="K233" s="202"/>
      <c r="Z233" s="202"/>
    </row>
    <row r="234" spans="1:40" x14ac:dyDescent="0.25">
      <c r="H234" s="154"/>
      <c r="I234" s="154"/>
      <c r="Y234" s="154"/>
    </row>
    <row r="235" spans="1:40" x14ac:dyDescent="0.25">
      <c r="J235" s="202"/>
      <c r="K235" s="202"/>
      <c r="Z235" s="202"/>
    </row>
    <row r="236" spans="1:40" x14ac:dyDescent="0.25">
      <c r="L236" s="154"/>
      <c r="M236" s="154"/>
      <c r="AA236" s="154"/>
      <c r="AB236" s="154"/>
    </row>
    <row r="237" spans="1:40" x14ac:dyDescent="0.25">
      <c r="A237" s="202"/>
      <c r="R237" s="154"/>
      <c r="AK237" s="297"/>
      <c r="AL237" s="154"/>
    </row>
    <row r="238" spans="1:40" x14ac:dyDescent="0.25">
      <c r="A238" s="202"/>
      <c r="R238" s="154"/>
      <c r="AK238" s="297"/>
      <c r="AL238" s="154"/>
    </row>
    <row r="239" spans="1:40" x14ac:dyDescent="0.25">
      <c r="A239" s="154"/>
      <c r="R239" s="154"/>
      <c r="AK239" s="297"/>
      <c r="AL239" s="154"/>
    </row>
    <row r="240" spans="1:40" x14ac:dyDescent="0.25">
      <c r="L240" s="154"/>
      <c r="M240" s="154"/>
      <c r="R240" s="202"/>
      <c r="AA240" s="154"/>
      <c r="AB240" s="154"/>
      <c r="AK240" s="209"/>
      <c r="AL240" s="202"/>
    </row>
    <row r="241" spans="1:40" x14ac:dyDescent="0.2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208"/>
      <c r="AH241" s="102"/>
      <c r="AI241" s="102"/>
      <c r="AJ241" s="102"/>
      <c r="AK241" s="208"/>
      <c r="AL241" s="102"/>
      <c r="AM241" s="102"/>
      <c r="AN241" s="102"/>
    </row>
    <row r="242" spans="1:40" x14ac:dyDescent="0.25">
      <c r="L242" s="103"/>
      <c r="M242" s="103"/>
      <c r="N242" s="103"/>
      <c r="O242" s="103"/>
      <c r="R242" s="103"/>
      <c r="AA242" s="103"/>
      <c r="AB242" s="103"/>
      <c r="AC242" s="103"/>
      <c r="AD242" s="103"/>
      <c r="AE242" s="103"/>
      <c r="AF242" s="103"/>
      <c r="AG242" s="185"/>
      <c r="AH242" s="103"/>
      <c r="AK242" s="185"/>
      <c r="AL242" s="103"/>
      <c r="AM242" s="103"/>
      <c r="AN242" s="103"/>
    </row>
    <row r="243" spans="1:40" x14ac:dyDescent="0.25">
      <c r="L243" s="103"/>
      <c r="M243" s="103"/>
      <c r="N243" s="103"/>
      <c r="O243" s="103"/>
      <c r="R243" s="103"/>
      <c r="Z243" s="103"/>
      <c r="AA243" s="103"/>
      <c r="AB243" s="103"/>
      <c r="AC243" s="103"/>
      <c r="AD243" s="103"/>
      <c r="AE243" s="103"/>
      <c r="AF243" s="103"/>
      <c r="AG243" s="185"/>
      <c r="AH243" s="103"/>
      <c r="AK243" s="185"/>
      <c r="AL243" s="103"/>
      <c r="AM243" s="103"/>
      <c r="AN243" s="103"/>
    </row>
    <row r="244" spans="1:40" x14ac:dyDescent="0.25">
      <c r="A244" s="103"/>
      <c r="C244" s="103"/>
      <c r="D244" s="103"/>
      <c r="E244" s="103"/>
      <c r="F244" s="103"/>
      <c r="J244" s="103"/>
      <c r="K244" s="103"/>
      <c r="L244" s="103"/>
      <c r="M244" s="103"/>
      <c r="N244" s="103"/>
      <c r="O244" s="103"/>
      <c r="P244" s="103"/>
      <c r="Q244" s="103"/>
      <c r="R244" s="103"/>
      <c r="T244" s="103"/>
      <c r="U244" s="103"/>
      <c r="V244" s="103"/>
      <c r="Z244" s="103"/>
      <c r="AA244" s="103"/>
      <c r="AB244" s="103"/>
      <c r="AC244" s="103"/>
      <c r="AD244" s="103"/>
      <c r="AE244" s="103"/>
      <c r="AF244" s="103"/>
      <c r="AG244" s="185"/>
      <c r="AH244" s="103"/>
      <c r="AI244" s="103"/>
      <c r="AJ244" s="103"/>
      <c r="AK244" s="185"/>
      <c r="AL244" s="103"/>
      <c r="AM244" s="103"/>
      <c r="AN244" s="103"/>
    </row>
    <row r="245" spans="1:40" x14ac:dyDescent="0.25">
      <c r="A245" s="103"/>
      <c r="C245" s="103"/>
      <c r="D245" s="103"/>
      <c r="E245" s="103"/>
      <c r="F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T245" s="103"/>
      <c r="U245" s="103"/>
      <c r="V245" s="103"/>
      <c r="Y245" s="103"/>
      <c r="Z245" s="103"/>
      <c r="AA245" s="103"/>
      <c r="AB245" s="103"/>
      <c r="AC245" s="103"/>
      <c r="AD245" s="103"/>
      <c r="AE245" s="103"/>
      <c r="AF245" s="103"/>
      <c r="AG245" s="185"/>
      <c r="AH245" s="103"/>
      <c r="AI245" s="103"/>
      <c r="AJ245" s="103"/>
      <c r="AK245" s="185"/>
      <c r="AL245" s="103"/>
      <c r="AM245" s="103"/>
      <c r="AN245" s="103"/>
    </row>
    <row r="246" spans="1:40" x14ac:dyDescent="0.25">
      <c r="C246" s="103"/>
      <c r="D246" s="103"/>
      <c r="E246" s="103"/>
      <c r="F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T246" s="103"/>
      <c r="U246" s="103"/>
      <c r="V246" s="103"/>
      <c r="Y246" s="103"/>
      <c r="Z246" s="103"/>
      <c r="AA246" s="103"/>
      <c r="AB246" s="103"/>
      <c r="AC246" s="103"/>
      <c r="AD246" s="103"/>
      <c r="AE246" s="103"/>
      <c r="AF246" s="103"/>
      <c r="AG246" s="185"/>
      <c r="AH246" s="103"/>
      <c r="AI246" s="103"/>
      <c r="AJ246" s="103"/>
      <c r="AK246" s="185"/>
      <c r="AL246" s="103"/>
      <c r="AM246" s="103"/>
      <c r="AN246" s="103"/>
    </row>
    <row r="247" spans="1:40" x14ac:dyDescent="0.2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208"/>
      <c r="AH247" s="102"/>
      <c r="AI247" s="102"/>
      <c r="AJ247" s="102"/>
      <c r="AK247" s="208"/>
      <c r="AL247" s="102"/>
      <c r="AM247" s="102"/>
      <c r="AN247" s="102"/>
    </row>
    <row r="248" spans="1:40" x14ac:dyDescent="0.25"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Y248" s="103"/>
      <c r="Z248" s="103"/>
      <c r="AA248" s="103"/>
      <c r="AB248" s="103"/>
      <c r="AC248" s="103"/>
      <c r="AD248" s="103"/>
      <c r="AE248" s="103"/>
      <c r="AF248" s="103"/>
      <c r="AG248" s="185"/>
      <c r="AH248" s="103"/>
      <c r="AI248" s="103"/>
      <c r="AJ248" s="103"/>
      <c r="AK248" s="185"/>
      <c r="AL248" s="103"/>
      <c r="AM248" s="103"/>
      <c r="AN248" s="103"/>
    </row>
    <row r="249" spans="1:40" x14ac:dyDescent="0.25">
      <c r="A249" s="202"/>
      <c r="C249" s="154"/>
      <c r="D249" s="154"/>
      <c r="E249" s="154"/>
      <c r="T249" s="154"/>
      <c r="U249" s="154"/>
    </row>
    <row r="251" spans="1:40" x14ac:dyDescent="0.25">
      <c r="A251" s="202"/>
      <c r="C251" s="154"/>
      <c r="F251" s="252"/>
      <c r="H251" s="317"/>
      <c r="I251" s="317"/>
      <c r="J251" s="300"/>
      <c r="K251" s="300"/>
      <c r="L251" s="200"/>
      <c r="M251" s="200"/>
      <c r="N251" s="202"/>
      <c r="O251" s="202"/>
      <c r="P251" s="202"/>
      <c r="Q251" s="202"/>
      <c r="R251" s="200"/>
      <c r="T251" s="154"/>
      <c r="V251" s="200"/>
      <c r="Y251" s="202"/>
      <c r="Z251" s="300"/>
      <c r="AA251" s="200"/>
      <c r="AB251" s="200"/>
      <c r="AC251" s="202"/>
      <c r="AD251" s="202"/>
      <c r="AE251" s="200"/>
      <c r="AF251" s="200"/>
      <c r="AG251" s="325"/>
      <c r="AH251" s="326"/>
      <c r="AI251" s="200"/>
      <c r="AJ251" s="200"/>
      <c r="AK251" s="209"/>
      <c r="AL251" s="200"/>
      <c r="AM251" s="327"/>
      <c r="AN251" s="327"/>
    </row>
    <row r="252" spans="1:40" x14ac:dyDescent="0.25">
      <c r="F252" s="252"/>
      <c r="H252" s="317"/>
      <c r="I252" s="317"/>
      <c r="J252" s="317"/>
      <c r="K252" s="317"/>
      <c r="R252" s="200"/>
      <c r="V252" s="200"/>
      <c r="Z252" s="317"/>
    </row>
    <row r="253" spans="1:40" x14ac:dyDescent="0.25">
      <c r="A253" s="202"/>
      <c r="C253" s="154"/>
      <c r="F253" s="252"/>
      <c r="H253" s="252"/>
      <c r="I253" s="252"/>
      <c r="J253" s="320"/>
      <c r="K253" s="320"/>
      <c r="L253" s="200"/>
      <c r="M253" s="200"/>
      <c r="N253" s="210"/>
      <c r="O253" s="210"/>
      <c r="P253" s="252"/>
      <c r="Q253" s="252"/>
      <c r="R253" s="200"/>
      <c r="T253" s="154"/>
      <c r="V253" s="200"/>
      <c r="Y253" s="200"/>
      <c r="Z253" s="304"/>
      <c r="AA253" s="200"/>
      <c r="AB253" s="200"/>
      <c r="AC253" s="210"/>
      <c r="AD253" s="210"/>
      <c r="AE253" s="200"/>
      <c r="AF253" s="200"/>
      <c r="AG253" s="209"/>
      <c r="AH253" s="201"/>
      <c r="AI253" s="252"/>
      <c r="AJ253" s="252"/>
      <c r="AK253" s="209"/>
      <c r="AL253" s="200"/>
      <c r="AM253" s="210"/>
      <c r="AN253" s="210"/>
    </row>
    <row r="254" spans="1:40" x14ac:dyDescent="0.25">
      <c r="F254" s="211"/>
      <c r="H254" s="211"/>
      <c r="I254" s="211"/>
      <c r="J254" s="305"/>
      <c r="K254" s="305"/>
      <c r="L254" s="211"/>
      <c r="M254" s="211"/>
      <c r="N254" s="211"/>
      <c r="O254" s="211"/>
      <c r="P254" s="211"/>
      <c r="Q254" s="211"/>
      <c r="R254" s="211"/>
      <c r="V254" s="211"/>
      <c r="Y254" s="211"/>
      <c r="Z254" s="305"/>
      <c r="AA254" s="211"/>
      <c r="AB254" s="211"/>
      <c r="AC254" s="211"/>
      <c r="AD254" s="211"/>
      <c r="AE254" s="211"/>
      <c r="AF254" s="211"/>
      <c r="AI254" s="211"/>
      <c r="AJ254" s="211"/>
      <c r="AK254" s="212"/>
      <c r="AL254" s="211"/>
    </row>
    <row r="255" spans="1:40" x14ac:dyDescent="0.25">
      <c r="A255" s="202"/>
      <c r="D255" s="154"/>
      <c r="E255" s="154"/>
      <c r="F255" s="200"/>
      <c r="H255" s="200"/>
      <c r="I255" s="200"/>
      <c r="J255" s="213"/>
      <c r="K255" s="213"/>
      <c r="L255" s="200"/>
      <c r="M255" s="200"/>
      <c r="N255" s="210"/>
      <c r="O255" s="210"/>
      <c r="P255" s="200"/>
      <c r="Q255" s="200"/>
      <c r="R255" s="200"/>
      <c r="U255" s="154"/>
      <c r="V255" s="200"/>
      <c r="Y255" s="200"/>
      <c r="Z255" s="213"/>
      <c r="AA255" s="200"/>
      <c r="AB255" s="200"/>
      <c r="AC255" s="210"/>
      <c r="AD255" s="210"/>
      <c r="AE255" s="200"/>
      <c r="AF255" s="200"/>
      <c r="AG255" s="209"/>
      <c r="AH255" s="201"/>
      <c r="AI255" s="200"/>
      <c r="AJ255" s="200"/>
      <c r="AK255" s="209"/>
      <c r="AL255" s="200"/>
      <c r="AM255" s="210"/>
      <c r="AN255" s="210"/>
    </row>
    <row r="256" spans="1:40" x14ac:dyDescent="0.25">
      <c r="F256" s="211"/>
      <c r="H256" s="211"/>
      <c r="I256" s="211"/>
      <c r="J256" s="305"/>
      <c r="K256" s="305"/>
      <c r="L256" s="211"/>
      <c r="M256" s="211"/>
      <c r="N256" s="211"/>
      <c r="O256" s="211"/>
      <c r="P256" s="211"/>
      <c r="Q256" s="211"/>
      <c r="R256" s="211"/>
      <c r="V256" s="211"/>
      <c r="Y256" s="211"/>
      <c r="Z256" s="305"/>
      <c r="AA256" s="211"/>
      <c r="AB256" s="211"/>
      <c r="AC256" s="211"/>
      <c r="AD256" s="211"/>
      <c r="AE256" s="211"/>
      <c r="AF256" s="211"/>
      <c r="AI256" s="211"/>
      <c r="AJ256" s="211"/>
      <c r="AK256" s="212"/>
      <c r="AL256" s="211"/>
    </row>
    <row r="257" spans="1:40" x14ac:dyDescent="0.25">
      <c r="R257" s="200"/>
    </row>
    <row r="258" spans="1:40" x14ac:dyDescent="0.25">
      <c r="R258" s="200"/>
    </row>
    <row r="259" spans="1:40" x14ac:dyDescent="0.25">
      <c r="R259" s="200"/>
    </row>
    <row r="260" spans="1:40" x14ac:dyDescent="0.25">
      <c r="A260" s="202"/>
      <c r="C260" s="154"/>
      <c r="D260" s="154"/>
      <c r="E260" s="154"/>
      <c r="H260" s="200"/>
      <c r="I260" s="200"/>
      <c r="J260" s="213"/>
      <c r="K260" s="213"/>
      <c r="L260" s="200"/>
      <c r="M260" s="200"/>
      <c r="N260" s="210"/>
      <c r="O260" s="210"/>
      <c r="P260" s="200"/>
      <c r="Q260" s="200"/>
      <c r="R260" s="200"/>
      <c r="T260" s="154"/>
      <c r="U260" s="154"/>
      <c r="Y260" s="200"/>
      <c r="Z260" s="213"/>
      <c r="AA260" s="200"/>
      <c r="AB260" s="200"/>
      <c r="AC260" s="210"/>
      <c r="AD260" s="210"/>
    </row>
    <row r="261" spans="1:40" x14ac:dyDescent="0.25">
      <c r="H261" s="200"/>
      <c r="I261" s="200"/>
      <c r="J261" s="213"/>
      <c r="K261" s="213"/>
      <c r="L261" s="200"/>
      <c r="M261" s="200"/>
      <c r="N261" s="210"/>
      <c r="O261" s="210"/>
      <c r="P261" s="200"/>
      <c r="Q261" s="200"/>
      <c r="R261" s="200"/>
      <c r="Y261" s="200"/>
      <c r="Z261" s="213"/>
      <c r="AA261" s="200"/>
      <c r="AB261" s="200"/>
      <c r="AC261" s="210"/>
      <c r="AD261" s="210"/>
    </row>
    <row r="262" spans="1:40" x14ac:dyDescent="0.25">
      <c r="A262" s="202"/>
      <c r="C262" s="154"/>
      <c r="F262" s="252"/>
      <c r="H262" s="252"/>
      <c r="I262" s="252"/>
      <c r="J262" s="214"/>
      <c r="K262" s="214"/>
      <c r="L262" s="252"/>
      <c r="M262" s="252"/>
      <c r="N262" s="210"/>
      <c r="O262" s="210"/>
      <c r="P262" s="200"/>
      <c r="Q262" s="200"/>
      <c r="R262" s="200"/>
      <c r="T262" s="154"/>
      <c r="V262" s="200"/>
      <c r="Y262" s="200"/>
      <c r="Z262" s="214"/>
      <c r="AA262" s="200"/>
      <c r="AB262" s="200"/>
      <c r="AC262" s="210"/>
      <c r="AD262" s="210"/>
      <c r="AE262" s="200"/>
      <c r="AF262" s="200"/>
      <c r="AG262" s="209"/>
      <c r="AH262" s="201"/>
      <c r="AI262" s="200"/>
      <c r="AJ262" s="200"/>
      <c r="AK262" s="209"/>
      <c r="AL262" s="200"/>
      <c r="AM262" s="210"/>
      <c r="AN262" s="210"/>
    </row>
    <row r="263" spans="1:40" x14ac:dyDescent="0.25">
      <c r="F263" s="252"/>
      <c r="H263" s="317"/>
      <c r="I263" s="317"/>
      <c r="J263" s="317"/>
      <c r="K263" s="317"/>
      <c r="R263" s="200"/>
      <c r="V263" s="200"/>
      <c r="Z263" s="317"/>
    </row>
    <row r="264" spans="1:40" x14ac:dyDescent="0.25">
      <c r="A264" s="202"/>
      <c r="C264" s="154"/>
      <c r="F264" s="252"/>
      <c r="H264" s="252"/>
      <c r="I264" s="252"/>
      <c r="J264" s="300"/>
      <c r="K264" s="300"/>
      <c r="L264" s="200"/>
      <c r="M264" s="200"/>
      <c r="N264" s="210"/>
      <c r="O264" s="210"/>
      <c r="P264" s="200"/>
      <c r="Q264" s="200"/>
      <c r="R264" s="200"/>
      <c r="T264" s="154"/>
      <c r="V264" s="200"/>
      <c r="Y264" s="200"/>
      <c r="Z264" s="300"/>
      <c r="AA264" s="200"/>
      <c r="AB264" s="200"/>
      <c r="AC264" s="210"/>
      <c r="AD264" s="210"/>
      <c r="AE264" s="200"/>
      <c r="AF264" s="200"/>
      <c r="AG264" s="209"/>
      <c r="AH264" s="201"/>
      <c r="AI264" s="200"/>
      <c r="AJ264" s="200"/>
      <c r="AK264" s="209"/>
      <c r="AL264" s="200"/>
      <c r="AM264" s="210"/>
      <c r="AN264" s="210"/>
    </row>
    <row r="265" spans="1:40" x14ac:dyDescent="0.25">
      <c r="F265" s="252"/>
      <c r="H265" s="317"/>
      <c r="I265" s="317"/>
      <c r="J265" s="317"/>
      <c r="K265" s="317"/>
      <c r="R265" s="200"/>
      <c r="V265" s="200"/>
      <c r="Z265" s="317"/>
    </row>
    <row r="266" spans="1:40" x14ac:dyDescent="0.25">
      <c r="A266" s="202"/>
      <c r="C266" s="154"/>
      <c r="F266" s="252"/>
      <c r="H266" s="252"/>
      <c r="I266" s="252"/>
      <c r="J266" s="320"/>
      <c r="K266" s="320"/>
      <c r="L266" s="200"/>
      <c r="M266" s="200"/>
      <c r="N266" s="210"/>
      <c r="O266" s="210"/>
      <c r="P266" s="200"/>
      <c r="Q266" s="200"/>
      <c r="R266" s="200"/>
      <c r="T266" s="154"/>
      <c r="V266" s="200"/>
      <c r="Y266" s="200"/>
      <c r="Z266" s="304"/>
      <c r="AA266" s="200"/>
      <c r="AB266" s="200"/>
      <c r="AC266" s="210"/>
      <c r="AD266" s="210"/>
      <c r="AE266" s="200"/>
      <c r="AF266" s="200"/>
      <c r="AG266" s="209"/>
      <c r="AH266" s="201"/>
      <c r="AI266" s="200"/>
      <c r="AJ266" s="200"/>
      <c r="AK266" s="209"/>
      <c r="AL266" s="200"/>
      <c r="AM266" s="210"/>
      <c r="AN266" s="210"/>
    </row>
    <row r="267" spans="1:40" x14ac:dyDescent="0.25">
      <c r="F267" s="211"/>
      <c r="H267" s="211"/>
      <c r="I267" s="211"/>
      <c r="J267" s="305"/>
      <c r="K267" s="305"/>
      <c r="L267" s="211"/>
      <c r="M267" s="211"/>
      <c r="N267" s="211"/>
      <c r="O267" s="211"/>
      <c r="P267" s="211"/>
      <c r="Q267" s="211"/>
      <c r="R267" s="211"/>
      <c r="S267" s="200"/>
      <c r="V267" s="211"/>
      <c r="Y267" s="211"/>
      <c r="Z267" s="305"/>
      <c r="AA267" s="211"/>
      <c r="AB267" s="211"/>
      <c r="AC267" s="211"/>
      <c r="AD267" s="211"/>
      <c r="AE267" s="211"/>
      <c r="AF267" s="211"/>
      <c r="AI267" s="211"/>
      <c r="AJ267" s="211"/>
      <c r="AK267" s="212"/>
      <c r="AL267" s="211"/>
    </row>
    <row r="268" spans="1:40" x14ac:dyDescent="0.25">
      <c r="A268" s="202"/>
      <c r="D268" s="154"/>
      <c r="E268" s="154"/>
      <c r="F268" s="200"/>
      <c r="H268" s="200"/>
      <c r="I268" s="200"/>
      <c r="J268" s="213"/>
      <c r="K268" s="213"/>
      <c r="L268" s="200"/>
      <c r="M268" s="200"/>
      <c r="N268" s="210"/>
      <c r="O268" s="210"/>
      <c r="P268" s="252"/>
      <c r="Q268" s="252"/>
      <c r="R268" s="200"/>
      <c r="S268" s="200"/>
      <c r="U268" s="154"/>
      <c r="V268" s="200"/>
      <c r="Y268" s="200"/>
      <c r="Z268" s="213"/>
      <c r="AA268" s="200"/>
      <c r="AB268" s="200"/>
      <c r="AC268" s="210"/>
      <c r="AD268" s="210"/>
      <c r="AE268" s="200"/>
      <c r="AF268" s="200"/>
      <c r="AG268" s="209"/>
      <c r="AH268" s="201"/>
      <c r="AI268" s="252"/>
      <c r="AJ268" s="252"/>
      <c r="AK268" s="209"/>
      <c r="AL268" s="200"/>
      <c r="AM268" s="210"/>
      <c r="AN268" s="210"/>
    </row>
    <row r="269" spans="1:40" x14ac:dyDescent="0.25">
      <c r="F269" s="211"/>
      <c r="H269" s="211"/>
      <c r="I269" s="211"/>
      <c r="J269" s="305"/>
      <c r="K269" s="305"/>
      <c r="L269" s="211"/>
      <c r="M269" s="211"/>
      <c r="N269" s="211"/>
      <c r="O269" s="211"/>
      <c r="P269" s="211"/>
      <c r="Q269" s="211"/>
      <c r="R269" s="211"/>
      <c r="S269" s="200"/>
      <c r="V269" s="211"/>
      <c r="Y269" s="211"/>
      <c r="Z269" s="305"/>
      <c r="AA269" s="211"/>
      <c r="AB269" s="211"/>
      <c r="AC269" s="211"/>
      <c r="AD269" s="211"/>
      <c r="AE269" s="211"/>
      <c r="AF269" s="211"/>
      <c r="AI269" s="211"/>
      <c r="AJ269" s="211"/>
      <c r="AK269" s="212"/>
      <c r="AL269" s="211"/>
    </row>
    <row r="270" spans="1:40" x14ac:dyDescent="0.25">
      <c r="R270" s="200"/>
    </row>
    <row r="271" spans="1:40" x14ac:dyDescent="0.25">
      <c r="F271" s="200"/>
      <c r="H271" s="200"/>
      <c r="I271" s="200"/>
      <c r="J271" s="213"/>
      <c r="K271" s="213"/>
      <c r="L271" s="200"/>
      <c r="M271" s="200"/>
      <c r="N271" s="200"/>
      <c r="O271" s="200"/>
      <c r="P271" s="200"/>
      <c r="Q271" s="200"/>
      <c r="R271" s="200"/>
      <c r="V271" s="200"/>
      <c r="Y271" s="200"/>
      <c r="Z271" s="213"/>
      <c r="AA271" s="200"/>
      <c r="AB271" s="200"/>
      <c r="AC271" s="200"/>
      <c r="AD271" s="200"/>
    </row>
    <row r="272" spans="1:40" x14ac:dyDescent="0.25">
      <c r="C272" s="154"/>
      <c r="F272" s="200"/>
      <c r="H272" s="200"/>
      <c r="I272" s="200"/>
      <c r="J272" s="213"/>
      <c r="K272" s="213"/>
      <c r="L272" s="200"/>
      <c r="M272" s="200"/>
      <c r="N272" s="200"/>
      <c r="O272" s="200"/>
      <c r="P272" s="200"/>
      <c r="Q272" s="200"/>
      <c r="R272" s="200"/>
      <c r="T272" s="154"/>
      <c r="V272" s="200"/>
      <c r="Y272" s="200"/>
      <c r="Z272" s="213"/>
      <c r="AA272" s="200"/>
      <c r="AB272" s="200"/>
      <c r="AC272" s="200"/>
      <c r="AD272" s="200"/>
    </row>
    <row r="273" spans="1:40" x14ac:dyDescent="0.25">
      <c r="C273" s="154"/>
      <c r="T273" s="154"/>
    </row>
    <row r="274" spans="1:40" x14ac:dyDescent="0.25">
      <c r="A274" s="154"/>
    </row>
    <row r="276" spans="1:40" x14ac:dyDescent="0.25">
      <c r="J276" s="202"/>
      <c r="K276" s="202"/>
      <c r="Z276" s="202"/>
    </row>
    <row r="277" spans="1:40" x14ac:dyDescent="0.25">
      <c r="H277" s="154"/>
      <c r="I277" s="154"/>
      <c r="Y277" s="154"/>
    </row>
    <row r="278" spans="1:40" x14ac:dyDescent="0.25">
      <c r="J278" s="202"/>
      <c r="K278" s="202"/>
      <c r="Z278" s="202"/>
    </row>
    <row r="279" spans="1:40" x14ac:dyDescent="0.25">
      <c r="L279" s="154"/>
      <c r="M279" s="154"/>
      <c r="AA279" s="154"/>
      <c r="AB279" s="154"/>
    </row>
    <row r="280" spans="1:40" x14ac:dyDescent="0.25">
      <c r="A280" s="202"/>
      <c r="R280" s="154"/>
      <c r="AK280" s="297"/>
      <c r="AL280" s="154"/>
    </row>
    <row r="281" spans="1:40" x14ac:dyDescent="0.25">
      <c r="A281" s="202"/>
      <c r="R281" s="154"/>
      <c r="AK281" s="297"/>
      <c r="AL281" s="154"/>
    </row>
    <row r="282" spans="1:40" x14ac:dyDescent="0.25">
      <c r="A282" s="154"/>
      <c r="R282" s="154"/>
      <c r="AK282" s="297"/>
      <c r="AL282" s="154"/>
    </row>
    <row r="283" spans="1:40" x14ac:dyDescent="0.25">
      <c r="L283" s="154"/>
      <c r="M283" s="154"/>
      <c r="R283" s="202"/>
      <c r="AA283" s="154"/>
      <c r="AB283" s="154"/>
      <c r="AK283" s="209"/>
      <c r="AL283" s="202"/>
    </row>
    <row r="284" spans="1:40" x14ac:dyDescent="0.25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208"/>
      <c r="AH284" s="102"/>
      <c r="AI284" s="102"/>
      <c r="AJ284" s="102"/>
      <c r="AK284" s="208"/>
      <c r="AL284" s="102"/>
      <c r="AM284" s="102"/>
      <c r="AN284" s="102"/>
    </row>
    <row r="285" spans="1:40" x14ac:dyDescent="0.25">
      <c r="L285" s="103"/>
      <c r="M285" s="103"/>
      <c r="N285" s="103"/>
      <c r="O285" s="103"/>
      <c r="R285" s="103"/>
      <c r="AA285" s="103"/>
      <c r="AB285" s="103"/>
      <c r="AC285" s="103"/>
      <c r="AD285" s="103"/>
      <c r="AE285" s="103"/>
      <c r="AF285" s="103"/>
      <c r="AG285" s="185"/>
      <c r="AH285" s="103"/>
      <c r="AK285" s="185"/>
      <c r="AL285" s="103"/>
      <c r="AM285" s="103"/>
      <c r="AN285" s="103"/>
    </row>
    <row r="286" spans="1:40" x14ac:dyDescent="0.25">
      <c r="L286" s="103"/>
      <c r="M286" s="103"/>
      <c r="N286" s="103"/>
      <c r="O286" s="103"/>
      <c r="R286" s="103"/>
      <c r="Z286" s="103"/>
      <c r="AA286" s="103"/>
      <c r="AB286" s="103"/>
      <c r="AC286" s="103"/>
      <c r="AD286" s="103"/>
      <c r="AE286" s="103"/>
      <c r="AF286" s="103"/>
      <c r="AG286" s="185"/>
      <c r="AH286" s="103"/>
      <c r="AK286" s="185"/>
      <c r="AL286" s="103"/>
      <c r="AM286" s="103"/>
      <c r="AN286" s="103"/>
    </row>
    <row r="287" spans="1:40" x14ac:dyDescent="0.25">
      <c r="A287" s="103"/>
      <c r="C287" s="103"/>
      <c r="D287" s="103"/>
      <c r="E287" s="103"/>
      <c r="F287" s="103"/>
      <c r="J287" s="103"/>
      <c r="K287" s="103"/>
      <c r="L287" s="103"/>
      <c r="M287" s="103"/>
      <c r="N287" s="103"/>
      <c r="O287" s="103"/>
      <c r="P287" s="103"/>
      <c r="Q287" s="103"/>
      <c r="R287" s="103"/>
      <c r="T287" s="103"/>
      <c r="U287" s="103"/>
      <c r="V287" s="103"/>
      <c r="Z287" s="103"/>
      <c r="AA287" s="103"/>
      <c r="AB287" s="103"/>
      <c r="AC287" s="103"/>
      <c r="AD287" s="103"/>
      <c r="AE287" s="103"/>
      <c r="AF287" s="103"/>
      <c r="AG287" s="185"/>
      <c r="AH287" s="103"/>
      <c r="AI287" s="103"/>
      <c r="AJ287" s="103"/>
      <c r="AK287" s="185"/>
      <c r="AL287" s="103"/>
      <c r="AM287" s="103"/>
      <c r="AN287" s="103"/>
    </row>
    <row r="288" spans="1:40" x14ac:dyDescent="0.25">
      <c r="A288" s="103"/>
      <c r="C288" s="103"/>
      <c r="D288" s="103"/>
      <c r="E288" s="103"/>
      <c r="F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T288" s="103"/>
      <c r="U288" s="103"/>
      <c r="V288" s="103"/>
      <c r="Y288" s="103"/>
      <c r="Z288" s="103"/>
      <c r="AA288" s="103"/>
      <c r="AB288" s="103"/>
      <c r="AC288" s="103"/>
      <c r="AD288" s="103"/>
      <c r="AE288" s="103"/>
      <c r="AF288" s="103"/>
      <c r="AG288" s="185"/>
      <c r="AH288" s="103"/>
      <c r="AI288" s="103"/>
      <c r="AJ288" s="103"/>
      <c r="AK288" s="185"/>
      <c r="AL288" s="103"/>
      <c r="AM288" s="103"/>
      <c r="AN288" s="103"/>
    </row>
    <row r="289" spans="1:40" x14ac:dyDescent="0.25">
      <c r="C289" s="103"/>
      <c r="D289" s="103"/>
      <c r="E289" s="103"/>
      <c r="F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T289" s="103"/>
      <c r="U289" s="103"/>
      <c r="V289" s="103"/>
      <c r="Y289" s="103"/>
      <c r="Z289" s="103"/>
      <c r="AA289" s="103"/>
      <c r="AB289" s="103"/>
      <c r="AC289" s="103"/>
      <c r="AD289" s="103"/>
      <c r="AE289" s="103"/>
      <c r="AF289" s="103"/>
      <c r="AG289" s="185"/>
      <c r="AH289" s="103"/>
      <c r="AI289" s="103"/>
      <c r="AJ289" s="103"/>
      <c r="AK289" s="185"/>
      <c r="AL289" s="103"/>
      <c r="AM289" s="103"/>
      <c r="AN289" s="103"/>
    </row>
    <row r="290" spans="1:40" x14ac:dyDescent="0.25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208"/>
      <c r="AH290" s="102"/>
      <c r="AI290" s="102"/>
      <c r="AJ290" s="102"/>
      <c r="AK290" s="208"/>
      <c r="AL290" s="102"/>
      <c r="AM290" s="102"/>
      <c r="AN290" s="102"/>
    </row>
    <row r="291" spans="1:40" x14ac:dyDescent="0.25"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Y291" s="103"/>
      <c r="Z291" s="103"/>
      <c r="AA291" s="103"/>
      <c r="AB291" s="103"/>
      <c r="AC291" s="103"/>
      <c r="AD291" s="103"/>
      <c r="AE291" s="103"/>
      <c r="AF291" s="103"/>
      <c r="AG291" s="185"/>
      <c r="AH291" s="103"/>
      <c r="AI291" s="103"/>
      <c r="AJ291" s="103"/>
      <c r="AK291" s="185"/>
      <c r="AL291" s="103"/>
      <c r="AM291" s="103"/>
      <c r="AN291" s="103"/>
    </row>
    <row r="292" spans="1:40" x14ac:dyDescent="0.25">
      <c r="A292" s="202"/>
      <c r="C292" s="154"/>
      <c r="D292" s="154"/>
      <c r="E292" s="154"/>
      <c r="T292" s="154"/>
      <c r="U292" s="154"/>
    </row>
    <row r="293" spans="1:40" x14ac:dyDescent="0.25">
      <c r="A293" s="202"/>
      <c r="D293" s="154"/>
      <c r="E293" s="154"/>
      <c r="U293" s="154"/>
    </row>
    <row r="295" spans="1:40" x14ac:dyDescent="0.25">
      <c r="A295" s="202"/>
      <c r="C295" s="154"/>
      <c r="F295" s="200"/>
      <c r="J295" s="215"/>
      <c r="K295" s="215"/>
      <c r="L295" s="200"/>
      <c r="M295" s="200"/>
      <c r="R295" s="200"/>
      <c r="T295" s="154"/>
      <c r="V295" s="200"/>
      <c r="Z295" s="215"/>
      <c r="AA295" s="200"/>
      <c r="AB295" s="200"/>
      <c r="AK295" s="209"/>
      <c r="AL295" s="200"/>
    </row>
    <row r="296" spans="1:40" x14ac:dyDescent="0.25">
      <c r="F296" s="200"/>
      <c r="R296" s="200"/>
      <c r="V296" s="200"/>
      <c r="AK296" s="209"/>
      <c r="AL296" s="200"/>
    </row>
    <row r="297" spans="1:40" x14ac:dyDescent="0.25">
      <c r="A297" s="202"/>
      <c r="C297" s="154"/>
      <c r="F297" s="252"/>
      <c r="H297" s="252"/>
      <c r="I297" s="252"/>
      <c r="J297" s="300"/>
      <c r="K297" s="300"/>
      <c r="L297" s="200"/>
      <c r="M297" s="200"/>
      <c r="N297" s="210"/>
      <c r="O297" s="210"/>
      <c r="P297" s="200"/>
      <c r="Q297" s="200"/>
      <c r="R297" s="200"/>
      <c r="T297" s="154"/>
      <c r="V297" s="200"/>
      <c r="Y297" s="200"/>
      <c r="Z297" s="300"/>
      <c r="AA297" s="200"/>
      <c r="AB297" s="200"/>
      <c r="AC297" s="210"/>
      <c r="AD297" s="210"/>
      <c r="AE297" s="200"/>
      <c r="AF297" s="200"/>
      <c r="AG297" s="209"/>
      <c r="AH297" s="201"/>
      <c r="AI297" s="200"/>
      <c r="AJ297" s="200"/>
      <c r="AK297" s="209"/>
      <c r="AL297" s="200"/>
      <c r="AM297" s="210"/>
      <c r="AN297" s="210"/>
    </row>
    <row r="298" spans="1:40" x14ac:dyDescent="0.25">
      <c r="A298" s="202"/>
      <c r="C298" s="154"/>
      <c r="F298" s="252"/>
      <c r="H298" s="317"/>
      <c r="I298" s="317"/>
      <c r="J298" s="300"/>
      <c r="K298" s="300"/>
      <c r="L298" s="200"/>
      <c r="M298" s="200"/>
      <c r="N298" s="210"/>
      <c r="O298" s="210"/>
      <c r="P298" s="200"/>
      <c r="Q298" s="200"/>
      <c r="R298" s="200"/>
      <c r="T298" s="154"/>
      <c r="V298" s="200"/>
      <c r="Y298" s="200"/>
      <c r="Z298" s="300"/>
      <c r="AA298" s="200"/>
      <c r="AB298" s="200"/>
      <c r="AC298" s="210"/>
      <c r="AD298" s="210"/>
      <c r="AE298" s="200"/>
      <c r="AF298" s="200"/>
      <c r="AG298" s="209"/>
      <c r="AH298" s="201"/>
      <c r="AI298" s="200"/>
      <c r="AJ298" s="200"/>
      <c r="AK298" s="209"/>
      <c r="AL298" s="200"/>
      <c r="AM298" s="210"/>
      <c r="AN298" s="210"/>
    </row>
    <row r="299" spans="1:40" x14ac:dyDescent="0.25">
      <c r="F299" s="211"/>
      <c r="H299" s="200"/>
      <c r="I299" s="200"/>
      <c r="J299" s="305"/>
      <c r="K299" s="305"/>
      <c r="L299" s="211"/>
      <c r="M299" s="211"/>
      <c r="N299" s="211"/>
      <c r="O299" s="211"/>
      <c r="P299" s="211"/>
      <c r="Q299" s="211"/>
      <c r="R299" s="211"/>
      <c r="V299" s="211"/>
      <c r="Y299" s="200"/>
      <c r="Z299" s="305"/>
      <c r="AA299" s="211"/>
      <c r="AB299" s="211"/>
      <c r="AC299" s="211"/>
      <c r="AD299" s="211"/>
      <c r="AE299" s="211"/>
      <c r="AF299" s="211"/>
      <c r="AI299" s="211"/>
      <c r="AJ299" s="211"/>
      <c r="AK299" s="212"/>
      <c r="AL299" s="211"/>
    </row>
    <row r="300" spans="1:40" x14ac:dyDescent="0.25">
      <c r="A300" s="202"/>
      <c r="C300" s="154"/>
      <c r="F300" s="200"/>
      <c r="H300" s="200"/>
      <c r="I300" s="200"/>
      <c r="J300" s="213"/>
      <c r="K300" s="213"/>
      <c r="L300" s="200"/>
      <c r="M300" s="200"/>
      <c r="N300" s="210"/>
      <c r="O300" s="210"/>
      <c r="P300" s="200"/>
      <c r="Q300" s="200"/>
      <c r="R300" s="200"/>
      <c r="T300" s="154"/>
      <c r="V300" s="200"/>
      <c r="Y300" s="200"/>
      <c r="Z300" s="213"/>
      <c r="AA300" s="200"/>
      <c r="AB300" s="200"/>
      <c r="AC300" s="210"/>
      <c r="AD300" s="210"/>
      <c r="AE300" s="200"/>
      <c r="AF300" s="200"/>
      <c r="AG300" s="209"/>
      <c r="AH300" s="201"/>
      <c r="AI300" s="200"/>
      <c r="AJ300" s="200"/>
      <c r="AK300" s="209"/>
      <c r="AL300" s="200"/>
      <c r="AM300" s="210"/>
      <c r="AN300" s="210"/>
    </row>
    <row r="301" spans="1:40" x14ac:dyDescent="0.25">
      <c r="F301" s="211"/>
      <c r="H301" s="200"/>
      <c r="I301" s="200"/>
      <c r="J301" s="305"/>
      <c r="K301" s="305"/>
      <c r="L301" s="211"/>
      <c r="M301" s="211"/>
      <c r="N301" s="211"/>
      <c r="O301" s="211"/>
      <c r="P301" s="211"/>
      <c r="Q301" s="211"/>
      <c r="R301" s="211"/>
      <c r="V301" s="211"/>
      <c r="Y301" s="200"/>
      <c r="Z301" s="305"/>
      <c r="AA301" s="211"/>
      <c r="AB301" s="211"/>
      <c r="AC301" s="211"/>
      <c r="AD301" s="211"/>
      <c r="AE301" s="211"/>
      <c r="AF301" s="211"/>
      <c r="AI301" s="211"/>
      <c r="AJ301" s="211"/>
      <c r="AK301" s="212"/>
      <c r="AL301" s="211"/>
    </row>
    <row r="302" spans="1:40" x14ac:dyDescent="0.25">
      <c r="F302" s="200"/>
      <c r="R302" s="200"/>
      <c r="V302" s="200"/>
      <c r="AK302" s="209"/>
      <c r="AL302" s="200"/>
    </row>
    <row r="303" spans="1:40" x14ac:dyDescent="0.25">
      <c r="A303" s="202"/>
      <c r="C303" s="154"/>
      <c r="F303" s="200"/>
      <c r="R303" s="200"/>
      <c r="T303" s="154"/>
      <c r="V303" s="200"/>
      <c r="AK303" s="209"/>
      <c r="AL303" s="200"/>
    </row>
    <row r="304" spans="1:40" x14ac:dyDescent="0.25">
      <c r="F304" s="200"/>
      <c r="R304" s="200"/>
      <c r="V304" s="200"/>
      <c r="AK304" s="209"/>
      <c r="AL304" s="200"/>
    </row>
    <row r="305" spans="1:40" x14ac:dyDescent="0.25">
      <c r="A305" s="202"/>
      <c r="C305" s="154"/>
      <c r="F305" s="200"/>
      <c r="H305" s="252"/>
      <c r="I305" s="252"/>
      <c r="J305" s="320"/>
      <c r="K305" s="320"/>
      <c r="L305" s="200"/>
      <c r="M305" s="200"/>
      <c r="N305" s="210"/>
      <c r="O305" s="210"/>
      <c r="P305" s="252"/>
      <c r="Q305" s="252"/>
      <c r="R305" s="200"/>
      <c r="T305" s="154"/>
      <c r="V305" s="200"/>
      <c r="Y305" s="200"/>
      <c r="Z305" s="304"/>
      <c r="AA305" s="200"/>
      <c r="AB305" s="200"/>
      <c r="AC305" s="210"/>
      <c r="AD305" s="210"/>
      <c r="AE305" s="200"/>
      <c r="AF305" s="200"/>
      <c r="AG305" s="209"/>
      <c r="AH305" s="201"/>
      <c r="AI305" s="252"/>
      <c r="AJ305" s="252"/>
      <c r="AK305" s="209"/>
      <c r="AL305" s="200"/>
      <c r="AM305" s="210"/>
      <c r="AN305" s="210"/>
    </row>
    <row r="306" spans="1:40" x14ac:dyDescent="0.25">
      <c r="F306" s="211"/>
      <c r="H306" s="211"/>
      <c r="I306" s="211"/>
      <c r="J306" s="305"/>
      <c r="K306" s="305"/>
      <c r="L306" s="211"/>
      <c r="M306" s="211"/>
      <c r="N306" s="211"/>
      <c r="O306" s="211"/>
      <c r="P306" s="211"/>
      <c r="Q306" s="211"/>
      <c r="R306" s="211"/>
      <c r="V306" s="211"/>
      <c r="Y306" s="211"/>
      <c r="Z306" s="305"/>
      <c r="AA306" s="211"/>
      <c r="AB306" s="211"/>
      <c r="AC306" s="211"/>
      <c r="AD306" s="211"/>
      <c r="AE306" s="211"/>
      <c r="AF306" s="211"/>
      <c r="AI306" s="211"/>
      <c r="AJ306" s="211"/>
      <c r="AK306" s="212"/>
      <c r="AL306" s="211"/>
    </row>
    <row r="308" spans="1:40" x14ac:dyDescent="0.25">
      <c r="A308" s="202"/>
      <c r="C308" s="154"/>
      <c r="F308" s="200"/>
      <c r="H308" s="200"/>
      <c r="I308" s="200"/>
      <c r="J308" s="215"/>
      <c r="K308" s="215"/>
      <c r="L308" s="200"/>
      <c r="M308" s="200"/>
      <c r="N308" s="210"/>
      <c r="O308" s="210"/>
      <c r="P308" s="200"/>
      <c r="Q308" s="200"/>
      <c r="R308" s="200"/>
      <c r="T308" s="154"/>
      <c r="V308" s="200"/>
      <c r="Y308" s="200"/>
      <c r="Z308" s="215"/>
      <c r="AA308" s="200"/>
      <c r="AB308" s="200"/>
      <c r="AC308" s="210"/>
      <c r="AD308" s="210"/>
      <c r="AE308" s="200"/>
      <c r="AF308" s="200"/>
      <c r="AG308" s="209"/>
      <c r="AH308" s="201"/>
      <c r="AI308" s="200"/>
      <c r="AJ308" s="200"/>
      <c r="AK308" s="209"/>
      <c r="AL308" s="200"/>
      <c r="AM308" s="210"/>
      <c r="AN308" s="210"/>
    </row>
    <row r="309" spans="1:40" x14ac:dyDescent="0.25">
      <c r="F309" s="211"/>
      <c r="H309" s="211"/>
      <c r="I309" s="211"/>
      <c r="J309" s="305"/>
      <c r="K309" s="305"/>
      <c r="L309" s="211"/>
      <c r="M309" s="211"/>
      <c r="N309" s="211"/>
      <c r="O309" s="211"/>
      <c r="P309" s="211"/>
      <c r="Q309" s="211"/>
      <c r="R309" s="211"/>
      <c r="V309" s="211"/>
      <c r="Y309" s="211"/>
      <c r="Z309" s="305"/>
      <c r="AA309" s="211"/>
      <c r="AB309" s="211"/>
      <c r="AC309" s="211"/>
      <c r="AD309" s="211"/>
      <c r="AE309" s="211"/>
      <c r="AF309" s="211"/>
      <c r="AI309" s="211"/>
      <c r="AJ309" s="211"/>
      <c r="AK309" s="212"/>
      <c r="AL309" s="211"/>
    </row>
    <row r="310" spans="1:40" x14ac:dyDescent="0.25">
      <c r="R310" s="200"/>
      <c r="AG310" s="209"/>
      <c r="AH310" s="200"/>
    </row>
    <row r="311" spans="1:40" x14ac:dyDescent="0.25">
      <c r="F311" s="200"/>
      <c r="H311" s="200"/>
      <c r="I311" s="200"/>
      <c r="J311" s="213"/>
      <c r="K311" s="213"/>
      <c r="L311" s="200"/>
      <c r="M311" s="200"/>
      <c r="N311" s="200"/>
      <c r="O311" s="200"/>
      <c r="P311" s="200"/>
      <c r="Q311" s="200"/>
      <c r="R311" s="200"/>
      <c r="V311" s="200"/>
      <c r="Y311" s="200"/>
      <c r="Z311" s="213"/>
      <c r="AA311" s="200"/>
      <c r="AB311" s="200"/>
      <c r="AC311" s="200"/>
      <c r="AD311" s="200"/>
      <c r="AE311" s="200"/>
      <c r="AF311" s="200"/>
      <c r="AG311" s="209"/>
      <c r="AH311" s="200"/>
    </row>
    <row r="312" spans="1:40" x14ac:dyDescent="0.25">
      <c r="C312" s="154"/>
      <c r="F312" s="200"/>
      <c r="H312" s="200"/>
      <c r="I312" s="200"/>
      <c r="J312" s="213"/>
      <c r="K312" s="213"/>
      <c r="L312" s="200"/>
      <c r="M312" s="200"/>
      <c r="N312" s="200"/>
      <c r="O312" s="200"/>
      <c r="P312" s="200"/>
      <c r="Q312" s="200"/>
      <c r="R312" s="200"/>
      <c r="T312" s="154"/>
      <c r="V312" s="200"/>
      <c r="Y312" s="200"/>
      <c r="Z312" s="213"/>
      <c r="AA312" s="200"/>
      <c r="AB312" s="200"/>
      <c r="AC312" s="200"/>
      <c r="AD312" s="200"/>
      <c r="AE312" s="200"/>
      <c r="AF312" s="200"/>
      <c r="AG312" s="209"/>
      <c r="AH312" s="200"/>
    </row>
    <row r="313" spans="1:40" x14ac:dyDescent="0.25">
      <c r="A313" s="154"/>
    </row>
    <row r="315" spans="1:40" x14ac:dyDescent="0.25">
      <c r="J315" s="202"/>
      <c r="K315" s="202"/>
      <c r="Z315" s="202"/>
    </row>
    <row r="316" spans="1:40" x14ac:dyDescent="0.25">
      <c r="H316" s="154"/>
      <c r="I316" s="154"/>
      <c r="Y316" s="154"/>
    </row>
    <row r="317" spans="1:40" x14ac:dyDescent="0.25">
      <c r="J317" s="202"/>
      <c r="K317" s="202"/>
      <c r="Z317" s="202"/>
    </row>
    <row r="318" spans="1:40" x14ac:dyDescent="0.25">
      <c r="L318" s="154"/>
      <c r="M318" s="154"/>
      <c r="AA318" s="154"/>
      <c r="AB318" s="154"/>
    </row>
    <row r="319" spans="1:40" x14ac:dyDescent="0.25">
      <c r="A319" s="202"/>
      <c r="R319" s="154"/>
      <c r="AK319" s="297"/>
      <c r="AL319" s="154"/>
    </row>
    <row r="320" spans="1:40" x14ac:dyDescent="0.25">
      <c r="A320" s="202"/>
      <c r="R320" s="154"/>
      <c r="AK320" s="297"/>
      <c r="AL320" s="154"/>
    </row>
    <row r="321" spans="1:40" x14ac:dyDescent="0.25">
      <c r="A321" s="154"/>
      <c r="R321" s="154"/>
      <c r="AK321" s="297"/>
      <c r="AL321" s="154"/>
    </row>
    <row r="322" spans="1:40" x14ac:dyDescent="0.25">
      <c r="L322" s="154"/>
      <c r="M322" s="154"/>
      <c r="R322" s="202"/>
      <c r="AA322" s="154"/>
      <c r="AB322" s="154"/>
      <c r="AK322" s="209"/>
      <c r="AL322" s="202"/>
    </row>
    <row r="323" spans="1:40" x14ac:dyDescent="0.25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208"/>
      <c r="AH323" s="102"/>
      <c r="AI323" s="102"/>
      <c r="AJ323" s="102"/>
      <c r="AK323" s="208"/>
      <c r="AL323" s="102"/>
      <c r="AM323" s="102"/>
      <c r="AN323" s="102"/>
    </row>
    <row r="324" spans="1:40" x14ac:dyDescent="0.25">
      <c r="L324" s="103"/>
      <c r="M324" s="103"/>
      <c r="N324" s="103"/>
      <c r="O324" s="103"/>
      <c r="R324" s="103"/>
      <c r="AA324" s="103"/>
      <c r="AB324" s="103"/>
      <c r="AC324" s="103"/>
      <c r="AD324" s="103"/>
      <c r="AE324" s="103"/>
      <c r="AF324" s="103"/>
      <c r="AG324" s="185"/>
      <c r="AH324" s="103"/>
      <c r="AK324" s="185"/>
      <c r="AL324" s="103"/>
      <c r="AM324" s="103"/>
      <c r="AN324" s="103"/>
    </row>
    <row r="325" spans="1:40" x14ac:dyDescent="0.25">
      <c r="L325" s="103"/>
      <c r="M325" s="103"/>
      <c r="N325" s="103"/>
      <c r="O325" s="103"/>
      <c r="R325" s="103"/>
      <c r="Z325" s="103"/>
      <c r="AA325" s="103"/>
      <c r="AB325" s="103"/>
      <c r="AC325" s="103"/>
      <c r="AD325" s="103"/>
      <c r="AE325" s="103"/>
      <c r="AF325" s="103"/>
      <c r="AG325" s="185"/>
      <c r="AH325" s="103"/>
      <c r="AK325" s="185"/>
      <c r="AL325" s="103"/>
      <c r="AM325" s="103"/>
      <c r="AN325" s="103"/>
    </row>
    <row r="326" spans="1:40" x14ac:dyDescent="0.25">
      <c r="A326" s="103"/>
      <c r="C326" s="103"/>
      <c r="D326" s="103"/>
      <c r="E326" s="103"/>
      <c r="F326" s="103"/>
      <c r="J326" s="103"/>
      <c r="K326" s="103"/>
      <c r="L326" s="103"/>
      <c r="M326" s="103"/>
      <c r="N326" s="103"/>
      <c r="O326" s="103"/>
      <c r="P326" s="103"/>
      <c r="Q326" s="103"/>
      <c r="R326" s="103"/>
      <c r="T326" s="103"/>
      <c r="U326" s="103"/>
      <c r="V326" s="103"/>
      <c r="Z326" s="103"/>
      <c r="AA326" s="103"/>
      <c r="AB326" s="103"/>
      <c r="AC326" s="103"/>
      <c r="AD326" s="103"/>
      <c r="AE326" s="103"/>
      <c r="AF326" s="103"/>
      <c r="AG326" s="185"/>
      <c r="AH326" s="103"/>
      <c r="AI326" s="103"/>
      <c r="AJ326" s="103"/>
      <c r="AK326" s="185"/>
      <c r="AL326" s="103"/>
      <c r="AM326" s="103"/>
      <c r="AN326" s="103"/>
    </row>
    <row r="327" spans="1:40" x14ac:dyDescent="0.25">
      <c r="A327" s="103"/>
      <c r="C327" s="103"/>
      <c r="D327" s="103"/>
      <c r="E327" s="103"/>
      <c r="F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T327" s="103"/>
      <c r="U327" s="103"/>
      <c r="V327" s="103"/>
      <c r="Y327" s="103"/>
      <c r="Z327" s="103"/>
      <c r="AA327" s="103"/>
      <c r="AB327" s="103"/>
      <c r="AC327" s="103"/>
      <c r="AD327" s="103"/>
      <c r="AE327" s="103"/>
      <c r="AF327" s="103"/>
      <c r="AG327" s="185"/>
      <c r="AH327" s="103"/>
      <c r="AI327" s="103"/>
      <c r="AJ327" s="103"/>
      <c r="AK327" s="185"/>
      <c r="AL327" s="103"/>
      <c r="AM327" s="103"/>
      <c r="AN327" s="103"/>
    </row>
    <row r="328" spans="1:40" x14ac:dyDescent="0.25">
      <c r="C328" s="103"/>
      <c r="D328" s="103"/>
      <c r="E328" s="103"/>
      <c r="F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T328" s="103"/>
      <c r="U328" s="103"/>
      <c r="V328" s="103"/>
      <c r="Y328" s="103"/>
      <c r="Z328" s="103"/>
      <c r="AA328" s="103"/>
      <c r="AB328" s="103"/>
      <c r="AC328" s="103"/>
      <c r="AD328" s="103"/>
      <c r="AE328" s="103"/>
      <c r="AF328" s="103"/>
      <c r="AG328" s="185"/>
      <c r="AH328" s="103"/>
      <c r="AI328" s="103"/>
      <c r="AJ328" s="103"/>
      <c r="AK328" s="185"/>
      <c r="AL328" s="103"/>
      <c r="AM328" s="103"/>
      <c r="AN328" s="103"/>
    </row>
    <row r="329" spans="1:40" x14ac:dyDescent="0.25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208"/>
      <c r="AH329" s="102"/>
      <c r="AI329" s="102"/>
      <c r="AJ329" s="102"/>
      <c r="AK329" s="208"/>
      <c r="AL329" s="102"/>
      <c r="AM329" s="102"/>
      <c r="AN329" s="102"/>
    </row>
    <row r="330" spans="1:40" x14ac:dyDescent="0.25"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Y330" s="103"/>
      <c r="Z330" s="103"/>
      <c r="AA330" s="103"/>
      <c r="AB330" s="103"/>
      <c r="AC330" s="103"/>
      <c r="AD330" s="103"/>
      <c r="AE330" s="103"/>
      <c r="AF330" s="103"/>
      <c r="AG330" s="185"/>
      <c r="AH330" s="103"/>
      <c r="AI330" s="103"/>
      <c r="AJ330" s="103"/>
      <c r="AK330" s="185"/>
      <c r="AL330" s="103"/>
      <c r="AM330" s="103"/>
      <c r="AN330" s="103"/>
    </row>
    <row r="331" spans="1:40" x14ac:dyDescent="0.25">
      <c r="A331" s="202"/>
      <c r="C331" s="154"/>
      <c r="D331" s="154"/>
      <c r="E331" s="154"/>
      <c r="T331" s="154"/>
      <c r="U331" s="154"/>
    </row>
    <row r="332" spans="1:40" x14ac:dyDescent="0.25">
      <c r="A332" s="202"/>
      <c r="C332" s="154"/>
      <c r="T332" s="154"/>
    </row>
    <row r="334" spans="1:40" x14ac:dyDescent="0.25">
      <c r="A334" s="202"/>
      <c r="C334" s="154"/>
      <c r="F334" s="252"/>
      <c r="H334" s="252"/>
      <c r="I334" s="252"/>
      <c r="J334" s="300"/>
      <c r="K334" s="300"/>
      <c r="L334" s="200"/>
      <c r="M334" s="200"/>
      <c r="N334" s="210"/>
      <c r="O334" s="210"/>
      <c r="P334" s="202"/>
      <c r="Q334" s="202"/>
      <c r="R334" s="200"/>
      <c r="T334" s="154"/>
      <c r="V334" s="200"/>
      <c r="Y334" s="252"/>
      <c r="Z334" s="300"/>
      <c r="AA334" s="200"/>
      <c r="AB334" s="200"/>
      <c r="AC334" s="210"/>
      <c r="AD334" s="210"/>
      <c r="AE334" s="200"/>
      <c r="AF334" s="200"/>
      <c r="AG334" s="209"/>
      <c r="AH334" s="201"/>
      <c r="AI334" s="202"/>
      <c r="AJ334" s="202"/>
      <c r="AK334" s="209"/>
      <c r="AL334" s="200"/>
      <c r="AM334" s="210"/>
      <c r="AN334" s="210"/>
    </row>
    <row r="335" spans="1:40" x14ac:dyDescent="0.25">
      <c r="F335" s="211"/>
      <c r="H335" s="200"/>
      <c r="I335" s="200"/>
      <c r="J335" s="305"/>
      <c r="K335" s="305"/>
      <c r="L335" s="211"/>
      <c r="M335" s="211"/>
      <c r="N335" s="211"/>
      <c r="O335" s="211"/>
      <c r="P335" s="211"/>
      <c r="Q335" s="211"/>
      <c r="R335" s="211"/>
      <c r="V335" s="211"/>
      <c r="Y335" s="200"/>
      <c r="Z335" s="305"/>
      <c r="AA335" s="211"/>
      <c r="AB335" s="211"/>
      <c r="AC335" s="211"/>
      <c r="AD335" s="211"/>
      <c r="AE335" s="211"/>
      <c r="AF335" s="211"/>
      <c r="AI335" s="211"/>
      <c r="AJ335" s="211"/>
      <c r="AK335" s="212"/>
      <c r="AL335" s="211"/>
      <c r="AM335" s="210"/>
      <c r="AN335" s="210"/>
    </row>
    <row r="336" spans="1:40" x14ac:dyDescent="0.25">
      <c r="A336" s="202"/>
      <c r="C336" s="154"/>
      <c r="F336" s="252"/>
      <c r="H336" s="252"/>
      <c r="I336" s="252"/>
      <c r="J336" s="328"/>
      <c r="K336" s="328"/>
      <c r="L336" s="200"/>
      <c r="M336" s="200"/>
      <c r="N336" s="210"/>
      <c r="O336" s="210"/>
      <c r="P336" s="200"/>
      <c r="Q336" s="200"/>
      <c r="R336" s="200"/>
      <c r="S336" s="200"/>
      <c r="T336" s="154"/>
      <c r="V336" s="252"/>
      <c r="Y336" s="252"/>
      <c r="Z336" s="328"/>
      <c r="AA336" s="200"/>
      <c r="AB336" s="200"/>
      <c r="AC336" s="210"/>
      <c r="AD336" s="210"/>
      <c r="AE336" s="200"/>
      <c r="AF336" s="200"/>
      <c r="AG336" s="209"/>
      <c r="AH336" s="210"/>
      <c r="AI336" s="200"/>
      <c r="AJ336" s="200"/>
      <c r="AK336" s="209"/>
      <c r="AL336" s="200"/>
      <c r="AM336" s="210"/>
      <c r="AN336" s="210"/>
    </row>
    <row r="337" spans="1:40" x14ac:dyDescent="0.25">
      <c r="A337" s="202"/>
      <c r="C337" s="154"/>
      <c r="F337" s="252"/>
      <c r="H337" s="252"/>
      <c r="I337" s="252"/>
      <c r="J337" s="300"/>
      <c r="K337" s="300"/>
      <c r="L337" s="200"/>
      <c r="M337" s="200"/>
      <c r="N337" s="210"/>
      <c r="O337" s="210"/>
      <c r="P337" s="200"/>
      <c r="Q337" s="200"/>
      <c r="R337" s="200"/>
      <c r="T337" s="154"/>
      <c r="V337" s="252"/>
      <c r="Y337" s="200"/>
      <c r="Z337" s="300"/>
      <c r="AA337" s="200"/>
      <c r="AB337" s="200"/>
      <c r="AC337" s="210"/>
      <c r="AD337" s="210"/>
      <c r="AE337" s="200"/>
      <c r="AF337" s="200"/>
      <c r="AG337" s="209"/>
      <c r="AH337" s="201"/>
      <c r="AI337" s="200"/>
      <c r="AJ337" s="200"/>
      <c r="AK337" s="209"/>
      <c r="AL337" s="200"/>
      <c r="AM337" s="210"/>
      <c r="AN337" s="210"/>
    </row>
    <row r="338" spans="1:40" x14ac:dyDescent="0.25">
      <c r="A338" s="202"/>
      <c r="C338" s="154"/>
      <c r="F338" s="252"/>
      <c r="H338" s="252"/>
      <c r="I338" s="252"/>
      <c r="J338" s="300"/>
      <c r="K338" s="300"/>
      <c r="L338" s="200"/>
      <c r="M338" s="200"/>
      <c r="N338" s="210"/>
      <c r="O338" s="210"/>
      <c r="P338" s="200"/>
      <c r="Q338" s="200"/>
      <c r="R338" s="200"/>
      <c r="T338" s="154"/>
      <c r="V338" s="252"/>
      <c r="Y338" s="200"/>
      <c r="Z338" s="300"/>
      <c r="AA338" s="200"/>
      <c r="AB338" s="200"/>
      <c r="AC338" s="210"/>
      <c r="AD338" s="210"/>
      <c r="AE338" s="200"/>
      <c r="AF338" s="200"/>
      <c r="AG338" s="209"/>
      <c r="AH338" s="201"/>
      <c r="AI338" s="200"/>
      <c r="AJ338" s="200"/>
      <c r="AK338" s="209"/>
      <c r="AL338" s="200"/>
      <c r="AM338" s="210"/>
      <c r="AN338" s="210"/>
    </row>
    <row r="339" spans="1:40" x14ac:dyDescent="0.25">
      <c r="F339" s="211"/>
      <c r="H339" s="211"/>
      <c r="I339" s="211"/>
      <c r="J339" s="305"/>
      <c r="K339" s="305"/>
      <c r="L339" s="211"/>
      <c r="M339" s="211"/>
      <c r="N339" s="211"/>
      <c r="O339" s="211"/>
      <c r="P339" s="211"/>
      <c r="Q339" s="211"/>
      <c r="R339" s="211"/>
      <c r="V339" s="211"/>
      <c r="Y339" s="211"/>
      <c r="Z339" s="305"/>
      <c r="AA339" s="211"/>
      <c r="AB339" s="211"/>
      <c r="AC339" s="211"/>
      <c r="AD339" s="211"/>
      <c r="AE339" s="211"/>
      <c r="AF339" s="211"/>
      <c r="AI339" s="211"/>
      <c r="AJ339" s="211"/>
      <c r="AK339" s="212"/>
      <c r="AL339" s="211"/>
      <c r="AM339" s="210"/>
      <c r="AN339" s="210"/>
    </row>
    <row r="340" spans="1:40" x14ac:dyDescent="0.25">
      <c r="A340" s="202"/>
      <c r="C340" s="154"/>
      <c r="F340" s="200"/>
      <c r="H340" s="200"/>
      <c r="I340" s="200"/>
      <c r="J340" s="213"/>
      <c r="K340" s="213"/>
      <c r="L340" s="200"/>
      <c r="M340" s="200"/>
      <c r="N340" s="210"/>
      <c r="O340" s="210"/>
      <c r="P340" s="200"/>
      <c r="Q340" s="200"/>
      <c r="R340" s="200"/>
      <c r="T340" s="154"/>
      <c r="V340" s="200"/>
      <c r="Y340" s="200"/>
      <c r="Z340" s="213"/>
      <c r="AA340" s="200"/>
      <c r="AB340" s="200"/>
      <c r="AC340" s="210"/>
      <c r="AD340" s="210"/>
      <c r="AE340" s="200"/>
      <c r="AF340" s="200"/>
      <c r="AG340" s="209"/>
      <c r="AH340" s="201"/>
      <c r="AI340" s="200"/>
      <c r="AJ340" s="200"/>
      <c r="AK340" s="209"/>
      <c r="AL340" s="200"/>
      <c r="AM340" s="210"/>
      <c r="AN340" s="210"/>
    </row>
    <row r="341" spans="1:40" x14ac:dyDescent="0.25">
      <c r="F341" s="211"/>
      <c r="H341" s="211"/>
      <c r="I341" s="211"/>
      <c r="J341" s="305"/>
      <c r="K341" s="305"/>
      <c r="L341" s="211"/>
      <c r="M341" s="211"/>
      <c r="N341" s="211"/>
      <c r="O341" s="211"/>
      <c r="P341" s="211"/>
      <c r="Q341" s="211"/>
      <c r="R341" s="211"/>
      <c r="V341" s="211"/>
      <c r="Y341" s="211"/>
      <c r="Z341" s="305"/>
      <c r="AA341" s="211"/>
      <c r="AB341" s="211"/>
      <c r="AC341" s="211"/>
      <c r="AD341" s="211"/>
      <c r="AE341" s="211"/>
      <c r="AF341" s="211"/>
      <c r="AI341" s="211"/>
      <c r="AJ341" s="211"/>
      <c r="AK341" s="212"/>
      <c r="AL341" s="211"/>
      <c r="AM341" s="210"/>
      <c r="AN341" s="210"/>
    </row>
    <row r="342" spans="1:40" x14ac:dyDescent="0.25">
      <c r="A342" s="202"/>
      <c r="C342" s="154"/>
      <c r="F342" s="200"/>
      <c r="H342" s="200"/>
      <c r="I342" s="200"/>
      <c r="J342" s="213"/>
      <c r="K342" s="213"/>
      <c r="L342" s="200"/>
      <c r="M342" s="200"/>
      <c r="N342" s="210"/>
      <c r="O342" s="210"/>
      <c r="P342" s="200"/>
      <c r="Q342" s="200"/>
      <c r="R342" s="200"/>
      <c r="T342" s="154"/>
      <c r="V342" s="200"/>
      <c r="Y342" s="200"/>
      <c r="Z342" s="213"/>
      <c r="AA342" s="200"/>
      <c r="AB342" s="200"/>
      <c r="AC342" s="210"/>
      <c r="AD342" s="210"/>
      <c r="AE342" s="200"/>
      <c r="AF342" s="200"/>
      <c r="AG342" s="209"/>
      <c r="AH342" s="201"/>
      <c r="AI342" s="200"/>
      <c r="AJ342" s="200"/>
      <c r="AK342" s="209"/>
      <c r="AL342" s="200"/>
      <c r="AM342" s="210"/>
      <c r="AN342" s="210"/>
    </row>
    <row r="343" spans="1:40" x14ac:dyDescent="0.25">
      <c r="A343" s="202"/>
      <c r="C343" s="154"/>
      <c r="F343" s="200"/>
      <c r="H343" s="252"/>
      <c r="I343" s="252"/>
      <c r="J343" s="320"/>
      <c r="K343" s="320"/>
      <c r="L343" s="200"/>
      <c r="M343" s="200"/>
      <c r="N343" s="210"/>
      <c r="O343" s="210"/>
      <c r="P343" s="200"/>
      <c r="Q343" s="200"/>
      <c r="R343" s="200"/>
      <c r="T343" s="154"/>
      <c r="V343" s="200"/>
      <c r="Y343" s="200"/>
      <c r="Z343" s="304"/>
      <c r="AA343" s="200"/>
      <c r="AB343" s="200"/>
      <c r="AC343" s="210"/>
      <c r="AD343" s="210"/>
      <c r="AE343" s="200"/>
      <c r="AF343" s="200"/>
      <c r="AG343" s="209"/>
      <c r="AH343" s="201"/>
      <c r="AI343" s="200"/>
      <c r="AJ343" s="200"/>
      <c r="AK343" s="209"/>
      <c r="AL343" s="200"/>
      <c r="AM343" s="210"/>
      <c r="AN343" s="210"/>
    </row>
    <row r="344" spans="1:40" x14ac:dyDescent="0.25">
      <c r="F344" s="211"/>
      <c r="H344" s="211"/>
      <c r="I344" s="211"/>
      <c r="J344" s="305"/>
      <c r="K344" s="305"/>
      <c r="L344" s="211"/>
      <c r="M344" s="211"/>
      <c r="N344" s="211"/>
      <c r="O344" s="211"/>
      <c r="P344" s="211"/>
      <c r="Q344" s="211"/>
      <c r="R344" s="211"/>
      <c r="V344" s="211"/>
      <c r="Y344" s="211"/>
      <c r="Z344" s="305"/>
      <c r="AA344" s="211"/>
      <c r="AB344" s="211"/>
      <c r="AC344" s="211"/>
      <c r="AD344" s="211"/>
      <c r="AE344" s="211"/>
      <c r="AF344" s="211"/>
      <c r="AI344" s="211"/>
      <c r="AJ344" s="211"/>
      <c r="AK344" s="212"/>
      <c r="AL344" s="211"/>
      <c r="AM344" s="210"/>
      <c r="AN344" s="210"/>
    </row>
    <row r="346" spans="1:40" x14ac:dyDescent="0.25">
      <c r="A346" s="202"/>
      <c r="C346" s="154"/>
      <c r="F346" s="200"/>
      <c r="H346" s="200"/>
      <c r="I346" s="200"/>
      <c r="J346" s="305"/>
      <c r="K346" s="305"/>
      <c r="L346" s="200"/>
      <c r="M346" s="200"/>
      <c r="N346" s="210"/>
      <c r="O346" s="210"/>
      <c r="P346" s="200"/>
      <c r="Q346" s="200"/>
      <c r="R346" s="200"/>
      <c r="S346" s="200"/>
      <c r="T346" s="154"/>
      <c r="V346" s="200"/>
      <c r="Y346" s="200"/>
      <c r="Z346" s="305"/>
      <c r="AA346" s="200"/>
      <c r="AB346" s="200"/>
      <c r="AC346" s="210"/>
      <c r="AD346" s="210"/>
      <c r="AE346" s="200"/>
      <c r="AF346" s="200"/>
      <c r="AG346" s="209"/>
      <c r="AH346" s="210"/>
      <c r="AI346" s="200"/>
      <c r="AJ346" s="200"/>
      <c r="AK346" s="209"/>
      <c r="AL346" s="200"/>
      <c r="AM346" s="210"/>
      <c r="AN346" s="210"/>
    </row>
    <row r="347" spans="1:40" x14ac:dyDescent="0.25">
      <c r="F347" s="211"/>
      <c r="H347" s="211"/>
      <c r="I347" s="211"/>
      <c r="J347" s="305"/>
      <c r="K347" s="305"/>
      <c r="L347" s="211"/>
      <c r="M347" s="211"/>
      <c r="N347" s="211"/>
      <c r="O347" s="211"/>
      <c r="P347" s="211"/>
      <c r="Q347" s="211"/>
      <c r="R347" s="211"/>
      <c r="S347" s="200"/>
      <c r="V347" s="211"/>
      <c r="Y347" s="211"/>
      <c r="Z347" s="305"/>
      <c r="AA347" s="211"/>
      <c r="AB347" s="211"/>
      <c r="AC347" s="211"/>
      <c r="AD347" s="211"/>
      <c r="AE347" s="211"/>
      <c r="AF347" s="211"/>
      <c r="AI347" s="211"/>
      <c r="AJ347" s="211"/>
      <c r="AK347" s="212"/>
      <c r="AL347" s="211"/>
      <c r="AM347" s="210"/>
      <c r="AN347" s="210"/>
    </row>
    <row r="348" spans="1:40" x14ac:dyDescent="0.25">
      <c r="A348" s="202"/>
      <c r="C348" s="154"/>
      <c r="F348" s="252"/>
      <c r="H348" s="252"/>
      <c r="I348" s="252"/>
      <c r="J348" s="305"/>
      <c r="K348" s="305"/>
      <c r="L348" s="200"/>
      <c r="M348" s="200"/>
      <c r="N348" s="210"/>
      <c r="O348" s="210"/>
      <c r="P348" s="200"/>
      <c r="Q348" s="200"/>
      <c r="R348" s="200"/>
      <c r="S348" s="200"/>
      <c r="T348" s="154"/>
      <c r="V348" s="252"/>
      <c r="Y348" s="252"/>
      <c r="Z348" s="305"/>
      <c r="AA348" s="200"/>
      <c r="AB348" s="200"/>
      <c r="AC348" s="210"/>
      <c r="AD348" s="210"/>
      <c r="AE348" s="200"/>
      <c r="AF348" s="200"/>
      <c r="AI348" s="200"/>
      <c r="AJ348" s="200"/>
      <c r="AK348" s="209"/>
      <c r="AL348" s="200"/>
      <c r="AM348" s="210"/>
      <c r="AN348" s="210"/>
    </row>
    <row r="350" spans="1:40" x14ac:dyDescent="0.25">
      <c r="A350" s="202"/>
      <c r="C350" s="154"/>
      <c r="F350" s="252"/>
      <c r="H350" s="252"/>
      <c r="I350" s="252"/>
      <c r="J350" s="300"/>
      <c r="K350" s="300"/>
      <c r="L350" s="200"/>
      <c r="M350" s="200"/>
      <c r="N350" s="210"/>
      <c r="O350" s="210"/>
      <c r="P350" s="202"/>
      <c r="Q350" s="202"/>
      <c r="R350" s="200"/>
      <c r="T350" s="154"/>
      <c r="V350" s="200"/>
      <c r="Y350" s="252"/>
      <c r="Z350" s="300"/>
      <c r="AA350" s="200"/>
      <c r="AB350" s="200"/>
      <c r="AC350" s="210"/>
      <c r="AD350" s="210"/>
      <c r="AE350" s="200"/>
      <c r="AF350" s="200"/>
      <c r="AG350" s="209"/>
      <c r="AH350" s="201"/>
      <c r="AI350" s="202"/>
      <c r="AJ350" s="202"/>
      <c r="AK350" s="209"/>
      <c r="AL350" s="200"/>
      <c r="AM350" s="210"/>
      <c r="AN350" s="210"/>
    </row>
    <row r="351" spans="1:40" x14ac:dyDescent="0.25">
      <c r="F351" s="211"/>
      <c r="H351" s="200"/>
      <c r="I351" s="200"/>
      <c r="J351" s="305"/>
      <c r="K351" s="305"/>
      <c r="L351" s="211"/>
      <c r="M351" s="211"/>
      <c r="N351" s="211"/>
      <c r="O351" s="211"/>
      <c r="P351" s="211"/>
      <c r="Q351" s="211"/>
      <c r="R351" s="211"/>
      <c r="V351" s="211"/>
      <c r="Y351" s="200"/>
      <c r="Z351" s="305"/>
      <c r="AA351" s="211"/>
      <c r="AB351" s="211"/>
      <c r="AC351" s="211"/>
      <c r="AD351" s="211"/>
      <c r="AE351" s="211"/>
      <c r="AF351" s="211"/>
      <c r="AI351" s="211"/>
      <c r="AJ351" s="211"/>
      <c r="AK351" s="212"/>
      <c r="AL351" s="211"/>
      <c r="AM351" s="210"/>
      <c r="AN351" s="210"/>
    </row>
    <row r="352" spans="1:40" x14ac:dyDescent="0.25">
      <c r="A352" s="202"/>
      <c r="C352" s="154"/>
      <c r="F352" s="252"/>
      <c r="H352" s="252"/>
      <c r="I352" s="252"/>
      <c r="J352" s="328"/>
      <c r="K352" s="328"/>
      <c r="L352" s="200"/>
      <c r="M352" s="200"/>
      <c r="N352" s="210"/>
      <c r="O352" s="210"/>
      <c r="P352" s="200"/>
      <c r="Q352" s="200"/>
      <c r="R352" s="200"/>
      <c r="S352" s="200"/>
      <c r="T352" s="154"/>
      <c r="V352" s="252"/>
      <c r="Y352" s="252"/>
      <c r="Z352" s="328"/>
      <c r="AA352" s="200"/>
      <c r="AB352" s="200"/>
      <c r="AC352" s="210"/>
      <c r="AD352" s="210"/>
      <c r="AE352" s="200"/>
      <c r="AF352" s="200"/>
      <c r="AG352" s="209"/>
      <c r="AH352" s="210"/>
      <c r="AI352" s="200"/>
      <c r="AJ352" s="200"/>
      <c r="AK352" s="209"/>
      <c r="AL352" s="200"/>
      <c r="AM352" s="210"/>
      <c r="AN352" s="210"/>
    </row>
    <row r="353" spans="1:40" x14ac:dyDescent="0.25">
      <c r="A353" s="202"/>
      <c r="C353" s="154"/>
      <c r="F353" s="252"/>
      <c r="H353" s="252"/>
      <c r="I353" s="252"/>
      <c r="J353" s="300"/>
      <c r="K353" s="300"/>
      <c r="L353" s="200"/>
      <c r="M353" s="200"/>
      <c r="N353" s="210"/>
      <c r="O353" s="210"/>
      <c r="P353" s="200"/>
      <c r="Q353" s="200"/>
      <c r="R353" s="200"/>
      <c r="T353" s="154"/>
      <c r="V353" s="252"/>
      <c r="Y353" s="200"/>
      <c r="Z353" s="300"/>
      <c r="AA353" s="200"/>
      <c r="AB353" s="200"/>
      <c r="AC353" s="210"/>
      <c r="AD353" s="210"/>
      <c r="AE353" s="200"/>
      <c r="AF353" s="200"/>
      <c r="AG353" s="209"/>
      <c r="AH353" s="201"/>
      <c r="AI353" s="200"/>
      <c r="AJ353" s="200"/>
      <c r="AK353" s="209"/>
      <c r="AL353" s="200"/>
      <c r="AM353" s="210"/>
      <c r="AN353" s="210"/>
    </row>
    <row r="354" spans="1:40" x14ac:dyDescent="0.25">
      <c r="A354" s="202"/>
      <c r="C354" s="154"/>
      <c r="F354" s="252"/>
      <c r="H354" s="252"/>
      <c r="I354" s="252"/>
      <c r="J354" s="300"/>
      <c r="K354" s="300"/>
      <c r="L354" s="200"/>
      <c r="M354" s="200"/>
      <c r="N354" s="210"/>
      <c r="O354" s="210"/>
      <c r="P354" s="200"/>
      <c r="Q354" s="200"/>
      <c r="R354" s="200"/>
      <c r="T354" s="154"/>
      <c r="V354" s="252"/>
      <c r="Y354" s="200"/>
      <c r="Z354" s="300"/>
      <c r="AA354" s="200"/>
      <c r="AB354" s="200"/>
      <c r="AC354" s="210"/>
      <c r="AD354" s="210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F355" s="211"/>
      <c r="H355" s="211"/>
      <c r="I355" s="211"/>
      <c r="J355" s="305"/>
      <c r="K355" s="305"/>
      <c r="L355" s="211"/>
      <c r="M355" s="211"/>
      <c r="N355" s="211"/>
      <c r="O355" s="211"/>
      <c r="P355" s="211"/>
      <c r="Q355" s="211"/>
      <c r="R355" s="211"/>
      <c r="V355" s="211"/>
      <c r="Y355" s="211"/>
      <c r="Z355" s="305"/>
      <c r="AA355" s="211"/>
      <c r="AB355" s="211"/>
      <c r="AC355" s="211"/>
      <c r="AD355" s="211"/>
      <c r="AE355" s="211"/>
      <c r="AF355" s="211"/>
      <c r="AI355" s="211"/>
      <c r="AJ355" s="211"/>
      <c r="AK355" s="212"/>
      <c r="AL355" s="211"/>
      <c r="AM355" s="210"/>
      <c r="AN355" s="210"/>
    </row>
    <row r="356" spans="1:40" x14ac:dyDescent="0.25">
      <c r="A356" s="202"/>
      <c r="C356" s="154"/>
      <c r="F356" s="200"/>
      <c r="H356" s="200"/>
      <c r="I356" s="200"/>
      <c r="J356" s="213"/>
      <c r="K356" s="213"/>
      <c r="L356" s="200"/>
      <c r="M356" s="200"/>
      <c r="N356" s="210"/>
      <c r="O356" s="210"/>
      <c r="P356" s="200"/>
      <c r="Q356" s="200"/>
      <c r="R356" s="200"/>
      <c r="T356" s="154"/>
      <c r="V356" s="200"/>
      <c r="Y356" s="200"/>
      <c r="Z356" s="213"/>
      <c r="AA356" s="200"/>
      <c r="AB356" s="200"/>
      <c r="AC356" s="210"/>
      <c r="AD356" s="210"/>
      <c r="AE356" s="200"/>
      <c r="AF356" s="200"/>
      <c r="AG356" s="209"/>
      <c r="AH356" s="201"/>
      <c r="AI356" s="200"/>
      <c r="AJ356" s="200"/>
      <c r="AK356" s="209"/>
      <c r="AL356" s="200"/>
      <c r="AM356" s="210"/>
      <c r="AN356" s="210"/>
    </row>
    <row r="357" spans="1:40" x14ac:dyDescent="0.25">
      <c r="F357" s="211"/>
      <c r="H357" s="211"/>
      <c r="I357" s="211"/>
      <c r="J357" s="305"/>
      <c r="K357" s="305"/>
      <c r="L357" s="211"/>
      <c r="M357" s="211"/>
      <c r="N357" s="211"/>
      <c r="O357" s="211"/>
      <c r="P357" s="211"/>
      <c r="Q357" s="211"/>
      <c r="R357" s="211"/>
      <c r="V357" s="211"/>
      <c r="Y357" s="211"/>
      <c r="Z357" s="305"/>
      <c r="AA357" s="211"/>
      <c r="AB357" s="211"/>
      <c r="AC357" s="211"/>
      <c r="AD357" s="211"/>
      <c r="AE357" s="211"/>
      <c r="AF357" s="211"/>
      <c r="AI357" s="211"/>
      <c r="AJ357" s="211"/>
      <c r="AK357" s="212"/>
      <c r="AL357" s="211"/>
      <c r="AM357" s="210"/>
      <c r="AN357" s="210"/>
    </row>
    <row r="358" spans="1:40" x14ac:dyDescent="0.25">
      <c r="A358" s="202"/>
      <c r="C358" s="154"/>
      <c r="F358" s="200"/>
      <c r="H358" s="200"/>
      <c r="I358" s="200"/>
      <c r="J358" s="213"/>
      <c r="K358" s="213"/>
      <c r="L358" s="200"/>
      <c r="M358" s="200"/>
      <c r="N358" s="210"/>
      <c r="O358" s="210"/>
      <c r="P358" s="200"/>
      <c r="Q358" s="200"/>
      <c r="R358" s="200"/>
      <c r="T358" s="154"/>
      <c r="V358" s="200"/>
      <c r="Y358" s="200"/>
      <c r="Z358" s="213"/>
      <c r="AA358" s="200"/>
      <c r="AB358" s="200"/>
      <c r="AC358" s="210"/>
      <c r="AD358" s="210"/>
      <c r="AE358" s="200"/>
      <c r="AF358" s="200"/>
      <c r="AG358" s="209"/>
      <c r="AH358" s="201"/>
      <c r="AI358" s="200"/>
      <c r="AJ358" s="200"/>
      <c r="AK358" s="209"/>
      <c r="AL358" s="200"/>
      <c r="AM358" s="210"/>
      <c r="AN358" s="210"/>
    </row>
    <row r="359" spans="1:40" x14ac:dyDescent="0.25">
      <c r="A359" s="202"/>
      <c r="C359" s="154"/>
      <c r="F359" s="200"/>
      <c r="H359" s="252"/>
      <c r="I359" s="252"/>
      <c r="J359" s="320"/>
      <c r="K359" s="320"/>
      <c r="L359" s="200"/>
      <c r="M359" s="200"/>
      <c r="N359" s="210"/>
      <c r="O359" s="210"/>
      <c r="P359" s="200"/>
      <c r="Q359" s="200"/>
      <c r="R359" s="200"/>
      <c r="T359" s="154"/>
      <c r="V359" s="200"/>
      <c r="Y359" s="200"/>
      <c r="Z359" s="304"/>
      <c r="AA359" s="200"/>
      <c r="AB359" s="200"/>
      <c r="AC359" s="210"/>
      <c r="AD359" s="210"/>
      <c r="AE359" s="200"/>
      <c r="AF359" s="200"/>
      <c r="AG359" s="209"/>
      <c r="AH359" s="201"/>
      <c r="AI359" s="200"/>
      <c r="AJ359" s="200"/>
      <c r="AK359" s="209"/>
      <c r="AL359" s="200"/>
      <c r="AM359" s="210"/>
      <c r="AN359" s="210"/>
    </row>
    <row r="360" spans="1:40" x14ac:dyDescent="0.25">
      <c r="F360" s="211"/>
      <c r="H360" s="211"/>
      <c r="I360" s="211"/>
      <c r="J360" s="305"/>
      <c r="K360" s="305"/>
      <c r="L360" s="211"/>
      <c r="M360" s="211"/>
      <c r="N360" s="211"/>
      <c r="O360" s="211"/>
      <c r="P360" s="211"/>
      <c r="Q360" s="211"/>
      <c r="R360" s="211"/>
      <c r="V360" s="211"/>
      <c r="Y360" s="211"/>
      <c r="Z360" s="305"/>
      <c r="AA360" s="211"/>
      <c r="AB360" s="211"/>
      <c r="AC360" s="211"/>
      <c r="AD360" s="211"/>
      <c r="AE360" s="211"/>
      <c r="AF360" s="211"/>
      <c r="AI360" s="211"/>
      <c r="AJ360" s="211"/>
      <c r="AK360" s="212"/>
      <c r="AL360" s="211"/>
      <c r="AM360" s="210"/>
      <c r="AN360" s="210"/>
    </row>
    <row r="362" spans="1:40" x14ac:dyDescent="0.25">
      <c r="A362" s="202"/>
      <c r="C362" s="154"/>
      <c r="F362" s="200"/>
      <c r="H362" s="200"/>
      <c r="I362" s="200"/>
      <c r="J362" s="305"/>
      <c r="K362" s="305"/>
      <c r="L362" s="200"/>
      <c r="M362" s="200"/>
      <c r="N362" s="210"/>
      <c r="O362" s="210"/>
      <c r="P362" s="200"/>
      <c r="Q362" s="200"/>
      <c r="R362" s="200"/>
      <c r="S362" s="200"/>
      <c r="T362" s="154"/>
      <c r="V362" s="200"/>
      <c r="Y362" s="200"/>
      <c r="Z362" s="305"/>
      <c r="AA362" s="200"/>
      <c r="AB362" s="200"/>
      <c r="AC362" s="210"/>
      <c r="AD362" s="210"/>
      <c r="AE362" s="200"/>
      <c r="AF362" s="200"/>
      <c r="AG362" s="209"/>
      <c r="AH362" s="210"/>
      <c r="AI362" s="200"/>
      <c r="AJ362" s="200"/>
      <c r="AK362" s="209"/>
      <c r="AL362" s="200"/>
      <c r="AM362" s="210"/>
      <c r="AN362" s="210"/>
    </row>
    <row r="363" spans="1:40" x14ac:dyDescent="0.25">
      <c r="F363" s="211"/>
      <c r="H363" s="211"/>
      <c r="I363" s="211"/>
      <c r="J363" s="305"/>
      <c r="K363" s="305"/>
      <c r="L363" s="211"/>
      <c r="M363" s="211"/>
      <c r="N363" s="211"/>
      <c r="O363" s="211"/>
      <c r="P363" s="211"/>
      <c r="Q363" s="211"/>
      <c r="R363" s="211"/>
      <c r="S363" s="200"/>
      <c r="V363" s="211"/>
      <c r="Y363" s="211"/>
      <c r="Z363" s="305"/>
      <c r="AA363" s="211"/>
      <c r="AB363" s="211"/>
      <c r="AC363" s="211"/>
      <c r="AD363" s="211"/>
      <c r="AE363" s="211"/>
      <c r="AF363" s="211"/>
      <c r="AI363" s="211"/>
      <c r="AJ363" s="211"/>
      <c r="AK363" s="212"/>
      <c r="AL363" s="211"/>
      <c r="AM363" s="210"/>
      <c r="AN363" s="210"/>
    </row>
    <row r="364" spans="1:40" x14ac:dyDescent="0.25">
      <c r="A364" s="202"/>
      <c r="C364" s="154"/>
      <c r="T364" s="154"/>
    </row>
    <row r="365" spans="1:40" x14ac:dyDescent="0.25">
      <c r="A365" s="202"/>
      <c r="C365" s="154"/>
      <c r="F365" s="200"/>
      <c r="H365" s="200"/>
      <c r="I365" s="200"/>
      <c r="L365" s="200"/>
      <c r="M365" s="200"/>
      <c r="N365" s="210"/>
      <c r="O365" s="210"/>
      <c r="P365" s="252"/>
      <c r="Q365" s="252"/>
      <c r="R365" s="200"/>
      <c r="T365" s="154"/>
      <c r="V365" s="200"/>
      <c r="Y365" s="200"/>
      <c r="AA365" s="200"/>
      <c r="AB365" s="200"/>
      <c r="AC365" s="210"/>
      <c r="AD365" s="210"/>
      <c r="AE365" s="200"/>
      <c r="AF365" s="200"/>
      <c r="AG365" s="209"/>
      <c r="AH365" s="210"/>
      <c r="AI365" s="252"/>
      <c r="AJ365" s="252"/>
      <c r="AK365" s="209"/>
      <c r="AL365" s="200"/>
      <c r="AM365" s="210"/>
      <c r="AN365" s="210"/>
    </row>
    <row r="366" spans="1:40" x14ac:dyDescent="0.25">
      <c r="F366" s="211"/>
      <c r="H366" s="211"/>
      <c r="I366" s="211"/>
      <c r="J366" s="305"/>
      <c r="K366" s="305"/>
      <c r="L366" s="211"/>
      <c r="M366" s="211"/>
      <c r="N366" s="211"/>
      <c r="O366" s="211"/>
      <c r="P366" s="211"/>
      <c r="Q366" s="211"/>
      <c r="R366" s="211"/>
      <c r="V366" s="211"/>
      <c r="Y366" s="211"/>
      <c r="Z366" s="305"/>
      <c r="AA366" s="211"/>
      <c r="AB366" s="211"/>
      <c r="AC366" s="211"/>
      <c r="AD366" s="211"/>
      <c r="AE366" s="211"/>
      <c r="AF366" s="211"/>
      <c r="AI366" s="211"/>
      <c r="AJ366" s="211"/>
      <c r="AK366" s="212"/>
      <c r="AL366" s="211"/>
    </row>
    <row r="368" spans="1:40" x14ac:dyDescent="0.25">
      <c r="C368" s="154"/>
      <c r="L368" s="200"/>
      <c r="M368" s="200"/>
      <c r="N368" s="200"/>
      <c r="O368" s="200"/>
      <c r="P368" s="200"/>
      <c r="Q368" s="200"/>
      <c r="R368" s="200"/>
      <c r="S368" s="200"/>
      <c r="T368" s="154"/>
      <c r="AA368" s="200"/>
      <c r="AB368" s="200"/>
      <c r="AC368" s="200"/>
      <c r="AD368" s="200"/>
      <c r="AI368" s="200"/>
      <c r="AJ368" s="200"/>
      <c r="AK368" s="209"/>
      <c r="AL368" s="200"/>
    </row>
    <row r="369" spans="1:40" x14ac:dyDescent="0.25">
      <c r="A369" s="154"/>
    </row>
    <row r="370" spans="1:40" x14ac:dyDescent="0.25">
      <c r="J370" s="202"/>
      <c r="K370" s="202"/>
      <c r="Z370" s="202"/>
    </row>
    <row r="371" spans="1:40" x14ac:dyDescent="0.25">
      <c r="H371" s="154"/>
      <c r="I371" s="154"/>
      <c r="Y371" s="154"/>
    </row>
    <row r="372" spans="1:40" x14ac:dyDescent="0.25">
      <c r="J372" s="202"/>
      <c r="K372" s="202"/>
      <c r="Z372" s="202"/>
    </row>
    <row r="373" spans="1:40" x14ac:dyDescent="0.25">
      <c r="L373" s="154"/>
      <c r="M373" s="154"/>
      <c r="AA373" s="154"/>
      <c r="AB373" s="154"/>
    </row>
    <row r="374" spans="1:40" x14ac:dyDescent="0.25">
      <c r="A374" s="202"/>
      <c r="R374" s="154"/>
      <c r="AK374" s="297"/>
      <c r="AL374" s="154"/>
    </row>
    <row r="375" spans="1:40" x14ac:dyDescent="0.25">
      <c r="A375" s="202"/>
      <c r="R375" s="154"/>
      <c r="AK375" s="297"/>
      <c r="AL375" s="154"/>
    </row>
    <row r="376" spans="1:40" x14ac:dyDescent="0.25">
      <c r="A376" s="154"/>
      <c r="R376" s="154"/>
      <c r="AK376" s="297"/>
      <c r="AL376" s="154"/>
    </row>
    <row r="377" spans="1:40" x14ac:dyDescent="0.25">
      <c r="L377" s="154"/>
      <c r="M377" s="154"/>
      <c r="R377" s="202"/>
      <c r="AA377" s="154"/>
      <c r="AB377" s="154"/>
      <c r="AK377" s="209"/>
      <c r="AL377" s="202"/>
    </row>
    <row r="378" spans="1:40" x14ac:dyDescent="0.25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208"/>
      <c r="AH378" s="102"/>
      <c r="AI378" s="102"/>
      <c r="AJ378" s="102"/>
      <c r="AK378" s="208"/>
      <c r="AL378" s="102"/>
      <c r="AM378" s="102"/>
      <c r="AN378" s="102"/>
    </row>
    <row r="379" spans="1:40" x14ac:dyDescent="0.25">
      <c r="L379" s="103"/>
      <c r="M379" s="103"/>
      <c r="N379" s="103"/>
      <c r="O379" s="103"/>
      <c r="R379" s="103"/>
      <c r="AA379" s="103"/>
      <c r="AB379" s="103"/>
      <c r="AC379" s="103"/>
      <c r="AD379" s="103"/>
      <c r="AE379" s="103"/>
      <c r="AF379" s="103"/>
      <c r="AG379" s="185"/>
      <c r="AH379" s="103"/>
      <c r="AK379" s="185"/>
      <c r="AL379" s="103"/>
      <c r="AM379" s="103"/>
      <c r="AN379" s="103"/>
    </row>
    <row r="380" spans="1:40" x14ac:dyDescent="0.25">
      <c r="L380" s="103"/>
      <c r="M380" s="103"/>
      <c r="N380" s="103"/>
      <c r="O380" s="103"/>
      <c r="R380" s="103"/>
      <c r="Z380" s="103"/>
      <c r="AA380" s="103"/>
      <c r="AB380" s="103"/>
      <c r="AC380" s="103"/>
      <c r="AD380" s="103"/>
      <c r="AE380" s="103"/>
      <c r="AF380" s="103"/>
      <c r="AG380" s="185"/>
      <c r="AH380" s="103"/>
      <c r="AK380" s="185"/>
      <c r="AL380" s="103"/>
      <c r="AM380" s="103"/>
      <c r="AN380" s="103"/>
    </row>
    <row r="381" spans="1:40" x14ac:dyDescent="0.25">
      <c r="A381" s="103"/>
      <c r="C381" s="103"/>
      <c r="D381" s="103"/>
      <c r="E381" s="103"/>
      <c r="F381" s="103"/>
      <c r="J381" s="103"/>
      <c r="K381" s="103"/>
      <c r="L381" s="103"/>
      <c r="M381" s="103"/>
      <c r="N381" s="103"/>
      <c r="O381" s="103"/>
      <c r="P381" s="103"/>
      <c r="Q381" s="103"/>
      <c r="R381" s="103"/>
      <c r="T381" s="103"/>
      <c r="U381" s="103"/>
      <c r="V381" s="103"/>
      <c r="Z381" s="103"/>
      <c r="AA381" s="103"/>
      <c r="AB381" s="103"/>
      <c r="AC381" s="103"/>
      <c r="AD381" s="103"/>
      <c r="AE381" s="103"/>
      <c r="AF381" s="103"/>
      <c r="AG381" s="185"/>
      <c r="AH381" s="103"/>
      <c r="AI381" s="103"/>
      <c r="AJ381" s="103"/>
      <c r="AK381" s="185"/>
      <c r="AL381" s="103"/>
      <c r="AM381" s="103"/>
      <c r="AN381" s="103"/>
    </row>
    <row r="382" spans="1:40" x14ac:dyDescent="0.25">
      <c r="A382" s="103"/>
      <c r="C382" s="103"/>
      <c r="D382" s="103"/>
      <c r="E382" s="103"/>
      <c r="F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T382" s="103"/>
      <c r="U382" s="103"/>
      <c r="V382" s="103"/>
      <c r="Y382" s="103"/>
      <c r="Z382" s="103"/>
      <c r="AA382" s="103"/>
      <c r="AB382" s="103"/>
      <c r="AC382" s="103"/>
      <c r="AD382" s="103"/>
      <c r="AE382" s="103"/>
      <c r="AF382" s="103"/>
      <c r="AG382" s="185"/>
      <c r="AH382" s="103"/>
      <c r="AI382" s="103"/>
      <c r="AJ382" s="103"/>
      <c r="AK382" s="185"/>
      <c r="AL382" s="103"/>
      <c r="AM382" s="103"/>
      <c r="AN382" s="103"/>
    </row>
    <row r="383" spans="1:40" x14ac:dyDescent="0.25">
      <c r="C383" s="103"/>
      <c r="D383" s="103"/>
      <c r="E383" s="103"/>
      <c r="F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T383" s="103"/>
      <c r="U383" s="103"/>
      <c r="V383" s="103"/>
      <c r="Y383" s="103"/>
      <c r="Z383" s="103"/>
      <c r="AA383" s="103"/>
      <c r="AB383" s="103"/>
      <c r="AC383" s="103"/>
      <c r="AD383" s="103"/>
      <c r="AE383" s="103"/>
      <c r="AF383" s="103"/>
      <c r="AG383" s="185"/>
      <c r="AH383" s="103"/>
      <c r="AI383" s="103"/>
      <c r="AJ383" s="103"/>
      <c r="AK383" s="185"/>
      <c r="AL383" s="103"/>
      <c r="AM383" s="103"/>
      <c r="AN383" s="103"/>
    </row>
    <row r="384" spans="1:40" x14ac:dyDescent="0.25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208"/>
      <c r="AH384" s="102"/>
      <c r="AI384" s="102"/>
      <c r="AJ384" s="102"/>
      <c r="AK384" s="208"/>
      <c r="AL384" s="102"/>
      <c r="AM384" s="102"/>
      <c r="AN384" s="102"/>
    </row>
    <row r="385" spans="1:40" x14ac:dyDescent="0.25"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Y385" s="103"/>
      <c r="Z385" s="103"/>
      <c r="AA385" s="103"/>
      <c r="AB385" s="103"/>
      <c r="AC385" s="103"/>
      <c r="AD385" s="103"/>
      <c r="AE385" s="103"/>
      <c r="AF385" s="103"/>
      <c r="AG385" s="185"/>
      <c r="AH385" s="103"/>
      <c r="AI385" s="103"/>
      <c r="AJ385" s="103"/>
      <c r="AK385" s="185"/>
      <c r="AL385" s="103"/>
      <c r="AM385" s="103"/>
      <c r="AN385" s="103"/>
    </row>
    <row r="386" spans="1:40" x14ac:dyDescent="0.25">
      <c r="A386" s="202"/>
      <c r="C386" s="154"/>
      <c r="D386" s="154"/>
      <c r="E386" s="154"/>
      <c r="T386" s="154"/>
      <c r="U386" s="154"/>
    </row>
    <row r="387" spans="1:40" x14ac:dyDescent="0.25">
      <c r="D387" s="154"/>
      <c r="E387" s="154"/>
      <c r="U387" s="154"/>
    </row>
    <row r="389" spans="1:40" x14ac:dyDescent="0.25">
      <c r="A389" s="202"/>
      <c r="C389" s="154"/>
      <c r="T389" s="154"/>
    </row>
    <row r="390" spans="1:40" x14ac:dyDescent="0.25">
      <c r="A390" s="202"/>
      <c r="C390" s="154"/>
      <c r="F390" s="252"/>
      <c r="H390" s="252"/>
      <c r="I390" s="252"/>
      <c r="J390" s="329"/>
      <c r="K390" s="329"/>
      <c r="L390" s="200"/>
      <c r="M390" s="200"/>
      <c r="N390" s="210"/>
      <c r="O390" s="210"/>
      <c r="P390" s="200"/>
      <c r="Q390" s="200"/>
      <c r="R390" s="200"/>
      <c r="T390" s="154"/>
      <c r="V390" s="252"/>
      <c r="W390" s="200"/>
      <c r="X390" s="200"/>
      <c r="Y390" s="252"/>
      <c r="Z390" s="329"/>
      <c r="AA390" s="200"/>
      <c r="AB390" s="200"/>
      <c r="AC390" s="210"/>
      <c r="AD390" s="210"/>
      <c r="AE390" s="200"/>
      <c r="AF390" s="200"/>
      <c r="AG390" s="209"/>
      <c r="AH390" s="201"/>
      <c r="AI390" s="200"/>
      <c r="AJ390" s="200"/>
      <c r="AK390" s="209"/>
      <c r="AL390" s="200"/>
      <c r="AM390" s="210"/>
      <c r="AN390" s="210"/>
    </row>
    <row r="391" spans="1:40" x14ac:dyDescent="0.25">
      <c r="A391" s="202"/>
      <c r="C391" s="154"/>
      <c r="F391" s="200"/>
      <c r="H391" s="200"/>
      <c r="I391" s="200"/>
      <c r="J391" s="305"/>
      <c r="K391" s="305"/>
      <c r="L391" s="200"/>
      <c r="M391" s="200"/>
      <c r="N391" s="210"/>
      <c r="O391" s="210"/>
      <c r="P391" s="200"/>
      <c r="Q391" s="200"/>
      <c r="R391" s="200"/>
      <c r="T391" s="154"/>
      <c r="V391" s="252"/>
      <c r="W391" s="200"/>
      <c r="X391" s="200"/>
      <c r="Y391" s="252"/>
      <c r="Z391" s="305"/>
      <c r="AA391" s="200"/>
      <c r="AB391" s="200"/>
      <c r="AC391" s="210"/>
      <c r="AD391" s="210"/>
      <c r="AE391" s="200"/>
      <c r="AF391" s="200"/>
      <c r="AG391" s="209"/>
      <c r="AH391" s="201"/>
      <c r="AI391" s="200"/>
      <c r="AJ391" s="200"/>
      <c r="AK391" s="209"/>
      <c r="AL391" s="200"/>
      <c r="AM391" s="210"/>
      <c r="AN391" s="210"/>
    </row>
    <row r="392" spans="1:40" x14ac:dyDescent="0.25">
      <c r="A392" s="202"/>
      <c r="C392" s="154"/>
      <c r="F392" s="252"/>
      <c r="H392" s="252"/>
      <c r="I392" s="252"/>
      <c r="J392" s="329"/>
      <c r="K392" s="329"/>
      <c r="L392" s="200"/>
      <c r="M392" s="200"/>
      <c r="N392" s="210"/>
      <c r="O392" s="210"/>
      <c r="P392" s="200"/>
      <c r="Q392" s="200"/>
      <c r="R392" s="200"/>
      <c r="T392" s="154"/>
      <c r="V392" s="252"/>
      <c r="W392" s="200"/>
      <c r="X392" s="200"/>
      <c r="Y392" s="252"/>
      <c r="Z392" s="329"/>
      <c r="AA392" s="200"/>
      <c r="AB392" s="200"/>
      <c r="AC392" s="210"/>
      <c r="AD392" s="21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A393" s="202"/>
      <c r="C393" s="154"/>
      <c r="F393" s="252"/>
      <c r="H393" s="252"/>
      <c r="I393" s="252"/>
      <c r="J393" s="329"/>
      <c r="K393" s="329"/>
      <c r="L393" s="200"/>
      <c r="M393" s="200"/>
      <c r="N393" s="210"/>
      <c r="O393" s="210"/>
      <c r="P393" s="200"/>
      <c r="Q393" s="200"/>
      <c r="R393" s="200"/>
      <c r="T393" s="154"/>
      <c r="V393" s="252"/>
      <c r="W393" s="200"/>
      <c r="X393" s="200"/>
      <c r="Y393" s="252"/>
      <c r="Z393" s="329"/>
      <c r="AA393" s="200"/>
      <c r="AB393" s="200"/>
      <c r="AC393" s="210"/>
      <c r="AD393" s="210"/>
      <c r="AE393" s="200"/>
      <c r="AF393" s="200"/>
      <c r="AG393" s="209"/>
      <c r="AH393" s="201"/>
      <c r="AI393" s="200"/>
      <c r="AJ393" s="200"/>
      <c r="AK393" s="209"/>
      <c r="AL393" s="200"/>
      <c r="AM393" s="210"/>
      <c r="AN393" s="210"/>
    </row>
    <row r="394" spans="1:40" x14ac:dyDescent="0.25">
      <c r="A394" s="202"/>
      <c r="C394" s="154"/>
      <c r="F394" s="252"/>
      <c r="H394" s="252"/>
      <c r="I394" s="252"/>
      <c r="J394" s="329"/>
      <c r="K394" s="329"/>
      <c r="L394" s="200"/>
      <c r="M394" s="200"/>
      <c r="N394" s="210"/>
      <c r="O394" s="210"/>
      <c r="P394" s="200"/>
      <c r="Q394" s="200"/>
      <c r="R394" s="200"/>
      <c r="T394" s="154"/>
      <c r="V394" s="252"/>
      <c r="W394" s="200"/>
      <c r="X394" s="200"/>
      <c r="Y394" s="252"/>
      <c r="Z394" s="329"/>
      <c r="AA394" s="200"/>
      <c r="AB394" s="200"/>
      <c r="AC394" s="210"/>
      <c r="AD394" s="210"/>
      <c r="AE394" s="200"/>
      <c r="AF394" s="200"/>
      <c r="AG394" s="209"/>
      <c r="AH394" s="201"/>
      <c r="AI394" s="200"/>
      <c r="AJ394" s="200"/>
      <c r="AK394" s="209"/>
      <c r="AL394" s="200"/>
      <c r="AM394" s="210"/>
      <c r="AN394" s="210"/>
    </row>
    <row r="395" spans="1:40" x14ac:dyDescent="0.25">
      <c r="A395" s="202"/>
      <c r="C395" s="154"/>
      <c r="F395" s="200"/>
      <c r="H395" s="200"/>
      <c r="I395" s="200"/>
      <c r="J395" s="329"/>
      <c r="K395" s="329"/>
      <c r="L395" s="200"/>
      <c r="M395" s="200"/>
      <c r="N395" s="210"/>
      <c r="O395" s="210"/>
      <c r="P395" s="200"/>
      <c r="Q395" s="200"/>
      <c r="R395" s="200"/>
      <c r="T395" s="154"/>
      <c r="V395" s="252"/>
      <c r="W395" s="200"/>
      <c r="X395" s="200"/>
      <c r="Y395" s="252"/>
      <c r="Z395" s="329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A396" s="202"/>
      <c r="C396" s="154"/>
      <c r="F396" s="200"/>
      <c r="H396" s="200"/>
      <c r="I396" s="200"/>
      <c r="J396" s="329"/>
      <c r="K396" s="329"/>
      <c r="L396" s="200"/>
      <c r="M396" s="200"/>
      <c r="N396" s="210"/>
      <c r="O396" s="210"/>
      <c r="P396" s="200"/>
      <c r="Q396" s="200"/>
      <c r="R396" s="200"/>
      <c r="T396" s="154"/>
      <c r="V396" s="252"/>
      <c r="W396" s="200"/>
      <c r="X396" s="200"/>
      <c r="Y396" s="252"/>
      <c r="Z396" s="329"/>
      <c r="AA396" s="200"/>
      <c r="AB396" s="200"/>
      <c r="AC396" s="210"/>
      <c r="AD396" s="210"/>
      <c r="AE396" s="200"/>
      <c r="AF396" s="200"/>
      <c r="AG396" s="209"/>
      <c r="AH396" s="201"/>
      <c r="AI396" s="200"/>
      <c r="AJ396" s="200"/>
      <c r="AK396" s="209"/>
      <c r="AL396" s="200"/>
      <c r="AM396" s="210"/>
      <c r="AN396" s="210"/>
    </row>
    <row r="397" spans="1:40" x14ac:dyDescent="0.25">
      <c r="F397" s="331"/>
      <c r="H397" s="332"/>
      <c r="I397" s="332"/>
      <c r="J397" s="329"/>
      <c r="K397" s="329"/>
      <c r="L397" s="331"/>
      <c r="M397" s="331"/>
      <c r="N397" s="211"/>
      <c r="O397" s="211"/>
      <c r="P397" s="331"/>
      <c r="Q397" s="331"/>
      <c r="R397" s="331"/>
      <c r="V397" s="331"/>
      <c r="W397" s="200"/>
      <c r="X397" s="200"/>
      <c r="Y397" s="331"/>
      <c r="Z397" s="329"/>
      <c r="AA397" s="331"/>
      <c r="AB397" s="331"/>
      <c r="AC397" s="333"/>
      <c r="AD397" s="333"/>
      <c r="AE397" s="331"/>
      <c r="AF397" s="331"/>
      <c r="AG397" s="209"/>
      <c r="AH397" s="201"/>
      <c r="AI397" s="331"/>
      <c r="AJ397" s="331"/>
      <c r="AK397" s="208"/>
      <c r="AL397" s="331"/>
      <c r="AM397" s="210"/>
      <c r="AN397" s="210"/>
    </row>
    <row r="398" spans="1:40" x14ac:dyDescent="0.25">
      <c r="A398" s="202"/>
      <c r="C398" s="154"/>
      <c r="F398" s="200"/>
      <c r="H398" s="200"/>
      <c r="I398" s="200"/>
      <c r="J398" s="329"/>
      <c r="K398" s="329"/>
      <c r="L398" s="200"/>
      <c r="M398" s="200"/>
      <c r="N398" s="201"/>
      <c r="O398" s="201"/>
      <c r="P398" s="200"/>
      <c r="Q398" s="200"/>
      <c r="R398" s="200"/>
      <c r="T398" s="103"/>
      <c r="V398" s="200"/>
      <c r="W398" s="200"/>
      <c r="X398" s="200"/>
      <c r="Y398" s="200"/>
      <c r="Z398" s="329"/>
      <c r="AA398" s="200"/>
      <c r="AB398" s="200"/>
      <c r="AC398" s="201"/>
      <c r="AD398" s="201"/>
      <c r="AE398" s="200"/>
      <c r="AF398" s="200"/>
      <c r="AG398" s="209"/>
      <c r="AH398" s="201"/>
      <c r="AI398" s="200"/>
      <c r="AJ398" s="200"/>
      <c r="AK398" s="209"/>
      <c r="AL398" s="200"/>
      <c r="AM398" s="210"/>
      <c r="AN398" s="210"/>
    </row>
    <row r="399" spans="1:40" x14ac:dyDescent="0.25">
      <c r="F399" s="102"/>
      <c r="H399" s="102"/>
      <c r="I399" s="102"/>
      <c r="L399" s="102"/>
      <c r="M399" s="102"/>
      <c r="N399" s="333"/>
      <c r="O399" s="333"/>
      <c r="P399" s="331"/>
      <c r="Q399" s="331"/>
      <c r="R399" s="331"/>
      <c r="V399" s="331"/>
      <c r="Y399" s="331"/>
      <c r="Z399" s="305"/>
      <c r="AA399" s="331"/>
      <c r="AB399" s="331"/>
      <c r="AC399" s="331"/>
      <c r="AD399" s="331"/>
      <c r="AE399" s="331"/>
      <c r="AF399" s="331"/>
      <c r="AI399" s="331"/>
      <c r="AJ399" s="331"/>
      <c r="AK399" s="208"/>
      <c r="AL399" s="331"/>
      <c r="AM399" s="333"/>
      <c r="AN399" s="333"/>
    </row>
    <row r="400" spans="1:40" x14ac:dyDescent="0.25">
      <c r="AI400" s="202"/>
      <c r="AJ400" s="202"/>
    </row>
    <row r="404" spans="1:40" x14ac:dyDescent="0.25">
      <c r="N404" s="200"/>
      <c r="O404" s="200"/>
      <c r="P404" s="200"/>
      <c r="Q404" s="200"/>
      <c r="R404" s="200"/>
      <c r="V404" s="200"/>
      <c r="Y404" s="200"/>
      <c r="Z404" s="213"/>
      <c r="AA404" s="200"/>
      <c r="AB404" s="200"/>
      <c r="AC404" s="210"/>
      <c r="AD404" s="210"/>
      <c r="AE404" s="200"/>
      <c r="AF404" s="200"/>
      <c r="AG404" s="209"/>
      <c r="AH404" s="201"/>
      <c r="AI404" s="200"/>
      <c r="AJ404" s="200"/>
      <c r="AK404" s="209"/>
      <c r="AL404" s="200"/>
      <c r="AM404" s="210"/>
      <c r="AN404" s="210"/>
    </row>
    <row r="405" spans="1:40" x14ac:dyDescent="0.25">
      <c r="A405" s="202"/>
      <c r="C405" s="154"/>
      <c r="D405" s="154"/>
      <c r="E405" s="154"/>
      <c r="J405" s="334"/>
      <c r="K405" s="334"/>
      <c r="T405" s="154"/>
      <c r="U405" s="154"/>
      <c r="Z405" s="334"/>
      <c r="AE405" s="200"/>
      <c r="AF405" s="200"/>
      <c r="AI405" s="200"/>
      <c r="AJ405" s="200"/>
      <c r="AK405" s="209"/>
      <c r="AL405" s="200"/>
      <c r="AM405" s="210"/>
      <c r="AN405" s="210"/>
    </row>
    <row r="406" spans="1:40" x14ac:dyDescent="0.25">
      <c r="D406" s="154"/>
      <c r="E406" s="154"/>
      <c r="F406" s="200"/>
      <c r="H406" s="200"/>
      <c r="I406" s="200"/>
      <c r="J406" s="329"/>
      <c r="K406" s="329"/>
      <c r="L406" s="200"/>
      <c r="M406" s="200"/>
      <c r="N406" s="210"/>
      <c r="O406" s="210"/>
      <c r="P406" s="200"/>
      <c r="Q406" s="200"/>
      <c r="R406" s="200"/>
      <c r="U406" s="154"/>
      <c r="V406" s="200"/>
      <c r="Y406" s="200"/>
      <c r="Z406" s="329"/>
      <c r="AA406" s="200"/>
      <c r="AB406" s="200"/>
      <c r="AC406" s="210"/>
      <c r="AD406" s="210"/>
      <c r="AE406" s="200"/>
      <c r="AF406" s="200"/>
      <c r="AG406" s="209"/>
      <c r="AH406" s="201"/>
      <c r="AI406" s="200"/>
      <c r="AJ406" s="200"/>
      <c r="AK406" s="209"/>
      <c r="AL406" s="200"/>
      <c r="AM406" s="210"/>
      <c r="AN406" s="210"/>
    </row>
    <row r="407" spans="1:40" x14ac:dyDescent="0.25">
      <c r="F407" s="200"/>
      <c r="H407" s="200"/>
      <c r="I407" s="200"/>
      <c r="J407" s="305"/>
      <c r="K407" s="305"/>
      <c r="L407" s="200"/>
      <c r="M407" s="200"/>
      <c r="N407" s="200"/>
      <c r="O407" s="200"/>
      <c r="P407" s="200"/>
      <c r="Q407" s="200"/>
      <c r="R407" s="200"/>
      <c r="V407" s="200"/>
      <c r="Y407" s="200"/>
      <c r="Z407" s="305"/>
      <c r="AA407" s="200"/>
      <c r="AB407" s="200"/>
      <c r="AC407" s="200"/>
      <c r="AD407" s="200"/>
      <c r="AE407" s="200"/>
      <c r="AF407" s="200"/>
      <c r="AG407" s="209"/>
      <c r="AH407" s="201"/>
      <c r="AI407" s="252"/>
      <c r="AJ407" s="252"/>
      <c r="AK407" s="209"/>
      <c r="AL407" s="200"/>
      <c r="AM407" s="210"/>
      <c r="AN407" s="210"/>
    </row>
    <row r="408" spans="1:40" x14ac:dyDescent="0.25">
      <c r="A408" s="202"/>
      <c r="C408" s="154"/>
      <c r="F408" s="252"/>
      <c r="H408" s="252"/>
      <c r="I408" s="252"/>
      <c r="J408" s="304"/>
      <c r="K408" s="304"/>
      <c r="L408" s="200"/>
      <c r="M408" s="200"/>
      <c r="N408" s="210"/>
      <c r="O408" s="210"/>
      <c r="P408" s="200"/>
      <c r="Q408" s="200"/>
      <c r="R408" s="200"/>
      <c r="T408" s="154"/>
      <c r="V408" s="252"/>
      <c r="Y408" s="252"/>
      <c r="Z408" s="304"/>
      <c r="AA408" s="200"/>
      <c r="AB408" s="200"/>
      <c r="AC408" s="210"/>
      <c r="AD408" s="210"/>
      <c r="AE408" s="200"/>
      <c r="AF408" s="200"/>
      <c r="AG408" s="209"/>
      <c r="AH408" s="201"/>
      <c r="AI408" s="200"/>
      <c r="AJ408" s="200"/>
      <c r="AK408" s="209"/>
      <c r="AL408" s="200"/>
      <c r="AM408" s="210"/>
      <c r="AN408" s="210"/>
    </row>
    <row r="409" spans="1:40" x14ac:dyDescent="0.25">
      <c r="F409" s="102"/>
      <c r="H409" s="102"/>
      <c r="I409" s="102"/>
      <c r="L409" s="102"/>
      <c r="M409" s="102"/>
      <c r="N409" s="102"/>
      <c r="O409" s="102"/>
      <c r="P409" s="102"/>
      <c r="Q409" s="102"/>
      <c r="R409" s="102"/>
      <c r="V409" s="102"/>
      <c r="Y409" s="102"/>
      <c r="AA409" s="102"/>
      <c r="AB409" s="102"/>
      <c r="AC409" s="102"/>
      <c r="AD409" s="102"/>
      <c r="AE409" s="102"/>
      <c r="AF409" s="102"/>
      <c r="AG409" s="208"/>
      <c r="AH409" s="102"/>
      <c r="AI409" s="102"/>
      <c r="AJ409" s="102"/>
      <c r="AK409" s="208"/>
      <c r="AL409" s="102"/>
      <c r="AM409" s="102"/>
      <c r="AN409" s="102"/>
    </row>
    <row r="410" spans="1:40" x14ac:dyDescent="0.25">
      <c r="A410" s="202"/>
      <c r="C410" s="103"/>
      <c r="F410" s="252"/>
      <c r="H410" s="252"/>
      <c r="I410" s="252"/>
      <c r="J410" s="300"/>
      <c r="K410" s="300"/>
      <c r="L410" s="252"/>
      <c r="M410" s="252"/>
      <c r="N410" s="210"/>
      <c r="O410" s="210"/>
      <c r="P410" s="252"/>
      <c r="Q410" s="252"/>
      <c r="R410" s="252"/>
      <c r="T410" s="103"/>
      <c r="V410" s="200"/>
      <c r="Y410" s="200"/>
      <c r="Z410" s="213"/>
      <c r="AA410" s="200"/>
      <c r="AB410" s="200"/>
      <c r="AC410" s="210"/>
      <c r="AD410" s="210"/>
      <c r="AE410" s="202"/>
      <c r="AF410" s="202"/>
      <c r="AG410" s="209"/>
      <c r="AH410" s="201"/>
      <c r="AI410" s="200"/>
      <c r="AJ410" s="200"/>
      <c r="AK410" s="209"/>
      <c r="AL410" s="200"/>
      <c r="AM410" s="210"/>
      <c r="AN410" s="210"/>
    </row>
    <row r="411" spans="1:40" x14ac:dyDescent="0.25">
      <c r="F411" s="331"/>
      <c r="H411" s="331"/>
      <c r="I411" s="331"/>
      <c r="J411" s="305"/>
      <c r="K411" s="305"/>
      <c r="L411" s="331"/>
      <c r="M411" s="331"/>
      <c r="N411" s="331"/>
      <c r="O411" s="331"/>
      <c r="P411" s="331"/>
      <c r="Q411" s="331"/>
      <c r="R411" s="331"/>
      <c r="V411" s="102"/>
      <c r="Y411" s="102"/>
      <c r="AA411" s="102"/>
      <c r="AB411" s="102"/>
      <c r="AC411" s="102"/>
      <c r="AD411" s="102"/>
      <c r="AE411" s="102"/>
      <c r="AF411" s="102"/>
      <c r="AG411" s="208"/>
      <c r="AH411" s="102"/>
      <c r="AI411" s="102"/>
      <c r="AJ411" s="102"/>
      <c r="AK411" s="208"/>
      <c r="AL411" s="102"/>
      <c r="AM411" s="102"/>
      <c r="AN411" s="102"/>
    </row>
    <row r="412" spans="1:40" x14ac:dyDescent="0.25">
      <c r="F412" s="252"/>
      <c r="H412" s="252"/>
      <c r="I412" s="252"/>
      <c r="J412" s="328"/>
      <c r="K412" s="328"/>
      <c r="L412" s="200"/>
      <c r="M412" s="200"/>
      <c r="N412" s="210"/>
      <c r="O412" s="210"/>
      <c r="P412" s="200"/>
      <c r="Q412" s="200"/>
      <c r="R412" s="200"/>
    </row>
    <row r="413" spans="1:40" x14ac:dyDescent="0.25">
      <c r="A413" s="154"/>
      <c r="F413" s="252"/>
      <c r="H413" s="252"/>
      <c r="I413" s="252"/>
      <c r="J413" s="300"/>
      <c r="K413" s="300"/>
      <c r="L413" s="200"/>
      <c r="M413" s="200"/>
      <c r="N413" s="210"/>
      <c r="O413" s="210"/>
      <c r="P413" s="200"/>
      <c r="Q413" s="200"/>
      <c r="R413" s="200"/>
    </row>
    <row r="414" spans="1:40" x14ac:dyDescent="0.25">
      <c r="F414" s="252"/>
      <c r="H414" s="252"/>
      <c r="I414" s="252"/>
      <c r="J414" s="300"/>
      <c r="K414" s="300"/>
      <c r="L414" s="200"/>
      <c r="M414" s="200"/>
      <c r="N414" s="210"/>
      <c r="O414" s="210"/>
      <c r="P414" s="200"/>
      <c r="Q414" s="200"/>
      <c r="R414" s="200"/>
    </row>
    <row r="415" spans="1:40" x14ac:dyDescent="0.25">
      <c r="A415" s="154"/>
    </row>
    <row r="417" spans="1:40" x14ac:dyDescent="0.25">
      <c r="J417" s="202"/>
      <c r="K417" s="202"/>
      <c r="Z417" s="202"/>
    </row>
    <row r="418" spans="1:40" x14ac:dyDescent="0.25">
      <c r="H418" s="154"/>
      <c r="I418" s="154"/>
      <c r="Y418" s="154"/>
    </row>
    <row r="419" spans="1:40" x14ac:dyDescent="0.25">
      <c r="J419" s="202"/>
      <c r="K419" s="202"/>
      <c r="Z419" s="202"/>
    </row>
    <row r="420" spans="1:40" x14ac:dyDescent="0.25">
      <c r="L420" s="154"/>
      <c r="M420" s="154"/>
      <c r="AA420" s="154"/>
      <c r="AB420" s="154"/>
    </row>
    <row r="421" spans="1:40" x14ac:dyDescent="0.25">
      <c r="A421" s="202"/>
      <c r="R421" s="154"/>
      <c r="AK421" s="297"/>
      <c r="AL421" s="154"/>
    </row>
    <row r="422" spans="1:40" x14ac:dyDescent="0.25">
      <c r="A422" s="202"/>
      <c r="R422" s="154"/>
      <c r="AK422" s="297"/>
      <c r="AL422" s="154"/>
    </row>
    <row r="423" spans="1:40" x14ac:dyDescent="0.25">
      <c r="A423" s="154"/>
      <c r="R423" s="154"/>
      <c r="AK423" s="297"/>
      <c r="AL423" s="154"/>
    </row>
    <row r="424" spans="1:40" x14ac:dyDescent="0.25">
      <c r="L424" s="154"/>
      <c r="M424" s="154"/>
      <c r="R424" s="202"/>
      <c r="AA424" s="154"/>
      <c r="AB424" s="154"/>
      <c r="AK424" s="209"/>
      <c r="AL424" s="202"/>
    </row>
    <row r="425" spans="1:40" x14ac:dyDescent="0.25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208"/>
      <c r="AH425" s="102"/>
      <c r="AI425" s="102"/>
      <c r="AJ425" s="102"/>
      <c r="AK425" s="208"/>
      <c r="AL425" s="102"/>
      <c r="AM425" s="102"/>
      <c r="AN425" s="102"/>
    </row>
    <row r="426" spans="1:40" x14ac:dyDescent="0.25">
      <c r="L426" s="103"/>
      <c r="M426" s="103"/>
      <c r="N426" s="103"/>
      <c r="O426" s="103"/>
      <c r="R426" s="103"/>
      <c r="AA426" s="103"/>
      <c r="AB426" s="103"/>
      <c r="AC426" s="103"/>
      <c r="AD426" s="103"/>
      <c r="AE426" s="103"/>
      <c r="AF426" s="103"/>
      <c r="AG426" s="185"/>
      <c r="AH426" s="103"/>
      <c r="AK426" s="185"/>
      <c r="AL426" s="103"/>
      <c r="AM426" s="103"/>
      <c r="AN426" s="103"/>
    </row>
    <row r="427" spans="1:40" x14ac:dyDescent="0.25">
      <c r="L427" s="103"/>
      <c r="M427" s="103"/>
      <c r="N427" s="103"/>
      <c r="O427" s="103"/>
      <c r="R427" s="103"/>
      <c r="Z427" s="103"/>
      <c r="AA427" s="103"/>
      <c r="AB427" s="103"/>
      <c r="AC427" s="103"/>
      <c r="AD427" s="103"/>
      <c r="AE427" s="103"/>
      <c r="AF427" s="103"/>
      <c r="AG427" s="185"/>
      <c r="AH427" s="103"/>
      <c r="AK427" s="185"/>
      <c r="AL427" s="103"/>
      <c r="AM427" s="103"/>
      <c r="AN427" s="103"/>
    </row>
    <row r="428" spans="1:40" x14ac:dyDescent="0.25">
      <c r="A428" s="103"/>
      <c r="C428" s="103"/>
      <c r="D428" s="103"/>
      <c r="E428" s="103"/>
      <c r="F428" s="103"/>
      <c r="J428" s="103"/>
      <c r="K428" s="103"/>
      <c r="L428" s="103"/>
      <c r="M428" s="103"/>
      <c r="N428" s="103"/>
      <c r="O428" s="103"/>
      <c r="P428" s="103"/>
      <c r="Q428" s="103"/>
      <c r="R428" s="103"/>
      <c r="T428" s="103"/>
      <c r="U428" s="103"/>
      <c r="V428" s="103"/>
      <c r="Z428" s="103"/>
      <c r="AA428" s="103"/>
      <c r="AB428" s="103"/>
      <c r="AC428" s="103"/>
      <c r="AD428" s="103"/>
      <c r="AE428" s="103"/>
      <c r="AF428" s="103"/>
      <c r="AG428" s="185"/>
      <c r="AH428" s="103"/>
      <c r="AI428" s="103"/>
      <c r="AJ428" s="103"/>
      <c r="AK428" s="185"/>
      <c r="AL428" s="103"/>
      <c r="AM428" s="103"/>
      <c r="AN428" s="103"/>
    </row>
    <row r="429" spans="1:40" x14ac:dyDescent="0.25">
      <c r="A429" s="103"/>
      <c r="C429" s="103"/>
      <c r="D429" s="103"/>
      <c r="E429" s="103"/>
      <c r="F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T429" s="103"/>
      <c r="U429" s="103"/>
      <c r="V429" s="103"/>
      <c r="Y429" s="103"/>
      <c r="Z429" s="103"/>
      <c r="AA429" s="103"/>
      <c r="AB429" s="103"/>
      <c r="AC429" s="103"/>
      <c r="AD429" s="103"/>
      <c r="AE429" s="103"/>
      <c r="AF429" s="103"/>
      <c r="AG429" s="185"/>
      <c r="AH429" s="103"/>
      <c r="AI429" s="103"/>
      <c r="AJ429" s="103"/>
      <c r="AK429" s="185"/>
      <c r="AL429" s="103"/>
      <c r="AM429" s="103"/>
      <c r="AN429" s="103"/>
    </row>
    <row r="430" spans="1:40" x14ac:dyDescent="0.25">
      <c r="C430" s="103"/>
      <c r="D430" s="103"/>
      <c r="E430" s="103"/>
      <c r="F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T430" s="103"/>
      <c r="U430" s="103"/>
      <c r="V430" s="103"/>
      <c r="Y430" s="103"/>
      <c r="Z430" s="103"/>
      <c r="AA430" s="103"/>
      <c r="AB430" s="103"/>
      <c r="AC430" s="103"/>
      <c r="AD430" s="103"/>
      <c r="AE430" s="103"/>
      <c r="AF430" s="103"/>
      <c r="AG430" s="185"/>
      <c r="AH430" s="103"/>
      <c r="AI430" s="103"/>
      <c r="AJ430" s="103"/>
      <c r="AK430" s="185"/>
      <c r="AL430" s="103"/>
      <c r="AM430" s="103"/>
      <c r="AN430" s="103"/>
    </row>
    <row r="431" spans="1:40" x14ac:dyDescent="0.25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208"/>
      <c r="AH431" s="102"/>
      <c r="AI431" s="102"/>
      <c r="AJ431" s="102"/>
      <c r="AK431" s="208"/>
      <c r="AL431" s="102"/>
      <c r="AM431" s="102"/>
      <c r="AN431" s="102"/>
    </row>
    <row r="432" spans="1:40" x14ac:dyDescent="0.25"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Y432" s="103"/>
      <c r="Z432" s="103"/>
      <c r="AA432" s="103"/>
      <c r="AB432" s="103"/>
      <c r="AC432" s="103"/>
      <c r="AD432" s="103"/>
      <c r="AE432" s="103"/>
      <c r="AF432" s="103"/>
      <c r="AG432" s="185"/>
      <c r="AH432" s="103"/>
      <c r="AI432" s="103"/>
      <c r="AJ432" s="103"/>
      <c r="AK432" s="185"/>
      <c r="AL432" s="103"/>
      <c r="AM432" s="103"/>
      <c r="AN432" s="103"/>
    </row>
    <row r="433" spans="1:40" x14ac:dyDescent="0.25">
      <c r="A433" s="202"/>
      <c r="C433" s="154"/>
      <c r="D433" s="154"/>
      <c r="E433" s="154"/>
      <c r="T433" s="154"/>
      <c r="U433" s="154"/>
    </row>
    <row r="435" spans="1:40" x14ac:dyDescent="0.25">
      <c r="A435" s="202"/>
      <c r="C435" s="154"/>
      <c r="T435" s="154"/>
    </row>
    <row r="436" spans="1:40" x14ac:dyDescent="0.25">
      <c r="A436" s="202"/>
      <c r="C436" s="154"/>
      <c r="F436" s="252"/>
      <c r="H436" s="252"/>
      <c r="I436" s="252"/>
      <c r="J436" s="305"/>
      <c r="K436" s="305"/>
      <c r="L436" s="200"/>
      <c r="M436" s="200"/>
      <c r="N436" s="210"/>
      <c r="O436" s="210"/>
      <c r="P436" s="200"/>
      <c r="Q436" s="200"/>
      <c r="R436" s="200"/>
      <c r="T436" s="154"/>
      <c r="V436" s="252"/>
      <c r="Y436" s="252"/>
      <c r="Z436" s="305"/>
      <c r="AA436" s="200"/>
      <c r="AB436" s="200"/>
      <c r="AC436" s="210"/>
      <c r="AD436" s="210"/>
      <c r="AE436" s="200"/>
      <c r="AF436" s="200"/>
      <c r="AG436" s="209"/>
      <c r="AH436" s="201"/>
      <c r="AI436" s="200"/>
      <c r="AJ436" s="200"/>
      <c r="AK436" s="209"/>
      <c r="AL436" s="200"/>
      <c r="AM436" s="210"/>
      <c r="AN436" s="210"/>
    </row>
    <row r="437" spans="1:40" x14ac:dyDescent="0.25">
      <c r="A437" s="202"/>
      <c r="C437" s="154"/>
      <c r="T437" s="154"/>
    </row>
    <row r="438" spans="1:40" x14ac:dyDescent="0.25">
      <c r="A438" s="202"/>
      <c r="C438" s="154"/>
      <c r="F438" s="252"/>
      <c r="H438" s="252"/>
      <c r="I438" s="252"/>
      <c r="J438" s="329"/>
      <c r="K438" s="329"/>
      <c r="L438" s="200"/>
      <c r="M438" s="200"/>
      <c r="N438" s="210"/>
      <c r="O438" s="210"/>
      <c r="P438" s="200"/>
      <c r="Q438" s="200"/>
      <c r="R438" s="200"/>
      <c r="T438" s="154"/>
      <c r="V438" s="200"/>
      <c r="Y438" s="200"/>
      <c r="Z438" s="329"/>
      <c r="AA438" s="200"/>
      <c r="AB438" s="200"/>
      <c r="AC438" s="210"/>
      <c r="AD438" s="210"/>
      <c r="AE438" s="200"/>
      <c r="AF438" s="200"/>
      <c r="AG438" s="209"/>
      <c r="AH438" s="201"/>
      <c r="AI438" s="200"/>
      <c r="AJ438" s="200"/>
      <c r="AK438" s="209"/>
      <c r="AL438" s="200"/>
      <c r="AM438" s="210"/>
      <c r="AN438" s="210"/>
    </row>
    <row r="439" spans="1:40" x14ac:dyDescent="0.25">
      <c r="A439" s="202"/>
      <c r="C439" s="154"/>
      <c r="F439" s="252"/>
      <c r="H439" s="252"/>
      <c r="I439" s="252"/>
      <c r="J439" s="329"/>
      <c r="K439" s="329"/>
      <c r="L439" s="200"/>
      <c r="M439" s="200"/>
      <c r="N439" s="210"/>
      <c r="O439" s="210"/>
      <c r="P439" s="200"/>
      <c r="Q439" s="200"/>
      <c r="R439" s="200"/>
      <c r="T439" s="154"/>
      <c r="V439" s="200"/>
      <c r="Y439" s="200"/>
      <c r="Z439" s="329"/>
      <c r="AA439" s="200"/>
      <c r="AB439" s="200"/>
      <c r="AC439" s="210"/>
      <c r="AD439" s="210"/>
      <c r="AE439" s="200"/>
      <c r="AF439" s="200"/>
      <c r="AG439" s="209"/>
      <c r="AH439" s="201"/>
      <c r="AI439" s="200"/>
      <c r="AJ439" s="200"/>
      <c r="AK439" s="209"/>
      <c r="AL439" s="200"/>
      <c r="AM439" s="210"/>
      <c r="AN439" s="210"/>
    </row>
    <row r="440" spans="1:40" x14ac:dyDescent="0.25">
      <c r="A440" s="202"/>
      <c r="C440" s="154"/>
      <c r="F440" s="252"/>
      <c r="H440" s="252"/>
      <c r="I440" s="252"/>
      <c r="J440" s="329"/>
      <c r="K440" s="329"/>
      <c r="L440" s="200"/>
      <c r="M440" s="200"/>
      <c r="N440" s="210"/>
      <c r="O440" s="210"/>
      <c r="P440" s="200"/>
      <c r="Q440" s="200"/>
      <c r="R440" s="200"/>
      <c r="T440" s="154"/>
      <c r="V440" s="200"/>
      <c r="Y440" s="200"/>
      <c r="Z440" s="329"/>
      <c r="AA440" s="200"/>
      <c r="AB440" s="200"/>
      <c r="AC440" s="210"/>
      <c r="AD440" s="210"/>
      <c r="AE440" s="200"/>
      <c r="AF440" s="200"/>
      <c r="AG440" s="209"/>
      <c r="AH440" s="201"/>
      <c r="AI440" s="200"/>
      <c r="AJ440" s="200"/>
      <c r="AK440" s="209"/>
      <c r="AL440" s="200"/>
      <c r="AM440" s="210"/>
      <c r="AN440" s="210"/>
    </row>
    <row r="441" spans="1:40" x14ac:dyDescent="0.25">
      <c r="A441" s="202"/>
      <c r="C441" s="154"/>
      <c r="F441" s="252"/>
      <c r="H441" s="252"/>
      <c r="I441" s="252"/>
      <c r="J441" s="329"/>
      <c r="K441" s="329"/>
      <c r="L441" s="200"/>
      <c r="M441" s="200"/>
      <c r="N441" s="210"/>
      <c r="O441" s="210"/>
      <c r="P441" s="200"/>
      <c r="Q441" s="200"/>
      <c r="R441" s="200"/>
      <c r="T441" s="154"/>
      <c r="V441" s="200"/>
      <c r="Y441" s="200"/>
      <c r="Z441" s="329"/>
      <c r="AA441" s="200"/>
      <c r="AB441" s="200"/>
      <c r="AC441" s="210"/>
      <c r="AD441" s="210"/>
      <c r="AE441" s="200"/>
      <c r="AF441" s="200"/>
      <c r="AG441" s="209"/>
      <c r="AH441" s="201"/>
      <c r="AI441" s="200"/>
      <c r="AJ441" s="200"/>
      <c r="AK441" s="209"/>
      <c r="AL441" s="200"/>
      <c r="AM441" s="210"/>
      <c r="AN441" s="210"/>
    </row>
    <row r="442" spans="1:40" x14ac:dyDescent="0.25">
      <c r="A442" s="202"/>
      <c r="C442" s="154"/>
      <c r="J442" s="334"/>
      <c r="K442" s="334"/>
      <c r="T442" s="154"/>
      <c r="Z442" s="334"/>
    </row>
    <row r="443" spans="1:40" x14ac:dyDescent="0.25">
      <c r="A443" s="202"/>
      <c r="C443" s="154"/>
      <c r="F443" s="252"/>
      <c r="H443" s="252"/>
      <c r="I443" s="252"/>
      <c r="J443" s="329"/>
      <c r="K443" s="329"/>
      <c r="L443" s="200"/>
      <c r="M443" s="200"/>
      <c r="N443" s="210"/>
      <c r="O443" s="210"/>
      <c r="P443" s="200"/>
      <c r="Q443" s="200"/>
      <c r="R443" s="200"/>
      <c r="T443" s="154"/>
      <c r="V443" s="200"/>
      <c r="Y443" s="200"/>
      <c r="Z443" s="329"/>
      <c r="AA443" s="200"/>
      <c r="AB443" s="200"/>
      <c r="AC443" s="210"/>
      <c r="AD443" s="210"/>
      <c r="AE443" s="200"/>
      <c r="AF443" s="200"/>
      <c r="AG443" s="209"/>
      <c r="AH443" s="201"/>
      <c r="AI443" s="200"/>
      <c r="AJ443" s="200"/>
      <c r="AK443" s="209"/>
      <c r="AL443" s="200"/>
      <c r="AM443" s="210"/>
      <c r="AN443" s="210"/>
    </row>
    <row r="444" spans="1:40" x14ac:dyDescent="0.25">
      <c r="A444" s="202"/>
      <c r="C444" s="154"/>
      <c r="F444" s="252"/>
      <c r="H444" s="252"/>
      <c r="I444" s="252"/>
      <c r="J444" s="329"/>
      <c r="K444" s="329"/>
      <c r="L444" s="200"/>
      <c r="M444" s="200"/>
      <c r="N444" s="210"/>
      <c r="O444" s="210"/>
      <c r="P444" s="200"/>
      <c r="Q444" s="200"/>
      <c r="R444" s="200"/>
      <c r="T444" s="154"/>
      <c r="V444" s="200"/>
      <c r="Y444" s="200"/>
      <c r="Z444" s="329"/>
      <c r="AA444" s="200"/>
      <c r="AB444" s="200"/>
      <c r="AC444" s="210"/>
      <c r="AD444" s="210"/>
      <c r="AE444" s="200"/>
      <c r="AF444" s="200"/>
      <c r="AG444" s="209"/>
      <c r="AH444" s="201"/>
      <c r="AI444" s="200"/>
      <c r="AJ444" s="200"/>
      <c r="AK444" s="209"/>
      <c r="AL444" s="200"/>
      <c r="AM444" s="210"/>
      <c r="AN444" s="210"/>
    </row>
    <row r="445" spans="1:40" x14ac:dyDescent="0.25">
      <c r="A445" s="202"/>
      <c r="C445" s="154"/>
      <c r="F445" s="252"/>
      <c r="H445" s="252"/>
      <c r="I445" s="252"/>
      <c r="J445" s="329"/>
      <c r="K445" s="329"/>
      <c r="L445" s="200"/>
      <c r="M445" s="200"/>
      <c r="N445" s="210"/>
      <c r="O445" s="210"/>
      <c r="P445" s="200"/>
      <c r="Q445" s="200"/>
      <c r="R445" s="200"/>
      <c r="T445" s="154"/>
      <c r="V445" s="200"/>
      <c r="Y445" s="200"/>
      <c r="Z445" s="329"/>
      <c r="AA445" s="200"/>
      <c r="AB445" s="200"/>
      <c r="AC445" s="210"/>
      <c r="AD445" s="210"/>
      <c r="AE445" s="200"/>
      <c r="AF445" s="200"/>
      <c r="AG445" s="209"/>
      <c r="AH445" s="201"/>
      <c r="AI445" s="200"/>
      <c r="AJ445" s="200"/>
      <c r="AK445" s="209"/>
      <c r="AL445" s="200"/>
      <c r="AM445" s="210"/>
      <c r="AN445" s="210"/>
    </row>
    <row r="446" spans="1:40" x14ac:dyDescent="0.25">
      <c r="A446" s="202"/>
      <c r="C446" s="154"/>
      <c r="J446" s="334"/>
      <c r="K446" s="334"/>
      <c r="T446" s="154"/>
      <c r="Z446" s="334"/>
    </row>
    <row r="447" spans="1:40" x14ac:dyDescent="0.25">
      <c r="A447" s="202"/>
      <c r="C447" s="154"/>
      <c r="F447" s="252"/>
      <c r="H447" s="252"/>
      <c r="I447" s="252"/>
      <c r="J447" s="329"/>
      <c r="K447" s="329"/>
      <c r="L447" s="200"/>
      <c r="M447" s="200"/>
      <c r="N447" s="210"/>
      <c r="O447" s="210"/>
      <c r="P447" s="200"/>
      <c r="Q447" s="200"/>
      <c r="R447" s="200"/>
      <c r="T447" s="154"/>
      <c r="V447" s="200"/>
      <c r="Y447" s="200"/>
      <c r="Z447" s="329"/>
      <c r="AA447" s="200"/>
      <c r="AB447" s="200"/>
      <c r="AC447" s="210"/>
      <c r="AD447" s="210"/>
      <c r="AE447" s="200"/>
      <c r="AF447" s="200"/>
      <c r="AG447" s="209"/>
      <c r="AH447" s="201"/>
      <c r="AI447" s="200"/>
      <c r="AJ447" s="200"/>
      <c r="AK447" s="209"/>
      <c r="AL447" s="200"/>
      <c r="AM447" s="210"/>
      <c r="AN447" s="210"/>
    </row>
    <row r="448" spans="1:40" x14ac:dyDescent="0.25">
      <c r="A448" s="202"/>
      <c r="C448" s="154"/>
      <c r="F448" s="252"/>
      <c r="H448" s="252"/>
      <c r="I448" s="252"/>
      <c r="J448" s="329"/>
      <c r="K448" s="329"/>
      <c r="L448" s="200"/>
      <c r="M448" s="200"/>
      <c r="N448" s="210"/>
      <c r="O448" s="210"/>
      <c r="P448" s="200"/>
      <c r="Q448" s="200"/>
      <c r="R448" s="200"/>
      <c r="T448" s="154"/>
      <c r="V448" s="200"/>
      <c r="Y448" s="200"/>
      <c r="Z448" s="329"/>
      <c r="AA448" s="200"/>
      <c r="AB448" s="200"/>
      <c r="AC448" s="210"/>
      <c r="AD448" s="210"/>
      <c r="AE448" s="200"/>
      <c r="AF448" s="200"/>
      <c r="AG448" s="209"/>
      <c r="AH448" s="201"/>
      <c r="AI448" s="200"/>
      <c r="AJ448" s="200"/>
      <c r="AK448" s="209"/>
      <c r="AL448" s="200"/>
      <c r="AM448" s="210"/>
      <c r="AN448" s="210"/>
    </row>
    <row r="449" spans="1:40" x14ac:dyDescent="0.25">
      <c r="A449" s="202"/>
      <c r="C449" s="154"/>
      <c r="J449" s="334"/>
      <c r="K449" s="334"/>
      <c r="T449" s="154"/>
      <c r="Z449" s="334"/>
    </row>
    <row r="450" spans="1:40" x14ac:dyDescent="0.25">
      <c r="A450" s="202"/>
      <c r="C450" s="154"/>
      <c r="F450" s="252"/>
      <c r="H450" s="252"/>
      <c r="I450" s="252"/>
      <c r="J450" s="329"/>
      <c r="K450" s="329"/>
      <c r="L450" s="200"/>
      <c r="M450" s="200"/>
      <c r="N450" s="210"/>
      <c r="O450" s="210"/>
      <c r="P450" s="200"/>
      <c r="Q450" s="200"/>
      <c r="R450" s="200"/>
      <c r="T450" s="154"/>
      <c r="V450" s="200"/>
      <c r="Y450" s="200"/>
      <c r="Z450" s="329"/>
      <c r="AA450" s="200"/>
      <c r="AB450" s="200"/>
      <c r="AC450" s="210"/>
      <c r="AD450" s="210"/>
      <c r="AE450" s="200"/>
      <c r="AF450" s="200"/>
      <c r="AG450" s="209"/>
      <c r="AH450" s="201"/>
      <c r="AI450" s="200"/>
      <c r="AJ450" s="200"/>
      <c r="AK450" s="209"/>
      <c r="AL450" s="200"/>
      <c r="AM450" s="210"/>
      <c r="AN450" s="210"/>
    </row>
    <row r="451" spans="1:40" x14ac:dyDescent="0.25">
      <c r="A451" s="202"/>
      <c r="C451" s="154"/>
      <c r="F451" s="252"/>
      <c r="H451" s="252"/>
      <c r="I451" s="252"/>
      <c r="J451" s="329"/>
      <c r="K451" s="329"/>
      <c r="L451" s="200"/>
      <c r="M451" s="200"/>
      <c r="N451" s="210"/>
      <c r="O451" s="210"/>
      <c r="P451" s="200"/>
      <c r="Q451" s="200"/>
      <c r="R451" s="200"/>
      <c r="T451" s="154"/>
      <c r="V451" s="200"/>
      <c r="Y451" s="200"/>
      <c r="Z451" s="329"/>
      <c r="AA451" s="200"/>
      <c r="AB451" s="200"/>
      <c r="AC451" s="210"/>
      <c r="AD451" s="210"/>
      <c r="AE451" s="200"/>
      <c r="AF451" s="200"/>
      <c r="AG451" s="209"/>
      <c r="AH451" s="201"/>
      <c r="AI451" s="200"/>
      <c r="AJ451" s="200"/>
      <c r="AK451" s="209"/>
      <c r="AL451" s="200"/>
      <c r="AM451" s="210"/>
      <c r="AN451" s="210"/>
    </row>
    <row r="452" spans="1:40" x14ac:dyDescent="0.25">
      <c r="A452" s="202"/>
      <c r="C452" s="154"/>
      <c r="F452" s="252"/>
      <c r="H452" s="252"/>
      <c r="I452" s="252"/>
      <c r="J452" s="329"/>
      <c r="K452" s="329"/>
      <c r="L452" s="200"/>
      <c r="M452" s="200"/>
      <c r="N452" s="210"/>
      <c r="O452" s="210"/>
      <c r="P452" s="200"/>
      <c r="Q452" s="200"/>
      <c r="R452" s="200"/>
      <c r="T452" s="154"/>
      <c r="V452" s="200"/>
      <c r="Y452" s="200"/>
      <c r="Z452" s="329"/>
      <c r="AA452" s="200"/>
      <c r="AB452" s="200"/>
      <c r="AC452" s="210"/>
      <c r="AD452" s="210"/>
      <c r="AE452" s="200"/>
      <c r="AF452" s="200"/>
      <c r="AG452" s="209"/>
      <c r="AH452" s="201"/>
      <c r="AI452" s="200"/>
      <c r="AJ452" s="200"/>
      <c r="AK452" s="209"/>
      <c r="AL452" s="200"/>
      <c r="AM452" s="210"/>
      <c r="AN452" s="210"/>
    </row>
    <row r="453" spans="1:40" x14ac:dyDescent="0.25">
      <c r="F453" s="211"/>
      <c r="H453" s="211"/>
      <c r="I453" s="211"/>
      <c r="J453" s="329"/>
      <c r="K453" s="329"/>
      <c r="L453" s="211"/>
      <c r="M453" s="211"/>
      <c r="N453" s="211"/>
      <c r="O453" s="211"/>
      <c r="P453" s="211"/>
      <c r="Q453" s="211"/>
      <c r="R453" s="211"/>
      <c r="V453" s="211"/>
      <c r="Y453" s="211"/>
      <c r="Z453" s="329"/>
      <c r="AA453" s="211"/>
      <c r="AB453" s="211"/>
      <c r="AC453" s="211"/>
      <c r="AD453" s="211"/>
      <c r="AE453" s="211"/>
      <c r="AF453" s="211"/>
      <c r="AI453" s="211"/>
      <c r="AJ453" s="211"/>
      <c r="AK453" s="212"/>
      <c r="AL453" s="211"/>
    </row>
    <row r="454" spans="1:40" x14ac:dyDescent="0.25">
      <c r="A454" s="202"/>
      <c r="C454" s="103"/>
      <c r="F454" s="200"/>
      <c r="H454" s="200"/>
      <c r="I454" s="200"/>
      <c r="J454" s="334"/>
      <c r="K454" s="334"/>
      <c r="L454" s="200"/>
      <c r="M454" s="200"/>
      <c r="N454" s="201"/>
      <c r="O454" s="201"/>
      <c r="P454" s="200"/>
      <c r="Q454" s="200"/>
      <c r="R454" s="200"/>
      <c r="T454" s="103"/>
      <c r="V454" s="200"/>
      <c r="Y454" s="200"/>
      <c r="Z454" s="334"/>
      <c r="AA454" s="200"/>
      <c r="AB454" s="200"/>
      <c r="AC454" s="200"/>
      <c r="AD454" s="200"/>
      <c r="AE454" s="200"/>
      <c r="AF454" s="200"/>
      <c r="AG454" s="209"/>
      <c r="AH454" s="201"/>
      <c r="AI454" s="200"/>
      <c r="AJ454" s="200"/>
      <c r="AK454" s="209"/>
      <c r="AL454" s="200"/>
      <c r="AM454" s="210"/>
      <c r="AN454" s="210"/>
    </row>
    <row r="455" spans="1:40" x14ac:dyDescent="0.25">
      <c r="F455" s="211"/>
      <c r="H455" s="211"/>
      <c r="I455" s="211"/>
      <c r="J455" s="329"/>
      <c r="K455" s="329"/>
      <c r="L455" s="211"/>
      <c r="M455" s="211"/>
      <c r="N455" s="211"/>
      <c r="O455" s="211"/>
      <c r="P455" s="211"/>
      <c r="Q455" s="211"/>
      <c r="R455" s="211"/>
      <c r="V455" s="211"/>
      <c r="Y455" s="211"/>
      <c r="Z455" s="329"/>
      <c r="AA455" s="211"/>
      <c r="AB455" s="211"/>
      <c r="AC455" s="211"/>
      <c r="AD455" s="211"/>
      <c r="AE455" s="211"/>
      <c r="AF455" s="211"/>
      <c r="AI455" s="211"/>
      <c r="AJ455" s="211"/>
      <c r="AK455" s="212"/>
      <c r="AL455" s="211"/>
    </row>
    <row r="456" spans="1:40" x14ac:dyDescent="0.25">
      <c r="A456" s="202"/>
      <c r="C456" s="154"/>
      <c r="J456" s="334"/>
      <c r="K456" s="334"/>
      <c r="T456" s="154"/>
      <c r="Z456" s="334"/>
    </row>
    <row r="457" spans="1:40" x14ac:dyDescent="0.25">
      <c r="A457" s="202"/>
      <c r="C457" s="154"/>
      <c r="J457" s="334"/>
      <c r="K457" s="334"/>
      <c r="T457" s="154"/>
      <c r="Z457" s="334"/>
    </row>
    <row r="458" spans="1:40" x14ac:dyDescent="0.25">
      <c r="A458" s="202"/>
      <c r="C458" s="154"/>
      <c r="F458" s="252"/>
      <c r="H458" s="252"/>
      <c r="I458" s="252"/>
      <c r="J458" s="329"/>
      <c r="K458" s="329"/>
      <c r="L458" s="200"/>
      <c r="M458" s="200"/>
      <c r="N458" s="210"/>
      <c r="O458" s="210"/>
      <c r="P458" s="200"/>
      <c r="Q458" s="200"/>
      <c r="R458" s="200"/>
      <c r="T458" s="154"/>
      <c r="V458" s="200"/>
      <c r="Y458" s="200"/>
      <c r="Z458" s="329"/>
      <c r="AA458" s="200"/>
      <c r="AB458" s="200"/>
      <c r="AC458" s="210"/>
      <c r="AD458" s="210"/>
      <c r="AE458" s="200"/>
      <c r="AF458" s="200"/>
      <c r="AG458" s="209"/>
      <c r="AH458" s="201"/>
      <c r="AI458" s="200"/>
      <c r="AJ458" s="200"/>
      <c r="AK458" s="209"/>
      <c r="AL458" s="200"/>
      <c r="AM458" s="210"/>
      <c r="AN458" s="210"/>
    </row>
    <row r="459" spans="1:40" x14ac:dyDescent="0.25">
      <c r="A459" s="202"/>
      <c r="C459" s="154"/>
      <c r="F459" s="252"/>
      <c r="H459" s="252"/>
      <c r="I459" s="252"/>
      <c r="J459" s="329"/>
      <c r="K459" s="329"/>
      <c r="L459" s="200"/>
      <c r="M459" s="200"/>
      <c r="N459" s="210"/>
      <c r="O459" s="210"/>
      <c r="P459" s="200"/>
      <c r="Q459" s="200"/>
      <c r="R459" s="200"/>
      <c r="T459" s="154"/>
      <c r="V459" s="200"/>
      <c r="Y459" s="200"/>
      <c r="Z459" s="329"/>
      <c r="AA459" s="200"/>
      <c r="AB459" s="200"/>
      <c r="AC459" s="210"/>
      <c r="AD459" s="210"/>
      <c r="AE459" s="200"/>
      <c r="AF459" s="200"/>
      <c r="AG459" s="209"/>
      <c r="AH459" s="201"/>
      <c r="AI459" s="200"/>
      <c r="AJ459" s="200"/>
      <c r="AK459" s="209"/>
      <c r="AL459" s="200"/>
      <c r="AM459" s="210"/>
      <c r="AN459" s="210"/>
    </row>
    <row r="460" spans="1:40" x14ac:dyDescent="0.25">
      <c r="A460" s="202"/>
      <c r="C460" s="154"/>
      <c r="F460" s="252"/>
      <c r="H460" s="252"/>
      <c r="I460" s="252"/>
      <c r="J460" s="329"/>
      <c r="K460" s="329"/>
      <c r="L460" s="200"/>
      <c r="M460" s="200"/>
      <c r="N460" s="210"/>
      <c r="O460" s="210"/>
      <c r="P460" s="200"/>
      <c r="Q460" s="200"/>
      <c r="R460" s="200"/>
      <c r="T460" s="154"/>
      <c r="V460" s="200"/>
      <c r="Y460" s="200"/>
      <c r="Z460" s="329"/>
      <c r="AA460" s="200"/>
      <c r="AB460" s="200"/>
      <c r="AC460" s="210"/>
      <c r="AD460" s="210"/>
      <c r="AE460" s="200"/>
      <c r="AF460" s="200"/>
      <c r="AG460" s="209"/>
      <c r="AH460" s="201"/>
      <c r="AI460" s="200"/>
      <c r="AJ460" s="200"/>
      <c r="AK460" s="209"/>
      <c r="AL460" s="200"/>
      <c r="AM460" s="210"/>
      <c r="AN460" s="210"/>
    </row>
    <row r="461" spans="1:40" x14ac:dyDescent="0.25">
      <c r="A461" s="202"/>
      <c r="C461" s="154"/>
      <c r="F461" s="252"/>
      <c r="H461" s="252"/>
      <c r="I461" s="252"/>
      <c r="J461" s="329"/>
      <c r="K461" s="329"/>
      <c r="L461" s="200"/>
      <c r="M461" s="200"/>
      <c r="N461" s="210"/>
      <c r="O461" s="210"/>
      <c r="P461" s="200"/>
      <c r="Q461" s="200"/>
      <c r="R461" s="200"/>
      <c r="T461" s="154"/>
      <c r="V461" s="200"/>
      <c r="Y461" s="200"/>
      <c r="Z461" s="329"/>
      <c r="AA461" s="200"/>
      <c r="AB461" s="200"/>
      <c r="AC461" s="210"/>
      <c r="AD461" s="210"/>
      <c r="AE461" s="200"/>
      <c r="AF461" s="200"/>
      <c r="AG461" s="209"/>
      <c r="AH461" s="201"/>
      <c r="AI461" s="200"/>
      <c r="AJ461" s="200"/>
      <c r="AK461" s="209"/>
      <c r="AL461" s="200"/>
      <c r="AM461" s="210"/>
      <c r="AN461" s="210"/>
    </row>
    <row r="462" spans="1:40" x14ac:dyDescent="0.25">
      <c r="A462" s="202"/>
      <c r="C462" s="154"/>
      <c r="F462" s="252"/>
      <c r="H462" s="252"/>
      <c r="I462" s="252"/>
      <c r="J462" s="329"/>
      <c r="K462" s="329"/>
      <c r="L462" s="200"/>
      <c r="M462" s="200"/>
      <c r="N462" s="210"/>
      <c r="O462" s="210"/>
      <c r="P462" s="200"/>
      <c r="Q462" s="200"/>
      <c r="R462" s="200"/>
      <c r="T462" s="154"/>
      <c r="V462" s="200"/>
      <c r="Y462" s="200"/>
      <c r="Z462" s="329"/>
      <c r="AA462" s="200"/>
      <c r="AB462" s="200"/>
      <c r="AC462" s="210"/>
      <c r="AD462" s="210"/>
      <c r="AE462" s="200"/>
      <c r="AF462" s="200"/>
      <c r="AG462" s="209"/>
      <c r="AH462" s="201"/>
      <c r="AI462" s="200"/>
      <c r="AJ462" s="200"/>
      <c r="AK462" s="209"/>
      <c r="AL462" s="200"/>
      <c r="AM462" s="210"/>
      <c r="AN462" s="210"/>
    </row>
    <row r="463" spans="1:40" x14ac:dyDescent="0.25">
      <c r="A463" s="202"/>
      <c r="C463" s="154"/>
      <c r="F463" s="252"/>
      <c r="H463" s="252"/>
      <c r="I463" s="252"/>
      <c r="J463" s="329"/>
      <c r="K463" s="329"/>
      <c r="L463" s="200"/>
      <c r="M463" s="200"/>
      <c r="N463" s="210"/>
      <c r="O463" s="210"/>
      <c r="P463" s="200"/>
      <c r="Q463" s="200"/>
      <c r="R463" s="200"/>
      <c r="T463" s="154"/>
      <c r="V463" s="200"/>
      <c r="Y463" s="200"/>
      <c r="Z463" s="329"/>
      <c r="AA463" s="200"/>
      <c r="AB463" s="200"/>
      <c r="AC463" s="210"/>
      <c r="AD463" s="210"/>
      <c r="AE463" s="200"/>
      <c r="AF463" s="200"/>
      <c r="AG463" s="209"/>
      <c r="AH463" s="201"/>
      <c r="AI463" s="200"/>
      <c r="AJ463" s="200"/>
      <c r="AK463" s="209"/>
      <c r="AL463" s="200"/>
      <c r="AM463" s="210"/>
      <c r="AN463" s="210"/>
    </row>
    <row r="464" spans="1:40" x14ac:dyDescent="0.25">
      <c r="A464" s="202"/>
      <c r="C464" s="154"/>
      <c r="F464" s="252"/>
      <c r="H464" s="252"/>
      <c r="I464" s="252"/>
      <c r="J464" s="329"/>
      <c r="K464" s="329"/>
      <c r="L464" s="200"/>
      <c r="M464" s="200"/>
      <c r="N464" s="210"/>
      <c r="O464" s="210"/>
      <c r="P464" s="200"/>
      <c r="Q464" s="200"/>
      <c r="R464" s="200"/>
      <c r="T464" s="154"/>
      <c r="V464" s="200"/>
      <c r="Y464" s="200"/>
      <c r="Z464" s="329"/>
      <c r="AA464" s="200"/>
      <c r="AB464" s="200"/>
      <c r="AC464" s="210"/>
      <c r="AD464" s="210"/>
      <c r="AE464" s="200"/>
      <c r="AF464" s="200"/>
      <c r="AG464" s="209"/>
      <c r="AH464" s="201"/>
      <c r="AI464" s="200"/>
      <c r="AJ464" s="200"/>
      <c r="AK464" s="209"/>
      <c r="AL464" s="200"/>
      <c r="AM464" s="210"/>
      <c r="AN464" s="210"/>
    </row>
    <row r="465" spans="1:40" x14ac:dyDescent="0.25">
      <c r="A465" s="202"/>
      <c r="C465" s="154"/>
      <c r="J465" s="334"/>
      <c r="K465" s="334"/>
      <c r="T465" s="154"/>
      <c r="Z465" s="334"/>
    </row>
    <row r="466" spans="1:40" x14ac:dyDescent="0.25">
      <c r="A466" s="202"/>
      <c r="C466" s="154"/>
      <c r="F466" s="252"/>
      <c r="H466" s="252"/>
      <c r="I466" s="252"/>
      <c r="J466" s="329"/>
      <c r="K466" s="329"/>
      <c r="L466" s="200"/>
      <c r="M466" s="200"/>
      <c r="N466" s="210"/>
      <c r="O466" s="210"/>
      <c r="P466" s="200"/>
      <c r="Q466" s="200"/>
      <c r="R466" s="200"/>
      <c r="T466" s="154"/>
      <c r="V466" s="200"/>
      <c r="Y466" s="200"/>
      <c r="Z466" s="329"/>
      <c r="AA466" s="200"/>
      <c r="AB466" s="200"/>
      <c r="AC466" s="210"/>
      <c r="AD466" s="210"/>
      <c r="AE466" s="200"/>
      <c r="AF466" s="200"/>
      <c r="AG466" s="209"/>
      <c r="AH466" s="201"/>
      <c r="AI466" s="200"/>
      <c r="AJ466" s="200"/>
      <c r="AK466" s="209"/>
      <c r="AL466" s="200"/>
      <c r="AM466" s="210"/>
      <c r="AN466" s="210"/>
    </row>
    <row r="467" spans="1:40" x14ac:dyDescent="0.25">
      <c r="A467" s="202"/>
      <c r="C467" s="154"/>
      <c r="F467" s="252"/>
      <c r="H467" s="252"/>
      <c r="I467" s="252"/>
      <c r="J467" s="329"/>
      <c r="K467" s="329"/>
      <c r="L467" s="200"/>
      <c r="M467" s="200"/>
      <c r="N467" s="210"/>
      <c r="O467" s="210"/>
      <c r="P467" s="200"/>
      <c r="Q467" s="200"/>
      <c r="R467" s="200"/>
      <c r="T467" s="154"/>
      <c r="V467" s="200"/>
      <c r="Y467" s="200"/>
      <c r="Z467" s="329"/>
      <c r="AA467" s="200"/>
      <c r="AB467" s="200"/>
      <c r="AC467" s="210"/>
      <c r="AD467" s="210"/>
      <c r="AE467" s="200"/>
      <c r="AF467" s="200"/>
      <c r="AG467" s="209"/>
      <c r="AH467" s="201"/>
      <c r="AI467" s="200"/>
      <c r="AJ467" s="200"/>
      <c r="AK467" s="209"/>
      <c r="AL467" s="200"/>
      <c r="AM467" s="210"/>
      <c r="AN467" s="210"/>
    </row>
    <row r="468" spans="1:40" x14ac:dyDescent="0.25">
      <c r="A468" s="202"/>
      <c r="C468" s="154"/>
      <c r="F468" s="252"/>
      <c r="H468" s="252"/>
      <c r="I468" s="252"/>
      <c r="J468" s="329"/>
      <c r="K468" s="329"/>
      <c r="L468" s="200"/>
      <c r="M468" s="200"/>
      <c r="N468" s="210"/>
      <c r="O468" s="210"/>
      <c r="P468" s="200"/>
      <c r="Q468" s="200"/>
      <c r="R468" s="200"/>
      <c r="T468" s="154"/>
      <c r="V468" s="200"/>
      <c r="Y468" s="200"/>
      <c r="Z468" s="329"/>
      <c r="AA468" s="200"/>
      <c r="AB468" s="200"/>
      <c r="AC468" s="210"/>
      <c r="AD468" s="210"/>
      <c r="AE468" s="200"/>
      <c r="AF468" s="200"/>
      <c r="AG468" s="209"/>
      <c r="AH468" s="201"/>
      <c r="AI468" s="200"/>
      <c r="AJ468" s="200"/>
      <c r="AK468" s="209"/>
      <c r="AL468" s="200"/>
      <c r="AM468" s="210"/>
      <c r="AN468" s="210"/>
    </row>
    <row r="469" spans="1:40" x14ac:dyDescent="0.25">
      <c r="A469" s="202"/>
      <c r="C469" s="154"/>
      <c r="F469" s="252"/>
      <c r="H469" s="252"/>
      <c r="I469" s="252"/>
      <c r="J469" s="329"/>
      <c r="K469" s="329"/>
      <c r="L469" s="200"/>
      <c r="M469" s="200"/>
      <c r="N469" s="210"/>
      <c r="O469" s="210"/>
      <c r="P469" s="200"/>
      <c r="Q469" s="200"/>
      <c r="R469" s="200"/>
      <c r="T469" s="154"/>
      <c r="V469" s="200"/>
      <c r="Y469" s="200"/>
      <c r="Z469" s="329"/>
      <c r="AA469" s="200"/>
      <c r="AB469" s="200"/>
      <c r="AC469" s="210"/>
      <c r="AD469" s="210"/>
      <c r="AE469" s="200"/>
      <c r="AF469" s="200"/>
      <c r="AG469" s="209"/>
      <c r="AH469" s="201"/>
      <c r="AI469" s="200"/>
      <c r="AJ469" s="200"/>
      <c r="AK469" s="209"/>
      <c r="AL469" s="200"/>
      <c r="AM469" s="210"/>
      <c r="AN469" s="210"/>
    </row>
    <row r="470" spans="1:40" x14ac:dyDescent="0.25">
      <c r="A470" s="202"/>
      <c r="C470" s="154"/>
      <c r="J470" s="334"/>
      <c r="K470" s="334"/>
      <c r="T470" s="154"/>
      <c r="Z470" s="334"/>
    </row>
    <row r="471" spans="1:40" x14ac:dyDescent="0.25">
      <c r="A471" s="202"/>
      <c r="C471" s="154"/>
      <c r="F471" s="252"/>
      <c r="H471" s="252"/>
      <c r="I471" s="252"/>
      <c r="J471" s="329"/>
      <c r="K471" s="329"/>
      <c r="L471" s="200"/>
      <c r="M471" s="200"/>
      <c r="N471" s="210"/>
      <c r="O471" s="210"/>
      <c r="P471" s="200"/>
      <c r="Q471" s="200"/>
      <c r="R471" s="200"/>
      <c r="T471" s="154"/>
      <c r="V471" s="200"/>
      <c r="Y471" s="200"/>
      <c r="Z471" s="329"/>
      <c r="AA471" s="200"/>
      <c r="AB471" s="200"/>
      <c r="AC471" s="210"/>
      <c r="AD471" s="210"/>
      <c r="AE471" s="200"/>
      <c r="AF471" s="200"/>
      <c r="AG471" s="209"/>
      <c r="AH471" s="201"/>
      <c r="AI471" s="200"/>
      <c r="AJ471" s="200"/>
      <c r="AK471" s="209"/>
      <c r="AL471" s="200"/>
      <c r="AM471" s="210"/>
      <c r="AN471" s="210"/>
    </row>
    <row r="472" spans="1:40" x14ac:dyDescent="0.25">
      <c r="A472" s="202"/>
      <c r="C472" s="154"/>
      <c r="F472" s="252"/>
      <c r="H472" s="252"/>
      <c r="I472" s="252"/>
      <c r="J472" s="329"/>
      <c r="K472" s="329"/>
      <c r="L472" s="200"/>
      <c r="M472" s="200"/>
      <c r="N472" s="210"/>
      <c r="O472" s="210"/>
      <c r="P472" s="200"/>
      <c r="Q472" s="200"/>
      <c r="R472" s="200"/>
      <c r="T472" s="154"/>
      <c r="V472" s="200"/>
      <c r="Y472" s="200"/>
      <c r="Z472" s="329"/>
      <c r="AA472" s="200"/>
      <c r="AB472" s="200"/>
      <c r="AC472" s="210"/>
      <c r="AD472" s="210"/>
      <c r="AE472" s="200"/>
      <c r="AF472" s="200"/>
      <c r="AG472" s="209"/>
      <c r="AH472" s="201"/>
      <c r="AI472" s="200"/>
      <c r="AJ472" s="200"/>
      <c r="AK472" s="209"/>
      <c r="AL472" s="200"/>
      <c r="AM472" s="210"/>
      <c r="AN472" s="210"/>
    </row>
    <row r="473" spans="1:40" x14ac:dyDescent="0.25">
      <c r="A473" s="202"/>
      <c r="C473" s="154"/>
      <c r="F473" s="252"/>
      <c r="H473" s="252"/>
      <c r="I473" s="252"/>
      <c r="J473" s="329"/>
      <c r="K473" s="329"/>
      <c r="L473" s="200"/>
      <c r="M473" s="200"/>
      <c r="N473" s="210"/>
      <c r="O473" s="210"/>
      <c r="P473" s="200"/>
      <c r="Q473" s="200"/>
      <c r="R473" s="200"/>
      <c r="T473" s="154"/>
      <c r="V473" s="200"/>
      <c r="Y473" s="200"/>
      <c r="Z473" s="329"/>
      <c r="AA473" s="200"/>
      <c r="AB473" s="200"/>
      <c r="AC473" s="210"/>
      <c r="AD473" s="210"/>
      <c r="AE473" s="200"/>
      <c r="AF473" s="200"/>
      <c r="AG473" s="209"/>
      <c r="AH473" s="201"/>
      <c r="AI473" s="200"/>
      <c r="AJ473" s="200"/>
      <c r="AK473" s="209"/>
      <c r="AL473" s="200"/>
      <c r="AM473" s="210"/>
      <c r="AN473" s="210"/>
    </row>
    <row r="474" spans="1:40" x14ac:dyDescent="0.25">
      <c r="A474" s="202"/>
      <c r="C474" s="154"/>
      <c r="F474" s="252"/>
      <c r="H474" s="252"/>
      <c r="I474" s="252"/>
      <c r="J474" s="329"/>
      <c r="K474" s="329"/>
      <c r="L474" s="200"/>
      <c r="M474" s="200"/>
      <c r="N474" s="210"/>
      <c r="O474" s="210"/>
      <c r="P474" s="200"/>
      <c r="Q474" s="200"/>
      <c r="R474" s="200"/>
      <c r="T474" s="154"/>
      <c r="V474" s="200"/>
      <c r="Y474" s="200"/>
      <c r="Z474" s="329"/>
      <c r="AA474" s="200"/>
      <c r="AB474" s="200"/>
      <c r="AC474" s="210"/>
      <c r="AD474" s="210"/>
      <c r="AE474" s="200"/>
      <c r="AF474" s="200"/>
      <c r="AG474" s="209"/>
      <c r="AH474" s="201"/>
      <c r="AI474" s="200"/>
      <c r="AJ474" s="200"/>
      <c r="AK474" s="209"/>
      <c r="AL474" s="200"/>
      <c r="AM474" s="210"/>
      <c r="AN474" s="210"/>
    </row>
    <row r="475" spans="1:40" x14ac:dyDescent="0.25">
      <c r="A475" s="202"/>
      <c r="C475" s="154"/>
      <c r="F475" s="252"/>
      <c r="H475" s="252"/>
      <c r="I475" s="252"/>
      <c r="J475" s="329"/>
      <c r="K475" s="329"/>
      <c r="L475" s="200"/>
      <c r="M475" s="200"/>
      <c r="N475" s="210"/>
      <c r="O475" s="210"/>
      <c r="P475" s="200"/>
      <c r="Q475" s="200"/>
      <c r="R475" s="200"/>
      <c r="T475" s="154"/>
      <c r="V475" s="200"/>
      <c r="Y475" s="200"/>
      <c r="Z475" s="329"/>
      <c r="AA475" s="200"/>
      <c r="AB475" s="200"/>
      <c r="AC475" s="210"/>
      <c r="AD475" s="210"/>
      <c r="AE475" s="200"/>
      <c r="AF475" s="200"/>
      <c r="AG475" s="209"/>
      <c r="AH475" s="201"/>
      <c r="AI475" s="200"/>
      <c r="AJ475" s="200"/>
      <c r="AK475" s="209"/>
      <c r="AL475" s="200"/>
      <c r="AM475" s="210"/>
      <c r="AN475" s="210"/>
    </row>
    <row r="476" spans="1:40" x14ac:dyDescent="0.25">
      <c r="F476" s="211"/>
      <c r="H476" s="211"/>
      <c r="I476" s="211"/>
      <c r="J476" s="305"/>
      <c r="K476" s="305"/>
      <c r="L476" s="211"/>
      <c r="M476" s="211"/>
      <c r="N476" s="211"/>
      <c r="O476" s="211"/>
      <c r="P476" s="211"/>
      <c r="Q476" s="211"/>
      <c r="R476" s="211"/>
      <c r="V476" s="211"/>
      <c r="Y476" s="211"/>
      <c r="Z476" s="329"/>
      <c r="AA476" s="211"/>
      <c r="AB476" s="211"/>
      <c r="AC476" s="211"/>
      <c r="AD476" s="211"/>
      <c r="AE476" s="211"/>
      <c r="AF476" s="211"/>
      <c r="AI476" s="211"/>
      <c r="AJ476" s="211"/>
      <c r="AK476" s="212"/>
      <c r="AL476" s="211"/>
    </row>
    <row r="477" spans="1:40" x14ac:dyDescent="0.25">
      <c r="A477" s="202"/>
      <c r="C477" s="154"/>
      <c r="F477" s="200"/>
      <c r="H477" s="200"/>
      <c r="I477" s="200"/>
      <c r="L477" s="200"/>
      <c r="M477" s="200"/>
      <c r="N477" s="201"/>
      <c r="O477" s="201"/>
      <c r="P477" s="200"/>
      <c r="Q477" s="200"/>
      <c r="R477" s="200"/>
      <c r="T477" s="154"/>
      <c r="V477" s="200"/>
      <c r="Y477" s="200"/>
      <c r="AA477" s="200"/>
      <c r="AB477" s="200"/>
      <c r="AC477" s="210"/>
      <c r="AD477" s="210"/>
      <c r="AE477" s="200"/>
      <c r="AF477" s="200"/>
      <c r="AG477" s="209"/>
      <c r="AH477" s="201"/>
      <c r="AI477" s="200"/>
      <c r="AJ477" s="200"/>
      <c r="AK477" s="209"/>
      <c r="AL477" s="200"/>
      <c r="AM477" s="210"/>
      <c r="AN477" s="210"/>
    </row>
    <row r="478" spans="1:40" x14ac:dyDescent="0.25">
      <c r="F478" s="211"/>
      <c r="H478" s="211"/>
      <c r="I478" s="211"/>
      <c r="J478" s="305"/>
      <c r="K478" s="305"/>
      <c r="L478" s="211"/>
      <c r="M478" s="211"/>
      <c r="N478" s="211"/>
      <c r="O478" s="211"/>
      <c r="P478" s="211"/>
      <c r="Q478" s="211"/>
      <c r="R478" s="211"/>
      <c r="V478" s="211"/>
      <c r="Y478" s="211"/>
      <c r="Z478" s="305"/>
      <c r="AA478" s="211"/>
      <c r="AB478" s="211"/>
      <c r="AC478" s="211"/>
      <c r="AD478" s="211"/>
      <c r="AE478" s="211"/>
      <c r="AF478" s="211"/>
      <c r="AI478" s="211"/>
      <c r="AJ478" s="211"/>
      <c r="AK478" s="212"/>
      <c r="AL478" s="211"/>
    </row>
    <row r="479" spans="1:40" x14ac:dyDescent="0.25">
      <c r="A479" s="202"/>
      <c r="C479" s="154"/>
      <c r="T479" s="154"/>
    </row>
    <row r="480" spans="1:40" x14ac:dyDescent="0.25">
      <c r="A480" s="202"/>
      <c r="C480" s="154"/>
      <c r="F480" s="252"/>
      <c r="H480" s="252"/>
      <c r="I480" s="252"/>
      <c r="J480" s="300"/>
      <c r="K480" s="300"/>
      <c r="L480" s="200"/>
      <c r="M480" s="200"/>
      <c r="N480" s="210"/>
      <c r="O480" s="210"/>
      <c r="P480" s="200"/>
      <c r="Q480" s="200"/>
      <c r="R480" s="200"/>
      <c r="T480" s="154"/>
      <c r="V480" s="200"/>
      <c r="Y480" s="200"/>
      <c r="Z480" s="300"/>
      <c r="AA480" s="200"/>
      <c r="AB480" s="200"/>
      <c r="AC480" s="210"/>
      <c r="AD480" s="210"/>
      <c r="AE480" s="200"/>
      <c r="AF480" s="200"/>
      <c r="AG480" s="209"/>
      <c r="AH480" s="201"/>
      <c r="AI480" s="200"/>
      <c r="AJ480" s="200"/>
      <c r="AK480" s="209"/>
      <c r="AL480" s="200"/>
      <c r="AM480" s="210"/>
      <c r="AN480" s="210"/>
    </row>
    <row r="481" spans="1:40" x14ac:dyDescent="0.25">
      <c r="A481" s="202"/>
      <c r="C481" s="154"/>
      <c r="F481" s="252"/>
      <c r="H481" s="252"/>
      <c r="I481" s="252"/>
      <c r="J481" s="300"/>
      <c r="K481" s="300"/>
      <c r="L481" s="200"/>
      <c r="M481" s="200"/>
      <c r="N481" s="210"/>
      <c r="O481" s="210"/>
      <c r="P481" s="200"/>
      <c r="Q481" s="200"/>
      <c r="R481" s="200"/>
      <c r="T481" s="154"/>
      <c r="V481" s="200"/>
      <c r="Y481" s="200"/>
      <c r="Z481" s="300"/>
      <c r="AA481" s="200"/>
      <c r="AB481" s="200"/>
      <c r="AC481" s="210"/>
      <c r="AD481" s="210"/>
      <c r="AE481" s="200"/>
      <c r="AF481" s="200"/>
      <c r="AG481" s="209"/>
      <c r="AH481" s="201"/>
      <c r="AI481" s="200"/>
      <c r="AJ481" s="200"/>
      <c r="AK481" s="209"/>
      <c r="AL481" s="200"/>
      <c r="AM481" s="210"/>
      <c r="AN481" s="210"/>
    </row>
    <row r="482" spans="1:40" x14ac:dyDescent="0.25">
      <c r="F482" s="211"/>
      <c r="H482" s="200"/>
      <c r="I482" s="200"/>
      <c r="J482" s="305"/>
      <c r="K482" s="305"/>
      <c r="L482" s="211"/>
      <c r="M482" s="211"/>
      <c r="N482" s="211"/>
      <c r="O482" s="211"/>
      <c r="P482" s="211"/>
      <c r="Q482" s="211"/>
      <c r="R482" s="211"/>
      <c r="V482" s="211"/>
      <c r="Y482" s="200"/>
      <c r="Z482" s="305"/>
      <c r="AA482" s="211"/>
      <c r="AB482" s="211"/>
      <c r="AC482" s="211"/>
      <c r="AD482" s="211"/>
      <c r="AE482" s="211"/>
      <c r="AF482" s="211"/>
      <c r="AI482" s="211"/>
      <c r="AJ482" s="211"/>
      <c r="AK482" s="212"/>
      <c r="AL482" s="211"/>
    </row>
    <row r="483" spans="1:40" x14ac:dyDescent="0.25">
      <c r="F483" s="200"/>
      <c r="H483" s="200"/>
      <c r="I483" s="200"/>
      <c r="J483" s="305"/>
      <c r="K483" s="305"/>
      <c r="L483" s="200"/>
      <c r="M483" s="200"/>
      <c r="N483" s="200"/>
      <c r="O483" s="200"/>
      <c r="P483" s="200"/>
      <c r="Q483" s="200"/>
      <c r="R483" s="200"/>
      <c r="V483" s="200"/>
      <c r="Y483" s="200"/>
      <c r="Z483" s="305"/>
      <c r="AA483" s="200"/>
      <c r="AB483" s="200"/>
      <c r="AC483" s="200"/>
      <c r="AD483" s="200"/>
      <c r="AE483" s="200"/>
      <c r="AF483" s="200"/>
      <c r="AI483" s="200"/>
      <c r="AJ483" s="200"/>
      <c r="AK483" s="209"/>
      <c r="AL483" s="200"/>
    </row>
    <row r="484" spans="1:40" x14ac:dyDescent="0.25">
      <c r="A484" s="202"/>
      <c r="C484" s="154"/>
      <c r="F484" s="200"/>
      <c r="H484" s="200"/>
      <c r="I484" s="200"/>
      <c r="L484" s="200"/>
      <c r="M484" s="200"/>
      <c r="N484" s="210"/>
      <c r="O484" s="210"/>
      <c r="P484" s="200"/>
      <c r="Q484" s="200"/>
      <c r="R484" s="200"/>
      <c r="T484" s="154"/>
      <c r="V484" s="200"/>
      <c r="Y484" s="200"/>
      <c r="AA484" s="200"/>
      <c r="AB484" s="200"/>
      <c r="AC484" s="210"/>
      <c r="AD484" s="210"/>
      <c r="AE484" s="200"/>
      <c r="AF484" s="200"/>
      <c r="AG484" s="209"/>
      <c r="AH484" s="201"/>
      <c r="AI484" s="252"/>
      <c r="AJ484" s="252"/>
      <c r="AK484" s="209"/>
      <c r="AL484" s="200"/>
      <c r="AM484" s="210"/>
      <c r="AN484" s="210"/>
    </row>
    <row r="485" spans="1:40" x14ac:dyDescent="0.25">
      <c r="F485" s="211"/>
      <c r="H485" s="211"/>
      <c r="I485" s="211"/>
      <c r="J485" s="305"/>
      <c r="K485" s="305"/>
      <c r="L485" s="211"/>
      <c r="M485" s="211"/>
      <c r="N485" s="211"/>
      <c r="O485" s="211"/>
      <c r="P485" s="211"/>
      <c r="Q485" s="211"/>
      <c r="R485" s="211"/>
      <c r="V485" s="211"/>
      <c r="Y485" s="211"/>
      <c r="Z485" s="305"/>
      <c r="AA485" s="211"/>
      <c r="AB485" s="211"/>
      <c r="AC485" s="211"/>
      <c r="AD485" s="211"/>
      <c r="AE485" s="211"/>
      <c r="AF485" s="211"/>
      <c r="AI485" s="211"/>
      <c r="AJ485" s="211"/>
      <c r="AK485" s="212"/>
      <c r="AL485" s="211"/>
    </row>
    <row r="487" spans="1:40" x14ac:dyDescent="0.25">
      <c r="A487" s="154"/>
      <c r="T487" s="154"/>
    </row>
    <row r="488" spans="1:40" x14ac:dyDescent="0.25">
      <c r="A488" s="154"/>
      <c r="T488" s="154"/>
    </row>
    <row r="489" spans="1:40" x14ac:dyDescent="0.25">
      <c r="A489" s="154"/>
      <c r="T489" s="154"/>
    </row>
    <row r="490" spans="1:40" x14ac:dyDescent="0.25">
      <c r="A490" s="154"/>
      <c r="T490" s="154"/>
    </row>
    <row r="491" spans="1:40" x14ac:dyDescent="0.25">
      <c r="A491" s="154"/>
      <c r="T491" s="154"/>
    </row>
    <row r="492" spans="1:40" x14ac:dyDescent="0.25">
      <c r="A492" s="154"/>
      <c r="T492" s="154"/>
    </row>
    <row r="493" spans="1:40" x14ac:dyDescent="0.25">
      <c r="A493" s="154"/>
      <c r="T493" s="154"/>
    </row>
    <row r="494" spans="1:40" x14ac:dyDescent="0.25">
      <c r="A494" s="154"/>
      <c r="T494" s="154"/>
    </row>
    <row r="495" spans="1:40" x14ac:dyDescent="0.25">
      <c r="A495" s="154"/>
      <c r="T495" s="154"/>
    </row>
    <row r="497" spans="1:40" x14ac:dyDescent="0.25">
      <c r="A497" s="154"/>
    </row>
    <row r="498" spans="1:40" x14ac:dyDescent="0.25">
      <c r="J498" s="202"/>
      <c r="K498" s="202"/>
      <c r="Z498" s="202"/>
    </row>
    <row r="499" spans="1:40" x14ac:dyDescent="0.25">
      <c r="H499" s="154"/>
      <c r="I499" s="154"/>
      <c r="Y499" s="154"/>
    </row>
    <row r="500" spans="1:40" x14ac:dyDescent="0.25">
      <c r="J500" s="202"/>
      <c r="K500" s="202"/>
      <c r="Z500" s="202"/>
    </row>
    <row r="501" spans="1:40" x14ac:dyDescent="0.25">
      <c r="L501" s="154"/>
      <c r="M501" s="154"/>
      <c r="AA501" s="154"/>
      <c r="AB501" s="154"/>
    </row>
    <row r="502" spans="1:40" x14ac:dyDescent="0.25">
      <c r="A502" s="202"/>
      <c r="R502" s="154"/>
      <c r="AK502" s="297"/>
      <c r="AL502" s="154"/>
    </row>
    <row r="503" spans="1:40" x14ac:dyDescent="0.25">
      <c r="A503" s="202"/>
      <c r="R503" s="154"/>
      <c r="AK503" s="297"/>
      <c r="AL503" s="154"/>
    </row>
    <row r="504" spans="1:40" x14ac:dyDescent="0.25">
      <c r="A504" s="154"/>
      <c r="R504" s="154"/>
      <c r="AK504" s="297"/>
      <c r="AL504" s="154"/>
    </row>
    <row r="505" spans="1:40" x14ac:dyDescent="0.25">
      <c r="L505" s="154"/>
      <c r="M505" s="154"/>
      <c r="R505" s="202"/>
      <c r="AA505" s="154"/>
      <c r="AB505" s="154"/>
      <c r="AK505" s="209"/>
      <c r="AL505" s="202"/>
    </row>
    <row r="506" spans="1:40" x14ac:dyDescent="0.25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208"/>
      <c r="AH506" s="102"/>
      <c r="AI506" s="102"/>
      <c r="AJ506" s="102"/>
      <c r="AK506" s="208"/>
      <c r="AL506" s="102"/>
      <c r="AM506" s="102"/>
      <c r="AN506" s="102"/>
    </row>
    <row r="507" spans="1:40" x14ac:dyDescent="0.25">
      <c r="L507" s="103"/>
      <c r="M507" s="103"/>
      <c r="N507" s="103"/>
      <c r="O507" s="103"/>
      <c r="R507" s="103"/>
      <c r="AA507" s="103"/>
      <c r="AB507" s="103"/>
      <c r="AC507" s="103"/>
      <c r="AD507" s="103"/>
      <c r="AE507" s="103"/>
      <c r="AF507" s="103"/>
      <c r="AG507" s="185"/>
      <c r="AH507" s="103"/>
      <c r="AK507" s="185"/>
      <c r="AL507" s="103"/>
      <c r="AM507" s="103"/>
      <c r="AN507" s="103"/>
    </row>
    <row r="508" spans="1:40" x14ac:dyDescent="0.25">
      <c r="L508" s="103"/>
      <c r="M508" s="103"/>
      <c r="N508" s="103"/>
      <c r="O508" s="103"/>
      <c r="R508" s="103"/>
      <c r="Z508" s="103"/>
      <c r="AA508" s="103"/>
      <c r="AB508" s="103"/>
      <c r="AC508" s="103"/>
      <c r="AD508" s="103"/>
      <c r="AE508" s="103"/>
      <c r="AF508" s="103"/>
      <c r="AG508" s="185"/>
      <c r="AH508" s="103"/>
      <c r="AK508" s="185"/>
      <c r="AL508" s="103"/>
      <c r="AM508" s="103"/>
      <c r="AN508" s="103"/>
    </row>
    <row r="509" spans="1:40" x14ac:dyDescent="0.25">
      <c r="A509" s="103"/>
      <c r="C509" s="103"/>
      <c r="D509" s="103"/>
      <c r="E509" s="103"/>
      <c r="F509" s="103"/>
      <c r="J509" s="103"/>
      <c r="K509" s="103"/>
      <c r="L509" s="103"/>
      <c r="M509" s="103"/>
      <c r="N509" s="103"/>
      <c r="O509" s="103"/>
      <c r="P509" s="103"/>
      <c r="Q509" s="103"/>
      <c r="R509" s="103"/>
      <c r="T509" s="103"/>
      <c r="U509" s="103"/>
      <c r="V509" s="103"/>
      <c r="Z509" s="103"/>
      <c r="AA509" s="103"/>
      <c r="AB509" s="103"/>
      <c r="AC509" s="103"/>
      <c r="AD509" s="103"/>
      <c r="AE509" s="103"/>
      <c r="AF509" s="103"/>
      <c r="AG509" s="185"/>
      <c r="AH509" s="103"/>
      <c r="AI509" s="103"/>
      <c r="AJ509" s="103"/>
      <c r="AK509" s="185"/>
      <c r="AL509" s="103"/>
      <c r="AM509" s="103"/>
      <c r="AN509" s="103"/>
    </row>
    <row r="510" spans="1:40" x14ac:dyDescent="0.25">
      <c r="A510" s="103"/>
      <c r="C510" s="103"/>
      <c r="D510" s="103"/>
      <c r="E510" s="103"/>
      <c r="F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T510" s="103"/>
      <c r="U510" s="103"/>
      <c r="V510" s="103"/>
      <c r="Y510" s="103"/>
      <c r="Z510" s="103"/>
      <c r="AA510" s="103"/>
      <c r="AB510" s="103"/>
      <c r="AC510" s="103"/>
      <c r="AD510" s="103"/>
      <c r="AE510" s="103"/>
      <c r="AF510" s="103"/>
      <c r="AG510" s="185"/>
      <c r="AH510" s="103"/>
      <c r="AI510" s="103"/>
      <c r="AJ510" s="103"/>
      <c r="AK510" s="185"/>
      <c r="AL510" s="103"/>
      <c r="AM510" s="103"/>
      <c r="AN510" s="103"/>
    </row>
    <row r="511" spans="1:40" x14ac:dyDescent="0.25">
      <c r="C511" s="103"/>
      <c r="D511" s="103"/>
      <c r="E511" s="103"/>
      <c r="F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T511" s="103"/>
      <c r="U511" s="103"/>
      <c r="V511" s="103"/>
      <c r="Y511" s="103"/>
      <c r="Z511" s="103"/>
      <c r="AA511" s="103"/>
      <c r="AB511" s="103"/>
      <c r="AC511" s="103"/>
      <c r="AD511" s="103"/>
      <c r="AE511" s="103"/>
      <c r="AF511" s="103"/>
      <c r="AG511" s="185"/>
      <c r="AH511" s="103"/>
      <c r="AI511" s="103"/>
      <c r="AJ511" s="103"/>
      <c r="AK511" s="185"/>
      <c r="AL511" s="103"/>
      <c r="AM511" s="103"/>
      <c r="AN511" s="103"/>
    </row>
    <row r="512" spans="1:40" x14ac:dyDescent="0.25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208"/>
      <c r="AH512" s="102"/>
      <c r="AI512" s="102"/>
      <c r="AJ512" s="102"/>
      <c r="AK512" s="208"/>
      <c r="AL512" s="102"/>
      <c r="AM512" s="102"/>
      <c r="AN512" s="102"/>
    </row>
    <row r="513" spans="1:40" x14ac:dyDescent="0.25"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Y513" s="103"/>
      <c r="Z513" s="103"/>
      <c r="AA513" s="103"/>
      <c r="AB513" s="103"/>
      <c r="AC513" s="103"/>
      <c r="AD513" s="103"/>
      <c r="AE513" s="103"/>
      <c r="AF513" s="103"/>
      <c r="AG513" s="185"/>
      <c r="AH513" s="103"/>
      <c r="AI513" s="103"/>
      <c r="AJ513" s="103"/>
      <c r="AK513" s="185"/>
      <c r="AL513" s="103"/>
      <c r="AM513" s="103"/>
      <c r="AN513" s="103"/>
    </row>
    <row r="514" spans="1:40" x14ac:dyDescent="0.25">
      <c r="A514" s="202"/>
      <c r="C514" s="154"/>
      <c r="D514" s="154"/>
      <c r="E514" s="154"/>
      <c r="T514" s="154"/>
      <c r="U514" s="154"/>
    </row>
    <row r="515" spans="1:40" x14ac:dyDescent="0.25">
      <c r="A515" s="202"/>
      <c r="D515" s="154"/>
      <c r="E515" s="154"/>
      <c r="U515" s="154"/>
    </row>
    <row r="517" spans="1:40" x14ac:dyDescent="0.25">
      <c r="A517" s="202"/>
      <c r="C517" s="154"/>
      <c r="F517" s="200"/>
      <c r="J517" s="215"/>
      <c r="K517" s="215"/>
      <c r="L517" s="200"/>
      <c r="M517" s="200"/>
      <c r="R517" s="200"/>
      <c r="T517" s="154"/>
      <c r="V517" s="200"/>
      <c r="Z517" s="215"/>
      <c r="AA517" s="200"/>
      <c r="AB517" s="200"/>
      <c r="AG517" s="209"/>
      <c r="AH517" s="200"/>
      <c r="AK517" s="209"/>
      <c r="AL517" s="200"/>
    </row>
    <row r="518" spans="1:40" x14ac:dyDescent="0.25">
      <c r="A518" s="202"/>
      <c r="C518" s="154"/>
      <c r="F518" s="200"/>
      <c r="R518" s="200"/>
      <c r="T518" s="154"/>
      <c r="V518" s="200"/>
      <c r="AG518" s="209"/>
      <c r="AH518" s="200"/>
      <c r="AK518" s="209"/>
      <c r="AL518" s="200"/>
    </row>
    <row r="519" spans="1:40" x14ac:dyDescent="0.25">
      <c r="AI519" s="200"/>
      <c r="AJ519" s="200"/>
      <c r="AK519" s="209"/>
      <c r="AL519" s="200"/>
      <c r="AM519" s="210"/>
      <c r="AN519" s="210"/>
    </row>
    <row r="520" spans="1:40" x14ac:dyDescent="0.25">
      <c r="A520" s="202"/>
      <c r="C520" s="154"/>
      <c r="F520" s="252"/>
      <c r="H520" s="252"/>
      <c r="I520" s="252"/>
      <c r="J520" s="328"/>
      <c r="K520" s="328"/>
      <c r="L520" s="200"/>
      <c r="M520" s="200"/>
      <c r="N520" s="210"/>
      <c r="O520" s="210"/>
      <c r="P520" s="200"/>
      <c r="Q520" s="200"/>
      <c r="R520" s="200"/>
      <c r="T520" s="154"/>
      <c r="V520" s="200"/>
      <c r="Y520" s="200"/>
      <c r="Z520" s="328"/>
      <c r="AA520" s="200"/>
      <c r="AB520" s="200"/>
      <c r="AC520" s="210"/>
      <c r="AD520" s="210"/>
      <c r="AE520" s="200"/>
      <c r="AF520" s="200"/>
      <c r="AG520" s="209"/>
      <c r="AH520" s="201"/>
      <c r="AI520" s="200"/>
      <c r="AJ520" s="200"/>
      <c r="AK520" s="209"/>
      <c r="AL520" s="200"/>
      <c r="AM520" s="210"/>
      <c r="AN520" s="210"/>
    </row>
    <row r="521" spans="1:40" x14ac:dyDescent="0.25">
      <c r="F521" s="200"/>
      <c r="H521" s="200"/>
      <c r="I521" s="200"/>
      <c r="J521" s="213"/>
      <c r="K521" s="213"/>
      <c r="L521" s="200"/>
      <c r="M521" s="200"/>
      <c r="P521" s="200"/>
      <c r="Q521" s="200"/>
      <c r="R521" s="200"/>
      <c r="V521" s="200"/>
      <c r="Y521" s="200"/>
      <c r="Z521" s="213"/>
      <c r="AA521" s="200"/>
      <c r="AB521" s="200"/>
      <c r="AI521" s="200"/>
      <c r="AJ521" s="200"/>
      <c r="AK521" s="209"/>
      <c r="AL521" s="200"/>
      <c r="AM521" s="210"/>
      <c r="AN521" s="210"/>
    </row>
    <row r="522" spans="1:40" x14ac:dyDescent="0.25">
      <c r="F522" s="200"/>
      <c r="R522" s="200"/>
      <c r="V522" s="200"/>
      <c r="AK522" s="209"/>
      <c r="AL522" s="200"/>
      <c r="AM522" s="210"/>
      <c r="AN522" s="210"/>
    </row>
    <row r="523" spans="1:40" x14ac:dyDescent="0.25">
      <c r="A523" s="202"/>
      <c r="C523" s="154"/>
      <c r="F523" s="200"/>
      <c r="J523" s="215"/>
      <c r="K523" s="215"/>
      <c r="L523" s="200"/>
      <c r="M523" s="200"/>
      <c r="N523" s="210"/>
      <c r="O523" s="210"/>
      <c r="R523" s="200"/>
      <c r="T523" s="154"/>
      <c r="V523" s="200"/>
      <c r="Z523" s="215"/>
      <c r="AA523" s="200"/>
      <c r="AB523" s="200"/>
      <c r="AC523" s="210"/>
      <c r="AD523" s="210"/>
      <c r="AK523" s="209"/>
      <c r="AL523" s="200"/>
      <c r="AM523" s="210"/>
      <c r="AN523" s="210"/>
    </row>
    <row r="524" spans="1:40" x14ac:dyDescent="0.25">
      <c r="A524" s="202"/>
      <c r="C524" s="154"/>
      <c r="F524" s="200"/>
      <c r="H524" s="200"/>
      <c r="I524" s="200"/>
      <c r="J524" s="215"/>
      <c r="K524" s="215"/>
      <c r="L524" s="200"/>
      <c r="M524" s="200"/>
      <c r="N524" s="210"/>
      <c r="O524" s="210"/>
      <c r="P524" s="200"/>
      <c r="Q524" s="200"/>
      <c r="R524" s="200"/>
      <c r="T524" s="154"/>
      <c r="V524" s="200"/>
      <c r="Y524" s="200"/>
      <c r="Z524" s="215"/>
      <c r="AA524" s="200"/>
      <c r="AB524" s="200"/>
      <c r="AC524" s="210"/>
      <c r="AD524" s="210"/>
      <c r="AI524" s="200"/>
      <c r="AJ524" s="200"/>
      <c r="AK524" s="209"/>
      <c r="AL524" s="200"/>
      <c r="AM524" s="210"/>
      <c r="AN524" s="210"/>
    </row>
    <row r="525" spans="1:40" x14ac:dyDescent="0.25">
      <c r="A525" s="202"/>
      <c r="C525" s="154"/>
      <c r="T525" s="154"/>
      <c r="AM525" s="210"/>
      <c r="AN525" s="210"/>
    </row>
    <row r="526" spans="1:40" x14ac:dyDescent="0.25">
      <c r="A526" s="202"/>
      <c r="C526" s="154"/>
      <c r="T526" s="154"/>
      <c r="AM526" s="210"/>
      <c r="AN526" s="210"/>
    </row>
    <row r="527" spans="1:40" x14ac:dyDescent="0.25">
      <c r="AM527" s="210"/>
      <c r="AN527" s="210"/>
    </row>
    <row r="528" spans="1:40" x14ac:dyDescent="0.25">
      <c r="A528" s="202"/>
      <c r="C528" s="154"/>
      <c r="F528" s="252"/>
      <c r="H528" s="252"/>
      <c r="I528" s="252"/>
      <c r="J528" s="328"/>
      <c r="K528" s="328"/>
      <c r="L528" s="200"/>
      <c r="M528" s="200"/>
      <c r="N528" s="210"/>
      <c r="O528" s="210"/>
      <c r="P528" s="200"/>
      <c r="Q528" s="200"/>
      <c r="R528" s="200"/>
      <c r="T528" s="154"/>
      <c r="V528" s="200"/>
      <c r="Y528" s="200"/>
      <c r="Z528" s="328"/>
      <c r="AA528" s="200"/>
      <c r="AB528" s="200"/>
      <c r="AC528" s="210"/>
      <c r="AD528" s="210"/>
      <c r="AE528" s="200"/>
      <c r="AF528" s="200"/>
      <c r="AG528" s="209"/>
      <c r="AH528" s="201"/>
      <c r="AI528" s="200"/>
      <c r="AJ528" s="200"/>
      <c r="AK528" s="209"/>
      <c r="AL528" s="200"/>
      <c r="AM528" s="210"/>
      <c r="AN528" s="210"/>
    </row>
    <row r="529" spans="1:40" x14ac:dyDescent="0.25">
      <c r="F529" s="211"/>
      <c r="H529" s="211"/>
      <c r="I529" s="211"/>
      <c r="J529" s="305"/>
      <c r="K529" s="305"/>
      <c r="L529" s="211"/>
      <c r="M529" s="211"/>
      <c r="N529" s="211"/>
      <c r="O529" s="211"/>
      <c r="P529" s="211"/>
      <c r="Q529" s="211"/>
      <c r="R529" s="211"/>
      <c r="V529" s="211"/>
      <c r="Y529" s="211"/>
      <c r="Z529" s="305"/>
      <c r="AA529" s="211"/>
      <c r="AB529" s="211"/>
      <c r="AC529" s="211"/>
      <c r="AD529" s="211"/>
      <c r="AE529" s="211"/>
      <c r="AF529" s="211"/>
      <c r="AI529" s="211"/>
      <c r="AJ529" s="211"/>
      <c r="AK529" s="212"/>
      <c r="AL529" s="211"/>
      <c r="AM529" s="210"/>
      <c r="AN529" s="210"/>
    </row>
    <row r="530" spans="1:40" x14ac:dyDescent="0.25">
      <c r="H530" s="200"/>
      <c r="I530" s="200"/>
      <c r="Y530" s="200"/>
      <c r="AM530" s="210"/>
      <c r="AN530" s="210"/>
    </row>
    <row r="531" spans="1:40" x14ac:dyDescent="0.25">
      <c r="A531" s="202"/>
      <c r="C531" s="154"/>
      <c r="F531" s="200"/>
      <c r="H531" s="200"/>
      <c r="I531" s="200"/>
      <c r="L531" s="200"/>
      <c r="M531" s="200"/>
      <c r="N531" s="210"/>
      <c r="O531" s="210"/>
      <c r="P531" s="252"/>
      <c r="Q531" s="252"/>
      <c r="R531" s="200"/>
      <c r="T531" s="154"/>
      <c r="V531" s="200"/>
      <c r="Y531" s="200"/>
      <c r="AA531" s="200"/>
      <c r="AB531" s="200"/>
      <c r="AC531" s="210"/>
      <c r="AD531" s="210"/>
      <c r="AE531" s="200"/>
      <c r="AF531" s="200"/>
      <c r="AG531" s="209"/>
      <c r="AH531" s="201"/>
      <c r="AI531" s="252"/>
      <c r="AJ531" s="252"/>
      <c r="AK531" s="209"/>
      <c r="AL531" s="200"/>
      <c r="AM531" s="210"/>
      <c r="AN531" s="210"/>
    </row>
    <row r="532" spans="1:40" x14ac:dyDescent="0.25">
      <c r="F532" s="211"/>
      <c r="H532" s="211"/>
      <c r="I532" s="211"/>
      <c r="J532" s="305"/>
      <c r="K532" s="305"/>
      <c r="L532" s="211"/>
      <c r="M532" s="211"/>
      <c r="N532" s="211"/>
      <c r="O532" s="211"/>
      <c r="P532" s="211"/>
      <c r="Q532" s="211"/>
      <c r="R532" s="211"/>
      <c r="V532" s="211"/>
      <c r="Y532" s="211"/>
      <c r="Z532" s="305"/>
      <c r="AA532" s="211"/>
      <c r="AB532" s="211"/>
      <c r="AC532" s="211"/>
      <c r="AD532" s="211"/>
      <c r="AE532" s="211"/>
      <c r="AF532" s="211"/>
      <c r="AI532" s="211"/>
      <c r="AJ532" s="211"/>
      <c r="AK532" s="212"/>
      <c r="AL532" s="211"/>
      <c r="AM532" s="210"/>
      <c r="AN532" s="210"/>
    </row>
    <row r="534" spans="1:40" x14ac:dyDescent="0.25">
      <c r="F534" s="200"/>
      <c r="H534" s="200"/>
      <c r="I534" s="200"/>
      <c r="J534" s="213"/>
      <c r="K534" s="213"/>
      <c r="L534" s="200"/>
      <c r="M534" s="200"/>
      <c r="N534" s="200"/>
      <c r="O534" s="200"/>
      <c r="P534" s="200"/>
      <c r="Q534" s="200"/>
      <c r="R534" s="200"/>
      <c r="V534" s="200"/>
      <c r="Y534" s="200"/>
      <c r="Z534" s="213"/>
      <c r="AA534" s="200"/>
      <c r="AB534" s="200"/>
      <c r="AC534" s="200"/>
      <c r="AD534" s="200"/>
      <c r="AE534" s="200"/>
      <c r="AF534" s="200"/>
      <c r="AG534" s="209"/>
      <c r="AH534" s="200"/>
      <c r="AI534" s="200"/>
      <c r="AJ534" s="200"/>
      <c r="AK534" s="209"/>
      <c r="AL534" s="200"/>
    </row>
    <row r="535" spans="1:40" x14ac:dyDescent="0.25">
      <c r="A535" s="154"/>
    </row>
    <row r="536" spans="1:40" x14ac:dyDescent="0.25">
      <c r="J536" s="202"/>
      <c r="K536" s="202"/>
      <c r="Z536" s="202"/>
    </row>
    <row r="537" spans="1:40" x14ac:dyDescent="0.25">
      <c r="H537" s="154"/>
      <c r="I537" s="154"/>
      <c r="Y537" s="154"/>
    </row>
    <row r="538" spans="1:40" x14ac:dyDescent="0.25">
      <c r="J538" s="202"/>
      <c r="K538" s="202"/>
      <c r="Z538" s="202"/>
    </row>
    <row r="539" spans="1:40" x14ac:dyDescent="0.25">
      <c r="L539" s="154"/>
      <c r="M539" s="154"/>
      <c r="AA539" s="154"/>
      <c r="AB539" s="154"/>
    </row>
    <row r="540" spans="1:40" x14ac:dyDescent="0.25">
      <c r="A540" s="202"/>
      <c r="R540" s="154"/>
      <c r="AK540" s="297"/>
      <c r="AL540" s="154"/>
    </row>
    <row r="541" spans="1:40" x14ac:dyDescent="0.25">
      <c r="A541" s="202"/>
      <c r="R541" s="154"/>
      <c r="AK541" s="297"/>
      <c r="AL541" s="154"/>
    </row>
    <row r="542" spans="1:40" x14ac:dyDescent="0.25">
      <c r="A542" s="154"/>
      <c r="R542" s="154"/>
      <c r="AK542" s="297"/>
      <c r="AL542" s="154"/>
    </row>
    <row r="543" spans="1:40" x14ac:dyDescent="0.25">
      <c r="L543" s="154"/>
      <c r="M543" s="154"/>
      <c r="R543" s="202"/>
      <c r="AA543" s="154"/>
      <c r="AB543" s="154"/>
      <c r="AK543" s="209"/>
      <c r="AL543" s="202"/>
    </row>
    <row r="544" spans="1:40" x14ac:dyDescent="0.25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208"/>
      <c r="AH544" s="102"/>
      <c r="AI544" s="102"/>
      <c r="AJ544" s="102"/>
      <c r="AK544" s="208"/>
      <c r="AL544" s="102"/>
      <c r="AM544" s="102"/>
      <c r="AN544" s="102"/>
    </row>
    <row r="545" spans="1:40" x14ac:dyDescent="0.25">
      <c r="L545" s="103"/>
      <c r="M545" s="103"/>
      <c r="N545" s="103"/>
      <c r="O545" s="103"/>
      <c r="R545" s="103"/>
      <c r="AA545" s="103"/>
      <c r="AB545" s="103"/>
      <c r="AC545" s="103"/>
      <c r="AD545" s="103"/>
      <c r="AE545" s="103"/>
      <c r="AF545" s="103"/>
      <c r="AG545" s="185"/>
      <c r="AH545" s="103"/>
      <c r="AK545" s="185"/>
      <c r="AL545" s="103"/>
      <c r="AM545" s="103"/>
      <c r="AN545" s="103"/>
    </row>
    <row r="546" spans="1:40" x14ac:dyDescent="0.25">
      <c r="L546" s="103"/>
      <c r="M546" s="103"/>
      <c r="N546" s="103"/>
      <c r="O546" s="103"/>
      <c r="R546" s="103"/>
      <c r="Z546" s="103"/>
      <c r="AA546" s="103"/>
      <c r="AB546" s="103"/>
      <c r="AC546" s="103"/>
      <c r="AD546" s="103"/>
      <c r="AE546" s="103"/>
      <c r="AF546" s="103"/>
      <c r="AG546" s="185"/>
      <c r="AH546" s="103"/>
      <c r="AK546" s="185"/>
      <c r="AL546" s="103"/>
      <c r="AM546" s="103"/>
      <c r="AN546" s="103"/>
    </row>
    <row r="547" spans="1:40" x14ac:dyDescent="0.25">
      <c r="A547" s="103"/>
      <c r="C547" s="103"/>
      <c r="D547" s="103"/>
      <c r="E547" s="103"/>
      <c r="F547" s="103"/>
      <c r="J547" s="103"/>
      <c r="K547" s="103"/>
      <c r="L547" s="103"/>
      <c r="M547" s="103"/>
      <c r="N547" s="103"/>
      <c r="O547" s="103"/>
      <c r="P547" s="103"/>
      <c r="Q547" s="103"/>
      <c r="R547" s="103"/>
      <c r="T547" s="103"/>
      <c r="U547" s="103"/>
      <c r="V547" s="103"/>
      <c r="Z547" s="103"/>
      <c r="AA547" s="103"/>
      <c r="AB547" s="103"/>
      <c r="AC547" s="103"/>
      <c r="AD547" s="103"/>
      <c r="AE547" s="103"/>
      <c r="AF547" s="103"/>
      <c r="AG547" s="185"/>
      <c r="AH547" s="103"/>
      <c r="AI547" s="103"/>
      <c r="AJ547" s="103"/>
      <c r="AK547" s="185"/>
      <c r="AL547" s="103"/>
      <c r="AM547" s="103"/>
      <c r="AN547" s="103"/>
    </row>
    <row r="548" spans="1:40" x14ac:dyDescent="0.25">
      <c r="A548" s="103"/>
      <c r="C548" s="103"/>
      <c r="D548" s="103"/>
      <c r="E548" s="103"/>
      <c r="F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T548" s="103"/>
      <c r="U548" s="103"/>
      <c r="V548" s="103"/>
      <c r="Y548" s="103"/>
      <c r="Z548" s="103"/>
      <c r="AA548" s="103"/>
      <c r="AB548" s="103"/>
      <c r="AC548" s="103"/>
      <c r="AD548" s="103"/>
      <c r="AE548" s="103"/>
      <c r="AF548" s="103"/>
      <c r="AG548" s="185"/>
      <c r="AH548" s="103"/>
      <c r="AI548" s="103"/>
      <c r="AJ548" s="103"/>
      <c r="AK548" s="185"/>
      <c r="AL548" s="103"/>
      <c r="AM548" s="103"/>
      <c r="AN548" s="103"/>
    </row>
    <row r="549" spans="1:40" x14ac:dyDescent="0.25">
      <c r="C549" s="103"/>
      <c r="D549" s="103"/>
      <c r="E549" s="103"/>
      <c r="F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T549" s="103"/>
      <c r="U549" s="103"/>
      <c r="V549" s="103"/>
      <c r="Y549" s="103"/>
      <c r="Z549" s="103"/>
      <c r="AA549" s="103"/>
      <c r="AB549" s="103"/>
      <c r="AC549" s="103"/>
      <c r="AD549" s="103"/>
      <c r="AE549" s="103"/>
      <c r="AF549" s="103"/>
      <c r="AG549" s="185"/>
      <c r="AH549" s="103"/>
      <c r="AI549" s="103"/>
      <c r="AJ549" s="103"/>
      <c r="AK549" s="185"/>
      <c r="AL549" s="103"/>
      <c r="AM549" s="103"/>
      <c r="AN549" s="103"/>
    </row>
    <row r="550" spans="1:40" x14ac:dyDescent="0.25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208"/>
      <c r="AH550" s="102"/>
      <c r="AI550" s="102"/>
      <c r="AJ550" s="102"/>
      <c r="AK550" s="208"/>
      <c r="AL550" s="102"/>
      <c r="AM550" s="102"/>
      <c r="AN550" s="102"/>
    </row>
    <row r="551" spans="1:40" x14ac:dyDescent="0.25"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Y551" s="103"/>
      <c r="Z551" s="103"/>
      <c r="AA551" s="103"/>
      <c r="AB551" s="103"/>
      <c r="AC551" s="103"/>
      <c r="AD551" s="103"/>
      <c r="AE551" s="103"/>
      <c r="AF551" s="103"/>
      <c r="AG551" s="185"/>
      <c r="AH551" s="103"/>
      <c r="AI551" s="103"/>
      <c r="AJ551" s="103"/>
      <c r="AK551" s="185"/>
      <c r="AL551" s="103"/>
      <c r="AM551" s="103"/>
      <c r="AN551" s="103"/>
    </row>
    <row r="552" spans="1:40" x14ac:dyDescent="0.25">
      <c r="A552" s="202"/>
      <c r="C552" s="154"/>
      <c r="D552" s="154"/>
      <c r="E552" s="154"/>
      <c r="T552" s="154"/>
      <c r="U552" s="154"/>
      <c r="V552" s="200"/>
      <c r="W552" s="200"/>
      <c r="X552" s="200"/>
      <c r="Y552" s="200"/>
      <c r="Z552" s="328"/>
    </row>
    <row r="554" spans="1:40" x14ac:dyDescent="0.25">
      <c r="A554" s="202"/>
      <c r="C554" s="154"/>
      <c r="T554" s="154"/>
      <c r="V554" s="200"/>
      <c r="W554" s="200"/>
      <c r="X554" s="200"/>
      <c r="Y554" s="200"/>
      <c r="Z554" s="328"/>
    </row>
    <row r="555" spans="1:40" x14ac:dyDescent="0.25">
      <c r="A555" s="202"/>
      <c r="C555" s="154"/>
      <c r="F555" s="252"/>
      <c r="H555" s="252"/>
      <c r="I555" s="252"/>
      <c r="J555" s="329"/>
      <c r="K555" s="329"/>
      <c r="L555" s="200"/>
      <c r="M555" s="200"/>
      <c r="N555" s="210"/>
      <c r="O555" s="210"/>
      <c r="P555" s="200"/>
      <c r="Q555" s="200"/>
      <c r="R555" s="200"/>
      <c r="T555" s="154"/>
      <c r="V555" s="200"/>
      <c r="W555" s="200"/>
      <c r="X555" s="200"/>
      <c r="Y555" s="200"/>
      <c r="Z555" s="329"/>
      <c r="AA555" s="200"/>
      <c r="AB555" s="200"/>
      <c r="AC555" s="210"/>
      <c r="AD555" s="210"/>
      <c r="AE555" s="200"/>
      <c r="AF555" s="200"/>
      <c r="AG555" s="209"/>
      <c r="AH555" s="201"/>
      <c r="AI555" s="200"/>
      <c r="AJ555" s="200"/>
      <c r="AK555" s="209"/>
      <c r="AL555" s="200"/>
      <c r="AM555" s="210"/>
      <c r="AN555" s="210"/>
    </row>
    <row r="556" spans="1:40" x14ac:dyDescent="0.25">
      <c r="A556" s="202"/>
      <c r="C556" s="154"/>
      <c r="F556" s="252"/>
      <c r="H556" s="252"/>
      <c r="I556" s="252"/>
      <c r="J556" s="329"/>
      <c r="K556" s="329"/>
      <c r="L556" s="200"/>
      <c r="M556" s="200"/>
      <c r="N556" s="210"/>
      <c r="O556" s="210"/>
      <c r="P556" s="200"/>
      <c r="Q556" s="200"/>
      <c r="R556" s="200"/>
      <c r="T556" s="154"/>
      <c r="V556" s="200"/>
      <c r="W556" s="200"/>
      <c r="X556" s="200"/>
      <c r="Y556" s="200"/>
      <c r="Z556" s="329"/>
      <c r="AA556" s="200"/>
      <c r="AB556" s="200"/>
      <c r="AC556" s="210"/>
      <c r="AD556" s="210"/>
      <c r="AE556" s="200"/>
      <c r="AF556" s="200"/>
      <c r="AG556" s="209"/>
      <c r="AH556" s="201"/>
      <c r="AI556" s="200"/>
      <c r="AJ556" s="200"/>
      <c r="AK556" s="209"/>
      <c r="AL556" s="200"/>
      <c r="AM556" s="210"/>
      <c r="AN556" s="210"/>
    </row>
    <row r="557" spans="1:40" x14ac:dyDescent="0.25">
      <c r="A557" s="202"/>
      <c r="C557" s="154"/>
      <c r="F557" s="252"/>
      <c r="H557" s="252"/>
      <c r="I557" s="252"/>
      <c r="J557" s="329"/>
      <c r="K557" s="329"/>
      <c r="L557" s="200"/>
      <c r="M557" s="200"/>
      <c r="N557" s="210"/>
      <c r="O557" s="210"/>
      <c r="P557" s="200"/>
      <c r="Q557" s="200"/>
      <c r="R557" s="200"/>
      <c r="T557" s="154"/>
      <c r="V557" s="200"/>
      <c r="W557" s="200"/>
      <c r="X557" s="200"/>
      <c r="Y557" s="200"/>
      <c r="Z557" s="329"/>
      <c r="AA557" s="200"/>
      <c r="AB557" s="200"/>
      <c r="AC557" s="210"/>
      <c r="AD557" s="210"/>
      <c r="AE557" s="200"/>
      <c r="AF557" s="200"/>
      <c r="AG557" s="209"/>
      <c r="AH557" s="201"/>
      <c r="AI557" s="200"/>
      <c r="AJ557" s="200"/>
      <c r="AK557" s="209"/>
      <c r="AL557" s="200"/>
      <c r="AM557" s="210"/>
      <c r="AN557" s="210"/>
    </row>
    <row r="558" spans="1:40" x14ac:dyDescent="0.25">
      <c r="A558" s="202"/>
      <c r="C558" s="154"/>
      <c r="F558" s="252"/>
      <c r="H558" s="252"/>
      <c r="I558" s="252"/>
      <c r="J558" s="329"/>
      <c r="K558" s="329"/>
      <c r="L558" s="200"/>
      <c r="M558" s="200"/>
      <c r="N558" s="210"/>
      <c r="O558" s="210"/>
      <c r="P558" s="200"/>
      <c r="Q558" s="200"/>
      <c r="R558" s="200"/>
      <c r="T558" s="154"/>
      <c r="V558" s="200"/>
      <c r="W558" s="200"/>
      <c r="X558" s="200"/>
      <c r="Y558" s="200"/>
      <c r="Z558" s="329"/>
      <c r="AA558" s="200"/>
      <c r="AB558" s="200"/>
      <c r="AC558" s="210"/>
      <c r="AD558" s="210"/>
      <c r="AE558" s="200"/>
      <c r="AF558" s="200"/>
      <c r="AG558" s="209"/>
      <c r="AH558" s="201"/>
      <c r="AI558" s="200"/>
      <c r="AJ558" s="200"/>
      <c r="AK558" s="209"/>
      <c r="AL558" s="200"/>
      <c r="AM558" s="210"/>
      <c r="AN558" s="210"/>
    </row>
    <row r="559" spans="1:40" x14ac:dyDescent="0.25">
      <c r="J559" s="334"/>
      <c r="K559" s="334"/>
      <c r="V559" s="200"/>
      <c r="W559" s="200"/>
      <c r="X559" s="200"/>
      <c r="Y559" s="200"/>
      <c r="Z559" s="329"/>
    </row>
    <row r="560" spans="1:40" x14ac:dyDescent="0.25">
      <c r="A560" s="202"/>
      <c r="C560" s="154"/>
      <c r="F560" s="252"/>
      <c r="H560" s="252"/>
      <c r="I560" s="252"/>
      <c r="J560" s="329"/>
      <c r="K560" s="329"/>
      <c r="L560" s="200"/>
      <c r="M560" s="200"/>
      <c r="N560" s="210"/>
      <c r="O560" s="210"/>
      <c r="P560" s="200"/>
      <c r="Q560" s="200"/>
      <c r="R560" s="200"/>
      <c r="T560" s="154"/>
      <c r="V560" s="200"/>
      <c r="W560" s="200"/>
      <c r="X560" s="200"/>
      <c r="Y560" s="200"/>
      <c r="Z560" s="329"/>
      <c r="AA560" s="200"/>
      <c r="AB560" s="200"/>
      <c r="AC560" s="210"/>
      <c r="AD560" s="210"/>
      <c r="AE560" s="200"/>
      <c r="AF560" s="200"/>
      <c r="AG560" s="209"/>
      <c r="AH560" s="201"/>
      <c r="AI560" s="200"/>
      <c r="AJ560" s="200"/>
      <c r="AK560" s="209"/>
      <c r="AL560" s="200"/>
      <c r="AM560" s="201"/>
      <c r="AN560" s="201"/>
    </row>
    <row r="561" spans="1:40" x14ac:dyDescent="0.25">
      <c r="A561" s="202"/>
      <c r="C561" s="154"/>
      <c r="J561" s="334"/>
      <c r="K561" s="334"/>
      <c r="T561" s="154"/>
      <c r="V561" s="200"/>
      <c r="W561" s="200"/>
      <c r="X561" s="200"/>
      <c r="Y561" s="200"/>
      <c r="Z561" s="329"/>
    </row>
    <row r="562" spans="1:40" x14ac:dyDescent="0.25">
      <c r="A562" s="202"/>
      <c r="C562" s="154"/>
      <c r="F562" s="252"/>
      <c r="H562" s="252"/>
      <c r="I562" s="252"/>
      <c r="J562" s="329"/>
      <c r="K562" s="329"/>
      <c r="L562" s="200"/>
      <c r="M562" s="200"/>
      <c r="N562" s="210"/>
      <c r="O562" s="210"/>
      <c r="P562" s="200"/>
      <c r="Q562" s="200"/>
      <c r="R562" s="200"/>
      <c r="T562" s="154"/>
      <c r="V562" s="200"/>
      <c r="W562" s="200"/>
      <c r="X562" s="200"/>
      <c r="Y562" s="200"/>
      <c r="Z562" s="329"/>
      <c r="AA562" s="200"/>
      <c r="AB562" s="200"/>
      <c r="AC562" s="210"/>
      <c r="AD562" s="210"/>
      <c r="AE562" s="200"/>
      <c r="AF562" s="200"/>
      <c r="AG562" s="209"/>
      <c r="AH562" s="201"/>
      <c r="AI562" s="200"/>
      <c r="AJ562" s="200"/>
      <c r="AK562" s="209"/>
      <c r="AL562" s="200"/>
      <c r="AM562" s="201"/>
      <c r="AN562" s="201"/>
    </row>
    <row r="563" spans="1:40" x14ac:dyDescent="0.25">
      <c r="J563" s="334"/>
      <c r="K563" s="334"/>
      <c r="Z563" s="334"/>
    </row>
    <row r="564" spans="1:40" x14ac:dyDescent="0.25">
      <c r="A564" s="202"/>
      <c r="C564" s="154"/>
      <c r="J564" s="334"/>
      <c r="K564" s="334"/>
      <c r="T564" s="154"/>
      <c r="V564" s="200"/>
      <c r="W564" s="200"/>
      <c r="X564" s="200"/>
      <c r="Y564" s="200"/>
      <c r="Z564" s="329"/>
    </row>
    <row r="565" spans="1:40" x14ac:dyDescent="0.25">
      <c r="A565" s="202"/>
      <c r="C565" s="154"/>
      <c r="F565" s="252"/>
      <c r="H565" s="252"/>
      <c r="I565" s="252"/>
      <c r="J565" s="329"/>
      <c r="K565" s="329"/>
      <c r="L565" s="200"/>
      <c r="M565" s="200"/>
      <c r="N565" s="210"/>
      <c r="O565" s="210"/>
      <c r="P565" s="200"/>
      <c r="Q565" s="200"/>
      <c r="R565" s="200"/>
      <c r="T565" s="154"/>
      <c r="V565" s="200"/>
      <c r="W565" s="200"/>
      <c r="X565" s="200"/>
      <c r="Y565" s="200"/>
      <c r="Z565" s="329"/>
      <c r="AA565" s="200"/>
      <c r="AB565" s="200"/>
      <c r="AC565" s="210"/>
      <c r="AD565" s="210"/>
      <c r="AE565" s="200"/>
      <c r="AF565" s="200"/>
      <c r="AG565" s="209"/>
      <c r="AH565" s="201"/>
      <c r="AI565" s="200"/>
      <c r="AJ565" s="200"/>
      <c r="AK565" s="209"/>
      <c r="AL565" s="200"/>
      <c r="AM565" s="201"/>
      <c r="AN565" s="201"/>
    </row>
    <row r="566" spans="1:40" x14ac:dyDescent="0.25">
      <c r="A566" s="202"/>
      <c r="C566" s="154"/>
      <c r="F566" s="252"/>
      <c r="H566" s="252"/>
      <c r="I566" s="252"/>
      <c r="J566" s="329"/>
      <c r="K566" s="329"/>
      <c r="L566" s="200"/>
      <c r="M566" s="200"/>
      <c r="N566" s="210"/>
      <c r="O566" s="210"/>
      <c r="P566" s="200"/>
      <c r="Q566" s="200"/>
      <c r="R566" s="200"/>
      <c r="T566" s="154"/>
      <c r="V566" s="200"/>
      <c r="W566" s="200"/>
      <c r="X566" s="200"/>
      <c r="Y566" s="200"/>
      <c r="Z566" s="329"/>
      <c r="AA566" s="200"/>
      <c r="AB566" s="200"/>
      <c r="AC566" s="210"/>
      <c r="AD566" s="210"/>
      <c r="AE566" s="200"/>
      <c r="AF566" s="200"/>
      <c r="AG566" s="209"/>
      <c r="AH566" s="201"/>
      <c r="AI566" s="200"/>
      <c r="AJ566" s="200"/>
      <c r="AK566" s="209"/>
      <c r="AL566" s="200"/>
      <c r="AM566" s="201"/>
      <c r="AN566" s="201"/>
    </row>
    <row r="567" spans="1:40" x14ac:dyDescent="0.25">
      <c r="F567" s="211"/>
      <c r="H567" s="211"/>
      <c r="I567" s="211"/>
      <c r="J567" s="329"/>
      <c r="K567" s="329"/>
      <c r="L567" s="211"/>
      <c r="M567" s="211"/>
      <c r="N567" s="211"/>
      <c r="O567" s="211"/>
      <c r="P567" s="211"/>
      <c r="Q567" s="211"/>
      <c r="R567" s="211"/>
      <c r="V567" s="211"/>
      <c r="Y567" s="211"/>
      <c r="Z567" s="305"/>
      <c r="AA567" s="211"/>
      <c r="AB567" s="211"/>
      <c r="AC567" s="211"/>
      <c r="AD567" s="211"/>
      <c r="AE567" s="211"/>
      <c r="AF567" s="211"/>
      <c r="AI567" s="211"/>
      <c r="AJ567" s="211"/>
      <c r="AK567" s="212"/>
      <c r="AL567" s="211"/>
    </row>
    <row r="568" spans="1:40" x14ac:dyDescent="0.25">
      <c r="A568" s="202"/>
      <c r="C568" s="154"/>
      <c r="F568" s="200"/>
      <c r="H568" s="200"/>
      <c r="I568" s="200"/>
      <c r="L568" s="200"/>
      <c r="M568" s="200"/>
      <c r="N568" s="210"/>
      <c r="O568" s="210"/>
      <c r="P568" s="252"/>
      <c r="Q568" s="252"/>
      <c r="R568" s="200"/>
      <c r="T568" s="154"/>
      <c r="V568" s="200"/>
      <c r="W568" s="200"/>
      <c r="X568" s="200"/>
      <c r="Y568" s="200"/>
      <c r="Z568" s="328"/>
      <c r="AA568" s="200"/>
      <c r="AB568" s="200"/>
      <c r="AC568" s="210"/>
      <c r="AD568" s="210"/>
      <c r="AE568" s="200"/>
      <c r="AF568" s="200"/>
      <c r="AG568" s="209"/>
      <c r="AH568" s="201"/>
      <c r="AI568" s="252"/>
      <c r="AJ568" s="252"/>
      <c r="AK568" s="209"/>
      <c r="AL568" s="200"/>
      <c r="AM568" s="201"/>
      <c r="AN568" s="201"/>
    </row>
    <row r="569" spans="1:40" x14ac:dyDescent="0.25">
      <c r="F569" s="211"/>
      <c r="H569" s="211"/>
      <c r="I569" s="211"/>
      <c r="J569" s="305"/>
      <c r="K569" s="305"/>
      <c r="L569" s="211"/>
      <c r="M569" s="211"/>
      <c r="N569" s="211"/>
      <c r="O569" s="211"/>
      <c r="P569" s="211"/>
      <c r="Q569" s="211"/>
      <c r="R569" s="211"/>
      <c r="V569" s="211"/>
      <c r="Y569" s="211"/>
      <c r="Z569" s="305"/>
      <c r="AA569" s="211"/>
      <c r="AB569" s="211"/>
      <c r="AC569" s="211"/>
      <c r="AD569" s="211"/>
      <c r="AE569" s="211"/>
      <c r="AF569" s="211"/>
      <c r="AI569" s="211"/>
      <c r="AJ569" s="211"/>
      <c r="AK569" s="212"/>
      <c r="AL569" s="211"/>
    </row>
    <row r="571" spans="1:40" x14ac:dyDescent="0.25">
      <c r="C571" s="202"/>
      <c r="T571" s="202"/>
    </row>
    <row r="572" spans="1:40" x14ac:dyDescent="0.25">
      <c r="A572" s="154"/>
    </row>
    <row r="573" spans="1:40" x14ac:dyDescent="0.25">
      <c r="J573" s="202"/>
      <c r="K573" s="202"/>
      <c r="Z573" s="202"/>
    </row>
    <row r="574" spans="1:40" x14ac:dyDescent="0.25">
      <c r="H574" s="154"/>
      <c r="I574" s="154"/>
      <c r="Y574" s="154"/>
    </row>
    <row r="575" spans="1:40" x14ac:dyDescent="0.25">
      <c r="J575" s="202"/>
      <c r="K575" s="202"/>
      <c r="Z575" s="202"/>
    </row>
    <row r="576" spans="1:40" x14ac:dyDescent="0.25">
      <c r="L576" s="154"/>
      <c r="M576" s="154"/>
      <c r="AA576" s="154"/>
      <c r="AB576" s="154"/>
    </row>
    <row r="577" spans="1:40" x14ac:dyDescent="0.25">
      <c r="A577" s="202"/>
      <c r="R577" s="154"/>
      <c r="AK577" s="297"/>
      <c r="AL577" s="154"/>
    </row>
    <row r="578" spans="1:40" x14ac:dyDescent="0.25">
      <c r="A578" s="202"/>
      <c r="R578" s="154"/>
      <c r="AK578" s="297"/>
      <c r="AL578" s="154"/>
    </row>
    <row r="579" spans="1:40" x14ac:dyDescent="0.25">
      <c r="A579" s="154"/>
      <c r="R579" s="154"/>
      <c r="AK579" s="297"/>
      <c r="AL579" s="154"/>
    </row>
    <row r="580" spans="1:40" x14ac:dyDescent="0.25">
      <c r="L580" s="154"/>
      <c r="M580" s="154"/>
      <c r="R580" s="202"/>
      <c r="AA580" s="154"/>
      <c r="AB580" s="154"/>
      <c r="AK580" s="209"/>
      <c r="AL580" s="202"/>
    </row>
    <row r="581" spans="1:40" x14ac:dyDescent="0.2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208"/>
      <c r="AH581" s="102"/>
      <c r="AI581" s="102"/>
      <c r="AJ581" s="102"/>
      <c r="AK581" s="208"/>
      <c r="AL581" s="102"/>
      <c r="AM581" s="102"/>
      <c r="AN581" s="102"/>
    </row>
    <row r="582" spans="1:40" x14ac:dyDescent="0.25">
      <c r="L582" s="103"/>
      <c r="M582" s="103"/>
      <c r="N582" s="103"/>
      <c r="O582" s="103"/>
      <c r="R582" s="103"/>
      <c r="AA582" s="103"/>
      <c r="AB582" s="103"/>
      <c r="AC582" s="103"/>
      <c r="AD582" s="103"/>
      <c r="AE582" s="103"/>
      <c r="AF582" s="103"/>
      <c r="AG582" s="185"/>
      <c r="AH582" s="103"/>
      <c r="AK582" s="185"/>
      <c r="AL582" s="103"/>
      <c r="AM582" s="103"/>
      <c r="AN582" s="103"/>
    </row>
    <row r="583" spans="1:40" x14ac:dyDescent="0.25">
      <c r="L583" s="103"/>
      <c r="M583" s="103"/>
      <c r="N583" s="103"/>
      <c r="O583" s="103"/>
      <c r="R583" s="103"/>
      <c r="Z583" s="103"/>
      <c r="AA583" s="103"/>
      <c r="AB583" s="103"/>
      <c r="AC583" s="103"/>
      <c r="AD583" s="103"/>
      <c r="AE583" s="103"/>
      <c r="AF583" s="103"/>
      <c r="AG583" s="185"/>
      <c r="AH583" s="103"/>
      <c r="AK583" s="185"/>
      <c r="AL583" s="103"/>
      <c r="AM583" s="103"/>
      <c r="AN583" s="103"/>
    </row>
    <row r="584" spans="1:40" x14ac:dyDescent="0.25">
      <c r="A584" s="103"/>
      <c r="C584" s="103"/>
      <c r="D584" s="103"/>
      <c r="E584" s="103"/>
      <c r="F584" s="103"/>
      <c r="J584" s="103"/>
      <c r="K584" s="103"/>
      <c r="L584" s="103"/>
      <c r="M584" s="103"/>
      <c r="N584" s="103"/>
      <c r="O584" s="103"/>
      <c r="P584" s="103"/>
      <c r="Q584" s="103"/>
      <c r="R584" s="103"/>
      <c r="T584" s="103"/>
      <c r="U584" s="103"/>
      <c r="V584" s="103"/>
      <c r="Z584" s="103"/>
      <c r="AA584" s="103"/>
      <c r="AB584" s="103"/>
      <c r="AC584" s="103"/>
      <c r="AD584" s="103"/>
      <c r="AE584" s="103"/>
      <c r="AF584" s="103"/>
      <c r="AG584" s="185"/>
      <c r="AH584" s="103"/>
      <c r="AI584" s="103"/>
      <c r="AJ584" s="103"/>
      <c r="AK584" s="185"/>
      <c r="AL584" s="103"/>
      <c r="AM584" s="103"/>
      <c r="AN584" s="103"/>
    </row>
    <row r="585" spans="1:40" x14ac:dyDescent="0.25">
      <c r="A585" s="103"/>
      <c r="C585" s="103"/>
      <c r="D585" s="103"/>
      <c r="E585" s="103"/>
      <c r="F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T585" s="103"/>
      <c r="U585" s="103"/>
      <c r="V585" s="103"/>
      <c r="Y585" s="103"/>
      <c r="Z585" s="103"/>
      <c r="AA585" s="103"/>
      <c r="AB585" s="103"/>
      <c r="AC585" s="103"/>
      <c r="AD585" s="103"/>
      <c r="AE585" s="103"/>
      <c r="AF585" s="103"/>
      <c r="AG585" s="185"/>
      <c r="AH585" s="103"/>
      <c r="AI585" s="103"/>
      <c r="AJ585" s="103"/>
      <c r="AK585" s="185"/>
      <c r="AL585" s="103"/>
      <c r="AM585" s="103"/>
      <c r="AN585" s="103"/>
    </row>
    <row r="586" spans="1:40" x14ac:dyDescent="0.25">
      <c r="C586" s="103"/>
      <c r="D586" s="103"/>
      <c r="E586" s="103"/>
      <c r="F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T586" s="103"/>
      <c r="U586" s="103"/>
      <c r="V586" s="103"/>
      <c r="Y586" s="103"/>
      <c r="Z586" s="103"/>
      <c r="AA586" s="103"/>
      <c r="AB586" s="103"/>
      <c r="AC586" s="103"/>
      <c r="AD586" s="103"/>
      <c r="AE586" s="103"/>
      <c r="AF586" s="103"/>
      <c r="AG586" s="185"/>
      <c r="AH586" s="103"/>
      <c r="AI586" s="103"/>
      <c r="AJ586" s="103"/>
      <c r="AK586" s="185"/>
      <c r="AL586" s="103"/>
      <c r="AM586" s="103"/>
      <c r="AN586" s="103"/>
    </row>
    <row r="587" spans="1:40" x14ac:dyDescent="0.2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208"/>
      <c r="AH587" s="102"/>
      <c r="AI587" s="102"/>
      <c r="AJ587" s="102"/>
      <c r="AK587" s="208"/>
      <c r="AL587" s="102"/>
      <c r="AM587" s="102"/>
      <c r="AN587" s="102"/>
    </row>
    <row r="588" spans="1:40" x14ac:dyDescent="0.25"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Y588" s="103"/>
      <c r="Z588" s="103"/>
      <c r="AA588" s="103"/>
      <c r="AB588" s="103"/>
      <c r="AC588" s="103"/>
      <c r="AD588" s="103"/>
      <c r="AE588" s="103"/>
      <c r="AF588" s="103"/>
      <c r="AG588" s="185"/>
      <c r="AH588" s="103"/>
      <c r="AI588" s="103"/>
      <c r="AJ588" s="103"/>
      <c r="AK588" s="185"/>
      <c r="AL588" s="103"/>
      <c r="AM588" s="103"/>
      <c r="AN588" s="103"/>
    </row>
    <row r="589" spans="1:40" x14ac:dyDescent="0.25">
      <c r="A589" s="202"/>
      <c r="C589" s="154"/>
      <c r="D589" s="154"/>
      <c r="E589" s="154"/>
      <c r="T589" s="154"/>
      <c r="U589" s="154"/>
    </row>
    <row r="591" spans="1:40" x14ac:dyDescent="0.25">
      <c r="A591" s="202"/>
      <c r="C591" s="154"/>
      <c r="T591" s="154"/>
    </row>
    <row r="592" spans="1:40" x14ac:dyDescent="0.25">
      <c r="A592" s="202"/>
      <c r="C592" s="154"/>
      <c r="T592" s="154"/>
    </row>
    <row r="593" spans="1:40" x14ac:dyDescent="0.25">
      <c r="A593" s="202"/>
      <c r="C593" s="154"/>
      <c r="F593" s="252"/>
      <c r="H593" s="252"/>
      <c r="I593" s="252"/>
      <c r="J593" s="329"/>
      <c r="K593" s="329"/>
      <c r="L593" s="200"/>
      <c r="M593" s="200"/>
      <c r="N593" s="210"/>
      <c r="O593" s="210"/>
      <c r="P593" s="200"/>
      <c r="Q593" s="200"/>
      <c r="R593" s="200"/>
      <c r="T593" s="154"/>
      <c r="V593" s="200"/>
      <c r="W593" s="200"/>
      <c r="X593" s="200"/>
      <c r="Y593" s="200"/>
      <c r="Z593" s="329"/>
      <c r="AA593" s="200"/>
      <c r="AB593" s="200"/>
      <c r="AC593" s="210"/>
      <c r="AD593" s="210"/>
      <c r="AE593" s="200"/>
      <c r="AF593" s="200"/>
      <c r="AG593" s="209"/>
      <c r="AH593" s="201"/>
      <c r="AI593" s="200"/>
      <c r="AJ593" s="200"/>
      <c r="AK593" s="209"/>
      <c r="AL593" s="200"/>
      <c r="AM593" s="201"/>
      <c r="AN593" s="201"/>
    </row>
    <row r="594" spans="1:40" x14ac:dyDescent="0.25">
      <c r="A594" s="202"/>
      <c r="C594" s="154"/>
      <c r="F594" s="200"/>
      <c r="H594" s="200"/>
      <c r="I594" s="200"/>
      <c r="J594" s="334"/>
      <c r="K594" s="334"/>
      <c r="L594" s="200"/>
      <c r="M594" s="200"/>
      <c r="N594" s="210"/>
      <c r="O594" s="210"/>
      <c r="P594" s="200"/>
      <c r="Q594" s="200"/>
      <c r="R594" s="200"/>
      <c r="T594" s="154"/>
      <c r="V594" s="200"/>
      <c r="W594" s="200"/>
      <c r="X594" s="200"/>
      <c r="Y594" s="200"/>
      <c r="Z594" s="334"/>
      <c r="AA594" s="200"/>
      <c r="AB594" s="200"/>
      <c r="AC594" s="210"/>
      <c r="AD594" s="210"/>
      <c r="AE594" s="200"/>
      <c r="AF594" s="200"/>
      <c r="AG594" s="209"/>
      <c r="AH594" s="201"/>
      <c r="AI594" s="200"/>
      <c r="AJ594" s="200"/>
      <c r="AK594" s="209"/>
      <c r="AL594" s="200"/>
      <c r="AM594" s="201"/>
      <c r="AN594" s="201"/>
    </row>
    <row r="595" spans="1:40" x14ac:dyDescent="0.25">
      <c r="A595" s="202"/>
      <c r="C595" s="154"/>
      <c r="F595" s="200"/>
      <c r="H595" s="200"/>
      <c r="I595" s="200"/>
      <c r="J595" s="334"/>
      <c r="K595" s="334"/>
      <c r="L595" s="200"/>
      <c r="M595" s="200"/>
      <c r="N595" s="210"/>
      <c r="O595" s="210"/>
      <c r="P595" s="200"/>
      <c r="Q595" s="200"/>
      <c r="R595" s="200"/>
      <c r="T595" s="154"/>
      <c r="V595" s="200"/>
      <c r="W595" s="200"/>
      <c r="X595" s="200"/>
      <c r="Y595" s="200"/>
      <c r="Z595" s="334"/>
      <c r="AA595" s="200"/>
      <c r="AB595" s="200"/>
      <c r="AC595" s="210"/>
      <c r="AD595" s="210"/>
      <c r="AE595" s="200"/>
      <c r="AF595" s="200"/>
      <c r="AG595" s="209"/>
      <c r="AH595" s="201"/>
      <c r="AI595" s="200"/>
      <c r="AJ595" s="200"/>
      <c r="AK595" s="209"/>
      <c r="AL595" s="200"/>
      <c r="AM595" s="201"/>
      <c r="AN595" s="201"/>
    </row>
    <row r="596" spans="1:40" x14ac:dyDescent="0.25">
      <c r="A596" s="202"/>
      <c r="C596" s="154"/>
      <c r="F596" s="200"/>
      <c r="H596" s="200"/>
      <c r="I596" s="200"/>
      <c r="J596" s="334"/>
      <c r="K596" s="334"/>
      <c r="T596" s="154"/>
      <c r="V596" s="200"/>
      <c r="Z596" s="334"/>
    </row>
    <row r="597" spans="1:40" x14ac:dyDescent="0.25">
      <c r="A597" s="202"/>
      <c r="C597" s="154"/>
      <c r="F597" s="252"/>
      <c r="H597" s="252"/>
      <c r="I597" s="252"/>
      <c r="J597" s="329"/>
      <c r="K597" s="329"/>
      <c r="L597" s="200"/>
      <c r="M597" s="200"/>
      <c r="N597" s="210"/>
      <c r="O597" s="210"/>
      <c r="P597" s="200"/>
      <c r="Q597" s="200"/>
      <c r="R597" s="200"/>
      <c r="T597" s="154"/>
      <c r="V597" s="200"/>
      <c r="W597" s="200"/>
      <c r="X597" s="200"/>
      <c r="Y597" s="200"/>
      <c r="Z597" s="329"/>
      <c r="AA597" s="200"/>
      <c r="AB597" s="200"/>
      <c r="AC597" s="210"/>
      <c r="AD597" s="210"/>
      <c r="AE597" s="200"/>
      <c r="AF597" s="200"/>
      <c r="AG597" s="209"/>
      <c r="AH597" s="201"/>
      <c r="AI597" s="200"/>
      <c r="AJ597" s="200"/>
      <c r="AK597" s="209"/>
      <c r="AL597" s="200"/>
      <c r="AM597" s="201"/>
      <c r="AN597" s="201"/>
    </row>
    <row r="598" spans="1:40" x14ac:dyDescent="0.25">
      <c r="A598" s="202"/>
      <c r="C598" s="154"/>
      <c r="F598" s="200"/>
      <c r="H598" s="200"/>
      <c r="I598" s="200"/>
      <c r="J598" s="334"/>
      <c r="K598" s="334"/>
      <c r="T598" s="154"/>
      <c r="V598" s="200"/>
      <c r="W598" s="200"/>
      <c r="X598" s="200"/>
      <c r="Y598" s="200"/>
      <c r="Z598" s="334"/>
      <c r="AC598" s="210"/>
      <c r="AD598" s="210"/>
      <c r="AE598" s="200"/>
      <c r="AF598" s="200"/>
      <c r="AG598" s="209"/>
      <c r="AH598" s="201"/>
      <c r="AI598" s="200"/>
      <c r="AJ598" s="200"/>
      <c r="AK598" s="209"/>
      <c r="AL598" s="200"/>
      <c r="AM598" s="201"/>
      <c r="AN598" s="201"/>
    </row>
    <row r="599" spans="1:40" x14ac:dyDescent="0.25">
      <c r="A599" s="202"/>
      <c r="C599" s="154"/>
      <c r="F599" s="252"/>
      <c r="H599" s="252"/>
      <c r="I599" s="252"/>
      <c r="J599" s="329"/>
      <c r="K599" s="329"/>
      <c r="L599" s="200"/>
      <c r="M599" s="200"/>
      <c r="N599" s="210"/>
      <c r="O599" s="210"/>
      <c r="P599" s="200"/>
      <c r="Q599" s="200"/>
      <c r="R599" s="200"/>
      <c r="T599" s="154"/>
      <c r="V599" s="200"/>
      <c r="W599" s="200"/>
      <c r="X599" s="200"/>
      <c r="Y599" s="200"/>
      <c r="Z599" s="329"/>
      <c r="AA599" s="200"/>
      <c r="AB599" s="200"/>
      <c r="AC599" s="210"/>
      <c r="AD599" s="210"/>
      <c r="AE599" s="200"/>
      <c r="AF599" s="200"/>
      <c r="AG599" s="209"/>
      <c r="AH599" s="201"/>
      <c r="AI599" s="200"/>
      <c r="AJ599" s="200"/>
      <c r="AK599" s="209"/>
      <c r="AL599" s="200"/>
      <c r="AM599" s="201"/>
      <c r="AN599" s="201"/>
    </row>
    <row r="600" spans="1:40" x14ac:dyDescent="0.25">
      <c r="A600" s="202"/>
      <c r="C600" s="154"/>
      <c r="F600" s="200"/>
      <c r="H600" s="200"/>
      <c r="I600" s="200"/>
      <c r="J600" s="334"/>
      <c r="K600" s="334"/>
      <c r="L600" s="200"/>
      <c r="M600" s="200"/>
      <c r="N600" s="210"/>
      <c r="O600" s="210"/>
      <c r="P600" s="200"/>
      <c r="Q600" s="200"/>
      <c r="R600" s="200"/>
      <c r="T600" s="154"/>
      <c r="V600" s="200"/>
      <c r="W600" s="200"/>
      <c r="X600" s="200"/>
      <c r="Y600" s="200"/>
      <c r="Z600" s="334"/>
      <c r="AA600" s="200"/>
      <c r="AB600" s="200"/>
      <c r="AC600" s="210"/>
      <c r="AD600" s="210"/>
      <c r="AE600" s="200"/>
      <c r="AF600" s="200"/>
      <c r="AG600" s="209"/>
      <c r="AH600" s="201"/>
      <c r="AI600" s="200"/>
      <c r="AJ600" s="200"/>
      <c r="AK600" s="209"/>
      <c r="AL600" s="200"/>
      <c r="AM600" s="201"/>
      <c r="AN600" s="201"/>
    </row>
    <row r="601" spans="1:40" x14ac:dyDescent="0.25">
      <c r="F601" s="200"/>
      <c r="H601" s="200"/>
      <c r="I601" s="200"/>
      <c r="J601" s="334"/>
      <c r="K601" s="334"/>
      <c r="Z601" s="334"/>
    </row>
    <row r="602" spans="1:40" x14ac:dyDescent="0.25">
      <c r="A602" s="202"/>
      <c r="C602" s="154"/>
      <c r="F602" s="200"/>
      <c r="H602" s="252"/>
      <c r="I602" s="252"/>
      <c r="J602" s="329"/>
      <c r="K602" s="329"/>
      <c r="L602" s="200"/>
      <c r="M602" s="200"/>
      <c r="N602" s="210"/>
      <c r="O602" s="210"/>
      <c r="P602" s="200"/>
      <c r="Q602" s="200"/>
      <c r="R602" s="200"/>
      <c r="T602" s="154"/>
      <c r="V602" s="200"/>
      <c r="W602" s="200"/>
      <c r="X602" s="200"/>
      <c r="Y602" s="200"/>
      <c r="Z602" s="329"/>
      <c r="AA602" s="200"/>
      <c r="AB602" s="200"/>
      <c r="AC602" s="210"/>
      <c r="AD602" s="210"/>
      <c r="AE602" s="200"/>
      <c r="AF602" s="200"/>
      <c r="AG602" s="209"/>
      <c r="AH602" s="201"/>
      <c r="AI602" s="200"/>
      <c r="AJ602" s="200"/>
      <c r="AK602" s="209"/>
      <c r="AL602" s="200"/>
      <c r="AM602" s="201"/>
      <c r="AN602" s="201"/>
    </row>
    <row r="603" spans="1:40" x14ac:dyDescent="0.25">
      <c r="F603" s="211"/>
      <c r="H603" s="211"/>
      <c r="I603" s="211"/>
      <c r="J603" s="329"/>
      <c r="K603" s="329"/>
      <c r="L603" s="211"/>
      <c r="M603" s="211"/>
      <c r="N603" s="211"/>
      <c r="O603" s="211"/>
      <c r="P603" s="211"/>
      <c r="Q603" s="211"/>
      <c r="R603" s="211"/>
      <c r="V603" s="211"/>
      <c r="Y603" s="211"/>
      <c r="Z603" s="329"/>
      <c r="AA603" s="211"/>
      <c r="AB603" s="211"/>
      <c r="AC603" s="211"/>
      <c r="AD603" s="211"/>
      <c r="AE603" s="211"/>
      <c r="AF603" s="211"/>
      <c r="AI603" s="211"/>
      <c r="AJ603" s="211"/>
      <c r="AK603" s="212"/>
      <c r="AL603" s="211"/>
    </row>
    <row r="604" spans="1:40" x14ac:dyDescent="0.25">
      <c r="A604" s="202"/>
      <c r="C604" s="154"/>
      <c r="F604" s="200"/>
      <c r="H604" s="200"/>
      <c r="I604" s="200"/>
      <c r="J604" s="334"/>
      <c r="K604" s="334"/>
      <c r="L604" s="200"/>
      <c r="M604" s="200"/>
      <c r="N604" s="202"/>
      <c r="O604" s="202"/>
      <c r="P604" s="200"/>
      <c r="Q604" s="200"/>
      <c r="R604" s="200"/>
      <c r="T604" s="154"/>
      <c r="V604" s="200"/>
      <c r="Y604" s="200"/>
      <c r="Z604" s="334"/>
      <c r="AA604" s="200"/>
      <c r="AB604" s="200"/>
      <c r="AC604" s="201"/>
      <c r="AD604" s="201"/>
      <c r="AE604" s="200"/>
      <c r="AF604" s="200"/>
      <c r="AG604" s="209"/>
      <c r="AH604" s="201"/>
      <c r="AI604" s="200"/>
      <c r="AJ604" s="200"/>
      <c r="AK604" s="209"/>
      <c r="AL604" s="200"/>
      <c r="AM604" s="201"/>
      <c r="AN604" s="201"/>
    </row>
    <row r="605" spans="1:40" x14ac:dyDescent="0.25">
      <c r="F605" s="211"/>
      <c r="H605" s="211"/>
      <c r="I605" s="211"/>
      <c r="J605" s="329"/>
      <c r="K605" s="329"/>
      <c r="L605" s="211"/>
      <c r="M605" s="211"/>
      <c r="N605" s="211"/>
      <c r="O605" s="211"/>
      <c r="P605" s="211"/>
      <c r="Q605" s="211"/>
      <c r="R605" s="211"/>
      <c r="V605" s="211"/>
      <c r="Y605" s="211"/>
      <c r="Z605" s="329"/>
      <c r="AA605" s="211"/>
      <c r="AB605" s="211"/>
      <c r="AC605" s="211"/>
      <c r="AD605" s="211"/>
      <c r="AE605" s="211"/>
      <c r="AF605" s="211"/>
      <c r="AI605" s="211"/>
      <c r="AJ605" s="211"/>
      <c r="AK605" s="212"/>
      <c r="AL605" s="211"/>
    </row>
    <row r="606" spans="1:40" x14ac:dyDescent="0.25">
      <c r="J606" s="334"/>
      <c r="K606" s="334"/>
      <c r="Z606" s="334"/>
    </row>
    <row r="607" spans="1:40" x14ac:dyDescent="0.25">
      <c r="A607" s="202"/>
      <c r="C607" s="154"/>
      <c r="J607" s="334"/>
      <c r="K607" s="334"/>
      <c r="T607" s="154"/>
      <c r="Z607" s="334"/>
    </row>
    <row r="608" spans="1:40" x14ac:dyDescent="0.25">
      <c r="A608" s="202"/>
      <c r="C608" s="154"/>
      <c r="J608" s="334"/>
      <c r="K608" s="334"/>
      <c r="T608" s="154"/>
      <c r="Z608" s="334"/>
    </row>
    <row r="609" spans="1:40" x14ac:dyDescent="0.25">
      <c r="A609" s="202"/>
      <c r="C609" s="154"/>
      <c r="F609" s="252"/>
      <c r="H609" s="252"/>
      <c r="I609" s="252"/>
      <c r="J609" s="329"/>
      <c r="K609" s="329"/>
      <c r="L609" s="200"/>
      <c r="M609" s="200"/>
      <c r="N609" s="210"/>
      <c r="O609" s="210"/>
      <c r="P609" s="200"/>
      <c r="Q609" s="200"/>
      <c r="R609" s="200"/>
      <c r="T609" s="154"/>
      <c r="V609" s="200"/>
      <c r="W609" s="200"/>
      <c r="X609" s="200"/>
      <c r="Y609" s="200"/>
      <c r="Z609" s="329"/>
      <c r="AA609" s="200"/>
      <c r="AB609" s="200"/>
      <c r="AC609" s="210"/>
      <c r="AD609" s="210"/>
      <c r="AE609" s="200"/>
      <c r="AF609" s="200"/>
      <c r="AG609" s="209"/>
      <c r="AH609" s="201"/>
      <c r="AI609" s="200"/>
      <c r="AJ609" s="200"/>
      <c r="AK609" s="209"/>
      <c r="AL609" s="200"/>
      <c r="AM609" s="201"/>
      <c r="AN609" s="201"/>
    </row>
    <row r="610" spans="1:40" x14ac:dyDescent="0.25">
      <c r="A610" s="202"/>
      <c r="C610" s="154"/>
      <c r="J610" s="334"/>
      <c r="K610" s="334"/>
      <c r="T610" s="154"/>
      <c r="Z610" s="334"/>
    </row>
    <row r="611" spans="1:40" x14ac:dyDescent="0.25">
      <c r="A611" s="202"/>
      <c r="C611" s="154"/>
      <c r="F611" s="252"/>
      <c r="H611" s="252"/>
      <c r="I611" s="252"/>
      <c r="J611" s="329"/>
      <c r="K611" s="329"/>
      <c r="L611" s="200"/>
      <c r="M611" s="200"/>
      <c r="N611" s="210"/>
      <c r="O611" s="210"/>
      <c r="P611" s="200"/>
      <c r="Q611" s="200"/>
      <c r="R611" s="200"/>
      <c r="T611" s="154"/>
      <c r="V611" s="200"/>
      <c r="W611" s="200"/>
      <c r="X611" s="200"/>
      <c r="Y611" s="200"/>
      <c r="Z611" s="329"/>
      <c r="AA611" s="200"/>
      <c r="AB611" s="200"/>
      <c r="AC611" s="210"/>
      <c r="AD611" s="210"/>
      <c r="AE611" s="200"/>
      <c r="AF611" s="200"/>
      <c r="AG611" s="209"/>
      <c r="AH611" s="201"/>
      <c r="AI611" s="200"/>
      <c r="AJ611" s="200"/>
      <c r="AK611" s="209"/>
      <c r="AL611" s="200"/>
      <c r="AM611" s="201"/>
      <c r="AN611" s="201"/>
    </row>
    <row r="612" spans="1:40" x14ac:dyDescent="0.25">
      <c r="F612" s="211"/>
      <c r="H612" s="211"/>
      <c r="I612" s="211"/>
      <c r="J612" s="329"/>
      <c r="K612" s="329"/>
      <c r="L612" s="211"/>
      <c r="M612" s="211"/>
      <c r="N612" s="211"/>
      <c r="O612" s="211"/>
      <c r="P612" s="211"/>
      <c r="Q612" s="211"/>
      <c r="R612" s="211"/>
      <c r="V612" s="211"/>
      <c r="Y612" s="211"/>
      <c r="Z612" s="329"/>
      <c r="AA612" s="211"/>
      <c r="AB612" s="211"/>
      <c r="AC612" s="211"/>
      <c r="AD612" s="211"/>
      <c r="AE612" s="211"/>
      <c r="AF612" s="211"/>
      <c r="AI612" s="211"/>
      <c r="AJ612" s="211"/>
      <c r="AK612" s="212"/>
      <c r="AL612" s="211"/>
    </row>
    <row r="613" spans="1:40" x14ac:dyDescent="0.25">
      <c r="A613" s="202"/>
      <c r="C613" s="154"/>
      <c r="F613" s="200"/>
      <c r="H613" s="200"/>
      <c r="I613" s="200"/>
      <c r="J613" s="334"/>
      <c r="K613" s="334"/>
      <c r="L613" s="200"/>
      <c r="M613" s="200"/>
      <c r="N613" s="201"/>
      <c r="O613" s="201"/>
      <c r="P613" s="200"/>
      <c r="Q613" s="200"/>
      <c r="R613" s="200"/>
      <c r="T613" s="154"/>
      <c r="V613" s="200"/>
      <c r="Y613" s="200"/>
      <c r="Z613" s="334"/>
      <c r="AA613" s="200"/>
      <c r="AB613" s="200"/>
      <c r="AC613" s="201"/>
      <c r="AD613" s="201"/>
      <c r="AE613" s="200"/>
      <c r="AF613" s="200"/>
      <c r="AG613" s="209"/>
      <c r="AH613" s="201"/>
      <c r="AI613" s="200"/>
      <c r="AJ613" s="200"/>
      <c r="AK613" s="209"/>
      <c r="AL613" s="200"/>
      <c r="AM613" s="201"/>
      <c r="AN613" s="201"/>
    </row>
    <row r="614" spans="1:40" x14ac:dyDescent="0.25">
      <c r="F614" s="211"/>
      <c r="H614" s="211"/>
      <c r="I614" s="211"/>
      <c r="J614" s="329"/>
      <c r="K614" s="329"/>
      <c r="L614" s="211"/>
      <c r="M614" s="211"/>
      <c r="N614" s="211"/>
      <c r="O614" s="211"/>
      <c r="P614" s="211"/>
      <c r="Q614" s="211"/>
      <c r="R614" s="211"/>
      <c r="V614" s="211"/>
      <c r="Y614" s="211"/>
      <c r="Z614" s="305"/>
      <c r="AA614" s="211"/>
      <c r="AB614" s="211"/>
      <c r="AC614" s="211"/>
      <c r="AD614" s="211"/>
      <c r="AE614" s="211"/>
      <c r="AF614" s="211"/>
      <c r="AI614" s="211"/>
      <c r="AJ614" s="211"/>
      <c r="AK614" s="212"/>
      <c r="AL614" s="211"/>
    </row>
    <row r="615" spans="1:40" x14ac:dyDescent="0.25">
      <c r="J615" s="334"/>
      <c r="K615" s="334"/>
    </row>
    <row r="616" spans="1:40" x14ac:dyDescent="0.25">
      <c r="A616" s="202"/>
      <c r="C616" s="154"/>
      <c r="F616" s="200"/>
      <c r="H616" s="200"/>
      <c r="I616" s="200"/>
      <c r="J616" s="334"/>
      <c r="K616" s="334"/>
      <c r="L616" s="200"/>
      <c r="M616" s="200"/>
      <c r="N616" s="210"/>
      <c r="O616" s="210"/>
      <c r="P616" s="252"/>
      <c r="Q616" s="252"/>
      <c r="R616" s="200"/>
      <c r="T616" s="154"/>
      <c r="V616" s="200"/>
      <c r="Y616" s="200"/>
      <c r="AA616" s="200"/>
      <c r="AB616" s="200"/>
      <c r="AC616" s="201"/>
      <c r="AD616" s="201"/>
      <c r="AE616" s="200"/>
      <c r="AF616" s="200"/>
      <c r="AG616" s="209"/>
      <c r="AH616" s="201"/>
      <c r="AI616" s="252"/>
      <c r="AJ616" s="252"/>
      <c r="AK616" s="209"/>
      <c r="AL616" s="200"/>
      <c r="AM616" s="201"/>
      <c r="AN616" s="201"/>
    </row>
    <row r="617" spans="1:40" x14ac:dyDescent="0.25">
      <c r="F617" s="211"/>
      <c r="H617" s="211"/>
      <c r="I617" s="211"/>
      <c r="J617" s="329"/>
      <c r="K617" s="329"/>
      <c r="L617" s="211"/>
      <c r="M617" s="211"/>
      <c r="N617" s="211"/>
      <c r="O617" s="211"/>
      <c r="P617" s="211"/>
      <c r="Q617" s="211"/>
      <c r="R617" s="211"/>
      <c r="V617" s="211"/>
      <c r="Y617" s="211"/>
      <c r="Z617" s="305"/>
      <c r="AA617" s="211"/>
      <c r="AB617" s="211"/>
      <c r="AC617" s="211"/>
      <c r="AD617" s="211"/>
      <c r="AE617" s="211"/>
      <c r="AF617" s="211"/>
      <c r="AI617" s="211"/>
      <c r="AJ617" s="211"/>
      <c r="AK617" s="212"/>
      <c r="AL617" s="211"/>
    </row>
    <row r="619" spans="1:40" x14ac:dyDescent="0.25">
      <c r="C619" s="202"/>
      <c r="T619" s="202"/>
    </row>
    <row r="620" spans="1:40" x14ac:dyDescent="0.25">
      <c r="A620" s="154"/>
    </row>
    <row r="621" spans="1:40" x14ac:dyDescent="0.25">
      <c r="J621" s="202"/>
      <c r="K621" s="202"/>
      <c r="Z621" s="202"/>
    </row>
    <row r="622" spans="1:40" x14ac:dyDescent="0.25">
      <c r="H622" s="154"/>
      <c r="I622" s="154"/>
      <c r="Y622" s="154"/>
    </row>
    <row r="623" spans="1:40" x14ac:dyDescent="0.25">
      <c r="J623" s="202"/>
      <c r="K623" s="202"/>
      <c r="Z623" s="202"/>
    </row>
    <row r="624" spans="1:40" x14ac:dyDescent="0.25">
      <c r="L624" s="154"/>
      <c r="M624" s="154"/>
      <c r="AA624" s="154"/>
      <c r="AB624" s="154"/>
    </row>
    <row r="625" spans="1:40" x14ac:dyDescent="0.25">
      <c r="A625" s="202"/>
      <c r="R625" s="154"/>
      <c r="AK625" s="297"/>
      <c r="AL625" s="154"/>
    </row>
    <row r="626" spans="1:40" x14ac:dyDescent="0.25">
      <c r="A626" s="202"/>
      <c r="R626" s="154"/>
      <c r="AK626" s="297"/>
      <c r="AL626" s="154"/>
    </row>
    <row r="627" spans="1:40" x14ac:dyDescent="0.25">
      <c r="A627" s="154"/>
      <c r="R627" s="154"/>
      <c r="AK627" s="297"/>
      <c r="AL627" s="154"/>
    </row>
    <row r="628" spans="1:40" x14ac:dyDescent="0.25">
      <c r="L628" s="154"/>
      <c r="M628" s="154"/>
      <c r="R628" s="202"/>
      <c r="AA628" s="154"/>
      <c r="AB628" s="154"/>
      <c r="AK628" s="209"/>
      <c r="AL628" s="202"/>
    </row>
    <row r="629" spans="1:40" x14ac:dyDescent="0.25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208"/>
      <c r="AH629" s="102"/>
      <c r="AI629" s="102"/>
      <c r="AJ629" s="102"/>
      <c r="AK629" s="208"/>
      <c r="AL629" s="102"/>
      <c r="AM629" s="102"/>
      <c r="AN629" s="102"/>
    </row>
    <row r="630" spans="1:40" x14ac:dyDescent="0.25">
      <c r="L630" s="103"/>
      <c r="M630" s="103"/>
      <c r="N630" s="103"/>
      <c r="O630" s="103"/>
      <c r="R630" s="103"/>
      <c r="AA630" s="103"/>
      <c r="AB630" s="103"/>
      <c r="AC630" s="103"/>
      <c r="AD630" s="103"/>
      <c r="AE630" s="103"/>
      <c r="AF630" s="103"/>
      <c r="AG630" s="185"/>
      <c r="AH630" s="103"/>
      <c r="AK630" s="185"/>
      <c r="AL630" s="103"/>
      <c r="AM630" s="103"/>
      <c r="AN630" s="103"/>
    </row>
    <row r="631" spans="1:40" x14ac:dyDescent="0.25">
      <c r="L631" s="103"/>
      <c r="M631" s="103"/>
      <c r="N631" s="103"/>
      <c r="O631" s="103"/>
      <c r="R631" s="103"/>
      <c r="Z631" s="103"/>
      <c r="AA631" s="103"/>
      <c r="AB631" s="103"/>
      <c r="AC631" s="103"/>
      <c r="AD631" s="103"/>
      <c r="AE631" s="103"/>
      <c r="AF631" s="103"/>
      <c r="AG631" s="185"/>
      <c r="AH631" s="103"/>
      <c r="AK631" s="185"/>
      <c r="AL631" s="103"/>
      <c r="AM631" s="103"/>
      <c r="AN631" s="103"/>
    </row>
    <row r="632" spans="1:40" x14ac:dyDescent="0.25">
      <c r="A632" s="103"/>
      <c r="C632" s="103"/>
      <c r="D632" s="103"/>
      <c r="E632" s="103"/>
      <c r="F632" s="103"/>
      <c r="J632" s="103"/>
      <c r="K632" s="103"/>
      <c r="L632" s="103"/>
      <c r="M632" s="103"/>
      <c r="N632" s="103"/>
      <c r="O632" s="103"/>
      <c r="P632" s="103"/>
      <c r="Q632" s="103"/>
      <c r="R632" s="103"/>
      <c r="T632" s="103"/>
      <c r="U632" s="103"/>
      <c r="V632" s="103"/>
      <c r="Z632" s="103"/>
      <c r="AA632" s="103"/>
      <c r="AB632" s="103"/>
      <c r="AC632" s="103"/>
      <c r="AD632" s="103"/>
      <c r="AE632" s="103"/>
      <c r="AF632" s="103"/>
      <c r="AG632" s="185"/>
      <c r="AH632" s="103"/>
      <c r="AI632" s="103"/>
      <c r="AJ632" s="103"/>
      <c r="AK632" s="185"/>
      <c r="AL632" s="103"/>
      <c r="AM632" s="103"/>
      <c r="AN632" s="103"/>
    </row>
    <row r="633" spans="1:40" x14ac:dyDescent="0.25">
      <c r="A633" s="103"/>
      <c r="C633" s="103"/>
      <c r="D633" s="103"/>
      <c r="E633" s="103"/>
      <c r="F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T633" s="103"/>
      <c r="U633" s="103"/>
      <c r="V633" s="103"/>
      <c r="Y633" s="103"/>
      <c r="Z633" s="103"/>
      <c r="AA633" s="103"/>
      <c r="AB633" s="103"/>
      <c r="AC633" s="103"/>
      <c r="AD633" s="103"/>
      <c r="AE633" s="103"/>
      <c r="AF633" s="103"/>
      <c r="AG633" s="185"/>
      <c r="AH633" s="103"/>
      <c r="AI633" s="103"/>
      <c r="AJ633" s="103"/>
      <c r="AK633" s="185"/>
      <c r="AL633" s="103"/>
      <c r="AM633" s="103"/>
      <c r="AN633" s="103"/>
    </row>
    <row r="634" spans="1:40" x14ac:dyDescent="0.25">
      <c r="C634" s="103"/>
      <c r="D634" s="103"/>
      <c r="E634" s="103"/>
      <c r="F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T634" s="103"/>
      <c r="U634" s="103"/>
      <c r="V634" s="103"/>
      <c r="Y634" s="103"/>
      <c r="Z634" s="103"/>
      <c r="AA634" s="103"/>
      <c r="AB634" s="103"/>
      <c r="AC634" s="103"/>
      <c r="AD634" s="103"/>
      <c r="AE634" s="103"/>
      <c r="AF634" s="103"/>
      <c r="AG634" s="185"/>
      <c r="AH634" s="103"/>
      <c r="AI634" s="103"/>
      <c r="AJ634" s="103"/>
      <c r="AK634" s="185"/>
      <c r="AL634" s="103"/>
      <c r="AM634" s="103"/>
      <c r="AN634" s="103"/>
    </row>
    <row r="635" spans="1:40" x14ac:dyDescent="0.25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208"/>
      <c r="AH635" s="102"/>
      <c r="AI635" s="102"/>
      <c r="AJ635" s="102"/>
      <c r="AK635" s="208"/>
      <c r="AL635" s="102"/>
      <c r="AM635" s="102"/>
      <c r="AN635" s="102"/>
    </row>
    <row r="636" spans="1:40" x14ac:dyDescent="0.25"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Y636" s="103"/>
      <c r="Z636" s="103"/>
      <c r="AA636" s="103"/>
      <c r="AB636" s="103"/>
      <c r="AC636" s="103"/>
      <c r="AD636" s="103"/>
      <c r="AE636" s="103"/>
      <c r="AF636" s="103"/>
      <c r="AG636" s="185"/>
      <c r="AH636" s="103"/>
      <c r="AI636" s="103"/>
      <c r="AJ636" s="103"/>
      <c r="AK636" s="185"/>
      <c r="AL636" s="103"/>
      <c r="AM636" s="103"/>
      <c r="AN636" s="103"/>
    </row>
    <row r="637" spans="1:40" x14ac:dyDescent="0.25">
      <c r="A637" s="202"/>
      <c r="C637" s="154"/>
      <c r="D637" s="154"/>
      <c r="E637" s="154"/>
      <c r="T637" s="154"/>
      <c r="U637" s="154"/>
    </row>
    <row r="639" spans="1:40" x14ac:dyDescent="0.25">
      <c r="A639" s="202"/>
      <c r="C639" s="154"/>
      <c r="D639" s="154"/>
      <c r="E639" s="154"/>
      <c r="T639" s="154"/>
      <c r="U639" s="154"/>
    </row>
    <row r="640" spans="1:40" x14ac:dyDescent="0.25">
      <c r="A640" s="202"/>
      <c r="C640" s="154"/>
      <c r="T640" s="154"/>
    </row>
    <row r="641" spans="1:40" x14ac:dyDescent="0.25">
      <c r="A641" s="202"/>
      <c r="C641" s="154"/>
      <c r="T641" s="154"/>
    </row>
    <row r="642" spans="1:40" x14ac:dyDescent="0.25">
      <c r="A642" s="202"/>
      <c r="C642" s="154"/>
      <c r="F642" s="252"/>
      <c r="H642" s="252"/>
      <c r="I642" s="252"/>
      <c r="J642" s="329"/>
      <c r="K642" s="329"/>
      <c r="L642" s="200"/>
      <c r="M642" s="200"/>
      <c r="N642" s="210"/>
      <c r="O642" s="210"/>
      <c r="P642" s="200"/>
      <c r="Q642" s="200"/>
      <c r="R642" s="200"/>
      <c r="T642" s="154"/>
      <c r="V642" s="200"/>
      <c r="W642" s="200"/>
      <c r="X642" s="200"/>
      <c r="Y642" s="200"/>
      <c r="Z642" s="329"/>
      <c r="AA642" s="200"/>
      <c r="AB642" s="200"/>
      <c r="AC642" s="210"/>
      <c r="AD642" s="210"/>
      <c r="AE642" s="200"/>
      <c r="AF642" s="200"/>
      <c r="AG642" s="209"/>
      <c r="AH642" s="201"/>
      <c r="AI642" s="200"/>
      <c r="AJ642" s="200"/>
      <c r="AK642" s="209"/>
      <c r="AL642" s="200"/>
      <c r="AM642" s="210"/>
      <c r="AN642" s="210"/>
    </row>
    <row r="643" spans="1:40" x14ac:dyDescent="0.25">
      <c r="A643" s="202"/>
      <c r="C643" s="154"/>
      <c r="J643" s="334"/>
      <c r="K643" s="334"/>
      <c r="T643" s="154"/>
      <c r="V643" s="200"/>
      <c r="W643" s="200"/>
      <c r="X643" s="200"/>
      <c r="Y643" s="200"/>
      <c r="Z643" s="329"/>
    </row>
    <row r="644" spans="1:40" x14ac:dyDescent="0.25">
      <c r="A644" s="202"/>
      <c r="C644" s="154"/>
      <c r="F644" s="252"/>
      <c r="H644" s="252"/>
      <c r="I644" s="252"/>
      <c r="J644" s="329"/>
      <c r="K644" s="329"/>
      <c r="L644" s="200"/>
      <c r="M644" s="200"/>
      <c r="N644" s="210"/>
      <c r="O644" s="210"/>
      <c r="P644" s="200"/>
      <c r="Q644" s="200"/>
      <c r="R644" s="200"/>
      <c r="T644" s="154"/>
      <c r="V644" s="200"/>
      <c r="W644" s="200"/>
      <c r="X644" s="200"/>
      <c r="Y644" s="200"/>
      <c r="Z644" s="329"/>
      <c r="AA644" s="200"/>
      <c r="AB644" s="200"/>
      <c r="AC644" s="210"/>
      <c r="AD644" s="210"/>
      <c r="AE644" s="200"/>
      <c r="AF644" s="200"/>
      <c r="AG644" s="209"/>
      <c r="AH644" s="201"/>
      <c r="AI644" s="200"/>
      <c r="AJ644" s="200"/>
      <c r="AK644" s="209"/>
      <c r="AL644" s="200"/>
      <c r="AM644" s="210"/>
      <c r="AN644" s="210"/>
    </row>
    <row r="645" spans="1:40" x14ac:dyDescent="0.25">
      <c r="A645" s="202"/>
      <c r="C645" s="154"/>
      <c r="J645" s="334"/>
      <c r="K645" s="334"/>
      <c r="T645" s="154"/>
      <c r="V645" s="200"/>
      <c r="W645" s="200"/>
      <c r="X645" s="200"/>
      <c r="Y645" s="200"/>
      <c r="Z645" s="329"/>
    </row>
    <row r="646" spans="1:40" x14ac:dyDescent="0.25">
      <c r="A646" s="202"/>
      <c r="C646" s="154"/>
      <c r="F646" s="252"/>
      <c r="H646" s="252"/>
      <c r="I646" s="252"/>
      <c r="J646" s="329"/>
      <c r="K646" s="329"/>
      <c r="L646" s="200"/>
      <c r="M646" s="200"/>
      <c r="N646" s="210"/>
      <c r="O646" s="210"/>
      <c r="P646" s="200"/>
      <c r="Q646" s="200"/>
      <c r="R646" s="200"/>
      <c r="T646" s="154"/>
      <c r="V646" s="200"/>
      <c r="W646" s="200"/>
      <c r="X646" s="200"/>
      <c r="Y646" s="200"/>
      <c r="Z646" s="329"/>
      <c r="AA646" s="200"/>
      <c r="AB646" s="200"/>
      <c r="AC646" s="210"/>
      <c r="AD646" s="210"/>
      <c r="AE646" s="200"/>
      <c r="AF646" s="200"/>
      <c r="AG646" s="209"/>
      <c r="AH646" s="201"/>
      <c r="AI646" s="200"/>
      <c r="AJ646" s="200"/>
      <c r="AK646" s="209"/>
      <c r="AL646" s="200"/>
      <c r="AM646" s="210"/>
      <c r="AN646" s="210"/>
    </row>
    <row r="647" spans="1:40" x14ac:dyDescent="0.25">
      <c r="A647" s="202"/>
      <c r="C647" s="154"/>
      <c r="J647" s="334"/>
      <c r="K647" s="334"/>
      <c r="T647" s="154"/>
      <c r="V647" s="200"/>
      <c r="W647" s="200"/>
      <c r="X647" s="200"/>
      <c r="Y647" s="200"/>
      <c r="Z647" s="329"/>
    </row>
    <row r="648" spans="1:40" x14ac:dyDescent="0.25">
      <c r="A648" s="202"/>
      <c r="C648" s="154"/>
      <c r="F648" s="252"/>
      <c r="H648" s="252"/>
      <c r="I648" s="252"/>
      <c r="J648" s="329"/>
      <c r="K648" s="329"/>
      <c r="L648" s="200"/>
      <c r="M648" s="200"/>
      <c r="N648" s="210"/>
      <c r="O648" s="210"/>
      <c r="P648" s="200"/>
      <c r="Q648" s="200"/>
      <c r="R648" s="200"/>
      <c r="T648" s="154"/>
      <c r="V648" s="200"/>
      <c r="W648" s="200"/>
      <c r="X648" s="200"/>
      <c r="Y648" s="200"/>
      <c r="Z648" s="329"/>
      <c r="AA648" s="200"/>
      <c r="AB648" s="200"/>
      <c r="AC648" s="210"/>
      <c r="AD648" s="210"/>
      <c r="AE648" s="200"/>
      <c r="AF648" s="200"/>
      <c r="AG648" s="209"/>
      <c r="AH648" s="201"/>
      <c r="AI648" s="200"/>
      <c r="AJ648" s="200"/>
      <c r="AK648" s="209"/>
      <c r="AL648" s="200"/>
      <c r="AM648" s="210"/>
      <c r="AN648" s="210"/>
    </row>
    <row r="649" spans="1:40" x14ac:dyDescent="0.25">
      <c r="A649" s="202"/>
      <c r="C649" s="154"/>
      <c r="J649" s="334"/>
      <c r="K649" s="334"/>
      <c r="T649" s="154"/>
      <c r="V649" s="200"/>
      <c r="W649" s="200"/>
      <c r="X649" s="200"/>
      <c r="Y649" s="200"/>
      <c r="Z649" s="329"/>
    </row>
    <row r="650" spans="1:40" x14ac:dyDescent="0.25">
      <c r="A650" s="202"/>
      <c r="C650" s="154"/>
      <c r="F650" s="252"/>
      <c r="H650" s="252"/>
      <c r="I650" s="252"/>
      <c r="J650" s="329"/>
      <c r="K650" s="329"/>
      <c r="L650" s="200"/>
      <c r="M650" s="200"/>
      <c r="N650" s="210"/>
      <c r="O650" s="210"/>
      <c r="P650" s="200"/>
      <c r="Q650" s="200"/>
      <c r="R650" s="200"/>
      <c r="T650" s="154"/>
      <c r="V650" s="200"/>
      <c r="W650" s="200"/>
      <c r="X650" s="200"/>
      <c r="Y650" s="200"/>
      <c r="Z650" s="329"/>
      <c r="AA650" s="200"/>
      <c r="AB650" s="200"/>
      <c r="AC650" s="210"/>
      <c r="AD650" s="210"/>
      <c r="AE650" s="200"/>
      <c r="AF650" s="200"/>
      <c r="AG650" s="209"/>
      <c r="AH650" s="201"/>
      <c r="AI650" s="200"/>
      <c r="AJ650" s="200"/>
      <c r="AK650" s="209"/>
      <c r="AL650" s="200"/>
      <c r="AM650" s="210"/>
      <c r="AN650" s="210"/>
    </row>
    <row r="651" spans="1:40" x14ac:dyDescent="0.25">
      <c r="A651" s="202"/>
      <c r="C651" s="154"/>
      <c r="J651" s="334"/>
      <c r="K651" s="334"/>
      <c r="T651" s="154"/>
      <c r="V651" s="200"/>
      <c r="W651" s="200"/>
      <c r="X651" s="200"/>
      <c r="Y651" s="200"/>
      <c r="Z651" s="329"/>
    </row>
    <row r="652" spans="1:40" x14ac:dyDescent="0.25">
      <c r="A652" s="202"/>
      <c r="C652" s="154"/>
      <c r="F652" s="252"/>
      <c r="H652" s="252"/>
      <c r="I652" s="252"/>
      <c r="J652" s="329"/>
      <c r="K652" s="329"/>
      <c r="L652" s="200"/>
      <c r="M652" s="200"/>
      <c r="N652" s="210"/>
      <c r="O652" s="210"/>
      <c r="P652" s="200"/>
      <c r="Q652" s="200"/>
      <c r="R652" s="200"/>
      <c r="T652" s="154"/>
      <c r="V652" s="200"/>
      <c r="W652" s="200"/>
      <c r="X652" s="200"/>
      <c r="Y652" s="200"/>
      <c r="Z652" s="329"/>
      <c r="AA652" s="200"/>
      <c r="AB652" s="200"/>
      <c r="AC652" s="210"/>
      <c r="AD652" s="210"/>
      <c r="AE652" s="200"/>
      <c r="AF652" s="200"/>
      <c r="AG652" s="209"/>
      <c r="AH652" s="201"/>
      <c r="AI652" s="200"/>
      <c r="AJ652" s="200"/>
      <c r="AK652" s="209"/>
      <c r="AL652" s="200"/>
      <c r="AM652" s="210"/>
      <c r="AN652" s="210"/>
    </row>
    <row r="653" spans="1:40" x14ac:dyDescent="0.25">
      <c r="F653" s="211"/>
      <c r="H653" s="211"/>
      <c r="I653" s="211"/>
      <c r="J653" s="329"/>
      <c r="K653" s="329"/>
      <c r="L653" s="211"/>
      <c r="M653" s="211"/>
      <c r="N653" s="211"/>
      <c r="O653" s="211"/>
      <c r="P653" s="211"/>
      <c r="Q653" s="211"/>
      <c r="R653" s="211"/>
      <c r="V653" s="211"/>
      <c r="Y653" s="211"/>
      <c r="Z653" s="329"/>
      <c r="AA653" s="211"/>
      <c r="AB653" s="211"/>
      <c r="AC653" s="211"/>
      <c r="AD653" s="211"/>
      <c r="AE653" s="211"/>
      <c r="AF653" s="211"/>
      <c r="AI653" s="211"/>
      <c r="AJ653" s="211"/>
      <c r="AK653" s="212"/>
      <c r="AL653" s="211"/>
      <c r="AM653" s="210"/>
      <c r="AN653" s="210"/>
    </row>
    <row r="654" spans="1:40" x14ac:dyDescent="0.25">
      <c r="A654" s="202"/>
      <c r="C654" s="154"/>
      <c r="F654" s="200"/>
      <c r="H654" s="200"/>
      <c r="I654" s="200"/>
      <c r="J654" s="334"/>
      <c r="K654" s="334"/>
      <c r="L654" s="200"/>
      <c r="M654" s="200"/>
      <c r="N654" s="210"/>
      <c r="O654" s="210"/>
      <c r="P654" s="252"/>
      <c r="Q654" s="252"/>
      <c r="R654" s="200"/>
      <c r="T654" s="154"/>
      <c r="V654" s="200"/>
      <c r="W654" s="200"/>
      <c r="X654" s="200"/>
      <c r="Y654" s="200"/>
      <c r="Z654" s="329"/>
      <c r="AA654" s="200"/>
      <c r="AB654" s="200"/>
      <c r="AC654" s="210"/>
      <c r="AD654" s="210"/>
      <c r="AE654" s="200"/>
      <c r="AF654" s="200"/>
      <c r="AG654" s="209"/>
      <c r="AH654" s="201"/>
      <c r="AI654" s="252"/>
      <c r="AJ654" s="252"/>
      <c r="AK654" s="209"/>
      <c r="AL654" s="200"/>
      <c r="AM654" s="210"/>
      <c r="AN654" s="210"/>
    </row>
    <row r="655" spans="1:40" x14ac:dyDescent="0.25">
      <c r="F655" s="211"/>
      <c r="H655" s="211"/>
      <c r="I655" s="211"/>
      <c r="J655" s="329"/>
      <c r="K655" s="329"/>
      <c r="L655" s="211"/>
      <c r="M655" s="211"/>
      <c r="N655" s="211"/>
      <c r="O655" s="211"/>
      <c r="P655" s="211"/>
      <c r="Q655" s="211"/>
      <c r="R655" s="211"/>
      <c r="V655" s="211"/>
      <c r="Y655" s="211"/>
      <c r="Z655" s="329"/>
      <c r="AA655" s="211"/>
      <c r="AB655" s="211"/>
      <c r="AC655" s="211"/>
      <c r="AD655" s="211"/>
      <c r="AE655" s="211"/>
      <c r="AF655" s="211"/>
      <c r="AI655" s="211"/>
      <c r="AJ655" s="211"/>
      <c r="AK655" s="212"/>
      <c r="AL655" s="211"/>
    </row>
    <row r="656" spans="1:40" x14ac:dyDescent="0.25">
      <c r="A656" s="202"/>
      <c r="C656" s="154"/>
      <c r="D656" s="154"/>
      <c r="E656" s="154"/>
      <c r="J656" s="334"/>
      <c r="K656" s="334"/>
      <c r="T656" s="154"/>
      <c r="U656" s="154"/>
      <c r="V656" s="200"/>
      <c r="W656" s="200"/>
      <c r="X656" s="200"/>
      <c r="Y656" s="200"/>
      <c r="Z656" s="329"/>
    </row>
    <row r="657" spans="1:40" x14ac:dyDescent="0.25">
      <c r="A657" s="202"/>
      <c r="C657" s="154"/>
      <c r="J657" s="334"/>
      <c r="K657" s="334"/>
      <c r="T657" s="154"/>
      <c r="V657" s="200"/>
      <c r="W657" s="200"/>
      <c r="X657" s="200"/>
      <c r="Y657" s="200"/>
      <c r="Z657" s="329"/>
    </row>
    <row r="658" spans="1:40" x14ac:dyDescent="0.25">
      <c r="A658" s="202"/>
      <c r="C658" s="154"/>
      <c r="J658" s="334"/>
      <c r="K658" s="334"/>
      <c r="T658" s="154"/>
      <c r="V658" s="200"/>
      <c r="W658" s="200"/>
      <c r="X658" s="200"/>
      <c r="Y658" s="200"/>
      <c r="Z658" s="329"/>
    </row>
    <row r="659" spans="1:40" x14ac:dyDescent="0.25">
      <c r="A659" s="202"/>
      <c r="C659" s="154"/>
      <c r="F659" s="252"/>
      <c r="H659" s="252"/>
      <c r="I659" s="252"/>
      <c r="J659" s="329"/>
      <c r="K659" s="329"/>
      <c r="L659" s="200"/>
      <c r="M659" s="200"/>
      <c r="N659" s="210"/>
      <c r="O659" s="210"/>
      <c r="P659" s="200"/>
      <c r="Q659" s="200"/>
      <c r="R659" s="200"/>
      <c r="T659" s="154"/>
      <c r="V659" s="200"/>
      <c r="W659" s="200"/>
      <c r="X659" s="200"/>
      <c r="Y659" s="200"/>
      <c r="Z659" s="329"/>
      <c r="AA659" s="200"/>
      <c r="AB659" s="200"/>
      <c r="AC659" s="210"/>
      <c r="AD659" s="210"/>
      <c r="AE659" s="200"/>
      <c r="AF659" s="200"/>
      <c r="AG659" s="209"/>
      <c r="AH659" s="201"/>
      <c r="AI659" s="200"/>
      <c r="AJ659" s="200"/>
      <c r="AK659" s="209"/>
      <c r="AL659" s="200"/>
      <c r="AM659" s="210"/>
      <c r="AN659" s="210"/>
    </row>
    <row r="660" spans="1:40" x14ac:dyDescent="0.25">
      <c r="A660" s="202"/>
      <c r="C660" s="154"/>
      <c r="J660" s="334"/>
      <c r="K660" s="334"/>
      <c r="T660" s="154"/>
      <c r="V660" s="200"/>
      <c r="W660" s="200"/>
      <c r="X660" s="200"/>
      <c r="Y660" s="200"/>
      <c r="Z660" s="329"/>
    </row>
    <row r="661" spans="1:40" x14ac:dyDescent="0.25">
      <c r="A661" s="202"/>
      <c r="C661" s="154"/>
      <c r="F661" s="252"/>
      <c r="H661" s="252"/>
      <c r="I661" s="252"/>
      <c r="J661" s="329"/>
      <c r="K661" s="329"/>
      <c r="L661" s="200"/>
      <c r="M661" s="200"/>
      <c r="N661" s="210"/>
      <c r="O661" s="210"/>
      <c r="P661" s="200"/>
      <c r="Q661" s="200"/>
      <c r="R661" s="200"/>
      <c r="T661" s="154"/>
      <c r="V661" s="200"/>
      <c r="W661" s="200"/>
      <c r="X661" s="200"/>
      <c r="Y661" s="200"/>
      <c r="Z661" s="329"/>
      <c r="AA661" s="200"/>
      <c r="AB661" s="200"/>
      <c r="AC661" s="210"/>
      <c r="AD661" s="210"/>
      <c r="AE661" s="200"/>
      <c r="AF661" s="200"/>
      <c r="AG661" s="209"/>
      <c r="AH661" s="201"/>
      <c r="AI661" s="200"/>
      <c r="AJ661" s="200"/>
      <c r="AK661" s="209"/>
      <c r="AL661" s="200"/>
      <c r="AM661" s="210"/>
      <c r="AN661" s="210"/>
    </row>
    <row r="662" spans="1:40" x14ac:dyDescent="0.25">
      <c r="F662" s="211"/>
      <c r="H662" s="211"/>
      <c r="I662" s="211"/>
      <c r="J662" s="329"/>
      <c r="K662" s="329"/>
      <c r="L662" s="211"/>
      <c r="M662" s="211"/>
      <c r="N662" s="211"/>
      <c r="O662" s="211"/>
      <c r="P662" s="211"/>
      <c r="Q662" s="211"/>
      <c r="R662" s="211"/>
      <c r="V662" s="211"/>
      <c r="Y662" s="211"/>
      <c r="Z662" s="305"/>
      <c r="AA662" s="211"/>
      <c r="AB662" s="211"/>
      <c r="AC662" s="211"/>
      <c r="AD662" s="211"/>
      <c r="AE662" s="211"/>
      <c r="AF662" s="211"/>
      <c r="AI662" s="211"/>
      <c r="AJ662" s="211"/>
      <c r="AK662" s="212"/>
      <c r="AL662" s="211"/>
    </row>
    <row r="663" spans="1:40" x14ac:dyDescent="0.25">
      <c r="A663" s="202"/>
      <c r="C663" s="154"/>
      <c r="F663" s="200"/>
      <c r="H663" s="200"/>
      <c r="I663" s="200"/>
      <c r="L663" s="200"/>
      <c r="M663" s="200"/>
      <c r="N663" s="210"/>
      <c r="O663" s="210"/>
      <c r="P663" s="252"/>
      <c r="Q663" s="252"/>
      <c r="R663" s="200"/>
      <c r="T663" s="154"/>
      <c r="V663" s="200"/>
      <c r="W663" s="200"/>
      <c r="X663" s="200"/>
      <c r="Y663" s="200"/>
      <c r="Z663" s="328"/>
      <c r="AA663" s="200"/>
      <c r="AB663" s="200"/>
      <c r="AC663" s="210"/>
      <c r="AD663" s="210"/>
      <c r="AE663" s="200"/>
      <c r="AF663" s="200"/>
      <c r="AG663" s="209"/>
      <c r="AH663" s="201"/>
      <c r="AI663" s="252"/>
      <c r="AJ663" s="252"/>
      <c r="AK663" s="209"/>
      <c r="AL663" s="200"/>
      <c r="AM663" s="210"/>
      <c r="AN663" s="210"/>
    </row>
    <row r="664" spans="1:40" x14ac:dyDescent="0.25">
      <c r="F664" s="211"/>
      <c r="H664" s="211"/>
      <c r="I664" s="211"/>
      <c r="J664" s="305"/>
      <c r="K664" s="305"/>
      <c r="L664" s="211"/>
      <c r="M664" s="211"/>
      <c r="N664" s="211"/>
      <c r="O664" s="211"/>
      <c r="P664" s="211"/>
      <c r="Q664" s="211"/>
      <c r="R664" s="211"/>
      <c r="V664" s="211"/>
      <c r="Y664" s="211"/>
      <c r="Z664" s="305"/>
      <c r="AA664" s="211"/>
      <c r="AB664" s="211"/>
      <c r="AC664" s="211"/>
      <c r="AD664" s="211"/>
      <c r="AE664" s="211"/>
      <c r="AF664" s="211"/>
      <c r="AI664" s="211"/>
      <c r="AJ664" s="211"/>
      <c r="AK664" s="212"/>
      <c r="AL664" s="211"/>
    </row>
    <row r="665" spans="1:40" x14ac:dyDescent="0.25">
      <c r="A665" s="202"/>
      <c r="C665" s="154"/>
      <c r="D665" s="154"/>
      <c r="E665" s="154"/>
      <c r="T665" s="154"/>
      <c r="U665" s="154"/>
      <c r="V665" s="200"/>
      <c r="W665" s="200"/>
      <c r="X665" s="200"/>
      <c r="Y665" s="200"/>
      <c r="Z665" s="328"/>
    </row>
    <row r="666" spans="1:40" x14ac:dyDescent="0.25">
      <c r="A666" s="202"/>
      <c r="C666" s="154"/>
      <c r="T666" s="154"/>
      <c r="V666" s="200"/>
      <c r="W666" s="200"/>
      <c r="X666" s="200"/>
      <c r="Y666" s="200"/>
      <c r="Z666" s="328"/>
    </row>
    <row r="667" spans="1:40" x14ac:dyDescent="0.25">
      <c r="A667" s="202"/>
      <c r="C667" s="154"/>
      <c r="F667" s="252"/>
      <c r="H667" s="252"/>
      <c r="I667" s="252"/>
      <c r="J667" s="328"/>
      <c r="K667" s="328"/>
      <c r="L667" s="200"/>
      <c r="M667" s="200"/>
      <c r="N667" s="210"/>
      <c r="O667" s="210"/>
      <c r="P667" s="200"/>
      <c r="Q667" s="200"/>
      <c r="R667" s="200"/>
      <c r="T667" s="154"/>
      <c r="V667" s="200"/>
      <c r="W667" s="200"/>
      <c r="X667" s="200"/>
      <c r="Y667" s="200"/>
      <c r="Z667" s="328"/>
      <c r="AA667" s="200"/>
      <c r="AB667" s="200"/>
      <c r="AC667" s="210"/>
      <c r="AD667" s="210"/>
      <c r="AE667" s="200"/>
      <c r="AF667" s="200"/>
      <c r="AG667" s="209"/>
      <c r="AH667" s="201"/>
      <c r="AI667" s="200"/>
      <c r="AJ667" s="200"/>
      <c r="AK667" s="209"/>
      <c r="AL667" s="200"/>
      <c r="AM667" s="210"/>
      <c r="AN667" s="210"/>
    </row>
    <row r="668" spans="1:40" x14ac:dyDescent="0.25">
      <c r="A668" s="202"/>
      <c r="C668" s="154"/>
      <c r="T668" s="154"/>
      <c r="V668" s="200"/>
      <c r="W668" s="200"/>
      <c r="X668" s="200"/>
      <c r="Y668" s="200"/>
      <c r="Z668" s="328"/>
    </row>
    <row r="669" spans="1:40" x14ac:dyDescent="0.25">
      <c r="A669" s="202"/>
      <c r="C669" s="154"/>
      <c r="F669" s="252"/>
      <c r="H669" s="252"/>
      <c r="I669" s="252"/>
      <c r="J669" s="328"/>
      <c r="K669" s="328"/>
      <c r="L669" s="200"/>
      <c r="M669" s="200"/>
      <c r="N669" s="210"/>
      <c r="O669" s="210"/>
      <c r="P669" s="200"/>
      <c r="Q669" s="200"/>
      <c r="R669" s="200"/>
      <c r="T669" s="154"/>
      <c r="V669" s="200"/>
      <c r="W669" s="200"/>
      <c r="X669" s="200"/>
      <c r="Y669" s="200"/>
      <c r="Z669" s="328"/>
      <c r="AA669" s="200"/>
      <c r="AB669" s="200"/>
      <c r="AC669" s="210"/>
      <c r="AD669" s="210"/>
      <c r="AE669" s="200"/>
      <c r="AF669" s="200"/>
      <c r="AG669" s="209"/>
      <c r="AH669" s="201"/>
      <c r="AI669" s="200"/>
      <c r="AJ669" s="200"/>
      <c r="AK669" s="209"/>
      <c r="AL669" s="200"/>
      <c r="AM669" s="210"/>
      <c r="AN669" s="210"/>
    </row>
    <row r="670" spans="1:40" x14ac:dyDescent="0.25">
      <c r="A670" s="202"/>
      <c r="C670" s="154"/>
      <c r="T670" s="154"/>
      <c r="V670" s="200"/>
      <c r="W670" s="200"/>
      <c r="X670" s="200"/>
      <c r="Y670" s="200"/>
      <c r="Z670" s="328"/>
    </row>
    <row r="671" spans="1:40" x14ac:dyDescent="0.25">
      <c r="A671" s="202"/>
      <c r="C671" s="154"/>
      <c r="F671" s="252"/>
      <c r="H671" s="252"/>
      <c r="I671" s="252"/>
      <c r="J671" s="328"/>
      <c r="K671" s="328"/>
      <c r="L671" s="200"/>
      <c r="M671" s="200"/>
      <c r="N671" s="210"/>
      <c r="O671" s="210"/>
      <c r="P671" s="200"/>
      <c r="Q671" s="200"/>
      <c r="R671" s="200"/>
      <c r="T671" s="154"/>
      <c r="V671" s="200"/>
      <c r="W671" s="200"/>
      <c r="X671" s="200"/>
      <c r="Y671" s="200"/>
      <c r="Z671" s="328"/>
      <c r="AA671" s="200"/>
      <c r="AB671" s="200"/>
      <c r="AC671" s="210"/>
      <c r="AD671" s="210"/>
      <c r="AE671" s="200"/>
      <c r="AF671" s="200"/>
      <c r="AG671" s="209"/>
      <c r="AH671" s="201"/>
      <c r="AI671" s="200"/>
      <c r="AJ671" s="200"/>
      <c r="AK671" s="209"/>
      <c r="AL671" s="200"/>
      <c r="AM671" s="210"/>
      <c r="AN671" s="210"/>
    </row>
    <row r="672" spans="1:40" x14ac:dyDescent="0.25">
      <c r="A672" s="202"/>
      <c r="C672" s="154"/>
      <c r="T672" s="154"/>
      <c r="V672" s="200"/>
      <c r="W672" s="200"/>
      <c r="X672" s="200"/>
      <c r="Y672" s="200"/>
      <c r="Z672" s="328"/>
    </row>
    <row r="673" spans="1:40" x14ac:dyDescent="0.25">
      <c r="A673" s="202"/>
      <c r="C673" s="154"/>
      <c r="F673" s="252"/>
      <c r="H673" s="252"/>
      <c r="I673" s="252"/>
      <c r="J673" s="328"/>
      <c r="K673" s="328"/>
      <c r="L673" s="200"/>
      <c r="M673" s="200"/>
      <c r="N673" s="210"/>
      <c r="O673" s="210"/>
      <c r="P673" s="200"/>
      <c r="Q673" s="200"/>
      <c r="R673" s="200"/>
      <c r="T673" s="154"/>
      <c r="V673" s="200"/>
      <c r="W673" s="200"/>
      <c r="X673" s="200"/>
      <c r="Y673" s="200"/>
      <c r="Z673" s="328"/>
      <c r="AA673" s="200"/>
      <c r="AB673" s="200"/>
      <c r="AC673" s="210"/>
      <c r="AD673" s="210"/>
      <c r="AE673" s="200"/>
      <c r="AF673" s="200"/>
      <c r="AG673" s="209"/>
      <c r="AH673" s="201"/>
      <c r="AI673" s="200"/>
      <c r="AJ673" s="200"/>
      <c r="AK673" s="209"/>
      <c r="AL673" s="200"/>
      <c r="AM673" s="210"/>
      <c r="AN673" s="210"/>
    </row>
    <row r="674" spans="1:40" x14ac:dyDescent="0.25">
      <c r="F674" s="211"/>
      <c r="H674" s="211"/>
      <c r="I674" s="211"/>
      <c r="J674" s="305"/>
      <c r="K674" s="305"/>
      <c r="L674" s="211"/>
      <c r="M674" s="211"/>
      <c r="N674" s="211"/>
      <c r="O674" s="211"/>
      <c r="P674" s="211"/>
      <c r="Q674" s="211"/>
      <c r="R674" s="211"/>
      <c r="V674" s="211"/>
      <c r="Y674" s="211"/>
      <c r="Z674" s="305"/>
      <c r="AA674" s="211"/>
      <c r="AB674" s="211"/>
      <c r="AC674" s="211"/>
      <c r="AD674" s="211"/>
      <c r="AE674" s="211"/>
      <c r="AF674" s="211"/>
      <c r="AI674" s="211"/>
      <c r="AJ674" s="211"/>
      <c r="AK674" s="212"/>
      <c r="AL674" s="211"/>
    </row>
    <row r="675" spans="1:40" x14ac:dyDescent="0.25">
      <c r="A675" s="202"/>
      <c r="C675" s="154"/>
      <c r="F675" s="200"/>
      <c r="H675" s="200"/>
      <c r="I675" s="200"/>
      <c r="L675" s="200"/>
      <c r="M675" s="200"/>
      <c r="N675" s="210"/>
      <c r="O675" s="210"/>
      <c r="P675" s="252"/>
      <c r="Q675" s="252"/>
      <c r="R675" s="200"/>
      <c r="T675" s="154"/>
      <c r="V675" s="200"/>
      <c r="W675" s="200"/>
      <c r="X675" s="200"/>
      <c r="Y675" s="200"/>
      <c r="Z675" s="328"/>
      <c r="AA675" s="200"/>
      <c r="AB675" s="200"/>
      <c r="AC675" s="210"/>
      <c r="AD675" s="210"/>
      <c r="AE675" s="200"/>
      <c r="AF675" s="200"/>
      <c r="AG675" s="209"/>
      <c r="AH675" s="201"/>
      <c r="AI675" s="252"/>
      <c r="AJ675" s="252"/>
      <c r="AK675" s="209"/>
      <c r="AL675" s="200"/>
      <c r="AM675" s="210"/>
      <c r="AN675" s="210"/>
    </row>
    <row r="676" spans="1:40" x14ac:dyDescent="0.25">
      <c r="F676" s="211"/>
      <c r="H676" s="211"/>
      <c r="I676" s="211"/>
      <c r="J676" s="305"/>
      <c r="K676" s="305"/>
      <c r="L676" s="211"/>
      <c r="M676" s="211"/>
      <c r="N676" s="211"/>
      <c r="O676" s="211"/>
      <c r="P676" s="211"/>
      <c r="Q676" s="211"/>
      <c r="R676" s="211"/>
      <c r="V676" s="211"/>
      <c r="Y676" s="211"/>
      <c r="Z676" s="305"/>
      <c r="AA676" s="211"/>
      <c r="AB676" s="211"/>
      <c r="AC676" s="211"/>
      <c r="AD676" s="211"/>
      <c r="AE676" s="211"/>
      <c r="AF676" s="211"/>
      <c r="AI676" s="211"/>
      <c r="AJ676" s="211"/>
      <c r="AK676" s="212"/>
      <c r="AL676" s="211"/>
    </row>
    <row r="677" spans="1:40" x14ac:dyDescent="0.25">
      <c r="A677" s="202"/>
      <c r="C677" s="154"/>
      <c r="F677" s="200"/>
      <c r="H677" s="200"/>
      <c r="I677" s="200"/>
      <c r="L677" s="200"/>
      <c r="M677" s="200"/>
      <c r="N677" s="210"/>
      <c r="O677" s="210"/>
      <c r="P677" s="200"/>
      <c r="Q677" s="200"/>
      <c r="R677" s="200"/>
      <c r="T677" s="154"/>
      <c r="V677" s="200"/>
      <c r="W677" s="200"/>
      <c r="X677" s="200"/>
      <c r="Y677" s="200"/>
      <c r="AA677" s="200"/>
      <c r="AB677" s="200"/>
      <c r="AC677" s="210"/>
      <c r="AD677" s="210"/>
      <c r="AE677" s="200"/>
      <c r="AF677" s="200"/>
      <c r="AG677" s="209"/>
      <c r="AH677" s="201"/>
      <c r="AI677" s="200"/>
      <c r="AJ677" s="200"/>
      <c r="AK677" s="209"/>
      <c r="AL677" s="200"/>
      <c r="AM677" s="201"/>
      <c r="AN677" s="201"/>
    </row>
    <row r="678" spans="1:40" x14ac:dyDescent="0.25">
      <c r="F678" s="211"/>
      <c r="H678" s="211"/>
      <c r="I678" s="211"/>
      <c r="J678" s="305"/>
      <c r="K678" s="305"/>
      <c r="L678" s="211"/>
      <c r="M678" s="211"/>
      <c r="N678" s="211"/>
      <c r="O678" s="211"/>
      <c r="P678" s="211"/>
      <c r="Q678" s="211"/>
      <c r="R678" s="211"/>
      <c r="V678" s="211"/>
      <c r="Y678" s="211"/>
      <c r="Z678" s="305"/>
      <c r="AA678" s="211"/>
      <c r="AB678" s="211"/>
      <c r="AC678" s="211"/>
      <c r="AD678" s="211"/>
      <c r="AE678" s="211"/>
      <c r="AF678" s="211"/>
      <c r="AI678" s="211"/>
      <c r="AJ678" s="211"/>
      <c r="AK678" s="212"/>
      <c r="AL678" s="211"/>
    </row>
    <row r="680" spans="1:40" x14ac:dyDescent="0.25">
      <c r="C680" s="202"/>
      <c r="T680" s="202"/>
    </row>
    <row r="681" spans="1:40" x14ac:dyDescent="0.25">
      <c r="A681" s="154"/>
    </row>
    <row r="682" spans="1:40" x14ac:dyDescent="0.25">
      <c r="J682" s="202"/>
      <c r="K682" s="202"/>
      <c r="Z682" s="202"/>
    </row>
    <row r="683" spans="1:40" x14ac:dyDescent="0.25">
      <c r="H683" s="154"/>
      <c r="I683" s="154"/>
      <c r="Y683" s="154"/>
    </row>
    <row r="684" spans="1:40" x14ac:dyDescent="0.25">
      <c r="J684" s="202"/>
      <c r="K684" s="202"/>
      <c r="Z684" s="202"/>
    </row>
    <row r="685" spans="1:40" x14ac:dyDescent="0.25">
      <c r="L685" s="154"/>
      <c r="M685" s="154"/>
      <c r="AA685" s="154"/>
      <c r="AB685" s="154"/>
    </row>
    <row r="686" spans="1:40" x14ac:dyDescent="0.25">
      <c r="A686" s="202"/>
      <c r="R686" s="154"/>
      <c r="AK686" s="297"/>
      <c r="AL686" s="154"/>
    </row>
    <row r="687" spans="1:40" x14ac:dyDescent="0.25">
      <c r="A687" s="202"/>
      <c r="R687" s="154"/>
      <c r="AK687" s="297"/>
      <c r="AL687" s="154"/>
    </row>
    <row r="688" spans="1:40" x14ac:dyDescent="0.25">
      <c r="A688" s="154"/>
      <c r="R688" s="154"/>
      <c r="AK688" s="297"/>
      <c r="AL688" s="154"/>
    </row>
    <row r="689" spans="1:40" x14ac:dyDescent="0.25">
      <c r="L689" s="154"/>
      <c r="M689" s="154"/>
      <c r="R689" s="202"/>
      <c r="AA689" s="154"/>
      <c r="AB689" s="154"/>
      <c r="AK689" s="209"/>
      <c r="AL689" s="202"/>
    </row>
    <row r="690" spans="1:40" x14ac:dyDescent="0.25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208"/>
      <c r="AH690" s="102"/>
      <c r="AI690" s="102"/>
      <c r="AJ690" s="102"/>
      <c r="AK690" s="208"/>
      <c r="AL690" s="102"/>
      <c r="AM690" s="102"/>
      <c r="AN690" s="102"/>
    </row>
    <row r="691" spans="1:40" x14ac:dyDescent="0.25">
      <c r="L691" s="103"/>
      <c r="M691" s="103"/>
      <c r="N691" s="103"/>
      <c r="O691" s="103"/>
      <c r="R691" s="103"/>
      <c r="AA691" s="103"/>
      <c r="AB691" s="103"/>
      <c r="AC691" s="103"/>
      <c r="AD691" s="103"/>
      <c r="AE691" s="103"/>
      <c r="AF691" s="103"/>
      <c r="AG691" s="185"/>
      <c r="AH691" s="103"/>
      <c r="AK691" s="185"/>
      <c r="AL691" s="103"/>
      <c r="AM691" s="103"/>
      <c r="AN691" s="103"/>
    </row>
    <row r="692" spans="1:40" x14ac:dyDescent="0.25">
      <c r="L692" s="103"/>
      <c r="M692" s="103"/>
      <c r="N692" s="103"/>
      <c r="O692" s="103"/>
      <c r="R692" s="103"/>
      <c r="Z692" s="103"/>
      <c r="AA692" s="103"/>
      <c r="AB692" s="103"/>
      <c r="AC692" s="103"/>
      <c r="AD692" s="103"/>
      <c r="AE692" s="103"/>
      <c r="AF692" s="103"/>
      <c r="AG692" s="185"/>
      <c r="AH692" s="103"/>
      <c r="AK692" s="185"/>
      <c r="AL692" s="103"/>
      <c r="AM692" s="103"/>
      <c r="AN692" s="103"/>
    </row>
    <row r="693" spans="1:40" x14ac:dyDescent="0.25">
      <c r="A693" s="103"/>
      <c r="C693" s="103"/>
      <c r="D693" s="103"/>
      <c r="E693" s="103"/>
      <c r="F693" s="103"/>
      <c r="J693" s="103"/>
      <c r="K693" s="103"/>
      <c r="L693" s="103"/>
      <c r="M693" s="103"/>
      <c r="N693" s="103"/>
      <c r="O693" s="103"/>
      <c r="P693" s="103"/>
      <c r="Q693" s="103"/>
      <c r="R693" s="103"/>
      <c r="T693" s="103"/>
      <c r="U693" s="103"/>
      <c r="V693" s="103"/>
      <c r="Z693" s="103"/>
      <c r="AA693" s="103"/>
      <c r="AB693" s="103"/>
      <c r="AC693" s="103"/>
      <c r="AD693" s="103"/>
      <c r="AE693" s="103"/>
      <c r="AF693" s="103"/>
      <c r="AG693" s="185"/>
      <c r="AH693" s="103"/>
      <c r="AI693" s="103"/>
      <c r="AJ693" s="103"/>
      <c r="AK693" s="185"/>
      <c r="AL693" s="103"/>
      <c r="AM693" s="103"/>
      <c r="AN693" s="103"/>
    </row>
    <row r="694" spans="1:40" x14ac:dyDescent="0.25">
      <c r="A694" s="103"/>
      <c r="C694" s="103"/>
      <c r="D694" s="103"/>
      <c r="E694" s="103"/>
      <c r="F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T694" s="103"/>
      <c r="U694" s="103"/>
      <c r="V694" s="103"/>
      <c r="Y694" s="103"/>
      <c r="Z694" s="103"/>
      <c r="AA694" s="103"/>
      <c r="AB694" s="103"/>
      <c r="AC694" s="103"/>
      <c r="AD694" s="103"/>
      <c r="AE694" s="103"/>
      <c r="AF694" s="103"/>
      <c r="AG694" s="185"/>
      <c r="AH694" s="103"/>
      <c r="AI694" s="103"/>
      <c r="AJ694" s="103"/>
      <c r="AK694" s="185"/>
      <c r="AL694" s="103"/>
      <c r="AM694" s="103"/>
      <c r="AN694" s="103"/>
    </row>
    <row r="695" spans="1:40" x14ac:dyDescent="0.25">
      <c r="C695" s="103"/>
      <c r="D695" s="103"/>
      <c r="E695" s="103"/>
      <c r="F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T695" s="103"/>
      <c r="U695" s="103"/>
      <c r="V695" s="103"/>
      <c r="Y695" s="103"/>
      <c r="Z695" s="103"/>
      <c r="AA695" s="103"/>
      <c r="AB695" s="103"/>
      <c r="AC695" s="103"/>
      <c r="AD695" s="103"/>
      <c r="AE695" s="103"/>
      <c r="AF695" s="103"/>
      <c r="AG695" s="185"/>
      <c r="AH695" s="103"/>
      <c r="AI695" s="103"/>
      <c r="AJ695" s="103"/>
      <c r="AK695" s="185"/>
      <c r="AL695" s="103"/>
      <c r="AM695" s="103"/>
      <c r="AN695" s="103"/>
    </row>
    <row r="696" spans="1:40" x14ac:dyDescent="0.25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208"/>
      <c r="AH696" s="102"/>
      <c r="AI696" s="102"/>
      <c r="AJ696" s="102"/>
      <c r="AK696" s="208"/>
      <c r="AL696" s="102"/>
      <c r="AM696" s="102"/>
      <c r="AN696" s="102"/>
    </row>
    <row r="697" spans="1:40" x14ac:dyDescent="0.25"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Y697" s="103"/>
      <c r="Z697" s="103"/>
      <c r="AA697" s="103"/>
      <c r="AB697" s="103"/>
      <c r="AC697" s="103"/>
      <c r="AD697" s="103"/>
      <c r="AE697" s="103"/>
      <c r="AF697" s="103"/>
      <c r="AG697" s="185"/>
      <c r="AH697" s="103"/>
      <c r="AI697" s="103"/>
      <c r="AJ697" s="103"/>
      <c r="AK697" s="185"/>
      <c r="AL697" s="103"/>
      <c r="AM697" s="103"/>
      <c r="AN697" s="103"/>
    </row>
    <row r="698" spans="1:40" x14ac:dyDescent="0.25">
      <c r="A698" s="202"/>
      <c r="C698" s="154"/>
      <c r="D698" s="154"/>
      <c r="E698" s="154"/>
      <c r="F698" s="200"/>
      <c r="H698" s="200"/>
      <c r="I698" s="200"/>
      <c r="J698" s="213"/>
      <c r="K698" s="213"/>
      <c r="L698" s="200"/>
      <c r="M698" s="200"/>
      <c r="N698" s="213"/>
      <c r="O698" s="213"/>
      <c r="P698" s="200"/>
      <c r="Q698" s="200"/>
      <c r="R698" s="200"/>
      <c r="T698" s="154"/>
      <c r="U698" s="154"/>
      <c r="V698" s="200"/>
      <c r="Y698" s="200"/>
      <c r="Z698" s="213"/>
      <c r="AA698" s="200"/>
      <c r="AB698" s="200"/>
      <c r="AC698" s="213"/>
      <c r="AD698" s="213"/>
      <c r="AE698" s="200"/>
      <c r="AF698" s="200"/>
      <c r="AG698" s="209"/>
      <c r="AH698" s="201"/>
      <c r="AI698" s="200"/>
      <c r="AJ698" s="200"/>
      <c r="AK698" s="209"/>
      <c r="AL698" s="200"/>
      <c r="AM698" s="210"/>
      <c r="AN698" s="210"/>
    </row>
    <row r="699" spans="1:40" x14ac:dyDescent="0.25">
      <c r="F699" s="211"/>
      <c r="H699" s="211"/>
      <c r="I699" s="211"/>
      <c r="J699" s="305"/>
      <c r="K699" s="305"/>
      <c r="L699" s="211"/>
      <c r="M699" s="211"/>
      <c r="N699" s="211"/>
      <c r="O699" s="211"/>
      <c r="P699" s="211"/>
      <c r="Q699" s="211"/>
      <c r="R699" s="211"/>
      <c r="V699" s="211"/>
      <c r="Y699" s="211"/>
      <c r="Z699" s="305"/>
      <c r="AA699" s="211"/>
      <c r="AB699" s="211"/>
      <c r="AC699" s="211"/>
      <c r="AD699" s="211"/>
      <c r="AE699" s="211"/>
      <c r="AF699" s="211"/>
      <c r="AI699" s="211"/>
      <c r="AJ699" s="211"/>
      <c r="AK699" s="212"/>
      <c r="AL699" s="211"/>
      <c r="AM699" s="210"/>
      <c r="AN699" s="210"/>
    </row>
    <row r="700" spans="1:40" x14ac:dyDescent="0.25">
      <c r="A700" s="202"/>
      <c r="C700" s="154"/>
      <c r="F700" s="200"/>
      <c r="H700" s="200"/>
      <c r="I700" s="200"/>
      <c r="J700" s="213"/>
      <c r="K700" s="213"/>
      <c r="L700" s="200"/>
      <c r="M700" s="200"/>
      <c r="N700" s="213"/>
      <c r="O700" s="213"/>
      <c r="P700" s="200"/>
      <c r="Q700" s="200"/>
      <c r="R700" s="200"/>
      <c r="T700" s="154"/>
      <c r="V700" s="200"/>
      <c r="Y700" s="200"/>
      <c r="Z700" s="213"/>
      <c r="AA700" s="200"/>
      <c r="AB700" s="200"/>
      <c r="AC700" s="213"/>
      <c r="AD700" s="213"/>
      <c r="AE700" s="200"/>
      <c r="AF700" s="200"/>
      <c r="AG700" s="209"/>
      <c r="AH700" s="201"/>
      <c r="AI700" s="200"/>
      <c r="AJ700" s="200"/>
      <c r="AK700" s="209"/>
      <c r="AL700" s="200"/>
      <c r="AM700" s="210"/>
      <c r="AN700" s="210"/>
    </row>
    <row r="701" spans="1:40" x14ac:dyDescent="0.25">
      <c r="F701" s="200"/>
      <c r="H701" s="200"/>
      <c r="I701" s="200"/>
      <c r="J701" s="213"/>
      <c r="K701" s="213"/>
      <c r="L701" s="200"/>
      <c r="M701" s="200"/>
      <c r="N701" s="213"/>
      <c r="O701" s="213"/>
      <c r="P701" s="200"/>
      <c r="Q701" s="200"/>
      <c r="R701" s="200"/>
      <c r="V701" s="200"/>
      <c r="Y701" s="200"/>
      <c r="Z701" s="213"/>
      <c r="AA701" s="200"/>
      <c r="AB701" s="200"/>
      <c r="AC701" s="213"/>
      <c r="AD701" s="213"/>
      <c r="AG701" s="209"/>
      <c r="AH701" s="201"/>
      <c r="AI701" s="200"/>
      <c r="AJ701" s="200"/>
      <c r="AK701" s="209"/>
      <c r="AL701" s="200"/>
      <c r="AM701" s="210"/>
      <c r="AN701" s="210"/>
    </row>
    <row r="702" spans="1:40" x14ac:dyDescent="0.25">
      <c r="A702" s="202"/>
      <c r="C702" s="154"/>
      <c r="D702" s="154"/>
      <c r="E702" s="154"/>
      <c r="F702" s="200"/>
      <c r="H702" s="200"/>
      <c r="I702" s="200"/>
      <c r="J702" s="213"/>
      <c r="K702" s="213"/>
      <c r="L702" s="200"/>
      <c r="M702" s="200"/>
      <c r="N702" s="213"/>
      <c r="O702" s="213"/>
      <c r="P702" s="200"/>
      <c r="Q702" s="200"/>
      <c r="R702" s="200"/>
      <c r="T702" s="154"/>
      <c r="U702" s="154"/>
      <c r="V702" s="200"/>
      <c r="Y702" s="200"/>
      <c r="Z702" s="213"/>
      <c r="AA702" s="200"/>
      <c r="AB702" s="200"/>
      <c r="AC702" s="213"/>
      <c r="AD702" s="213"/>
      <c r="AE702" s="200"/>
      <c r="AF702" s="200"/>
      <c r="AG702" s="209"/>
      <c r="AH702" s="201"/>
      <c r="AI702" s="200"/>
      <c r="AJ702" s="200"/>
      <c r="AK702" s="209"/>
      <c r="AL702" s="200"/>
      <c r="AM702" s="210"/>
      <c r="AN702" s="210"/>
    </row>
    <row r="703" spans="1:40" x14ac:dyDescent="0.25">
      <c r="A703" s="202"/>
      <c r="C703" s="154"/>
      <c r="D703" s="154"/>
      <c r="E703" s="154"/>
      <c r="F703" s="200"/>
      <c r="H703" s="200"/>
      <c r="I703" s="200"/>
      <c r="J703" s="213"/>
      <c r="K703" s="213"/>
      <c r="L703" s="200"/>
      <c r="M703" s="200"/>
      <c r="N703" s="213"/>
      <c r="O703" s="213"/>
      <c r="P703" s="200"/>
      <c r="Q703" s="200"/>
      <c r="R703" s="200"/>
      <c r="T703" s="154"/>
      <c r="U703" s="154"/>
      <c r="V703" s="200"/>
      <c r="Y703" s="200"/>
      <c r="Z703" s="213"/>
      <c r="AA703" s="200"/>
      <c r="AB703" s="200"/>
      <c r="AC703" s="213"/>
      <c r="AD703" s="213"/>
      <c r="AE703" s="200"/>
      <c r="AF703" s="200"/>
      <c r="AG703" s="209"/>
      <c r="AH703" s="201"/>
      <c r="AI703" s="200"/>
      <c r="AJ703" s="200"/>
      <c r="AK703" s="209"/>
      <c r="AL703" s="200"/>
      <c r="AM703" s="210"/>
      <c r="AN703" s="210"/>
    </row>
    <row r="704" spans="1:40" x14ac:dyDescent="0.25">
      <c r="A704" s="202"/>
      <c r="C704" s="154"/>
      <c r="D704" s="154"/>
      <c r="E704" s="154"/>
      <c r="F704" s="200"/>
      <c r="H704" s="200"/>
      <c r="I704" s="200"/>
      <c r="J704" s="213"/>
      <c r="K704" s="213"/>
      <c r="L704" s="200"/>
      <c r="M704" s="200"/>
      <c r="N704" s="213"/>
      <c r="O704" s="213"/>
      <c r="P704" s="200"/>
      <c r="Q704" s="200"/>
      <c r="R704" s="200"/>
      <c r="T704" s="154"/>
      <c r="U704" s="154"/>
      <c r="V704" s="200"/>
      <c r="Y704" s="200"/>
      <c r="Z704" s="213"/>
      <c r="AA704" s="200"/>
      <c r="AB704" s="200"/>
      <c r="AC704" s="213"/>
      <c r="AD704" s="213"/>
      <c r="AE704" s="200"/>
      <c r="AF704" s="200"/>
      <c r="AG704" s="209"/>
      <c r="AH704" s="201"/>
      <c r="AI704" s="200"/>
      <c r="AJ704" s="200"/>
      <c r="AK704" s="209"/>
      <c r="AL704" s="200"/>
      <c r="AM704" s="210"/>
      <c r="AN704" s="210"/>
    </row>
    <row r="705" spans="1:40" x14ac:dyDescent="0.25">
      <c r="A705" s="202"/>
      <c r="C705" s="154"/>
      <c r="D705" s="154"/>
      <c r="E705" s="154"/>
      <c r="F705" s="200"/>
      <c r="H705" s="200"/>
      <c r="I705" s="200"/>
      <c r="J705" s="213"/>
      <c r="K705" s="213"/>
      <c r="L705" s="200"/>
      <c r="M705" s="200"/>
      <c r="N705" s="213"/>
      <c r="O705" s="213"/>
      <c r="P705" s="200"/>
      <c r="Q705" s="200"/>
      <c r="R705" s="200"/>
      <c r="T705" s="154"/>
      <c r="U705" s="154"/>
      <c r="V705" s="200"/>
      <c r="Y705" s="200"/>
      <c r="Z705" s="213"/>
      <c r="AA705" s="200"/>
      <c r="AB705" s="200"/>
      <c r="AC705" s="213"/>
      <c r="AD705" s="213"/>
      <c r="AE705" s="200"/>
      <c r="AF705" s="200"/>
      <c r="AG705" s="209"/>
      <c r="AH705" s="201"/>
      <c r="AI705" s="200"/>
      <c r="AJ705" s="200"/>
      <c r="AK705" s="209"/>
      <c r="AL705" s="200"/>
      <c r="AM705" s="210"/>
      <c r="AN705" s="210"/>
    </row>
    <row r="706" spans="1:40" x14ac:dyDescent="0.25">
      <c r="A706" s="202"/>
      <c r="C706" s="154"/>
      <c r="D706" s="154"/>
      <c r="E706" s="154"/>
      <c r="F706" s="200"/>
      <c r="H706" s="200"/>
      <c r="I706" s="200"/>
      <c r="J706" s="213"/>
      <c r="K706" s="213"/>
      <c r="L706" s="200"/>
      <c r="M706" s="200"/>
      <c r="N706" s="213"/>
      <c r="O706" s="213"/>
      <c r="P706" s="200"/>
      <c r="Q706" s="200"/>
      <c r="R706" s="200"/>
      <c r="T706" s="154"/>
      <c r="U706" s="154"/>
      <c r="V706" s="200"/>
      <c r="Y706" s="200"/>
      <c r="Z706" s="213"/>
      <c r="AA706" s="200"/>
      <c r="AB706" s="200"/>
      <c r="AC706" s="213"/>
      <c r="AD706" s="213"/>
      <c r="AE706" s="200"/>
      <c r="AF706" s="200"/>
      <c r="AG706" s="209"/>
      <c r="AH706" s="201"/>
      <c r="AI706" s="200"/>
      <c r="AJ706" s="200"/>
      <c r="AK706" s="209"/>
      <c r="AL706" s="200"/>
      <c r="AM706" s="210"/>
      <c r="AN706" s="210"/>
    </row>
    <row r="707" spans="1:40" x14ac:dyDescent="0.25">
      <c r="A707" s="202"/>
      <c r="C707" s="154"/>
      <c r="D707" s="154"/>
      <c r="E707" s="154"/>
      <c r="F707" s="200"/>
      <c r="H707" s="200"/>
      <c r="I707" s="200"/>
      <c r="J707" s="213"/>
      <c r="K707" s="213"/>
      <c r="L707" s="200"/>
      <c r="M707" s="200"/>
      <c r="N707" s="213"/>
      <c r="O707" s="213"/>
      <c r="P707" s="200"/>
      <c r="Q707" s="200"/>
      <c r="R707" s="200"/>
      <c r="T707" s="154"/>
      <c r="U707" s="154"/>
      <c r="V707" s="200"/>
      <c r="Y707" s="200"/>
      <c r="Z707" s="213"/>
      <c r="AA707" s="200"/>
      <c r="AB707" s="200"/>
      <c r="AC707" s="213"/>
      <c r="AD707" s="213"/>
      <c r="AE707" s="200"/>
      <c r="AF707" s="200"/>
      <c r="AG707" s="209"/>
      <c r="AH707" s="201"/>
      <c r="AI707" s="200"/>
      <c r="AJ707" s="200"/>
      <c r="AK707" s="209"/>
      <c r="AL707" s="200"/>
      <c r="AM707" s="210"/>
      <c r="AN707" s="210"/>
    </row>
    <row r="708" spans="1:40" x14ac:dyDescent="0.25">
      <c r="F708" s="211"/>
      <c r="H708" s="211"/>
      <c r="I708" s="211"/>
      <c r="J708" s="305"/>
      <c r="K708" s="305"/>
      <c r="L708" s="211"/>
      <c r="M708" s="211"/>
      <c r="N708" s="211"/>
      <c r="O708" s="211"/>
      <c r="P708" s="211"/>
      <c r="Q708" s="211"/>
      <c r="R708" s="211"/>
      <c r="V708" s="211"/>
      <c r="Y708" s="211"/>
      <c r="Z708" s="305"/>
      <c r="AA708" s="211"/>
      <c r="AB708" s="211"/>
      <c r="AC708" s="211"/>
      <c r="AD708" s="211"/>
      <c r="AE708" s="211"/>
      <c r="AF708" s="211"/>
      <c r="AI708" s="211"/>
      <c r="AJ708" s="211"/>
      <c r="AK708" s="212"/>
      <c r="AL708" s="211"/>
      <c r="AM708" s="210"/>
      <c r="AN708" s="210"/>
    </row>
    <row r="709" spans="1:40" x14ac:dyDescent="0.25">
      <c r="A709" s="202"/>
      <c r="C709" s="154"/>
      <c r="F709" s="200"/>
      <c r="H709" s="200"/>
      <c r="I709" s="200"/>
      <c r="J709" s="213"/>
      <c r="K709" s="213"/>
      <c r="L709" s="200"/>
      <c r="M709" s="200"/>
      <c r="N709" s="213"/>
      <c r="O709" s="213"/>
      <c r="P709" s="200"/>
      <c r="Q709" s="200"/>
      <c r="R709" s="200"/>
      <c r="T709" s="154"/>
      <c r="V709" s="200"/>
      <c r="Y709" s="200"/>
      <c r="Z709" s="213"/>
      <c r="AA709" s="200"/>
      <c r="AB709" s="200"/>
      <c r="AC709" s="213"/>
      <c r="AD709" s="213"/>
      <c r="AE709" s="200"/>
      <c r="AF709" s="200"/>
      <c r="AG709" s="209"/>
      <c r="AH709" s="201"/>
      <c r="AI709" s="200"/>
      <c r="AJ709" s="200"/>
      <c r="AK709" s="209"/>
      <c r="AL709" s="200"/>
      <c r="AM709" s="210"/>
      <c r="AN709" s="210"/>
    </row>
    <row r="710" spans="1:40" x14ac:dyDescent="0.25">
      <c r="F710" s="200"/>
      <c r="H710" s="200"/>
      <c r="I710" s="200"/>
      <c r="J710" s="213"/>
      <c r="K710" s="213"/>
      <c r="L710" s="200"/>
      <c r="M710" s="200"/>
      <c r="N710" s="213"/>
      <c r="O710" s="213"/>
      <c r="P710" s="200"/>
      <c r="Q710" s="200"/>
      <c r="R710" s="200"/>
      <c r="V710" s="200"/>
      <c r="Y710" s="200"/>
      <c r="Z710" s="213"/>
      <c r="AA710" s="200"/>
      <c r="AB710" s="200"/>
      <c r="AC710" s="213"/>
      <c r="AD710" s="213"/>
      <c r="AG710" s="209"/>
      <c r="AH710" s="201"/>
      <c r="AI710" s="200"/>
      <c r="AJ710" s="200"/>
      <c r="AK710" s="209"/>
      <c r="AL710" s="200"/>
      <c r="AM710" s="210"/>
      <c r="AN710" s="210"/>
    </row>
    <row r="711" spans="1:40" x14ac:dyDescent="0.25">
      <c r="A711" s="202"/>
      <c r="C711" s="154"/>
      <c r="D711" s="154"/>
      <c r="E711" s="154"/>
      <c r="F711" s="200"/>
      <c r="H711" s="200"/>
      <c r="I711" s="200"/>
      <c r="J711" s="213"/>
      <c r="K711" s="213"/>
      <c r="L711" s="200"/>
      <c r="M711" s="200"/>
      <c r="N711" s="213"/>
      <c r="O711" s="213"/>
      <c r="P711" s="200"/>
      <c r="Q711" s="200"/>
      <c r="R711" s="200"/>
      <c r="T711" s="154"/>
      <c r="U711" s="154"/>
      <c r="V711" s="200"/>
      <c r="Y711" s="200"/>
      <c r="Z711" s="213"/>
      <c r="AA711" s="200"/>
      <c r="AB711" s="200"/>
      <c r="AC711" s="213"/>
      <c r="AD711" s="213"/>
      <c r="AE711" s="200"/>
      <c r="AF711" s="200"/>
      <c r="AG711" s="209"/>
      <c r="AH711" s="201"/>
      <c r="AI711" s="200"/>
      <c r="AJ711" s="200"/>
      <c r="AK711" s="209"/>
      <c r="AL711" s="200"/>
      <c r="AM711" s="210"/>
      <c r="AN711" s="210"/>
    </row>
    <row r="712" spans="1:40" x14ac:dyDescent="0.25">
      <c r="F712" s="211"/>
      <c r="H712" s="211"/>
      <c r="I712" s="211"/>
      <c r="J712" s="305"/>
      <c r="K712" s="305"/>
      <c r="L712" s="211"/>
      <c r="M712" s="211"/>
      <c r="N712" s="211"/>
      <c r="O712" s="211"/>
      <c r="P712" s="211"/>
      <c r="Q712" s="211"/>
      <c r="R712" s="211"/>
      <c r="V712" s="211"/>
      <c r="Y712" s="211"/>
      <c r="Z712" s="305"/>
      <c r="AA712" s="211"/>
      <c r="AB712" s="211"/>
      <c r="AC712" s="211"/>
      <c r="AD712" s="211"/>
      <c r="AE712" s="211"/>
      <c r="AF712" s="211"/>
      <c r="AI712" s="211"/>
      <c r="AJ712" s="211"/>
      <c r="AK712" s="212"/>
      <c r="AL712" s="211"/>
      <c r="AM712" s="210"/>
      <c r="AN712" s="210"/>
    </row>
    <row r="713" spans="1:40" x14ac:dyDescent="0.25">
      <c r="A713" s="202"/>
      <c r="C713" s="154"/>
      <c r="F713" s="200"/>
      <c r="H713" s="200"/>
      <c r="I713" s="200"/>
      <c r="J713" s="213"/>
      <c r="K713" s="213"/>
      <c r="L713" s="200"/>
      <c r="M713" s="200"/>
      <c r="N713" s="213"/>
      <c r="O713" s="213"/>
      <c r="P713" s="200"/>
      <c r="Q713" s="200"/>
      <c r="R713" s="200"/>
      <c r="T713" s="154"/>
      <c r="V713" s="200"/>
      <c r="Y713" s="200"/>
      <c r="Z713" s="213"/>
      <c r="AA713" s="200"/>
      <c r="AB713" s="200"/>
      <c r="AC713" s="213"/>
      <c r="AD713" s="213"/>
      <c r="AE713" s="200"/>
      <c r="AF713" s="200"/>
      <c r="AG713" s="209"/>
      <c r="AH713" s="201"/>
      <c r="AI713" s="200"/>
      <c r="AJ713" s="200"/>
      <c r="AK713" s="209"/>
      <c r="AL713" s="200"/>
      <c r="AM713" s="210"/>
      <c r="AN713" s="210"/>
    </row>
    <row r="714" spans="1:40" x14ac:dyDescent="0.25">
      <c r="F714" s="200"/>
      <c r="H714" s="200"/>
      <c r="I714" s="200"/>
      <c r="J714" s="213"/>
      <c r="K714" s="213"/>
      <c r="L714" s="200"/>
      <c r="M714" s="200"/>
      <c r="N714" s="213"/>
      <c r="O714" s="213"/>
      <c r="P714" s="200"/>
      <c r="Q714" s="200"/>
      <c r="R714" s="200"/>
      <c r="V714" s="200"/>
      <c r="Y714" s="200"/>
      <c r="Z714" s="213"/>
      <c r="AA714" s="200"/>
      <c r="AB714" s="200"/>
      <c r="AC714" s="213"/>
      <c r="AD714" s="213"/>
      <c r="AG714" s="209"/>
      <c r="AH714" s="201"/>
      <c r="AI714" s="200"/>
      <c r="AJ714" s="200"/>
      <c r="AK714" s="209"/>
      <c r="AL714" s="200"/>
      <c r="AM714" s="210"/>
      <c r="AN714" s="210"/>
    </row>
    <row r="715" spans="1:40" x14ac:dyDescent="0.25">
      <c r="A715" s="202"/>
      <c r="C715" s="154"/>
      <c r="D715" s="154"/>
      <c r="E715" s="154"/>
      <c r="F715" s="200"/>
      <c r="H715" s="200"/>
      <c r="I715" s="200"/>
      <c r="J715" s="213"/>
      <c r="K715" s="213"/>
      <c r="L715" s="200"/>
      <c r="M715" s="200"/>
      <c r="N715" s="213"/>
      <c r="O715" s="213"/>
      <c r="P715" s="200"/>
      <c r="Q715" s="200"/>
      <c r="R715" s="200"/>
      <c r="T715" s="154"/>
      <c r="U715" s="154"/>
      <c r="V715" s="200"/>
      <c r="Y715" s="200"/>
      <c r="Z715" s="213"/>
      <c r="AA715" s="200"/>
      <c r="AB715" s="200"/>
      <c r="AC715" s="213"/>
      <c r="AD715" s="213"/>
      <c r="AE715" s="200"/>
      <c r="AF715" s="200"/>
      <c r="AG715" s="209"/>
      <c r="AH715" s="201"/>
      <c r="AI715" s="200"/>
      <c r="AJ715" s="200"/>
      <c r="AK715" s="209"/>
      <c r="AL715" s="200"/>
      <c r="AM715" s="210"/>
      <c r="AN715" s="210"/>
    </row>
    <row r="716" spans="1:40" x14ac:dyDescent="0.25">
      <c r="A716" s="202"/>
      <c r="C716" s="154"/>
      <c r="D716" s="154"/>
      <c r="E716" s="154"/>
      <c r="F716" s="200"/>
      <c r="G716" s="200"/>
      <c r="H716" s="200"/>
      <c r="I716" s="200"/>
      <c r="J716" s="213"/>
      <c r="K716" s="213"/>
      <c r="L716" s="200"/>
      <c r="M716" s="200"/>
      <c r="N716" s="213"/>
      <c r="O716" s="213"/>
      <c r="P716" s="200"/>
      <c r="Q716" s="200"/>
      <c r="R716" s="200"/>
      <c r="T716" s="154"/>
      <c r="U716" s="154"/>
      <c r="V716" s="200"/>
      <c r="W716" s="200"/>
      <c r="X716" s="200"/>
      <c r="Y716" s="200"/>
      <c r="Z716" s="213"/>
      <c r="AA716" s="200"/>
      <c r="AB716" s="200"/>
      <c r="AC716" s="213"/>
      <c r="AD716" s="213"/>
      <c r="AE716" s="200"/>
      <c r="AF716" s="200"/>
      <c r="AG716" s="209"/>
      <c r="AH716" s="201"/>
      <c r="AI716" s="200"/>
      <c r="AJ716" s="200"/>
      <c r="AK716" s="209"/>
      <c r="AL716" s="200"/>
      <c r="AM716" s="210"/>
      <c r="AN716" s="210"/>
    </row>
    <row r="717" spans="1:40" x14ac:dyDescent="0.25">
      <c r="A717" s="202"/>
      <c r="C717" s="154"/>
      <c r="D717" s="154"/>
      <c r="E717" s="154"/>
      <c r="F717" s="200"/>
      <c r="G717" s="200"/>
      <c r="H717" s="200"/>
      <c r="I717" s="200"/>
      <c r="J717" s="213"/>
      <c r="K717" s="213"/>
      <c r="L717" s="200"/>
      <c r="M717" s="200"/>
      <c r="N717" s="213"/>
      <c r="O717" s="213"/>
      <c r="P717" s="200"/>
      <c r="Q717" s="200"/>
      <c r="R717" s="200"/>
      <c r="T717" s="154"/>
      <c r="U717" s="154"/>
      <c r="V717" s="200"/>
      <c r="W717" s="200"/>
      <c r="X717" s="200"/>
      <c r="Y717" s="200"/>
      <c r="Z717" s="213"/>
      <c r="AA717" s="200"/>
      <c r="AB717" s="200"/>
      <c r="AC717" s="213"/>
      <c r="AD717" s="213"/>
      <c r="AE717" s="200"/>
      <c r="AF717" s="200"/>
      <c r="AG717" s="209"/>
      <c r="AH717" s="201"/>
      <c r="AI717" s="200"/>
      <c r="AJ717" s="200"/>
      <c r="AK717" s="209"/>
      <c r="AL717" s="200"/>
      <c r="AM717" s="210"/>
      <c r="AN717" s="210"/>
    </row>
    <row r="718" spans="1:40" x14ac:dyDescent="0.25">
      <c r="A718" s="202"/>
      <c r="C718" s="154"/>
      <c r="D718" s="154"/>
      <c r="E718" s="154"/>
      <c r="F718" s="200"/>
      <c r="H718" s="200"/>
      <c r="I718" s="200"/>
      <c r="J718" s="213"/>
      <c r="K718" s="213"/>
      <c r="L718" s="200"/>
      <c r="M718" s="200"/>
      <c r="N718" s="213"/>
      <c r="O718" s="213"/>
      <c r="P718" s="200"/>
      <c r="Q718" s="200"/>
      <c r="R718" s="200"/>
      <c r="T718" s="154"/>
      <c r="U718" s="154"/>
      <c r="V718" s="200"/>
      <c r="Y718" s="200"/>
      <c r="Z718" s="213"/>
      <c r="AA718" s="200"/>
      <c r="AB718" s="200"/>
      <c r="AC718" s="213"/>
      <c r="AD718" s="213"/>
      <c r="AE718" s="200"/>
      <c r="AF718" s="200"/>
      <c r="AG718" s="209"/>
      <c r="AH718" s="201"/>
      <c r="AI718" s="200"/>
      <c r="AJ718" s="200"/>
      <c r="AK718" s="209"/>
      <c r="AL718" s="200"/>
      <c r="AM718" s="210"/>
      <c r="AN718" s="210"/>
    </row>
    <row r="719" spans="1:40" x14ac:dyDescent="0.25">
      <c r="A719" s="202"/>
      <c r="C719" s="154"/>
      <c r="D719" s="154"/>
      <c r="E719" s="154"/>
      <c r="F719" s="200"/>
      <c r="H719" s="200"/>
      <c r="I719" s="200"/>
      <c r="J719" s="213"/>
      <c r="K719" s="213"/>
      <c r="L719" s="200"/>
      <c r="M719" s="200"/>
      <c r="N719" s="213"/>
      <c r="O719" s="213"/>
      <c r="P719" s="200"/>
      <c r="Q719" s="200"/>
      <c r="R719" s="200"/>
      <c r="T719" s="154"/>
      <c r="U719" s="154"/>
      <c r="V719" s="200"/>
      <c r="Y719" s="200"/>
      <c r="Z719" s="213"/>
      <c r="AA719" s="200"/>
      <c r="AB719" s="200"/>
      <c r="AC719" s="213"/>
      <c r="AD719" s="213"/>
      <c r="AE719" s="200"/>
      <c r="AF719" s="200"/>
      <c r="AG719" s="209"/>
      <c r="AH719" s="201"/>
      <c r="AI719" s="200"/>
      <c r="AJ719" s="200"/>
      <c r="AK719" s="209"/>
      <c r="AL719" s="200"/>
      <c r="AM719" s="210"/>
      <c r="AN719" s="210"/>
    </row>
    <row r="720" spans="1:40" x14ac:dyDescent="0.25">
      <c r="A720" s="202"/>
      <c r="C720" s="154"/>
      <c r="D720" s="154"/>
      <c r="E720" s="154"/>
      <c r="F720" s="200"/>
      <c r="H720" s="200"/>
      <c r="I720" s="200"/>
      <c r="J720" s="213"/>
      <c r="K720" s="213"/>
      <c r="L720" s="200"/>
      <c r="M720" s="200"/>
      <c r="N720" s="213"/>
      <c r="O720" s="213"/>
      <c r="P720" s="200"/>
      <c r="Q720" s="200"/>
      <c r="R720" s="200"/>
      <c r="T720" s="154"/>
      <c r="U720" s="154"/>
      <c r="V720" s="200"/>
      <c r="Y720" s="200"/>
      <c r="Z720" s="213"/>
      <c r="AA720" s="200"/>
      <c r="AB720" s="200"/>
      <c r="AC720" s="213"/>
      <c r="AD720" s="213"/>
      <c r="AE720" s="200"/>
      <c r="AF720" s="200"/>
      <c r="AG720" s="209"/>
      <c r="AH720" s="201"/>
      <c r="AI720" s="200"/>
      <c r="AJ720" s="200"/>
      <c r="AK720" s="209"/>
      <c r="AL720" s="200"/>
      <c r="AM720" s="210"/>
      <c r="AN720" s="210"/>
    </row>
    <row r="721" spans="1:40" x14ac:dyDescent="0.25">
      <c r="A721" s="202"/>
      <c r="C721" s="154"/>
      <c r="D721" s="154"/>
      <c r="E721" s="154"/>
      <c r="F721" s="200"/>
      <c r="H721" s="200"/>
      <c r="I721" s="200"/>
      <c r="J721" s="213"/>
      <c r="K721" s="213"/>
      <c r="L721" s="200"/>
      <c r="M721" s="200"/>
      <c r="N721" s="213"/>
      <c r="O721" s="213"/>
      <c r="P721" s="200"/>
      <c r="Q721" s="200"/>
      <c r="R721" s="200"/>
      <c r="T721" s="154"/>
      <c r="U721" s="154"/>
      <c r="V721" s="200"/>
      <c r="Y721" s="200"/>
      <c r="Z721" s="213"/>
      <c r="AA721" s="200"/>
      <c r="AB721" s="200"/>
      <c r="AC721" s="213"/>
      <c r="AD721" s="213"/>
      <c r="AE721" s="200"/>
      <c r="AF721" s="200"/>
      <c r="AG721" s="209"/>
      <c r="AH721" s="201"/>
      <c r="AI721" s="200"/>
      <c r="AJ721" s="200"/>
      <c r="AK721" s="209"/>
      <c r="AL721" s="200"/>
      <c r="AM721" s="210"/>
      <c r="AN721" s="210"/>
    </row>
    <row r="722" spans="1:40" x14ac:dyDescent="0.25">
      <c r="F722" s="211"/>
      <c r="H722" s="211"/>
      <c r="I722" s="211"/>
      <c r="J722" s="305"/>
      <c r="K722" s="305"/>
      <c r="L722" s="211"/>
      <c r="M722" s="211"/>
      <c r="N722" s="211"/>
      <c r="O722" s="211"/>
      <c r="P722" s="211"/>
      <c r="Q722" s="211"/>
      <c r="R722" s="211"/>
      <c r="V722" s="211"/>
      <c r="Y722" s="211"/>
      <c r="Z722" s="305"/>
      <c r="AA722" s="211"/>
      <c r="AB722" s="211"/>
      <c r="AC722" s="211"/>
      <c r="AD722" s="211"/>
      <c r="AE722" s="211"/>
      <c r="AF722" s="211"/>
      <c r="AI722" s="211"/>
      <c r="AJ722" s="211"/>
      <c r="AK722" s="212"/>
      <c r="AL722" s="211"/>
      <c r="AM722" s="210"/>
      <c r="AN722" s="210"/>
    </row>
    <row r="723" spans="1:40" x14ac:dyDescent="0.25">
      <c r="A723" s="202"/>
      <c r="C723" s="154"/>
      <c r="F723" s="200"/>
      <c r="H723" s="200"/>
      <c r="I723" s="200"/>
      <c r="J723" s="213"/>
      <c r="K723" s="213"/>
      <c r="L723" s="200"/>
      <c r="M723" s="200"/>
      <c r="N723" s="213"/>
      <c r="O723" s="213"/>
      <c r="P723" s="200"/>
      <c r="Q723" s="200"/>
      <c r="R723" s="200"/>
      <c r="T723" s="154"/>
      <c r="V723" s="200"/>
      <c r="Y723" s="200"/>
      <c r="Z723" s="213"/>
      <c r="AA723" s="200"/>
      <c r="AB723" s="200"/>
      <c r="AC723" s="213"/>
      <c r="AD723" s="213"/>
      <c r="AE723" s="200"/>
      <c r="AF723" s="200"/>
      <c r="AG723" s="209"/>
      <c r="AH723" s="201"/>
      <c r="AI723" s="200"/>
      <c r="AJ723" s="200"/>
      <c r="AK723" s="209"/>
      <c r="AL723" s="200"/>
      <c r="AM723" s="210"/>
      <c r="AN723" s="210"/>
    </row>
    <row r="724" spans="1:40" x14ac:dyDescent="0.25">
      <c r="V724" s="200"/>
      <c r="Y724" s="200"/>
      <c r="Z724" s="305"/>
      <c r="AA724" s="200"/>
      <c r="AB724" s="200"/>
      <c r="AC724" s="200"/>
      <c r="AD724" s="200"/>
      <c r="AE724" s="200"/>
      <c r="AF724" s="200"/>
      <c r="AI724" s="200"/>
      <c r="AJ724" s="200"/>
      <c r="AK724" s="209"/>
      <c r="AL724" s="200"/>
      <c r="AM724" s="210"/>
      <c r="AN724" s="210"/>
    </row>
    <row r="725" spans="1:40" x14ac:dyDescent="0.25">
      <c r="A725" s="202"/>
      <c r="C725" s="154"/>
      <c r="D725" s="154"/>
      <c r="E725" s="154"/>
      <c r="L725" s="200"/>
      <c r="M725" s="200"/>
      <c r="N725" s="213"/>
      <c r="O725" s="213"/>
      <c r="P725" s="202"/>
      <c r="Q725" s="202"/>
      <c r="R725" s="200"/>
      <c r="T725" s="154"/>
      <c r="U725" s="154"/>
      <c r="AA725" s="200"/>
      <c r="AB725" s="200"/>
      <c r="AC725" s="213"/>
      <c r="AD725" s="213"/>
      <c r="AE725" s="200"/>
      <c r="AF725" s="200"/>
      <c r="AG725" s="209"/>
      <c r="AH725" s="201"/>
      <c r="AI725" s="202"/>
      <c r="AJ725" s="202"/>
      <c r="AK725" s="209"/>
      <c r="AL725" s="200"/>
      <c r="AM725" s="210"/>
      <c r="AN725" s="210"/>
    </row>
    <row r="726" spans="1:40" x14ac:dyDescent="0.25">
      <c r="A726" s="202"/>
      <c r="D726" s="154"/>
      <c r="E726" s="154"/>
      <c r="F726" s="252"/>
      <c r="H726" s="252"/>
      <c r="I726" s="252"/>
      <c r="J726" s="213"/>
      <c r="K726" s="213"/>
      <c r="L726" s="200"/>
      <c r="M726" s="200"/>
      <c r="N726" s="213"/>
      <c r="O726" s="213"/>
      <c r="P726" s="252"/>
      <c r="Q726" s="252"/>
      <c r="R726" s="200"/>
      <c r="U726" s="154"/>
      <c r="V726" s="200"/>
      <c r="Y726" s="200"/>
      <c r="Z726" s="213"/>
      <c r="AA726" s="200"/>
      <c r="AB726" s="200"/>
      <c r="AC726" s="213"/>
      <c r="AD726" s="213"/>
      <c r="AE726" s="200"/>
      <c r="AF726" s="200"/>
      <c r="AG726" s="209"/>
      <c r="AH726" s="201"/>
      <c r="AI726" s="200"/>
      <c r="AJ726" s="200"/>
      <c r="AK726" s="209"/>
      <c r="AL726" s="200"/>
      <c r="AM726" s="210"/>
      <c r="AN726" s="210"/>
    </row>
    <row r="727" spans="1:40" x14ac:dyDescent="0.25">
      <c r="F727" s="211"/>
      <c r="H727" s="211"/>
      <c r="I727" s="211"/>
      <c r="J727" s="305"/>
      <c r="K727" s="305"/>
      <c r="L727" s="211"/>
      <c r="M727" s="211"/>
      <c r="N727" s="211"/>
      <c r="O727" s="211"/>
      <c r="P727" s="211"/>
      <c r="Q727" s="211"/>
      <c r="R727" s="211"/>
      <c r="V727" s="211"/>
      <c r="Y727" s="211"/>
      <c r="Z727" s="305"/>
      <c r="AA727" s="211"/>
      <c r="AB727" s="211"/>
      <c r="AC727" s="211"/>
      <c r="AD727" s="211"/>
      <c r="AE727" s="211"/>
      <c r="AF727" s="211"/>
      <c r="AI727" s="211"/>
      <c r="AJ727" s="211"/>
      <c r="AK727" s="212"/>
      <c r="AL727" s="211"/>
      <c r="AM727" s="210"/>
      <c r="AN727" s="210"/>
    </row>
    <row r="728" spans="1:40" x14ac:dyDescent="0.25">
      <c r="A728" s="202"/>
      <c r="C728" s="154"/>
      <c r="F728" s="200"/>
      <c r="H728" s="200"/>
      <c r="I728" s="200"/>
      <c r="J728" s="213"/>
      <c r="K728" s="213"/>
      <c r="L728" s="200"/>
      <c r="M728" s="200"/>
      <c r="N728" s="213"/>
      <c r="O728" s="213"/>
      <c r="P728" s="200"/>
      <c r="Q728" s="200"/>
      <c r="R728" s="200"/>
      <c r="T728" s="154"/>
      <c r="V728" s="200"/>
      <c r="Y728" s="200"/>
      <c r="Z728" s="213"/>
      <c r="AA728" s="200"/>
      <c r="AB728" s="200"/>
      <c r="AC728" s="213"/>
      <c r="AD728" s="213"/>
      <c r="AE728" s="200"/>
      <c r="AF728" s="200"/>
      <c r="AG728" s="209"/>
      <c r="AH728" s="201"/>
      <c r="AI728" s="200"/>
      <c r="AJ728" s="200"/>
      <c r="AK728" s="209"/>
      <c r="AL728" s="200"/>
      <c r="AM728" s="210"/>
      <c r="AN728" s="210"/>
    </row>
    <row r="729" spans="1:40" x14ac:dyDescent="0.25">
      <c r="F729" s="200"/>
      <c r="H729" s="200"/>
      <c r="I729" s="200"/>
      <c r="J729" s="213"/>
      <c r="K729" s="213"/>
      <c r="L729" s="200"/>
      <c r="M729" s="200"/>
      <c r="N729" s="213"/>
      <c r="O729" s="213"/>
      <c r="P729" s="200"/>
      <c r="Q729" s="200"/>
      <c r="R729" s="200"/>
      <c r="V729" s="200"/>
      <c r="Y729" s="200"/>
      <c r="Z729" s="213"/>
      <c r="AA729" s="200"/>
      <c r="AB729" s="200"/>
      <c r="AC729" s="213"/>
      <c r="AD729" s="213"/>
      <c r="AG729" s="209"/>
      <c r="AH729" s="201"/>
      <c r="AI729" s="200"/>
      <c r="AJ729" s="200"/>
      <c r="AK729" s="209"/>
      <c r="AL729" s="200"/>
      <c r="AM729" s="210"/>
      <c r="AN729" s="210"/>
    </row>
    <row r="730" spans="1:40" x14ac:dyDescent="0.25">
      <c r="A730" s="202"/>
      <c r="D730" s="154"/>
      <c r="E730" s="154"/>
      <c r="F730" s="200"/>
      <c r="H730" s="200"/>
      <c r="I730" s="200"/>
      <c r="J730" s="213"/>
      <c r="K730" s="213"/>
      <c r="L730" s="252"/>
      <c r="M730" s="252"/>
      <c r="N730" s="213"/>
      <c r="O730" s="213"/>
      <c r="P730" s="200"/>
      <c r="Q730" s="200"/>
      <c r="R730" s="200"/>
      <c r="U730" s="154"/>
      <c r="V730" s="200"/>
      <c r="Y730" s="200"/>
      <c r="Z730" s="213"/>
      <c r="AA730" s="252"/>
      <c r="AB730" s="252"/>
      <c r="AC730" s="213"/>
      <c r="AD730" s="213"/>
      <c r="AE730" s="200"/>
      <c r="AF730" s="200"/>
      <c r="AG730" s="209"/>
      <c r="AH730" s="201"/>
      <c r="AI730" s="200"/>
      <c r="AJ730" s="200"/>
      <c r="AK730" s="209"/>
      <c r="AL730" s="200"/>
      <c r="AM730" s="210"/>
      <c r="AN730" s="210"/>
    </row>
    <row r="731" spans="1:40" x14ac:dyDescent="0.25">
      <c r="A731" s="202"/>
      <c r="D731" s="154"/>
      <c r="E731" s="154"/>
      <c r="F731" s="200"/>
      <c r="H731" s="200"/>
      <c r="I731" s="200"/>
      <c r="J731" s="213"/>
      <c r="K731" s="213"/>
      <c r="L731" s="252"/>
      <c r="M731" s="252"/>
      <c r="N731" s="213"/>
      <c r="O731" s="213"/>
      <c r="P731" s="200"/>
      <c r="Q731" s="200"/>
      <c r="R731" s="200"/>
      <c r="U731" s="154"/>
      <c r="V731" s="200"/>
      <c r="Y731" s="200"/>
      <c r="Z731" s="213"/>
      <c r="AA731" s="252"/>
      <c r="AB731" s="252"/>
      <c r="AC731" s="213"/>
      <c r="AD731" s="213"/>
      <c r="AE731" s="200"/>
      <c r="AF731" s="200"/>
      <c r="AG731" s="209"/>
      <c r="AH731" s="201"/>
      <c r="AI731" s="200"/>
      <c r="AJ731" s="200"/>
      <c r="AK731" s="209"/>
      <c r="AL731" s="200"/>
      <c r="AM731" s="210"/>
      <c r="AN731" s="210"/>
    </row>
    <row r="732" spans="1:40" x14ac:dyDescent="0.25">
      <c r="A732" s="202"/>
      <c r="D732" s="154"/>
      <c r="E732" s="154"/>
      <c r="F732" s="200"/>
      <c r="H732" s="200"/>
      <c r="I732" s="200"/>
      <c r="J732" s="213"/>
      <c r="K732" s="213"/>
      <c r="L732" s="252"/>
      <c r="M732" s="252"/>
      <c r="N732" s="213"/>
      <c r="O732" s="213"/>
      <c r="P732" s="200"/>
      <c r="Q732" s="200"/>
      <c r="R732" s="200"/>
      <c r="U732" s="154"/>
      <c r="V732" s="200"/>
      <c r="Y732" s="200"/>
      <c r="Z732" s="213"/>
      <c r="AA732" s="252"/>
      <c r="AB732" s="252"/>
      <c r="AC732" s="213"/>
      <c r="AD732" s="213"/>
      <c r="AE732" s="200"/>
      <c r="AF732" s="200"/>
      <c r="AG732" s="209"/>
      <c r="AH732" s="201"/>
      <c r="AI732" s="200"/>
      <c r="AJ732" s="200"/>
      <c r="AK732" s="209"/>
      <c r="AL732" s="200"/>
      <c r="AM732" s="210"/>
      <c r="AN732" s="210"/>
    </row>
    <row r="733" spans="1:40" x14ac:dyDescent="0.25">
      <c r="F733" s="211"/>
      <c r="H733" s="211"/>
      <c r="I733" s="211"/>
      <c r="J733" s="305"/>
      <c r="K733" s="305"/>
      <c r="L733" s="211"/>
      <c r="M733" s="211"/>
      <c r="N733" s="211"/>
      <c r="O733" s="211"/>
      <c r="P733" s="211"/>
      <c r="Q733" s="211"/>
      <c r="R733" s="211"/>
      <c r="V733" s="211"/>
      <c r="Y733" s="211"/>
      <c r="Z733" s="305"/>
      <c r="AA733" s="211"/>
      <c r="AB733" s="211"/>
      <c r="AC733" s="211"/>
      <c r="AD733" s="211"/>
      <c r="AE733" s="211"/>
      <c r="AF733" s="211"/>
      <c r="AI733" s="211"/>
      <c r="AJ733" s="211"/>
      <c r="AK733" s="212"/>
      <c r="AL733" s="211"/>
      <c r="AM733" s="210"/>
      <c r="AN733" s="210"/>
    </row>
    <row r="734" spans="1:40" x14ac:dyDescent="0.25">
      <c r="A734" s="202"/>
      <c r="C734" s="154"/>
      <c r="F734" s="200"/>
      <c r="H734" s="200"/>
      <c r="I734" s="200"/>
      <c r="J734" s="213"/>
      <c r="K734" s="213"/>
      <c r="L734" s="200"/>
      <c r="M734" s="200"/>
      <c r="N734" s="213"/>
      <c r="O734" s="213"/>
      <c r="P734" s="200"/>
      <c r="Q734" s="200"/>
      <c r="R734" s="200"/>
      <c r="T734" s="154"/>
      <c r="V734" s="200"/>
      <c r="Y734" s="200"/>
      <c r="Z734" s="213"/>
      <c r="AA734" s="200"/>
      <c r="AB734" s="200"/>
      <c r="AC734" s="213"/>
      <c r="AD734" s="213"/>
      <c r="AE734" s="200"/>
      <c r="AF734" s="200"/>
      <c r="AG734" s="209"/>
      <c r="AH734" s="201"/>
      <c r="AI734" s="200"/>
      <c r="AJ734" s="200"/>
      <c r="AK734" s="209"/>
      <c r="AL734" s="200"/>
      <c r="AM734" s="210"/>
      <c r="AN734" s="210"/>
    </row>
    <row r="735" spans="1:40" x14ac:dyDescent="0.25">
      <c r="F735" s="200"/>
      <c r="H735" s="200"/>
      <c r="I735" s="200"/>
      <c r="J735" s="213"/>
      <c r="K735" s="213"/>
      <c r="L735" s="200"/>
      <c r="M735" s="200"/>
      <c r="N735" s="213"/>
      <c r="O735" s="213"/>
      <c r="P735" s="200"/>
      <c r="Q735" s="200"/>
      <c r="R735" s="200"/>
      <c r="V735" s="200"/>
      <c r="Y735" s="200"/>
      <c r="Z735" s="213"/>
      <c r="AA735" s="200"/>
      <c r="AB735" s="200"/>
      <c r="AC735" s="213"/>
      <c r="AD735" s="213"/>
      <c r="AG735" s="209"/>
      <c r="AH735" s="201"/>
      <c r="AI735" s="200"/>
      <c r="AJ735" s="200"/>
      <c r="AK735" s="209"/>
      <c r="AL735" s="200"/>
      <c r="AM735" s="210"/>
      <c r="AN735" s="210"/>
    </row>
    <row r="736" spans="1:40" x14ac:dyDescent="0.25">
      <c r="A736" s="202"/>
      <c r="C736" s="154"/>
      <c r="F736" s="200"/>
      <c r="H736" s="200"/>
      <c r="I736" s="200"/>
      <c r="J736" s="213"/>
      <c r="K736" s="213"/>
      <c r="L736" s="200"/>
      <c r="M736" s="200"/>
      <c r="N736" s="213"/>
      <c r="O736" s="213"/>
      <c r="P736" s="200"/>
      <c r="Q736" s="200"/>
      <c r="R736" s="200"/>
      <c r="T736" s="154"/>
      <c r="V736" s="200"/>
      <c r="Y736" s="200"/>
      <c r="Z736" s="213"/>
      <c r="AA736" s="200"/>
      <c r="AB736" s="200"/>
      <c r="AC736" s="213"/>
      <c r="AD736" s="213"/>
      <c r="AE736" s="200"/>
      <c r="AF736" s="200"/>
      <c r="AG736" s="209"/>
      <c r="AH736" s="201"/>
      <c r="AI736" s="200"/>
      <c r="AJ736" s="200"/>
      <c r="AK736" s="209"/>
      <c r="AL736" s="200"/>
      <c r="AM736" s="210"/>
      <c r="AN736" s="210"/>
    </row>
    <row r="737" spans="1:38" x14ac:dyDescent="0.25">
      <c r="F737" s="211"/>
      <c r="H737" s="211"/>
      <c r="I737" s="211"/>
      <c r="J737" s="305"/>
      <c r="K737" s="305"/>
      <c r="L737" s="211"/>
      <c r="M737" s="211"/>
      <c r="N737" s="211"/>
      <c r="O737" s="211"/>
      <c r="P737" s="211"/>
      <c r="Q737" s="211"/>
      <c r="R737" s="211"/>
      <c r="V737" s="211"/>
      <c r="Y737" s="211"/>
      <c r="Z737" s="305"/>
      <c r="AA737" s="211"/>
      <c r="AB737" s="211"/>
      <c r="AC737" s="211"/>
      <c r="AD737" s="211"/>
      <c r="AE737" s="211"/>
      <c r="AF737" s="211"/>
      <c r="AI737" s="211"/>
      <c r="AJ737" s="211"/>
      <c r="AK737" s="212"/>
      <c r="AL737" s="211"/>
    </row>
    <row r="739" spans="1:38" x14ac:dyDescent="0.25">
      <c r="C739" s="154"/>
      <c r="L739" s="200"/>
      <c r="M739" s="200"/>
      <c r="P739" s="200"/>
      <c r="Q739" s="200"/>
      <c r="R739" s="200"/>
      <c r="T739" s="154"/>
    </row>
    <row r="740" spans="1:38" x14ac:dyDescent="0.25">
      <c r="A740" s="154"/>
      <c r="L740" s="200"/>
      <c r="M740" s="200"/>
      <c r="P740" s="200"/>
      <c r="Q740" s="200"/>
      <c r="R740" s="200"/>
    </row>
    <row r="741" spans="1:38" x14ac:dyDescent="0.25">
      <c r="L741" s="200"/>
      <c r="M741" s="200"/>
      <c r="P741" s="200"/>
      <c r="Q741" s="200"/>
      <c r="R741" s="200"/>
    </row>
    <row r="742" spans="1:38" x14ac:dyDescent="0.25">
      <c r="L742" s="200"/>
      <c r="M742" s="200"/>
      <c r="P742" s="200"/>
      <c r="Q742" s="200"/>
      <c r="R742" s="200"/>
    </row>
    <row r="743" spans="1:38" x14ac:dyDescent="0.25">
      <c r="L743" s="200"/>
      <c r="M743" s="200"/>
      <c r="P743" s="200"/>
      <c r="Q743" s="200"/>
      <c r="R743" s="200"/>
    </row>
    <row r="744" spans="1:38" x14ac:dyDescent="0.25">
      <c r="L744" s="200"/>
      <c r="M744" s="200"/>
      <c r="P744" s="200"/>
      <c r="Q744" s="200"/>
      <c r="R744" s="200"/>
    </row>
    <row r="745" spans="1:38" x14ac:dyDescent="0.25">
      <c r="L745" s="200"/>
      <c r="M745" s="200"/>
      <c r="P745" s="200"/>
      <c r="Q745" s="200"/>
      <c r="R745" s="200"/>
    </row>
    <row r="778" spans="49:49" x14ac:dyDescent="0.25">
      <c r="AW778" s="200"/>
    </row>
    <row r="779" spans="49:49" x14ac:dyDescent="0.25">
      <c r="AW779" s="200"/>
    </row>
    <row r="780" spans="49:49" x14ac:dyDescent="0.25">
      <c r="AW780" s="200"/>
    </row>
    <row r="781" spans="49:49" x14ac:dyDescent="0.25">
      <c r="AW781" s="200"/>
    </row>
    <row r="782" spans="49:49" x14ac:dyDescent="0.25">
      <c r="AW782" s="200"/>
    </row>
    <row r="783" spans="49:49" x14ac:dyDescent="0.25">
      <c r="AW783" s="200"/>
    </row>
    <row r="786" spans="49:49" x14ac:dyDescent="0.25">
      <c r="AW786" s="200"/>
    </row>
    <row r="787" spans="49:49" x14ac:dyDescent="0.25">
      <c r="AW787" s="200"/>
    </row>
    <row r="788" spans="49:49" x14ac:dyDescent="0.25">
      <c r="AW788" s="200"/>
    </row>
    <row r="789" spans="49:49" x14ac:dyDescent="0.25">
      <c r="AW789" s="200"/>
    </row>
    <row r="790" spans="49:49" x14ac:dyDescent="0.25">
      <c r="AW790" s="200"/>
    </row>
    <row r="791" spans="49:49" x14ac:dyDescent="0.25">
      <c r="AW791" s="200"/>
    </row>
    <row r="792" spans="49:49" x14ac:dyDescent="0.25">
      <c r="AW792" s="200"/>
    </row>
    <row r="793" spans="49:49" x14ac:dyDescent="0.25">
      <c r="AW793" s="200"/>
    </row>
    <row r="796" spans="49:49" x14ac:dyDescent="0.25">
      <c r="AW796" s="200"/>
    </row>
    <row r="797" spans="49:49" x14ac:dyDescent="0.25">
      <c r="AW797" s="200"/>
    </row>
    <row r="800" spans="49:49" x14ac:dyDescent="0.25">
      <c r="AW800" s="200"/>
    </row>
    <row r="801" spans="45:56" x14ac:dyDescent="0.25">
      <c r="AW801" s="200"/>
    </row>
    <row r="802" spans="45:56" x14ac:dyDescent="0.25">
      <c r="AW802" s="200"/>
    </row>
    <row r="803" spans="45:56" x14ac:dyDescent="0.25">
      <c r="AW803" s="200"/>
    </row>
    <row r="809" spans="45:56" x14ac:dyDescent="0.25">
      <c r="AY809" s="202"/>
    </row>
    <row r="810" spans="45:56" x14ac:dyDescent="0.25">
      <c r="AY810" s="202"/>
    </row>
    <row r="811" spans="45:56" x14ac:dyDescent="0.25">
      <c r="AY811" s="154"/>
    </row>
    <row r="812" spans="45:56" x14ac:dyDescent="0.25">
      <c r="AY812" s="154"/>
    </row>
    <row r="813" spans="45:56" x14ac:dyDescent="0.25">
      <c r="AS813" s="202"/>
      <c r="BD813" s="154"/>
    </row>
    <row r="814" spans="45:56" x14ac:dyDescent="0.25">
      <c r="AS814" s="202"/>
      <c r="BD814" s="154"/>
    </row>
    <row r="815" spans="45:56" x14ac:dyDescent="0.25">
      <c r="AS815" s="154"/>
      <c r="BD815" s="154"/>
    </row>
    <row r="816" spans="45:56" x14ac:dyDescent="0.25">
      <c r="BD816" s="202"/>
    </row>
    <row r="817" spans="45:69" x14ac:dyDescent="0.25"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</row>
    <row r="818" spans="45:69" x14ac:dyDescent="0.25">
      <c r="AX818" s="154"/>
    </row>
    <row r="819" spans="45:69" x14ac:dyDescent="0.25">
      <c r="AX819" s="102"/>
      <c r="AY819" s="102"/>
      <c r="AZ819" s="102"/>
      <c r="BA819" s="102"/>
      <c r="BC819" s="103"/>
      <c r="BD819" s="103"/>
    </row>
    <row r="820" spans="45:69" x14ac:dyDescent="0.25">
      <c r="AV820" s="103"/>
      <c r="AW820" s="103"/>
      <c r="AZ820" s="103"/>
      <c r="BA820" s="103"/>
      <c r="BC820" s="103"/>
      <c r="BD820" s="103"/>
      <c r="BE820" s="103"/>
      <c r="BG820" s="102"/>
      <c r="BH820" s="154"/>
      <c r="BK820" s="102"/>
      <c r="BM820" s="102"/>
      <c r="BN820" s="154"/>
      <c r="BQ820" s="102"/>
    </row>
    <row r="821" spans="45:69" x14ac:dyDescent="0.25"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H821" s="103"/>
      <c r="BI821" s="103"/>
      <c r="BJ821" s="103"/>
      <c r="BN821" s="103"/>
      <c r="BO821" s="103"/>
      <c r="BP821" s="103"/>
    </row>
    <row r="822" spans="45:69" x14ac:dyDescent="0.25">
      <c r="AS822" s="103"/>
      <c r="AU822" s="154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G822" s="103"/>
      <c r="BH822" s="103"/>
      <c r="BI822" s="103"/>
      <c r="BJ822" s="103"/>
      <c r="BK822" s="103"/>
      <c r="BM822" s="103"/>
      <c r="BN822" s="103"/>
      <c r="BO822" s="103"/>
      <c r="BP822" s="103"/>
      <c r="BQ822" s="103"/>
    </row>
    <row r="823" spans="45:69" x14ac:dyDescent="0.25">
      <c r="AS823" s="103"/>
      <c r="AU823" s="154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G823" s="103"/>
      <c r="BH823" s="103"/>
      <c r="BI823" s="103"/>
      <c r="BJ823" s="103"/>
      <c r="BK823" s="103"/>
      <c r="BM823" s="103"/>
      <c r="BN823" s="103"/>
      <c r="BO823" s="103"/>
      <c r="BP823" s="103"/>
      <c r="BQ823" s="103"/>
    </row>
    <row r="824" spans="45:69" x14ac:dyDescent="0.25"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  <c r="BE824" s="102"/>
      <c r="BG824" s="102"/>
      <c r="BH824" s="102"/>
      <c r="BI824" s="102"/>
      <c r="BJ824" s="102"/>
      <c r="BK824" s="102"/>
      <c r="BM824" s="102"/>
      <c r="BN824" s="102"/>
      <c r="BO824" s="102"/>
      <c r="BP824" s="102"/>
      <c r="BQ824" s="102"/>
    </row>
    <row r="825" spans="45:69" x14ac:dyDescent="0.25"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</row>
    <row r="826" spans="45:69" x14ac:dyDescent="0.25">
      <c r="AS826" s="202"/>
      <c r="AU826" s="154"/>
      <c r="AV826" s="103"/>
      <c r="AY826" s="213"/>
    </row>
    <row r="827" spans="45:69" x14ac:dyDescent="0.25">
      <c r="AS827" s="202"/>
      <c r="AV827" s="103"/>
      <c r="AW827" s="200"/>
      <c r="AX827" s="334"/>
      <c r="AY827" s="334"/>
      <c r="AZ827" s="334"/>
      <c r="BA827" s="210"/>
      <c r="BB827" s="334"/>
      <c r="BC827" s="213"/>
      <c r="BD827" s="213"/>
      <c r="BE827" s="210"/>
      <c r="BG827" s="334"/>
      <c r="BH827" s="334"/>
      <c r="BI827" s="334"/>
      <c r="BJ827" s="334"/>
      <c r="BK827" s="334"/>
      <c r="BM827" s="334"/>
      <c r="BN827" s="334"/>
      <c r="BO827" s="334"/>
      <c r="BP827" s="334"/>
      <c r="BQ827" s="334"/>
    </row>
    <row r="828" spans="45:69" x14ac:dyDescent="0.25">
      <c r="AS828" s="202"/>
      <c r="AV828" s="103"/>
      <c r="AW828" s="200"/>
      <c r="AX828" s="334"/>
      <c r="AY828" s="334"/>
      <c r="AZ828" s="334"/>
      <c r="BA828" s="210"/>
      <c r="BB828" s="334"/>
      <c r="BC828" s="213"/>
      <c r="BD828" s="213"/>
      <c r="BE828" s="210"/>
      <c r="BG828" s="334"/>
      <c r="BH828" s="334"/>
      <c r="BI828" s="334"/>
      <c r="BJ828" s="334"/>
      <c r="BK828" s="334"/>
      <c r="BM828" s="334"/>
      <c r="BN828" s="334"/>
      <c r="BO828" s="334"/>
      <c r="BP828" s="334"/>
      <c r="BQ828" s="334"/>
    </row>
    <row r="829" spans="45:69" x14ac:dyDescent="0.25">
      <c r="AS829" s="202"/>
      <c r="AV829" s="103"/>
      <c r="AW829" s="200"/>
      <c r="AX829" s="334"/>
      <c r="AY829" s="334"/>
      <c r="AZ829" s="334"/>
      <c r="BA829" s="210"/>
      <c r="BB829" s="334"/>
      <c r="BC829" s="213"/>
      <c r="BD829" s="213"/>
      <c r="BE829" s="210"/>
      <c r="BG829" s="334"/>
      <c r="BH829" s="334"/>
      <c r="BI829" s="334"/>
      <c r="BJ829" s="334"/>
      <c r="BK829" s="334"/>
      <c r="BM829" s="334"/>
      <c r="BN829" s="334"/>
      <c r="BO829" s="334"/>
      <c r="BP829" s="334"/>
      <c r="BQ829" s="334"/>
    </row>
    <row r="830" spans="45:69" x14ac:dyDescent="0.25">
      <c r="AS830" s="202"/>
      <c r="AV830" s="103"/>
      <c r="AW830" s="200"/>
      <c r="AX830" s="334"/>
      <c r="AY830" s="334"/>
      <c r="AZ830" s="334"/>
      <c r="BA830" s="210"/>
      <c r="BB830" s="334"/>
      <c r="BC830" s="213"/>
      <c r="BD830" s="213"/>
      <c r="BE830" s="210"/>
      <c r="BG830" s="334"/>
      <c r="BH830" s="334"/>
      <c r="BI830" s="334"/>
      <c r="BJ830" s="334"/>
      <c r="BK830" s="334"/>
      <c r="BM830" s="334"/>
      <c r="BN830" s="334"/>
      <c r="BO830" s="334"/>
      <c r="BP830" s="334"/>
      <c r="BQ830" s="334"/>
    </row>
    <row r="831" spans="45:69" x14ac:dyDescent="0.25">
      <c r="AS831" s="202"/>
      <c r="AV831" s="103"/>
      <c r="AW831" s="200"/>
      <c r="AX831" s="334"/>
      <c r="AY831" s="334"/>
      <c r="AZ831" s="334"/>
      <c r="BA831" s="210"/>
      <c r="BB831" s="334"/>
      <c r="BC831" s="213"/>
      <c r="BD831" s="213"/>
      <c r="BE831" s="210"/>
      <c r="BG831" s="334"/>
      <c r="BH831" s="334"/>
      <c r="BI831" s="334"/>
      <c r="BJ831" s="334"/>
      <c r="BK831" s="334"/>
      <c r="BM831" s="334"/>
      <c r="BN831" s="334"/>
      <c r="BO831" s="334"/>
      <c r="BP831" s="334"/>
      <c r="BQ831" s="334"/>
    </row>
    <row r="832" spans="45:69" x14ac:dyDescent="0.25">
      <c r="AS832" s="202"/>
      <c r="AV832" s="103"/>
      <c r="AW832" s="200"/>
      <c r="AX832" s="334"/>
      <c r="AY832" s="334"/>
      <c r="AZ832" s="334"/>
      <c r="BA832" s="210"/>
      <c r="BB832" s="334"/>
      <c r="BC832" s="213"/>
      <c r="BD832" s="213"/>
      <c r="BE832" s="210"/>
      <c r="BG832" s="334"/>
      <c r="BH832" s="334"/>
      <c r="BI832" s="334"/>
      <c r="BJ832" s="334"/>
      <c r="BK832" s="334"/>
      <c r="BM832" s="334"/>
      <c r="BN832" s="334"/>
      <c r="BO832" s="334"/>
      <c r="BP832" s="334"/>
      <c r="BQ832" s="334"/>
    </row>
    <row r="833" spans="45:69" x14ac:dyDescent="0.25">
      <c r="AS833" s="202"/>
      <c r="AV833" s="103"/>
      <c r="AW833" s="200"/>
      <c r="AX833" s="334"/>
      <c r="AY833" s="334"/>
      <c r="AZ833" s="334"/>
      <c r="BA833" s="210"/>
      <c r="BB833" s="334"/>
      <c r="BC833" s="213"/>
      <c r="BD833" s="213"/>
      <c r="BE833" s="210"/>
      <c r="BG833" s="334"/>
      <c r="BH833" s="334"/>
      <c r="BI833" s="334"/>
      <c r="BJ833" s="334"/>
      <c r="BK833" s="334"/>
      <c r="BM833" s="334"/>
      <c r="BN833" s="334"/>
      <c r="BO833" s="334"/>
      <c r="BP833" s="334"/>
      <c r="BQ833" s="334"/>
    </row>
    <row r="834" spans="45:69" x14ac:dyDescent="0.25">
      <c r="AY834" s="213"/>
      <c r="AZ834" s="334"/>
      <c r="BA834" s="210"/>
      <c r="BB834" s="334"/>
      <c r="BC834" s="213"/>
      <c r="BD834" s="213"/>
      <c r="BE834" s="210"/>
      <c r="BK834" s="334"/>
      <c r="BQ834" s="334"/>
    </row>
    <row r="835" spans="45:69" x14ac:dyDescent="0.25">
      <c r="AS835" s="202"/>
      <c r="AV835" s="103"/>
      <c r="AY835" s="213"/>
      <c r="AZ835" s="334"/>
      <c r="BA835" s="210"/>
      <c r="BB835" s="334"/>
      <c r="BC835" s="213"/>
      <c r="BD835" s="213"/>
      <c r="BE835" s="210"/>
      <c r="BK835" s="334"/>
      <c r="BQ835" s="334"/>
    </row>
    <row r="836" spans="45:69" x14ac:dyDescent="0.25">
      <c r="AS836" s="202"/>
      <c r="AV836" s="103"/>
      <c r="AW836" s="200"/>
      <c r="AX836" s="334"/>
      <c r="AY836" s="334"/>
      <c r="AZ836" s="334"/>
      <c r="BA836" s="210"/>
      <c r="BB836" s="334"/>
      <c r="BC836" s="213"/>
      <c r="BD836" s="213"/>
      <c r="BE836" s="210"/>
      <c r="BG836" s="334"/>
      <c r="BH836" s="334"/>
      <c r="BI836" s="334"/>
      <c r="BJ836" s="334"/>
      <c r="BK836" s="334"/>
      <c r="BM836" s="334"/>
      <c r="BN836" s="334"/>
      <c r="BO836" s="334"/>
      <c r="BP836" s="334"/>
      <c r="BQ836" s="334"/>
    </row>
    <row r="837" spans="45:69" x14ac:dyDescent="0.25">
      <c r="AS837" s="202"/>
      <c r="AV837" s="103"/>
      <c r="AW837" s="200"/>
      <c r="AX837" s="334"/>
      <c r="AY837" s="334"/>
      <c r="AZ837" s="334"/>
      <c r="BA837" s="210"/>
      <c r="BB837" s="334"/>
      <c r="BC837" s="213"/>
      <c r="BD837" s="213"/>
      <c r="BE837" s="210"/>
      <c r="BG837" s="334"/>
      <c r="BH837" s="334"/>
      <c r="BI837" s="334"/>
      <c r="BJ837" s="334"/>
      <c r="BK837" s="334"/>
      <c r="BM837" s="334"/>
      <c r="BN837" s="334"/>
      <c r="BO837" s="334"/>
      <c r="BP837" s="334"/>
      <c r="BQ837" s="334"/>
    </row>
    <row r="838" spans="45:69" x14ac:dyDescent="0.25">
      <c r="AS838" s="202"/>
      <c r="AV838" s="103"/>
      <c r="AW838" s="200"/>
      <c r="AX838" s="334"/>
      <c r="AY838" s="334"/>
      <c r="AZ838" s="334"/>
      <c r="BA838" s="210"/>
      <c r="BB838" s="334"/>
      <c r="BC838" s="213"/>
      <c r="BD838" s="213"/>
      <c r="BE838" s="210"/>
      <c r="BG838" s="334"/>
      <c r="BH838" s="334"/>
      <c r="BI838" s="334"/>
      <c r="BJ838" s="334"/>
      <c r="BK838" s="334"/>
      <c r="BM838" s="334"/>
      <c r="BN838" s="334"/>
      <c r="BO838" s="334"/>
      <c r="BP838" s="334"/>
      <c r="BQ838" s="334"/>
    </row>
    <row r="839" spans="45:69" x14ac:dyDescent="0.25">
      <c r="AS839" s="202"/>
      <c r="AV839" s="103"/>
      <c r="AW839" s="200"/>
      <c r="AX839" s="334"/>
      <c r="AY839" s="334"/>
      <c r="AZ839" s="334"/>
      <c r="BA839" s="210"/>
      <c r="BB839" s="334"/>
      <c r="BC839" s="213"/>
      <c r="BD839" s="213"/>
      <c r="BE839" s="210"/>
      <c r="BG839" s="334"/>
      <c r="BH839" s="334"/>
      <c r="BI839" s="334"/>
      <c r="BJ839" s="334"/>
      <c r="BK839" s="334"/>
      <c r="BM839" s="334"/>
      <c r="BN839" s="334"/>
      <c r="BO839" s="334"/>
      <c r="BP839" s="334"/>
      <c r="BQ839" s="334"/>
    </row>
    <row r="840" spans="45:69" x14ac:dyDescent="0.25">
      <c r="AS840" s="202"/>
      <c r="AV840" s="103"/>
      <c r="AW840" s="200"/>
      <c r="AX840" s="334"/>
      <c r="AY840" s="334"/>
      <c r="AZ840" s="334"/>
      <c r="BA840" s="210"/>
      <c r="BB840" s="334"/>
      <c r="BC840" s="213"/>
      <c r="BD840" s="213"/>
      <c r="BE840" s="210"/>
      <c r="BG840" s="334"/>
      <c r="BH840" s="334"/>
      <c r="BI840" s="334"/>
      <c r="BJ840" s="334"/>
      <c r="BK840" s="334"/>
      <c r="BM840" s="334"/>
      <c r="BN840" s="334"/>
      <c r="BO840" s="334"/>
      <c r="BP840" s="334"/>
      <c r="BQ840" s="334"/>
    </row>
    <row r="841" spans="45:69" x14ac:dyDescent="0.25">
      <c r="AS841" s="202"/>
      <c r="AV841" s="103"/>
      <c r="AW841" s="200"/>
      <c r="AX841" s="334"/>
      <c r="AY841" s="334"/>
      <c r="AZ841" s="334"/>
      <c r="BA841" s="210"/>
      <c r="BB841" s="334"/>
      <c r="BC841" s="213"/>
      <c r="BD841" s="213"/>
      <c r="BE841" s="210"/>
      <c r="BG841" s="334"/>
      <c r="BH841" s="334"/>
      <c r="BI841" s="334"/>
      <c r="BJ841" s="334"/>
      <c r="BK841" s="334"/>
      <c r="BM841" s="334"/>
      <c r="BN841" s="334"/>
      <c r="BO841" s="334"/>
      <c r="BP841" s="334"/>
      <c r="BQ841" s="334"/>
    </row>
    <row r="842" spans="45:69" x14ac:dyDescent="0.25">
      <c r="AS842" s="202"/>
      <c r="AV842" s="103"/>
      <c r="AW842" s="200"/>
      <c r="AX842" s="334"/>
      <c r="AY842" s="334"/>
      <c r="AZ842" s="334"/>
      <c r="BA842" s="210"/>
      <c r="BB842" s="334"/>
      <c r="BC842" s="213"/>
      <c r="BD842" s="213"/>
      <c r="BE842" s="210"/>
      <c r="BG842" s="334"/>
      <c r="BH842" s="334"/>
      <c r="BI842" s="334"/>
      <c r="BJ842" s="334"/>
      <c r="BK842" s="334"/>
      <c r="BM842" s="334"/>
      <c r="BN842" s="334"/>
      <c r="BO842" s="334"/>
      <c r="BP842" s="334"/>
      <c r="BQ842" s="334"/>
    </row>
    <row r="843" spans="45:69" x14ac:dyDescent="0.25">
      <c r="AS843" s="202"/>
      <c r="AV843" s="103"/>
      <c r="AW843" s="200"/>
      <c r="AX843" s="334"/>
      <c r="AY843" s="334"/>
      <c r="AZ843" s="334"/>
      <c r="BA843" s="210"/>
      <c r="BB843" s="334"/>
      <c r="BC843" s="213"/>
      <c r="BD843" s="213"/>
      <c r="BE843" s="210"/>
      <c r="BG843" s="334"/>
      <c r="BH843" s="334"/>
      <c r="BI843" s="334"/>
      <c r="BJ843" s="334"/>
      <c r="BK843" s="334"/>
      <c r="BM843" s="334"/>
      <c r="BN843" s="334"/>
      <c r="BO843" s="334"/>
      <c r="BP843" s="334"/>
      <c r="BQ843" s="334"/>
    </row>
    <row r="844" spans="45:69" x14ac:dyDescent="0.25">
      <c r="AY844" s="213"/>
      <c r="AZ844" s="334"/>
      <c r="BA844" s="210"/>
      <c r="BB844" s="334"/>
      <c r="BC844" s="213"/>
      <c r="BD844" s="213"/>
      <c r="BE844" s="210"/>
      <c r="BK844" s="334"/>
      <c r="BQ844" s="334"/>
    </row>
    <row r="845" spans="45:69" x14ac:dyDescent="0.25">
      <c r="AU845" s="154"/>
      <c r="AZ845" s="334"/>
      <c r="BB845" s="334"/>
      <c r="BG845" s="334"/>
      <c r="BH845" s="334"/>
      <c r="BJ845" s="334"/>
      <c r="BK845" s="334"/>
    </row>
    <row r="846" spans="45:69" x14ac:dyDescent="0.25">
      <c r="AZ846" s="334"/>
      <c r="BB846" s="334"/>
    </row>
    <row r="847" spans="45:69" x14ac:dyDescent="0.25">
      <c r="AS847" s="154"/>
      <c r="AZ847" s="334"/>
      <c r="BB847" s="334"/>
      <c r="BI847" s="334"/>
    </row>
    <row r="848" spans="45:69" x14ac:dyDescent="0.25">
      <c r="AY848" s="202"/>
      <c r="AZ848" s="334"/>
      <c r="BB848" s="334"/>
    </row>
    <row r="849" spans="45:75" x14ac:dyDescent="0.25">
      <c r="AY849" s="334"/>
      <c r="BB849" s="334"/>
    </row>
    <row r="850" spans="45:75" x14ac:dyDescent="0.25">
      <c r="AY850" s="154"/>
      <c r="AZ850" s="334"/>
      <c r="BB850" s="334"/>
    </row>
    <row r="851" spans="45:75" x14ac:dyDescent="0.25">
      <c r="AY851" s="154"/>
      <c r="AZ851" s="334"/>
      <c r="BB851" s="334"/>
    </row>
    <row r="852" spans="45:75" x14ac:dyDescent="0.25">
      <c r="AS852" s="202"/>
      <c r="AZ852" s="334"/>
      <c r="BB852" s="334"/>
      <c r="BD852" s="154"/>
    </row>
    <row r="853" spans="45:75" x14ac:dyDescent="0.25">
      <c r="AS853" s="202"/>
      <c r="AZ853" s="334"/>
      <c r="BB853" s="334"/>
      <c r="BD853" s="154"/>
    </row>
    <row r="854" spans="45:75" x14ac:dyDescent="0.25">
      <c r="AS854" s="154"/>
      <c r="AZ854" s="334"/>
      <c r="BB854" s="334"/>
      <c r="BD854" s="154"/>
    </row>
    <row r="855" spans="45:75" x14ac:dyDescent="0.25">
      <c r="AZ855" s="334"/>
      <c r="BB855" s="334"/>
      <c r="BD855" s="202"/>
    </row>
    <row r="856" spans="45:75" x14ac:dyDescent="0.25">
      <c r="AS856" s="102"/>
      <c r="AT856" s="102"/>
      <c r="AU856" s="102"/>
      <c r="AV856" s="102"/>
      <c r="AW856" s="102"/>
      <c r="AX856" s="102"/>
      <c r="AY856" s="102"/>
      <c r="AZ856" s="335"/>
      <c r="BA856" s="102"/>
      <c r="BB856" s="335"/>
      <c r="BC856" s="102"/>
      <c r="BD856" s="102"/>
      <c r="BE856" s="102"/>
    </row>
    <row r="857" spans="45:75" x14ac:dyDescent="0.25">
      <c r="AX857" s="154"/>
      <c r="AZ857" s="334"/>
      <c r="BB857" s="334"/>
    </row>
    <row r="858" spans="45:75" x14ac:dyDescent="0.25">
      <c r="AX858" s="102"/>
      <c r="AY858" s="102"/>
      <c r="AZ858" s="335"/>
      <c r="BA858" s="102"/>
      <c r="BB858" s="334"/>
      <c r="BC858" s="103"/>
      <c r="BD858" s="103"/>
    </row>
    <row r="859" spans="45:75" x14ac:dyDescent="0.25">
      <c r="AV859" s="103"/>
      <c r="AW859" s="103"/>
      <c r="AZ859" s="336"/>
      <c r="BA859" s="103"/>
      <c r="BB859" s="334"/>
      <c r="BC859" s="103"/>
      <c r="BD859" s="103"/>
      <c r="BE859" s="103"/>
      <c r="BG859" s="102"/>
      <c r="BH859" s="102"/>
      <c r="BI859" s="154"/>
      <c r="BM859" s="102"/>
      <c r="BN859" s="102"/>
      <c r="BP859" s="102"/>
      <c r="BQ859" s="102"/>
      <c r="BR859" s="154"/>
      <c r="BV859" s="102"/>
      <c r="BW859" s="102"/>
    </row>
    <row r="860" spans="45:75" x14ac:dyDescent="0.25">
      <c r="AV860" s="103"/>
      <c r="AW860" s="103"/>
      <c r="AX860" s="103"/>
      <c r="AY860" s="103"/>
      <c r="AZ860" s="336"/>
      <c r="BA860" s="103"/>
      <c r="BB860" s="336"/>
      <c r="BC860" s="103"/>
      <c r="BD860" s="103"/>
      <c r="BE860" s="103"/>
      <c r="BH860" s="103"/>
      <c r="BI860" s="103"/>
      <c r="BJ860" s="103"/>
      <c r="BK860" s="103"/>
      <c r="BL860" s="103"/>
      <c r="BM860" s="103"/>
      <c r="BQ860" s="103"/>
      <c r="BR860" s="103"/>
      <c r="BS860" s="103"/>
      <c r="BT860" s="103"/>
      <c r="BU860" s="103"/>
      <c r="BV860" s="103"/>
    </row>
    <row r="861" spans="45:75" x14ac:dyDescent="0.25">
      <c r="AS861" s="103"/>
      <c r="AU861" s="154"/>
      <c r="AV861" s="103"/>
      <c r="AW861" s="103"/>
      <c r="AX861" s="103"/>
      <c r="AY861" s="103"/>
      <c r="AZ861" s="336"/>
      <c r="BA861" s="103"/>
      <c r="BB861" s="336"/>
      <c r="BC861" s="103"/>
      <c r="BD861" s="103"/>
      <c r="BE861" s="103"/>
      <c r="BG861" s="103"/>
      <c r="BH861" s="103"/>
      <c r="BI861" s="103"/>
      <c r="BJ861" s="103"/>
      <c r="BK861" s="103"/>
      <c r="BL861" s="103"/>
      <c r="BM861" s="103"/>
      <c r="BN861" s="103"/>
      <c r="BP861" s="103"/>
      <c r="BQ861" s="103"/>
      <c r="BR861" s="103"/>
      <c r="BS861" s="103"/>
      <c r="BT861" s="103"/>
      <c r="BU861" s="103"/>
      <c r="BV861" s="103"/>
      <c r="BW861" s="103"/>
    </row>
    <row r="862" spans="45:75" x14ac:dyDescent="0.25">
      <c r="AS862" s="103"/>
      <c r="AU862" s="154"/>
      <c r="AV862" s="103"/>
      <c r="AW862" s="103"/>
      <c r="AX862" s="103"/>
      <c r="AY862" s="103"/>
      <c r="AZ862" s="336"/>
      <c r="BA862" s="103"/>
      <c r="BB862" s="336"/>
      <c r="BC862" s="103"/>
      <c r="BD862" s="103"/>
      <c r="BE862" s="103"/>
      <c r="BG862" s="103"/>
      <c r="BH862" s="103"/>
      <c r="BI862" s="103"/>
      <c r="BJ862" s="103"/>
      <c r="BK862" s="103"/>
      <c r="BL862" s="103"/>
      <c r="BM862" s="103"/>
      <c r="BN862" s="103"/>
      <c r="BP862" s="103"/>
      <c r="BQ862" s="103"/>
      <c r="BR862" s="103"/>
      <c r="BS862" s="103"/>
      <c r="BT862" s="103"/>
      <c r="BU862" s="103"/>
      <c r="BV862" s="103"/>
      <c r="BW862" s="103"/>
    </row>
    <row r="863" spans="45:75" x14ac:dyDescent="0.25">
      <c r="AS863" s="102"/>
      <c r="AT863" s="102"/>
      <c r="AU863" s="102"/>
      <c r="AV863" s="102"/>
      <c r="AW863" s="102"/>
      <c r="AX863" s="102"/>
      <c r="AY863" s="102"/>
      <c r="AZ863" s="335"/>
      <c r="BA863" s="102"/>
      <c r="BB863" s="335"/>
      <c r="BC863" s="102"/>
      <c r="BD863" s="102"/>
      <c r="BE863" s="102"/>
      <c r="BG863" s="102"/>
      <c r="BH863" s="102"/>
      <c r="BI863" s="102"/>
      <c r="BJ863" s="102"/>
      <c r="BK863" s="102"/>
      <c r="BL863" s="102"/>
      <c r="BM863" s="102"/>
      <c r="BN863" s="102"/>
      <c r="BP863" s="102"/>
      <c r="BQ863" s="102"/>
      <c r="BR863" s="102"/>
      <c r="BS863" s="102"/>
      <c r="BT863" s="102"/>
      <c r="BU863" s="102"/>
      <c r="BV863" s="102"/>
      <c r="BW863" s="102"/>
    </row>
    <row r="864" spans="45:75" x14ac:dyDescent="0.25">
      <c r="AV864" s="103"/>
      <c r="AW864" s="103"/>
      <c r="AX864" s="103"/>
      <c r="AY864" s="103"/>
      <c r="AZ864" s="336"/>
      <c r="BA864" s="103"/>
      <c r="BB864" s="336"/>
      <c r="BC864" s="103"/>
      <c r="BD864" s="103"/>
      <c r="BE864" s="103"/>
      <c r="BG864" s="334"/>
      <c r="BH864" s="334"/>
      <c r="BI864" s="334"/>
      <c r="BJ864" s="334"/>
      <c r="BK864" s="334"/>
      <c r="BL864" s="334"/>
      <c r="BM864" s="334"/>
      <c r="BN864" s="334"/>
      <c r="BO864" s="334"/>
      <c r="BP864" s="334"/>
      <c r="BQ864" s="334"/>
      <c r="BR864" s="334"/>
      <c r="BS864" s="334"/>
      <c r="BT864" s="334"/>
      <c r="BU864" s="334"/>
      <c r="BV864" s="334"/>
      <c r="BW864" s="334"/>
    </row>
    <row r="865" spans="45:75" x14ac:dyDescent="0.25">
      <c r="AS865" s="202"/>
      <c r="AU865" s="154"/>
      <c r="AV865" s="202"/>
      <c r="AW865" s="200"/>
      <c r="AX865" s="334"/>
      <c r="AY865" s="334"/>
      <c r="AZ865" s="334"/>
      <c r="BA865" s="201"/>
      <c r="BB865" s="334"/>
      <c r="BC865" s="334"/>
      <c r="BD865" s="334"/>
      <c r="BE865" s="201"/>
      <c r="BG865" s="334"/>
      <c r="BH865" s="334"/>
      <c r="BI865" s="334"/>
      <c r="BJ865" s="334"/>
      <c r="BK865" s="334"/>
      <c r="BL865" s="334"/>
      <c r="BM865" s="334"/>
      <c r="BN865" s="334"/>
      <c r="BO865" s="334"/>
      <c r="BP865" s="334"/>
      <c r="BQ865" s="334"/>
      <c r="BR865" s="334"/>
      <c r="BS865" s="334"/>
      <c r="BT865" s="334"/>
      <c r="BU865" s="334"/>
      <c r="BV865" s="334"/>
      <c r="BW865" s="334"/>
    </row>
    <row r="866" spans="45:75" x14ac:dyDescent="0.25">
      <c r="AS866" s="202"/>
      <c r="AV866" s="202"/>
      <c r="AW866" s="200"/>
      <c r="AX866" s="334"/>
      <c r="AY866" s="334"/>
      <c r="AZ866" s="334"/>
      <c r="BA866" s="201"/>
      <c r="BB866" s="334"/>
      <c r="BC866" s="334"/>
      <c r="BD866" s="334"/>
      <c r="BE866" s="201"/>
      <c r="BG866" s="334"/>
      <c r="BH866" s="334"/>
      <c r="BI866" s="334"/>
      <c r="BJ866" s="334"/>
      <c r="BK866" s="334"/>
      <c r="BL866" s="334"/>
      <c r="BM866" s="334"/>
      <c r="BN866" s="334"/>
      <c r="BO866" s="334"/>
      <c r="BP866" s="334"/>
      <c r="BQ866" s="334"/>
      <c r="BR866" s="334"/>
      <c r="BS866" s="334"/>
      <c r="BT866" s="334"/>
      <c r="BU866" s="334"/>
      <c r="BV866" s="334"/>
      <c r="BW866" s="334"/>
    </row>
    <row r="867" spans="45:75" x14ac:dyDescent="0.25">
      <c r="AS867" s="202"/>
      <c r="AV867" s="202"/>
      <c r="AW867" s="200"/>
      <c r="AX867" s="334"/>
      <c r="AY867" s="334"/>
      <c r="AZ867" s="334"/>
      <c r="BA867" s="201"/>
      <c r="BB867" s="334"/>
      <c r="BC867" s="334"/>
      <c r="BD867" s="334"/>
      <c r="BE867" s="201"/>
      <c r="BG867" s="334"/>
      <c r="BH867" s="334"/>
      <c r="BI867" s="334"/>
      <c r="BJ867" s="334"/>
      <c r="BK867" s="334"/>
      <c r="BL867" s="334"/>
      <c r="BM867" s="334"/>
      <c r="BN867" s="334"/>
      <c r="BO867" s="334"/>
      <c r="BP867" s="334"/>
      <c r="BQ867" s="334"/>
      <c r="BR867" s="334"/>
      <c r="BS867" s="334"/>
      <c r="BT867" s="334"/>
      <c r="BU867" s="334"/>
      <c r="BV867" s="334"/>
      <c r="BW867" s="334"/>
    </row>
    <row r="868" spans="45:75" x14ac:dyDescent="0.25">
      <c r="AS868" s="202"/>
      <c r="AV868" s="202"/>
      <c r="AW868" s="200"/>
      <c r="AX868" s="334"/>
      <c r="AY868" s="334"/>
      <c r="AZ868" s="334"/>
      <c r="BA868" s="201"/>
      <c r="BB868" s="334"/>
      <c r="BC868" s="334"/>
      <c r="BD868" s="334"/>
      <c r="BE868" s="201"/>
      <c r="BG868" s="334"/>
      <c r="BH868" s="334"/>
      <c r="BI868" s="334"/>
      <c r="BJ868" s="334"/>
      <c r="BK868" s="334"/>
      <c r="BL868" s="334"/>
      <c r="BM868" s="334"/>
      <c r="BN868" s="334"/>
      <c r="BO868" s="334"/>
      <c r="BP868" s="334"/>
      <c r="BQ868" s="334"/>
      <c r="BR868" s="334"/>
      <c r="BS868" s="334"/>
      <c r="BT868" s="334"/>
      <c r="BU868" s="334"/>
      <c r="BV868" s="334"/>
      <c r="BW868" s="334"/>
    </row>
    <row r="869" spans="45:75" x14ac:dyDescent="0.25">
      <c r="AS869" s="202"/>
      <c r="AV869" s="202"/>
      <c r="AW869" s="200"/>
      <c r="AX869" s="334"/>
      <c r="AY869" s="334"/>
      <c r="AZ869" s="334"/>
      <c r="BA869" s="201"/>
      <c r="BB869" s="334"/>
      <c r="BC869" s="334"/>
      <c r="BD869" s="334"/>
      <c r="BE869" s="201"/>
      <c r="BG869" s="334"/>
      <c r="BH869" s="334"/>
      <c r="BI869" s="334"/>
      <c r="BJ869" s="334"/>
      <c r="BK869" s="334"/>
      <c r="BL869" s="334"/>
      <c r="BM869" s="334"/>
      <c r="BN869" s="334"/>
      <c r="BO869" s="334"/>
      <c r="BP869" s="334"/>
      <c r="BQ869" s="334"/>
      <c r="BR869" s="334"/>
      <c r="BS869" s="334"/>
      <c r="BT869" s="334"/>
      <c r="BU869" s="334"/>
      <c r="BV869" s="334"/>
      <c r="BW869" s="334"/>
    </row>
    <row r="870" spans="45:75" x14ac:dyDescent="0.25">
      <c r="AS870" s="202"/>
      <c r="AV870" s="202"/>
      <c r="AW870" s="200"/>
      <c r="AX870" s="334"/>
      <c r="AY870" s="334"/>
      <c r="AZ870" s="334"/>
      <c r="BA870" s="201"/>
      <c r="BB870" s="334"/>
      <c r="BC870" s="334"/>
      <c r="BD870" s="334"/>
      <c r="BE870" s="201"/>
      <c r="BG870" s="334"/>
      <c r="BH870" s="334"/>
      <c r="BI870" s="334"/>
      <c r="BJ870" s="334"/>
      <c r="BK870" s="334"/>
      <c r="BL870" s="334"/>
      <c r="BM870" s="334"/>
      <c r="BN870" s="334"/>
      <c r="BO870" s="334"/>
      <c r="BP870" s="334"/>
      <c r="BQ870" s="334"/>
      <c r="BR870" s="334"/>
      <c r="BS870" s="334"/>
      <c r="BT870" s="334"/>
      <c r="BU870" s="334"/>
      <c r="BV870" s="334"/>
      <c r="BW870" s="334"/>
    </row>
    <row r="871" spans="45:75" x14ac:dyDescent="0.25">
      <c r="AS871" s="202"/>
      <c r="AV871" s="202"/>
      <c r="AW871" s="200"/>
      <c r="AX871" s="334"/>
      <c r="AY871" s="334"/>
      <c r="AZ871" s="334"/>
      <c r="BA871" s="201"/>
      <c r="BB871" s="334"/>
      <c r="BC871" s="334"/>
      <c r="BD871" s="334"/>
      <c r="BE871" s="201"/>
      <c r="BG871" s="334"/>
      <c r="BH871" s="334"/>
      <c r="BI871" s="334"/>
      <c r="BJ871" s="334"/>
      <c r="BK871" s="334"/>
      <c r="BL871" s="334"/>
      <c r="BM871" s="334"/>
      <c r="BN871" s="334"/>
      <c r="BO871" s="334"/>
      <c r="BP871" s="334"/>
      <c r="BQ871" s="334"/>
      <c r="BR871" s="334"/>
      <c r="BS871" s="334"/>
      <c r="BT871" s="334"/>
      <c r="BU871" s="334"/>
      <c r="BV871" s="334"/>
      <c r="BW871" s="334"/>
    </row>
    <row r="872" spans="45:75" x14ac:dyDescent="0.25">
      <c r="AS872" s="202"/>
      <c r="AV872" s="202"/>
      <c r="AW872" s="200"/>
      <c r="AX872" s="334"/>
      <c r="AY872" s="334"/>
      <c r="AZ872" s="334"/>
      <c r="BA872" s="201"/>
      <c r="BB872" s="334"/>
      <c r="BC872" s="334"/>
      <c r="BD872" s="334"/>
      <c r="BE872" s="201"/>
      <c r="BG872" s="334"/>
      <c r="BH872" s="334"/>
      <c r="BI872" s="334"/>
      <c r="BJ872" s="334"/>
      <c r="BK872" s="334"/>
      <c r="BL872" s="334"/>
      <c r="BM872" s="334"/>
      <c r="BN872" s="334"/>
      <c r="BO872" s="334"/>
      <c r="BP872" s="334"/>
      <c r="BQ872" s="334"/>
      <c r="BR872" s="334"/>
      <c r="BS872" s="334"/>
      <c r="BT872" s="334"/>
      <c r="BU872" s="334"/>
      <c r="BV872" s="334"/>
      <c r="BW872" s="334"/>
    </row>
    <row r="873" spans="45:75" x14ac:dyDescent="0.25">
      <c r="AS873" s="202"/>
      <c r="AV873" s="202"/>
      <c r="AW873" s="200"/>
      <c r="AX873" s="334"/>
      <c r="AY873" s="334"/>
      <c r="AZ873" s="334"/>
      <c r="BA873" s="201"/>
      <c r="BB873" s="334"/>
      <c r="BC873" s="334"/>
      <c r="BD873" s="334"/>
      <c r="BE873" s="201"/>
      <c r="BG873" s="334"/>
      <c r="BH873" s="334"/>
      <c r="BI873" s="334"/>
      <c r="BJ873" s="334"/>
      <c r="BK873" s="334"/>
      <c r="BL873" s="334"/>
      <c r="BM873" s="334"/>
      <c r="BN873" s="334"/>
      <c r="BO873" s="334"/>
      <c r="BP873" s="334"/>
      <c r="BQ873" s="334"/>
      <c r="BR873" s="334"/>
      <c r="BS873" s="334"/>
      <c r="BT873" s="334"/>
      <c r="BU873" s="334"/>
      <c r="BV873" s="334"/>
      <c r="BW873" s="334"/>
    </row>
    <row r="874" spans="45:75" x14ac:dyDescent="0.25">
      <c r="AS874" s="202"/>
      <c r="AV874" s="202"/>
      <c r="AW874" s="200"/>
      <c r="AX874" s="334"/>
      <c r="AY874" s="334"/>
      <c r="AZ874" s="334"/>
      <c r="BA874" s="201"/>
      <c r="BB874" s="334"/>
      <c r="BC874" s="334"/>
      <c r="BD874" s="334"/>
      <c r="BE874" s="201"/>
      <c r="BG874" s="334"/>
      <c r="BH874" s="334"/>
      <c r="BI874" s="334"/>
      <c r="BJ874" s="334"/>
      <c r="BK874" s="334"/>
      <c r="BL874" s="334"/>
      <c r="BM874" s="334"/>
      <c r="BN874" s="334"/>
      <c r="BO874" s="334"/>
      <c r="BP874" s="334"/>
      <c r="BQ874" s="334"/>
      <c r="BR874" s="334"/>
      <c r="BS874" s="334"/>
      <c r="BT874" s="334"/>
      <c r="BU874" s="334"/>
      <c r="BV874" s="334"/>
      <c r="BW874" s="334"/>
    </row>
    <row r="875" spans="45:75" x14ac:dyDescent="0.25">
      <c r="AS875" s="202"/>
      <c r="AV875" s="202"/>
      <c r="AW875" s="200"/>
      <c r="AX875" s="334"/>
      <c r="AY875" s="334"/>
      <c r="AZ875" s="334"/>
      <c r="BA875" s="201"/>
      <c r="BB875" s="334"/>
      <c r="BC875" s="334"/>
      <c r="BD875" s="334"/>
      <c r="BE875" s="201"/>
      <c r="BG875" s="334"/>
      <c r="BH875" s="334"/>
      <c r="BI875" s="334"/>
      <c r="BJ875" s="334"/>
      <c r="BK875" s="334"/>
      <c r="BL875" s="334"/>
      <c r="BM875" s="334"/>
      <c r="BN875" s="334"/>
      <c r="BO875" s="334"/>
      <c r="BP875" s="334"/>
      <c r="BQ875" s="334"/>
      <c r="BR875" s="334"/>
      <c r="BS875" s="334"/>
      <c r="BT875" s="334"/>
      <c r="BU875" s="334"/>
      <c r="BV875" s="334"/>
      <c r="BW875" s="334"/>
    </row>
    <row r="876" spans="45:75" x14ac:dyDescent="0.25">
      <c r="AS876" s="202"/>
      <c r="AV876" s="202"/>
      <c r="AW876" s="200"/>
      <c r="AX876" s="334"/>
      <c r="AY876" s="334"/>
      <c r="AZ876" s="334"/>
      <c r="BA876" s="201"/>
      <c r="BB876" s="334"/>
      <c r="BC876" s="334"/>
      <c r="BD876" s="334"/>
      <c r="BE876" s="201"/>
      <c r="BG876" s="334"/>
      <c r="BH876" s="334"/>
      <c r="BI876" s="334"/>
      <c r="BJ876" s="334"/>
      <c r="BK876" s="334"/>
      <c r="BL876" s="334"/>
      <c r="BM876" s="334"/>
      <c r="BN876" s="334"/>
      <c r="BO876" s="334"/>
      <c r="BP876" s="334"/>
      <c r="BQ876" s="334"/>
      <c r="BR876" s="334"/>
      <c r="BS876" s="334"/>
      <c r="BT876" s="334"/>
      <c r="BU876" s="334"/>
      <c r="BV876" s="334"/>
      <c r="BW876" s="334"/>
    </row>
    <row r="877" spans="45:75" x14ac:dyDescent="0.25">
      <c r="AS877" s="202"/>
      <c r="AV877" s="202"/>
      <c r="AW877" s="200"/>
      <c r="AX877" s="334"/>
      <c r="AY877" s="334"/>
      <c r="AZ877" s="334"/>
      <c r="BA877" s="201"/>
      <c r="BB877" s="334"/>
      <c r="BC877" s="334"/>
      <c r="BD877" s="334"/>
      <c r="BE877" s="201"/>
      <c r="BG877" s="334"/>
      <c r="BH877" s="334"/>
      <c r="BI877" s="334"/>
      <c r="BJ877" s="334"/>
      <c r="BK877" s="334"/>
      <c r="BL877" s="334"/>
      <c r="BM877" s="334"/>
      <c r="BN877" s="334"/>
      <c r="BO877" s="334"/>
      <c r="BP877" s="334"/>
      <c r="BQ877" s="334"/>
      <c r="BR877" s="334"/>
      <c r="BS877" s="334"/>
      <c r="BT877" s="334"/>
      <c r="BU877" s="334"/>
      <c r="BV877" s="334"/>
      <c r="BW877" s="334"/>
    </row>
    <row r="878" spans="45:75" x14ac:dyDescent="0.25">
      <c r="AS878" s="202"/>
      <c r="AV878" s="202"/>
      <c r="AW878" s="200"/>
      <c r="AX878" s="334"/>
      <c r="AY878" s="334"/>
      <c r="AZ878" s="334"/>
      <c r="BA878" s="201"/>
      <c r="BB878" s="334"/>
      <c r="BC878" s="334"/>
      <c r="BD878" s="334"/>
      <c r="BE878" s="201"/>
      <c r="BG878" s="334"/>
      <c r="BH878" s="334"/>
      <c r="BI878" s="334"/>
      <c r="BJ878" s="334"/>
      <c r="BK878" s="334"/>
      <c r="BL878" s="334"/>
      <c r="BM878" s="334"/>
      <c r="BN878" s="334"/>
      <c r="BO878" s="334"/>
      <c r="BP878" s="334"/>
      <c r="BQ878" s="334"/>
      <c r="BR878" s="334"/>
      <c r="BS878" s="334"/>
      <c r="BT878" s="334"/>
      <c r="BU878" s="334"/>
      <c r="BV878" s="334"/>
      <c r="BW878" s="334"/>
    </row>
    <row r="879" spans="45:75" x14ac:dyDescent="0.25">
      <c r="AS879" s="202"/>
      <c r="AV879" s="202"/>
      <c r="AW879" s="200"/>
      <c r="AX879" s="334"/>
      <c r="AY879" s="334"/>
      <c r="AZ879" s="334"/>
      <c r="BA879" s="201"/>
      <c r="BB879" s="334"/>
      <c r="BC879" s="334"/>
      <c r="BD879" s="334"/>
      <c r="BE879" s="201"/>
      <c r="BG879" s="334"/>
      <c r="BH879" s="334"/>
      <c r="BI879" s="334"/>
      <c r="BJ879" s="334"/>
      <c r="BK879" s="334"/>
      <c r="BL879" s="334"/>
      <c r="BM879" s="334"/>
      <c r="BN879" s="334"/>
      <c r="BO879" s="334"/>
      <c r="BP879" s="334"/>
      <c r="BQ879" s="334"/>
      <c r="BR879" s="334"/>
      <c r="BS879" s="334"/>
      <c r="BT879" s="334"/>
      <c r="BU879" s="334"/>
      <c r="BV879" s="334"/>
      <c r="BW879" s="334"/>
    </row>
    <row r="880" spans="45:75" x14ac:dyDescent="0.25">
      <c r="AS880" s="202"/>
      <c r="AV880" s="202"/>
      <c r="AW880" s="200"/>
      <c r="AX880" s="334"/>
      <c r="AY880" s="334"/>
      <c r="AZ880" s="334"/>
      <c r="BA880" s="201"/>
      <c r="BB880" s="334"/>
      <c r="BC880" s="334"/>
      <c r="BD880" s="334"/>
      <c r="BE880" s="201"/>
      <c r="BG880" s="334"/>
      <c r="BH880" s="334"/>
      <c r="BI880" s="334"/>
      <c r="BJ880" s="334"/>
      <c r="BK880" s="334"/>
      <c r="BL880" s="334"/>
      <c r="BM880" s="334"/>
      <c r="BN880" s="334"/>
      <c r="BO880" s="334"/>
      <c r="BP880" s="334"/>
      <c r="BQ880" s="334"/>
      <c r="BR880" s="334"/>
      <c r="BS880" s="334"/>
      <c r="BT880" s="334"/>
      <c r="BU880" s="334"/>
      <c r="BV880" s="334"/>
      <c r="BW880" s="334"/>
    </row>
    <row r="881" spans="45:75" x14ac:dyDescent="0.25">
      <c r="AS881" s="202"/>
      <c r="AV881" s="202"/>
      <c r="AW881" s="200"/>
      <c r="AX881" s="334"/>
      <c r="AY881" s="334"/>
      <c r="AZ881" s="334"/>
      <c r="BA881" s="201"/>
      <c r="BB881" s="334"/>
      <c r="BC881" s="334"/>
      <c r="BD881" s="334"/>
      <c r="BE881" s="201"/>
      <c r="BG881" s="334"/>
      <c r="BH881" s="334"/>
      <c r="BI881" s="334"/>
      <c r="BJ881" s="334"/>
      <c r="BK881" s="334"/>
      <c r="BL881" s="334"/>
      <c r="BM881" s="334"/>
      <c r="BN881" s="334"/>
      <c r="BO881" s="334"/>
      <c r="BP881" s="334"/>
      <c r="BQ881" s="334"/>
      <c r="BR881" s="334"/>
      <c r="BS881" s="334"/>
      <c r="BT881" s="334"/>
      <c r="BU881" s="334"/>
      <c r="BV881" s="334"/>
      <c r="BW881" s="334"/>
    </row>
    <row r="882" spans="45:75" x14ac:dyDescent="0.25">
      <c r="AS882" s="202"/>
      <c r="AV882" s="202"/>
      <c r="AW882" s="200"/>
      <c r="AX882" s="334"/>
      <c r="AY882" s="334"/>
      <c r="AZ882" s="334"/>
      <c r="BA882" s="201"/>
      <c r="BB882" s="334"/>
      <c r="BC882" s="334"/>
      <c r="BD882" s="334"/>
      <c r="BE882" s="201"/>
      <c r="BG882" s="334"/>
      <c r="BH882" s="334"/>
      <c r="BI882" s="334"/>
      <c r="BJ882" s="334"/>
      <c r="BK882" s="334"/>
      <c r="BL882" s="334"/>
      <c r="BM882" s="334"/>
      <c r="BN882" s="334"/>
      <c r="BO882" s="334"/>
      <c r="BP882" s="334"/>
      <c r="BQ882" s="334"/>
      <c r="BR882" s="334"/>
      <c r="BS882" s="334"/>
      <c r="BT882" s="334"/>
      <c r="BU882" s="334"/>
      <c r="BV882" s="334"/>
      <c r="BW882" s="334"/>
    </row>
    <row r="883" spans="45:75" x14ac:dyDescent="0.25">
      <c r="AS883" s="202"/>
      <c r="AV883" s="202"/>
      <c r="AW883" s="200"/>
      <c r="AX883" s="334"/>
      <c r="AY883" s="334"/>
      <c r="AZ883" s="334"/>
      <c r="BA883" s="201"/>
      <c r="BB883" s="334"/>
      <c r="BC883" s="334"/>
      <c r="BD883" s="334"/>
      <c r="BE883" s="201"/>
      <c r="BG883" s="334"/>
      <c r="BH883" s="334"/>
      <c r="BI883" s="334"/>
      <c r="BJ883" s="334"/>
      <c r="BK883" s="334"/>
      <c r="BL883" s="334"/>
      <c r="BM883" s="334"/>
      <c r="BN883" s="334"/>
      <c r="BO883" s="334"/>
      <c r="BP883" s="334"/>
      <c r="BQ883" s="334"/>
      <c r="BR883" s="334"/>
      <c r="BS883" s="334"/>
      <c r="BT883" s="334"/>
      <c r="BU883" s="334"/>
      <c r="BV883" s="334"/>
      <c r="BW883" s="334"/>
    </row>
    <row r="884" spans="45:75" x14ac:dyDescent="0.25">
      <c r="AS884" s="202"/>
      <c r="AV884" s="202"/>
      <c r="AW884" s="200"/>
      <c r="AX884" s="334"/>
      <c r="AY884" s="334"/>
      <c r="AZ884" s="334"/>
      <c r="BA884" s="201"/>
      <c r="BB884" s="334"/>
      <c r="BC884" s="334"/>
      <c r="BD884" s="334"/>
      <c r="BE884" s="201"/>
      <c r="BG884" s="334"/>
      <c r="BH884" s="334"/>
      <c r="BI884" s="334"/>
      <c r="BJ884" s="334"/>
      <c r="BK884" s="334"/>
      <c r="BL884" s="334"/>
      <c r="BM884" s="334"/>
      <c r="BN884" s="334"/>
      <c r="BO884" s="334"/>
      <c r="BP884" s="334"/>
      <c r="BQ884" s="334"/>
      <c r="BR884" s="334"/>
      <c r="BS884" s="334"/>
      <c r="BT884" s="334"/>
      <c r="BU884" s="334"/>
      <c r="BV884" s="334"/>
      <c r="BW884" s="334"/>
    </row>
    <row r="885" spans="45:75" x14ac:dyDescent="0.25">
      <c r="AS885" s="202"/>
      <c r="AV885" s="202"/>
      <c r="AW885" s="200"/>
      <c r="AX885" s="334"/>
      <c r="AY885" s="334"/>
      <c r="AZ885" s="334"/>
      <c r="BA885" s="201"/>
      <c r="BB885" s="334"/>
      <c r="BC885" s="334"/>
      <c r="BD885" s="334"/>
      <c r="BE885" s="201"/>
      <c r="BG885" s="334"/>
      <c r="BH885" s="334"/>
      <c r="BI885" s="334"/>
      <c r="BJ885" s="334"/>
      <c r="BK885" s="334"/>
      <c r="BL885" s="334"/>
      <c r="BM885" s="334"/>
      <c r="BN885" s="334"/>
      <c r="BO885" s="334"/>
      <c r="BP885" s="334"/>
      <c r="BQ885" s="334"/>
      <c r="BR885" s="334"/>
      <c r="BS885" s="334"/>
      <c r="BT885" s="334"/>
      <c r="BU885" s="334"/>
      <c r="BV885" s="334"/>
      <c r="BW885" s="334"/>
    </row>
    <row r="886" spans="45:75" x14ac:dyDescent="0.25">
      <c r="AW886" s="200"/>
      <c r="AX886" s="334"/>
      <c r="AY886" s="334"/>
      <c r="AZ886" s="334"/>
      <c r="BA886" s="201"/>
      <c r="BB886" s="334"/>
      <c r="BC886" s="334"/>
      <c r="BD886" s="334"/>
      <c r="BE886" s="201"/>
      <c r="BG886" s="102"/>
      <c r="BH886" s="102"/>
      <c r="BI886" s="154"/>
      <c r="BM886" s="102"/>
      <c r="BN886" s="102"/>
      <c r="BO886" s="334"/>
      <c r="BP886" s="102"/>
      <c r="BQ886" s="102"/>
      <c r="BR886" s="154"/>
      <c r="BV886" s="102"/>
      <c r="BW886" s="102"/>
    </row>
    <row r="887" spans="45:75" x14ac:dyDescent="0.25">
      <c r="AS887" s="202"/>
      <c r="AU887" s="154"/>
      <c r="AV887" s="103"/>
      <c r="AW887" s="200"/>
      <c r="AX887" s="334"/>
      <c r="AY887" s="334"/>
      <c r="AZ887" s="334"/>
      <c r="BA887" s="201"/>
      <c r="BB887" s="334"/>
      <c r="BC887" s="334"/>
      <c r="BD887" s="334"/>
      <c r="BE887" s="201"/>
      <c r="BG887" s="336"/>
      <c r="BH887" s="334"/>
      <c r="BI887" s="334"/>
      <c r="BJ887" s="334"/>
      <c r="BK887" s="336"/>
      <c r="BL887" s="337"/>
      <c r="BM887" s="334"/>
      <c r="BN887" s="336"/>
      <c r="BO887" s="334"/>
      <c r="BP887" s="336"/>
      <c r="BQ887" s="334"/>
      <c r="BR887" s="334"/>
      <c r="BS887" s="334"/>
      <c r="BT887" s="336"/>
      <c r="BU887" s="337"/>
      <c r="BV887" s="334"/>
      <c r="BW887" s="336"/>
    </row>
    <row r="888" spans="45:75" x14ac:dyDescent="0.25">
      <c r="AS888" s="202"/>
      <c r="AV888" s="103"/>
      <c r="AW888" s="200"/>
      <c r="AX888" s="334"/>
      <c r="AY888" s="334"/>
      <c r="AZ888" s="334"/>
      <c r="BA888" s="201"/>
      <c r="BB888" s="334"/>
      <c r="BC888" s="334"/>
      <c r="BD888" s="334"/>
      <c r="BE888" s="201"/>
      <c r="BG888" s="334"/>
      <c r="BH888" s="334"/>
      <c r="BI888" s="334"/>
      <c r="BJ888" s="334"/>
      <c r="BK888" s="334"/>
      <c r="BL888" s="337"/>
      <c r="BM888" s="334"/>
      <c r="BN888" s="334"/>
      <c r="BO888" s="334"/>
      <c r="BP888" s="334"/>
      <c r="BQ888" s="334"/>
      <c r="BR888" s="334"/>
      <c r="BS888" s="334"/>
      <c r="BT888" s="334"/>
      <c r="BU888" s="337"/>
      <c r="BV888" s="334"/>
      <c r="BW888" s="334"/>
    </row>
    <row r="889" spans="45:75" x14ac:dyDescent="0.25">
      <c r="AS889" s="202"/>
      <c r="AV889" s="103"/>
      <c r="AW889" s="200"/>
      <c r="AX889" s="334"/>
      <c r="AY889" s="334"/>
      <c r="AZ889" s="334"/>
      <c r="BA889" s="201"/>
      <c r="BB889" s="334"/>
      <c r="BC889" s="334"/>
      <c r="BD889" s="334"/>
      <c r="BE889" s="201"/>
      <c r="BG889" s="334"/>
      <c r="BH889" s="334"/>
      <c r="BI889" s="334"/>
      <c r="BJ889" s="334"/>
      <c r="BK889" s="334"/>
      <c r="BL889" s="337"/>
      <c r="BM889" s="334"/>
      <c r="BN889" s="334"/>
      <c r="BO889" s="334"/>
      <c r="BP889" s="334"/>
      <c r="BQ889" s="334"/>
      <c r="BR889" s="334"/>
      <c r="BS889" s="334"/>
      <c r="BT889" s="334"/>
      <c r="BU889" s="337"/>
      <c r="BV889" s="334"/>
      <c r="BW889" s="334"/>
    </row>
    <row r="890" spans="45:75" x14ac:dyDescent="0.25">
      <c r="AS890" s="202"/>
      <c r="AV890" s="103"/>
      <c r="AW890" s="200"/>
      <c r="AX890" s="334"/>
      <c r="AY890" s="334"/>
      <c r="AZ890" s="334"/>
      <c r="BA890" s="201"/>
      <c r="BB890" s="334"/>
      <c r="BC890" s="334"/>
      <c r="BD890" s="334"/>
      <c r="BE890" s="201"/>
      <c r="BG890" s="334"/>
      <c r="BH890" s="334"/>
      <c r="BI890" s="334"/>
      <c r="BJ890" s="334"/>
      <c r="BK890" s="334"/>
      <c r="BL890" s="337"/>
      <c r="BM890" s="334"/>
      <c r="BN890" s="334"/>
      <c r="BO890" s="334"/>
      <c r="BP890" s="334"/>
      <c r="BQ890" s="334"/>
      <c r="BR890" s="334"/>
      <c r="BS890" s="334"/>
      <c r="BT890" s="334"/>
      <c r="BU890" s="337"/>
      <c r="BV890" s="334"/>
      <c r="BW890" s="334"/>
    </row>
    <row r="891" spans="45:75" x14ac:dyDescent="0.25">
      <c r="AX891" s="334"/>
      <c r="AY891" s="334"/>
      <c r="AZ891" s="334"/>
      <c r="BA891" s="201"/>
      <c r="BB891" s="334"/>
      <c r="BC891" s="334"/>
      <c r="BD891" s="334"/>
      <c r="BE891" s="201"/>
      <c r="BG891" s="334"/>
      <c r="BH891" s="334"/>
      <c r="BI891" s="334"/>
      <c r="BJ891" s="334"/>
      <c r="BK891" s="334"/>
      <c r="BL891" s="334"/>
      <c r="BM891" s="334"/>
      <c r="BN891" s="334"/>
      <c r="BO891" s="334"/>
      <c r="BP891" s="334"/>
      <c r="BQ891" s="334"/>
      <c r="BR891" s="334"/>
      <c r="BS891" s="334"/>
      <c r="BT891" s="334"/>
      <c r="BU891" s="334"/>
      <c r="BV891" s="334"/>
    </row>
    <row r="892" spans="45:75" x14ac:dyDescent="0.25">
      <c r="AU892" s="154"/>
    </row>
    <row r="893" spans="45:75" x14ac:dyDescent="0.25">
      <c r="AU893" s="154"/>
      <c r="AZ893" s="334"/>
      <c r="BA893" s="201"/>
      <c r="BB893" s="334"/>
      <c r="BC893" s="334"/>
      <c r="BD893" s="334"/>
      <c r="BE893" s="201"/>
      <c r="BG893" s="334"/>
      <c r="BH893" s="334"/>
      <c r="BI893" s="334"/>
      <c r="BJ893" s="334"/>
      <c r="BK893" s="334"/>
      <c r="BL893" s="334"/>
      <c r="BM893" s="334"/>
      <c r="BN893" s="334"/>
      <c r="BO893" s="334"/>
      <c r="BP893" s="334"/>
      <c r="BQ893" s="334"/>
      <c r="BR893" s="334"/>
      <c r="BS893" s="334"/>
      <c r="BT893" s="334"/>
      <c r="BU893" s="334"/>
      <c r="BV893" s="334"/>
    </row>
    <row r="894" spans="45:75" x14ac:dyDescent="0.25">
      <c r="AS894" s="154"/>
      <c r="AZ894" s="334"/>
      <c r="BB894" s="334"/>
    </row>
    <row r="895" spans="45:75" x14ac:dyDescent="0.25">
      <c r="AY895" s="202"/>
      <c r="AZ895" s="334"/>
      <c r="BB895" s="334"/>
      <c r="BO895" s="334"/>
      <c r="BP895" s="334"/>
      <c r="BQ895" s="334"/>
      <c r="BR895" s="334"/>
      <c r="BS895" s="334"/>
      <c r="BT895" s="334"/>
      <c r="BU895" s="334"/>
      <c r="BV895" s="334"/>
    </row>
    <row r="896" spans="45:75" x14ac:dyDescent="0.25">
      <c r="AY896" s="334"/>
      <c r="AZ896" s="334"/>
      <c r="BB896" s="334"/>
      <c r="BO896" s="334"/>
      <c r="BP896" s="334"/>
      <c r="BQ896" s="334"/>
      <c r="BR896" s="334"/>
      <c r="BS896" s="334"/>
      <c r="BT896" s="334"/>
      <c r="BU896" s="334"/>
      <c r="BV896" s="334"/>
    </row>
    <row r="897" spans="45:74" x14ac:dyDescent="0.25">
      <c r="AY897" s="154"/>
      <c r="AZ897" s="334"/>
      <c r="BB897" s="334"/>
      <c r="BO897" s="334"/>
      <c r="BP897" s="334"/>
      <c r="BQ897" s="334"/>
      <c r="BR897" s="334"/>
      <c r="BS897" s="334"/>
      <c r="BT897" s="334"/>
      <c r="BU897" s="334"/>
      <c r="BV897" s="334"/>
    </row>
    <row r="898" spans="45:74" x14ac:dyDescent="0.25">
      <c r="AY898" s="154"/>
      <c r="AZ898" s="334"/>
      <c r="BB898" s="334"/>
      <c r="BO898" s="334"/>
      <c r="BP898" s="334"/>
      <c r="BQ898" s="334"/>
      <c r="BR898" s="334"/>
      <c r="BS898" s="334"/>
      <c r="BT898" s="334"/>
      <c r="BU898" s="334"/>
      <c r="BV898" s="334"/>
    </row>
    <row r="899" spans="45:74" x14ac:dyDescent="0.25">
      <c r="AS899" s="202"/>
      <c r="AZ899" s="334"/>
      <c r="BB899" s="334"/>
      <c r="BD899" s="154"/>
      <c r="BO899" s="334"/>
      <c r="BP899" s="334"/>
      <c r="BQ899" s="334"/>
      <c r="BR899" s="334"/>
      <c r="BS899" s="334"/>
      <c r="BT899" s="334"/>
      <c r="BU899" s="334"/>
      <c r="BV899" s="334"/>
    </row>
    <row r="900" spans="45:74" x14ac:dyDescent="0.25">
      <c r="AS900" s="202"/>
      <c r="AZ900" s="334"/>
      <c r="BB900" s="334"/>
      <c r="BD900" s="154"/>
      <c r="BO900" s="334"/>
      <c r="BP900" s="334"/>
      <c r="BQ900" s="334"/>
      <c r="BR900" s="334"/>
      <c r="BS900" s="334"/>
      <c r="BT900" s="334"/>
      <c r="BU900" s="334"/>
      <c r="BV900" s="334"/>
    </row>
    <row r="901" spans="45:74" x14ac:dyDescent="0.25">
      <c r="AS901" s="154"/>
      <c r="AZ901" s="334"/>
      <c r="BB901" s="334"/>
      <c r="BD901" s="154"/>
      <c r="BO901" s="334"/>
      <c r="BP901" s="334"/>
      <c r="BQ901" s="334"/>
      <c r="BR901" s="334"/>
      <c r="BS901" s="334"/>
      <c r="BT901" s="334"/>
      <c r="BU901" s="334"/>
      <c r="BV901" s="334"/>
    </row>
    <row r="902" spans="45:74" x14ac:dyDescent="0.25">
      <c r="AZ902" s="334"/>
      <c r="BB902" s="334"/>
      <c r="BD902" s="202"/>
      <c r="BO902" s="334"/>
      <c r="BP902" s="334"/>
      <c r="BQ902" s="334"/>
      <c r="BR902" s="334"/>
      <c r="BS902" s="334"/>
      <c r="BT902" s="334"/>
      <c r="BU902" s="334"/>
      <c r="BV902" s="334"/>
    </row>
    <row r="903" spans="45:74" x14ac:dyDescent="0.25">
      <c r="AS903" s="102"/>
      <c r="AT903" s="102"/>
      <c r="AU903" s="102"/>
      <c r="AV903" s="102"/>
      <c r="AW903" s="102"/>
      <c r="AX903" s="102"/>
      <c r="AY903" s="102"/>
      <c r="AZ903" s="335"/>
      <c r="BA903" s="102"/>
      <c r="BB903" s="335"/>
      <c r="BC903" s="102"/>
      <c r="BD903" s="102"/>
      <c r="BE903" s="102"/>
      <c r="BO903" s="334"/>
      <c r="BP903" s="334"/>
      <c r="BQ903" s="334"/>
      <c r="BR903" s="334"/>
      <c r="BS903" s="334"/>
      <c r="BT903" s="334"/>
      <c r="BU903" s="334"/>
      <c r="BV903" s="334"/>
    </row>
    <row r="904" spans="45:74" x14ac:dyDescent="0.25">
      <c r="AX904" s="154"/>
      <c r="AZ904" s="334"/>
      <c r="BB904" s="334"/>
      <c r="BO904" s="334"/>
      <c r="BP904" s="334"/>
      <c r="BQ904" s="334"/>
      <c r="BR904" s="334"/>
      <c r="BS904" s="334"/>
      <c r="BT904" s="334"/>
      <c r="BU904" s="334"/>
      <c r="BV904" s="334"/>
    </row>
    <row r="905" spans="45:74" x14ac:dyDescent="0.25">
      <c r="AX905" s="102"/>
      <c r="AY905" s="102"/>
      <c r="AZ905" s="335"/>
      <c r="BA905" s="102"/>
      <c r="BB905" s="334"/>
      <c r="BC905" s="103"/>
      <c r="BD905" s="103"/>
      <c r="BO905" s="334"/>
      <c r="BP905" s="334"/>
      <c r="BQ905" s="334"/>
      <c r="BR905" s="334"/>
      <c r="BS905" s="334"/>
      <c r="BT905" s="334"/>
      <c r="BU905" s="334"/>
      <c r="BV905" s="334"/>
    </row>
    <row r="906" spans="45:74" x14ac:dyDescent="0.25">
      <c r="AV906" s="103"/>
      <c r="AW906" s="103"/>
      <c r="AZ906" s="336"/>
      <c r="BA906" s="103"/>
      <c r="BB906" s="334"/>
      <c r="BC906" s="103"/>
      <c r="BD906" s="103"/>
      <c r="BE906" s="103"/>
      <c r="BG906" s="102"/>
      <c r="BH906" s="154"/>
      <c r="BK906" s="102"/>
      <c r="BM906" s="102"/>
      <c r="BN906" s="154"/>
      <c r="BQ906" s="102"/>
    </row>
    <row r="907" spans="45:74" x14ac:dyDescent="0.25">
      <c r="AV907" s="103"/>
      <c r="AW907" s="103"/>
      <c r="AX907" s="103"/>
      <c r="AY907" s="103"/>
      <c r="AZ907" s="336"/>
      <c r="BA907" s="103"/>
      <c r="BB907" s="336"/>
      <c r="BC907" s="103"/>
      <c r="BD907" s="103"/>
      <c r="BE907" s="103"/>
      <c r="BH907" s="103"/>
      <c r="BI907" s="103"/>
      <c r="BN907" s="103"/>
      <c r="BO907" s="103"/>
    </row>
    <row r="908" spans="45:74" x14ac:dyDescent="0.25">
      <c r="AS908" s="103"/>
      <c r="AU908" s="154"/>
      <c r="AV908" s="103"/>
      <c r="AW908" s="103"/>
      <c r="AX908" s="103"/>
      <c r="AY908" s="103"/>
      <c r="AZ908" s="336"/>
      <c r="BA908" s="103"/>
      <c r="BB908" s="336"/>
      <c r="BC908" s="103"/>
      <c r="BD908" s="103"/>
      <c r="BE908" s="103"/>
      <c r="BG908" s="103"/>
      <c r="BH908" s="103"/>
      <c r="BI908" s="103"/>
      <c r="BJ908" s="103"/>
      <c r="BK908" s="103"/>
      <c r="BM908" s="103"/>
      <c r="BN908" s="103"/>
      <c r="BO908" s="103"/>
      <c r="BP908" s="103"/>
      <c r="BQ908" s="103"/>
    </row>
    <row r="909" spans="45:74" x14ac:dyDescent="0.25">
      <c r="AS909" s="103"/>
      <c r="AU909" s="154"/>
      <c r="AV909" s="103"/>
      <c r="AW909" s="103"/>
      <c r="AX909" s="103"/>
      <c r="AY909" s="103"/>
      <c r="AZ909" s="336"/>
      <c r="BA909" s="103"/>
      <c r="BB909" s="336"/>
      <c r="BC909" s="103"/>
      <c r="BD909" s="103"/>
      <c r="BE909" s="103"/>
      <c r="BG909" s="103"/>
      <c r="BH909" s="103"/>
      <c r="BI909" s="103"/>
      <c r="BJ909" s="103"/>
      <c r="BK909" s="103"/>
      <c r="BM909" s="103"/>
      <c r="BN909" s="103"/>
      <c r="BO909" s="103"/>
      <c r="BP909" s="103"/>
      <c r="BQ909" s="103"/>
    </row>
    <row r="910" spans="45:74" x14ac:dyDescent="0.25">
      <c r="AS910" s="102"/>
      <c r="AT910" s="102"/>
      <c r="AU910" s="102"/>
      <c r="AV910" s="102"/>
      <c r="AW910" s="102"/>
      <c r="AX910" s="102"/>
      <c r="AY910" s="102"/>
      <c r="AZ910" s="335"/>
      <c r="BA910" s="102"/>
      <c r="BB910" s="335"/>
      <c r="BC910" s="102"/>
      <c r="BD910" s="102"/>
      <c r="BE910" s="102"/>
      <c r="BG910" s="102"/>
      <c r="BH910" s="102"/>
      <c r="BI910" s="102"/>
      <c r="BJ910" s="102"/>
      <c r="BK910" s="102"/>
      <c r="BM910" s="102"/>
      <c r="BN910" s="102"/>
      <c r="BO910" s="102"/>
      <c r="BP910" s="102"/>
      <c r="BQ910" s="102"/>
    </row>
    <row r="911" spans="45:74" x14ac:dyDescent="0.25">
      <c r="AV911" s="103"/>
      <c r="AW911" s="103"/>
      <c r="AX911" s="103"/>
      <c r="AY911" s="103"/>
      <c r="AZ911" s="336"/>
      <c r="BA911" s="103"/>
      <c r="BB911" s="336"/>
      <c r="BC911" s="103"/>
      <c r="BD911" s="103"/>
      <c r="BE911" s="103"/>
      <c r="BG911" s="334"/>
      <c r="BH911" s="334"/>
      <c r="BI911" s="334"/>
      <c r="BJ911" s="334"/>
      <c r="BK911" s="334"/>
      <c r="BL911" s="334"/>
      <c r="BM911" s="334"/>
      <c r="BN911" s="334"/>
      <c r="BO911" s="334"/>
      <c r="BP911" s="334"/>
      <c r="BQ911" s="334"/>
    </row>
    <row r="912" spans="45:74" x14ac:dyDescent="0.25">
      <c r="AS912" s="202"/>
      <c r="AT912" s="154"/>
      <c r="AV912" s="200"/>
      <c r="AW912" s="200"/>
      <c r="AX912" s="334"/>
      <c r="AY912" s="334"/>
      <c r="AZ912" s="334"/>
      <c r="BA912" s="201"/>
      <c r="BB912" s="334"/>
      <c r="BC912" s="334"/>
      <c r="BD912" s="334"/>
      <c r="BE912" s="201"/>
      <c r="BG912" s="334"/>
      <c r="BH912" s="334"/>
      <c r="BI912" s="334"/>
      <c r="BJ912" s="334"/>
      <c r="BK912" s="334"/>
      <c r="BL912" s="334"/>
      <c r="BM912" s="334"/>
      <c r="BN912" s="334"/>
      <c r="BO912" s="334"/>
      <c r="BP912" s="334"/>
      <c r="BQ912" s="334"/>
      <c r="BR912" s="334"/>
      <c r="BS912" s="334"/>
    </row>
    <row r="913" spans="45:71" x14ac:dyDescent="0.25">
      <c r="AS913" s="202"/>
      <c r="AV913" s="200"/>
      <c r="AW913" s="200"/>
      <c r="AX913" s="334"/>
      <c r="AY913" s="334"/>
      <c r="AZ913" s="334"/>
      <c r="BA913" s="201"/>
      <c r="BB913" s="334"/>
      <c r="BC913" s="334"/>
      <c r="BD913" s="334"/>
      <c r="BE913" s="201"/>
      <c r="BG913" s="334"/>
      <c r="BH913" s="334"/>
      <c r="BI913" s="334"/>
      <c r="BJ913" s="334"/>
      <c r="BK913" s="334"/>
      <c r="BL913" s="334"/>
      <c r="BM913" s="334"/>
      <c r="BN913" s="334"/>
      <c r="BO913" s="334"/>
      <c r="BP913" s="334"/>
      <c r="BQ913" s="334"/>
      <c r="BR913" s="334"/>
      <c r="BS913" s="334"/>
    </row>
    <row r="914" spans="45:71" x14ac:dyDescent="0.25">
      <c r="AS914" s="202"/>
      <c r="AV914" s="200"/>
      <c r="AW914" s="200"/>
      <c r="AX914" s="334"/>
      <c r="AY914" s="334"/>
      <c r="AZ914" s="334"/>
      <c r="BA914" s="201"/>
      <c r="BB914" s="334"/>
      <c r="BC914" s="334"/>
      <c r="BD914" s="334"/>
      <c r="BE914" s="201"/>
      <c r="BG914" s="334"/>
      <c r="BH914" s="334"/>
      <c r="BI914" s="334"/>
      <c r="BJ914" s="334"/>
      <c r="BK914" s="334"/>
      <c r="BL914" s="334"/>
      <c r="BM914" s="334"/>
      <c r="BN914" s="334"/>
      <c r="BO914" s="334"/>
      <c r="BP914" s="334"/>
      <c r="BQ914" s="334"/>
      <c r="BR914" s="334"/>
      <c r="BS914" s="334"/>
    </row>
    <row r="915" spans="45:71" x14ac:dyDescent="0.25">
      <c r="AS915" s="202"/>
      <c r="AV915" s="200"/>
      <c r="AW915" s="200"/>
      <c r="AX915" s="334"/>
      <c r="AY915" s="334"/>
      <c r="AZ915" s="334"/>
      <c r="BA915" s="201"/>
      <c r="BB915" s="334"/>
      <c r="BC915" s="334"/>
      <c r="BD915" s="334"/>
      <c r="BE915" s="201"/>
      <c r="BG915" s="334"/>
      <c r="BH915" s="334"/>
      <c r="BI915" s="334"/>
      <c r="BJ915" s="334"/>
      <c r="BK915" s="334"/>
      <c r="BL915" s="334"/>
      <c r="BM915" s="334"/>
      <c r="BN915" s="334"/>
      <c r="BO915" s="334"/>
      <c r="BP915" s="334"/>
      <c r="BQ915" s="334"/>
      <c r="BR915" s="334"/>
      <c r="BS915" s="334"/>
    </row>
    <row r="916" spans="45:71" x14ac:dyDescent="0.25">
      <c r="AS916" s="202"/>
      <c r="AV916" s="200"/>
      <c r="AW916" s="200"/>
      <c r="AX916" s="334"/>
      <c r="AY916" s="334"/>
      <c r="AZ916" s="334"/>
      <c r="BA916" s="201"/>
      <c r="BB916" s="334"/>
      <c r="BC916" s="334"/>
      <c r="BD916" s="334"/>
      <c r="BE916" s="201"/>
      <c r="BG916" s="334"/>
      <c r="BH916" s="334"/>
      <c r="BI916" s="334"/>
      <c r="BJ916" s="334"/>
      <c r="BK916" s="334"/>
      <c r="BL916" s="334"/>
      <c r="BM916" s="334"/>
      <c r="BN916" s="334"/>
      <c r="BO916" s="334"/>
      <c r="BP916" s="334"/>
      <c r="BQ916" s="334"/>
      <c r="BR916" s="334"/>
      <c r="BS916" s="334"/>
    </row>
    <row r="917" spans="45:71" x14ac:dyDescent="0.25">
      <c r="AS917" s="202"/>
      <c r="AV917" s="200"/>
      <c r="AW917" s="200"/>
      <c r="AX917" s="334"/>
      <c r="AY917" s="334"/>
      <c r="AZ917" s="334"/>
      <c r="BA917" s="201"/>
      <c r="BB917" s="334"/>
      <c r="BC917" s="334"/>
      <c r="BD917" s="334"/>
      <c r="BE917" s="201"/>
      <c r="BG917" s="334"/>
      <c r="BH917" s="334"/>
      <c r="BI917" s="334"/>
      <c r="BJ917" s="334"/>
      <c r="BK917" s="334"/>
      <c r="BL917" s="334"/>
      <c r="BM917" s="334"/>
      <c r="BN917" s="334"/>
      <c r="BO917" s="334"/>
      <c r="BP917" s="334"/>
      <c r="BQ917" s="334"/>
      <c r="BR917" s="334"/>
      <c r="BS917" s="334"/>
    </row>
    <row r="918" spans="45:71" x14ac:dyDescent="0.25">
      <c r="AS918" s="202"/>
      <c r="AV918" s="200"/>
      <c r="AW918" s="200"/>
      <c r="AX918" s="334"/>
      <c r="AY918" s="334"/>
      <c r="AZ918" s="334"/>
      <c r="BA918" s="201"/>
      <c r="BB918" s="334"/>
      <c r="BC918" s="334"/>
      <c r="BD918" s="334"/>
      <c r="BE918" s="201"/>
      <c r="BG918" s="334"/>
      <c r="BH918" s="334"/>
      <c r="BI918" s="334"/>
      <c r="BJ918" s="334"/>
      <c r="BK918" s="334"/>
      <c r="BL918" s="334"/>
      <c r="BM918" s="334"/>
      <c r="BN918" s="334"/>
      <c r="BO918" s="334"/>
      <c r="BP918" s="334"/>
      <c r="BQ918" s="334"/>
      <c r="BR918" s="334"/>
      <c r="BS918" s="334"/>
    </row>
    <row r="919" spans="45:71" x14ac:dyDescent="0.25">
      <c r="AS919" s="202"/>
      <c r="AV919" s="200"/>
      <c r="AW919" s="200"/>
      <c r="AX919" s="334"/>
      <c r="AY919" s="334"/>
      <c r="AZ919" s="334"/>
      <c r="BA919" s="201"/>
      <c r="BB919" s="334"/>
      <c r="BC919" s="334"/>
      <c r="BD919" s="334"/>
      <c r="BE919" s="201"/>
      <c r="BG919" s="334"/>
      <c r="BH919" s="334"/>
      <c r="BI919" s="334"/>
      <c r="BJ919" s="334"/>
      <c r="BK919" s="334"/>
      <c r="BL919" s="334"/>
      <c r="BM919" s="334"/>
      <c r="BN919" s="334"/>
      <c r="BO919" s="334"/>
      <c r="BP919" s="334"/>
      <c r="BQ919" s="334"/>
      <c r="BR919" s="334"/>
      <c r="BS919" s="334"/>
    </row>
    <row r="920" spans="45:71" x14ac:dyDescent="0.25">
      <c r="AS920" s="202"/>
      <c r="AV920" s="200"/>
      <c r="AW920" s="200"/>
      <c r="AX920" s="334"/>
      <c r="AY920" s="334"/>
      <c r="AZ920" s="334"/>
      <c r="BA920" s="201"/>
      <c r="BB920" s="334"/>
      <c r="BC920" s="334"/>
      <c r="BD920" s="334"/>
      <c r="BE920" s="201"/>
      <c r="BG920" s="334"/>
      <c r="BH920" s="334"/>
      <c r="BI920" s="334"/>
      <c r="BJ920" s="334"/>
      <c r="BK920" s="334"/>
      <c r="BL920" s="334"/>
      <c r="BM920" s="334"/>
      <c r="BN920" s="334"/>
      <c r="BO920" s="334"/>
      <c r="BP920" s="334"/>
      <c r="BQ920" s="334"/>
      <c r="BR920" s="334"/>
      <c r="BS920" s="334"/>
    </row>
    <row r="921" spans="45:71" x14ac:dyDescent="0.25">
      <c r="AS921" s="202"/>
      <c r="AV921" s="200"/>
      <c r="AW921" s="200"/>
      <c r="AX921" s="334"/>
      <c r="AY921" s="334"/>
      <c r="AZ921" s="334"/>
      <c r="BA921" s="201"/>
      <c r="BB921" s="334"/>
      <c r="BC921" s="334"/>
      <c r="BD921" s="334"/>
      <c r="BE921" s="201"/>
      <c r="BG921" s="334"/>
      <c r="BH921" s="334"/>
      <c r="BI921" s="334"/>
      <c r="BJ921" s="334"/>
      <c r="BK921" s="334"/>
      <c r="BL921" s="334"/>
      <c r="BM921" s="334"/>
      <c r="BN921" s="334"/>
      <c r="BO921" s="334"/>
      <c r="BP921" s="334"/>
      <c r="BQ921" s="334"/>
      <c r="BR921" s="334"/>
      <c r="BS921" s="334"/>
    </row>
    <row r="922" spans="45:71" x14ac:dyDescent="0.25">
      <c r="AS922" s="202"/>
      <c r="AV922" s="200"/>
      <c r="AW922" s="200"/>
      <c r="AX922" s="334"/>
      <c r="AY922" s="334"/>
      <c r="AZ922" s="334"/>
      <c r="BA922" s="201"/>
      <c r="BB922" s="334"/>
      <c r="BC922" s="334"/>
      <c r="BD922" s="334"/>
      <c r="BE922" s="201"/>
      <c r="BG922" s="334"/>
      <c r="BH922" s="334"/>
      <c r="BI922" s="334"/>
      <c r="BJ922" s="334"/>
      <c r="BK922" s="334"/>
      <c r="BL922" s="334"/>
      <c r="BM922" s="334"/>
      <c r="BN922" s="334"/>
      <c r="BO922" s="334"/>
      <c r="BP922" s="334"/>
      <c r="BQ922" s="334"/>
      <c r="BR922" s="334"/>
      <c r="BS922" s="334"/>
    </row>
    <row r="923" spans="45:71" x14ac:dyDescent="0.25">
      <c r="AS923" s="202"/>
      <c r="AV923" s="200"/>
      <c r="AW923" s="200"/>
      <c r="AX923" s="334"/>
      <c r="AY923" s="334"/>
      <c r="AZ923" s="334"/>
      <c r="BA923" s="201"/>
      <c r="BB923" s="334"/>
      <c r="BC923" s="334"/>
      <c r="BD923" s="334"/>
      <c r="BE923" s="201"/>
      <c r="BG923" s="334"/>
      <c r="BH923" s="334"/>
      <c r="BI923" s="334"/>
      <c r="BJ923" s="334"/>
      <c r="BK923" s="334"/>
      <c r="BL923" s="334"/>
      <c r="BM923" s="334"/>
      <c r="BN923" s="334"/>
      <c r="BO923" s="334"/>
      <c r="BP923" s="334"/>
      <c r="BQ923" s="334"/>
      <c r="BR923" s="334"/>
      <c r="BS923" s="334"/>
    </row>
    <row r="924" spans="45:71" x14ac:dyDescent="0.25">
      <c r="AS924" s="202"/>
      <c r="AV924" s="200"/>
      <c r="AW924" s="200"/>
      <c r="AX924" s="334"/>
      <c r="AY924" s="334"/>
      <c r="AZ924" s="334"/>
      <c r="BA924" s="201"/>
      <c r="BB924" s="334"/>
      <c r="BC924" s="334"/>
      <c r="BD924" s="334"/>
      <c r="BE924" s="201"/>
      <c r="BG924" s="334"/>
      <c r="BH924" s="334"/>
      <c r="BI924" s="334"/>
      <c r="BJ924" s="334"/>
      <c r="BK924" s="334"/>
      <c r="BL924" s="334"/>
      <c r="BM924" s="334"/>
      <c r="BN924" s="334"/>
      <c r="BO924" s="334"/>
      <c r="BP924" s="334"/>
      <c r="BQ924" s="334"/>
      <c r="BR924" s="334"/>
      <c r="BS924" s="334"/>
    </row>
    <row r="925" spans="45:71" x14ac:dyDescent="0.25">
      <c r="AS925" s="202"/>
      <c r="AV925" s="200"/>
      <c r="AW925" s="200"/>
      <c r="AX925" s="334"/>
      <c r="AY925" s="334"/>
      <c r="AZ925" s="334"/>
      <c r="BA925" s="201"/>
      <c r="BB925" s="334"/>
      <c r="BC925" s="334"/>
      <c r="BD925" s="334"/>
      <c r="BE925" s="201"/>
      <c r="BG925" s="334"/>
      <c r="BH925" s="334"/>
      <c r="BI925" s="334"/>
      <c r="BJ925" s="334"/>
      <c r="BK925" s="334"/>
      <c r="BL925" s="334"/>
      <c r="BM925" s="334"/>
      <c r="BN925" s="334"/>
      <c r="BO925" s="334"/>
      <c r="BP925" s="334"/>
      <c r="BQ925" s="334"/>
      <c r="BR925" s="334"/>
      <c r="BS925" s="334"/>
    </row>
    <row r="926" spans="45:71" x14ac:dyDescent="0.25">
      <c r="AS926" s="202"/>
      <c r="AV926" s="200"/>
      <c r="AW926" s="200"/>
      <c r="AX926" s="334"/>
      <c r="AY926" s="334"/>
      <c r="AZ926" s="334"/>
      <c r="BA926" s="201"/>
      <c r="BB926" s="334"/>
      <c r="BC926" s="334"/>
      <c r="BD926" s="334"/>
      <c r="BE926" s="201"/>
      <c r="BG926" s="334"/>
      <c r="BH926" s="334"/>
      <c r="BI926" s="334"/>
      <c r="BJ926" s="334"/>
      <c r="BK926" s="334"/>
      <c r="BL926" s="334"/>
      <c r="BM926" s="334"/>
      <c r="BN926" s="334"/>
      <c r="BO926" s="334"/>
      <c r="BP926" s="334"/>
      <c r="BQ926" s="334"/>
      <c r="BR926" s="334"/>
      <c r="BS926" s="334"/>
    </row>
    <row r="927" spans="45:71" x14ac:dyDescent="0.25">
      <c r="AS927" s="202"/>
      <c r="AV927" s="200"/>
      <c r="AW927" s="200"/>
      <c r="AX927" s="334"/>
      <c r="AY927" s="334"/>
      <c r="AZ927" s="334"/>
      <c r="BA927" s="201"/>
      <c r="BB927" s="334"/>
      <c r="BC927" s="334"/>
      <c r="BD927" s="334"/>
      <c r="BE927" s="201"/>
      <c r="BG927" s="334"/>
      <c r="BH927" s="334"/>
      <c r="BI927" s="334"/>
      <c r="BJ927" s="334"/>
      <c r="BK927" s="334"/>
      <c r="BL927" s="334"/>
      <c r="BM927" s="334"/>
      <c r="BN927" s="334"/>
      <c r="BO927" s="334"/>
      <c r="BP927" s="334"/>
      <c r="BQ927" s="334"/>
      <c r="BR927" s="334"/>
      <c r="BS927" s="334"/>
    </row>
    <row r="928" spans="45:71" x14ac:dyDescent="0.25">
      <c r="AS928" s="202"/>
      <c r="AV928" s="200"/>
      <c r="AW928" s="200"/>
      <c r="AX928" s="334"/>
      <c r="AY928" s="334"/>
      <c r="AZ928" s="334"/>
      <c r="BA928" s="201"/>
      <c r="BB928" s="334"/>
      <c r="BC928" s="334"/>
      <c r="BD928" s="334"/>
      <c r="BE928" s="201"/>
      <c r="BG928" s="334"/>
      <c r="BH928" s="334"/>
      <c r="BI928" s="334"/>
      <c r="BJ928" s="334"/>
      <c r="BK928" s="334"/>
      <c r="BL928" s="334"/>
      <c r="BM928" s="334"/>
      <c r="BN928" s="334"/>
      <c r="BO928" s="334"/>
      <c r="BP928" s="334"/>
      <c r="BQ928" s="334"/>
      <c r="BR928" s="334"/>
      <c r="BS928" s="334"/>
    </row>
    <row r="929" spans="45:71" x14ac:dyDescent="0.25">
      <c r="AS929" s="202"/>
      <c r="AV929" s="200"/>
      <c r="AW929" s="200"/>
      <c r="AX929" s="334"/>
      <c r="AY929" s="334"/>
      <c r="AZ929" s="334"/>
      <c r="BA929" s="201"/>
      <c r="BB929" s="334"/>
      <c r="BC929" s="334"/>
      <c r="BD929" s="334"/>
      <c r="BE929" s="201"/>
      <c r="BG929" s="334"/>
      <c r="BH929" s="334"/>
      <c r="BI929" s="334"/>
      <c r="BJ929" s="334"/>
      <c r="BK929" s="334"/>
      <c r="BL929" s="334"/>
      <c r="BM929" s="334"/>
      <c r="BN929" s="334"/>
      <c r="BO929" s="334"/>
      <c r="BP929" s="334"/>
      <c r="BQ929" s="334"/>
      <c r="BR929" s="334"/>
      <c r="BS929" s="334"/>
    </row>
    <row r="930" spans="45:71" x14ac:dyDescent="0.25">
      <c r="AZ930" s="334"/>
      <c r="BB930" s="334"/>
      <c r="BC930" s="334"/>
      <c r="BD930" s="334"/>
      <c r="BG930" s="334"/>
      <c r="BH930" s="334"/>
      <c r="BI930" s="334"/>
      <c r="BJ930" s="334"/>
      <c r="BK930" s="334"/>
      <c r="BL930" s="334"/>
      <c r="BM930" s="334"/>
      <c r="BN930" s="334"/>
      <c r="BO930" s="334"/>
      <c r="BP930" s="334"/>
      <c r="BQ930" s="334"/>
      <c r="BR930" s="334"/>
      <c r="BS930" s="334"/>
    </row>
    <row r="931" spans="45:71" x14ac:dyDescent="0.25">
      <c r="AS931" s="202"/>
      <c r="AT931" s="154"/>
      <c r="AV931" s="200"/>
      <c r="AW931" s="200"/>
      <c r="AX931" s="334"/>
      <c r="AY931" s="334"/>
      <c r="AZ931" s="334"/>
      <c r="BA931" s="201"/>
      <c r="BB931" s="334"/>
      <c r="BC931" s="334"/>
      <c r="BD931" s="334"/>
      <c r="BE931" s="201"/>
    </row>
    <row r="932" spans="45:71" x14ac:dyDescent="0.25">
      <c r="AS932" s="202"/>
      <c r="AV932" s="200"/>
      <c r="AW932" s="200"/>
      <c r="AX932" s="334"/>
      <c r="AY932" s="334"/>
      <c r="AZ932" s="334"/>
      <c r="BA932" s="201"/>
      <c r="BB932" s="334"/>
      <c r="BC932" s="334"/>
      <c r="BD932" s="334"/>
      <c r="BE932" s="201"/>
    </row>
    <row r="933" spans="45:71" x14ac:dyDescent="0.25">
      <c r="AS933" s="202"/>
      <c r="AV933" s="200"/>
      <c r="AW933" s="200"/>
      <c r="AX933" s="334"/>
      <c r="AY933" s="334"/>
      <c r="AZ933" s="334"/>
      <c r="BA933" s="201"/>
      <c r="BB933" s="334"/>
      <c r="BC933" s="334"/>
      <c r="BD933" s="334"/>
      <c r="BE933" s="201"/>
    </row>
    <row r="934" spans="45:71" x14ac:dyDescent="0.25">
      <c r="AS934" s="202"/>
      <c r="AV934" s="200"/>
      <c r="AW934" s="200"/>
      <c r="AX934" s="334"/>
      <c r="AY934" s="334"/>
      <c r="AZ934" s="334"/>
      <c r="BA934" s="201"/>
      <c r="BB934" s="334"/>
      <c r="BC934" s="334"/>
      <c r="BD934" s="334"/>
      <c r="BE934" s="201"/>
    </row>
    <row r="935" spans="45:71" x14ac:dyDescent="0.25">
      <c r="AS935" s="202"/>
      <c r="AV935" s="200"/>
      <c r="AW935" s="200"/>
      <c r="AX935" s="334"/>
      <c r="AY935" s="334"/>
      <c r="AZ935" s="334"/>
      <c r="BA935" s="201"/>
      <c r="BB935" s="334"/>
      <c r="BC935" s="334"/>
      <c r="BD935" s="334"/>
      <c r="BE935" s="201"/>
    </row>
    <row r="936" spans="45:71" x14ac:dyDescent="0.25">
      <c r="AS936" s="202"/>
      <c r="AV936" s="200"/>
      <c r="AW936" s="200"/>
      <c r="AX936" s="334"/>
      <c r="AY936" s="334"/>
      <c r="AZ936" s="334"/>
      <c r="BA936" s="201"/>
      <c r="BB936" s="334"/>
      <c r="BC936" s="334"/>
      <c r="BD936" s="334"/>
      <c r="BE936" s="201"/>
    </row>
    <row r="937" spans="45:71" x14ac:dyDescent="0.25">
      <c r="AS937" s="202"/>
      <c r="AV937" s="200"/>
      <c r="AW937" s="200"/>
      <c r="AX937" s="334"/>
      <c r="AY937" s="334"/>
      <c r="AZ937" s="334"/>
      <c r="BA937" s="201"/>
      <c r="BB937" s="334"/>
      <c r="BC937" s="334"/>
      <c r="BD937" s="334"/>
      <c r="BE937" s="201"/>
    </row>
    <row r="938" spans="45:71" x14ac:dyDescent="0.25">
      <c r="AS938" s="202"/>
      <c r="AV938" s="200"/>
      <c r="AW938" s="200"/>
      <c r="AX938" s="334"/>
      <c r="AY938" s="334"/>
      <c r="AZ938" s="334"/>
      <c r="BA938" s="201"/>
      <c r="BB938" s="334"/>
      <c r="BC938" s="334"/>
      <c r="BD938" s="334"/>
      <c r="BE938" s="201"/>
    </row>
    <row r="939" spans="45:71" x14ac:dyDescent="0.25">
      <c r="AS939" s="202"/>
      <c r="AV939" s="200"/>
      <c r="AW939" s="200"/>
      <c r="AX939" s="334"/>
      <c r="AY939" s="334"/>
      <c r="AZ939" s="334"/>
      <c r="BA939" s="201"/>
      <c r="BB939" s="334"/>
      <c r="BC939" s="334"/>
      <c r="BD939" s="334"/>
      <c r="BE939" s="201"/>
    </row>
    <row r="940" spans="45:71" x14ac:dyDescent="0.25">
      <c r="AS940" s="202"/>
      <c r="AV940" s="200"/>
      <c r="AW940" s="200"/>
      <c r="AX940" s="334"/>
      <c r="AY940" s="334"/>
      <c r="AZ940" s="334"/>
      <c r="BA940" s="201"/>
      <c r="BB940" s="334"/>
      <c r="BC940" s="334"/>
      <c r="BD940" s="334"/>
      <c r="BE940" s="201"/>
    </row>
    <row r="941" spans="45:71" x14ac:dyDescent="0.25">
      <c r="AS941" s="202"/>
      <c r="AV941" s="200"/>
      <c r="AW941" s="200"/>
      <c r="AX941" s="334"/>
      <c r="AY941" s="334"/>
      <c r="AZ941" s="334"/>
      <c r="BA941" s="201"/>
      <c r="BB941" s="334"/>
      <c r="BC941" s="334"/>
      <c r="BD941" s="334"/>
      <c r="BE941" s="201"/>
    </row>
    <row r="942" spans="45:71" x14ac:dyDescent="0.25">
      <c r="AS942" s="202"/>
      <c r="AV942" s="200"/>
      <c r="AW942" s="200"/>
      <c r="AX942" s="334"/>
      <c r="AY942" s="334"/>
      <c r="AZ942" s="334"/>
      <c r="BA942" s="201"/>
      <c r="BB942" s="334"/>
      <c r="BC942" s="334"/>
      <c r="BD942" s="334"/>
      <c r="BE942" s="201"/>
    </row>
    <row r="943" spans="45:71" x14ac:dyDescent="0.25">
      <c r="AS943" s="202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4" spans="45:71" x14ac:dyDescent="0.25">
      <c r="AS944" s="202"/>
      <c r="AV944" s="200"/>
      <c r="AW944" s="200"/>
      <c r="AX944" s="334"/>
      <c r="AY944" s="334"/>
      <c r="AZ944" s="334"/>
      <c r="BA944" s="201"/>
      <c r="BB944" s="334"/>
      <c r="BC944" s="334"/>
      <c r="BD944" s="334"/>
      <c r="BE944" s="201"/>
    </row>
    <row r="945" spans="45:57" x14ac:dyDescent="0.25">
      <c r="AS945" s="202"/>
      <c r="AV945" s="200"/>
      <c r="AW945" s="200"/>
      <c r="AX945" s="334"/>
      <c r="AY945" s="334"/>
      <c r="AZ945" s="334"/>
      <c r="BA945" s="201"/>
      <c r="BB945" s="334"/>
      <c r="BC945" s="334"/>
      <c r="BD945" s="334"/>
      <c r="BE945" s="201"/>
    </row>
    <row r="946" spans="45:57" x14ac:dyDescent="0.25">
      <c r="AS946" s="202"/>
      <c r="AV946" s="200"/>
      <c r="AW946" s="200"/>
      <c r="AX946" s="334"/>
      <c r="AY946" s="334"/>
      <c r="AZ946" s="334"/>
      <c r="BA946" s="201"/>
      <c r="BB946" s="334"/>
      <c r="BC946" s="334"/>
      <c r="BD946" s="334"/>
      <c r="BE946" s="201"/>
    </row>
    <row r="947" spans="45:57" x14ac:dyDescent="0.25">
      <c r="AS947" s="202"/>
      <c r="AV947" s="200"/>
      <c r="AW947" s="200"/>
      <c r="AX947" s="334"/>
      <c r="AY947" s="334"/>
      <c r="AZ947" s="334"/>
      <c r="BA947" s="201"/>
      <c r="BB947" s="334"/>
      <c r="BC947" s="334"/>
      <c r="BD947" s="334"/>
      <c r="BE947" s="201"/>
    </row>
    <row r="948" spans="45:57" x14ac:dyDescent="0.25">
      <c r="AS948" s="202"/>
      <c r="AV948" s="200"/>
      <c r="AW948" s="200"/>
      <c r="AX948" s="334"/>
      <c r="AY948" s="334"/>
      <c r="AZ948" s="334"/>
      <c r="BA948" s="201"/>
      <c r="BB948" s="334"/>
      <c r="BC948" s="334"/>
      <c r="BD948" s="334"/>
      <c r="BE948" s="201"/>
    </row>
    <row r="949" spans="45:57" x14ac:dyDescent="0.25">
      <c r="BB949" s="334"/>
    </row>
    <row r="950" spans="45:57" x14ac:dyDescent="0.25">
      <c r="AU950" s="154"/>
      <c r="BB950" s="334"/>
    </row>
    <row r="951" spans="45:57" x14ac:dyDescent="0.25">
      <c r="AU951" s="154"/>
    </row>
    <row r="952" spans="45:57" x14ac:dyDescent="0.25">
      <c r="AU952" s="154"/>
      <c r="BB952" s="334"/>
    </row>
    <row r="953" spans="45:57" x14ac:dyDescent="0.25">
      <c r="AS953" s="154"/>
      <c r="AZ953" s="334"/>
      <c r="BB953" s="334"/>
    </row>
    <row r="954" spans="45:57" x14ac:dyDescent="0.25">
      <c r="AY954" s="202"/>
      <c r="AZ954" s="334"/>
      <c r="BB954" s="334"/>
    </row>
    <row r="955" spans="45:57" x14ac:dyDescent="0.25">
      <c r="AY955" s="334"/>
      <c r="AZ955" s="334"/>
      <c r="BB955" s="334"/>
    </row>
    <row r="956" spans="45:57" x14ac:dyDescent="0.25">
      <c r="AY956" s="154"/>
      <c r="AZ956" s="334"/>
      <c r="BB956" s="334"/>
    </row>
    <row r="957" spans="45:57" x14ac:dyDescent="0.25">
      <c r="AY957" s="154"/>
      <c r="AZ957" s="334"/>
      <c r="BB957" s="334"/>
    </row>
    <row r="958" spans="45:57" x14ac:dyDescent="0.25">
      <c r="AS958" s="202"/>
      <c r="AZ958" s="334"/>
      <c r="BB958" s="334"/>
      <c r="BD958" s="154"/>
    </row>
    <row r="959" spans="45:57" x14ac:dyDescent="0.25">
      <c r="AS959" s="202"/>
      <c r="AZ959" s="334"/>
      <c r="BB959" s="334"/>
      <c r="BD959" s="154"/>
    </row>
    <row r="960" spans="45:57" x14ac:dyDescent="0.25">
      <c r="AS960" s="154"/>
      <c r="AZ960" s="334"/>
      <c r="BB960" s="334"/>
      <c r="BD960" s="154"/>
    </row>
    <row r="961" spans="45:57" x14ac:dyDescent="0.25">
      <c r="AZ961" s="334"/>
      <c r="BB961" s="334"/>
      <c r="BD961" s="202"/>
    </row>
    <row r="962" spans="45:57" x14ac:dyDescent="0.25">
      <c r="AS962" s="102"/>
      <c r="AT962" s="102"/>
      <c r="AU962" s="102"/>
      <c r="AV962" s="102"/>
      <c r="AW962" s="102"/>
      <c r="AX962" s="102"/>
      <c r="AY962" s="102"/>
      <c r="AZ962" s="335"/>
      <c r="BA962" s="102"/>
      <c r="BB962" s="335"/>
      <c r="BC962" s="102"/>
      <c r="BD962" s="102"/>
      <c r="BE962" s="102"/>
    </row>
    <row r="963" spans="45:57" x14ac:dyDescent="0.25">
      <c r="AX963" s="154"/>
      <c r="AZ963" s="334"/>
      <c r="BB963" s="334"/>
    </row>
    <row r="964" spans="45:57" x14ac:dyDescent="0.25">
      <c r="AX964" s="102"/>
      <c r="AY964" s="102"/>
      <c r="AZ964" s="335"/>
      <c r="BA964" s="102"/>
      <c r="BB964" s="334"/>
      <c r="BC964" s="103"/>
      <c r="BD964" s="103"/>
    </row>
    <row r="965" spans="45:57" x14ac:dyDescent="0.25">
      <c r="AV965" s="103"/>
      <c r="AW965" s="103"/>
      <c r="AZ965" s="336"/>
      <c r="BA965" s="103"/>
      <c r="BB965" s="334"/>
      <c r="BC965" s="103"/>
      <c r="BD965" s="103"/>
      <c r="BE965" s="103"/>
    </row>
    <row r="966" spans="45:57" x14ac:dyDescent="0.25">
      <c r="AV966" s="103"/>
      <c r="AW966" s="103"/>
      <c r="AX966" s="103"/>
      <c r="AY966" s="103"/>
      <c r="AZ966" s="336"/>
      <c r="BA966" s="103"/>
      <c r="BB966" s="336"/>
      <c r="BC966" s="103"/>
      <c r="BD966" s="103"/>
      <c r="BE966" s="103"/>
    </row>
    <row r="967" spans="45:57" x14ac:dyDescent="0.25">
      <c r="AS967" s="103"/>
      <c r="AU967" s="154"/>
      <c r="AV967" s="103"/>
      <c r="AW967" s="103"/>
      <c r="AX967" s="103"/>
      <c r="AY967" s="103"/>
      <c r="AZ967" s="336"/>
      <c r="BA967" s="103"/>
      <c r="BB967" s="336"/>
      <c r="BC967" s="103"/>
      <c r="BD967" s="103"/>
      <c r="BE967" s="103"/>
    </row>
    <row r="968" spans="45:57" x14ac:dyDescent="0.25">
      <c r="AS968" s="103"/>
      <c r="AU968" s="154"/>
      <c r="AV968" s="103"/>
      <c r="AW968" s="103"/>
      <c r="AX968" s="103"/>
      <c r="AY968" s="103"/>
      <c r="AZ968" s="336"/>
      <c r="BA968" s="103"/>
      <c r="BB968" s="336"/>
      <c r="BC968" s="103"/>
      <c r="BD968" s="103"/>
      <c r="BE968" s="103"/>
    </row>
    <row r="969" spans="45:57" x14ac:dyDescent="0.25">
      <c r="AS969" s="102"/>
      <c r="AT969" s="102"/>
      <c r="AU969" s="102"/>
      <c r="AV969" s="102"/>
      <c r="AW969" s="102"/>
      <c r="AX969" s="102"/>
      <c r="AY969" s="102"/>
      <c r="AZ969" s="335"/>
      <c r="BA969" s="102"/>
      <c r="BB969" s="335"/>
      <c r="BC969" s="102"/>
      <c r="BD969" s="102"/>
      <c r="BE969" s="102"/>
    </row>
    <row r="970" spans="45:57" x14ac:dyDescent="0.25">
      <c r="AV970" s="103"/>
      <c r="AW970" s="103"/>
      <c r="AX970" s="103"/>
      <c r="AY970" s="103"/>
      <c r="AZ970" s="336"/>
      <c r="BA970" s="103"/>
      <c r="BB970" s="336"/>
      <c r="BC970" s="103"/>
      <c r="BD970" s="103"/>
      <c r="BE970" s="103"/>
    </row>
    <row r="971" spans="45:57" x14ac:dyDescent="0.25">
      <c r="AS971" s="202"/>
      <c r="AT971" s="154"/>
      <c r="AV971" s="200"/>
      <c r="AW971" s="200"/>
      <c r="AX971" s="334"/>
      <c r="AY971" s="334"/>
      <c r="AZ971" s="334"/>
      <c r="BA971" s="201"/>
      <c r="BB971" s="334"/>
      <c r="BC971" s="334"/>
      <c r="BD971" s="334"/>
      <c r="BE971" s="201"/>
    </row>
    <row r="972" spans="45:57" x14ac:dyDescent="0.25">
      <c r="AS972" s="202"/>
      <c r="AV972" s="200"/>
      <c r="AW972" s="200"/>
      <c r="AX972" s="334"/>
      <c r="AY972" s="334"/>
      <c r="AZ972" s="334"/>
      <c r="BA972" s="201"/>
      <c r="BB972" s="334"/>
      <c r="BC972" s="334"/>
      <c r="BD972" s="334"/>
      <c r="BE972" s="201"/>
    </row>
    <row r="973" spans="45:57" x14ac:dyDescent="0.25">
      <c r="AS973" s="202"/>
      <c r="AV973" s="200"/>
      <c r="AW973" s="200"/>
      <c r="AX973" s="334"/>
      <c r="AY973" s="334"/>
      <c r="AZ973" s="334"/>
      <c r="BA973" s="201"/>
      <c r="BB973" s="334"/>
      <c r="BC973" s="334"/>
      <c r="BD973" s="334"/>
      <c r="BE973" s="201"/>
    </row>
    <row r="974" spans="45:57" x14ac:dyDescent="0.25">
      <c r="AS974" s="202"/>
      <c r="AV974" s="200"/>
      <c r="AW974" s="200"/>
      <c r="AX974" s="334"/>
      <c r="AY974" s="334"/>
      <c r="AZ974" s="334"/>
      <c r="BA974" s="201"/>
      <c r="BB974" s="334"/>
      <c r="BC974" s="334"/>
      <c r="BD974" s="334"/>
      <c r="BE974" s="201"/>
    </row>
    <row r="975" spans="45:57" x14ac:dyDescent="0.25">
      <c r="AS975" s="202"/>
      <c r="AV975" s="200"/>
      <c r="AW975" s="200"/>
      <c r="AX975" s="334"/>
      <c r="AY975" s="334"/>
      <c r="AZ975" s="334"/>
      <c r="BA975" s="201"/>
      <c r="BB975" s="334"/>
      <c r="BC975" s="334"/>
      <c r="BD975" s="334"/>
      <c r="BE975" s="201"/>
    </row>
    <row r="976" spans="45:57" x14ac:dyDescent="0.25">
      <c r="AS976" s="202"/>
      <c r="AV976" s="200"/>
      <c r="AW976" s="200"/>
      <c r="AX976" s="334"/>
      <c r="AY976" s="334"/>
      <c r="AZ976" s="334"/>
      <c r="BA976" s="201"/>
      <c r="BB976" s="334"/>
      <c r="BC976" s="334"/>
      <c r="BD976" s="334"/>
      <c r="BE976" s="201"/>
    </row>
    <row r="977" spans="45:57" x14ac:dyDescent="0.25">
      <c r="AS977" s="202"/>
      <c r="AV977" s="200"/>
      <c r="AW977" s="200"/>
      <c r="AX977" s="334"/>
      <c r="AY977" s="334"/>
      <c r="AZ977" s="334"/>
      <c r="BA977" s="201"/>
      <c r="BB977" s="334"/>
      <c r="BC977" s="334"/>
      <c r="BD977" s="334"/>
      <c r="BE977" s="201"/>
    </row>
    <row r="978" spans="45:57" x14ac:dyDescent="0.25">
      <c r="AS978" s="202"/>
      <c r="AV978" s="200"/>
      <c r="AW978" s="200"/>
      <c r="AX978" s="334"/>
      <c r="AY978" s="334"/>
      <c r="AZ978" s="334"/>
      <c r="BA978" s="201"/>
      <c r="BB978" s="334"/>
      <c r="BC978" s="334"/>
      <c r="BD978" s="334"/>
      <c r="BE978" s="201"/>
    </row>
    <row r="979" spans="45:57" x14ac:dyDescent="0.25">
      <c r="AS979" s="202"/>
      <c r="AV979" s="200"/>
      <c r="AW979" s="200"/>
      <c r="AX979" s="334"/>
      <c r="AY979" s="334"/>
      <c r="AZ979" s="334"/>
      <c r="BA979" s="201"/>
      <c r="BB979" s="334"/>
      <c r="BC979" s="334"/>
      <c r="BD979" s="334"/>
      <c r="BE979" s="201"/>
    </row>
    <row r="980" spans="45:57" x14ac:dyDescent="0.25">
      <c r="AS980" s="202"/>
      <c r="AV980" s="200"/>
      <c r="AW980" s="200"/>
      <c r="AX980" s="334"/>
      <c r="AY980" s="334"/>
      <c r="AZ980" s="334"/>
      <c r="BA980" s="201"/>
      <c r="BB980" s="334"/>
      <c r="BC980" s="334"/>
      <c r="BD980" s="334"/>
      <c r="BE980" s="201"/>
    </row>
    <row r="981" spans="45:57" x14ac:dyDescent="0.25">
      <c r="AV981" s="200"/>
      <c r="AW981" s="200"/>
      <c r="BB981" s="334"/>
    </row>
    <row r="982" spans="45:57" x14ac:dyDescent="0.25">
      <c r="AS982" s="202"/>
      <c r="AT982" s="154"/>
      <c r="AV982" s="200"/>
      <c r="AW982" s="200"/>
      <c r="AX982" s="334"/>
      <c r="AY982" s="334"/>
      <c r="AZ982" s="334"/>
      <c r="BA982" s="201"/>
      <c r="BB982" s="334"/>
      <c r="BC982" s="334"/>
      <c r="BD982" s="334"/>
      <c r="BE982" s="201"/>
    </row>
    <row r="983" spans="45:57" x14ac:dyDescent="0.25">
      <c r="AS983" s="202"/>
      <c r="AV983" s="200"/>
      <c r="AW983" s="200"/>
      <c r="AX983" s="334"/>
      <c r="AY983" s="334"/>
      <c r="AZ983" s="334"/>
      <c r="BA983" s="201"/>
      <c r="BB983" s="334"/>
      <c r="BC983" s="334"/>
      <c r="BD983" s="334"/>
      <c r="BE983" s="201"/>
    </row>
    <row r="984" spans="45:57" x14ac:dyDescent="0.25">
      <c r="AS984" s="202"/>
      <c r="AV984" s="200"/>
      <c r="AW984" s="200"/>
      <c r="AX984" s="334"/>
      <c r="AY984" s="334"/>
      <c r="AZ984" s="334"/>
      <c r="BA984" s="201"/>
      <c r="BB984" s="334"/>
      <c r="BC984" s="334"/>
      <c r="BD984" s="334"/>
      <c r="BE984" s="201"/>
    </row>
    <row r="985" spans="45:57" x14ac:dyDescent="0.25">
      <c r="AS985" s="202"/>
      <c r="AV985" s="200"/>
      <c r="AW985" s="200"/>
      <c r="AX985" s="334"/>
      <c r="AY985" s="334"/>
      <c r="AZ985" s="334"/>
      <c r="BA985" s="201"/>
      <c r="BB985" s="334"/>
      <c r="BC985" s="334"/>
      <c r="BD985" s="334"/>
      <c r="BE985" s="201"/>
    </row>
    <row r="986" spans="45:57" x14ac:dyDescent="0.25">
      <c r="AS986" s="202"/>
      <c r="AV986" s="200"/>
      <c r="AW986" s="200"/>
      <c r="AX986" s="334"/>
      <c r="AY986" s="334"/>
      <c r="AZ986" s="334"/>
      <c r="BA986" s="201"/>
      <c r="BB986" s="334"/>
      <c r="BC986" s="334"/>
      <c r="BD986" s="334"/>
      <c r="BE986" s="201"/>
    </row>
    <row r="987" spans="45:57" x14ac:dyDescent="0.25">
      <c r="AS987" s="202"/>
      <c r="AV987" s="200"/>
      <c r="AW987" s="200"/>
      <c r="AX987" s="334"/>
      <c r="AY987" s="334"/>
      <c r="AZ987" s="334"/>
      <c r="BA987" s="201"/>
      <c r="BB987" s="334"/>
      <c r="BC987" s="334"/>
      <c r="BD987" s="334"/>
      <c r="BE987" s="201"/>
    </row>
    <row r="988" spans="45:57" x14ac:dyDescent="0.25">
      <c r="AS988" s="202"/>
      <c r="AV988" s="200"/>
      <c r="AW988" s="200"/>
      <c r="AX988" s="334"/>
      <c r="AY988" s="334"/>
      <c r="AZ988" s="334"/>
      <c r="BA988" s="201"/>
      <c r="BB988" s="334"/>
      <c r="BC988" s="334"/>
      <c r="BD988" s="334"/>
      <c r="BE988" s="201"/>
    </row>
    <row r="989" spans="45:57" x14ac:dyDescent="0.25">
      <c r="AS989" s="202"/>
      <c r="AV989" s="200"/>
      <c r="AW989" s="200"/>
      <c r="AX989" s="334"/>
      <c r="AY989" s="334"/>
      <c r="AZ989" s="334"/>
      <c r="BA989" s="201"/>
      <c r="BB989" s="334"/>
      <c r="BC989" s="334"/>
      <c r="BD989" s="334"/>
      <c r="BE989" s="201"/>
    </row>
    <row r="990" spans="45:57" x14ac:dyDescent="0.25">
      <c r="AS990" s="202"/>
      <c r="AV990" s="200"/>
      <c r="AW990" s="200"/>
      <c r="AX990" s="334"/>
      <c r="AY990" s="334"/>
      <c r="AZ990" s="334"/>
      <c r="BA990" s="201"/>
      <c r="BB990" s="334"/>
      <c r="BC990" s="334"/>
      <c r="BD990" s="334"/>
      <c r="BE990" s="201"/>
    </row>
    <row r="991" spans="45:57" x14ac:dyDescent="0.25">
      <c r="AS991" s="202"/>
      <c r="AV991" s="200"/>
      <c r="AW991" s="200"/>
      <c r="AX991" s="334"/>
      <c r="AY991" s="334"/>
      <c r="AZ991" s="334"/>
      <c r="BA991" s="201"/>
      <c r="BB991" s="334"/>
      <c r="BC991" s="334"/>
      <c r="BD991" s="334"/>
      <c r="BE991" s="201"/>
    </row>
    <row r="993" spans="45:47" x14ac:dyDescent="0.25">
      <c r="AU993" s="154"/>
    </row>
    <row r="994" spans="45:47" x14ac:dyDescent="0.25">
      <c r="AU994" s="154"/>
    </row>
    <row r="995" spans="45:47" x14ac:dyDescent="0.25">
      <c r="AU995" s="154"/>
    </row>
    <row r="996" spans="45:47" x14ac:dyDescent="0.25">
      <c r="AS996" s="154"/>
    </row>
    <row r="1017" spans="52:71" x14ac:dyDescent="0.25">
      <c r="AZ1017" s="334"/>
      <c r="BB1017" s="334"/>
      <c r="BC1017" s="334"/>
      <c r="BD1017" s="334"/>
      <c r="BG1017" s="334"/>
      <c r="BH1017" s="334"/>
      <c r="BI1017" s="334"/>
      <c r="BJ1017" s="334"/>
      <c r="BK1017" s="334"/>
      <c r="BL1017" s="334"/>
      <c r="BM1017" s="334"/>
      <c r="BN1017" s="334"/>
      <c r="BO1017" s="334"/>
      <c r="BP1017" s="334"/>
      <c r="BQ1017" s="334"/>
      <c r="BR1017" s="334"/>
      <c r="BS1017" s="334"/>
    </row>
    <row r="1018" spans="52:71" x14ac:dyDescent="0.25">
      <c r="AZ1018" s="334"/>
      <c r="BB1018" s="334"/>
      <c r="BC1018" s="334"/>
      <c r="BD1018" s="334"/>
      <c r="BG1018" s="334"/>
      <c r="BH1018" s="334"/>
      <c r="BI1018" s="334"/>
      <c r="BJ1018" s="334"/>
      <c r="BK1018" s="334"/>
      <c r="BL1018" s="334"/>
      <c r="BM1018" s="334"/>
      <c r="BN1018" s="334"/>
      <c r="BO1018" s="334"/>
      <c r="BP1018" s="334"/>
      <c r="BQ1018" s="334"/>
      <c r="BR1018" s="334"/>
      <c r="BS1018" s="334"/>
    </row>
    <row r="1019" spans="52:71" x14ac:dyDescent="0.25">
      <c r="AZ1019" s="334"/>
      <c r="BB1019" s="334"/>
      <c r="BC1019" s="334"/>
      <c r="BD1019" s="334"/>
      <c r="BG1019" s="334"/>
      <c r="BH1019" s="334"/>
      <c r="BI1019" s="334"/>
      <c r="BJ1019" s="334"/>
      <c r="BK1019" s="334"/>
      <c r="BL1019" s="334"/>
      <c r="BM1019" s="334"/>
      <c r="BN1019" s="334"/>
      <c r="BO1019" s="334"/>
      <c r="BP1019" s="334"/>
      <c r="BQ1019" s="334"/>
      <c r="BR1019" s="334"/>
      <c r="BS1019" s="334"/>
    </row>
    <row r="1020" spans="52:71" x14ac:dyDescent="0.25">
      <c r="AZ1020" s="334"/>
      <c r="BB1020" s="334"/>
      <c r="BC1020" s="334"/>
      <c r="BD1020" s="334"/>
      <c r="BG1020" s="334"/>
      <c r="BH1020" s="334"/>
      <c r="BI1020" s="334"/>
      <c r="BJ1020" s="334"/>
      <c r="BK1020" s="334"/>
      <c r="BL1020" s="334"/>
      <c r="BM1020" s="334"/>
      <c r="BN1020" s="334"/>
      <c r="BO1020" s="334"/>
      <c r="BP1020" s="334"/>
      <c r="BQ1020" s="334"/>
      <c r="BR1020" s="334"/>
      <c r="BS1020" s="334"/>
    </row>
    <row r="1021" spans="52:71" x14ac:dyDescent="0.25">
      <c r="AZ1021" s="334"/>
      <c r="BB1021" s="334"/>
      <c r="BC1021" s="334"/>
      <c r="BD1021" s="334"/>
      <c r="BG1021" s="334"/>
      <c r="BH1021" s="334"/>
      <c r="BI1021" s="334"/>
      <c r="BJ1021" s="334"/>
      <c r="BK1021" s="334"/>
      <c r="BL1021" s="334"/>
      <c r="BM1021" s="334"/>
      <c r="BN1021" s="334"/>
      <c r="BO1021" s="334"/>
      <c r="BP1021" s="334"/>
      <c r="BQ1021" s="334"/>
      <c r="BR1021" s="334"/>
      <c r="BS1021" s="334"/>
    </row>
    <row r="1022" spans="52:71" x14ac:dyDescent="0.25">
      <c r="AZ1022" s="334"/>
      <c r="BB1022" s="334"/>
      <c r="BC1022" s="334"/>
      <c r="BD1022" s="334"/>
      <c r="BG1022" s="334"/>
      <c r="BH1022" s="334"/>
      <c r="BI1022" s="334"/>
      <c r="BJ1022" s="334"/>
      <c r="BK1022" s="334"/>
      <c r="BL1022" s="334"/>
      <c r="BM1022" s="334"/>
      <c r="BN1022" s="334"/>
      <c r="BO1022" s="334"/>
      <c r="BP1022" s="334"/>
      <c r="BQ1022" s="334"/>
      <c r="BR1022" s="334"/>
      <c r="BS1022" s="334"/>
    </row>
    <row r="1023" spans="52:71" x14ac:dyDescent="0.25">
      <c r="AZ1023" s="334"/>
      <c r="BB1023" s="334"/>
      <c r="BC1023" s="334"/>
      <c r="BD1023" s="334"/>
      <c r="BG1023" s="334"/>
      <c r="BH1023" s="334"/>
      <c r="BI1023" s="334"/>
      <c r="BJ1023" s="334"/>
      <c r="BK1023" s="334"/>
      <c r="BL1023" s="334"/>
      <c r="BM1023" s="334"/>
      <c r="BN1023" s="334"/>
      <c r="BO1023" s="334"/>
      <c r="BP1023" s="334"/>
      <c r="BQ1023" s="334"/>
      <c r="BR1023" s="334"/>
      <c r="BS1023" s="334"/>
    </row>
    <row r="1024" spans="52:71" x14ac:dyDescent="0.25">
      <c r="AZ1024" s="334"/>
      <c r="BB1024" s="334"/>
      <c r="BC1024" s="334"/>
      <c r="BD1024" s="334"/>
      <c r="BG1024" s="334"/>
      <c r="BH1024" s="334"/>
      <c r="BI1024" s="334"/>
      <c r="BJ1024" s="334"/>
      <c r="BK1024" s="334"/>
      <c r="BL1024" s="334"/>
      <c r="BM1024" s="334"/>
      <c r="BN1024" s="334"/>
      <c r="BO1024" s="334"/>
      <c r="BP1024" s="334"/>
      <c r="BQ1024" s="334"/>
      <c r="BR1024" s="334"/>
      <c r="BS1024" s="334"/>
    </row>
    <row r="1025" spans="52:71" x14ac:dyDescent="0.25">
      <c r="AZ1025" s="334"/>
      <c r="BB1025" s="334"/>
      <c r="BC1025" s="334"/>
      <c r="BD1025" s="334"/>
      <c r="BG1025" s="334"/>
      <c r="BH1025" s="334"/>
      <c r="BI1025" s="334"/>
      <c r="BJ1025" s="334"/>
      <c r="BK1025" s="334"/>
      <c r="BL1025" s="334"/>
      <c r="BM1025" s="334"/>
      <c r="BN1025" s="334"/>
      <c r="BO1025" s="334"/>
      <c r="BP1025" s="334"/>
      <c r="BQ1025" s="334"/>
      <c r="BR1025" s="334"/>
      <c r="BS1025" s="334"/>
    </row>
    <row r="1026" spans="52:71" x14ac:dyDescent="0.25">
      <c r="AZ1026" s="334"/>
      <c r="BB1026" s="334"/>
      <c r="BC1026" s="334"/>
      <c r="BD1026" s="334"/>
      <c r="BG1026" s="334"/>
      <c r="BH1026" s="334"/>
      <c r="BI1026" s="334"/>
      <c r="BJ1026" s="334"/>
      <c r="BK1026" s="334"/>
      <c r="BL1026" s="334"/>
      <c r="BM1026" s="334"/>
      <c r="BN1026" s="334"/>
      <c r="BO1026" s="334"/>
      <c r="BP1026" s="334"/>
      <c r="BQ1026" s="334"/>
      <c r="BR1026" s="334"/>
      <c r="BS1026" s="334"/>
    </row>
    <row r="1027" spans="52:71" x14ac:dyDescent="0.25">
      <c r="AZ1027" s="334"/>
      <c r="BB1027" s="334"/>
      <c r="BC1027" s="334"/>
      <c r="BD1027" s="334"/>
      <c r="BG1027" s="334"/>
      <c r="BH1027" s="334"/>
      <c r="BI1027" s="334"/>
      <c r="BJ1027" s="334"/>
      <c r="BK1027" s="334"/>
      <c r="BL1027" s="334"/>
      <c r="BM1027" s="334"/>
      <c r="BN1027" s="334"/>
      <c r="BO1027" s="334"/>
      <c r="BP1027" s="334"/>
      <c r="BQ1027" s="334"/>
      <c r="BR1027" s="334"/>
      <c r="BS1027" s="334"/>
    </row>
    <row r="1028" spans="52:71" x14ac:dyDescent="0.25">
      <c r="AZ1028" s="334"/>
      <c r="BB1028" s="334"/>
      <c r="BC1028" s="334"/>
      <c r="BD1028" s="334"/>
      <c r="BG1028" s="334"/>
      <c r="BH1028" s="334"/>
      <c r="BI1028" s="334"/>
      <c r="BJ1028" s="334"/>
      <c r="BK1028" s="334"/>
      <c r="BL1028" s="334"/>
      <c r="BM1028" s="334"/>
      <c r="BN1028" s="334"/>
      <c r="BO1028" s="334"/>
      <c r="BP1028" s="334"/>
      <c r="BQ1028" s="334"/>
      <c r="BR1028" s="334"/>
      <c r="BS1028" s="334"/>
    </row>
    <row r="1029" spans="52:71" x14ac:dyDescent="0.25">
      <c r="AZ1029" s="334"/>
      <c r="BG1029" s="334"/>
      <c r="BH1029" s="334"/>
      <c r="BI1029" s="334"/>
      <c r="BJ1029" s="334"/>
      <c r="BK1029" s="334"/>
      <c r="BL1029" s="334"/>
      <c r="BM1029" s="334"/>
      <c r="BN1029" s="334"/>
      <c r="BO1029" s="334"/>
      <c r="BP1029" s="334"/>
      <c r="BQ1029" s="334"/>
      <c r="BR1029" s="334"/>
      <c r="BS1029" s="334"/>
    </row>
    <row r="1030" spans="52:71" x14ac:dyDescent="0.25">
      <c r="AZ1030" s="334"/>
      <c r="BG1030" s="334"/>
      <c r="BH1030" s="334"/>
      <c r="BI1030" s="334"/>
      <c r="BJ1030" s="334"/>
      <c r="BK1030" s="334"/>
      <c r="BL1030" s="334"/>
      <c r="BM1030" s="334"/>
      <c r="BN1030" s="334"/>
      <c r="BO1030" s="334"/>
      <c r="BP1030" s="334"/>
      <c r="BQ1030" s="334"/>
      <c r="BR1030" s="334"/>
      <c r="BS1030" s="334"/>
    </row>
    <row r="1031" spans="52:71" x14ac:dyDescent="0.25">
      <c r="AZ1031" s="334"/>
      <c r="BG1031" s="334"/>
      <c r="BH1031" s="334"/>
      <c r="BI1031" s="334"/>
      <c r="BJ1031" s="334"/>
      <c r="BK1031" s="334"/>
      <c r="BL1031" s="334"/>
      <c r="BM1031" s="334"/>
      <c r="BN1031" s="334"/>
      <c r="BO1031" s="334"/>
      <c r="BP1031" s="334"/>
      <c r="BQ1031" s="334"/>
      <c r="BR1031" s="334"/>
      <c r="BS1031" s="334"/>
    </row>
    <row r="1032" spans="52:71" x14ac:dyDescent="0.25">
      <c r="AZ1032" s="334"/>
      <c r="BG1032" s="334"/>
      <c r="BH1032" s="334"/>
      <c r="BI1032" s="334"/>
      <c r="BJ1032" s="334"/>
      <c r="BK1032" s="334"/>
      <c r="BL1032" s="334"/>
      <c r="BM1032" s="334"/>
      <c r="BN1032" s="334"/>
      <c r="BO1032" s="334"/>
      <c r="BP1032" s="334"/>
      <c r="BQ1032" s="334"/>
      <c r="BR1032" s="334"/>
      <c r="BS1032" s="334"/>
    </row>
    <row r="1033" spans="52:71" x14ac:dyDescent="0.25">
      <c r="AZ1033" s="334"/>
      <c r="BG1033" s="334"/>
      <c r="BH1033" s="334"/>
      <c r="BI1033" s="334"/>
      <c r="BJ1033" s="334"/>
      <c r="BK1033" s="334"/>
      <c r="BL1033" s="334"/>
      <c r="BM1033" s="334"/>
      <c r="BN1033" s="334"/>
      <c r="BO1033" s="334"/>
      <c r="BP1033" s="334"/>
      <c r="BQ1033" s="334"/>
      <c r="BR1033" s="334"/>
      <c r="BS1033" s="334"/>
    </row>
    <row r="1034" spans="52:71" x14ac:dyDescent="0.25">
      <c r="AZ1034" s="334"/>
      <c r="BG1034" s="334"/>
      <c r="BH1034" s="334"/>
      <c r="BI1034" s="334"/>
      <c r="BJ1034" s="334"/>
      <c r="BK1034" s="334"/>
      <c r="BL1034" s="334"/>
      <c r="BM1034" s="334"/>
      <c r="BN1034" s="334"/>
      <c r="BO1034" s="334"/>
      <c r="BP1034" s="334"/>
      <c r="BQ1034" s="334"/>
      <c r="BR1034" s="334"/>
      <c r="BS1034" s="334"/>
    </row>
    <row r="1035" spans="52:71" x14ac:dyDescent="0.25">
      <c r="AZ1035" s="334"/>
      <c r="BG1035" s="334"/>
      <c r="BH1035" s="334"/>
      <c r="BI1035" s="334"/>
      <c r="BJ1035" s="334"/>
      <c r="BK1035" s="334"/>
      <c r="BL1035" s="334"/>
      <c r="BM1035" s="334"/>
      <c r="BN1035" s="334"/>
      <c r="BO1035" s="334"/>
      <c r="BP1035" s="334"/>
      <c r="BQ1035" s="334"/>
      <c r="BR1035" s="334"/>
      <c r="BS1035" s="334"/>
    </row>
    <row r="1036" spans="52:71" x14ac:dyDescent="0.25">
      <c r="AZ1036" s="334"/>
    </row>
    <row r="1037" spans="52:71" x14ac:dyDescent="0.25">
      <c r="AZ1037" s="334"/>
    </row>
    <row r="1051" spans="1:28" x14ac:dyDescent="0.25">
      <c r="A1051" s="154"/>
    </row>
    <row r="1054" spans="1:28" x14ac:dyDescent="0.25">
      <c r="Y1054" s="154"/>
    </row>
    <row r="1055" spans="1:28" x14ac:dyDescent="0.25">
      <c r="A1055" s="154"/>
      <c r="H1055" s="154"/>
      <c r="I1055" s="154"/>
    </row>
    <row r="1056" spans="1:28" x14ac:dyDescent="0.25">
      <c r="A1056" s="154"/>
      <c r="V1056" s="103"/>
      <c r="AA1056" s="103"/>
      <c r="AB1056" s="103"/>
    </row>
    <row r="1057" spans="1:28" x14ac:dyDescent="0.25">
      <c r="A1057" s="154"/>
      <c r="V1057" s="102"/>
      <c r="AA1057" s="102"/>
      <c r="AB1057" s="102"/>
    </row>
    <row r="1058" spans="1:28" x14ac:dyDescent="0.25">
      <c r="A1058" s="154"/>
      <c r="U1058" s="154"/>
      <c r="AA1058" s="103"/>
      <c r="AB1058" s="103"/>
    </row>
    <row r="1059" spans="1:28" x14ac:dyDescent="0.25">
      <c r="A1059" s="154"/>
    </row>
    <row r="1060" spans="1:28" x14ac:dyDescent="0.25">
      <c r="A1060" s="154"/>
      <c r="U1060" s="154"/>
      <c r="AA1060" s="103"/>
      <c r="AB1060" s="103"/>
    </row>
    <row r="1061" spans="1:28" x14ac:dyDescent="0.25">
      <c r="A1061" s="154"/>
    </row>
    <row r="1062" spans="1:28" x14ac:dyDescent="0.25">
      <c r="A1062" s="154"/>
      <c r="U1062" s="154"/>
      <c r="V1062" s="338"/>
      <c r="AA1062" s="103"/>
      <c r="AB1062" s="103"/>
    </row>
    <row r="1063" spans="1:28" x14ac:dyDescent="0.25">
      <c r="A1063" s="154"/>
    </row>
    <row r="1064" spans="1:28" x14ac:dyDescent="0.25">
      <c r="A1064" s="154"/>
      <c r="U1064" s="154"/>
      <c r="AA1064" s="103"/>
      <c r="AB1064" s="103"/>
    </row>
    <row r="1065" spans="1:28" x14ac:dyDescent="0.25">
      <c r="A1065" s="154"/>
    </row>
    <row r="1066" spans="1:28" x14ac:dyDescent="0.25">
      <c r="A1066" s="154"/>
      <c r="U1066" s="154"/>
      <c r="AA1066" s="103"/>
      <c r="AB1066" s="103"/>
    </row>
    <row r="1067" spans="1:28" x14ac:dyDescent="0.25">
      <c r="A1067" s="154"/>
    </row>
    <row r="1068" spans="1:28" x14ac:dyDescent="0.25">
      <c r="A1068" s="154"/>
    </row>
    <row r="1069" spans="1:28" x14ac:dyDescent="0.25">
      <c r="A1069" s="154"/>
    </row>
    <row r="1070" spans="1:28" x14ac:dyDescent="0.25">
      <c r="A1070" s="154"/>
    </row>
    <row r="1071" spans="1:28" x14ac:dyDescent="0.25">
      <c r="A1071" s="154"/>
    </row>
    <row r="1072" spans="1:28" x14ac:dyDescent="0.25">
      <c r="A1072" s="154"/>
    </row>
    <row r="1073" spans="1:9" x14ac:dyDescent="0.25">
      <c r="A1073" s="154"/>
    </row>
    <row r="1074" spans="1:9" x14ac:dyDescent="0.25">
      <c r="A1074" s="154"/>
    </row>
    <row r="1075" spans="1:9" x14ac:dyDescent="0.25">
      <c r="A1075" s="154"/>
    </row>
    <row r="1076" spans="1:9" x14ac:dyDescent="0.25">
      <c r="A1076" s="154"/>
    </row>
    <row r="1077" spans="1:9" x14ac:dyDescent="0.25">
      <c r="A1077" s="154"/>
      <c r="H1077" s="154"/>
      <c r="I1077" s="154"/>
    </row>
    <row r="1080" spans="1:9" x14ac:dyDescent="0.25">
      <c r="A1080" s="154"/>
    </row>
    <row r="1083" spans="1:9" x14ac:dyDescent="0.25">
      <c r="A1083" s="154"/>
    </row>
    <row r="1086" spans="1:9" x14ac:dyDescent="0.25">
      <c r="A1086" s="154"/>
    </row>
    <row r="1087" spans="1:9" x14ac:dyDescent="0.25">
      <c r="A1087" s="154"/>
    </row>
    <row r="1088" spans="1:9" x14ac:dyDescent="0.25">
      <c r="A1088" s="154"/>
    </row>
    <row r="1089" spans="1:1" x14ac:dyDescent="0.25">
      <c r="A1089" s="154"/>
    </row>
    <row r="1090" spans="1:1" x14ac:dyDescent="0.25">
      <c r="A1090" s="154"/>
    </row>
    <row r="1091" spans="1:1" x14ac:dyDescent="0.25">
      <c r="A1091" s="154"/>
    </row>
    <row r="1092" spans="1:1" x14ac:dyDescent="0.25">
      <c r="A1092" s="154"/>
    </row>
    <row r="1093" spans="1:1" x14ac:dyDescent="0.25">
      <c r="A1093" s="154"/>
    </row>
    <row r="1094" spans="1:1" x14ac:dyDescent="0.25">
      <c r="A1094" s="154"/>
    </row>
    <row r="1095" spans="1:1" x14ac:dyDescent="0.25">
      <c r="A1095" s="154"/>
    </row>
    <row r="1096" spans="1:1" x14ac:dyDescent="0.25">
      <c r="A1096" s="154"/>
    </row>
    <row r="1097" spans="1:1" x14ac:dyDescent="0.25">
      <c r="A1097" s="154"/>
    </row>
    <row r="1098" spans="1:1" x14ac:dyDescent="0.25">
      <c r="A1098" s="154"/>
    </row>
    <row r="1099" spans="1:1" x14ac:dyDescent="0.25">
      <c r="A1099" s="154"/>
    </row>
    <row r="1100" spans="1:1" x14ac:dyDescent="0.25">
      <c r="A1100" s="154"/>
    </row>
    <row r="1101" spans="1:1" x14ac:dyDescent="0.25">
      <c r="A1101" s="154"/>
    </row>
    <row r="1102" spans="1:1" x14ac:dyDescent="0.25">
      <c r="A1102" s="154"/>
    </row>
    <row r="1103" spans="1:1" x14ac:dyDescent="0.25">
      <c r="A1103" s="154"/>
    </row>
    <row r="1104" spans="1:1" x14ac:dyDescent="0.25">
      <c r="A1104" s="154"/>
    </row>
    <row r="1105" spans="1:1" x14ac:dyDescent="0.25">
      <c r="A1105" s="154"/>
    </row>
    <row r="1106" spans="1:1" x14ac:dyDescent="0.25">
      <c r="A1106" s="154"/>
    </row>
    <row r="1107" spans="1:1" x14ac:dyDescent="0.25">
      <c r="A1107" s="154"/>
    </row>
    <row r="1108" spans="1:1" x14ac:dyDescent="0.25">
      <c r="A1108" s="154"/>
    </row>
    <row r="1109" spans="1:1" x14ac:dyDescent="0.25">
      <c r="A1109" s="154"/>
    </row>
    <row r="1110" spans="1:1" x14ac:dyDescent="0.25">
      <c r="A1110" s="154"/>
    </row>
    <row r="1111" spans="1:1" x14ac:dyDescent="0.25">
      <c r="A1111" s="154"/>
    </row>
    <row r="1112" spans="1:1" x14ac:dyDescent="0.25">
      <c r="A1112" s="154"/>
    </row>
    <row r="1113" spans="1:1" x14ac:dyDescent="0.25">
      <c r="A1113" s="154"/>
    </row>
    <row r="1114" spans="1:1" x14ac:dyDescent="0.25">
      <c r="A1114" s="154"/>
    </row>
    <row r="1115" spans="1:1" x14ac:dyDescent="0.25">
      <c r="A1115" s="154"/>
    </row>
    <row r="1116" spans="1:1" x14ac:dyDescent="0.25">
      <c r="A1116" s="154"/>
    </row>
    <row r="1117" spans="1:1" x14ac:dyDescent="0.25">
      <c r="A1117" s="154"/>
    </row>
    <row r="1118" spans="1:1" x14ac:dyDescent="0.25">
      <c r="A1118" s="154"/>
    </row>
    <row r="1119" spans="1:1" x14ac:dyDescent="0.25">
      <c r="A1119" s="154"/>
    </row>
    <row r="1120" spans="1:1" x14ac:dyDescent="0.25">
      <c r="A1120" s="154"/>
    </row>
    <row r="1125" spans="1:1" x14ac:dyDescent="0.25">
      <c r="A1125" s="154"/>
    </row>
    <row r="1126" spans="1:1" x14ac:dyDescent="0.25">
      <c r="A1126" s="154"/>
    </row>
    <row r="1129" spans="1:1" x14ac:dyDescent="0.25">
      <c r="A1129" s="154"/>
    </row>
    <row r="1131" spans="1:1" x14ac:dyDescent="0.25">
      <c r="A1131" s="154"/>
    </row>
    <row r="1133" spans="1:1" x14ac:dyDescent="0.25">
      <c r="A1133" s="154"/>
    </row>
    <row r="1135" spans="1:1" x14ac:dyDescent="0.25">
      <c r="A1135" s="154"/>
    </row>
    <row r="1138" spans="1:1" x14ac:dyDescent="0.25">
      <c r="A1138" s="154"/>
    </row>
    <row r="1139" spans="1:1" x14ac:dyDescent="0.25">
      <c r="A1139" s="154"/>
    </row>
    <row r="1140" spans="1:1" x14ac:dyDescent="0.25">
      <c r="A1140" s="154"/>
    </row>
    <row r="1141" spans="1:1" x14ac:dyDescent="0.25">
      <c r="A1141" s="154"/>
    </row>
    <row r="1142" spans="1:1" x14ac:dyDescent="0.25">
      <c r="A1142" s="154"/>
    </row>
    <row r="1143" spans="1:1" x14ac:dyDescent="0.25">
      <c r="A1143" s="154"/>
    </row>
    <row r="1144" spans="1:1" x14ac:dyDescent="0.25">
      <c r="A1144" s="154"/>
    </row>
    <row r="1145" spans="1:1" x14ac:dyDescent="0.25">
      <c r="A1145" s="154"/>
    </row>
  </sheetData>
  <customSheetViews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W65">
      <selection activeCell="AE84" sqref="AE8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>
      <selection activeCell="L44" sqref="L4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8"/>
      <headerFooter alignWithMargins="0"/>
    </customSheetView>
    <customSheetView guid="{0BC1F393-8A13-47D5-BC6C-0C99615B5AB9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15">
      <selection activeCell="P22" sqref="P2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71">
      <selection activeCell="P42" sqref="P4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3" transitionEvaluation="1" transitionEntry="1" codeName="Sheet8"/>
  <dimension ref="A1:BW1101"/>
  <sheetViews>
    <sheetView tabSelected="1" view="pageLayout" topLeftCell="A13" zoomScaleNormal="75" workbookViewId="0">
      <selection activeCell="L6" sqref="L6"/>
    </sheetView>
  </sheetViews>
  <sheetFormatPr defaultColWidth="9.77734375" defaultRowHeight="15.75" x14ac:dyDescent="0.25"/>
  <cols>
    <col min="1" max="1" width="5" style="101" customWidth="1"/>
    <col min="2" max="2" width="0.6640625" style="101" customWidth="1"/>
    <col min="3" max="3" width="7.77734375" style="101" customWidth="1"/>
    <col min="4" max="4" width="35.44140625" style="101" customWidth="1"/>
    <col min="5" max="5" width="0.77734375" style="101" customWidth="1"/>
    <col min="6" max="6" width="11.109375" style="101" customWidth="1"/>
    <col min="7" max="7" width="0.6640625" style="101" customWidth="1"/>
    <col min="8" max="8" width="14.5546875" style="101" customWidth="1"/>
    <col min="9" max="9" width="0.6640625" style="101" customWidth="1"/>
    <col min="10" max="10" width="12.6640625" style="101" customWidth="1"/>
    <col min="11" max="11" width="0.6640625" style="101" customWidth="1"/>
    <col min="12" max="12" width="14.6640625" style="101" customWidth="1"/>
    <col min="13" max="13" width="0.33203125" style="101" customWidth="1"/>
    <col min="14" max="14" width="12.77734375" style="101" customWidth="1"/>
    <col min="15" max="15" width="0.5546875" style="101" customWidth="1"/>
    <col min="16" max="16" width="12.77734375" style="101" customWidth="1"/>
    <col min="17" max="17" width="0.5546875" style="101" customWidth="1"/>
    <col min="18" max="18" width="21.6640625" style="101" customWidth="1"/>
    <col min="19" max="19" width="6.6640625" style="101" customWidth="1"/>
    <col min="20" max="20" width="5.21875" style="101" customWidth="1"/>
    <col min="21" max="21" width="0.5546875" style="101" customWidth="1"/>
    <col min="22" max="22" width="9.44140625" style="101" customWidth="1"/>
    <col min="23" max="23" width="36.5546875" style="101" customWidth="1"/>
    <col min="24" max="24" width="0.77734375" style="101" customWidth="1"/>
    <col min="25" max="25" width="9.6640625" style="101" customWidth="1"/>
    <col min="26" max="26" width="0.6640625" style="101" customWidth="1"/>
    <col min="27" max="27" width="13.33203125" style="101" customWidth="1"/>
    <col min="28" max="28" width="0.44140625" style="101" customWidth="1"/>
    <col min="29" max="29" width="11.44140625" style="101" customWidth="1"/>
    <col min="30" max="30" width="0.33203125" style="101" customWidth="1"/>
    <col min="31" max="31" width="12.88671875" style="101" customWidth="1"/>
    <col min="32" max="32" width="0.77734375" style="101" customWidth="1"/>
    <col min="33" max="33" width="13.6640625" style="183" customWidth="1"/>
    <col min="34" max="34" width="0.6640625" style="101" customWidth="1"/>
    <col min="35" max="35" width="14.33203125" style="101" customWidth="1"/>
    <col min="36" max="36" width="0.77734375" style="101" customWidth="1"/>
    <col min="37" max="37" width="14.5546875" style="183" customWidth="1"/>
    <col min="38" max="38" width="0.6640625" style="101" customWidth="1"/>
    <col min="39" max="39" width="12.109375" style="101" customWidth="1"/>
    <col min="40" max="40" width="0.5546875" style="101" customWidth="1"/>
    <col min="41" max="41" width="13.21875" style="101" customWidth="1"/>
    <col min="42" max="42" width="0.6640625" style="101" customWidth="1"/>
    <col min="43" max="43" width="11.21875" style="183" customWidth="1"/>
    <col min="44" max="44" width="14.77734375" style="101" customWidth="1"/>
    <col min="45" max="45" width="4.77734375" style="101" customWidth="1"/>
    <col min="46" max="46" width="5.77734375" style="101" customWidth="1"/>
    <col min="47" max="47" width="10.77734375" style="101" customWidth="1"/>
    <col min="48" max="48" width="11.77734375" style="101" customWidth="1"/>
    <col min="49" max="49" width="12.77734375" style="101" customWidth="1"/>
    <col min="50" max="52" width="15.77734375" style="101" customWidth="1"/>
    <col min="53" max="53" width="12.77734375" style="101" customWidth="1"/>
    <col min="54" max="56" width="15.77734375" style="101" customWidth="1"/>
    <col min="57" max="57" width="12.77734375" style="101" customWidth="1"/>
    <col min="58" max="59" width="9.77734375" style="101"/>
    <col min="60" max="62" width="12.77734375" style="101" customWidth="1"/>
    <col min="63" max="63" width="14.77734375" style="101" customWidth="1"/>
    <col min="64" max="65" width="9.77734375" style="101"/>
    <col min="66" max="68" width="12.77734375" style="101" customWidth="1"/>
    <col min="69" max="69" width="14.77734375" style="101" customWidth="1"/>
    <col min="70" max="76" width="9.77734375" style="101"/>
    <col min="77" max="77" width="1.77734375" style="101" customWidth="1"/>
    <col min="78" max="79" width="9.77734375" style="101"/>
    <col min="80" max="80" width="10.77734375" style="101" customWidth="1"/>
    <col min="81" max="82" width="9.77734375" style="101"/>
    <col min="83" max="83" width="7.77734375" style="101" customWidth="1"/>
    <col min="84" max="16384" width="9.77734375" style="101"/>
  </cols>
  <sheetData>
    <row r="1" spans="1:40" x14ac:dyDescent="0.25">
      <c r="A1" s="150" t="str">
        <f>NAME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87"/>
      <c r="K1" s="187"/>
      <c r="L1" s="150"/>
      <c r="M1" s="150"/>
      <c r="N1" s="150"/>
      <c r="O1" s="150"/>
      <c r="P1" s="150"/>
      <c r="Q1" s="150"/>
      <c r="R1" s="150"/>
      <c r="Z1" s="202"/>
    </row>
    <row r="2" spans="1:40" x14ac:dyDescent="0.25">
      <c r="A2" s="150" t="str">
        <f>CASE_NO</f>
        <v>CASE NO.   2017-00321</v>
      </c>
      <c r="B2" s="150"/>
      <c r="C2" s="150"/>
      <c r="D2" s="150"/>
      <c r="E2" s="150"/>
      <c r="F2" s="150"/>
      <c r="G2" s="150"/>
      <c r="H2" s="150"/>
      <c r="I2" s="150"/>
      <c r="J2" s="187"/>
      <c r="K2" s="187"/>
      <c r="L2" s="150"/>
      <c r="M2" s="150"/>
      <c r="N2" s="150"/>
      <c r="O2" s="150"/>
      <c r="P2" s="150"/>
      <c r="Q2" s="150"/>
      <c r="R2" s="150"/>
      <c r="Z2" s="202"/>
    </row>
    <row r="3" spans="1:40" x14ac:dyDescent="0.25">
      <c r="A3" s="187" t="str">
        <f>TITLE</f>
        <v>ANNUALIZED BASE YEAR REVENUES AT PROPOSED VS. MOST CURRENT RATES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Y3" s="154"/>
    </row>
    <row r="4" spans="1:40" x14ac:dyDescent="0.25">
      <c r="A4" s="150" t="str">
        <f>DATE</f>
        <v>FOR THE TWELVE MONTHS ENDED November 30, 2017</v>
      </c>
      <c r="B4" s="150"/>
      <c r="C4" s="150"/>
      <c r="D4" s="150"/>
      <c r="E4" s="150"/>
      <c r="F4" s="150"/>
      <c r="G4" s="150"/>
      <c r="H4" s="150"/>
      <c r="I4" s="150"/>
      <c r="J4" s="187"/>
      <c r="K4" s="187"/>
      <c r="L4" s="150"/>
      <c r="M4" s="150"/>
      <c r="N4" s="150"/>
      <c r="O4" s="150"/>
      <c r="P4" s="150"/>
      <c r="Q4" s="150"/>
      <c r="R4" s="150"/>
      <c r="Z4" s="202"/>
    </row>
    <row r="5" spans="1:40" x14ac:dyDescent="0.25">
      <c r="A5" s="150" t="str">
        <f>SERVICE</f>
        <v>(ELECTRIC SERVICE)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87"/>
      <c r="M5" s="187"/>
      <c r="N5" s="150"/>
      <c r="O5" s="150"/>
      <c r="P5" s="150"/>
      <c r="Q5" s="150"/>
      <c r="R5" s="150"/>
      <c r="AA5" s="154"/>
      <c r="AB5" s="154"/>
    </row>
    <row r="6" spans="1:40" x14ac:dyDescent="0.25">
      <c r="A6" s="159" t="str">
        <f>DATA_PERIOD</f>
        <v>DATA: __X__ BASE PERIOD   ____FORECASTED PERIOD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2" t="s">
        <v>178</v>
      </c>
      <c r="AK6" s="297"/>
      <c r="AL6" s="154"/>
    </row>
    <row r="7" spans="1:40" x14ac:dyDescent="0.25">
      <c r="A7" s="159" t="str">
        <f>TYPE</f>
        <v>TYPE OF FILING: _X_ ORIGINAL   ___UPDATED  ___ REVISED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1" t="s">
        <v>752</v>
      </c>
      <c r="AK7" s="297"/>
      <c r="AL7" s="154"/>
    </row>
    <row r="8" spans="1:40" x14ac:dyDescent="0.25">
      <c r="A8" s="82" t="s">
        <v>192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2" t="s">
        <v>3</v>
      </c>
      <c r="AK8" s="297"/>
      <c r="AL8" s="154"/>
    </row>
    <row r="9" spans="1:40" x14ac:dyDescent="0.25">
      <c r="A9" s="253" t="str">
        <f>TIME</f>
        <v>6 Months Actual and 6 Months Projected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159" t="str">
        <f>WIT</f>
        <v>B. L. SAILERS</v>
      </c>
      <c r="AK9" s="297"/>
      <c r="AL9" s="154"/>
    </row>
    <row r="10" spans="1:40" x14ac:dyDescent="0.25">
      <c r="A10" s="253" t="str">
        <f>INPUT!B5</f>
        <v>6 Months Actual Ending May 31, 2017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159"/>
      <c r="AK10" s="297"/>
      <c r="AL10" s="154"/>
    </row>
    <row r="11" spans="1:40" x14ac:dyDescent="0.25">
      <c r="A11" s="187" t="s">
        <v>151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AA11" s="154"/>
      <c r="AB11" s="154"/>
      <c r="AK11" s="209"/>
      <c r="AL11" s="202"/>
    </row>
    <row r="12" spans="1:40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208"/>
      <c r="AH12" s="102"/>
      <c r="AI12" s="102"/>
      <c r="AJ12" s="102"/>
      <c r="AK12" s="208"/>
      <c r="AL12" s="102"/>
      <c r="AM12" s="102"/>
      <c r="AN12" s="102"/>
    </row>
    <row r="13" spans="1:40" ht="18" customHeigh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3" t="s">
        <v>6</v>
      </c>
      <c r="M13" s="83"/>
      <c r="N13" s="83" t="s">
        <v>7</v>
      </c>
      <c r="O13" s="83"/>
      <c r="P13" s="80"/>
      <c r="Q13" s="80"/>
      <c r="R13" s="83" t="s">
        <v>6</v>
      </c>
      <c r="AA13" s="103"/>
      <c r="AB13" s="103"/>
      <c r="AC13" s="103"/>
      <c r="AD13" s="103"/>
      <c r="AE13" s="103"/>
      <c r="AF13" s="103"/>
      <c r="AG13" s="185"/>
      <c r="AH13" s="103"/>
      <c r="AK13" s="185"/>
      <c r="AL13" s="103"/>
      <c r="AM13" s="103"/>
      <c r="AN13" s="103"/>
    </row>
    <row r="14" spans="1:40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3" t="s">
        <v>12</v>
      </c>
      <c r="M14" s="83"/>
      <c r="N14" s="83" t="s">
        <v>13</v>
      </c>
      <c r="O14" s="83"/>
      <c r="P14" s="80"/>
      <c r="Q14" s="80"/>
      <c r="R14" s="83" t="s">
        <v>11</v>
      </c>
      <c r="Z14" s="103"/>
      <c r="AA14" s="103"/>
      <c r="AB14" s="103"/>
      <c r="AC14" s="103"/>
      <c r="AD14" s="103"/>
      <c r="AE14" s="103"/>
      <c r="AF14" s="103"/>
      <c r="AG14" s="185"/>
      <c r="AH14" s="103"/>
      <c r="AK14" s="185"/>
      <c r="AL14" s="103"/>
      <c r="AM14" s="103"/>
      <c r="AN14" s="103"/>
    </row>
    <row r="15" spans="1:40" x14ac:dyDescent="0.25">
      <c r="A15" s="83" t="s">
        <v>17</v>
      </c>
      <c r="B15" s="80"/>
      <c r="C15" s="83" t="s">
        <v>18</v>
      </c>
      <c r="D15" s="83" t="s">
        <v>19</v>
      </c>
      <c r="E15" s="83"/>
      <c r="F15" s="83" t="s">
        <v>20</v>
      </c>
      <c r="G15" s="80"/>
      <c r="H15" s="80"/>
      <c r="I15" s="80"/>
      <c r="J15" s="83" t="s">
        <v>6</v>
      </c>
      <c r="K15" s="83"/>
      <c r="L15" s="83" t="s">
        <v>21</v>
      </c>
      <c r="M15" s="83"/>
      <c r="N15" s="83" t="s">
        <v>21</v>
      </c>
      <c r="O15" s="83"/>
      <c r="P15" s="83" t="s">
        <v>21</v>
      </c>
      <c r="Q15" s="83"/>
      <c r="R15" s="83" t="s">
        <v>9</v>
      </c>
      <c r="T15" s="103"/>
      <c r="U15" s="103"/>
      <c r="V15" s="103"/>
      <c r="Z15" s="103"/>
      <c r="AA15" s="103"/>
      <c r="AB15" s="103"/>
      <c r="AC15" s="103"/>
      <c r="AD15" s="103"/>
      <c r="AE15" s="103"/>
      <c r="AF15" s="103"/>
      <c r="AG15" s="185"/>
      <c r="AH15" s="103"/>
      <c r="AI15" s="103"/>
      <c r="AJ15" s="103"/>
      <c r="AK15" s="185"/>
      <c r="AL15" s="103"/>
      <c r="AM15" s="103"/>
      <c r="AN15" s="103"/>
    </row>
    <row r="16" spans="1:40" x14ac:dyDescent="0.25">
      <c r="A16" s="83" t="s">
        <v>24</v>
      </c>
      <c r="B16" s="80"/>
      <c r="C16" s="83" t="s">
        <v>25</v>
      </c>
      <c r="D16" s="83" t="s">
        <v>26</v>
      </c>
      <c r="E16" s="83"/>
      <c r="F16" s="83" t="s">
        <v>27</v>
      </c>
      <c r="G16" s="80"/>
      <c r="H16" s="83" t="s">
        <v>28</v>
      </c>
      <c r="I16" s="83"/>
      <c r="J16" s="83" t="s">
        <v>29</v>
      </c>
      <c r="K16" s="83"/>
      <c r="L16" s="83" t="s">
        <v>9</v>
      </c>
      <c r="M16" s="83"/>
      <c r="N16" s="83" t="s">
        <v>9</v>
      </c>
      <c r="O16" s="83"/>
      <c r="P16" s="83" t="s">
        <v>430</v>
      </c>
      <c r="Q16" s="83"/>
      <c r="R16" s="256" t="s">
        <v>30</v>
      </c>
      <c r="T16" s="103"/>
      <c r="U16" s="103"/>
      <c r="V16" s="103"/>
      <c r="Y16" s="103"/>
      <c r="Z16" s="103"/>
      <c r="AA16" s="103"/>
      <c r="AB16" s="103"/>
      <c r="AC16" s="103"/>
      <c r="AD16" s="103"/>
      <c r="AE16" s="103"/>
      <c r="AF16" s="103"/>
      <c r="AG16" s="185"/>
      <c r="AH16" s="103"/>
      <c r="AI16" s="103"/>
      <c r="AJ16" s="103"/>
      <c r="AK16" s="185"/>
      <c r="AL16" s="103"/>
      <c r="AM16" s="103"/>
      <c r="AN16" s="103"/>
    </row>
    <row r="17" spans="1:40" x14ac:dyDescent="0.25">
      <c r="A17" s="80"/>
      <c r="B17" s="80"/>
      <c r="C17" s="256" t="s">
        <v>35</v>
      </c>
      <c r="D17" s="256" t="s">
        <v>36</v>
      </c>
      <c r="E17" s="256"/>
      <c r="F17" s="256" t="s">
        <v>37</v>
      </c>
      <c r="G17" s="258"/>
      <c r="H17" s="256" t="s">
        <v>38</v>
      </c>
      <c r="I17" s="256"/>
      <c r="J17" s="256" t="s">
        <v>39</v>
      </c>
      <c r="K17" s="256"/>
      <c r="L17" s="256" t="s">
        <v>40</v>
      </c>
      <c r="M17" s="256"/>
      <c r="N17" s="256" t="s">
        <v>41</v>
      </c>
      <c r="O17" s="256"/>
      <c r="P17" s="256" t="s">
        <v>42</v>
      </c>
      <c r="Q17" s="256"/>
      <c r="R17" s="256" t="s">
        <v>43</v>
      </c>
      <c r="T17" s="103"/>
      <c r="U17" s="103"/>
      <c r="V17" s="103"/>
      <c r="Y17" s="103"/>
      <c r="Z17" s="103"/>
      <c r="AA17" s="103"/>
      <c r="AB17" s="103"/>
      <c r="AC17" s="103"/>
      <c r="AD17" s="103"/>
      <c r="AE17" s="103"/>
      <c r="AF17" s="103"/>
      <c r="AG17" s="185"/>
      <c r="AH17" s="103"/>
      <c r="AI17" s="103"/>
      <c r="AJ17" s="103"/>
      <c r="AK17" s="185"/>
      <c r="AL17" s="103"/>
      <c r="AM17" s="103"/>
      <c r="AN17" s="103"/>
    </row>
    <row r="18" spans="1:40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208"/>
      <c r="AH18" s="102"/>
      <c r="AI18" s="102"/>
      <c r="AJ18" s="102"/>
      <c r="AK18" s="208"/>
      <c r="AL18" s="102"/>
      <c r="AM18" s="102"/>
      <c r="AN18" s="102"/>
    </row>
    <row r="19" spans="1:40" ht="17.100000000000001" customHeight="1" x14ac:dyDescent="0.25">
      <c r="A19" s="80"/>
      <c r="B19" s="80"/>
      <c r="C19" s="80"/>
      <c r="D19" s="80"/>
      <c r="E19" s="80"/>
      <c r="F19" s="80"/>
      <c r="G19" s="80"/>
      <c r="H19" s="260" t="s">
        <v>218</v>
      </c>
      <c r="I19" s="259"/>
      <c r="J19" s="260" t="s">
        <v>441</v>
      </c>
      <c r="K19" s="259"/>
      <c r="L19" s="259" t="s">
        <v>52</v>
      </c>
      <c r="M19" s="259"/>
      <c r="N19" s="259" t="s">
        <v>53</v>
      </c>
      <c r="O19" s="259"/>
      <c r="P19" s="259" t="s">
        <v>52</v>
      </c>
      <c r="Q19" s="259"/>
      <c r="R19" s="259" t="s">
        <v>52</v>
      </c>
      <c r="Y19" s="103"/>
      <c r="Z19" s="103"/>
      <c r="AA19" s="103"/>
      <c r="AB19" s="103"/>
      <c r="AC19" s="103"/>
      <c r="AD19" s="103"/>
      <c r="AE19" s="103"/>
      <c r="AF19" s="103"/>
      <c r="AG19" s="185"/>
      <c r="AH19" s="103"/>
      <c r="AI19" s="103"/>
      <c r="AJ19" s="103"/>
      <c r="AK19" s="185"/>
      <c r="AL19" s="103"/>
      <c r="AM19" s="103"/>
      <c r="AN19" s="103"/>
    </row>
    <row r="20" spans="1:40" x14ac:dyDescent="0.25">
      <c r="A20" s="159">
        <v>1</v>
      </c>
      <c r="B20" s="80"/>
      <c r="C20" s="253" t="s">
        <v>491</v>
      </c>
      <c r="D20" s="253" t="s">
        <v>488</v>
      </c>
      <c r="E20" s="82"/>
      <c r="F20" s="70"/>
      <c r="G20" s="70"/>
      <c r="H20" s="298"/>
      <c r="I20" s="298"/>
      <c r="J20" s="299" t="s">
        <v>435</v>
      </c>
      <c r="K20" s="298"/>
      <c r="L20" s="298"/>
      <c r="M20" s="298"/>
      <c r="N20" s="298"/>
      <c r="O20" s="298"/>
      <c r="P20" s="315"/>
      <c r="Q20" s="315"/>
      <c r="R20" s="315"/>
      <c r="T20" s="154"/>
      <c r="U20" s="154"/>
    </row>
    <row r="21" spans="1:40" x14ac:dyDescent="0.25">
      <c r="A21" s="159">
        <v>2</v>
      </c>
      <c r="B21" s="80"/>
      <c r="C21" s="253" t="s">
        <v>56</v>
      </c>
      <c r="D21" s="80"/>
      <c r="E21" s="8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85"/>
      <c r="Q21" s="85"/>
      <c r="R21" s="85"/>
      <c r="T21" s="154"/>
    </row>
    <row r="22" spans="1:40" x14ac:dyDescent="0.25">
      <c r="A22" s="159">
        <v>3</v>
      </c>
      <c r="B22" s="80"/>
      <c r="C22" s="253" t="s">
        <v>155</v>
      </c>
      <c r="D22" s="80"/>
      <c r="E22" s="8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85"/>
      <c r="Q22" s="85"/>
      <c r="R22" s="85"/>
      <c r="S22" s="200"/>
      <c r="T22" s="154"/>
      <c r="V22" s="200"/>
      <c r="Y22" s="200"/>
      <c r="Z22" s="300"/>
      <c r="AA22" s="200"/>
      <c r="AB22" s="200"/>
      <c r="AC22" s="210"/>
      <c r="AD22" s="210"/>
      <c r="AE22" s="200"/>
      <c r="AF22" s="200"/>
      <c r="AG22" s="209"/>
      <c r="AH22" s="210"/>
      <c r="AI22" s="200"/>
      <c r="AJ22" s="200"/>
      <c r="AK22" s="209"/>
      <c r="AL22" s="200"/>
      <c r="AM22" s="210"/>
      <c r="AN22" s="210"/>
    </row>
    <row r="23" spans="1:40" x14ac:dyDescent="0.25">
      <c r="A23" s="159">
        <v>4</v>
      </c>
      <c r="B23" s="80"/>
      <c r="C23" s="82" t="s">
        <v>166</v>
      </c>
      <c r="D23" s="80"/>
      <c r="E23" s="80"/>
      <c r="F23" s="225">
        <v>148</v>
      </c>
      <c r="G23" s="70"/>
      <c r="H23" s="78"/>
      <c r="I23" s="70"/>
      <c r="J23" s="283">
        <f>INPUT!D70</f>
        <v>465</v>
      </c>
      <c r="K23" s="70"/>
      <c r="L23" s="79">
        <f>ROUND(+F23*J23,0)</f>
        <v>68820</v>
      </c>
      <c r="M23" s="70"/>
      <c r="N23" s="166">
        <f>ROUND((+L23/$L$65)*100,1)</f>
        <v>0.2</v>
      </c>
      <c r="O23" s="70"/>
      <c r="P23" s="79"/>
      <c r="Q23" s="271"/>
      <c r="R23" s="79">
        <f>L23+P23</f>
        <v>68820</v>
      </c>
      <c r="S23" s="200"/>
      <c r="T23" s="154"/>
      <c r="V23" s="200"/>
      <c r="Y23" s="200"/>
      <c r="Z23" s="304"/>
      <c r="AA23" s="200"/>
      <c r="AB23" s="200"/>
      <c r="AC23" s="210"/>
      <c r="AD23" s="210"/>
      <c r="AE23" s="200"/>
      <c r="AF23" s="200"/>
      <c r="AG23" s="209"/>
      <c r="AH23" s="210"/>
      <c r="AI23" s="200"/>
      <c r="AJ23" s="200"/>
      <c r="AK23" s="209"/>
      <c r="AL23" s="200"/>
      <c r="AM23" s="210"/>
      <c r="AN23" s="210"/>
    </row>
    <row r="24" spans="1:40" ht="20.100000000000001" customHeight="1" x14ac:dyDescent="0.25">
      <c r="A24" s="159">
        <v>5</v>
      </c>
      <c r="B24" s="80"/>
      <c r="C24" s="253" t="s">
        <v>158</v>
      </c>
      <c r="D24" s="80"/>
      <c r="E24" s="80"/>
      <c r="F24" s="169">
        <f>SUM(F23:F23)</f>
        <v>148</v>
      </c>
      <c r="G24" s="70"/>
      <c r="H24" s="79"/>
      <c r="I24" s="70"/>
      <c r="J24" s="268"/>
      <c r="K24" s="70"/>
      <c r="L24" s="169">
        <f>SUM(L23:L23)</f>
        <v>68820</v>
      </c>
      <c r="M24" s="70"/>
      <c r="N24" s="170">
        <f>ROUND((+L24/$L$65)*100,1)</f>
        <v>0.2</v>
      </c>
      <c r="O24" s="70"/>
      <c r="P24" s="169"/>
      <c r="Q24" s="163"/>
      <c r="R24" s="169">
        <f>SUM(R23:R23)</f>
        <v>68820</v>
      </c>
      <c r="S24" s="200"/>
      <c r="V24" s="211"/>
      <c r="Y24" s="211"/>
      <c r="Z24" s="305"/>
      <c r="AA24" s="211"/>
      <c r="AB24" s="211"/>
      <c r="AC24" s="211"/>
      <c r="AD24" s="211"/>
      <c r="AE24" s="211"/>
      <c r="AF24" s="211"/>
      <c r="AI24" s="211"/>
      <c r="AJ24" s="211"/>
      <c r="AK24" s="212"/>
      <c r="AL24" s="211"/>
      <c r="AM24" s="210"/>
      <c r="AN24" s="210"/>
    </row>
    <row r="25" spans="1:40" x14ac:dyDescent="0.25">
      <c r="A25" s="159">
        <v>6</v>
      </c>
      <c r="B25" s="80"/>
      <c r="C25" s="253" t="s">
        <v>65</v>
      </c>
      <c r="D25" s="80"/>
      <c r="E25" s="80"/>
      <c r="F25" s="78"/>
      <c r="G25" s="70"/>
      <c r="H25" s="78"/>
      <c r="I25" s="70"/>
      <c r="J25" s="339"/>
      <c r="K25" s="70"/>
      <c r="L25" s="79"/>
      <c r="M25" s="70"/>
      <c r="N25" s="155"/>
      <c r="O25" s="70"/>
      <c r="P25" s="79"/>
      <c r="Q25" s="163"/>
      <c r="R25" s="79"/>
      <c r="S25" s="200"/>
      <c r="V25" s="252"/>
      <c r="Y25" s="252"/>
      <c r="Z25" s="305"/>
      <c r="AA25" s="200"/>
      <c r="AB25" s="200"/>
      <c r="AC25" s="210"/>
      <c r="AD25" s="210"/>
      <c r="AE25" s="200"/>
      <c r="AF25" s="200"/>
      <c r="AI25" s="200"/>
      <c r="AJ25" s="200"/>
      <c r="AK25" s="209"/>
      <c r="AL25" s="200"/>
      <c r="AM25" s="210"/>
      <c r="AN25" s="210"/>
    </row>
    <row r="26" spans="1:40" x14ac:dyDescent="0.25">
      <c r="A26" s="159">
        <v>7</v>
      </c>
      <c r="B26" s="80"/>
      <c r="C26" s="82" t="s">
        <v>66</v>
      </c>
      <c r="D26" s="80"/>
      <c r="E26" s="80"/>
      <c r="F26" s="78"/>
      <c r="G26" s="70"/>
      <c r="H26" s="225">
        <v>327270</v>
      </c>
      <c r="I26" s="70"/>
      <c r="J26" s="283">
        <f>INPUT!D76</f>
        <v>14.39</v>
      </c>
      <c r="K26" s="70"/>
      <c r="L26" s="79">
        <f>ROUND(+H26*J26,0)</f>
        <v>4709415</v>
      </c>
      <c r="M26" s="70"/>
      <c r="N26" s="197">
        <f>ROUND((+L26/$L$65)*100,1)</f>
        <v>13.5</v>
      </c>
      <c r="O26" s="70"/>
      <c r="P26" s="79"/>
      <c r="Q26" s="163"/>
      <c r="R26" s="79">
        <f>L26+P26</f>
        <v>4709415</v>
      </c>
      <c r="S26" s="200"/>
      <c r="V26" s="211"/>
      <c r="Y26" s="252"/>
      <c r="Z26" s="305"/>
      <c r="AA26" s="200"/>
      <c r="AB26" s="200"/>
      <c r="AC26" s="210"/>
      <c r="AD26" s="210"/>
      <c r="AE26" s="200"/>
      <c r="AF26" s="200"/>
      <c r="AG26" s="209"/>
      <c r="AH26" s="210"/>
      <c r="AI26" s="200"/>
      <c r="AJ26" s="200"/>
      <c r="AK26" s="209"/>
      <c r="AL26" s="200"/>
      <c r="AM26" s="210"/>
      <c r="AN26" s="210"/>
    </row>
    <row r="27" spans="1:40" x14ac:dyDescent="0.25">
      <c r="A27" s="159">
        <v>8</v>
      </c>
      <c r="B27" s="80"/>
      <c r="C27" s="82" t="s">
        <v>67</v>
      </c>
      <c r="D27" s="80"/>
      <c r="E27" s="80"/>
      <c r="F27" s="78"/>
      <c r="G27" s="70"/>
      <c r="H27" s="225">
        <v>16385</v>
      </c>
      <c r="I27" s="70"/>
      <c r="J27" s="283">
        <f>INPUT!D77</f>
        <v>1.3</v>
      </c>
      <c r="K27" s="70"/>
      <c r="L27" s="79">
        <f>ROUND(+H27*J27,0)</f>
        <v>21301</v>
      </c>
      <c r="M27" s="70"/>
      <c r="N27" s="166">
        <f>ROUND((+L27/$L$65)*100,1)</f>
        <v>0.1</v>
      </c>
      <c r="O27" s="70"/>
      <c r="P27" s="79"/>
      <c r="Q27" s="163"/>
      <c r="R27" s="79">
        <f>L27+P27</f>
        <v>21301</v>
      </c>
      <c r="S27" s="200"/>
      <c r="T27" s="154"/>
      <c r="V27" s="252"/>
      <c r="Y27" s="200"/>
      <c r="Z27" s="304"/>
      <c r="AA27" s="200"/>
      <c r="AB27" s="200"/>
      <c r="AC27" s="210"/>
      <c r="AD27" s="210"/>
      <c r="AE27" s="200"/>
      <c r="AF27" s="200"/>
      <c r="AG27" s="209"/>
      <c r="AH27" s="210"/>
      <c r="AI27" s="200"/>
      <c r="AJ27" s="200"/>
      <c r="AK27" s="209"/>
      <c r="AL27" s="200"/>
      <c r="AM27" s="210"/>
      <c r="AN27" s="210"/>
    </row>
    <row r="28" spans="1:40" ht="20.100000000000001" customHeight="1" x14ac:dyDescent="0.25">
      <c r="A28" s="159">
        <v>9</v>
      </c>
      <c r="B28" s="80"/>
      <c r="C28" s="253" t="s">
        <v>167</v>
      </c>
      <c r="D28" s="80"/>
      <c r="E28" s="80"/>
      <c r="F28" s="79"/>
      <c r="G28" s="70"/>
      <c r="H28" s="169">
        <f>SUM(H26:H27)</f>
        <v>343655</v>
      </c>
      <c r="I28" s="70"/>
      <c r="J28" s="268"/>
      <c r="K28" s="70"/>
      <c r="L28" s="169">
        <f>SUM(L26:L27)</f>
        <v>4730716</v>
      </c>
      <c r="M28" s="70"/>
      <c r="N28" s="170">
        <f>ROUND((+L28/$L$65)*100,1)</f>
        <v>13.6</v>
      </c>
      <c r="O28" s="70"/>
      <c r="P28" s="169"/>
      <c r="Q28" s="230"/>
      <c r="R28" s="169">
        <f>SUM(R26:R27)</f>
        <v>4730716</v>
      </c>
      <c r="S28" s="200"/>
      <c r="V28" s="211"/>
      <c r="Y28" s="211"/>
      <c r="Z28" s="305"/>
      <c r="AA28" s="211"/>
      <c r="AB28" s="211"/>
      <c r="AC28" s="211"/>
      <c r="AD28" s="211"/>
      <c r="AE28" s="211"/>
      <c r="AF28" s="211"/>
      <c r="AI28" s="211"/>
      <c r="AJ28" s="211"/>
      <c r="AK28" s="212"/>
      <c r="AL28" s="211"/>
      <c r="AM28" s="210"/>
      <c r="AN28" s="210"/>
    </row>
    <row r="29" spans="1:40" x14ac:dyDescent="0.25">
      <c r="A29" s="159">
        <v>10</v>
      </c>
      <c r="B29" s="80"/>
      <c r="C29" s="253" t="s">
        <v>168</v>
      </c>
      <c r="D29" s="80"/>
      <c r="E29" s="80"/>
      <c r="F29" s="79"/>
      <c r="G29" s="70"/>
      <c r="H29" s="79"/>
      <c r="I29" s="70"/>
      <c r="J29" s="268"/>
      <c r="K29" s="70"/>
      <c r="L29" s="79"/>
      <c r="M29" s="70"/>
      <c r="N29" s="155"/>
      <c r="O29" s="70"/>
      <c r="P29" s="79"/>
      <c r="Q29" s="230"/>
      <c r="R29" s="79"/>
      <c r="S29" s="200"/>
      <c r="V29" s="340"/>
      <c r="Y29" s="211"/>
      <c r="Z29" s="305"/>
      <c r="AA29" s="211"/>
      <c r="AB29" s="211"/>
      <c r="AC29" s="211"/>
      <c r="AD29" s="211"/>
      <c r="AE29" s="211"/>
      <c r="AF29" s="211"/>
      <c r="AI29" s="211"/>
      <c r="AJ29" s="211"/>
      <c r="AK29" s="212"/>
      <c r="AL29" s="211"/>
      <c r="AM29" s="210"/>
      <c r="AN29" s="210"/>
    </row>
    <row r="30" spans="1:40" x14ac:dyDescent="0.25">
      <c r="A30" s="159">
        <v>11</v>
      </c>
      <c r="B30" s="80"/>
      <c r="C30" s="153" t="s">
        <v>169</v>
      </c>
      <c r="D30" s="80"/>
      <c r="E30" s="80"/>
      <c r="F30" s="79"/>
      <c r="G30" s="70"/>
      <c r="H30" s="225">
        <v>130343</v>
      </c>
      <c r="I30" s="70"/>
      <c r="J30" s="283">
        <f>INPUT!D80</f>
        <v>-0.73</v>
      </c>
      <c r="K30" s="70"/>
      <c r="L30" s="79">
        <f>ROUND(+H30*J30,0)</f>
        <v>-95150</v>
      </c>
      <c r="M30" s="70"/>
      <c r="N30" s="197">
        <f>ROUND((+L30/$L$65)*100,1)</f>
        <v>-0.3</v>
      </c>
      <c r="O30" s="70"/>
      <c r="P30" s="79"/>
      <c r="Q30" s="230"/>
      <c r="R30" s="79">
        <f>L30+P30</f>
        <v>-95150</v>
      </c>
      <c r="S30" s="200"/>
      <c r="T30" s="154"/>
      <c r="Z30" s="305"/>
      <c r="AA30" s="200"/>
      <c r="AB30" s="200"/>
      <c r="AC30" s="210"/>
      <c r="AD30" s="210"/>
      <c r="AE30" s="200"/>
      <c r="AF30" s="200"/>
      <c r="AG30" s="209"/>
      <c r="AH30" s="210"/>
      <c r="AI30" s="200"/>
      <c r="AJ30" s="200"/>
      <c r="AK30" s="209"/>
      <c r="AL30" s="200"/>
      <c r="AM30" s="210"/>
      <c r="AN30" s="210"/>
    </row>
    <row r="31" spans="1:40" x14ac:dyDescent="0.25">
      <c r="A31" s="159">
        <v>12</v>
      </c>
      <c r="B31" s="80"/>
      <c r="C31" s="153" t="s">
        <v>170</v>
      </c>
      <c r="D31" s="80"/>
      <c r="E31" s="80"/>
      <c r="F31" s="70"/>
      <c r="G31" s="70"/>
      <c r="H31" s="287">
        <v>213311</v>
      </c>
      <c r="I31" s="70"/>
      <c r="J31" s="283">
        <f>INPUT!D81</f>
        <v>-0.56000000000000005</v>
      </c>
      <c r="K31" s="70"/>
      <c r="L31" s="79">
        <f>ROUND(+H31*J31,0)</f>
        <v>-119454</v>
      </c>
      <c r="M31" s="70"/>
      <c r="N31" s="197">
        <f>ROUND((+L31/$L$65)*100,1)</f>
        <v>-0.3</v>
      </c>
      <c r="O31" s="70"/>
      <c r="P31" s="79"/>
      <c r="Q31" s="163"/>
      <c r="R31" s="79">
        <f>L31+P31</f>
        <v>-119454</v>
      </c>
      <c r="S31" s="200"/>
      <c r="V31" s="211"/>
      <c r="Y31" s="211"/>
      <c r="Z31" s="305"/>
      <c r="AA31" s="211"/>
      <c r="AB31" s="211"/>
      <c r="AC31" s="211"/>
      <c r="AD31" s="211"/>
      <c r="AE31" s="211"/>
      <c r="AF31" s="211"/>
      <c r="AI31" s="211"/>
      <c r="AJ31" s="211"/>
      <c r="AK31" s="212"/>
      <c r="AL31" s="211"/>
    </row>
    <row r="32" spans="1:40" ht="20.100000000000001" customHeight="1" x14ac:dyDescent="0.25">
      <c r="A32" s="159">
        <v>13</v>
      </c>
      <c r="B32" s="80"/>
      <c r="C32" s="253" t="s">
        <v>68</v>
      </c>
      <c r="D32" s="80"/>
      <c r="E32" s="80"/>
      <c r="F32" s="79"/>
      <c r="G32" s="70"/>
      <c r="H32" s="169">
        <f>SUM(H30:H31)</f>
        <v>343654</v>
      </c>
      <c r="I32" s="70"/>
      <c r="J32" s="263"/>
      <c r="K32" s="70"/>
      <c r="L32" s="169">
        <f>L28+L30+L31</f>
        <v>4516112</v>
      </c>
      <c r="M32" s="70"/>
      <c r="N32" s="170">
        <f>ROUND((+L32/$L$65)*100,1)</f>
        <v>13</v>
      </c>
      <c r="O32" s="70"/>
      <c r="P32" s="169"/>
      <c r="Q32" s="163"/>
      <c r="R32" s="169">
        <f>R28+R30+R31</f>
        <v>4516112</v>
      </c>
      <c r="S32" s="200"/>
      <c r="AA32" s="200"/>
      <c r="AB32" s="200"/>
      <c r="AC32" s="200"/>
      <c r="AD32" s="200"/>
      <c r="AI32" s="200"/>
      <c r="AJ32" s="200"/>
      <c r="AK32" s="209"/>
      <c r="AL32" s="200"/>
    </row>
    <row r="33" spans="1:43" x14ac:dyDescent="0.25">
      <c r="A33" s="159">
        <v>14</v>
      </c>
      <c r="B33" s="80"/>
      <c r="C33" s="253" t="s">
        <v>481</v>
      </c>
      <c r="D33" s="80"/>
      <c r="E33" s="80"/>
      <c r="F33" s="79"/>
      <c r="G33" s="70"/>
      <c r="H33" s="79"/>
      <c r="I33" s="70"/>
      <c r="J33" s="263"/>
      <c r="K33" s="70"/>
      <c r="L33" s="79"/>
      <c r="M33" s="70"/>
      <c r="N33" s="155"/>
      <c r="O33" s="70"/>
      <c r="P33" s="79"/>
      <c r="Q33" s="163"/>
      <c r="R33" s="79"/>
      <c r="Y33" s="154"/>
    </row>
    <row r="34" spans="1:43" x14ac:dyDescent="0.25">
      <c r="A34" s="159">
        <v>15</v>
      </c>
      <c r="B34" s="80"/>
      <c r="C34" s="82" t="s">
        <v>496</v>
      </c>
      <c r="D34" s="80"/>
      <c r="E34" s="80"/>
      <c r="F34" s="79"/>
      <c r="G34" s="70"/>
      <c r="H34" s="189">
        <v>49861512</v>
      </c>
      <c r="I34" s="70"/>
      <c r="J34" s="288">
        <f>INPUT!D72</f>
        <v>4.9875000000000003E-2</v>
      </c>
      <c r="K34" s="70"/>
      <c r="L34" s="79">
        <f>ROUND((+H34*J34),0)</f>
        <v>2486843</v>
      </c>
      <c r="M34" s="70"/>
      <c r="N34" s="156">
        <f>ROUND((+L34/$L$65)*100,1)</f>
        <v>7.1</v>
      </c>
      <c r="O34" s="70"/>
      <c r="P34" s="79"/>
      <c r="Q34" s="163"/>
      <c r="R34" s="79">
        <f>L34+P34</f>
        <v>2486843</v>
      </c>
      <c r="Y34" s="154"/>
    </row>
    <row r="35" spans="1:43" x14ac:dyDescent="0.25">
      <c r="A35" s="159">
        <v>16</v>
      </c>
      <c r="B35" s="80"/>
      <c r="C35" s="82" t="s">
        <v>497</v>
      </c>
      <c r="D35" s="80"/>
      <c r="E35" s="80"/>
      <c r="F35" s="167"/>
      <c r="G35" s="70"/>
      <c r="H35" s="287">
        <v>126004348</v>
      </c>
      <c r="I35" s="70"/>
      <c r="J35" s="288">
        <f>INPUT!D74</f>
        <v>4.0843999999999998E-2</v>
      </c>
      <c r="K35" s="70"/>
      <c r="L35" s="167">
        <f>ROUND((+H35*J35),0)</f>
        <v>5146522</v>
      </c>
      <c r="M35" s="70"/>
      <c r="N35" s="341">
        <f>ROUND((+L35/$L$65)*100,1)</f>
        <v>14.8</v>
      </c>
      <c r="O35" s="70"/>
      <c r="P35" s="167"/>
      <c r="Q35" s="163"/>
      <c r="R35" s="167">
        <f>L35+P35</f>
        <v>5146522</v>
      </c>
      <c r="Z35" s="202"/>
    </row>
    <row r="36" spans="1:43" ht="24.75" customHeight="1" x14ac:dyDescent="0.25">
      <c r="A36" s="159">
        <v>17</v>
      </c>
      <c r="B36" s="80"/>
      <c r="C36" s="253" t="s">
        <v>58</v>
      </c>
      <c r="D36" s="80"/>
      <c r="E36" s="80"/>
      <c r="F36" s="169">
        <f>F24</f>
        <v>148</v>
      </c>
      <c r="G36" s="70"/>
      <c r="H36" s="169">
        <f>H34+H35</f>
        <v>175865860</v>
      </c>
      <c r="I36" s="70"/>
      <c r="J36" s="268"/>
      <c r="K36" s="70"/>
      <c r="L36" s="169">
        <f>L24+L32+L34+L35</f>
        <v>12218297</v>
      </c>
      <c r="M36" s="70"/>
      <c r="N36" s="303">
        <f>ROUND((+L36/$L$65)*100,1)</f>
        <v>35.1</v>
      </c>
      <c r="O36" s="70"/>
      <c r="P36" s="342"/>
      <c r="Q36" s="85"/>
      <c r="R36" s="169">
        <f>R24+R32+R34+R35</f>
        <v>12218297</v>
      </c>
      <c r="AK36" s="297"/>
      <c r="AL36" s="154"/>
    </row>
    <row r="37" spans="1:43" x14ac:dyDescent="0.25">
      <c r="A37" s="159"/>
      <c r="B37" s="80"/>
      <c r="C37" s="82"/>
      <c r="D37" s="80"/>
      <c r="E37" s="80"/>
      <c r="F37" s="163"/>
      <c r="G37" s="70"/>
      <c r="H37" s="163"/>
      <c r="I37" s="70"/>
      <c r="J37" s="268"/>
      <c r="K37" s="70"/>
      <c r="L37" s="163"/>
      <c r="M37" s="70"/>
      <c r="N37" s="197"/>
      <c r="O37" s="70"/>
      <c r="P37" s="163"/>
      <c r="Q37" s="85"/>
      <c r="R37" s="163"/>
      <c r="AK37" s="297"/>
      <c r="AL37" s="154"/>
    </row>
    <row r="38" spans="1:43" x14ac:dyDescent="0.25">
      <c r="A38" s="159">
        <v>18</v>
      </c>
      <c r="B38" s="80"/>
      <c r="C38" s="253" t="s">
        <v>59</v>
      </c>
      <c r="D38" s="80"/>
      <c r="E38" s="80"/>
      <c r="F38" s="78"/>
      <c r="G38" s="70"/>
      <c r="H38" s="343">
        <f>185857814-185857934</f>
        <v>-120</v>
      </c>
      <c r="I38" s="70"/>
      <c r="J38" s="268"/>
      <c r="K38" s="70"/>
      <c r="L38" s="79"/>
      <c r="M38" s="70"/>
      <c r="N38" s="155"/>
      <c r="O38" s="70"/>
      <c r="P38" s="79"/>
      <c r="Q38" s="85"/>
      <c r="R38" s="79"/>
      <c r="T38" s="80"/>
      <c r="U38" s="80"/>
      <c r="X38" s="80"/>
      <c r="Y38" s="80"/>
      <c r="Z38" s="80"/>
      <c r="AA38" s="80"/>
      <c r="AB38" s="80"/>
      <c r="AC38" s="80"/>
      <c r="AD38" s="80"/>
      <c r="AE38" s="80"/>
      <c r="AF38" s="80"/>
      <c r="AG38" s="188"/>
      <c r="AH38" s="80"/>
      <c r="AI38" s="80"/>
      <c r="AJ38" s="80"/>
      <c r="AK38" s="188"/>
      <c r="AL38" s="80"/>
      <c r="AM38" s="80"/>
      <c r="AN38" s="80"/>
      <c r="AO38" s="80"/>
      <c r="AP38" s="80"/>
      <c r="AQ38" s="188"/>
    </row>
    <row r="39" spans="1:43" x14ac:dyDescent="0.25">
      <c r="A39" s="159">
        <v>19</v>
      </c>
      <c r="B39" s="80"/>
      <c r="C39" s="253" t="s">
        <v>155</v>
      </c>
      <c r="D39" s="80"/>
      <c r="E39" s="80"/>
      <c r="F39" s="70"/>
      <c r="G39" s="70"/>
      <c r="H39" s="70"/>
      <c r="I39" s="70"/>
      <c r="J39" s="70"/>
      <c r="K39" s="70"/>
      <c r="L39" s="70"/>
      <c r="M39" s="70"/>
      <c r="N39" s="164"/>
      <c r="O39" s="70"/>
      <c r="P39" s="70"/>
      <c r="Q39" s="344"/>
      <c r="R39" s="7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188"/>
      <c r="AH39" s="80"/>
      <c r="AI39" s="80"/>
      <c r="AJ39" s="80"/>
      <c r="AK39" s="188"/>
      <c r="AL39" s="80"/>
      <c r="AM39" s="80"/>
      <c r="AN39" s="80"/>
      <c r="AO39" s="80"/>
      <c r="AP39" s="80"/>
      <c r="AQ39" s="188"/>
    </row>
    <row r="40" spans="1:43" x14ac:dyDescent="0.25">
      <c r="A40" s="159">
        <v>20</v>
      </c>
      <c r="B40" s="80"/>
      <c r="C40" s="82" t="s">
        <v>166</v>
      </c>
      <c r="D40" s="80"/>
      <c r="E40" s="80"/>
      <c r="F40" s="225">
        <v>295</v>
      </c>
      <c r="G40" s="70"/>
      <c r="H40" s="78"/>
      <c r="I40" s="70"/>
      <c r="J40" s="284">
        <f>J23</f>
        <v>465</v>
      </c>
      <c r="K40" s="70"/>
      <c r="L40" s="79">
        <f>ROUND(+F40*J40,0)</f>
        <v>137175</v>
      </c>
      <c r="M40" s="70"/>
      <c r="N40" s="166">
        <f>ROUND((+L40/$L$65)*100,1)</f>
        <v>0.4</v>
      </c>
      <c r="O40" s="70"/>
      <c r="P40" s="79"/>
      <c r="Q40" s="345"/>
      <c r="R40" s="79">
        <f>L40+P40</f>
        <v>137175</v>
      </c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188"/>
      <c r="AH40" s="80"/>
      <c r="AI40" s="80"/>
      <c r="AJ40" s="80"/>
      <c r="AK40" s="188"/>
      <c r="AL40" s="80"/>
      <c r="AM40" s="80"/>
      <c r="AN40" s="80"/>
      <c r="AO40" s="80"/>
      <c r="AP40" s="80"/>
      <c r="AQ40" s="188"/>
    </row>
    <row r="41" spans="1:43" ht="20.100000000000001" customHeight="1" x14ac:dyDescent="0.25">
      <c r="A41" s="159">
        <v>21</v>
      </c>
      <c r="B41" s="80"/>
      <c r="C41" s="253" t="s">
        <v>158</v>
      </c>
      <c r="D41" s="80"/>
      <c r="E41" s="80"/>
      <c r="F41" s="169">
        <f>SUM(F40:F40)</f>
        <v>295</v>
      </c>
      <c r="G41" s="70"/>
      <c r="H41" s="79"/>
      <c r="I41" s="70"/>
      <c r="J41" s="268"/>
      <c r="K41" s="70"/>
      <c r="L41" s="169">
        <f>SUM(L40:L40)</f>
        <v>137175</v>
      </c>
      <c r="M41" s="70"/>
      <c r="N41" s="170">
        <f>ROUND((+L41/$L$65)*100,1)</f>
        <v>0.4</v>
      </c>
      <c r="O41" s="70"/>
      <c r="P41" s="169"/>
      <c r="Q41" s="345"/>
      <c r="R41" s="169">
        <f>SUM(R40:R40)</f>
        <v>137175</v>
      </c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188"/>
      <c r="AH41" s="80"/>
      <c r="AI41" s="80"/>
      <c r="AJ41" s="80"/>
      <c r="AK41" s="188"/>
      <c r="AL41" s="80"/>
      <c r="AM41" s="80"/>
      <c r="AN41" s="80"/>
      <c r="AO41" s="80"/>
      <c r="AP41" s="80"/>
      <c r="AQ41" s="188"/>
    </row>
    <row r="42" spans="1:43" x14ac:dyDescent="0.25">
      <c r="A42" s="159">
        <v>22</v>
      </c>
      <c r="B42" s="80"/>
      <c r="C42" s="253" t="s">
        <v>65</v>
      </c>
      <c r="D42" s="80"/>
      <c r="E42" s="80"/>
      <c r="F42" s="78"/>
      <c r="G42" s="70"/>
      <c r="H42" s="78"/>
      <c r="I42" s="70"/>
      <c r="J42" s="339"/>
      <c r="K42" s="70"/>
      <c r="L42" s="79"/>
      <c r="M42" s="70"/>
      <c r="N42" s="155"/>
      <c r="O42" s="70"/>
      <c r="P42" s="79"/>
      <c r="Q42" s="344"/>
      <c r="R42" s="79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188"/>
      <c r="AH42" s="80"/>
      <c r="AI42" s="80"/>
      <c r="AJ42" s="80"/>
      <c r="AK42" s="188"/>
      <c r="AL42" s="80"/>
      <c r="AM42" s="80"/>
      <c r="AN42" s="80"/>
      <c r="AO42" s="80"/>
      <c r="AP42" s="80"/>
      <c r="AQ42" s="188"/>
    </row>
    <row r="43" spans="1:43" x14ac:dyDescent="0.25">
      <c r="A43" s="159">
        <v>23</v>
      </c>
      <c r="B43" s="80"/>
      <c r="C43" s="82" t="s">
        <v>66</v>
      </c>
      <c r="D43" s="80"/>
      <c r="E43" s="80"/>
      <c r="F43" s="78"/>
      <c r="G43" s="70"/>
      <c r="H43" s="225">
        <v>603474.6</v>
      </c>
      <c r="I43" s="70"/>
      <c r="J43" s="283">
        <f>INPUT!D78</f>
        <v>13.62</v>
      </c>
      <c r="K43" s="70"/>
      <c r="L43" s="79">
        <f>ROUND(+H43*J43,0)</f>
        <v>8219324</v>
      </c>
      <c r="M43" s="70"/>
      <c r="N43" s="155">
        <f>ROUND((+L43/$L$65)*100,1)</f>
        <v>23.6</v>
      </c>
      <c r="O43" s="70"/>
      <c r="P43" s="79"/>
      <c r="Q43" s="345"/>
      <c r="R43" s="79">
        <f>L43+P43</f>
        <v>8219324</v>
      </c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188"/>
      <c r="AH43" s="80"/>
      <c r="AI43" s="80"/>
      <c r="AJ43" s="80"/>
      <c r="AK43" s="188"/>
      <c r="AL43" s="80"/>
      <c r="AM43" s="80"/>
      <c r="AN43" s="80"/>
      <c r="AO43" s="80"/>
      <c r="AP43" s="80"/>
      <c r="AQ43" s="188"/>
    </row>
    <row r="44" spans="1:43" x14ac:dyDescent="0.25">
      <c r="A44" s="159">
        <v>24</v>
      </c>
      <c r="B44" s="80"/>
      <c r="C44" s="82" t="s">
        <v>67</v>
      </c>
      <c r="D44" s="80"/>
      <c r="E44" s="80"/>
      <c r="F44" s="78"/>
      <c r="G44" s="70"/>
      <c r="H44" s="225">
        <v>41089.800000000003</v>
      </c>
      <c r="I44" s="70"/>
      <c r="J44" s="283">
        <f>INPUT!D79</f>
        <v>1.3</v>
      </c>
      <c r="K44" s="70"/>
      <c r="L44" s="79">
        <f>ROUND(+H44*J44,0)</f>
        <v>53417</v>
      </c>
      <c r="M44" s="70"/>
      <c r="N44" s="166">
        <f>ROUND((+L44/$L$65)*100,1)</f>
        <v>0.2</v>
      </c>
      <c r="O44" s="70"/>
      <c r="P44" s="79"/>
      <c r="Q44" s="85"/>
      <c r="R44" s="79">
        <f>L44+P44</f>
        <v>53417</v>
      </c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188"/>
      <c r="AH44" s="80"/>
      <c r="AI44" s="80"/>
      <c r="AJ44" s="80"/>
      <c r="AK44" s="188"/>
      <c r="AL44" s="80"/>
      <c r="AM44" s="80"/>
      <c r="AN44" s="80"/>
      <c r="AO44" s="80"/>
      <c r="AP44" s="80"/>
      <c r="AQ44" s="188"/>
    </row>
    <row r="45" spans="1:43" ht="20.100000000000001" customHeight="1" x14ac:dyDescent="0.25">
      <c r="A45" s="159">
        <v>25</v>
      </c>
      <c r="B45" s="80"/>
      <c r="C45" s="253" t="s">
        <v>167</v>
      </c>
      <c r="D45" s="80"/>
      <c r="E45" s="80"/>
      <c r="F45" s="79"/>
      <c r="G45" s="70"/>
      <c r="H45" s="169">
        <f>SUM(H43:H44)</f>
        <v>644564.4</v>
      </c>
      <c r="I45" s="70"/>
      <c r="J45" s="268"/>
      <c r="K45" s="70"/>
      <c r="L45" s="169">
        <f>SUM(L43:L44)</f>
        <v>8272741</v>
      </c>
      <c r="M45" s="70"/>
      <c r="N45" s="170">
        <f>ROUND((+L45/$L$65)*100,1)</f>
        <v>23.8</v>
      </c>
      <c r="O45" s="70"/>
      <c r="P45" s="169"/>
      <c r="Q45" s="85"/>
      <c r="R45" s="169">
        <f>SUM(R43:R44)</f>
        <v>8272741</v>
      </c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188"/>
      <c r="AH45" s="80"/>
      <c r="AI45" s="80"/>
      <c r="AJ45" s="80"/>
      <c r="AK45" s="188"/>
      <c r="AL45" s="80"/>
      <c r="AM45" s="80"/>
      <c r="AN45" s="80"/>
      <c r="AO45" s="80"/>
      <c r="AP45" s="80"/>
      <c r="AQ45" s="188"/>
    </row>
    <row r="46" spans="1:43" x14ac:dyDescent="0.25">
      <c r="A46" s="159">
        <v>26</v>
      </c>
      <c r="B46" s="80"/>
      <c r="C46" s="253" t="s">
        <v>168</v>
      </c>
      <c r="D46" s="80"/>
      <c r="E46" s="80"/>
      <c r="F46" s="79"/>
      <c r="G46" s="70"/>
      <c r="H46" s="79"/>
      <c r="I46" s="70"/>
      <c r="J46" s="268"/>
      <c r="K46" s="70"/>
      <c r="L46" s="79"/>
      <c r="M46" s="70"/>
      <c r="N46" s="155"/>
      <c r="O46" s="70"/>
      <c r="P46" s="79"/>
      <c r="Q46" s="271"/>
      <c r="R46" s="79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188"/>
      <c r="AH46" s="80"/>
      <c r="AI46" s="80"/>
      <c r="AJ46" s="80"/>
      <c r="AK46" s="188"/>
      <c r="AL46" s="80"/>
      <c r="AM46" s="80"/>
      <c r="AN46" s="80"/>
      <c r="AO46" s="80"/>
      <c r="AP46" s="80"/>
      <c r="AQ46" s="188"/>
    </row>
    <row r="47" spans="1:43" x14ac:dyDescent="0.25">
      <c r="A47" s="159">
        <v>27</v>
      </c>
      <c r="B47" s="80"/>
      <c r="C47" s="153" t="s">
        <v>169</v>
      </c>
      <c r="D47" s="80"/>
      <c r="E47" s="80"/>
      <c r="F47" s="79"/>
      <c r="G47" s="70"/>
      <c r="H47" s="225">
        <v>266633.59999999998</v>
      </c>
      <c r="I47" s="70"/>
      <c r="J47" s="284">
        <f>J30</f>
        <v>-0.73</v>
      </c>
      <c r="K47" s="70"/>
      <c r="L47" s="79">
        <f>ROUND(+H47*J47,0)</f>
        <v>-194643</v>
      </c>
      <c r="M47" s="70"/>
      <c r="N47" s="155">
        <f>ROUND((+L47/$L$65)*100,1)</f>
        <v>-0.6</v>
      </c>
      <c r="O47" s="70"/>
      <c r="P47" s="79"/>
      <c r="Q47" s="271"/>
      <c r="R47" s="79">
        <f>L47+P47</f>
        <v>-194643</v>
      </c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188"/>
      <c r="AH47" s="80"/>
      <c r="AI47" s="80"/>
      <c r="AJ47" s="80"/>
      <c r="AK47" s="188"/>
      <c r="AL47" s="80"/>
      <c r="AM47" s="80"/>
      <c r="AN47" s="80"/>
      <c r="AO47" s="80"/>
      <c r="AP47" s="80"/>
      <c r="AQ47" s="188"/>
    </row>
    <row r="48" spans="1:43" x14ac:dyDescent="0.25">
      <c r="A48" s="159">
        <v>28</v>
      </c>
      <c r="B48" s="80"/>
      <c r="C48" s="153" t="s">
        <v>170</v>
      </c>
      <c r="D48" s="80"/>
      <c r="E48" s="80"/>
      <c r="F48" s="70"/>
      <c r="G48" s="70"/>
      <c r="H48" s="287">
        <v>377930.8</v>
      </c>
      <c r="I48" s="70"/>
      <c r="J48" s="284">
        <f>J31</f>
        <v>-0.56000000000000005</v>
      </c>
      <c r="K48" s="70"/>
      <c r="L48" s="79">
        <f>ROUND(+H48*J48,0)</f>
        <v>-211641</v>
      </c>
      <c r="M48" s="70"/>
      <c r="N48" s="166">
        <f>ROUND((+L48/$L$65)*100,1)</f>
        <v>-0.6</v>
      </c>
      <c r="O48" s="70"/>
      <c r="P48" s="79"/>
      <c r="Q48" s="346"/>
      <c r="R48" s="79">
        <f>L48+P48</f>
        <v>-211641</v>
      </c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188"/>
      <c r="AH48" s="80"/>
      <c r="AI48" s="80"/>
      <c r="AJ48" s="80"/>
      <c r="AK48" s="188"/>
      <c r="AL48" s="80"/>
      <c r="AM48" s="80"/>
      <c r="AN48" s="80"/>
      <c r="AO48" s="80"/>
      <c r="AP48" s="80"/>
      <c r="AQ48" s="188"/>
    </row>
    <row r="49" spans="1:43" ht="20.100000000000001" customHeight="1" x14ac:dyDescent="0.25">
      <c r="A49" s="159">
        <v>29</v>
      </c>
      <c r="B49" s="80"/>
      <c r="C49" s="253" t="s">
        <v>68</v>
      </c>
      <c r="D49" s="80"/>
      <c r="E49" s="80"/>
      <c r="F49" s="79"/>
      <c r="G49" s="70"/>
      <c r="H49" s="169">
        <f>SUM(H47:H48)</f>
        <v>644564.39999999991</v>
      </c>
      <c r="I49" s="70"/>
      <c r="J49" s="263"/>
      <c r="K49" s="70"/>
      <c r="L49" s="169">
        <f>L45+L47+L48</f>
        <v>7866457</v>
      </c>
      <c r="M49" s="70"/>
      <c r="N49" s="170">
        <f>ROUND((+L49/$L$65)*100,1)</f>
        <v>22.6</v>
      </c>
      <c r="O49" s="70"/>
      <c r="P49" s="169"/>
      <c r="Q49" s="346"/>
      <c r="R49" s="169">
        <f>R45+R47+R48</f>
        <v>7866457</v>
      </c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188"/>
      <c r="AH49" s="80"/>
      <c r="AI49" s="80"/>
      <c r="AJ49" s="80"/>
      <c r="AK49" s="188"/>
      <c r="AL49" s="80"/>
      <c r="AM49" s="80"/>
      <c r="AN49" s="80"/>
      <c r="AO49" s="80"/>
      <c r="AP49" s="80"/>
      <c r="AQ49" s="188"/>
    </row>
    <row r="50" spans="1:43" x14ac:dyDescent="0.25">
      <c r="A50" s="159">
        <v>30</v>
      </c>
      <c r="B50" s="80"/>
      <c r="C50" s="253" t="s">
        <v>481</v>
      </c>
      <c r="D50" s="80"/>
      <c r="E50" s="80"/>
      <c r="F50" s="79"/>
      <c r="G50" s="70"/>
      <c r="H50" s="79"/>
      <c r="I50" s="70"/>
      <c r="J50" s="263"/>
      <c r="K50" s="70"/>
      <c r="L50" s="79"/>
      <c r="M50" s="70"/>
      <c r="N50" s="155"/>
      <c r="O50" s="70"/>
      <c r="P50" s="79"/>
      <c r="Q50" s="163"/>
      <c r="R50" s="79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188"/>
      <c r="AH50" s="80"/>
      <c r="AI50" s="80"/>
      <c r="AJ50" s="80"/>
      <c r="AK50" s="188"/>
      <c r="AL50" s="80"/>
      <c r="AM50" s="80"/>
      <c r="AN50" s="80"/>
      <c r="AO50" s="80"/>
      <c r="AP50" s="80"/>
      <c r="AQ50" s="188"/>
    </row>
    <row r="51" spans="1:43" x14ac:dyDescent="0.25">
      <c r="A51" s="159">
        <v>31</v>
      </c>
      <c r="B51" s="80"/>
      <c r="C51" s="82" t="s">
        <v>496</v>
      </c>
      <c r="D51" s="80"/>
      <c r="E51" s="80"/>
      <c r="F51" s="79"/>
      <c r="G51" s="70"/>
      <c r="H51" s="189">
        <v>87022244</v>
      </c>
      <c r="I51" s="70"/>
      <c r="J51" s="295">
        <f>INPUT!D73</f>
        <v>4.7612000000000002E-2</v>
      </c>
      <c r="K51" s="70"/>
      <c r="L51" s="79">
        <f>ROUND((+H51*J51),0)</f>
        <v>4143303</v>
      </c>
      <c r="M51" s="70"/>
      <c r="N51" s="156">
        <f>ROUND((+L51/$L$65)*100,1)</f>
        <v>11.9</v>
      </c>
      <c r="O51" s="70"/>
      <c r="P51" s="79"/>
      <c r="Q51" s="163"/>
      <c r="R51" s="79">
        <f>L51+P51</f>
        <v>4143303</v>
      </c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188"/>
      <c r="AH51" s="80"/>
      <c r="AI51" s="80"/>
      <c r="AJ51" s="80"/>
      <c r="AK51" s="188"/>
      <c r="AL51" s="80"/>
      <c r="AM51" s="80"/>
      <c r="AN51" s="80"/>
      <c r="AO51" s="80"/>
      <c r="AP51" s="80"/>
      <c r="AQ51" s="188"/>
    </row>
    <row r="52" spans="1:43" x14ac:dyDescent="0.25">
      <c r="A52" s="159">
        <v>32</v>
      </c>
      <c r="B52" s="80"/>
      <c r="C52" s="82" t="s">
        <v>497</v>
      </c>
      <c r="D52" s="80"/>
      <c r="E52" s="80"/>
      <c r="F52" s="286"/>
      <c r="G52" s="70"/>
      <c r="H52" s="287">
        <v>230064339</v>
      </c>
      <c r="I52" s="70"/>
      <c r="J52" s="347">
        <f>J35</f>
        <v>4.0843999999999998E-2</v>
      </c>
      <c r="K52" s="70"/>
      <c r="L52" s="167">
        <f>ROUND((+H52*J52),0)</f>
        <v>9396748</v>
      </c>
      <c r="M52" s="70"/>
      <c r="N52" s="341">
        <f>ROUND((+L52/$L$65)*100,1)</f>
        <v>27</v>
      </c>
      <c r="O52" s="70"/>
      <c r="P52" s="167"/>
      <c r="Q52" s="163"/>
      <c r="R52" s="167">
        <f>L52+P52</f>
        <v>9396748</v>
      </c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188"/>
      <c r="AH52" s="80"/>
      <c r="AI52" s="80"/>
      <c r="AJ52" s="80"/>
      <c r="AK52" s="188"/>
      <c r="AL52" s="80"/>
      <c r="AM52" s="80"/>
      <c r="AN52" s="80"/>
      <c r="AO52" s="80"/>
      <c r="AP52" s="80"/>
      <c r="AQ52" s="188"/>
    </row>
    <row r="53" spans="1:43" ht="21.75" customHeight="1" x14ac:dyDescent="0.25">
      <c r="A53" s="159">
        <v>33</v>
      </c>
      <c r="B53" s="80"/>
      <c r="C53" s="253" t="s">
        <v>60</v>
      </c>
      <c r="D53" s="80"/>
      <c r="E53" s="80"/>
      <c r="F53" s="169">
        <f>F41</f>
        <v>295</v>
      </c>
      <c r="G53" s="70"/>
      <c r="H53" s="169">
        <f>H51+H52</f>
        <v>317086583</v>
      </c>
      <c r="I53" s="70"/>
      <c r="J53" s="347"/>
      <c r="K53" s="70"/>
      <c r="L53" s="169">
        <f>L41+L49+L51+L52</f>
        <v>21543683</v>
      </c>
      <c r="M53" s="70"/>
      <c r="N53" s="303">
        <f>ROUND((+L53/$L$65)*100,1)</f>
        <v>61.9</v>
      </c>
      <c r="O53" s="70"/>
      <c r="P53" s="342"/>
      <c r="Q53" s="348"/>
      <c r="R53" s="169">
        <f>R41+R49+R51+R52</f>
        <v>21543683</v>
      </c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188"/>
      <c r="AH53" s="80"/>
      <c r="AI53" s="80"/>
      <c r="AJ53" s="80"/>
      <c r="AK53" s="188"/>
      <c r="AL53" s="80"/>
      <c r="AM53" s="80"/>
      <c r="AN53" s="80"/>
      <c r="AO53" s="80"/>
      <c r="AP53" s="80"/>
      <c r="AQ53" s="188"/>
    </row>
    <row r="54" spans="1:43" ht="20.100000000000001" customHeight="1" x14ac:dyDescent="0.25">
      <c r="A54" s="159">
        <v>34</v>
      </c>
      <c r="B54" s="80"/>
      <c r="C54" s="265" t="s">
        <v>561</v>
      </c>
      <c r="D54" s="80"/>
      <c r="E54" s="80"/>
      <c r="F54" s="167">
        <f>F36+F53</f>
        <v>443</v>
      </c>
      <c r="G54" s="70"/>
      <c r="H54" s="167">
        <f>H36+H53</f>
        <v>492952443</v>
      </c>
      <c r="I54" s="70"/>
      <c r="J54" s="347"/>
      <c r="K54" s="70"/>
      <c r="L54" s="169">
        <f>L36+L53</f>
        <v>33761980</v>
      </c>
      <c r="M54" s="85"/>
      <c r="N54" s="303">
        <f>ROUND((+L54/$L$65)*100,1)</f>
        <v>97</v>
      </c>
      <c r="O54" s="85"/>
      <c r="P54" s="169"/>
      <c r="Q54" s="346"/>
      <c r="R54" s="169">
        <f>L54+P54</f>
        <v>33761980</v>
      </c>
    </row>
    <row r="55" spans="1:43" x14ac:dyDescent="0.25">
      <c r="A55" s="159"/>
      <c r="B55" s="80"/>
      <c r="C55" s="82"/>
      <c r="D55" s="80"/>
      <c r="E55" s="80"/>
      <c r="F55" s="163"/>
      <c r="G55" s="70"/>
      <c r="H55" s="163"/>
      <c r="I55" s="70"/>
      <c r="J55" s="347"/>
      <c r="K55" s="70"/>
      <c r="L55" s="163"/>
      <c r="M55" s="85"/>
      <c r="N55" s="197"/>
      <c r="O55" s="85"/>
      <c r="P55" s="163"/>
      <c r="Q55" s="346"/>
      <c r="R55" s="163"/>
    </row>
    <row r="56" spans="1:43" x14ac:dyDescent="0.25">
      <c r="A56" s="159">
        <v>35</v>
      </c>
      <c r="B56" s="80"/>
      <c r="C56" s="253" t="s">
        <v>553</v>
      </c>
      <c r="D56" s="80"/>
      <c r="E56" s="80"/>
      <c r="F56" s="163"/>
      <c r="G56" s="70"/>
      <c r="H56" s="163"/>
      <c r="I56" s="70"/>
      <c r="J56" s="347"/>
      <c r="K56" s="70"/>
      <c r="L56" s="163"/>
      <c r="M56" s="85"/>
      <c r="N56" s="197"/>
      <c r="O56" s="85"/>
      <c r="P56" s="163"/>
      <c r="Q56" s="346"/>
      <c r="R56" s="163"/>
    </row>
    <row r="57" spans="1:43" x14ac:dyDescent="0.25">
      <c r="A57" s="159">
        <v>36</v>
      </c>
      <c r="B57" s="80"/>
      <c r="C57" s="153" t="str">
        <f>DSMR_Name</f>
        <v>DEMAND SIDE MANAGEMENT RIDER (DSMR)</v>
      </c>
      <c r="D57" s="80"/>
      <c r="E57" s="80"/>
      <c r="F57" s="163"/>
      <c r="G57" s="70"/>
      <c r="H57" s="163"/>
      <c r="I57" s="70"/>
      <c r="J57" s="308">
        <f>PRO_DSM_DIST</f>
        <v>2.5760000000000002E-3</v>
      </c>
      <c r="K57" s="70"/>
      <c r="L57" s="163">
        <f>ROUND($H$54*J57,0)</f>
        <v>1269845</v>
      </c>
      <c r="M57" s="85"/>
      <c r="N57" s="155">
        <f>ROUND((+L57/$L$65)*100,1)</f>
        <v>3.6</v>
      </c>
      <c r="O57" s="85"/>
      <c r="P57" s="163"/>
      <c r="Q57" s="346"/>
      <c r="R57" s="79">
        <f t="shared" ref="R57:R62" si="0">L57+P57</f>
        <v>1269845</v>
      </c>
    </row>
    <row r="58" spans="1:43" x14ac:dyDescent="0.25">
      <c r="A58" s="159">
        <v>37</v>
      </c>
      <c r="B58" s="80"/>
      <c r="C58" s="153" t="str">
        <f>ESM_Name</f>
        <v>ENVIRONMENTAL SURCHARGE MECHANISM RIDER (ESM)</v>
      </c>
      <c r="D58" s="80"/>
      <c r="E58" s="80"/>
      <c r="F58" s="163"/>
      <c r="G58" s="70"/>
      <c r="H58" s="163"/>
      <c r="I58" s="70"/>
      <c r="J58" s="288">
        <f>PRO_ESM</f>
        <v>0</v>
      </c>
      <c r="K58" s="70"/>
      <c r="L58" s="163">
        <f>ROUND(R54*J58,0)</f>
        <v>0</v>
      </c>
      <c r="M58" s="85"/>
      <c r="N58" s="155">
        <f t="shared" ref="N58:N59" si="1">ROUND((+L58/$L$65)*100,1)</f>
        <v>0</v>
      </c>
      <c r="O58" s="85"/>
      <c r="P58" s="163"/>
      <c r="Q58" s="346"/>
      <c r="R58" s="79">
        <f t="shared" si="0"/>
        <v>0</v>
      </c>
    </row>
    <row r="59" spans="1:43" x14ac:dyDescent="0.25">
      <c r="A59" s="159">
        <v>38</v>
      </c>
      <c r="B59" s="80"/>
      <c r="C59" s="153" t="str">
        <f>DCI_Name</f>
        <v>DISTRIBUTION CAPITAL INVESTMENT RIDER (DCI)</v>
      </c>
      <c r="D59" s="80"/>
      <c r="E59" s="80"/>
      <c r="F59" s="163"/>
      <c r="G59" s="70"/>
      <c r="H59" s="163"/>
      <c r="I59" s="70"/>
      <c r="J59" s="349">
        <f>PRO_DCI_DTP</f>
        <v>0</v>
      </c>
      <c r="K59" s="70"/>
      <c r="L59" s="163">
        <f>ROUND((H45+H28)*J59,0)</f>
        <v>0</v>
      </c>
      <c r="M59" s="85"/>
      <c r="N59" s="155">
        <f t="shared" si="1"/>
        <v>0</v>
      </c>
      <c r="O59" s="85"/>
      <c r="P59" s="163"/>
      <c r="Q59" s="346"/>
      <c r="R59" s="79">
        <f t="shared" si="0"/>
        <v>0</v>
      </c>
    </row>
    <row r="60" spans="1:43" x14ac:dyDescent="0.25">
      <c r="A60" s="159">
        <v>39</v>
      </c>
      <c r="B60" s="80"/>
      <c r="C60" s="153" t="str">
        <f>FAC_Name</f>
        <v>FUEL ADJUSTMENT CLAUSE (FAC)</v>
      </c>
      <c r="D60" s="80"/>
      <c r="E60" s="80"/>
      <c r="F60" s="163"/>
      <c r="G60" s="70"/>
      <c r="H60" s="163"/>
      <c r="I60" s="70"/>
      <c r="J60" s="308">
        <f>PRO_FAC</f>
        <v>1.0280000000000003E-3</v>
      </c>
      <c r="K60" s="70"/>
      <c r="L60" s="163"/>
      <c r="M60" s="85"/>
      <c r="N60" s="155"/>
      <c r="O60" s="85"/>
      <c r="P60" s="163">
        <f>ROUND(H54*PRO_FAC,0)</f>
        <v>506755</v>
      </c>
      <c r="Q60" s="346"/>
      <c r="R60" s="79">
        <f t="shared" si="0"/>
        <v>506755</v>
      </c>
    </row>
    <row r="61" spans="1:43" x14ac:dyDescent="0.25">
      <c r="A61" s="159">
        <v>40</v>
      </c>
      <c r="B61" s="80"/>
      <c r="C61" s="153" t="str">
        <f>FTR_Name</f>
        <v>FERC TRANSMISSION COST RECOVERY RECONCILIATION (FTR)</v>
      </c>
      <c r="D61" s="80"/>
      <c r="E61" s="80"/>
      <c r="F61" s="163"/>
      <c r="G61" s="70"/>
      <c r="H61" s="163"/>
      <c r="I61" s="70"/>
      <c r="J61" s="288">
        <f>PRO_FTR_DTP</f>
        <v>0</v>
      </c>
      <c r="K61" s="70"/>
      <c r="L61" s="163">
        <f>ROUND(H54*J61,0)</f>
        <v>0</v>
      </c>
      <c r="M61" s="85"/>
      <c r="N61" s="155">
        <f>ROUND((+L61/$L$65)*100,1)</f>
        <v>0</v>
      </c>
      <c r="O61" s="85"/>
      <c r="P61" s="163"/>
      <c r="Q61" s="346"/>
      <c r="R61" s="79">
        <f t="shared" si="0"/>
        <v>0</v>
      </c>
    </row>
    <row r="62" spans="1:43" x14ac:dyDescent="0.25">
      <c r="A62" s="159">
        <v>41</v>
      </c>
      <c r="B62" s="80"/>
      <c r="C62" s="153" t="str">
        <f>PSM_Name</f>
        <v>PROFIT SHARING MECHANISM (PSM)</v>
      </c>
      <c r="D62" s="80"/>
      <c r="E62" s="80"/>
      <c r="F62" s="163"/>
      <c r="G62" s="70"/>
      <c r="H62" s="163"/>
      <c r="I62" s="70"/>
      <c r="J62" s="308">
        <f>PRO_PSM</f>
        <v>-4.5600000000000003E-4</v>
      </c>
      <c r="K62" s="70"/>
      <c r="L62" s="167">
        <f>ROUND(H54*PRO_PSM,0)</f>
        <v>-224786</v>
      </c>
      <c r="M62" s="85"/>
      <c r="N62" s="166">
        <f>ROUND((+L62/$L$65)*100,1)</f>
        <v>-0.6</v>
      </c>
      <c r="O62" s="85"/>
      <c r="P62" s="167"/>
      <c r="Q62" s="346"/>
      <c r="R62" s="79">
        <f t="shared" si="0"/>
        <v>-224786</v>
      </c>
    </row>
    <row r="63" spans="1:43" ht="20.100000000000001" customHeight="1" x14ac:dyDescent="0.25">
      <c r="A63" s="159">
        <v>42</v>
      </c>
      <c r="B63" s="80"/>
      <c r="C63" s="253" t="s">
        <v>557</v>
      </c>
      <c r="D63" s="80"/>
      <c r="E63" s="80"/>
      <c r="F63" s="167"/>
      <c r="G63" s="70"/>
      <c r="H63" s="167"/>
      <c r="I63" s="70"/>
      <c r="J63" s="268"/>
      <c r="K63" s="70"/>
      <c r="L63" s="169">
        <f>SUM(L57:L62)</f>
        <v>1045059</v>
      </c>
      <c r="M63" s="85"/>
      <c r="N63" s="170">
        <f>ROUND((+L63/$L$65)*100,1)</f>
        <v>3</v>
      </c>
      <c r="O63" s="85"/>
      <c r="P63" s="169">
        <f>SUM(P57:P62)</f>
        <v>506755</v>
      </c>
      <c r="Q63" s="346"/>
      <c r="R63" s="169">
        <f>SUM(R57:R62)</f>
        <v>1551814</v>
      </c>
    </row>
    <row r="64" spans="1:43" x14ac:dyDescent="0.25">
      <c r="A64" s="159"/>
      <c r="B64" s="80"/>
      <c r="C64" s="82"/>
      <c r="D64" s="80"/>
      <c r="E64" s="80"/>
      <c r="F64" s="163"/>
      <c r="G64" s="70"/>
      <c r="H64" s="163"/>
      <c r="I64" s="70"/>
      <c r="J64" s="268"/>
      <c r="K64" s="70"/>
      <c r="L64" s="163"/>
      <c r="M64" s="85"/>
      <c r="N64" s="197"/>
      <c r="O64" s="85"/>
      <c r="P64" s="163"/>
      <c r="Q64" s="346"/>
      <c r="R64" s="163"/>
    </row>
    <row r="65" spans="1:43" ht="20.100000000000001" customHeight="1" thickBot="1" x14ac:dyDescent="0.3">
      <c r="A65" s="159">
        <v>43</v>
      </c>
      <c r="B65" s="80"/>
      <c r="C65" s="265" t="s">
        <v>562</v>
      </c>
      <c r="D65" s="80"/>
      <c r="E65" s="80"/>
      <c r="F65" s="275">
        <f>F54</f>
        <v>443</v>
      </c>
      <c r="G65" s="70"/>
      <c r="H65" s="275">
        <f>H54</f>
        <v>492952443</v>
      </c>
      <c r="I65" s="70"/>
      <c r="J65" s="70"/>
      <c r="K65" s="70"/>
      <c r="L65" s="275">
        <f>L54+L63</f>
        <v>34807039</v>
      </c>
      <c r="M65" s="70"/>
      <c r="N65" s="291">
        <v>100</v>
      </c>
      <c r="O65" s="70"/>
      <c r="P65" s="275">
        <f>P63</f>
        <v>506755</v>
      </c>
      <c r="Q65" s="230"/>
      <c r="R65" s="275">
        <f>R54+R63</f>
        <v>35313794</v>
      </c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188"/>
      <c r="AH65" s="80"/>
      <c r="AI65" s="80"/>
      <c r="AJ65" s="80"/>
      <c r="AK65" s="188"/>
      <c r="AL65" s="80"/>
      <c r="AM65" s="80"/>
      <c r="AN65" s="80"/>
      <c r="AO65" s="80"/>
      <c r="AP65" s="80"/>
      <c r="AQ65" s="188"/>
    </row>
    <row r="66" spans="1:43" ht="16.5" thickTop="1" x14ac:dyDescent="0.25">
      <c r="A66" s="80"/>
      <c r="B66" s="80"/>
      <c r="C66" s="80"/>
      <c r="D66" s="80"/>
      <c r="E66" s="80"/>
      <c r="F66" s="70"/>
      <c r="G66" s="70"/>
      <c r="H66" s="70"/>
      <c r="I66" s="70"/>
      <c r="J66" s="70"/>
      <c r="K66" s="70"/>
      <c r="L66" s="70"/>
      <c r="M66" s="70"/>
      <c r="N66" s="164"/>
      <c r="O66" s="70"/>
      <c r="P66" s="70"/>
      <c r="Q66" s="346"/>
      <c r="R66" s="7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188"/>
      <c r="AH66" s="80"/>
      <c r="AI66" s="80"/>
      <c r="AJ66" s="80"/>
      <c r="AK66" s="188"/>
      <c r="AL66" s="80"/>
      <c r="AM66" s="80"/>
      <c r="AN66" s="80"/>
      <c r="AO66" s="80"/>
      <c r="AP66" s="80"/>
      <c r="AQ66" s="188"/>
    </row>
    <row r="67" spans="1:43" x14ac:dyDescent="0.25">
      <c r="A67" s="80"/>
      <c r="B67" s="80"/>
      <c r="C67" s="173" t="s">
        <v>61</v>
      </c>
      <c r="D67" s="80"/>
      <c r="E67" s="80"/>
      <c r="F67" s="80"/>
      <c r="G67" s="80"/>
      <c r="H67" s="80"/>
      <c r="I67" s="80"/>
      <c r="J67" s="80"/>
      <c r="K67" s="80"/>
      <c r="L67" s="189"/>
      <c r="M67" s="80"/>
      <c r="N67" s="296"/>
      <c r="O67" s="80"/>
      <c r="P67" s="189"/>
      <c r="Q67" s="200"/>
      <c r="R67" s="189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188"/>
      <c r="AH67" s="80"/>
      <c r="AI67" s="80"/>
      <c r="AJ67" s="80"/>
      <c r="AK67" s="188"/>
      <c r="AL67" s="80"/>
      <c r="AM67" s="80"/>
      <c r="AN67" s="80"/>
      <c r="AO67" s="80"/>
      <c r="AP67" s="80"/>
      <c r="AQ67" s="188"/>
    </row>
    <row r="68" spans="1:43" x14ac:dyDescent="0.25">
      <c r="A68" s="80"/>
      <c r="B68" s="80"/>
      <c r="C68" s="173" t="str">
        <f>"(2) REFLECTS FUEL COMPONENT OF "&amp;TEXT(PRO_FAC,"$0.000000;($0.000000)")&amp;"  PER KWH."</f>
        <v>(2) REFLECTS FUEL COMPONENT OF $0.001028  PER KWH.</v>
      </c>
      <c r="D68" s="80"/>
      <c r="E68" s="80"/>
      <c r="F68" s="80"/>
      <c r="G68" s="80"/>
      <c r="H68" s="80"/>
      <c r="I68" s="80"/>
      <c r="J68" s="80"/>
      <c r="K68" s="80"/>
      <c r="L68" s="189"/>
      <c r="M68" s="80"/>
      <c r="N68" s="296"/>
      <c r="O68" s="80"/>
      <c r="P68" s="189"/>
      <c r="Q68" s="200"/>
      <c r="R68" s="189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188"/>
      <c r="AH68" s="80"/>
      <c r="AI68" s="80"/>
      <c r="AJ68" s="80"/>
      <c r="AK68" s="188"/>
      <c r="AL68" s="80"/>
      <c r="AM68" s="80"/>
      <c r="AN68" s="80"/>
      <c r="AO68" s="80"/>
      <c r="AP68" s="80"/>
      <c r="AQ68" s="188"/>
    </row>
    <row r="69" spans="1:43" x14ac:dyDescent="0.25">
      <c r="C69" s="173" t="str">
        <f>"(3) REFLECTS FUEL COST RECOVERY INCLUDED IN BASE RATES OF "&amp;TEXT(PRO_BASE_FUEL,"$0.000000;($0.000000)")&amp;"  PER KWH."</f>
        <v>(3) REFLECTS FUEL COST RECOVERY INCLUDED IN BASE RATES OF $0.023837  PER KWH.</v>
      </c>
      <c r="F69" s="211"/>
      <c r="H69" s="211"/>
      <c r="I69" s="80"/>
      <c r="J69" s="211"/>
      <c r="K69" s="80"/>
      <c r="L69" s="305"/>
      <c r="M69" s="80"/>
      <c r="N69" s="325"/>
      <c r="O69" s="80"/>
      <c r="P69" s="211"/>
      <c r="Q69" s="211"/>
      <c r="R69" s="211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188"/>
      <c r="AH69" s="80"/>
      <c r="AI69" s="80"/>
      <c r="AJ69" s="80"/>
      <c r="AK69" s="188"/>
      <c r="AL69" s="80"/>
      <c r="AM69" s="80"/>
      <c r="AN69" s="80"/>
      <c r="AO69" s="80"/>
      <c r="AP69" s="80"/>
      <c r="AQ69" s="188"/>
    </row>
    <row r="70" spans="1:43" x14ac:dyDescent="0.25">
      <c r="A70" s="202"/>
      <c r="C70" s="154"/>
      <c r="F70" s="200"/>
      <c r="H70" s="200"/>
      <c r="I70" s="80"/>
      <c r="J70" s="200"/>
      <c r="K70" s="80"/>
      <c r="L70" s="213"/>
      <c r="M70" s="80"/>
      <c r="N70" s="209"/>
      <c r="O70" s="80"/>
      <c r="P70" s="200"/>
      <c r="Q70" s="200"/>
      <c r="R70" s="20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188"/>
      <c r="AH70" s="80"/>
      <c r="AI70" s="80"/>
      <c r="AJ70" s="80"/>
      <c r="AK70" s="188"/>
      <c r="AL70" s="80"/>
      <c r="AM70" s="80"/>
      <c r="AN70" s="80"/>
      <c r="AO70" s="80"/>
      <c r="AP70" s="80"/>
      <c r="AQ70" s="188"/>
    </row>
    <row r="71" spans="1:43" x14ac:dyDescent="0.25">
      <c r="A71" s="202"/>
      <c r="C71" s="154"/>
      <c r="F71" s="200"/>
      <c r="H71" s="200"/>
      <c r="I71" s="80"/>
      <c r="J71" s="200"/>
      <c r="K71" s="80"/>
      <c r="L71" s="213"/>
      <c r="M71" s="80"/>
      <c r="N71" s="213"/>
      <c r="O71" s="80"/>
      <c r="P71" s="200"/>
      <c r="Q71" s="200"/>
      <c r="R71" s="20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188"/>
      <c r="AH71" s="80"/>
      <c r="AI71" s="80"/>
      <c r="AJ71" s="80"/>
      <c r="AK71" s="188"/>
      <c r="AL71" s="80"/>
      <c r="AM71" s="80"/>
      <c r="AN71" s="80"/>
      <c r="AO71" s="80"/>
      <c r="AP71" s="80"/>
      <c r="AQ71" s="188"/>
    </row>
    <row r="72" spans="1:43" x14ac:dyDescent="0.25">
      <c r="F72" s="200"/>
      <c r="H72" s="200"/>
      <c r="I72" s="80"/>
      <c r="J72" s="200"/>
      <c r="K72" s="80"/>
      <c r="L72" s="213"/>
      <c r="M72" s="80"/>
      <c r="N72" s="213"/>
      <c r="O72" s="80"/>
      <c r="P72" s="200"/>
      <c r="Q72" s="200"/>
      <c r="R72" s="20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188"/>
      <c r="AH72" s="80"/>
      <c r="AI72" s="80"/>
      <c r="AJ72" s="80"/>
      <c r="AK72" s="188"/>
      <c r="AL72" s="80"/>
      <c r="AM72" s="80"/>
      <c r="AN72" s="80"/>
      <c r="AO72" s="80"/>
      <c r="AP72" s="80"/>
      <c r="AQ72" s="188"/>
    </row>
    <row r="73" spans="1:43" x14ac:dyDescent="0.25">
      <c r="A73" s="154"/>
      <c r="F73" s="200"/>
      <c r="H73" s="200"/>
      <c r="I73" s="80"/>
      <c r="J73" s="202"/>
      <c r="K73" s="80"/>
      <c r="L73" s="213"/>
      <c r="M73" s="80"/>
      <c r="N73" s="213"/>
      <c r="O73" s="80"/>
      <c r="P73" s="200"/>
      <c r="Q73" s="200"/>
      <c r="R73" s="200"/>
      <c r="T73" s="150" t="str">
        <f>NAME</f>
        <v>DUKE ENERGY KENTUCKY, INC.</v>
      </c>
      <c r="U73" s="150"/>
      <c r="V73" s="150"/>
      <c r="W73" s="150"/>
      <c r="X73" s="150"/>
      <c r="Y73" s="150"/>
      <c r="Z73" s="150"/>
      <c r="AA73" s="150"/>
      <c r="AB73" s="150"/>
      <c r="AC73" s="187"/>
      <c r="AD73" s="187"/>
      <c r="AE73" s="150"/>
      <c r="AF73" s="100"/>
      <c r="AG73" s="190"/>
      <c r="AH73" s="100"/>
      <c r="AI73" s="150"/>
      <c r="AJ73" s="150"/>
      <c r="AK73" s="190"/>
      <c r="AL73" s="150"/>
      <c r="AM73" s="150"/>
      <c r="AN73" s="100"/>
      <c r="AO73" s="150"/>
      <c r="AP73" s="150"/>
      <c r="AQ73" s="190"/>
    </row>
    <row r="74" spans="1:43" x14ac:dyDescent="0.25">
      <c r="A74" s="154"/>
      <c r="F74" s="200"/>
      <c r="H74" s="200"/>
      <c r="I74" s="80"/>
      <c r="J74" s="200"/>
      <c r="K74" s="80"/>
      <c r="L74" s="213"/>
      <c r="M74" s="80"/>
      <c r="N74" s="213"/>
      <c r="O74" s="80"/>
      <c r="P74" s="200"/>
      <c r="Q74" s="200"/>
      <c r="R74" s="200"/>
      <c r="T74" s="150" t="str">
        <f>CASE_NO</f>
        <v>CASE NO.   2017-00321</v>
      </c>
      <c r="U74" s="150"/>
      <c r="V74" s="150"/>
      <c r="W74" s="150"/>
      <c r="X74" s="150"/>
      <c r="Y74" s="150"/>
      <c r="Z74" s="150"/>
      <c r="AA74" s="150"/>
      <c r="AB74" s="150"/>
      <c r="AC74" s="187"/>
      <c r="AD74" s="187"/>
      <c r="AE74" s="150"/>
      <c r="AF74" s="100"/>
      <c r="AG74" s="190"/>
      <c r="AH74" s="100"/>
      <c r="AI74" s="150"/>
      <c r="AJ74" s="150"/>
      <c r="AK74" s="190"/>
      <c r="AL74" s="150"/>
      <c r="AM74" s="150"/>
      <c r="AN74" s="100"/>
      <c r="AO74" s="150"/>
      <c r="AP74" s="150"/>
      <c r="AQ74" s="190"/>
    </row>
    <row r="75" spans="1:43" x14ac:dyDescent="0.25">
      <c r="F75" s="311"/>
      <c r="I75" s="80"/>
      <c r="K75" s="80"/>
      <c r="M75" s="80"/>
      <c r="O75" s="80"/>
      <c r="T75" s="187" t="str">
        <f>TITLE</f>
        <v>ANNUALIZED BASE YEAR REVENUES AT PROPOSED VS. MOST CURRENT RATES</v>
      </c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00"/>
      <c r="AG75" s="190"/>
      <c r="AH75" s="100"/>
      <c r="AI75" s="150"/>
      <c r="AJ75" s="150"/>
      <c r="AK75" s="190"/>
      <c r="AL75" s="150"/>
      <c r="AM75" s="150"/>
      <c r="AN75" s="100"/>
      <c r="AO75" s="150"/>
      <c r="AP75" s="150"/>
      <c r="AQ75" s="190"/>
    </row>
    <row r="76" spans="1:43" x14ac:dyDescent="0.25">
      <c r="I76" s="80"/>
      <c r="K76" s="80"/>
      <c r="M76" s="80"/>
      <c r="O76" s="80"/>
      <c r="T76" s="150" t="str">
        <f>DATE</f>
        <v>FOR THE TWELVE MONTHS ENDED November 30, 2017</v>
      </c>
      <c r="U76" s="150"/>
      <c r="V76" s="150"/>
      <c r="W76" s="150"/>
      <c r="X76" s="150"/>
      <c r="Y76" s="150"/>
      <c r="Z76" s="150"/>
      <c r="AA76" s="150"/>
      <c r="AB76" s="150"/>
      <c r="AC76" s="187"/>
      <c r="AD76" s="187"/>
      <c r="AE76" s="150"/>
      <c r="AF76" s="100"/>
      <c r="AG76" s="190"/>
      <c r="AH76" s="100"/>
      <c r="AI76" s="150"/>
      <c r="AJ76" s="150"/>
      <c r="AK76" s="190"/>
      <c r="AL76" s="150"/>
      <c r="AM76" s="150"/>
      <c r="AN76" s="100"/>
      <c r="AO76" s="150"/>
      <c r="AP76" s="150"/>
      <c r="AQ76" s="190"/>
    </row>
    <row r="77" spans="1:43" x14ac:dyDescent="0.25">
      <c r="I77" s="80"/>
      <c r="K77" s="80"/>
      <c r="M77" s="80"/>
      <c r="O77" s="80"/>
      <c r="P77" s="200"/>
      <c r="Q77" s="200"/>
      <c r="R77" s="200"/>
      <c r="T77" s="150" t="str">
        <f>SERVICE</f>
        <v>(ELECTRIC SERVICE)</v>
      </c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87"/>
      <c r="AF77" s="312"/>
      <c r="AG77" s="190"/>
      <c r="AH77" s="100"/>
      <c r="AI77" s="150"/>
      <c r="AJ77" s="150"/>
      <c r="AK77" s="190"/>
      <c r="AL77" s="150"/>
      <c r="AM77" s="150"/>
      <c r="AN77" s="100"/>
      <c r="AO77" s="150"/>
      <c r="AP77" s="150"/>
      <c r="AQ77" s="190"/>
    </row>
    <row r="78" spans="1:43" x14ac:dyDescent="0.25">
      <c r="I78" s="80"/>
      <c r="K78" s="80"/>
      <c r="M78" s="80"/>
      <c r="O78" s="80"/>
      <c r="T78" s="159" t="str">
        <f>DATA_PERIOD</f>
        <v>DATA: __X__ BASE PERIOD   ____FORECASTED PERIOD</v>
      </c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G78" s="188"/>
      <c r="AI78" s="80"/>
      <c r="AJ78" s="80"/>
      <c r="AK78" s="188"/>
      <c r="AL78" s="80"/>
      <c r="AM78" s="80"/>
      <c r="AO78" s="82" t="s">
        <v>179</v>
      </c>
      <c r="AP78" s="82"/>
      <c r="AQ78" s="188"/>
    </row>
    <row r="79" spans="1:43" x14ac:dyDescent="0.25">
      <c r="I79" s="80"/>
      <c r="K79" s="80"/>
      <c r="L79" s="202"/>
      <c r="M79" s="80"/>
      <c r="N79" s="202"/>
      <c r="O79" s="80"/>
      <c r="T79" s="159" t="str">
        <f>TYPE</f>
        <v>TYPE OF FILING: _X_ ORIGINAL   ___UPDATED  ___ REVISED</v>
      </c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G79" s="188"/>
      <c r="AI79" s="80"/>
      <c r="AJ79" s="80"/>
      <c r="AK79" s="188"/>
      <c r="AL79" s="80"/>
      <c r="AM79" s="80"/>
      <c r="AO79" s="81" t="str">
        <f>R7</f>
        <v>PAGE  4  OF  22</v>
      </c>
      <c r="AP79" s="82"/>
      <c r="AQ79" s="188"/>
    </row>
    <row r="80" spans="1:43" x14ac:dyDescent="0.25">
      <c r="H80" s="154"/>
      <c r="I80" s="80"/>
      <c r="J80" s="154"/>
      <c r="K80" s="80"/>
      <c r="M80" s="80"/>
      <c r="O80" s="80"/>
      <c r="T80" s="82" t="s">
        <v>192</v>
      </c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G80" s="188"/>
      <c r="AI80" s="80"/>
      <c r="AJ80" s="80"/>
      <c r="AK80" s="188"/>
      <c r="AL80" s="80"/>
      <c r="AM80" s="80"/>
      <c r="AO80" s="82" t="s">
        <v>3</v>
      </c>
      <c r="AP80" s="82"/>
      <c r="AQ80" s="188"/>
    </row>
    <row r="81" spans="1:43" x14ac:dyDescent="0.25">
      <c r="I81" s="80"/>
      <c r="K81" s="80"/>
      <c r="L81" s="202"/>
      <c r="M81" s="80"/>
      <c r="N81" s="202"/>
      <c r="O81" s="80"/>
      <c r="T81" s="253" t="str">
        <f>TIME</f>
        <v>6 Months Actual and 6 Months Projected</v>
      </c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G81" s="188"/>
      <c r="AI81" s="80"/>
      <c r="AJ81" s="80"/>
      <c r="AK81" s="188"/>
      <c r="AL81" s="80"/>
      <c r="AM81" s="80"/>
      <c r="AO81" s="159" t="str">
        <f>WIT</f>
        <v>B. L. SAILERS</v>
      </c>
      <c r="AP81" s="159"/>
      <c r="AQ81" s="188"/>
    </row>
    <row r="82" spans="1:43" x14ac:dyDescent="0.25">
      <c r="I82" s="80"/>
      <c r="K82" s="80"/>
      <c r="L82" s="202"/>
      <c r="M82" s="80"/>
      <c r="N82" s="202"/>
      <c r="O82" s="80"/>
      <c r="T82" s="253" t="str">
        <f>INPUT!B5</f>
        <v>6 Months Actual Ending May 31, 2017</v>
      </c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G82" s="188"/>
      <c r="AI82" s="80"/>
      <c r="AJ82" s="80"/>
      <c r="AK82" s="188"/>
      <c r="AL82" s="80"/>
      <c r="AM82" s="80"/>
      <c r="AO82" s="159"/>
      <c r="AP82" s="159"/>
      <c r="AQ82" s="188"/>
    </row>
    <row r="83" spans="1:43" x14ac:dyDescent="0.25">
      <c r="I83" s="80"/>
      <c r="K83" s="80"/>
      <c r="M83" s="80"/>
      <c r="O83" s="80"/>
      <c r="P83" s="154"/>
      <c r="T83" s="187" t="s">
        <v>152</v>
      </c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00"/>
      <c r="AG83" s="190"/>
      <c r="AH83" s="100"/>
      <c r="AI83" s="150"/>
      <c r="AJ83" s="150"/>
      <c r="AK83" s="190"/>
      <c r="AL83" s="150"/>
      <c r="AM83" s="150"/>
      <c r="AN83" s="100"/>
      <c r="AO83" s="150"/>
      <c r="AP83" s="150"/>
      <c r="AQ83" s="190"/>
    </row>
    <row r="84" spans="1:43" x14ac:dyDescent="0.25">
      <c r="A84" s="202"/>
      <c r="I84" s="80"/>
      <c r="K84" s="80"/>
      <c r="M84" s="80"/>
      <c r="R84" s="1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5"/>
      <c r="AH84" s="254"/>
      <c r="AI84" s="254"/>
      <c r="AJ84" s="254"/>
      <c r="AK84" s="255"/>
      <c r="AL84" s="254"/>
      <c r="AM84" s="254"/>
      <c r="AN84" s="254"/>
      <c r="AO84" s="254"/>
      <c r="AP84" s="254"/>
      <c r="AQ84" s="255"/>
    </row>
    <row r="85" spans="1:43" ht="18" customHeight="1" x14ac:dyDescent="0.25">
      <c r="A85" s="202"/>
      <c r="I85" s="80"/>
      <c r="K85" s="80"/>
      <c r="M85" s="80"/>
      <c r="R85" s="154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3" t="s">
        <v>8</v>
      </c>
      <c r="AF85" s="103"/>
      <c r="AG85" s="195" t="s">
        <v>7</v>
      </c>
      <c r="AH85" s="103"/>
      <c r="AI85" s="83" t="s">
        <v>9</v>
      </c>
      <c r="AJ85" s="83"/>
      <c r="AK85" s="195" t="s">
        <v>10</v>
      </c>
      <c r="AL85" s="83"/>
      <c r="AM85" s="80"/>
      <c r="AO85" s="83" t="s">
        <v>8</v>
      </c>
      <c r="AP85" s="83"/>
      <c r="AQ85" s="195" t="s">
        <v>11</v>
      </c>
    </row>
    <row r="86" spans="1:43" x14ac:dyDescent="0.25">
      <c r="A86" s="154"/>
      <c r="I86" s="80"/>
      <c r="K86" s="80"/>
      <c r="M86" s="80"/>
      <c r="R86" s="154"/>
      <c r="T86" s="80"/>
      <c r="U86" s="80"/>
      <c r="V86" s="80"/>
      <c r="W86" s="80"/>
      <c r="X86" s="80"/>
      <c r="Y86" s="80"/>
      <c r="Z86" s="80"/>
      <c r="AA86" s="80"/>
      <c r="AB86" s="80"/>
      <c r="AC86" s="83" t="s">
        <v>14</v>
      </c>
      <c r="AD86" s="83"/>
      <c r="AE86" s="83" t="s">
        <v>12</v>
      </c>
      <c r="AF86" s="103"/>
      <c r="AG86" s="195" t="s">
        <v>13</v>
      </c>
      <c r="AH86" s="103"/>
      <c r="AI86" s="83" t="s">
        <v>15</v>
      </c>
      <c r="AJ86" s="83"/>
      <c r="AK86" s="195" t="s">
        <v>16</v>
      </c>
      <c r="AL86" s="83"/>
      <c r="AM86" s="80"/>
      <c r="AO86" s="83" t="s">
        <v>11</v>
      </c>
      <c r="AP86" s="83"/>
      <c r="AQ86" s="195" t="s">
        <v>9</v>
      </c>
    </row>
    <row r="87" spans="1:43" x14ac:dyDescent="0.25">
      <c r="I87" s="80"/>
      <c r="K87" s="80"/>
      <c r="M87" s="80"/>
      <c r="O87" s="154"/>
      <c r="R87" s="202"/>
      <c r="T87" s="83" t="s">
        <v>17</v>
      </c>
      <c r="U87" s="80"/>
      <c r="V87" s="83" t="s">
        <v>18</v>
      </c>
      <c r="W87" s="83" t="s">
        <v>19</v>
      </c>
      <c r="X87" s="83"/>
      <c r="Y87" s="83" t="s">
        <v>20</v>
      </c>
      <c r="Z87" s="80"/>
      <c r="AA87" s="80"/>
      <c r="AB87" s="80"/>
      <c r="AC87" s="83" t="s">
        <v>8</v>
      </c>
      <c r="AD87" s="83"/>
      <c r="AE87" s="83" t="s">
        <v>21</v>
      </c>
      <c r="AF87" s="103"/>
      <c r="AG87" s="195" t="s">
        <v>21</v>
      </c>
      <c r="AH87" s="103"/>
      <c r="AI87" s="83" t="s">
        <v>22</v>
      </c>
      <c r="AJ87" s="83"/>
      <c r="AK87" s="195" t="s">
        <v>22</v>
      </c>
      <c r="AL87" s="83"/>
      <c r="AM87" s="83" t="s">
        <v>21</v>
      </c>
      <c r="AN87" s="103"/>
      <c r="AO87" s="83" t="s">
        <v>9</v>
      </c>
      <c r="AP87" s="83"/>
      <c r="AQ87" s="195" t="s">
        <v>23</v>
      </c>
    </row>
    <row r="88" spans="1:43" x14ac:dyDescent="0.25">
      <c r="A88" s="102"/>
      <c r="B88" s="102"/>
      <c r="C88" s="102"/>
      <c r="D88" s="102"/>
      <c r="E88" s="102"/>
      <c r="F88" s="102"/>
      <c r="G88" s="102"/>
      <c r="H88" s="102"/>
      <c r="I88" s="80"/>
      <c r="J88" s="102"/>
      <c r="K88" s="80"/>
      <c r="L88" s="102"/>
      <c r="M88" s="80"/>
      <c r="N88" s="102"/>
      <c r="O88" s="102"/>
      <c r="P88" s="102"/>
      <c r="Q88" s="102"/>
      <c r="R88" s="102"/>
      <c r="T88" s="83" t="s">
        <v>24</v>
      </c>
      <c r="U88" s="80"/>
      <c r="V88" s="83" t="s">
        <v>25</v>
      </c>
      <c r="W88" s="83" t="s">
        <v>26</v>
      </c>
      <c r="X88" s="83"/>
      <c r="Y88" s="83" t="s">
        <v>27</v>
      </c>
      <c r="Z88" s="80"/>
      <c r="AA88" s="83" t="s">
        <v>28</v>
      </c>
      <c r="AB88" s="83"/>
      <c r="AC88" s="83" t="s">
        <v>29</v>
      </c>
      <c r="AD88" s="83"/>
      <c r="AE88" s="83" t="s">
        <v>9</v>
      </c>
      <c r="AF88" s="103"/>
      <c r="AG88" s="195" t="s">
        <v>9</v>
      </c>
      <c r="AH88" s="103"/>
      <c r="AI88" s="256" t="s">
        <v>31</v>
      </c>
      <c r="AJ88" s="256"/>
      <c r="AK88" s="257" t="s">
        <v>32</v>
      </c>
      <c r="AL88" s="83"/>
      <c r="AM88" s="83" t="s">
        <v>430</v>
      </c>
      <c r="AN88" s="103"/>
      <c r="AO88" s="256" t="s">
        <v>33</v>
      </c>
      <c r="AP88" s="256"/>
      <c r="AQ88" s="257" t="s">
        <v>34</v>
      </c>
    </row>
    <row r="89" spans="1:43" x14ac:dyDescent="0.25">
      <c r="I89" s="80"/>
      <c r="K89" s="80"/>
      <c r="M89" s="80"/>
      <c r="O89" s="103"/>
      <c r="P89" s="103"/>
      <c r="R89" s="103"/>
      <c r="T89" s="80"/>
      <c r="U89" s="80"/>
      <c r="V89" s="256" t="s">
        <v>35</v>
      </c>
      <c r="W89" s="256" t="s">
        <v>36</v>
      </c>
      <c r="X89" s="256"/>
      <c r="Y89" s="256" t="s">
        <v>37</v>
      </c>
      <c r="Z89" s="258"/>
      <c r="AA89" s="256" t="s">
        <v>38</v>
      </c>
      <c r="AB89" s="256"/>
      <c r="AC89" s="256" t="s">
        <v>44</v>
      </c>
      <c r="AD89" s="256"/>
      <c r="AE89" s="256" t="s">
        <v>45</v>
      </c>
      <c r="AF89" s="313"/>
      <c r="AG89" s="257" t="s">
        <v>46</v>
      </c>
      <c r="AH89" s="313"/>
      <c r="AI89" s="256" t="s">
        <v>47</v>
      </c>
      <c r="AJ89" s="256"/>
      <c r="AK89" s="257" t="s">
        <v>48</v>
      </c>
      <c r="AL89" s="256"/>
      <c r="AM89" s="256" t="s">
        <v>42</v>
      </c>
      <c r="AN89" s="313"/>
      <c r="AO89" s="256" t="s">
        <v>49</v>
      </c>
      <c r="AP89" s="256"/>
      <c r="AQ89" s="257" t="s">
        <v>50</v>
      </c>
    </row>
    <row r="90" spans="1:43" x14ac:dyDescent="0.25">
      <c r="I90" s="80"/>
      <c r="K90" s="80"/>
      <c r="M90" s="80"/>
      <c r="O90" s="103"/>
      <c r="P90" s="103"/>
      <c r="R90" s="103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5"/>
      <c r="AH90" s="254"/>
      <c r="AI90" s="254"/>
      <c r="AJ90" s="254"/>
      <c r="AK90" s="255"/>
      <c r="AL90" s="254"/>
      <c r="AM90" s="254"/>
      <c r="AN90" s="254"/>
      <c r="AO90" s="254"/>
      <c r="AP90" s="254"/>
      <c r="AQ90" s="255"/>
    </row>
    <row r="91" spans="1:43" ht="17.100000000000001" customHeight="1" x14ac:dyDescent="0.25">
      <c r="A91" s="103"/>
      <c r="C91" s="103"/>
      <c r="D91" s="103"/>
      <c r="E91" s="103"/>
      <c r="F91" s="103"/>
      <c r="I91" s="80"/>
      <c r="K91" s="80"/>
      <c r="L91" s="103"/>
      <c r="M91" s="80"/>
      <c r="N91" s="103"/>
      <c r="O91" s="103"/>
      <c r="P91" s="103"/>
      <c r="Q91" s="103"/>
      <c r="R91" s="103"/>
      <c r="T91" s="80"/>
      <c r="U91" s="80"/>
      <c r="V91" s="80"/>
      <c r="W91" s="80"/>
      <c r="X91" s="80"/>
      <c r="Y91" s="80"/>
      <c r="Z91" s="80"/>
      <c r="AA91" s="260" t="s">
        <v>218</v>
      </c>
      <c r="AB91" s="259"/>
      <c r="AC91" s="260" t="s">
        <v>441</v>
      </c>
      <c r="AD91" s="259"/>
      <c r="AE91" s="259" t="s">
        <v>52</v>
      </c>
      <c r="AF91" s="314"/>
      <c r="AG91" s="261" t="s">
        <v>53</v>
      </c>
      <c r="AH91" s="314"/>
      <c r="AI91" s="259" t="s">
        <v>52</v>
      </c>
      <c r="AJ91" s="259"/>
      <c r="AK91" s="261" t="s">
        <v>53</v>
      </c>
      <c r="AL91" s="259"/>
      <c r="AM91" s="259" t="s">
        <v>52</v>
      </c>
      <c r="AN91" s="314"/>
      <c r="AO91" s="259" t="s">
        <v>52</v>
      </c>
      <c r="AP91" s="259"/>
      <c r="AQ91" s="261" t="s">
        <v>53</v>
      </c>
    </row>
    <row r="92" spans="1:43" x14ac:dyDescent="0.25">
      <c r="A92" s="103"/>
      <c r="C92" s="103"/>
      <c r="D92" s="103"/>
      <c r="E92" s="103"/>
      <c r="F92" s="103"/>
      <c r="H92" s="103"/>
      <c r="I92" s="80"/>
      <c r="J92" s="103"/>
      <c r="K92" s="80"/>
      <c r="L92" s="103"/>
      <c r="M92" s="80"/>
      <c r="N92" s="103"/>
      <c r="O92" s="103"/>
      <c r="P92" s="103"/>
      <c r="Q92" s="103"/>
      <c r="R92" s="103"/>
      <c r="T92" s="159">
        <v>1</v>
      </c>
      <c r="U92" s="80"/>
      <c r="V92" s="253" t="s">
        <v>491</v>
      </c>
      <c r="W92" s="253" t="s">
        <v>488</v>
      </c>
      <c r="X92" s="82"/>
      <c r="Y92" s="70"/>
      <c r="Z92" s="70"/>
      <c r="AA92" s="298"/>
      <c r="AB92" s="298"/>
      <c r="AC92" s="299" t="s">
        <v>435</v>
      </c>
      <c r="AD92" s="298"/>
      <c r="AE92" s="298"/>
      <c r="AF92" s="298"/>
      <c r="AG92" s="316"/>
      <c r="AH92" s="298"/>
      <c r="AI92" s="298"/>
      <c r="AJ92" s="298"/>
      <c r="AK92" s="316"/>
      <c r="AL92" s="298"/>
      <c r="AM92" s="298"/>
      <c r="AN92" s="298"/>
      <c r="AO92" s="315"/>
      <c r="AP92" s="315"/>
      <c r="AQ92" s="350"/>
    </row>
    <row r="93" spans="1:43" x14ac:dyDescent="0.25">
      <c r="C93" s="103"/>
      <c r="D93" s="103"/>
      <c r="E93" s="103"/>
      <c r="F93" s="103"/>
      <c r="H93" s="103"/>
      <c r="I93" s="80"/>
      <c r="J93" s="103"/>
      <c r="K93" s="80"/>
      <c r="L93" s="103"/>
      <c r="M93" s="80"/>
      <c r="N93" s="103"/>
      <c r="O93" s="103"/>
      <c r="P93" s="103"/>
      <c r="Q93" s="103"/>
      <c r="R93" s="103"/>
      <c r="T93" s="159">
        <v>2</v>
      </c>
      <c r="U93" s="80"/>
      <c r="V93" s="253" t="s">
        <v>56</v>
      </c>
      <c r="W93" s="80"/>
      <c r="X93" s="80"/>
      <c r="Y93" s="70"/>
      <c r="Z93" s="70"/>
      <c r="AA93" s="70"/>
      <c r="AB93" s="70"/>
      <c r="AC93" s="70"/>
      <c r="AD93" s="70"/>
      <c r="AE93" s="70"/>
      <c r="AF93" s="70"/>
      <c r="AG93" s="164"/>
      <c r="AH93" s="70"/>
      <c r="AI93" s="70"/>
      <c r="AJ93" s="70"/>
      <c r="AK93" s="164"/>
      <c r="AL93" s="70"/>
      <c r="AM93" s="70"/>
      <c r="AN93" s="70"/>
      <c r="AO93" s="85"/>
      <c r="AP93" s="85"/>
      <c r="AQ93" s="351"/>
    </row>
    <row r="94" spans="1:43" x14ac:dyDescent="0.25">
      <c r="H94" s="103"/>
      <c r="I94" s="80"/>
      <c r="J94" s="103"/>
      <c r="K94" s="80"/>
      <c r="L94" s="103"/>
      <c r="M94" s="80"/>
      <c r="N94" s="103"/>
      <c r="O94" s="103"/>
      <c r="P94" s="103"/>
      <c r="Q94" s="103"/>
      <c r="R94" s="103"/>
      <c r="T94" s="159">
        <v>3</v>
      </c>
      <c r="U94" s="80"/>
      <c r="V94" s="253" t="s">
        <v>155</v>
      </c>
      <c r="W94" s="80"/>
      <c r="X94" s="80"/>
      <c r="Y94" s="70"/>
      <c r="Z94" s="70"/>
      <c r="AA94" s="70"/>
      <c r="AB94" s="70"/>
      <c r="AC94" s="70"/>
      <c r="AD94" s="70"/>
      <c r="AE94" s="70"/>
      <c r="AF94" s="70"/>
      <c r="AG94" s="164"/>
      <c r="AH94" s="70"/>
      <c r="AI94" s="70"/>
      <c r="AJ94" s="70"/>
      <c r="AK94" s="164"/>
      <c r="AL94" s="70"/>
      <c r="AM94" s="70"/>
      <c r="AN94" s="70"/>
      <c r="AO94" s="85"/>
      <c r="AP94" s="85"/>
      <c r="AQ94" s="351"/>
    </row>
    <row r="95" spans="1:43" x14ac:dyDescent="0.25">
      <c r="I95" s="80"/>
      <c r="K95" s="80"/>
      <c r="M95" s="80"/>
      <c r="T95" s="159">
        <v>4</v>
      </c>
      <c r="U95" s="80"/>
      <c r="V95" s="82" t="s">
        <v>166</v>
      </c>
      <c r="W95" s="80"/>
      <c r="X95" s="80"/>
      <c r="Y95" s="79">
        <f>F23</f>
        <v>148</v>
      </c>
      <c r="Z95" s="70"/>
      <c r="AA95" s="78"/>
      <c r="AB95" s="78"/>
      <c r="AC95" s="283">
        <f>INPUT!C70</f>
        <v>100</v>
      </c>
      <c r="AD95" s="284"/>
      <c r="AE95" s="79">
        <f>ROUND(+Y95*AC95,0)</f>
        <v>14800</v>
      </c>
      <c r="AF95" s="70"/>
      <c r="AG95" s="166">
        <f t="shared" ref="AG95:AG96" si="2">ROUND((+AE95/$AE$137)*100,1)</f>
        <v>0</v>
      </c>
      <c r="AH95" s="70"/>
      <c r="AI95" s="79">
        <f>L23-AE95</f>
        <v>54020</v>
      </c>
      <c r="AJ95" s="79"/>
      <c r="AK95" s="166">
        <f>IF(AE95=0,0,ROUND((AI95/AE95)*100,1))</f>
        <v>365</v>
      </c>
      <c r="AL95" s="158"/>
      <c r="AM95" s="79"/>
      <c r="AN95" s="70"/>
      <c r="AO95" s="79">
        <f>AE95+AM95</f>
        <v>14800</v>
      </c>
      <c r="AP95" s="70"/>
      <c r="AQ95" s="155">
        <f>ROUND((+AI95/AO95)*100,1)</f>
        <v>365</v>
      </c>
    </row>
    <row r="96" spans="1:43" ht="20.100000000000001" customHeight="1" x14ac:dyDescent="0.25">
      <c r="A96" s="202"/>
      <c r="C96" s="154"/>
      <c r="F96" s="252"/>
      <c r="H96" s="252"/>
      <c r="I96" s="80"/>
      <c r="J96" s="252"/>
      <c r="K96" s="80"/>
      <c r="L96" s="300"/>
      <c r="M96" s="80"/>
      <c r="N96" s="300"/>
      <c r="O96" s="200"/>
      <c r="P96" s="210"/>
      <c r="Q96" s="202"/>
      <c r="R96" s="200"/>
      <c r="T96" s="159">
        <v>5</v>
      </c>
      <c r="U96" s="80"/>
      <c r="V96" s="253" t="s">
        <v>158</v>
      </c>
      <c r="W96" s="80"/>
      <c r="X96" s="80"/>
      <c r="Y96" s="169">
        <f>F24</f>
        <v>148</v>
      </c>
      <c r="Z96" s="70"/>
      <c r="AA96" s="79"/>
      <c r="AB96" s="79"/>
      <c r="AC96" s="263"/>
      <c r="AD96" s="263"/>
      <c r="AE96" s="169">
        <f>SUM(AE95:AE95)</f>
        <v>14800</v>
      </c>
      <c r="AF96" s="70"/>
      <c r="AG96" s="170">
        <f t="shared" si="2"/>
        <v>0</v>
      </c>
      <c r="AH96" s="70"/>
      <c r="AI96" s="169">
        <f>SUM(AI95:AI95)</f>
        <v>54020</v>
      </c>
      <c r="AJ96" s="163"/>
      <c r="AK96" s="170">
        <f>IF(AE96=0,0,ROUND((AI96/AE96)*100,1))</f>
        <v>365</v>
      </c>
      <c r="AL96" s="158"/>
      <c r="AM96" s="169"/>
      <c r="AN96" s="70"/>
      <c r="AO96" s="169">
        <f>SUM(AO95:AO95)</f>
        <v>14800</v>
      </c>
      <c r="AP96" s="70"/>
      <c r="AQ96" s="155">
        <f>ROUND((+AI96/AO96)*100,1)</f>
        <v>365</v>
      </c>
    </row>
    <row r="97" spans="1:43" x14ac:dyDescent="0.25">
      <c r="A97" s="202"/>
      <c r="C97" s="154"/>
      <c r="F97" s="252"/>
      <c r="H97" s="252"/>
      <c r="I97" s="80"/>
      <c r="J97" s="252"/>
      <c r="K97" s="80"/>
      <c r="L97" s="300"/>
      <c r="M97" s="80"/>
      <c r="N97" s="300"/>
      <c r="O97" s="200"/>
      <c r="P97" s="210"/>
      <c r="Q97" s="202"/>
      <c r="R97" s="200"/>
      <c r="T97" s="159">
        <v>6</v>
      </c>
      <c r="U97" s="80"/>
      <c r="V97" s="253" t="s">
        <v>65</v>
      </c>
      <c r="W97" s="80"/>
      <c r="X97" s="80"/>
      <c r="Y97" s="78"/>
      <c r="Z97" s="70"/>
      <c r="AA97" s="78"/>
      <c r="AB97" s="78"/>
      <c r="AC97" s="339"/>
      <c r="AD97" s="339"/>
      <c r="AE97" s="79"/>
      <c r="AF97" s="70"/>
      <c r="AG97" s="155"/>
      <c r="AH97" s="70"/>
      <c r="AI97" s="79"/>
      <c r="AJ97" s="79"/>
      <c r="AK97" s="155"/>
      <c r="AL97" s="156"/>
      <c r="AM97" s="79"/>
      <c r="AN97" s="70"/>
      <c r="AO97" s="79"/>
      <c r="AP97" s="70"/>
      <c r="AQ97" s="155"/>
    </row>
    <row r="98" spans="1:43" x14ac:dyDescent="0.25">
      <c r="F98" s="211"/>
      <c r="H98" s="200"/>
      <c r="I98" s="80"/>
      <c r="J98" s="200"/>
      <c r="K98" s="80"/>
      <c r="L98" s="305"/>
      <c r="M98" s="80"/>
      <c r="N98" s="305"/>
      <c r="O98" s="211"/>
      <c r="P98" s="211"/>
      <c r="Q98" s="211"/>
      <c r="R98" s="211"/>
      <c r="T98" s="159">
        <v>7</v>
      </c>
      <c r="U98" s="80"/>
      <c r="V98" s="82" t="s">
        <v>66</v>
      </c>
      <c r="W98" s="80"/>
      <c r="X98" s="80"/>
      <c r="Y98" s="78"/>
      <c r="Z98" s="70"/>
      <c r="AA98" s="79">
        <f>H26</f>
        <v>327270</v>
      </c>
      <c r="AB98" s="79"/>
      <c r="AC98" s="283">
        <f>INPUT!C76</f>
        <v>12.75</v>
      </c>
      <c r="AD98" s="284"/>
      <c r="AE98" s="79">
        <f>ROUND(+AA98*AC98,0)</f>
        <v>4172693</v>
      </c>
      <c r="AF98" s="70"/>
      <c r="AG98" s="197">
        <f t="shared" ref="AG98:AG100" si="3">ROUND((+AE98/$AE$137)*100,1)</f>
        <v>13.5</v>
      </c>
      <c r="AH98" s="70"/>
      <c r="AI98" s="79">
        <f>L26-AE98</f>
        <v>536722</v>
      </c>
      <c r="AJ98" s="79"/>
      <c r="AK98" s="155">
        <f t="shared" ref="AK98:AK108" si="4">IF(AE98=0,0,ROUND((AI98/AE98)*100,1))</f>
        <v>12.9</v>
      </c>
      <c r="AL98" s="158"/>
      <c r="AM98" s="79"/>
      <c r="AN98" s="70"/>
      <c r="AO98" s="79">
        <f>AE98+AM98</f>
        <v>4172693</v>
      </c>
      <c r="AP98" s="70"/>
      <c r="AQ98" s="155">
        <v>0</v>
      </c>
    </row>
    <row r="99" spans="1:43" x14ac:dyDescent="0.25">
      <c r="A99" s="202"/>
      <c r="C99" s="154"/>
      <c r="F99" s="200"/>
      <c r="H99" s="200"/>
      <c r="I99" s="80"/>
      <c r="J99" s="200"/>
      <c r="K99" s="80"/>
      <c r="L99" s="305"/>
      <c r="M99" s="80"/>
      <c r="N99" s="305"/>
      <c r="O99" s="200"/>
      <c r="P99" s="210"/>
      <c r="Q99" s="200"/>
      <c r="R99" s="200"/>
      <c r="T99" s="159">
        <v>8</v>
      </c>
      <c r="U99" s="80"/>
      <c r="V99" s="82" t="s">
        <v>67</v>
      </c>
      <c r="W99" s="80"/>
      <c r="X99" s="80"/>
      <c r="Y99" s="78"/>
      <c r="Z99" s="70"/>
      <c r="AA99" s="167">
        <f>H27</f>
        <v>16385</v>
      </c>
      <c r="AB99" s="79"/>
      <c r="AC99" s="283">
        <f>INPUT!C77</f>
        <v>1.1499999999999999</v>
      </c>
      <c r="AD99" s="284"/>
      <c r="AE99" s="79">
        <f>ROUND(+AA99*AC99,0)</f>
        <v>18843</v>
      </c>
      <c r="AF99" s="70"/>
      <c r="AG99" s="166">
        <f t="shared" si="3"/>
        <v>0.1</v>
      </c>
      <c r="AH99" s="70"/>
      <c r="AI99" s="79">
        <f>L27-AE99</f>
        <v>2458</v>
      </c>
      <c r="AJ99" s="79"/>
      <c r="AK99" s="166">
        <f t="shared" si="4"/>
        <v>13</v>
      </c>
      <c r="AL99" s="158"/>
      <c r="AM99" s="79"/>
      <c r="AN99" s="70"/>
      <c r="AO99" s="79">
        <f>AE99+AM99</f>
        <v>18843</v>
      </c>
      <c r="AP99" s="70"/>
      <c r="AQ99" s="155">
        <f>ROUND((+AI99/AO99)*100,1)</f>
        <v>13</v>
      </c>
    </row>
    <row r="100" spans="1:43" ht="20.100000000000001" customHeight="1" x14ac:dyDescent="0.25">
      <c r="A100" s="202"/>
      <c r="C100" s="154"/>
      <c r="F100" s="252"/>
      <c r="H100" s="252"/>
      <c r="I100" s="80"/>
      <c r="J100" s="252"/>
      <c r="K100" s="80"/>
      <c r="L100" s="328"/>
      <c r="M100" s="80"/>
      <c r="N100" s="328"/>
      <c r="O100" s="200"/>
      <c r="P100" s="210"/>
      <c r="Q100" s="200"/>
      <c r="R100" s="200"/>
      <c r="S100" s="200"/>
      <c r="T100" s="159">
        <v>9</v>
      </c>
      <c r="U100" s="80"/>
      <c r="V100" s="253" t="s">
        <v>167</v>
      </c>
      <c r="W100" s="80"/>
      <c r="X100" s="80"/>
      <c r="Y100" s="79"/>
      <c r="Z100" s="70"/>
      <c r="AA100" s="169">
        <f>H28</f>
        <v>343655</v>
      </c>
      <c r="AB100" s="79"/>
      <c r="AC100" s="268"/>
      <c r="AD100" s="268"/>
      <c r="AE100" s="169">
        <f>SUM(AE98:AE99)</f>
        <v>4191536</v>
      </c>
      <c r="AF100" s="70"/>
      <c r="AG100" s="170">
        <f t="shared" si="3"/>
        <v>13.6</v>
      </c>
      <c r="AH100" s="70"/>
      <c r="AI100" s="169">
        <f>SUM(AI98:AI99)</f>
        <v>539180</v>
      </c>
      <c r="AJ100" s="163"/>
      <c r="AK100" s="170">
        <f t="shared" si="4"/>
        <v>12.9</v>
      </c>
      <c r="AL100" s="158"/>
      <c r="AM100" s="169"/>
      <c r="AN100" s="70"/>
      <c r="AO100" s="169">
        <f>SUM(AO98:AO99)</f>
        <v>4191536</v>
      </c>
      <c r="AP100" s="70"/>
      <c r="AQ100" s="155">
        <f>ROUND((+AI100/AO100)*100,1)</f>
        <v>12.9</v>
      </c>
    </row>
    <row r="101" spans="1:43" x14ac:dyDescent="0.25">
      <c r="A101" s="202"/>
      <c r="C101" s="154"/>
      <c r="F101" s="252"/>
      <c r="H101" s="252"/>
      <c r="I101" s="80"/>
      <c r="J101" s="252"/>
      <c r="K101" s="80"/>
      <c r="L101" s="300"/>
      <c r="M101" s="80"/>
      <c r="N101" s="300"/>
      <c r="O101" s="200"/>
      <c r="P101" s="210"/>
      <c r="Q101" s="200"/>
      <c r="R101" s="200"/>
      <c r="T101" s="159">
        <v>10</v>
      </c>
      <c r="U101" s="80"/>
      <c r="V101" s="253" t="s">
        <v>168</v>
      </c>
      <c r="W101" s="80"/>
      <c r="X101" s="80"/>
      <c r="Y101" s="79"/>
      <c r="Z101" s="70"/>
      <c r="AA101" s="79"/>
      <c r="AB101" s="79"/>
      <c r="AC101" s="268"/>
      <c r="AD101" s="268"/>
      <c r="AE101" s="79"/>
      <c r="AF101" s="70"/>
      <c r="AG101" s="155"/>
      <c r="AH101" s="70"/>
      <c r="AI101" s="79"/>
      <c r="AJ101" s="79"/>
      <c r="AK101" s="155"/>
      <c r="AL101" s="158"/>
      <c r="AM101" s="79"/>
      <c r="AN101" s="70"/>
      <c r="AO101" s="79"/>
      <c r="AP101" s="70"/>
      <c r="AQ101" s="155"/>
    </row>
    <row r="102" spans="1:43" x14ac:dyDescent="0.25">
      <c r="F102" s="200"/>
      <c r="H102" s="211"/>
      <c r="I102" s="80"/>
      <c r="J102" s="211"/>
      <c r="K102" s="80"/>
      <c r="L102" s="305"/>
      <c r="M102" s="80"/>
      <c r="N102" s="305"/>
      <c r="O102" s="211"/>
      <c r="P102" s="211"/>
      <c r="Q102" s="211"/>
      <c r="R102" s="211"/>
      <c r="T102" s="159">
        <v>11</v>
      </c>
      <c r="U102" s="80"/>
      <c r="V102" s="153" t="s">
        <v>169</v>
      </c>
      <c r="W102" s="80"/>
      <c r="X102" s="80"/>
      <c r="Y102" s="79"/>
      <c r="Z102" s="70"/>
      <c r="AA102" s="79">
        <f>H30</f>
        <v>130343</v>
      </c>
      <c r="AB102" s="79"/>
      <c r="AC102" s="283">
        <f>INPUT!C80</f>
        <v>-0.65</v>
      </c>
      <c r="AD102" s="352"/>
      <c r="AE102" s="79">
        <f>ROUND(+AA102*AC102,0)</f>
        <v>-84723</v>
      </c>
      <c r="AF102" s="70"/>
      <c r="AG102" s="197">
        <f>ROUND((+AE102/$AE$137)*100,1)</f>
        <v>-0.3</v>
      </c>
      <c r="AH102" s="70"/>
      <c r="AI102" s="79">
        <f>L30-AE102</f>
        <v>-10427</v>
      </c>
      <c r="AJ102" s="79"/>
      <c r="AK102" s="155">
        <f t="shared" si="4"/>
        <v>12.3</v>
      </c>
      <c r="AL102" s="158"/>
      <c r="AM102" s="79"/>
      <c r="AN102" s="70"/>
      <c r="AO102" s="79">
        <f>AE102+AM102</f>
        <v>-84723</v>
      </c>
      <c r="AP102" s="70"/>
      <c r="AQ102" s="155">
        <f>ROUND((+AI102/AO102)*100,1)</f>
        <v>12.3</v>
      </c>
    </row>
    <row r="103" spans="1:43" x14ac:dyDescent="0.25">
      <c r="A103" s="202"/>
      <c r="C103" s="154"/>
      <c r="F103" s="200"/>
      <c r="H103" s="200"/>
      <c r="I103" s="80"/>
      <c r="J103" s="200"/>
      <c r="K103" s="80"/>
      <c r="L103" s="305"/>
      <c r="M103" s="80"/>
      <c r="N103" s="305"/>
      <c r="O103" s="200"/>
      <c r="P103" s="210"/>
      <c r="Q103" s="200"/>
      <c r="R103" s="200"/>
      <c r="T103" s="159">
        <v>12</v>
      </c>
      <c r="U103" s="80"/>
      <c r="V103" s="153" t="s">
        <v>170</v>
      </c>
      <c r="W103" s="80"/>
      <c r="X103" s="80"/>
      <c r="Y103" s="70"/>
      <c r="Z103" s="70"/>
      <c r="AA103" s="167">
        <f>H31</f>
        <v>213311</v>
      </c>
      <c r="AB103" s="79"/>
      <c r="AC103" s="283">
        <f>INPUT!C81</f>
        <v>-0.5</v>
      </c>
      <c r="AD103" s="352"/>
      <c r="AE103" s="79">
        <f>ROUND(+AA103*AC103,0)</f>
        <v>-106656</v>
      </c>
      <c r="AF103" s="70"/>
      <c r="AG103" s="166">
        <f t="shared" ref="AG103:AG104" si="5">ROUND((+AE103/$AE$137)*100,1)</f>
        <v>-0.3</v>
      </c>
      <c r="AH103" s="70"/>
      <c r="AI103" s="79">
        <f>L31-AE103</f>
        <v>-12798</v>
      </c>
      <c r="AJ103" s="79"/>
      <c r="AK103" s="166">
        <f t="shared" si="4"/>
        <v>12</v>
      </c>
      <c r="AL103" s="158"/>
      <c r="AM103" s="79"/>
      <c r="AN103" s="70"/>
      <c r="AO103" s="79">
        <f>AE103+AM103</f>
        <v>-106656</v>
      </c>
      <c r="AP103" s="70"/>
      <c r="AQ103" s="155">
        <f>ROUND((+AI103/AO103)*100,1)</f>
        <v>12</v>
      </c>
    </row>
    <row r="104" spans="1:43" ht="20.100000000000001" customHeight="1" x14ac:dyDescent="0.25">
      <c r="A104" s="202"/>
      <c r="C104" s="154"/>
      <c r="F104" s="200"/>
      <c r="H104" s="200"/>
      <c r="I104" s="80"/>
      <c r="J104" s="200"/>
      <c r="K104" s="80"/>
      <c r="L104" s="305"/>
      <c r="M104" s="80"/>
      <c r="N104" s="305"/>
      <c r="O104" s="200"/>
      <c r="P104" s="200"/>
      <c r="Q104" s="200"/>
      <c r="R104" s="200"/>
      <c r="T104" s="159">
        <v>13</v>
      </c>
      <c r="U104" s="80"/>
      <c r="V104" s="253" t="s">
        <v>68</v>
      </c>
      <c r="W104" s="80"/>
      <c r="X104" s="80"/>
      <c r="Y104" s="79"/>
      <c r="Z104" s="70"/>
      <c r="AA104" s="167">
        <f>H32</f>
        <v>343654</v>
      </c>
      <c r="AB104" s="79"/>
      <c r="AC104" s="263"/>
      <c r="AD104" s="263"/>
      <c r="AE104" s="169">
        <f>AE100+AE102+AE103</f>
        <v>4000157</v>
      </c>
      <c r="AF104" s="70"/>
      <c r="AG104" s="170">
        <f t="shared" si="5"/>
        <v>13</v>
      </c>
      <c r="AH104" s="70"/>
      <c r="AI104" s="169">
        <f>AI100+AI102+AI103</f>
        <v>515955</v>
      </c>
      <c r="AJ104" s="163"/>
      <c r="AK104" s="170">
        <f t="shared" si="4"/>
        <v>12.9</v>
      </c>
      <c r="AL104" s="158"/>
      <c r="AM104" s="169"/>
      <c r="AN104" s="70"/>
      <c r="AO104" s="169">
        <f>AO100+AO102+AO103</f>
        <v>4000157</v>
      </c>
      <c r="AP104" s="70"/>
      <c r="AQ104" s="155">
        <f>ROUND((+AI104/AO104)*100,1)</f>
        <v>12.9</v>
      </c>
    </row>
    <row r="105" spans="1:43" x14ac:dyDescent="0.25">
      <c r="A105" s="202"/>
      <c r="C105" s="154"/>
      <c r="H105" s="252"/>
      <c r="I105" s="80"/>
      <c r="J105" s="252"/>
      <c r="K105" s="80"/>
      <c r="L105" s="329"/>
      <c r="M105" s="80"/>
      <c r="N105" s="329"/>
      <c r="O105" s="200"/>
      <c r="P105" s="210"/>
      <c r="Q105" s="200"/>
      <c r="R105" s="200"/>
      <c r="T105" s="159">
        <v>14</v>
      </c>
      <c r="U105" s="80"/>
      <c r="V105" s="253" t="s">
        <v>481</v>
      </c>
      <c r="W105" s="80"/>
      <c r="X105" s="80"/>
      <c r="Y105" s="79"/>
      <c r="Z105" s="70"/>
      <c r="AA105" s="79"/>
      <c r="AB105" s="79"/>
      <c r="AC105" s="263"/>
      <c r="AD105" s="263"/>
      <c r="AE105" s="79"/>
      <c r="AF105" s="70"/>
      <c r="AG105" s="155"/>
      <c r="AH105" s="70"/>
      <c r="AI105" s="79"/>
      <c r="AJ105" s="79"/>
      <c r="AK105" s="155"/>
      <c r="AL105" s="158"/>
      <c r="AM105" s="79"/>
      <c r="AN105" s="70"/>
      <c r="AO105" s="79"/>
      <c r="AP105" s="70"/>
      <c r="AQ105" s="155"/>
    </row>
    <row r="106" spans="1:43" x14ac:dyDescent="0.25">
      <c r="A106" s="202"/>
      <c r="C106" s="154"/>
      <c r="H106" s="252"/>
      <c r="I106" s="80"/>
      <c r="J106" s="252"/>
      <c r="K106" s="80"/>
      <c r="L106" s="329"/>
      <c r="M106" s="80"/>
      <c r="N106" s="329"/>
      <c r="O106" s="200"/>
      <c r="P106" s="210"/>
      <c r="Q106" s="200"/>
      <c r="R106" s="200"/>
      <c r="T106" s="159">
        <v>15</v>
      </c>
      <c r="U106" s="80"/>
      <c r="V106" s="82" t="s">
        <v>496</v>
      </c>
      <c r="W106" s="80"/>
      <c r="X106" s="80"/>
      <c r="Y106" s="79"/>
      <c r="Z106" s="70"/>
      <c r="AA106" s="79">
        <f>H34</f>
        <v>49861512</v>
      </c>
      <c r="AB106" s="70"/>
      <c r="AC106" s="288">
        <f>INPUT!C72</f>
        <v>4.4194999999999998E-2</v>
      </c>
      <c r="AD106" s="263"/>
      <c r="AE106" s="163">
        <f>ROUND((+AA106*AC106),0)</f>
        <v>2203630</v>
      </c>
      <c r="AF106" s="85"/>
      <c r="AG106" s="197">
        <f>ROUND((+AE106/$AE$137)*100,1)</f>
        <v>7.1</v>
      </c>
      <c r="AH106" s="85"/>
      <c r="AI106" s="163">
        <f>L34-AE106</f>
        <v>283213</v>
      </c>
      <c r="AJ106" s="163"/>
      <c r="AK106" s="197">
        <f t="shared" ref="AK106" si="6">IF(AE106=0,0,ROUND((AI106/AE106)*100,1))</f>
        <v>12.9</v>
      </c>
      <c r="AL106" s="199"/>
      <c r="AM106" s="163"/>
      <c r="AN106" s="85"/>
      <c r="AO106" s="163">
        <f>AE106+AM106</f>
        <v>2203630</v>
      </c>
      <c r="AP106" s="70"/>
      <c r="AQ106" s="155">
        <f>ROUND((+AI106/AO106)*100,1)</f>
        <v>12.9</v>
      </c>
    </row>
    <row r="107" spans="1:43" x14ac:dyDescent="0.25">
      <c r="F107" s="200"/>
      <c r="H107" s="200"/>
      <c r="I107" s="80"/>
      <c r="J107" s="200"/>
      <c r="K107" s="80"/>
      <c r="L107" s="305"/>
      <c r="M107" s="80"/>
      <c r="N107" s="305"/>
      <c r="O107" s="211"/>
      <c r="P107" s="211"/>
      <c r="Q107" s="211"/>
      <c r="R107" s="211"/>
      <c r="T107" s="159">
        <v>16</v>
      </c>
      <c r="U107" s="80"/>
      <c r="V107" s="82" t="s">
        <v>497</v>
      </c>
      <c r="W107" s="80"/>
      <c r="X107" s="80"/>
      <c r="Y107" s="286"/>
      <c r="Z107" s="70"/>
      <c r="AA107" s="167">
        <f>H35</f>
        <v>126004348</v>
      </c>
      <c r="AB107" s="79"/>
      <c r="AC107" s="288">
        <f>INPUT!C74</f>
        <v>3.6194999999999998E-2</v>
      </c>
      <c r="AD107" s="289"/>
      <c r="AE107" s="167">
        <f>ROUND((+AA107*AC107),0)</f>
        <v>4560727</v>
      </c>
      <c r="AF107" s="70"/>
      <c r="AG107" s="166">
        <f>ROUND((+AE107/$AE$137)*100,1)+0.1</f>
        <v>14.9</v>
      </c>
      <c r="AH107" s="70"/>
      <c r="AI107" s="167">
        <f>L35-AE107</f>
        <v>585795</v>
      </c>
      <c r="AJ107" s="79"/>
      <c r="AK107" s="166">
        <f t="shared" si="4"/>
        <v>12.8</v>
      </c>
      <c r="AL107" s="158"/>
      <c r="AM107" s="167"/>
      <c r="AN107" s="70"/>
      <c r="AO107" s="167">
        <f>AE107+AM107</f>
        <v>4560727</v>
      </c>
      <c r="AP107" s="70"/>
      <c r="AQ107" s="155">
        <f>ROUND((+AI107/AO107)*100,1)</f>
        <v>12.8</v>
      </c>
    </row>
    <row r="108" spans="1:43" ht="22.5" customHeight="1" x14ac:dyDescent="0.25">
      <c r="F108" s="200"/>
      <c r="H108" s="200"/>
      <c r="I108" s="80"/>
      <c r="J108" s="200"/>
      <c r="K108" s="80"/>
      <c r="L108" s="305"/>
      <c r="M108" s="80"/>
      <c r="N108" s="305"/>
      <c r="O108" s="211"/>
      <c r="P108" s="211"/>
      <c r="Q108" s="211"/>
      <c r="R108" s="211"/>
      <c r="T108" s="159">
        <v>17</v>
      </c>
      <c r="U108" s="80"/>
      <c r="V108" s="253" t="s">
        <v>58</v>
      </c>
      <c r="W108" s="80"/>
      <c r="X108" s="80"/>
      <c r="Y108" s="169">
        <f>F36</f>
        <v>148</v>
      </c>
      <c r="Z108" s="70"/>
      <c r="AA108" s="169">
        <f>H36</f>
        <v>175865860</v>
      </c>
      <c r="AB108" s="163"/>
      <c r="AC108" s="268"/>
      <c r="AD108" s="268"/>
      <c r="AE108" s="169">
        <f>AE96+AE104+AE106+AE107</f>
        <v>10779314</v>
      </c>
      <c r="AF108" s="70"/>
      <c r="AG108" s="170">
        <f t="shared" ref="AG108" si="7">ROUND((+AE108/$AE$137)*100,1)</f>
        <v>35</v>
      </c>
      <c r="AH108" s="70"/>
      <c r="AI108" s="169">
        <f>AI96+AI104+AI106+AI107</f>
        <v>1438983</v>
      </c>
      <c r="AJ108" s="163"/>
      <c r="AK108" s="170">
        <f t="shared" si="4"/>
        <v>13.3</v>
      </c>
      <c r="AL108" s="158"/>
      <c r="AM108" s="342"/>
      <c r="AN108" s="70"/>
      <c r="AO108" s="169">
        <f>AO96+AO104+AO106+AO107</f>
        <v>10779314</v>
      </c>
      <c r="AP108" s="70"/>
      <c r="AQ108" s="155">
        <f>ROUND((+AI108/AO108)*100,1)</f>
        <v>13.3</v>
      </c>
    </row>
    <row r="109" spans="1:43" x14ac:dyDescent="0.25">
      <c r="F109" s="200"/>
      <c r="H109" s="200"/>
      <c r="I109" s="80"/>
      <c r="J109" s="200"/>
      <c r="K109" s="80"/>
      <c r="L109" s="305"/>
      <c r="M109" s="80"/>
      <c r="N109" s="305"/>
      <c r="O109" s="211"/>
      <c r="P109" s="211"/>
      <c r="Q109" s="211"/>
      <c r="R109" s="211"/>
      <c r="T109" s="159"/>
      <c r="U109" s="80"/>
      <c r="V109" s="82"/>
      <c r="W109" s="80"/>
      <c r="X109" s="80"/>
      <c r="Y109" s="163"/>
      <c r="Z109" s="70"/>
      <c r="AA109" s="163"/>
      <c r="AB109" s="163"/>
      <c r="AC109" s="268"/>
      <c r="AD109" s="268"/>
      <c r="AE109" s="163"/>
      <c r="AF109" s="70"/>
      <c r="AG109" s="197"/>
      <c r="AH109" s="70"/>
      <c r="AI109" s="163"/>
      <c r="AJ109" s="163"/>
      <c r="AK109" s="197"/>
      <c r="AL109" s="158"/>
      <c r="AM109" s="163"/>
      <c r="AN109" s="70"/>
      <c r="AO109" s="163"/>
      <c r="AP109" s="70"/>
      <c r="AQ109" s="155"/>
    </row>
    <row r="110" spans="1:43" x14ac:dyDescent="0.25">
      <c r="A110" s="202"/>
      <c r="C110" s="154"/>
      <c r="F110" s="200"/>
      <c r="H110" s="252"/>
      <c r="I110" s="80"/>
      <c r="J110" s="252"/>
      <c r="K110" s="80"/>
      <c r="L110" s="320"/>
      <c r="M110" s="80"/>
      <c r="N110" s="320"/>
      <c r="O110" s="200"/>
      <c r="P110" s="210"/>
      <c r="Q110" s="200"/>
      <c r="R110" s="200"/>
      <c r="T110" s="159">
        <v>18</v>
      </c>
      <c r="U110" s="80"/>
      <c r="V110" s="253" t="s">
        <v>59</v>
      </c>
      <c r="W110" s="80"/>
      <c r="X110" s="80"/>
      <c r="Y110" s="78"/>
      <c r="Z110" s="70"/>
      <c r="AA110" s="78"/>
      <c r="AB110" s="78"/>
      <c r="AC110" s="268"/>
      <c r="AD110" s="268"/>
      <c r="AE110" s="79"/>
      <c r="AF110" s="70"/>
      <c r="AG110" s="155"/>
      <c r="AH110" s="70"/>
      <c r="AI110" s="79"/>
      <c r="AJ110" s="79"/>
      <c r="AK110" s="164"/>
      <c r="AL110" s="70"/>
      <c r="AM110" s="79"/>
      <c r="AN110" s="70"/>
      <c r="AO110" s="79"/>
      <c r="AP110" s="70"/>
      <c r="AQ110" s="155"/>
    </row>
    <row r="111" spans="1:43" x14ac:dyDescent="0.25">
      <c r="A111" s="202"/>
      <c r="C111" s="154"/>
      <c r="F111" s="200"/>
      <c r="H111" s="200"/>
      <c r="I111" s="80"/>
      <c r="J111" s="200"/>
      <c r="K111" s="80"/>
      <c r="L111" s="305"/>
      <c r="M111" s="80"/>
      <c r="N111" s="305"/>
      <c r="O111" s="200"/>
      <c r="P111" s="210"/>
      <c r="Q111" s="200"/>
      <c r="R111" s="200"/>
      <c r="S111" s="200"/>
      <c r="T111" s="159">
        <v>19</v>
      </c>
      <c r="U111" s="80"/>
      <c r="V111" s="253" t="s">
        <v>155</v>
      </c>
      <c r="W111" s="80"/>
      <c r="X111" s="80"/>
      <c r="Y111" s="70"/>
      <c r="Z111" s="70"/>
      <c r="AA111" s="70"/>
      <c r="AB111" s="70"/>
      <c r="AC111" s="70"/>
      <c r="AD111" s="70"/>
      <c r="AE111" s="70"/>
      <c r="AF111" s="70"/>
      <c r="AG111" s="164"/>
      <c r="AH111" s="70"/>
      <c r="AI111" s="70"/>
      <c r="AJ111" s="70"/>
      <c r="AK111" s="164"/>
      <c r="AL111" s="70"/>
      <c r="AM111" s="70"/>
      <c r="AN111" s="70"/>
      <c r="AO111" s="70"/>
      <c r="AP111" s="70"/>
      <c r="AQ111" s="164"/>
    </row>
    <row r="112" spans="1:43" x14ac:dyDescent="0.25">
      <c r="I112" s="80"/>
      <c r="K112" s="80"/>
      <c r="M112" s="80"/>
      <c r="T112" s="159">
        <v>20</v>
      </c>
      <c r="U112" s="80"/>
      <c r="V112" s="82" t="s">
        <v>166</v>
      </c>
      <c r="W112" s="80"/>
      <c r="X112" s="80"/>
      <c r="Y112" s="79">
        <f>F40</f>
        <v>295</v>
      </c>
      <c r="Z112" s="70"/>
      <c r="AA112" s="78"/>
      <c r="AB112" s="78"/>
      <c r="AC112" s="284">
        <f>AC95</f>
        <v>100</v>
      </c>
      <c r="AD112" s="284"/>
      <c r="AE112" s="79">
        <f>ROUND(+Y112*AC112,0)</f>
        <v>29500</v>
      </c>
      <c r="AF112" s="70"/>
      <c r="AG112" s="166">
        <f t="shared" ref="AG112:AG113" si="8">ROUND((+AE112/$AE$137)*100,1)</f>
        <v>0.1</v>
      </c>
      <c r="AH112" s="70"/>
      <c r="AI112" s="79">
        <f>L40-AE112</f>
        <v>107675</v>
      </c>
      <c r="AJ112" s="79"/>
      <c r="AK112" s="166">
        <f>IF(AE112=0,0,ROUND((AI112/AE112)*100,1))</f>
        <v>365</v>
      </c>
      <c r="AL112" s="158"/>
      <c r="AM112" s="79"/>
      <c r="AN112" s="70"/>
      <c r="AO112" s="79">
        <f>AE112+AM112</f>
        <v>29500</v>
      </c>
      <c r="AP112" s="70"/>
      <c r="AQ112" s="155">
        <f>ROUND((+AI112/AO112)*100,1)</f>
        <v>365</v>
      </c>
    </row>
    <row r="113" spans="1:43" ht="20.100000000000001" customHeight="1" x14ac:dyDescent="0.25">
      <c r="A113" s="202"/>
      <c r="C113" s="154"/>
      <c r="F113" s="252"/>
      <c r="H113" s="252"/>
      <c r="I113" s="80"/>
      <c r="J113" s="252"/>
      <c r="K113" s="80"/>
      <c r="L113" s="300"/>
      <c r="M113" s="80"/>
      <c r="N113" s="300"/>
      <c r="O113" s="200"/>
      <c r="P113" s="210"/>
      <c r="Q113" s="202"/>
      <c r="R113" s="200"/>
      <c r="T113" s="159">
        <v>21</v>
      </c>
      <c r="U113" s="80"/>
      <c r="V113" s="253" t="s">
        <v>158</v>
      </c>
      <c r="W113" s="80"/>
      <c r="X113" s="80"/>
      <c r="Y113" s="169">
        <f>F41</f>
        <v>295</v>
      </c>
      <c r="Z113" s="70"/>
      <c r="AA113" s="79"/>
      <c r="AB113" s="79"/>
      <c r="AC113" s="268"/>
      <c r="AD113" s="268"/>
      <c r="AE113" s="169">
        <f>SUM(AE112:AE112)</f>
        <v>29500</v>
      </c>
      <c r="AF113" s="70"/>
      <c r="AG113" s="170">
        <f t="shared" si="8"/>
        <v>0.1</v>
      </c>
      <c r="AH113" s="70"/>
      <c r="AI113" s="169">
        <f>SUM(AI112:AI112)</f>
        <v>107675</v>
      </c>
      <c r="AJ113" s="163"/>
      <c r="AK113" s="170">
        <f>IF(AE113=0,0,ROUND((AI113/AE113)*100,1))</f>
        <v>365</v>
      </c>
      <c r="AL113" s="158"/>
      <c r="AM113" s="169"/>
      <c r="AN113" s="70"/>
      <c r="AO113" s="169">
        <f>SUM(AO112:AO112)</f>
        <v>29500</v>
      </c>
      <c r="AP113" s="70"/>
      <c r="AQ113" s="155">
        <f>ROUND((+AI113/AO113)*100,1)</f>
        <v>365</v>
      </c>
    </row>
    <row r="114" spans="1:43" x14ac:dyDescent="0.25">
      <c r="A114" s="202"/>
      <c r="C114" s="154"/>
      <c r="F114" s="252"/>
      <c r="H114" s="252"/>
      <c r="I114" s="80"/>
      <c r="J114" s="252"/>
      <c r="K114" s="80"/>
      <c r="L114" s="300"/>
      <c r="M114" s="80"/>
      <c r="N114" s="300"/>
      <c r="O114" s="200"/>
      <c r="P114" s="210"/>
      <c r="Q114" s="202"/>
      <c r="R114" s="200"/>
      <c r="T114" s="159">
        <v>22</v>
      </c>
      <c r="U114" s="80"/>
      <c r="V114" s="253" t="s">
        <v>65</v>
      </c>
      <c r="W114" s="80"/>
      <c r="X114" s="80"/>
      <c r="Y114" s="78"/>
      <c r="Z114" s="70"/>
      <c r="AA114" s="78"/>
      <c r="AB114" s="78"/>
      <c r="AC114" s="339"/>
      <c r="AD114" s="339"/>
      <c r="AE114" s="79"/>
      <c r="AF114" s="70"/>
      <c r="AG114" s="155"/>
      <c r="AH114" s="70"/>
      <c r="AI114" s="79"/>
      <c r="AJ114" s="79"/>
      <c r="AK114" s="155"/>
      <c r="AL114" s="156"/>
      <c r="AM114" s="79"/>
      <c r="AN114" s="70"/>
      <c r="AO114" s="79"/>
      <c r="AP114" s="70"/>
      <c r="AQ114" s="155"/>
    </row>
    <row r="115" spans="1:43" x14ac:dyDescent="0.25">
      <c r="F115" s="211"/>
      <c r="H115" s="200"/>
      <c r="I115" s="80"/>
      <c r="J115" s="200"/>
      <c r="K115" s="80"/>
      <c r="L115" s="305"/>
      <c r="M115" s="80"/>
      <c r="N115" s="305"/>
      <c r="O115" s="211"/>
      <c r="P115" s="211"/>
      <c r="Q115" s="211"/>
      <c r="R115" s="211"/>
      <c r="T115" s="159">
        <v>23</v>
      </c>
      <c r="U115" s="80"/>
      <c r="V115" s="82" t="s">
        <v>66</v>
      </c>
      <c r="W115" s="80"/>
      <c r="X115" s="80"/>
      <c r="Y115" s="78"/>
      <c r="Z115" s="70"/>
      <c r="AA115" s="79">
        <f>H43</f>
        <v>603474.6</v>
      </c>
      <c r="AB115" s="79"/>
      <c r="AC115" s="283">
        <f>INPUT!C78</f>
        <v>12.07</v>
      </c>
      <c r="AD115" s="284"/>
      <c r="AE115" s="79">
        <f>ROUND(+AA115*AC115,0)</f>
        <v>7283938</v>
      </c>
      <c r="AF115" s="70"/>
      <c r="AG115" s="197">
        <f t="shared" ref="AG115:AG117" si="9">ROUND((+AE115/$AE$137)*100,1)</f>
        <v>23.6</v>
      </c>
      <c r="AH115" s="70"/>
      <c r="AI115" s="79">
        <f>L43-AE115</f>
        <v>935386</v>
      </c>
      <c r="AJ115" s="79"/>
      <c r="AK115" s="155">
        <f>IF(AE115=0,0,ROUND((AI115/AE115)*100,1))</f>
        <v>12.8</v>
      </c>
      <c r="AL115" s="158"/>
      <c r="AM115" s="79"/>
      <c r="AN115" s="70"/>
      <c r="AO115" s="79">
        <f>AE115+AM115</f>
        <v>7283938</v>
      </c>
      <c r="AP115" s="70"/>
      <c r="AQ115" s="155">
        <v>0</v>
      </c>
    </row>
    <row r="116" spans="1:43" x14ac:dyDescent="0.25">
      <c r="A116" s="202"/>
      <c r="C116" s="154"/>
      <c r="F116" s="200"/>
      <c r="H116" s="200"/>
      <c r="I116" s="80"/>
      <c r="J116" s="200"/>
      <c r="K116" s="80"/>
      <c r="L116" s="305"/>
      <c r="M116" s="80"/>
      <c r="N116" s="305"/>
      <c r="O116" s="200"/>
      <c r="P116" s="210"/>
      <c r="Q116" s="200"/>
      <c r="R116" s="200"/>
      <c r="T116" s="159">
        <v>24</v>
      </c>
      <c r="U116" s="80"/>
      <c r="V116" s="82" t="s">
        <v>67</v>
      </c>
      <c r="W116" s="80"/>
      <c r="X116" s="80"/>
      <c r="Y116" s="78"/>
      <c r="Z116" s="70"/>
      <c r="AA116" s="79">
        <f>H44</f>
        <v>41089.800000000003</v>
      </c>
      <c r="AB116" s="79"/>
      <c r="AC116" s="283">
        <f>INPUT!C79</f>
        <v>1.1499999999999999</v>
      </c>
      <c r="AD116" s="284"/>
      <c r="AE116" s="79">
        <f>ROUND(+AA116*AC116,0)</f>
        <v>47253</v>
      </c>
      <c r="AF116" s="70"/>
      <c r="AG116" s="166">
        <f t="shared" si="9"/>
        <v>0.2</v>
      </c>
      <c r="AH116" s="70"/>
      <c r="AI116" s="79">
        <f>L44-AE116</f>
        <v>6164</v>
      </c>
      <c r="AJ116" s="79"/>
      <c r="AK116" s="166">
        <f>IF(AE116=0,0,ROUND((AI116/AE116)*100,1))</f>
        <v>13</v>
      </c>
      <c r="AL116" s="158"/>
      <c r="AM116" s="79"/>
      <c r="AN116" s="70"/>
      <c r="AO116" s="79">
        <f>AE116+AM116</f>
        <v>47253</v>
      </c>
      <c r="AP116" s="70"/>
      <c r="AQ116" s="155">
        <f>ROUND((+AI116/AO116)*100,1)</f>
        <v>13</v>
      </c>
    </row>
    <row r="117" spans="1:43" ht="20.100000000000001" customHeight="1" x14ac:dyDescent="0.25">
      <c r="A117" s="202"/>
      <c r="C117" s="154"/>
      <c r="F117" s="252"/>
      <c r="H117" s="252"/>
      <c r="I117" s="80"/>
      <c r="J117" s="252"/>
      <c r="K117" s="80"/>
      <c r="L117" s="328"/>
      <c r="M117" s="80"/>
      <c r="N117" s="328"/>
      <c r="O117" s="200"/>
      <c r="P117" s="210"/>
      <c r="Q117" s="200"/>
      <c r="R117" s="200"/>
      <c r="S117" s="200"/>
      <c r="T117" s="159">
        <v>25</v>
      </c>
      <c r="U117" s="80"/>
      <c r="V117" s="253" t="s">
        <v>167</v>
      </c>
      <c r="W117" s="80"/>
      <c r="X117" s="80"/>
      <c r="Y117" s="79"/>
      <c r="Z117" s="70"/>
      <c r="AA117" s="169">
        <f>H45</f>
        <v>644564.4</v>
      </c>
      <c r="AB117" s="163"/>
      <c r="AC117" s="268"/>
      <c r="AD117" s="268"/>
      <c r="AE117" s="169">
        <f>SUM(AE115:AE116)</f>
        <v>7331191</v>
      </c>
      <c r="AF117" s="70"/>
      <c r="AG117" s="170">
        <f t="shared" si="9"/>
        <v>23.8</v>
      </c>
      <c r="AH117" s="70"/>
      <c r="AI117" s="169">
        <f>SUM(AI115:AI116)</f>
        <v>941550</v>
      </c>
      <c r="AJ117" s="163"/>
      <c r="AK117" s="170">
        <f>IF(AE117=0,0,ROUND((AI117/AE117)*100,1))</f>
        <v>12.8</v>
      </c>
      <c r="AL117" s="158"/>
      <c r="AM117" s="169"/>
      <c r="AN117" s="70"/>
      <c r="AO117" s="169">
        <f>SUM(AO115:AO116)</f>
        <v>7331191</v>
      </c>
      <c r="AP117" s="70"/>
      <c r="AQ117" s="155">
        <f>ROUND((+AI117/AO117)*100,1)</f>
        <v>12.8</v>
      </c>
    </row>
    <row r="118" spans="1:43" x14ac:dyDescent="0.25">
      <c r="A118" s="202"/>
      <c r="C118" s="154"/>
      <c r="F118" s="252"/>
      <c r="H118" s="252"/>
      <c r="I118" s="80"/>
      <c r="J118" s="252"/>
      <c r="K118" s="80"/>
      <c r="L118" s="300"/>
      <c r="M118" s="80"/>
      <c r="N118" s="300"/>
      <c r="O118" s="200"/>
      <c r="P118" s="210"/>
      <c r="Q118" s="200"/>
      <c r="R118" s="200"/>
      <c r="T118" s="159">
        <v>26</v>
      </c>
      <c r="U118" s="80"/>
      <c r="V118" s="253" t="s">
        <v>168</v>
      </c>
      <c r="W118" s="80"/>
      <c r="X118" s="80"/>
      <c r="Y118" s="79"/>
      <c r="Z118" s="70"/>
      <c r="AA118" s="79"/>
      <c r="AB118" s="79"/>
      <c r="AC118" s="268"/>
      <c r="AD118" s="268"/>
      <c r="AE118" s="79"/>
      <c r="AF118" s="70"/>
      <c r="AG118" s="155"/>
      <c r="AH118" s="70"/>
      <c r="AI118" s="79"/>
      <c r="AJ118" s="79"/>
      <c r="AK118" s="155"/>
      <c r="AL118" s="158"/>
      <c r="AM118" s="79"/>
      <c r="AN118" s="70"/>
      <c r="AO118" s="79"/>
      <c r="AP118" s="70"/>
      <c r="AQ118" s="155"/>
    </row>
    <row r="119" spans="1:43" x14ac:dyDescent="0.25">
      <c r="F119" s="200"/>
      <c r="H119" s="211"/>
      <c r="I119" s="80"/>
      <c r="J119" s="211"/>
      <c r="K119" s="80"/>
      <c r="L119" s="305"/>
      <c r="M119" s="80"/>
      <c r="N119" s="305"/>
      <c r="O119" s="211"/>
      <c r="P119" s="211"/>
      <c r="Q119" s="211"/>
      <c r="R119" s="211"/>
      <c r="T119" s="159">
        <v>27</v>
      </c>
      <c r="U119" s="80"/>
      <c r="V119" s="153" t="s">
        <v>169</v>
      </c>
      <c r="W119" s="80"/>
      <c r="X119" s="80"/>
      <c r="Y119" s="79"/>
      <c r="Z119" s="70"/>
      <c r="AA119" s="79">
        <f>H47</f>
        <v>266633.59999999998</v>
      </c>
      <c r="AB119" s="79"/>
      <c r="AC119" s="284">
        <f>AC102</f>
        <v>-0.65</v>
      </c>
      <c r="AD119" s="352"/>
      <c r="AE119" s="79">
        <f>ROUND(+AA119*AC119,0)</f>
        <v>-173312</v>
      </c>
      <c r="AF119" s="70"/>
      <c r="AG119" s="197">
        <f>ROUND((+AE119/$AE$137)*100,1)</f>
        <v>-0.6</v>
      </c>
      <c r="AH119" s="70"/>
      <c r="AI119" s="79">
        <f>L47-AE119</f>
        <v>-21331</v>
      </c>
      <c r="AJ119" s="79"/>
      <c r="AK119" s="155">
        <f>IF(AE119=0,0,ROUND((AI119/AE119)*100,1))</f>
        <v>12.3</v>
      </c>
      <c r="AL119" s="158"/>
      <c r="AM119" s="79"/>
      <c r="AN119" s="70"/>
      <c r="AO119" s="79">
        <f>AE119+AM119</f>
        <v>-173312</v>
      </c>
      <c r="AP119" s="70"/>
      <c r="AQ119" s="155">
        <f>ROUND((+AI119/AO119)*100,1)</f>
        <v>12.3</v>
      </c>
    </row>
    <row r="120" spans="1:43" ht="20.100000000000001" customHeight="1" x14ac:dyDescent="0.25">
      <c r="A120" s="202"/>
      <c r="C120" s="154"/>
      <c r="F120" s="200"/>
      <c r="H120" s="200"/>
      <c r="I120" s="80"/>
      <c r="J120" s="200"/>
      <c r="K120" s="80"/>
      <c r="L120" s="305"/>
      <c r="M120" s="80"/>
      <c r="N120" s="305"/>
      <c r="O120" s="200"/>
      <c r="P120" s="210"/>
      <c r="Q120" s="200"/>
      <c r="R120" s="200"/>
      <c r="T120" s="159">
        <v>28</v>
      </c>
      <c r="U120" s="80"/>
      <c r="V120" s="153" t="s">
        <v>170</v>
      </c>
      <c r="W120" s="80"/>
      <c r="X120" s="80"/>
      <c r="Y120" s="70"/>
      <c r="Z120" s="70"/>
      <c r="AA120" s="167">
        <f>H48</f>
        <v>377930.8</v>
      </c>
      <c r="AB120" s="79"/>
      <c r="AC120" s="284">
        <f>AC103</f>
        <v>-0.5</v>
      </c>
      <c r="AD120" s="352"/>
      <c r="AE120" s="79">
        <f>ROUND(+AA120*AC120,0)</f>
        <v>-188965</v>
      </c>
      <c r="AF120" s="70"/>
      <c r="AG120" s="166">
        <f t="shared" ref="AG120:AG121" si="10">ROUND((+AE120/$AE$137)*100,1)</f>
        <v>-0.6</v>
      </c>
      <c r="AH120" s="70"/>
      <c r="AI120" s="79">
        <f>L48-AE120</f>
        <v>-22676</v>
      </c>
      <c r="AJ120" s="79"/>
      <c r="AK120" s="166">
        <f>IF(AE120=0,0,ROUND((AI120/AE120)*100,1))</f>
        <v>12</v>
      </c>
      <c r="AL120" s="158"/>
      <c r="AM120" s="79"/>
      <c r="AN120" s="70"/>
      <c r="AO120" s="79">
        <f>AE120+AM120</f>
        <v>-188965</v>
      </c>
      <c r="AP120" s="70"/>
      <c r="AQ120" s="155">
        <f>ROUND((+AI120/AO120)*100,1)</f>
        <v>12</v>
      </c>
    </row>
    <row r="121" spans="1:43" ht="20.100000000000001" customHeight="1" x14ac:dyDescent="0.25">
      <c r="A121" s="202"/>
      <c r="C121" s="154"/>
      <c r="F121" s="200"/>
      <c r="H121" s="200"/>
      <c r="I121" s="80"/>
      <c r="J121" s="200"/>
      <c r="K121" s="80"/>
      <c r="L121" s="305"/>
      <c r="M121" s="80"/>
      <c r="N121" s="305"/>
      <c r="O121" s="200"/>
      <c r="P121" s="200"/>
      <c r="Q121" s="200"/>
      <c r="R121" s="200"/>
      <c r="T121" s="159">
        <v>29</v>
      </c>
      <c r="U121" s="80"/>
      <c r="V121" s="253" t="s">
        <v>68</v>
      </c>
      <c r="W121" s="80"/>
      <c r="X121" s="80"/>
      <c r="Y121" s="79"/>
      <c r="Z121" s="70"/>
      <c r="AA121" s="167">
        <f>H49</f>
        <v>644564.39999999991</v>
      </c>
      <c r="AB121" s="79"/>
      <c r="AC121" s="263"/>
      <c r="AD121" s="263"/>
      <c r="AE121" s="169">
        <f>AE117+AE119+AE120</f>
        <v>6968914</v>
      </c>
      <c r="AF121" s="70"/>
      <c r="AG121" s="170">
        <f t="shared" si="10"/>
        <v>22.6</v>
      </c>
      <c r="AH121" s="70"/>
      <c r="AI121" s="169">
        <f>AI117+AI119+AI120</f>
        <v>897543</v>
      </c>
      <c r="AJ121" s="163"/>
      <c r="AK121" s="170">
        <f>IF(AE121=0,0,ROUND((AI121/AE121)*100,1))</f>
        <v>12.9</v>
      </c>
      <c r="AL121" s="158"/>
      <c r="AM121" s="169"/>
      <c r="AN121" s="70"/>
      <c r="AO121" s="169">
        <f>AO117+AO119+AO120</f>
        <v>6968914</v>
      </c>
      <c r="AP121" s="70"/>
      <c r="AQ121" s="155">
        <f>ROUND((+AI121/AO121)*100,1)</f>
        <v>12.9</v>
      </c>
    </row>
    <row r="122" spans="1:43" x14ac:dyDescent="0.25">
      <c r="A122" s="202"/>
      <c r="C122" s="154"/>
      <c r="H122" s="252"/>
      <c r="I122" s="80"/>
      <c r="J122" s="252"/>
      <c r="K122" s="80"/>
      <c r="L122" s="329"/>
      <c r="M122" s="80"/>
      <c r="N122" s="329"/>
      <c r="O122" s="200"/>
      <c r="P122" s="210"/>
      <c r="Q122" s="200"/>
      <c r="R122" s="200"/>
      <c r="T122" s="159">
        <v>30</v>
      </c>
      <c r="U122" s="80"/>
      <c r="V122" s="253" t="s">
        <v>481</v>
      </c>
      <c r="W122" s="80"/>
      <c r="X122" s="80"/>
      <c r="Y122" s="79"/>
      <c r="Z122" s="70"/>
      <c r="AA122" s="79"/>
      <c r="AB122" s="79"/>
      <c r="AC122" s="263"/>
      <c r="AD122" s="263"/>
      <c r="AE122" s="79"/>
      <c r="AF122" s="70"/>
      <c r="AG122" s="155"/>
      <c r="AH122" s="70"/>
      <c r="AI122" s="79"/>
      <c r="AJ122" s="79"/>
      <c r="AK122" s="155"/>
      <c r="AL122" s="158"/>
      <c r="AM122" s="79"/>
      <c r="AN122" s="70"/>
      <c r="AO122" s="79"/>
      <c r="AP122" s="70"/>
      <c r="AQ122" s="155"/>
    </row>
    <row r="123" spans="1:43" x14ac:dyDescent="0.25">
      <c r="A123" s="202"/>
      <c r="C123" s="154"/>
      <c r="H123" s="252"/>
      <c r="I123" s="80"/>
      <c r="J123" s="252"/>
      <c r="K123" s="80"/>
      <c r="L123" s="329"/>
      <c r="M123" s="80"/>
      <c r="N123" s="329"/>
      <c r="O123" s="200"/>
      <c r="P123" s="210"/>
      <c r="Q123" s="200"/>
      <c r="R123" s="200"/>
      <c r="T123" s="159">
        <v>31</v>
      </c>
      <c r="U123" s="80"/>
      <c r="V123" s="82" t="s">
        <v>496</v>
      </c>
      <c r="W123" s="80"/>
      <c r="X123" s="80"/>
      <c r="Y123" s="79"/>
      <c r="Z123" s="70"/>
      <c r="AA123" s="79">
        <f>H51</f>
        <v>87022244</v>
      </c>
      <c r="AB123" s="79"/>
      <c r="AC123" s="295">
        <f>INPUT!C73</f>
        <v>4.2195000000000003E-2</v>
      </c>
      <c r="AD123" s="289"/>
      <c r="AE123" s="163">
        <f>ROUND((+AA123*AC123),0)</f>
        <v>3671904</v>
      </c>
      <c r="AF123" s="85"/>
      <c r="AG123" s="197">
        <f t="shared" ref="AG123:AG125" si="11">ROUND((+AE123/$AE$137)*100,1)</f>
        <v>11.9</v>
      </c>
      <c r="AH123" s="85"/>
      <c r="AI123" s="163">
        <f>L51-AE123</f>
        <v>471399</v>
      </c>
      <c r="AJ123" s="163"/>
      <c r="AK123" s="197">
        <f>IF(AE123=0,0,ROUND((AI123/AE123)*100,1))</f>
        <v>12.8</v>
      </c>
      <c r="AL123" s="199"/>
      <c r="AM123" s="163"/>
      <c r="AN123" s="85"/>
      <c r="AO123" s="163">
        <f>AE123+AM123</f>
        <v>3671904</v>
      </c>
      <c r="AP123" s="70"/>
      <c r="AQ123" s="155">
        <f>ROUND((+AI123/AO123)*100,1)</f>
        <v>12.8</v>
      </c>
    </row>
    <row r="124" spans="1:43" x14ac:dyDescent="0.25">
      <c r="F124" s="200"/>
      <c r="H124" s="200"/>
      <c r="I124" s="80"/>
      <c r="J124" s="200"/>
      <c r="K124" s="80"/>
      <c r="L124" s="305"/>
      <c r="M124" s="80"/>
      <c r="N124" s="305"/>
      <c r="O124" s="211"/>
      <c r="P124" s="211"/>
      <c r="Q124" s="211"/>
      <c r="R124" s="211"/>
      <c r="T124" s="159">
        <v>32</v>
      </c>
      <c r="U124" s="80"/>
      <c r="V124" s="82" t="s">
        <v>497</v>
      </c>
      <c r="W124" s="80"/>
      <c r="X124" s="80"/>
      <c r="Y124" s="286"/>
      <c r="Z124" s="70"/>
      <c r="AA124" s="79">
        <f>H52</f>
        <v>230064339</v>
      </c>
      <c r="AB124" s="79"/>
      <c r="AC124" s="347">
        <f>AC107</f>
        <v>3.6194999999999998E-2</v>
      </c>
      <c r="AD124" s="289"/>
      <c r="AE124" s="167">
        <f>ROUND((+AA124*AC124),0)</f>
        <v>8327179</v>
      </c>
      <c r="AF124" s="70"/>
      <c r="AG124" s="166">
        <f>ROUND((+AE124/$AE$137)*100,1)</f>
        <v>27</v>
      </c>
      <c r="AH124" s="70"/>
      <c r="AI124" s="167">
        <f>L52-AE124</f>
        <v>1069569</v>
      </c>
      <c r="AJ124" s="79"/>
      <c r="AK124" s="166">
        <f>IF(AE124=0,0,ROUND((AI124/AE124)*100,1))</f>
        <v>12.8</v>
      </c>
      <c r="AL124" s="158"/>
      <c r="AM124" s="167"/>
      <c r="AN124" s="70"/>
      <c r="AO124" s="167">
        <f>AE124+AM124</f>
        <v>8327179</v>
      </c>
      <c r="AP124" s="70"/>
      <c r="AQ124" s="155">
        <f>ROUND((+AI124/AO124)*100,1)</f>
        <v>12.8</v>
      </c>
    </row>
    <row r="125" spans="1:43" ht="22.5" customHeight="1" x14ac:dyDescent="0.25">
      <c r="F125" s="200"/>
      <c r="H125" s="200"/>
      <c r="I125" s="80"/>
      <c r="J125" s="200"/>
      <c r="K125" s="80"/>
      <c r="L125" s="305"/>
      <c r="M125" s="80"/>
      <c r="N125" s="305"/>
      <c r="O125" s="211"/>
      <c r="P125" s="211"/>
      <c r="Q125" s="211"/>
      <c r="R125" s="211"/>
      <c r="T125" s="159">
        <v>33</v>
      </c>
      <c r="U125" s="80"/>
      <c r="V125" s="253" t="s">
        <v>60</v>
      </c>
      <c r="W125" s="80"/>
      <c r="X125" s="80"/>
      <c r="Y125" s="169">
        <f>F53</f>
        <v>295</v>
      </c>
      <c r="Z125" s="70"/>
      <c r="AA125" s="169">
        <f>H53</f>
        <v>317086583</v>
      </c>
      <c r="AB125" s="163"/>
      <c r="AC125" s="347"/>
      <c r="AD125" s="268"/>
      <c r="AE125" s="169">
        <f>AE113+AE121+AE123+AE124</f>
        <v>18997497</v>
      </c>
      <c r="AF125" s="70"/>
      <c r="AG125" s="170">
        <f t="shared" si="11"/>
        <v>61.6</v>
      </c>
      <c r="AH125" s="70"/>
      <c r="AI125" s="169">
        <f>AI113+AI121+AI123+AI124</f>
        <v>2546186</v>
      </c>
      <c r="AJ125" s="163"/>
      <c r="AK125" s="170">
        <f>IF(AE125=0,0,ROUND((AI125/AE125)*100,1))</f>
        <v>13.4</v>
      </c>
      <c r="AL125" s="158"/>
      <c r="AM125" s="342"/>
      <c r="AN125" s="70"/>
      <c r="AO125" s="169">
        <f>AO113+AO121+AO123+AO124</f>
        <v>18997497</v>
      </c>
      <c r="AP125" s="70"/>
      <c r="AQ125" s="155">
        <f>ROUND((+AI125/AO125)*100,1)</f>
        <v>13.4</v>
      </c>
    </row>
    <row r="126" spans="1:43" ht="22.5" customHeight="1" x14ac:dyDescent="0.25">
      <c r="F126" s="200"/>
      <c r="H126" s="200"/>
      <c r="I126" s="80"/>
      <c r="J126" s="200"/>
      <c r="K126" s="80"/>
      <c r="L126" s="305"/>
      <c r="M126" s="80"/>
      <c r="N126" s="305"/>
      <c r="O126" s="211"/>
      <c r="P126" s="211"/>
      <c r="Q126" s="211"/>
      <c r="R126" s="211"/>
      <c r="T126" s="159">
        <v>34</v>
      </c>
      <c r="U126" s="80"/>
      <c r="V126" s="265" t="s">
        <v>561</v>
      </c>
      <c r="W126" s="80"/>
      <c r="X126" s="80"/>
      <c r="Y126" s="167">
        <f>Y108+Y125</f>
        <v>443</v>
      </c>
      <c r="Z126" s="70"/>
      <c r="AA126" s="167">
        <f>AA108+AA125</f>
        <v>492952443</v>
      </c>
      <c r="AB126" s="70"/>
      <c r="AC126" s="347"/>
      <c r="AD126" s="268"/>
      <c r="AE126" s="169">
        <f>AE125+AE108</f>
        <v>29776811</v>
      </c>
      <c r="AF126" s="70"/>
      <c r="AG126" s="170">
        <f>ROUND((+AE126/$AE$137)*100,1)</f>
        <v>96.6</v>
      </c>
      <c r="AH126" s="70"/>
      <c r="AI126" s="167">
        <f>AI125+AI108</f>
        <v>3985169</v>
      </c>
      <c r="AJ126" s="163"/>
      <c r="AK126" s="170">
        <f>IF(AE126=0,0,ROUND((AI126/AE126)*100,1))</f>
        <v>13.4</v>
      </c>
      <c r="AL126" s="158"/>
      <c r="AM126" s="169">
        <f>AM125+AM108</f>
        <v>0</v>
      </c>
      <c r="AN126" s="70"/>
      <c r="AO126" s="169">
        <f>AO125+AO108</f>
        <v>29776811</v>
      </c>
      <c r="AP126" s="70"/>
      <c r="AQ126" s="155">
        <f>ROUND((+AI126/AO126)*100,1)</f>
        <v>13.4</v>
      </c>
    </row>
    <row r="127" spans="1:43" ht="15.75" customHeight="1" x14ac:dyDescent="0.25">
      <c r="F127" s="200"/>
      <c r="H127" s="200"/>
      <c r="I127" s="80"/>
      <c r="J127" s="200"/>
      <c r="K127" s="80"/>
      <c r="L127" s="305"/>
      <c r="M127" s="80"/>
      <c r="N127" s="305"/>
      <c r="O127" s="211"/>
      <c r="P127" s="211"/>
      <c r="Q127" s="211"/>
      <c r="R127" s="211"/>
      <c r="T127" s="159"/>
      <c r="U127" s="80"/>
      <c r="V127" s="82"/>
      <c r="W127" s="80"/>
      <c r="X127" s="80"/>
      <c r="Y127" s="163"/>
      <c r="Z127" s="70"/>
      <c r="AA127" s="163"/>
      <c r="AB127" s="70"/>
      <c r="AC127" s="347"/>
      <c r="AD127" s="268"/>
      <c r="AE127" s="163"/>
      <c r="AF127" s="70"/>
      <c r="AG127" s="197"/>
      <c r="AH127" s="70"/>
      <c r="AI127" s="163"/>
      <c r="AJ127" s="163"/>
      <c r="AK127" s="197"/>
      <c r="AL127" s="158"/>
      <c r="AM127" s="200"/>
      <c r="AN127" s="70"/>
      <c r="AO127" s="163"/>
      <c r="AP127" s="70"/>
      <c r="AQ127" s="155"/>
    </row>
    <row r="128" spans="1:43" ht="15.75" customHeight="1" x14ac:dyDescent="0.25">
      <c r="F128" s="200"/>
      <c r="H128" s="200"/>
      <c r="I128" s="80"/>
      <c r="J128" s="200"/>
      <c r="K128" s="80"/>
      <c r="L128" s="305"/>
      <c r="M128" s="80"/>
      <c r="N128" s="305"/>
      <c r="O128" s="211"/>
      <c r="P128" s="211"/>
      <c r="Q128" s="211"/>
      <c r="R128" s="211"/>
      <c r="T128" s="159">
        <f>A56</f>
        <v>35</v>
      </c>
      <c r="U128" s="80"/>
      <c r="V128" s="253" t="s">
        <v>553</v>
      </c>
      <c r="W128" s="80"/>
      <c r="X128" s="80"/>
      <c r="Y128" s="163"/>
      <c r="Z128" s="70"/>
      <c r="AA128" s="163"/>
      <c r="AB128" s="70"/>
      <c r="AC128" s="347"/>
      <c r="AD128" s="268"/>
      <c r="AE128" s="163"/>
      <c r="AF128" s="70"/>
      <c r="AG128" s="197"/>
      <c r="AH128" s="70"/>
      <c r="AI128" s="163"/>
      <c r="AJ128" s="163"/>
      <c r="AK128" s="197"/>
      <c r="AL128" s="158"/>
      <c r="AM128" s="200"/>
      <c r="AN128" s="70"/>
      <c r="AO128" s="163"/>
      <c r="AP128" s="70"/>
      <c r="AQ128" s="155"/>
    </row>
    <row r="129" spans="1:43" ht="15.75" customHeight="1" x14ac:dyDescent="0.25">
      <c r="F129" s="200"/>
      <c r="H129" s="200"/>
      <c r="I129" s="80"/>
      <c r="J129" s="200"/>
      <c r="K129" s="80"/>
      <c r="L129" s="305"/>
      <c r="M129" s="80"/>
      <c r="N129" s="305"/>
      <c r="O129" s="211"/>
      <c r="P129" s="211"/>
      <c r="Q129" s="211"/>
      <c r="R129" s="211"/>
      <c r="T129" s="159">
        <f t="shared" ref="T129:T137" si="12">A57</f>
        <v>36</v>
      </c>
      <c r="U129" s="80"/>
      <c r="V129" s="153" t="str">
        <f>C57</f>
        <v>DEMAND SIDE MANAGEMENT RIDER (DSMR)</v>
      </c>
      <c r="W129" s="80"/>
      <c r="X129" s="80"/>
      <c r="Y129" s="163"/>
      <c r="Z129" s="70"/>
      <c r="AA129" s="163"/>
      <c r="AB129" s="70"/>
      <c r="AC129" s="308">
        <f>DSM_DIST</f>
        <v>2.5760000000000002E-3</v>
      </c>
      <c r="AD129" s="268"/>
      <c r="AE129" s="163">
        <f>ROUND($AA$126*AC129,0)</f>
        <v>1269845</v>
      </c>
      <c r="AF129" s="70"/>
      <c r="AG129" s="197">
        <f>ROUND((+AE129/$AE$137)*100,1)</f>
        <v>4.0999999999999996</v>
      </c>
      <c r="AH129" s="70"/>
      <c r="AI129" s="163">
        <f>L57-AE129</f>
        <v>0</v>
      </c>
      <c r="AJ129" s="163"/>
      <c r="AK129" s="155">
        <f t="shared" ref="AK129:AK135" si="13">IF(AE129=0,0,ROUND((AI129/AE129)*100,1))</f>
        <v>0</v>
      </c>
      <c r="AL129" s="158"/>
      <c r="AM129" s="200"/>
      <c r="AN129" s="70"/>
      <c r="AO129" s="163">
        <f t="shared" ref="AO129:AO134" si="14">AE129+AM129</f>
        <v>1269845</v>
      </c>
      <c r="AP129" s="70"/>
      <c r="AQ129" s="155">
        <f t="shared" ref="AQ129:AQ135" si="15">ROUND((+AI129/AO129)*100,1)</f>
        <v>0</v>
      </c>
    </row>
    <row r="130" spans="1:43" ht="15.75" customHeight="1" x14ac:dyDescent="0.25">
      <c r="F130" s="200"/>
      <c r="H130" s="200"/>
      <c r="I130" s="80"/>
      <c r="J130" s="200"/>
      <c r="K130" s="80"/>
      <c r="L130" s="305"/>
      <c r="M130" s="80"/>
      <c r="N130" s="305"/>
      <c r="O130" s="211"/>
      <c r="P130" s="211"/>
      <c r="Q130" s="211"/>
      <c r="R130" s="211"/>
      <c r="T130" s="159">
        <f t="shared" si="12"/>
        <v>37</v>
      </c>
      <c r="U130" s="80"/>
      <c r="V130" s="153" t="str">
        <f t="shared" ref="V130:V134" si="16">C58</f>
        <v>ENVIRONMENTAL SURCHARGE MECHANISM RIDER (ESM)</v>
      </c>
      <c r="W130" s="80"/>
      <c r="X130" s="80"/>
      <c r="Y130" s="163"/>
      <c r="Z130" s="70"/>
      <c r="AA130" s="163"/>
      <c r="AB130" s="70"/>
      <c r="AC130" s="324">
        <f>CUR_ESM</f>
        <v>0</v>
      </c>
      <c r="AD130" s="268"/>
      <c r="AE130" s="163">
        <f>ROUND(AO126*AC130,0)</f>
        <v>0</v>
      </c>
      <c r="AF130" s="70"/>
      <c r="AG130" s="197">
        <f t="shared" ref="AG130:AG131" si="17">ROUND((+AE130/$AE$137)*100,1)</f>
        <v>0</v>
      </c>
      <c r="AH130" s="70"/>
      <c r="AI130" s="163">
        <f t="shared" ref="AI130:AI131" si="18">L58-AE130</f>
        <v>0</v>
      </c>
      <c r="AJ130" s="163"/>
      <c r="AK130" s="155">
        <f t="shared" si="13"/>
        <v>0</v>
      </c>
      <c r="AL130" s="158"/>
      <c r="AM130" s="200"/>
      <c r="AN130" s="70"/>
      <c r="AO130" s="163">
        <f t="shared" si="14"/>
        <v>0</v>
      </c>
      <c r="AP130" s="70"/>
      <c r="AQ130" s="155">
        <f>IF(AO130=0,0,ROUND((+AI130/AO130)*100,1))</f>
        <v>0</v>
      </c>
    </row>
    <row r="131" spans="1:43" ht="15.75" customHeight="1" x14ac:dyDescent="0.25">
      <c r="F131" s="200"/>
      <c r="H131" s="200"/>
      <c r="I131" s="80"/>
      <c r="J131" s="200"/>
      <c r="K131" s="80"/>
      <c r="L131" s="305"/>
      <c r="M131" s="80"/>
      <c r="N131" s="305"/>
      <c r="O131" s="211"/>
      <c r="P131" s="211"/>
      <c r="Q131" s="211"/>
      <c r="R131" s="211"/>
      <c r="T131" s="159">
        <f t="shared" si="12"/>
        <v>38</v>
      </c>
      <c r="U131" s="80"/>
      <c r="V131" s="153" t="str">
        <f t="shared" si="16"/>
        <v>DISTRIBUTION CAPITAL INVESTMENT RIDER (DCI)</v>
      </c>
      <c r="W131" s="80"/>
      <c r="X131" s="80"/>
      <c r="Y131" s="163"/>
      <c r="Z131" s="70"/>
      <c r="AA131" s="163"/>
      <c r="AB131" s="70"/>
      <c r="AC131" s="324">
        <f>CUR_DCI_DTP</f>
        <v>0</v>
      </c>
      <c r="AD131" s="268"/>
      <c r="AE131" s="163">
        <f>ROUND((AA117+AA100)*AC131,0)</f>
        <v>0</v>
      </c>
      <c r="AF131" s="70"/>
      <c r="AG131" s="197">
        <f t="shared" si="17"/>
        <v>0</v>
      </c>
      <c r="AH131" s="70"/>
      <c r="AI131" s="163">
        <f t="shared" si="18"/>
        <v>0</v>
      </c>
      <c r="AJ131" s="163"/>
      <c r="AK131" s="155">
        <f t="shared" si="13"/>
        <v>0</v>
      </c>
      <c r="AL131" s="158"/>
      <c r="AM131" s="200"/>
      <c r="AN131" s="70"/>
      <c r="AO131" s="163">
        <f t="shared" si="14"/>
        <v>0</v>
      </c>
      <c r="AP131" s="70"/>
      <c r="AQ131" s="155">
        <f>IF(AO131=0,0,ROUND((+AI131/AO131)*100,1))</f>
        <v>0</v>
      </c>
    </row>
    <row r="132" spans="1:43" ht="15.75" customHeight="1" x14ac:dyDescent="0.25">
      <c r="F132" s="200"/>
      <c r="H132" s="200"/>
      <c r="I132" s="80"/>
      <c r="J132" s="200"/>
      <c r="K132" s="80"/>
      <c r="L132" s="305"/>
      <c r="M132" s="80"/>
      <c r="N132" s="305"/>
      <c r="O132" s="211"/>
      <c r="P132" s="211"/>
      <c r="Q132" s="211"/>
      <c r="R132" s="211"/>
      <c r="T132" s="159">
        <f t="shared" si="12"/>
        <v>39</v>
      </c>
      <c r="U132" s="80"/>
      <c r="V132" s="153" t="str">
        <f t="shared" si="16"/>
        <v>FUEL ADJUSTMENT CLAUSE (FAC)</v>
      </c>
      <c r="W132" s="80"/>
      <c r="X132" s="80"/>
      <c r="Y132" s="163"/>
      <c r="Z132" s="70"/>
      <c r="AA132" s="163"/>
      <c r="AB132" s="70"/>
      <c r="AC132" s="308">
        <f>CUR_FAC</f>
        <v>1.0280000000000001E-3</v>
      </c>
      <c r="AD132" s="268"/>
      <c r="AE132" s="163"/>
      <c r="AF132" s="70"/>
      <c r="AG132" s="197"/>
      <c r="AH132" s="70"/>
      <c r="AI132" s="163"/>
      <c r="AJ132" s="163"/>
      <c r="AK132" s="155"/>
      <c r="AL132" s="158"/>
      <c r="AM132" s="163">
        <f>ROUND(AA126*CUR_FAC,0)</f>
        <v>506755</v>
      </c>
      <c r="AN132" s="70"/>
      <c r="AO132" s="163">
        <f t="shared" si="14"/>
        <v>506755</v>
      </c>
      <c r="AP132" s="70"/>
      <c r="AQ132" s="155">
        <f>ROUND(((R60-AO132)/AO132)*100,1)</f>
        <v>0</v>
      </c>
    </row>
    <row r="133" spans="1:43" ht="15.75" customHeight="1" x14ac:dyDescent="0.25">
      <c r="F133" s="200"/>
      <c r="H133" s="200"/>
      <c r="I133" s="80"/>
      <c r="J133" s="200"/>
      <c r="K133" s="80"/>
      <c r="L133" s="305"/>
      <c r="M133" s="80"/>
      <c r="N133" s="305"/>
      <c r="O133" s="211"/>
      <c r="P133" s="211"/>
      <c r="Q133" s="211"/>
      <c r="R133" s="211"/>
      <c r="T133" s="159">
        <f t="shared" si="12"/>
        <v>40</v>
      </c>
      <c r="U133" s="80"/>
      <c r="V133" s="153" t="str">
        <f t="shared" si="16"/>
        <v>FERC TRANSMISSION COST RECOVERY RECONCILIATION (FTR)</v>
      </c>
      <c r="W133" s="80"/>
      <c r="X133" s="80"/>
      <c r="Y133" s="163"/>
      <c r="Z133" s="70"/>
      <c r="AA133" s="163"/>
      <c r="AB133" s="70"/>
      <c r="AC133" s="308">
        <f>CUR_FTR_DTP</f>
        <v>0</v>
      </c>
      <c r="AD133" s="268"/>
      <c r="AE133" s="163">
        <f>ROUND(AA126*AC133,0)</f>
        <v>0</v>
      </c>
      <c r="AF133" s="70"/>
      <c r="AG133" s="197">
        <f>ROUND((+AE133/$AE$137)*100,1)</f>
        <v>0</v>
      </c>
      <c r="AH133" s="70"/>
      <c r="AI133" s="163">
        <f>L61-AE133</f>
        <v>0</v>
      </c>
      <c r="AJ133" s="163"/>
      <c r="AK133" s="155">
        <f t="shared" si="13"/>
        <v>0</v>
      </c>
      <c r="AL133" s="158"/>
      <c r="AM133" s="163"/>
      <c r="AN133" s="70"/>
      <c r="AO133" s="163">
        <f t="shared" si="14"/>
        <v>0</v>
      </c>
      <c r="AP133" s="70"/>
      <c r="AQ133" s="155">
        <f>IF(AO133=0,0,ROUND((+AI133/AO133)*100,1))</f>
        <v>0</v>
      </c>
    </row>
    <row r="134" spans="1:43" ht="15.75" customHeight="1" x14ac:dyDescent="0.25">
      <c r="F134" s="200"/>
      <c r="H134" s="200"/>
      <c r="I134" s="80"/>
      <c r="J134" s="200"/>
      <c r="K134" s="80"/>
      <c r="L134" s="305"/>
      <c r="M134" s="80"/>
      <c r="N134" s="305"/>
      <c r="O134" s="211"/>
      <c r="P134" s="211"/>
      <c r="Q134" s="211"/>
      <c r="R134" s="211"/>
      <c r="T134" s="159">
        <f t="shared" si="12"/>
        <v>41</v>
      </c>
      <c r="U134" s="80"/>
      <c r="V134" s="153" t="str">
        <f t="shared" si="16"/>
        <v>PROFIT SHARING MECHANISM (PSM)</v>
      </c>
      <c r="W134" s="80"/>
      <c r="X134" s="80"/>
      <c r="Y134" s="163"/>
      <c r="Z134" s="70"/>
      <c r="AA134" s="163"/>
      <c r="AB134" s="70"/>
      <c r="AC134" s="308">
        <f>RS_PSM</f>
        <v>-4.5600000000000003E-4</v>
      </c>
      <c r="AD134" s="268"/>
      <c r="AE134" s="167">
        <f>ROUND(AA126*RS_PSM,0)</f>
        <v>-224786</v>
      </c>
      <c r="AF134" s="70"/>
      <c r="AG134" s="166">
        <f>ROUND((+AE134/$AE$137)*100,1)</f>
        <v>-0.7</v>
      </c>
      <c r="AH134" s="70"/>
      <c r="AI134" s="167">
        <f>L62-AE134</f>
        <v>0</v>
      </c>
      <c r="AJ134" s="163"/>
      <c r="AK134" s="166">
        <f t="shared" si="13"/>
        <v>0</v>
      </c>
      <c r="AL134" s="158"/>
      <c r="AM134" s="353"/>
      <c r="AN134" s="70"/>
      <c r="AO134" s="167">
        <f t="shared" si="14"/>
        <v>-224786</v>
      </c>
      <c r="AP134" s="70"/>
      <c r="AQ134" s="155">
        <f t="shared" si="15"/>
        <v>0</v>
      </c>
    </row>
    <row r="135" spans="1:43" ht="22.5" customHeight="1" x14ac:dyDescent="0.25">
      <c r="F135" s="200"/>
      <c r="H135" s="200"/>
      <c r="I135" s="80"/>
      <c r="J135" s="200"/>
      <c r="K135" s="80"/>
      <c r="L135" s="305"/>
      <c r="M135" s="80"/>
      <c r="N135" s="305"/>
      <c r="O135" s="211"/>
      <c r="P135" s="211"/>
      <c r="Q135" s="211"/>
      <c r="R135" s="211"/>
      <c r="T135" s="159">
        <f t="shared" si="12"/>
        <v>42</v>
      </c>
      <c r="U135" s="80"/>
      <c r="V135" s="253" t="s">
        <v>557</v>
      </c>
      <c r="W135" s="80"/>
      <c r="X135" s="80"/>
      <c r="Y135" s="167"/>
      <c r="Z135" s="70"/>
      <c r="AA135" s="167"/>
      <c r="AB135" s="70"/>
      <c r="AC135" s="268"/>
      <c r="AD135" s="268"/>
      <c r="AE135" s="169">
        <f>SUM(AE129:AE134)</f>
        <v>1045059</v>
      </c>
      <c r="AF135" s="70"/>
      <c r="AG135" s="170">
        <f>ROUND((+AE135/$AE$137)*100,1)</f>
        <v>3.4</v>
      </c>
      <c r="AH135" s="70"/>
      <c r="AI135" s="169">
        <f>SUM(AI129:AI134)</f>
        <v>0</v>
      </c>
      <c r="AJ135" s="163"/>
      <c r="AK135" s="170">
        <f t="shared" si="13"/>
        <v>0</v>
      </c>
      <c r="AL135" s="158"/>
      <c r="AM135" s="169">
        <f>AM132</f>
        <v>506755</v>
      </c>
      <c r="AN135" s="70"/>
      <c r="AO135" s="169">
        <f>SUM(AO129:AO134)</f>
        <v>1551814</v>
      </c>
      <c r="AP135" s="70"/>
      <c r="AQ135" s="155">
        <f t="shared" si="15"/>
        <v>0</v>
      </c>
    </row>
    <row r="136" spans="1:43" x14ac:dyDescent="0.25">
      <c r="F136" s="200"/>
      <c r="H136" s="200"/>
      <c r="I136" s="80"/>
      <c r="J136" s="200"/>
      <c r="K136" s="80"/>
      <c r="L136" s="305"/>
      <c r="M136" s="80"/>
      <c r="N136" s="305"/>
      <c r="O136" s="211"/>
      <c r="P136" s="211"/>
      <c r="Q136" s="211"/>
      <c r="R136" s="211"/>
      <c r="T136" s="159"/>
      <c r="U136" s="80"/>
      <c r="V136" s="82"/>
      <c r="W136" s="80"/>
      <c r="X136" s="80"/>
      <c r="Y136" s="163"/>
      <c r="Z136" s="85"/>
      <c r="AA136" s="163"/>
      <c r="AB136" s="163"/>
      <c r="AC136" s="354"/>
      <c r="AD136" s="354"/>
      <c r="AE136" s="163"/>
      <c r="AF136" s="85"/>
      <c r="AG136" s="197"/>
      <c r="AH136" s="85"/>
      <c r="AI136" s="163"/>
      <c r="AJ136" s="163"/>
      <c r="AK136" s="197"/>
      <c r="AL136" s="199"/>
      <c r="AM136" s="163"/>
      <c r="AN136" s="85"/>
      <c r="AO136" s="163"/>
      <c r="AP136" s="85"/>
      <c r="AQ136" s="155"/>
    </row>
    <row r="137" spans="1:43" ht="20.100000000000001" customHeight="1" thickBot="1" x14ac:dyDescent="0.3">
      <c r="F137" s="211"/>
      <c r="H137" s="211"/>
      <c r="I137" s="80"/>
      <c r="J137" s="211"/>
      <c r="K137" s="80"/>
      <c r="L137" s="305"/>
      <c r="M137" s="80"/>
      <c r="N137" s="305"/>
      <c r="O137" s="211"/>
      <c r="P137" s="211"/>
      <c r="Q137" s="211"/>
      <c r="R137" s="211"/>
      <c r="T137" s="159">
        <f t="shared" si="12"/>
        <v>43</v>
      </c>
      <c r="U137" s="80"/>
      <c r="V137" s="265" t="s">
        <v>562</v>
      </c>
      <c r="W137" s="80"/>
      <c r="X137" s="80"/>
      <c r="Y137" s="275">
        <f>F65</f>
        <v>443</v>
      </c>
      <c r="Z137" s="70"/>
      <c r="AA137" s="275">
        <f>H65</f>
        <v>492952443</v>
      </c>
      <c r="AB137" s="163"/>
      <c r="AC137" s="70"/>
      <c r="AD137" s="70"/>
      <c r="AE137" s="275">
        <f>AE126+AE135</f>
        <v>30821870</v>
      </c>
      <c r="AF137" s="70"/>
      <c r="AG137" s="291">
        <v>100</v>
      </c>
      <c r="AH137" s="70"/>
      <c r="AI137" s="275">
        <f>AI126+AI135</f>
        <v>3985169</v>
      </c>
      <c r="AJ137" s="163"/>
      <c r="AK137" s="291">
        <f>IF(AE137=0,0,ROUND((AI137/AE137)*100,1))</f>
        <v>12.9</v>
      </c>
      <c r="AL137" s="158"/>
      <c r="AM137" s="275">
        <f>AM126+AM135</f>
        <v>506755</v>
      </c>
      <c r="AN137" s="70"/>
      <c r="AO137" s="275">
        <f>AO126+AO135</f>
        <v>31328625</v>
      </c>
      <c r="AP137" s="70"/>
      <c r="AQ137" s="155">
        <f>ROUND((+AI137/AO137)*100,1)</f>
        <v>12.7</v>
      </c>
    </row>
    <row r="138" spans="1:43" ht="16.5" thickTop="1" x14ac:dyDescent="0.25">
      <c r="F138" s="211"/>
      <c r="H138" s="211"/>
      <c r="I138" s="80"/>
      <c r="J138" s="211"/>
      <c r="K138" s="305"/>
      <c r="L138" s="305"/>
      <c r="M138" s="80"/>
      <c r="N138" s="211"/>
      <c r="O138" s="211"/>
      <c r="P138" s="211"/>
      <c r="Q138" s="211"/>
      <c r="R138" s="211"/>
      <c r="S138" s="200"/>
      <c r="T138" s="80"/>
      <c r="U138" s="80"/>
      <c r="V138" s="80"/>
      <c r="W138" s="80"/>
      <c r="X138" s="80"/>
      <c r="Y138" s="70"/>
      <c r="Z138" s="70"/>
      <c r="AA138" s="70"/>
      <c r="AB138" s="70"/>
      <c r="AC138" s="70"/>
      <c r="AD138" s="70"/>
      <c r="AE138" s="70"/>
      <c r="AF138" s="70"/>
      <c r="AG138" s="164"/>
      <c r="AH138" s="70"/>
      <c r="AI138" s="70"/>
      <c r="AJ138" s="70"/>
      <c r="AK138" s="164"/>
      <c r="AL138" s="70"/>
      <c r="AM138" s="70"/>
      <c r="AN138" s="70"/>
      <c r="AO138" s="70"/>
      <c r="AP138" s="70"/>
      <c r="AQ138" s="164"/>
    </row>
    <row r="139" spans="1:43" x14ac:dyDescent="0.25">
      <c r="A139" s="202"/>
      <c r="C139" s="154"/>
      <c r="I139" s="80"/>
      <c r="M139" s="80"/>
      <c r="T139" s="80"/>
      <c r="U139" s="80"/>
      <c r="V139" s="173" t="s">
        <v>61</v>
      </c>
      <c r="W139" s="80"/>
      <c r="X139" s="80"/>
      <c r="Y139" s="80"/>
      <c r="Z139" s="80"/>
      <c r="AA139" s="80"/>
      <c r="AB139" s="80"/>
      <c r="AC139" s="80"/>
      <c r="AD139" s="80"/>
      <c r="AE139" s="189"/>
      <c r="AF139" s="189"/>
      <c r="AG139" s="188"/>
      <c r="AH139" s="80"/>
      <c r="AI139" s="80"/>
      <c r="AJ139" s="80"/>
      <c r="AK139" s="188"/>
      <c r="AL139" s="80"/>
      <c r="AM139" s="189"/>
      <c r="AN139" s="80"/>
      <c r="AO139" s="189"/>
      <c r="AP139" s="80"/>
      <c r="AQ139" s="188"/>
    </row>
    <row r="140" spans="1:43" x14ac:dyDescent="0.25">
      <c r="A140" s="202"/>
      <c r="C140" s="154"/>
      <c r="I140" s="80"/>
      <c r="M140" s="80"/>
      <c r="T140" s="80"/>
      <c r="U140" s="80"/>
      <c r="V140" s="173" t="str">
        <f>"(2) REFLECTS FUEL COMPONENT OF "&amp;TEXT(CUR_FAC,"$0.000000;($0.000000)")&amp;"  PER KWH."</f>
        <v>(2) REFLECTS FUEL COMPONENT OF $0.001028  PER KWH.</v>
      </c>
      <c r="W140" s="80"/>
      <c r="X140" s="80"/>
      <c r="Y140" s="80"/>
      <c r="Z140" s="80"/>
      <c r="AA140" s="80"/>
      <c r="AB140" s="80"/>
      <c r="AC140" s="80"/>
      <c r="AD140" s="80"/>
      <c r="AE140" s="189"/>
      <c r="AF140" s="189"/>
      <c r="AG140" s="188"/>
      <c r="AH140" s="80"/>
      <c r="AI140" s="80"/>
      <c r="AJ140" s="80"/>
      <c r="AK140" s="188"/>
      <c r="AL140" s="80"/>
      <c r="AM140" s="189"/>
      <c r="AN140" s="80"/>
      <c r="AO140" s="189"/>
      <c r="AP140" s="80"/>
      <c r="AQ140" s="188"/>
    </row>
    <row r="141" spans="1:43" x14ac:dyDescent="0.25">
      <c r="A141" s="202"/>
      <c r="C141" s="154"/>
      <c r="F141" s="200"/>
      <c r="H141" s="200"/>
      <c r="I141" s="80"/>
      <c r="J141" s="200"/>
      <c r="M141" s="80"/>
      <c r="N141" s="200"/>
      <c r="O141" s="200"/>
      <c r="P141" s="210"/>
      <c r="Q141" s="252"/>
      <c r="R141" s="200"/>
      <c r="T141" s="154"/>
      <c r="V141" s="173" t="str">
        <f>"(3) REFLECTS FUEL COST RECOVERY INCLUDED IN BASE RATES OF "&amp;TEXT(CUR_BASE_FUEL,"$0.000000;($0.000000)")&amp;"  PER KWH."</f>
        <v>(3) REFLECTS FUEL COST RECOVERY INCLUDED IN BASE RATES OF $0.023837  PER KWH.</v>
      </c>
      <c r="Y141" s="200"/>
      <c r="Z141" s="329"/>
      <c r="AA141" s="200"/>
      <c r="AB141" s="200"/>
      <c r="AC141" s="210"/>
      <c r="AD141" s="210"/>
      <c r="AE141" s="200"/>
      <c r="AF141" s="200"/>
      <c r="AG141" s="209"/>
      <c r="AH141" s="80"/>
      <c r="AI141" s="201"/>
      <c r="AJ141" s="201"/>
      <c r="AK141" s="209"/>
      <c r="AL141" s="200"/>
      <c r="AM141" s="80"/>
      <c r="AN141" s="80"/>
      <c r="AO141" s="210"/>
      <c r="AP141" s="80"/>
      <c r="AQ141" s="209"/>
    </row>
    <row r="142" spans="1:43" x14ac:dyDescent="0.25">
      <c r="F142" s="211"/>
      <c r="H142" s="211"/>
      <c r="I142" s="80"/>
      <c r="J142" s="211"/>
      <c r="K142" s="305"/>
      <c r="L142" s="305"/>
      <c r="M142" s="80"/>
      <c r="N142" s="211"/>
      <c r="O142" s="211"/>
      <c r="P142" s="211"/>
      <c r="Q142" s="211"/>
      <c r="R142" s="211"/>
      <c r="V142" s="200"/>
      <c r="Y142" s="200"/>
      <c r="Z142" s="305"/>
      <c r="AA142" s="211"/>
      <c r="AB142" s="211"/>
      <c r="AC142" s="211"/>
      <c r="AD142" s="211"/>
      <c r="AE142" s="211"/>
      <c r="AF142" s="211"/>
      <c r="AH142" s="80"/>
      <c r="AK142" s="212"/>
      <c r="AL142" s="211"/>
      <c r="AM142" s="80"/>
      <c r="AN142" s="80"/>
      <c r="AO142" s="210"/>
      <c r="AP142" s="80"/>
      <c r="AQ142" s="212"/>
    </row>
    <row r="143" spans="1:43" x14ac:dyDescent="0.25">
      <c r="I143" s="80"/>
      <c r="M143" s="80"/>
      <c r="T143" s="154"/>
      <c r="V143" s="200"/>
      <c r="Y143" s="200"/>
      <c r="Z143" s="213"/>
      <c r="AA143" s="200"/>
      <c r="AB143" s="200"/>
      <c r="AC143" s="210"/>
      <c r="AD143" s="210"/>
      <c r="AE143" s="200"/>
      <c r="AF143" s="200"/>
      <c r="AG143" s="209"/>
      <c r="AH143" s="80"/>
      <c r="AI143" s="201"/>
      <c r="AJ143" s="201"/>
      <c r="AK143" s="209"/>
      <c r="AL143" s="200"/>
      <c r="AM143" s="80"/>
      <c r="AN143" s="80"/>
      <c r="AO143" s="210"/>
      <c r="AP143" s="80"/>
      <c r="AQ143" s="209"/>
    </row>
    <row r="144" spans="1:43" x14ac:dyDescent="0.25">
      <c r="C144" s="154"/>
      <c r="I144" s="80"/>
      <c r="M144" s="80"/>
      <c r="N144" s="200"/>
      <c r="O144" s="200"/>
      <c r="P144" s="200"/>
      <c r="Q144" s="200"/>
      <c r="R144" s="200"/>
      <c r="S144" s="200"/>
      <c r="V144" s="200"/>
      <c r="Y144" s="200"/>
      <c r="Z144" s="305"/>
      <c r="AA144" s="211"/>
      <c r="AB144" s="211"/>
      <c r="AC144" s="211"/>
      <c r="AD144" s="211"/>
      <c r="AE144" s="211"/>
      <c r="AF144" s="211"/>
      <c r="AH144" s="80"/>
      <c r="AK144" s="212"/>
      <c r="AL144" s="211"/>
      <c r="AM144" s="80"/>
      <c r="AN144" s="80"/>
      <c r="AO144" s="210"/>
      <c r="AP144" s="80"/>
      <c r="AQ144" s="212"/>
    </row>
    <row r="145" spans="1:43" x14ac:dyDescent="0.25">
      <c r="A145" s="154"/>
      <c r="I145" s="80"/>
      <c r="M145" s="80"/>
      <c r="T145" s="154"/>
      <c r="V145" s="200"/>
      <c r="Y145" s="200"/>
      <c r="Z145" s="213"/>
      <c r="AA145" s="200"/>
      <c r="AB145" s="200"/>
      <c r="AC145" s="210"/>
      <c r="AD145" s="210"/>
      <c r="AE145" s="200"/>
      <c r="AF145" s="200"/>
      <c r="AG145" s="209"/>
      <c r="AH145" s="80"/>
      <c r="AI145" s="201"/>
      <c r="AJ145" s="201"/>
      <c r="AK145" s="209"/>
      <c r="AL145" s="200"/>
      <c r="AM145" s="80"/>
      <c r="AN145" s="80"/>
      <c r="AO145" s="210"/>
      <c r="AP145" s="80"/>
      <c r="AQ145" s="209"/>
    </row>
    <row r="146" spans="1:43" x14ac:dyDescent="0.25">
      <c r="I146" s="80"/>
      <c r="K146" s="202"/>
      <c r="L146" s="202"/>
      <c r="M146" s="80"/>
      <c r="T146" s="154"/>
      <c r="V146" s="252"/>
      <c r="Y146" s="200"/>
      <c r="Z146" s="320"/>
      <c r="AA146" s="200"/>
      <c r="AB146" s="200"/>
      <c r="AC146" s="210"/>
      <c r="AD146" s="210"/>
      <c r="AE146" s="200"/>
      <c r="AF146" s="200"/>
      <c r="AG146" s="209"/>
      <c r="AH146" s="80"/>
      <c r="AI146" s="201"/>
      <c r="AJ146" s="201"/>
      <c r="AK146" s="209"/>
      <c r="AL146" s="200"/>
      <c r="AM146" s="80"/>
      <c r="AN146" s="80"/>
      <c r="AO146" s="210"/>
      <c r="AP146" s="80"/>
      <c r="AQ146" s="209"/>
    </row>
    <row r="147" spans="1:43" x14ac:dyDescent="0.25">
      <c r="H147" s="154"/>
      <c r="I147" s="80"/>
      <c r="J147" s="154"/>
      <c r="M147" s="80"/>
      <c r="V147" s="211"/>
      <c r="Y147" s="211"/>
      <c r="Z147" s="305"/>
      <c r="AA147" s="211"/>
      <c r="AB147" s="211"/>
      <c r="AC147" s="211"/>
      <c r="AD147" s="211"/>
      <c r="AE147" s="211"/>
      <c r="AF147" s="211"/>
      <c r="AH147" s="80"/>
      <c r="AK147" s="212"/>
      <c r="AL147" s="211"/>
      <c r="AM147" s="80"/>
      <c r="AN147" s="80"/>
      <c r="AO147" s="210"/>
      <c r="AP147" s="80"/>
      <c r="AQ147" s="212"/>
    </row>
    <row r="148" spans="1:43" x14ac:dyDescent="0.25">
      <c r="I148" s="80"/>
      <c r="K148" s="202"/>
      <c r="L148" s="202"/>
      <c r="M148" s="80"/>
      <c r="T148" s="154"/>
      <c r="V148" s="200"/>
      <c r="Y148" s="200"/>
      <c r="Z148" s="305"/>
      <c r="AA148" s="200"/>
      <c r="AB148" s="200"/>
      <c r="AC148" s="210"/>
      <c r="AD148" s="210"/>
      <c r="AE148" s="200"/>
      <c r="AF148" s="200"/>
      <c r="AG148" s="209"/>
      <c r="AH148" s="80"/>
      <c r="AI148" s="210"/>
      <c r="AJ148" s="210"/>
      <c r="AK148" s="209"/>
      <c r="AL148" s="200"/>
      <c r="AM148" s="80"/>
      <c r="AN148" s="80"/>
      <c r="AO148" s="210"/>
      <c r="AP148" s="80"/>
      <c r="AQ148" s="209"/>
    </row>
    <row r="149" spans="1:43" x14ac:dyDescent="0.25">
      <c r="I149" s="80"/>
      <c r="M149" s="154"/>
      <c r="N149" s="154"/>
      <c r="V149" s="211"/>
      <c r="Y149" s="211"/>
      <c r="Z149" s="305"/>
      <c r="AA149" s="211"/>
      <c r="AB149" s="211"/>
      <c r="AC149" s="211"/>
      <c r="AD149" s="211"/>
      <c r="AE149" s="211"/>
      <c r="AF149" s="211"/>
      <c r="AH149" s="80"/>
      <c r="AK149" s="212"/>
      <c r="AL149" s="211"/>
      <c r="AM149" s="80"/>
      <c r="AN149" s="80"/>
      <c r="AO149" s="210"/>
      <c r="AP149" s="80"/>
      <c r="AQ149" s="212"/>
    </row>
    <row r="150" spans="1:43" x14ac:dyDescent="0.25">
      <c r="A150" s="202"/>
      <c r="I150" s="80"/>
      <c r="R150" s="154"/>
      <c r="T150" s="154"/>
      <c r="V150" s="252"/>
      <c r="Y150" s="252"/>
      <c r="Z150" s="305"/>
      <c r="AA150" s="200"/>
      <c r="AB150" s="200"/>
      <c r="AC150" s="210"/>
      <c r="AD150" s="210"/>
      <c r="AE150" s="200"/>
      <c r="AF150" s="200"/>
      <c r="AH150" s="80"/>
      <c r="AK150" s="209"/>
      <c r="AL150" s="200"/>
      <c r="AM150" s="80"/>
      <c r="AN150" s="80"/>
      <c r="AO150" s="210"/>
      <c r="AP150" s="80"/>
      <c r="AQ150" s="209"/>
    </row>
    <row r="151" spans="1:43" x14ac:dyDescent="0.25">
      <c r="A151" s="202"/>
      <c r="I151" s="80"/>
      <c r="R151" s="154"/>
      <c r="AH151" s="80"/>
      <c r="AM151" s="80"/>
      <c r="AN151" s="80"/>
      <c r="AP151" s="80"/>
    </row>
    <row r="152" spans="1:43" x14ac:dyDescent="0.25">
      <c r="A152" s="154"/>
      <c r="I152" s="80"/>
      <c r="R152" s="154"/>
      <c r="T152" s="154"/>
      <c r="AH152" s="80"/>
      <c r="AM152" s="80"/>
      <c r="AN152" s="80"/>
      <c r="AP152" s="80"/>
    </row>
    <row r="153" spans="1:43" x14ac:dyDescent="0.25">
      <c r="I153" s="80"/>
      <c r="M153" s="154"/>
      <c r="N153" s="154"/>
      <c r="R153" s="202"/>
      <c r="T153" s="154"/>
      <c r="V153" s="200"/>
      <c r="Y153" s="252"/>
      <c r="Z153" s="300"/>
      <c r="AA153" s="200"/>
      <c r="AB153" s="200"/>
      <c r="AC153" s="210"/>
      <c r="AD153" s="210"/>
      <c r="AE153" s="200"/>
      <c r="AF153" s="200"/>
      <c r="AG153" s="325"/>
      <c r="AH153" s="80"/>
      <c r="AI153" s="326"/>
      <c r="AJ153" s="326"/>
      <c r="AK153" s="209"/>
      <c r="AL153" s="202"/>
      <c r="AM153" s="80"/>
      <c r="AN153" s="80"/>
      <c r="AO153" s="327"/>
      <c r="AP153" s="80"/>
      <c r="AQ153" s="209"/>
    </row>
    <row r="154" spans="1:43" x14ac:dyDescent="0.25">
      <c r="A154" s="102"/>
      <c r="B154" s="102"/>
      <c r="C154" s="102"/>
      <c r="D154" s="102"/>
      <c r="E154" s="102"/>
      <c r="F154" s="102"/>
      <c r="G154" s="102"/>
      <c r="H154" s="102"/>
      <c r="I154" s="80"/>
      <c r="J154" s="102"/>
      <c r="K154" s="102"/>
      <c r="L154" s="102"/>
      <c r="M154" s="102"/>
      <c r="N154" s="102"/>
      <c r="O154" s="102"/>
      <c r="P154" s="102"/>
      <c r="Q154" s="102"/>
      <c r="R154" s="102"/>
      <c r="T154" s="154"/>
      <c r="V154" s="200"/>
      <c r="Y154" s="252"/>
      <c r="Z154" s="300"/>
      <c r="AA154" s="200"/>
      <c r="AB154" s="200"/>
      <c r="AC154" s="210"/>
      <c r="AD154" s="210"/>
      <c r="AE154" s="200"/>
      <c r="AF154" s="200"/>
      <c r="AG154" s="209"/>
      <c r="AH154" s="80"/>
      <c r="AI154" s="201"/>
      <c r="AJ154" s="201"/>
      <c r="AK154" s="209"/>
      <c r="AL154" s="202"/>
      <c r="AM154" s="80"/>
      <c r="AN154" s="80"/>
      <c r="AO154" s="210"/>
      <c r="AP154" s="80"/>
      <c r="AQ154" s="209"/>
    </row>
    <row r="155" spans="1:43" x14ac:dyDescent="0.25">
      <c r="I155" s="80"/>
      <c r="M155" s="103"/>
      <c r="N155" s="103"/>
      <c r="O155" s="103"/>
      <c r="P155" s="103"/>
      <c r="R155" s="103"/>
      <c r="T155" s="154"/>
      <c r="V155" s="200"/>
      <c r="Y155" s="252"/>
      <c r="Z155" s="300"/>
      <c r="AA155" s="200"/>
      <c r="AB155" s="200"/>
      <c r="AC155" s="210"/>
      <c r="AD155" s="210"/>
      <c r="AE155" s="200"/>
      <c r="AF155" s="200"/>
      <c r="AG155" s="209"/>
      <c r="AH155" s="80"/>
      <c r="AI155" s="201"/>
      <c r="AJ155" s="201"/>
      <c r="AK155" s="209"/>
      <c r="AL155" s="202"/>
      <c r="AM155" s="80"/>
      <c r="AN155" s="80"/>
      <c r="AO155" s="210"/>
      <c r="AP155" s="80"/>
      <c r="AQ155" s="209"/>
    </row>
    <row r="156" spans="1:43" x14ac:dyDescent="0.25">
      <c r="I156" s="80"/>
      <c r="M156" s="103"/>
      <c r="N156" s="103"/>
      <c r="O156" s="103"/>
      <c r="P156" s="103"/>
      <c r="R156" s="103"/>
      <c r="V156" s="211"/>
      <c r="Y156" s="200"/>
      <c r="Z156" s="305"/>
      <c r="AA156" s="211"/>
      <c r="AB156" s="211"/>
      <c r="AC156" s="211"/>
      <c r="AD156" s="211"/>
      <c r="AE156" s="211"/>
      <c r="AF156" s="211"/>
      <c r="AH156" s="80"/>
      <c r="AK156" s="212"/>
      <c r="AL156" s="211"/>
      <c r="AM156" s="80"/>
      <c r="AN156" s="80"/>
      <c r="AO156" s="210"/>
      <c r="AP156" s="80"/>
      <c r="AQ156" s="212"/>
    </row>
    <row r="157" spans="1:43" x14ac:dyDescent="0.25">
      <c r="A157" s="103"/>
      <c r="C157" s="103"/>
      <c r="D157" s="103"/>
      <c r="E157" s="103"/>
      <c r="F157" s="103"/>
      <c r="I157" s="80"/>
      <c r="K157" s="103"/>
      <c r="L157" s="103"/>
      <c r="M157" s="103"/>
      <c r="N157" s="103"/>
      <c r="O157" s="103"/>
      <c r="P157" s="103"/>
      <c r="Q157" s="103"/>
      <c r="R157" s="103"/>
      <c r="T157" s="154"/>
      <c r="V157" s="200"/>
      <c r="Y157" s="200"/>
      <c r="Z157" s="305"/>
      <c r="AA157" s="200"/>
      <c r="AB157" s="200"/>
      <c r="AC157" s="210"/>
      <c r="AD157" s="210"/>
      <c r="AE157" s="200"/>
      <c r="AF157" s="200"/>
      <c r="AG157" s="209"/>
      <c r="AH157" s="80"/>
      <c r="AI157" s="201"/>
      <c r="AJ157" s="201"/>
      <c r="AK157" s="209"/>
      <c r="AL157" s="200"/>
      <c r="AM157" s="80"/>
      <c r="AN157" s="80"/>
      <c r="AO157" s="210"/>
      <c r="AP157" s="80"/>
      <c r="AQ157" s="209"/>
    </row>
    <row r="158" spans="1:43" x14ac:dyDescent="0.25">
      <c r="A158" s="103"/>
      <c r="C158" s="103"/>
      <c r="D158" s="103"/>
      <c r="E158" s="103"/>
      <c r="F158" s="103"/>
      <c r="H158" s="103"/>
      <c r="I158" s="80"/>
      <c r="J158" s="103"/>
      <c r="K158" s="103"/>
      <c r="L158" s="103"/>
      <c r="M158" s="103"/>
      <c r="N158" s="103"/>
      <c r="O158" s="103"/>
      <c r="P158" s="103"/>
      <c r="Q158" s="103"/>
      <c r="R158" s="103"/>
      <c r="V158" s="211"/>
      <c r="Y158" s="200"/>
      <c r="Z158" s="305"/>
      <c r="AA158" s="211"/>
      <c r="AB158" s="211"/>
      <c r="AC158" s="211"/>
      <c r="AD158" s="211"/>
      <c r="AE158" s="211"/>
      <c r="AF158" s="211"/>
      <c r="AH158" s="80"/>
      <c r="AK158" s="212"/>
      <c r="AL158" s="211"/>
      <c r="AM158" s="80"/>
      <c r="AN158" s="80"/>
      <c r="AO158" s="210"/>
      <c r="AP158" s="80"/>
      <c r="AQ158" s="212"/>
    </row>
    <row r="159" spans="1:43" x14ac:dyDescent="0.25">
      <c r="C159" s="103"/>
      <c r="D159" s="103"/>
      <c r="E159" s="103"/>
      <c r="F159" s="103"/>
      <c r="H159" s="103"/>
      <c r="I159" s="80"/>
      <c r="J159" s="103"/>
      <c r="K159" s="103"/>
      <c r="L159" s="103"/>
      <c r="M159" s="103"/>
      <c r="N159" s="103"/>
      <c r="O159" s="103"/>
      <c r="P159" s="103"/>
      <c r="Q159" s="103"/>
      <c r="R159" s="103"/>
      <c r="T159" s="154"/>
      <c r="V159" s="252"/>
      <c r="Y159" s="252"/>
      <c r="Z159" s="328"/>
      <c r="AA159" s="200"/>
      <c r="AB159" s="200"/>
      <c r="AC159" s="210"/>
      <c r="AD159" s="210"/>
      <c r="AE159" s="200"/>
      <c r="AF159" s="200"/>
      <c r="AG159" s="209"/>
      <c r="AH159" s="80"/>
      <c r="AI159" s="210"/>
      <c r="AJ159" s="210"/>
      <c r="AK159" s="209"/>
      <c r="AL159" s="200"/>
      <c r="AM159" s="80"/>
      <c r="AN159" s="80"/>
      <c r="AO159" s="210"/>
      <c r="AP159" s="80"/>
      <c r="AQ159" s="209"/>
    </row>
    <row r="160" spans="1:43" x14ac:dyDescent="0.25">
      <c r="A160" s="102"/>
      <c r="B160" s="102"/>
      <c r="C160" s="102"/>
      <c r="D160" s="102"/>
      <c r="E160" s="102"/>
      <c r="F160" s="102"/>
      <c r="G160" s="102"/>
      <c r="H160" s="102"/>
      <c r="I160" s="80"/>
      <c r="J160" s="102"/>
      <c r="K160" s="102"/>
      <c r="L160" s="102"/>
      <c r="M160" s="102"/>
      <c r="N160" s="102"/>
      <c r="O160" s="102"/>
      <c r="P160" s="102"/>
      <c r="Q160" s="102"/>
      <c r="R160" s="102"/>
      <c r="T160" s="154"/>
      <c r="V160" s="252"/>
      <c r="Y160" s="200"/>
      <c r="Z160" s="300"/>
      <c r="AA160" s="200"/>
      <c r="AB160" s="200"/>
      <c r="AC160" s="210"/>
      <c r="AD160" s="210"/>
      <c r="AE160" s="200"/>
      <c r="AF160" s="200"/>
      <c r="AG160" s="209"/>
      <c r="AH160" s="80"/>
      <c r="AI160" s="201"/>
      <c r="AJ160" s="201"/>
      <c r="AK160" s="209"/>
      <c r="AL160" s="200"/>
      <c r="AM160" s="80"/>
      <c r="AN160" s="80"/>
      <c r="AO160" s="210"/>
      <c r="AP160" s="80"/>
      <c r="AQ160" s="209"/>
    </row>
    <row r="161" spans="1:43" x14ac:dyDescent="0.25">
      <c r="H161" s="103"/>
      <c r="I161" s="80"/>
      <c r="J161" s="103"/>
      <c r="K161" s="103"/>
      <c r="L161" s="103"/>
      <c r="M161" s="103"/>
      <c r="N161" s="103"/>
      <c r="O161" s="103"/>
      <c r="P161" s="103"/>
      <c r="Q161" s="103"/>
      <c r="R161" s="103"/>
      <c r="T161" s="154"/>
      <c r="V161" s="252"/>
      <c r="Y161" s="200"/>
      <c r="Z161" s="300"/>
      <c r="AA161" s="200"/>
      <c r="AB161" s="200"/>
      <c r="AC161" s="210"/>
      <c r="AD161" s="210"/>
      <c r="AE161" s="200"/>
      <c r="AF161" s="200"/>
      <c r="AG161" s="209"/>
      <c r="AH161" s="80"/>
      <c r="AI161" s="201"/>
      <c r="AJ161" s="201"/>
      <c r="AK161" s="209"/>
      <c r="AL161" s="200"/>
      <c r="AM161" s="80"/>
      <c r="AN161" s="80"/>
      <c r="AO161" s="210"/>
      <c r="AP161" s="80"/>
      <c r="AQ161" s="209"/>
    </row>
    <row r="162" spans="1:43" x14ac:dyDescent="0.25">
      <c r="A162" s="202"/>
      <c r="C162" s="154"/>
      <c r="D162" s="154"/>
      <c r="E162" s="154"/>
      <c r="I162" s="80"/>
      <c r="V162" s="200"/>
      <c r="Y162" s="211"/>
      <c r="Z162" s="305"/>
      <c r="AA162" s="211"/>
      <c r="AB162" s="211"/>
      <c r="AC162" s="211"/>
      <c r="AD162" s="211"/>
      <c r="AE162" s="211"/>
      <c r="AF162" s="211"/>
      <c r="AH162" s="80"/>
      <c r="AK162" s="212"/>
      <c r="AL162" s="211"/>
      <c r="AM162" s="80"/>
      <c r="AN162" s="80"/>
      <c r="AO162" s="210"/>
      <c r="AP162" s="80"/>
      <c r="AQ162" s="212"/>
    </row>
    <row r="163" spans="1:43" x14ac:dyDescent="0.25">
      <c r="A163" s="202"/>
      <c r="D163" s="154"/>
      <c r="E163" s="154"/>
      <c r="I163" s="80"/>
      <c r="T163" s="154"/>
      <c r="V163" s="200"/>
      <c r="Y163" s="200"/>
      <c r="Z163" s="305"/>
      <c r="AA163" s="200"/>
      <c r="AB163" s="200"/>
      <c r="AC163" s="210"/>
      <c r="AD163" s="210"/>
      <c r="AE163" s="200"/>
      <c r="AF163" s="200"/>
      <c r="AG163" s="209"/>
      <c r="AH163" s="80"/>
      <c r="AI163" s="201"/>
      <c r="AJ163" s="201"/>
      <c r="AK163" s="209"/>
      <c r="AL163" s="200"/>
      <c r="AM163" s="80"/>
      <c r="AN163" s="80"/>
      <c r="AO163" s="210"/>
      <c r="AP163" s="80"/>
      <c r="AQ163" s="209"/>
    </row>
    <row r="164" spans="1:43" x14ac:dyDescent="0.25">
      <c r="I164" s="80"/>
      <c r="V164" s="200"/>
      <c r="Y164" s="211"/>
      <c r="Z164" s="305"/>
      <c r="AA164" s="211"/>
      <c r="AB164" s="211"/>
      <c r="AC164" s="211"/>
      <c r="AD164" s="211"/>
      <c r="AE164" s="211"/>
      <c r="AF164" s="211"/>
      <c r="AH164" s="80"/>
      <c r="AK164" s="212"/>
      <c r="AL164" s="211"/>
      <c r="AM164" s="80"/>
      <c r="AN164" s="80"/>
      <c r="AO164" s="210"/>
      <c r="AP164" s="80"/>
      <c r="AQ164" s="212"/>
    </row>
    <row r="165" spans="1:43" x14ac:dyDescent="0.25">
      <c r="A165" s="202"/>
      <c r="C165" s="154"/>
      <c r="F165" s="252"/>
      <c r="H165" s="252"/>
      <c r="I165" s="80"/>
      <c r="J165" s="252"/>
      <c r="K165" s="300"/>
      <c r="L165" s="300"/>
      <c r="M165" s="200"/>
      <c r="N165" s="200"/>
      <c r="O165" s="210"/>
      <c r="P165" s="210"/>
      <c r="R165" s="200"/>
      <c r="T165" s="154"/>
      <c r="V165" s="200"/>
      <c r="Y165" s="200"/>
      <c r="Z165" s="305"/>
      <c r="AA165" s="200"/>
      <c r="AB165" s="200"/>
      <c r="AC165" s="200"/>
      <c r="AD165" s="200"/>
      <c r="AE165" s="200"/>
      <c r="AF165" s="200"/>
      <c r="AG165" s="209"/>
      <c r="AH165" s="80"/>
      <c r="AI165" s="201"/>
      <c r="AJ165" s="201"/>
      <c r="AK165" s="209"/>
      <c r="AL165" s="200"/>
      <c r="AM165" s="80"/>
      <c r="AN165" s="80"/>
      <c r="AO165" s="210"/>
      <c r="AP165" s="80"/>
      <c r="AQ165" s="209"/>
    </row>
    <row r="166" spans="1:43" x14ac:dyDescent="0.25">
      <c r="A166" s="202"/>
      <c r="C166" s="154"/>
      <c r="F166" s="252"/>
      <c r="H166" s="252"/>
      <c r="I166" s="80"/>
      <c r="J166" s="252"/>
      <c r="K166" s="300"/>
      <c r="L166" s="300"/>
      <c r="M166" s="200"/>
      <c r="N166" s="200"/>
      <c r="O166" s="210"/>
      <c r="P166" s="210"/>
      <c r="Q166" s="202"/>
      <c r="R166" s="200"/>
      <c r="T166" s="154"/>
      <c r="V166" s="200"/>
      <c r="Y166" s="200"/>
      <c r="Z166" s="329"/>
      <c r="AA166" s="200"/>
      <c r="AB166" s="200"/>
      <c r="AC166" s="210"/>
      <c r="AD166" s="210"/>
      <c r="AE166" s="200"/>
      <c r="AF166" s="200"/>
      <c r="AG166" s="209"/>
      <c r="AH166" s="80"/>
      <c r="AI166" s="201"/>
      <c r="AJ166" s="201"/>
      <c r="AK166" s="209"/>
      <c r="AL166" s="200"/>
      <c r="AM166" s="80"/>
      <c r="AN166" s="80"/>
      <c r="AO166" s="210"/>
      <c r="AP166" s="80"/>
      <c r="AQ166" s="209"/>
    </row>
    <row r="167" spans="1:43" x14ac:dyDescent="0.25">
      <c r="F167" s="211"/>
      <c r="H167" s="200"/>
      <c r="I167" s="80"/>
      <c r="J167" s="200"/>
      <c r="K167" s="305"/>
      <c r="L167" s="305"/>
      <c r="M167" s="211"/>
      <c r="N167" s="211"/>
      <c r="O167" s="211"/>
      <c r="P167" s="211"/>
      <c r="Q167" s="211"/>
      <c r="R167" s="211"/>
      <c r="T167" s="154"/>
      <c r="Y167" s="200"/>
      <c r="Z167" s="329"/>
      <c r="AA167" s="200"/>
      <c r="AB167" s="200"/>
      <c r="AC167" s="210"/>
      <c r="AD167" s="210"/>
      <c r="AE167" s="200"/>
      <c r="AF167" s="200"/>
      <c r="AG167" s="209"/>
      <c r="AH167" s="80"/>
      <c r="AI167" s="201"/>
      <c r="AJ167" s="201"/>
      <c r="AK167" s="209"/>
      <c r="AL167" s="200"/>
      <c r="AM167" s="80"/>
      <c r="AN167" s="80"/>
      <c r="AO167" s="210"/>
      <c r="AP167" s="80"/>
      <c r="AQ167" s="209"/>
    </row>
    <row r="168" spans="1:43" x14ac:dyDescent="0.25">
      <c r="A168" s="202"/>
      <c r="C168" s="154"/>
      <c r="F168" s="200"/>
      <c r="H168" s="200"/>
      <c r="I168" s="80"/>
      <c r="J168" s="200"/>
      <c r="K168" s="305"/>
      <c r="L168" s="305"/>
      <c r="M168" s="200"/>
      <c r="N168" s="200"/>
      <c r="O168" s="210"/>
      <c r="P168" s="210"/>
      <c r="Q168" s="200"/>
      <c r="R168" s="200"/>
      <c r="V168" s="200"/>
      <c r="Y168" s="200"/>
      <c r="Z168" s="305"/>
      <c r="AA168" s="211"/>
      <c r="AB168" s="211"/>
      <c r="AC168" s="211"/>
      <c r="AD168" s="211"/>
      <c r="AE168" s="211"/>
      <c r="AF168" s="211"/>
      <c r="AH168" s="80"/>
      <c r="AK168" s="212"/>
      <c r="AL168" s="211"/>
      <c r="AM168" s="80"/>
      <c r="AN168" s="80"/>
      <c r="AO168" s="210"/>
      <c r="AP168" s="80"/>
      <c r="AQ168" s="212"/>
    </row>
    <row r="169" spans="1:43" x14ac:dyDescent="0.25">
      <c r="F169" s="211"/>
      <c r="H169" s="200"/>
      <c r="I169" s="80"/>
      <c r="J169" s="200"/>
      <c r="K169" s="305"/>
      <c r="L169" s="305"/>
      <c r="M169" s="211"/>
      <c r="N169" s="211"/>
      <c r="O169" s="211"/>
      <c r="P169" s="211"/>
      <c r="Q169" s="211"/>
      <c r="R169" s="211"/>
      <c r="T169" s="154"/>
      <c r="V169" s="200"/>
      <c r="Y169" s="200"/>
      <c r="Z169" s="213"/>
      <c r="AA169" s="200"/>
      <c r="AB169" s="200"/>
      <c r="AC169" s="210"/>
      <c r="AD169" s="210"/>
      <c r="AE169" s="200"/>
      <c r="AF169" s="200"/>
      <c r="AG169" s="209"/>
      <c r="AH169" s="80"/>
      <c r="AI169" s="201"/>
      <c r="AJ169" s="201"/>
      <c r="AK169" s="209"/>
      <c r="AL169" s="200"/>
      <c r="AM169" s="80"/>
      <c r="AN169" s="80"/>
      <c r="AO169" s="210"/>
      <c r="AP169" s="80"/>
      <c r="AQ169" s="209"/>
    </row>
    <row r="170" spans="1:43" x14ac:dyDescent="0.25">
      <c r="F170" s="200"/>
      <c r="H170" s="200"/>
      <c r="I170" s="80"/>
      <c r="J170" s="200"/>
      <c r="K170" s="305"/>
      <c r="L170" s="305"/>
      <c r="M170" s="200"/>
      <c r="N170" s="200"/>
      <c r="O170" s="210"/>
      <c r="P170" s="210"/>
      <c r="Q170" s="200"/>
      <c r="R170" s="200"/>
      <c r="V170" s="200"/>
      <c r="Y170" s="200"/>
      <c r="Z170" s="305"/>
      <c r="AA170" s="211"/>
      <c r="AB170" s="211"/>
      <c r="AC170" s="211"/>
      <c r="AD170" s="211"/>
      <c r="AE170" s="211"/>
      <c r="AF170" s="211"/>
      <c r="AH170" s="80"/>
      <c r="AK170" s="212"/>
      <c r="AL170" s="211"/>
      <c r="AM170" s="80"/>
      <c r="AN170" s="80"/>
      <c r="AO170" s="210"/>
      <c r="AP170" s="80"/>
      <c r="AQ170" s="212"/>
    </row>
    <row r="171" spans="1:43" x14ac:dyDescent="0.25">
      <c r="A171" s="202"/>
      <c r="C171" s="154"/>
      <c r="F171" s="252"/>
      <c r="H171" s="252"/>
      <c r="I171" s="80"/>
      <c r="J171" s="252"/>
      <c r="K171" s="300"/>
      <c r="L171" s="300"/>
      <c r="M171" s="200"/>
      <c r="N171" s="200"/>
      <c r="O171" s="210"/>
      <c r="P171" s="210"/>
      <c r="Q171" s="200"/>
      <c r="R171" s="200"/>
      <c r="T171" s="154"/>
      <c r="V171" s="200"/>
      <c r="Y171" s="200"/>
      <c r="Z171" s="213"/>
      <c r="AA171" s="200"/>
      <c r="AB171" s="200"/>
      <c r="AC171" s="210"/>
      <c r="AD171" s="210"/>
      <c r="AE171" s="200"/>
      <c r="AF171" s="200"/>
      <c r="AG171" s="209"/>
      <c r="AH171" s="80"/>
      <c r="AI171" s="201"/>
      <c r="AJ171" s="201"/>
      <c r="AK171" s="209"/>
      <c r="AL171" s="200"/>
      <c r="AM171" s="80"/>
      <c r="AN171" s="80"/>
      <c r="AO171" s="210"/>
      <c r="AP171" s="80"/>
      <c r="AQ171" s="209"/>
    </row>
    <row r="172" spans="1:43" x14ac:dyDescent="0.25">
      <c r="A172" s="202"/>
      <c r="C172" s="154"/>
      <c r="F172" s="252"/>
      <c r="H172" s="252"/>
      <c r="I172" s="80"/>
      <c r="J172" s="252"/>
      <c r="K172" s="300"/>
      <c r="L172" s="300"/>
      <c r="M172" s="200"/>
      <c r="N172" s="200"/>
      <c r="O172" s="210"/>
      <c r="P172" s="210"/>
      <c r="Q172" s="200"/>
      <c r="R172" s="200"/>
      <c r="T172" s="154"/>
      <c r="V172" s="252"/>
      <c r="Y172" s="200"/>
      <c r="Z172" s="320"/>
      <c r="AA172" s="200"/>
      <c r="AB172" s="200"/>
      <c r="AC172" s="210"/>
      <c r="AD172" s="210"/>
      <c r="AE172" s="200"/>
      <c r="AF172" s="200"/>
      <c r="AG172" s="209"/>
      <c r="AH172" s="80"/>
      <c r="AI172" s="201"/>
      <c r="AJ172" s="201"/>
      <c r="AK172" s="209"/>
      <c r="AL172" s="200"/>
      <c r="AM172" s="80"/>
      <c r="AN172" s="80"/>
      <c r="AO172" s="210"/>
      <c r="AP172" s="80"/>
      <c r="AQ172" s="209"/>
    </row>
    <row r="173" spans="1:43" x14ac:dyDescent="0.25">
      <c r="F173" s="200"/>
      <c r="H173" s="211"/>
      <c r="I173" s="80"/>
      <c r="J173" s="211"/>
      <c r="K173" s="305"/>
      <c r="L173" s="305"/>
      <c r="M173" s="211"/>
      <c r="N173" s="211"/>
      <c r="O173" s="211"/>
      <c r="P173" s="211"/>
      <c r="Q173" s="211"/>
      <c r="R173" s="211"/>
      <c r="V173" s="211"/>
      <c r="Y173" s="211"/>
      <c r="Z173" s="305"/>
      <c r="AA173" s="211"/>
      <c r="AB173" s="211"/>
      <c r="AC173" s="211"/>
      <c r="AD173" s="211"/>
      <c r="AE173" s="211"/>
      <c r="AF173" s="211"/>
      <c r="AH173" s="80"/>
      <c r="AK173" s="212"/>
      <c r="AL173" s="211"/>
      <c r="AM173" s="80"/>
      <c r="AN173" s="80"/>
      <c r="AO173" s="210"/>
      <c r="AP173" s="80"/>
      <c r="AQ173" s="212"/>
    </row>
    <row r="174" spans="1:43" x14ac:dyDescent="0.25">
      <c r="A174" s="202"/>
      <c r="C174" s="154"/>
      <c r="F174" s="200"/>
      <c r="H174" s="200"/>
      <c r="I174" s="80"/>
      <c r="J174" s="200"/>
      <c r="K174" s="305"/>
      <c r="L174" s="305"/>
      <c r="M174" s="200"/>
      <c r="N174" s="200"/>
      <c r="O174" s="210"/>
      <c r="P174" s="210"/>
      <c r="Q174" s="200"/>
      <c r="R174" s="200"/>
      <c r="T174" s="154"/>
      <c r="V174" s="200"/>
      <c r="Y174" s="200"/>
      <c r="Z174" s="305"/>
      <c r="AA174" s="200"/>
      <c r="AB174" s="200"/>
      <c r="AC174" s="210"/>
      <c r="AD174" s="210"/>
      <c r="AE174" s="200"/>
      <c r="AF174" s="200"/>
      <c r="AG174" s="209"/>
      <c r="AH174" s="80"/>
      <c r="AI174" s="210"/>
      <c r="AJ174" s="210"/>
      <c r="AK174" s="209"/>
      <c r="AL174" s="200"/>
      <c r="AM174" s="80"/>
      <c r="AN174" s="80"/>
      <c r="AO174" s="210"/>
      <c r="AP174" s="80"/>
      <c r="AQ174" s="209"/>
    </row>
    <row r="175" spans="1:43" x14ac:dyDescent="0.25">
      <c r="F175" s="200"/>
      <c r="H175" s="211"/>
      <c r="I175" s="80"/>
      <c r="J175" s="211"/>
      <c r="K175" s="305"/>
      <c r="L175" s="305"/>
      <c r="M175" s="211"/>
      <c r="N175" s="211"/>
      <c r="O175" s="211"/>
      <c r="P175" s="211"/>
      <c r="Q175" s="211"/>
      <c r="R175" s="211"/>
      <c r="V175" s="211"/>
      <c r="Y175" s="211"/>
      <c r="Z175" s="305"/>
      <c r="AA175" s="211"/>
      <c r="AB175" s="211"/>
      <c r="AC175" s="211"/>
      <c r="AD175" s="211"/>
      <c r="AE175" s="211"/>
      <c r="AF175" s="211"/>
      <c r="AH175" s="80"/>
      <c r="AK175" s="212"/>
      <c r="AL175" s="211"/>
      <c r="AM175" s="80"/>
      <c r="AN175" s="80"/>
      <c r="AO175" s="210"/>
      <c r="AP175" s="80"/>
      <c r="AQ175" s="212"/>
    </row>
    <row r="176" spans="1:43" x14ac:dyDescent="0.25">
      <c r="F176" s="200"/>
      <c r="H176" s="200"/>
      <c r="I176" s="80"/>
      <c r="J176" s="200"/>
      <c r="K176" s="305"/>
      <c r="L176" s="305"/>
      <c r="M176" s="200"/>
      <c r="N176" s="200"/>
      <c r="O176" s="200"/>
      <c r="P176" s="200"/>
      <c r="Q176" s="200"/>
      <c r="R176" s="200"/>
      <c r="T176" s="154"/>
      <c r="AH176" s="80"/>
      <c r="AM176" s="80"/>
      <c r="AN176" s="80"/>
      <c r="AP176" s="80"/>
    </row>
    <row r="177" spans="1:43" x14ac:dyDescent="0.25">
      <c r="A177" s="202"/>
      <c r="C177" s="154"/>
      <c r="F177" s="252"/>
      <c r="H177" s="252"/>
      <c r="I177" s="80"/>
      <c r="J177" s="252"/>
      <c r="K177" s="320"/>
      <c r="L177" s="320"/>
      <c r="M177" s="200"/>
      <c r="N177" s="200"/>
      <c r="O177" s="210"/>
      <c r="P177" s="210"/>
      <c r="Q177" s="252"/>
      <c r="R177" s="200"/>
      <c r="T177" s="154"/>
      <c r="V177" s="200"/>
      <c r="Y177" s="200"/>
      <c r="AA177" s="200"/>
      <c r="AB177" s="200"/>
      <c r="AC177" s="210"/>
      <c r="AD177" s="210"/>
      <c r="AE177" s="200"/>
      <c r="AF177" s="200"/>
      <c r="AG177" s="209"/>
      <c r="AH177" s="80"/>
      <c r="AI177" s="210"/>
      <c r="AJ177" s="210"/>
      <c r="AK177" s="325"/>
      <c r="AL177" s="252"/>
      <c r="AM177" s="80"/>
      <c r="AN177" s="80"/>
      <c r="AO177" s="210"/>
      <c r="AP177" s="80"/>
      <c r="AQ177" s="209"/>
    </row>
    <row r="178" spans="1:43" x14ac:dyDescent="0.25">
      <c r="A178" s="202"/>
      <c r="C178" s="154"/>
      <c r="F178" s="252"/>
      <c r="H178" s="252"/>
      <c r="I178" s="80"/>
      <c r="J178" s="252"/>
      <c r="K178" s="320"/>
      <c r="L178" s="320"/>
      <c r="M178" s="200"/>
      <c r="N178" s="200"/>
      <c r="O178" s="210"/>
      <c r="P178" s="210"/>
      <c r="Q178" s="252"/>
      <c r="R178" s="200"/>
      <c r="V178" s="211"/>
      <c r="Y178" s="211"/>
      <c r="Z178" s="305"/>
      <c r="AA178" s="211"/>
      <c r="AB178" s="211"/>
      <c r="AC178" s="211"/>
      <c r="AD178" s="211"/>
      <c r="AE178" s="211"/>
      <c r="AF178" s="211"/>
      <c r="AH178" s="80"/>
      <c r="AK178" s="212"/>
      <c r="AL178" s="211"/>
      <c r="AM178" s="80"/>
      <c r="AN178" s="80"/>
      <c r="AP178" s="80"/>
      <c r="AQ178" s="212"/>
    </row>
    <row r="179" spans="1:43" x14ac:dyDescent="0.25">
      <c r="A179" s="202"/>
      <c r="C179" s="154"/>
      <c r="F179" s="252"/>
      <c r="H179" s="252"/>
      <c r="I179" s="80"/>
      <c r="J179" s="252"/>
      <c r="K179" s="320"/>
      <c r="L179" s="320"/>
      <c r="M179" s="200"/>
      <c r="N179" s="200"/>
      <c r="O179" s="210"/>
      <c r="P179" s="210"/>
      <c r="Q179" s="252"/>
      <c r="R179" s="200"/>
      <c r="AM179" s="80"/>
      <c r="AN179" s="80"/>
      <c r="AP179" s="80"/>
    </row>
    <row r="180" spans="1:43" x14ac:dyDescent="0.25">
      <c r="F180" s="211"/>
      <c r="H180" s="211"/>
      <c r="I180" s="80"/>
      <c r="J180" s="211"/>
      <c r="K180" s="305"/>
      <c r="L180" s="305"/>
      <c r="M180" s="211"/>
      <c r="N180" s="211"/>
      <c r="O180" s="211"/>
      <c r="P180" s="211"/>
      <c r="Q180" s="211"/>
      <c r="R180" s="211"/>
      <c r="T180" s="154"/>
      <c r="AA180" s="200"/>
      <c r="AB180" s="200"/>
      <c r="AC180" s="200"/>
      <c r="AD180" s="200"/>
      <c r="AI180" s="200"/>
      <c r="AJ180" s="200"/>
      <c r="AK180" s="209"/>
      <c r="AL180" s="200"/>
      <c r="AM180" s="80"/>
      <c r="AN180" s="80"/>
      <c r="AP180" s="80"/>
    </row>
    <row r="181" spans="1:43" x14ac:dyDescent="0.25">
      <c r="A181" s="202"/>
      <c r="C181" s="154"/>
      <c r="F181" s="200"/>
      <c r="H181" s="200"/>
      <c r="I181" s="80"/>
      <c r="J181" s="200"/>
      <c r="K181" s="213"/>
      <c r="L181" s="213"/>
      <c r="M181" s="200"/>
      <c r="N181" s="200"/>
      <c r="O181" s="210"/>
      <c r="P181" s="210"/>
      <c r="Q181" s="200"/>
      <c r="R181" s="200"/>
      <c r="AM181" s="80"/>
      <c r="AN181" s="80"/>
      <c r="AP181" s="80"/>
    </row>
    <row r="182" spans="1:43" x14ac:dyDescent="0.25">
      <c r="F182" s="211"/>
      <c r="H182" s="211"/>
      <c r="I182" s="80"/>
      <c r="J182" s="211"/>
      <c r="K182" s="305"/>
      <c r="L182" s="305"/>
      <c r="M182" s="211"/>
      <c r="N182" s="211"/>
      <c r="O182" s="211"/>
      <c r="P182" s="211"/>
      <c r="Q182" s="211"/>
      <c r="R182" s="211"/>
      <c r="Z182" s="202"/>
      <c r="AM182" s="80"/>
      <c r="AN182" s="80"/>
      <c r="AP182" s="80"/>
    </row>
    <row r="183" spans="1:43" x14ac:dyDescent="0.25">
      <c r="A183" s="202"/>
      <c r="C183" s="154"/>
      <c r="F183" s="200"/>
      <c r="H183" s="200"/>
      <c r="I183" s="80"/>
      <c r="J183" s="200"/>
      <c r="K183" s="213"/>
      <c r="L183" s="213"/>
      <c r="M183" s="200"/>
      <c r="N183" s="200"/>
      <c r="O183" s="210"/>
      <c r="P183" s="210"/>
      <c r="Q183" s="200"/>
      <c r="R183" s="200"/>
      <c r="Y183" s="154"/>
      <c r="AM183" s="80"/>
      <c r="AN183" s="80"/>
      <c r="AP183" s="80"/>
    </row>
    <row r="184" spans="1:43" x14ac:dyDescent="0.25">
      <c r="A184" s="202"/>
      <c r="C184" s="154"/>
      <c r="F184" s="200"/>
      <c r="H184" s="200"/>
      <c r="I184" s="200"/>
      <c r="J184" s="213"/>
      <c r="K184" s="213"/>
      <c r="L184" s="200"/>
      <c r="M184" s="200"/>
      <c r="N184" s="210"/>
      <c r="O184" s="210"/>
      <c r="P184" s="200"/>
      <c r="Q184" s="200"/>
      <c r="R184" s="200"/>
      <c r="Z184" s="202"/>
      <c r="AM184" s="80"/>
      <c r="AN184" s="80"/>
      <c r="AP184" s="80"/>
    </row>
    <row r="185" spans="1:43" x14ac:dyDescent="0.25">
      <c r="F185" s="211"/>
      <c r="H185" s="211"/>
      <c r="I185" s="211"/>
      <c r="J185" s="305"/>
      <c r="K185" s="305"/>
      <c r="L185" s="211"/>
      <c r="M185" s="211"/>
      <c r="N185" s="211"/>
      <c r="O185" s="211"/>
      <c r="P185" s="211"/>
      <c r="Q185" s="211"/>
      <c r="R185" s="211"/>
      <c r="AA185" s="154"/>
      <c r="AB185" s="154"/>
      <c r="AM185" s="80"/>
      <c r="AN185" s="80"/>
      <c r="AP185" s="80"/>
    </row>
    <row r="186" spans="1:43" x14ac:dyDescent="0.25">
      <c r="F186" s="200"/>
      <c r="H186" s="200"/>
      <c r="I186" s="200"/>
      <c r="J186" s="213"/>
      <c r="K186" s="213"/>
      <c r="L186" s="200"/>
      <c r="M186" s="200"/>
      <c r="N186" s="200"/>
      <c r="O186" s="200"/>
      <c r="P186" s="200"/>
      <c r="Q186" s="200"/>
      <c r="R186" s="200"/>
      <c r="AK186" s="297"/>
      <c r="AL186" s="154"/>
      <c r="AM186" s="80"/>
      <c r="AN186" s="80"/>
      <c r="AP186" s="80"/>
    </row>
    <row r="187" spans="1:43" x14ac:dyDescent="0.25">
      <c r="C187" s="154"/>
      <c r="F187" s="200"/>
      <c r="H187" s="200"/>
      <c r="I187" s="200"/>
      <c r="J187" s="213"/>
      <c r="K187" s="213"/>
      <c r="L187" s="200"/>
      <c r="M187" s="200"/>
      <c r="N187" s="200"/>
      <c r="O187" s="200"/>
      <c r="P187" s="200"/>
      <c r="Q187" s="200"/>
      <c r="R187" s="200"/>
      <c r="AK187" s="297"/>
      <c r="AL187" s="154"/>
      <c r="AM187" s="80"/>
      <c r="AN187" s="80"/>
      <c r="AP187" s="80"/>
    </row>
    <row r="188" spans="1:43" x14ac:dyDescent="0.25">
      <c r="A188" s="154"/>
      <c r="AK188" s="297"/>
      <c r="AL188" s="154"/>
      <c r="AM188" s="80"/>
      <c r="AN188" s="80"/>
      <c r="AP188" s="80"/>
    </row>
    <row r="189" spans="1:43" x14ac:dyDescent="0.25">
      <c r="J189" s="202"/>
      <c r="K189" s="202"/>
      <c r="Z189" s="202"/>
      <c r="AM189" s="80"/>
      <c r="AN189" s="80"/>
      <c r="AP189" s="80"/>
    </row>
    <row r="190" spans="1:43" x14ac:dyDescent="0.25">
      <c r="H190" s="154"/>
      <c r="I190" s="154"/>
      <c r="Y190" s="154"/>
      <c r="AM190" s="80"/>
      <c r="AN190" s="80"/>
      <c r="AP190" s="80"/>
    </row>
    <row r="191" spans="1:43" x14ac:dyDescent="0.25">
      <c r="J191" s="202"/>
      <c r="K191" s="202"/>
      <c r="Z191" s="202"/>
      <c r="AM191" s="80"/>
      <c r="AN191" s="80"/>
      <c r="AP191" s="80"/>
    </row>
    <row r="192" spans="1:43" x14ac:dyDescent="0.25">
      <c r="L192" s="154"/>
      <c r="M192" s="154"/>
      <c r="AA192" s="154"/>
      <c r="AB192" s="154"/>
      <c r="AM192" s="80"/>
      <c r="AP192" s="80"/>
    </row>
    <row r="193" spans="1:42" x14ac:dyDescent="0.25">
      <c r="A193" s="202"/>
      <c r="R193" s="154"/>
      <c r="AK193" s="297"/>
      <c r="AL193" s="154"/>
      <c r="AP193" s="80"/>
    </row>
    <row r="194" spans="1:42" x14ac:dyDescent="0.25">
      <c r="A194" s="202"/>
      <c r="R194" s="154"/>
      <c r="AK194" s="297"/>
      <c r="AL194" s="154"/>
      <c r="AP194" s="80"/>
    </row>
    <row r="195" spans="1:42" x14ac:dyDescent="0.25">
      <c r="A195" s="154"/>
      <c r="R195" s="154"/>
      <c r="AK195" s="297"/>
      <c r="AL195" s="154"/>
      <c r="AP195" s="80"/>
    </row>
    <row r="196" spans="1:42" x14ac:dyDescent="0.25">
      <c r="L196" s="154"/>
      <c r="M196" s="154"/>
      <c r="R196" s="202"/>
      <c r="AA196" s="154"/>
      <c r="AB196" s="154"/>
      <c r="AK196" s="209"/>
      <c r="AL196" s="202"/>
      <c r="AP196" s="80"/>
    </row>
    <row r="197" spans="1:42" x14ac:dyDescent="0.25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208"/>
      <c r="AH197" s="102"/>
      <c r="AI197" s="102"/>
      <c r="AJ197" s="102"/>
      <c r="AK197" s="208"/>
      <c r="AL197" s="102"/>
      <c r="AM197" s="102"/>
      <c r="AN197" s="102"/>
      <c r="AP197" s="80"/>
    </row>
    <row r="198" spans="1:42" x14ac:dyDescent="0.25">
      <c r="L198" s="103"/>
      <c r="M198" s="103"/>
      <c r="N198" s="103"/>
      <c r="O198" s="103"/>
      <c r="R198" s="103"/>
      <c r="AA198" s="103"/>
      <c r="AB198" s="103"/>
      <c r="AC198" s="103"/>
      <c r="AD198" s="103"/>
      <c r="AE198" s="103"/>
      <c r="AF198" s="103"/>
      <c r="AG198" s="185"/>
      <c r="AH198" s="103"/>
      <c r="AK198" s="185"/>
      <c r="AL198" s="103"/>
      <c r="AM198" s="103"/>
      <c r="AN198" s="103"/>
      <c r="AP198" s="80"/>
    </row>
    <row r="199" spans="1:42" x14ac:dyDescent="0.25">
      <c r="L199" s="103"/>
      <c r="M199" s="103"/>
      <c r="N199" s="103"/>
      <c r="O199" s="103"/>
      <c r="R199" s="103"/>
      <c r="Z199" s="103"/>
      <c r="AA199" s="103"/>
      <c r="AB199" s="103"/>
      <c r="AC199" s="103"/>
      <c r="AD199" s="103"/>
      <c r="AE199" s="103"/>
      <c r="AF199" s="103"/>
      <c r="AG199" s="185"/>
      <c r="AH199" s="103"/>
      <c r="AK199" s="185"/>
      <c r="AL199" s="103"/>
      <c r="AM199" s="103"/>
      <c r="AN199" s="103"/>
      <c r="AP199" s="80"/>
    </row>
    <row r="200" spans="1:42" x14ac:dyDescent="0.25">
      <c r="A200" s="103"/>
      <c r="C200" s="103"/>
      <c r="D200" s="103"/>
      <c r="E200" s="103"/>
      <c r="F200" s="103"/>
      <c r="J200" s="103"/>
      <c r="K200" s="103"/>
      <c r="L200" s="103"/>
      <c r="M200" s="103"/>
      <c r="N200" s="103"/>
      <c r="O200" s="103"/>
      <c r="P200" s="103"/>
      <c r="Q200" s="103"/>
      <c r="R200" s="103"/>
      <c r="T200" s="103"/>
      <c r="U200" s="103"/>
      <c r="V200" s="103"/>
      <c r="Z200" s="103"/>
      <c r="AA200" s="103"/>
      <c r="AB200" s="103"/>
      <c r="AC200" s="103"/>
      <c r="AD200" s="103"/>
      <c r="AE200" s="103"/>
      <c r="AF200" s="103"/>
      <c r="AG200" s="185"/>
      <c r="AH200" s="103"/>
      <c r="AI200" s="103"/>
      <c r="AJ200" s="103"/>
      <c r="AK200" s="185"/>
      <c r="AL200" s="103"/>
      <c r="AM200" s="103"/>
      <c r="AN200" s="103"/>
      <c r="AP200" s="80"/>
    </row>
    <row r="201" spans="1:42" x14ac:dyDescent="0.25">
      <c r="A201" s="103"/>
      <c r="C201" s="103"/>
      <c r="D201" s="103"/>
      <c r="E201" s="103"/>
      <c r="F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T201" s="103"/>
      <c r="U201" s="103"/>
      <c r="V201" s="103"/>
      <c r="Y201" s="103"/>
      <c r="Z201" s="103"/>
      <c r="AA201" s="103"/>
      <c r="AB201" s="103"/>
      <c r="AC201" s="103"/>
      <c r="AD201" s="103"/>
      <c r="AE201" s="103"/>
      <c r="AF201" s="103"/>
      <c r="AG201" s="185"/>
      <c r="AH201" s="103"/>
      <c r="AI201" s="103"/>
      <c r="AJ201" s="103"/>
      <c r="AK201" s="185"/>
      <c r="AL201" s="103"/>
      <c r="AM201" s="103"/>
      <c r="AN201" s="103"/>
      <c r="AP201" s="80"/>
    </row>
    <row r="202" spans="1:42" x14ac:dyDescent="0.25">
      <c r="C202" s="103"/>
      <c r="D202" s="103"/>
      <c r="E202" s="103"/>
      <c r="F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T202" s="103"/>
      <c r="U202" s="103"/>
      <c r="V202" s="103"/>
      <c r="Y202" s="103"/>
      <c r="Z202" s="103"/>
      <c r="AA202" s="103"/>
      <c r="AB202" s="103"/>
      <c r="AC202" s="103"/>
      <c r="AD202" s="103"/>
      <c r="AE202" s="103"/>
      <c r="AF202" s="103"/>
      <c r="AG202" s="185"/>
      <c r="AH202" s="103"/>
      <c r="AI202" s="103"/>
      <c r="AJ202" s="103"/>
      <c r="AK202" s="185"/>
      <c r="AL202" s="103"/>
      <c r="AM202" s="103"/>
      <c r="AN202" s="103"/>
      <c r="AP202" s="80"/>
    </row>
    <row r="203" spans="1:42" x14ac:dyDescent="0.25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208"/>
      <c r="AH203" s="102"/>
      <c r="AI203" s="102"/>
      <c r="AJ203" s="102"/>
      <c r="AK203" s="208"/>
      <c r="AL203" s="102"/>
      <c r="AM203" s="102"/>
      <c r="AN203" s="102"/>
      <c r="AP203" s="80"/>
    </row>
    <row r="204" spans="1:42" x14ac:dyDescent="0.25"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Y204" s="103"/>
      <c r="Z204" s="103"/>
      <c r="AA204" s="103"/>
      <c r="AB204" s="103"/>
      <c r="AC204" s="103"/>
      <c r="AD204" s="103"/>
      <c r="AE204" s="103"/>
      <c r="AF204" s="103"/>
      <c r="AG204" s="185"/>
      <c r="AH204" s="103"/>
      <c r="AI204" s="103"/>
      <c r="AJ204" s="103"/>
      <c r="AK204" s="185"/>
      <c r="AL204" s="103"/>
      <c r="AM204" s="103"/>
      <c r="AN204" s="103"/>
      <c r="AP204" s="80"/>
    </row>
    <row r="205" spans="1:42" x14ac:dyDescent="0.25">
      <c r="A205" s="202"/>
      <c r="C205" s="154"/>
      <c r="D205" s="154"/>
      <c r="E205" s="154"/>
      <c r="T205" s="154"/>
      <c r="U205" s="154"/>
      <c r="AP205" s="80"/>
    </row>
    <row r="206" spans="1:42" x14ac:dyDescent="0.25">
      <c r="AP206" s="80"/>
    </row>
    <row r="207" spans="1:42" x14ac:dyDescent="0.25">
      <c r="A207" s="202"/>
      <c r="C207" s="154"/>
      <c r="F207" s="252"/>
      <c r="H207" s="317"/>
      <c r="I207" s="317"/>
      <c r="J207" s="300"/>
      <c r="K207" s="300"/>
      <c r="L207" s="200"/>
      <c r="M207" s="200"/>
      <c r="N207" s="202"/>
      <c r="O207" s="202"/>
      <c r="P207" s="202"/>
      <c r="Q207" s="202"/>
      <c r="R207" s="200"/>
      <c r="T207" s="154"/>
      <c r="V207" s="200"/>
      <c r="Y207" s="202"/>
      <c r="Z207" s="300"/>
      <c r="AA207" s="200"/>
      <c r="AB207" s="200"/>
      <c r="AC207" s="202"/>
      <c r="AD207" s="202"/>
      <c r="AE207" s="200"/>
      <c r="AF207" s="200"/>
      <c r="AG207" s="325"/>
      <c r="AH207" s="326"/>
      <c r="AI207" s="200"/>
      <c r="AJ207" s="200"/>
      <c r="AK207" s="209"/>
      <c r="AL207" s="200"/>
      <c r="AM207" s="327"/>
      <c r="AN207" s="327"/>
      <c r="AP207" s="80"/>
    </row>
    <row r="208" spans="1:42" x14ac:dyDescent="0.25">
      <c r="F208" s="252"/>
      <c r="H208" s="317"/>
      <c r="I208" s="317"/>
      <c r="J208" s="317"/>
      <c r="K208" s="317"/>
      <c r="R208" s="200"/>
      <c r="V208" s="200"/>
      <c r="Z208" s="317"/>
      <c r="AP208" s="80"/>
    </row>
    <row r="209" spans="1:42" x14ac:dyDescent="0.25">
      <c r="A209" s="202"/>
      <c r="C209" s="154"/>
      <c r="F209" s="252"/>
      <c r="H209" s="252"/>
      <c r="I209" s="252"/>
      <c r="J209" s="320"/>
      <c r="K209" s="320"/>
      <c r="L209" s="200"/>
      <c r="M209" s="200"/>
      <c r="N209" s="210"/>
      <c r="O209" s="210"/>
      <c r="P209" s="252"/>
      <c r="Q209" s="252"/>
      <c r="R209" s="200"/>
      <c r="T209" s="154"/>
      <c r="V209" s="200"/>
      <c r="Y209" s="200"/>
      <c r="Z209" s="304"/>
      <c r="AA209" s="200"/>
      <c r="AB209" s="200"/>
      <c r="AC209" s="210"/>
      <c r="AD209" s="210"/>
      <c r="AE209" s="200"/>
      <c r="AF209" s="200"/>
      <c r="AG209" s="209"/>
      <c r="AH209" s="201"/>
      <c r="AI209" s="252"/>
      <c r="AJ209" s="252"/>
      <c r="AK209" s="209"/>
      <c r="AL209" s="200"/>
      <c r="AM209" s="210"/>
      <c r="AN209" s="210"/>
      <c r="AP209" s="80"/>
    </row>
    <row r="210" spans="1:42" x14ac:dyDescent="0.25">
      <c r="F210" s="211"/>
      <c r="H210" s="211"/>
      <c r="I210" s="211"/>
      <c r="J210" s="305"/>
      <c r="K210" s="305"/>
      <c r="L210" s="211"/>
      <c r="M210" s="211"/>
      <c r="N210" s="211"/>
      <c r="O210" s="211"/>
      <c r="P210" s="211"/>
      <c r="Q210" s="211"/>
      <c r="R210" s="211"/>
      <c r="V210" s="211"/>
      <c r="Y210" s="211"/>
      <c r="Z210" s="305"/>
      <c r="AA210" s="211"/>
      <c r="AB210" s="211"/>
      <c r="AC210" s="211"/>
      <c r="AD210" s="211"/>
      <c r="AE210" s="211"/>
      <c r="AF210" s="211"/>
      <c r="AI210" s="211"/>
      <c r="AJ210" s="211"/>
      <c r="AK210" s="212"/>
      <c r="AL210" s="211"/>
      <c r="AP210" s="80"/>
    </row>
    <row r="211" spans="1:42" x14ac:dyDescent="0.25">
      <c r="A211" s="202"/>
      <c r="D211" s="154"/>
      <c r="E211" s="154"/>
      <c r="F211" s="200"/>
      <c r="H211" s="200"/>
      <c r="I211" s="200"/>
      <c r="J211" s="213"/>
      <c r="K211" s="213"/>
      <c r="L211" s="200"/>
      <c r="M211" s="200"/>
      <c r="N211" s="210"/>
      <c r="O211" s="210"/>
      <c r="P211" s="200"/>
      <c r="Q211" s="200"/>
      <c r="R211" s="200"/>
      <c r="U211" s="154"/>
      <c r="V211" s="200"/>
      <c r="Y211" s="200"/>
      <c r="Z211" s="213"/>
      <c r="AA211" s="200"/>
      <c r="AB211" s="200"/>
      <c r="AC211" s="210"/>
      <c r="AD211" s="210"/>
      <c r="AE211" s="200"/>
      <c r="AF211" s="200"/>
      <c r="AG211" s="209"/>
      <c r="AH211" s="201"/>
      <c r="AI211" s="200"/>
      <c r="AJ211" s="200"/>
      <c r="AK211" s="209"/>
      <c r="AL211" s="200"/>
      <c r="AM211" s="210"/>
      <c r="AN211" s="210"/>
      <c r="AP211" s="80"/>
    </row>
    <row r="212" spans="1:42" x14ac:dyDescent="0.25">
      <c r="F212" s="211"/>
      <c r="H212" s="211"/>
      <c r="I212" s="211"/>
      <c r="J212" s="305"/>
      <c r="K212" s="305"/>
      <c r="L212" s="211"/>
      <c r="M212" s="211"/>
      <c r="N212" s="211"/>
      <c r="O212" s="211"/>
      <c r="P212" s="211"/>
      <c r="Q212" s="211"/>
      <c r="R212" s="211"/>
      <c r="V212" s="211"/>
      <c r="Y212" s="211"/>
      <c r="Z212" s="305"/>
      <c r="AA212" s="211"/>
      <c r="AB212" s="211"/>
      <c r="AC212" s="211"/>
      <c r="AD212" s="211"/>
      <c r="AE212" s="211"/>
      <c r="AF212" s="211"/>
      <c r="AI212" s="211"/>
      <c r="AJ212" s="211"/>
      <c r="AK212" s="212"/>
      <c r="AL212" s="211"/>
      <c r="AP212" s="80"/>
    </row>
    <row r="213" spans="1:42" x14ac:dyDescent="0.25">
      <c r="R213" s="200"/>
      <c r="AP213" s="80"/>
    </row>
    <row r="214" spans="1:42" x14ac:dyDescent="0.25">
      <c r="R214" s="200"/>
      <c r="AP214" s="80"/>
    </row>
    <row r="215" spans="1:42" x14ac:dyDescent="0.25">
      <c r="R215" s="200"/>
      <c r="AP215" s="80"/>
    </row>
    <row r="216" spans="1:42" x14ac:dyDescent="0.25">
      <c r="A216" s="202"/>
      <c r="C216" s="154"/>
      <c r="D216" s="154"/>
      <c r="E216" s="154"/>
      <c r="H216" s="200"/>
      <c r="I216" s="200"/>
      <c r="J216" s="213"/>
      <c r="K216" s="213"/>
      <c r="L216" s="200"/>
      <c r="M216" s="200"/>
      <c r="N216" s="210"/>
      <c r="O216" s="210"/>
      <c r="P216" s="200"/>
      <c r="Q216" s="200"/>
      <c r="R216" s="200"/>
      <c r="T216" s="154"/>
      <c r="U216" s="154"/>
      <c r="Y216" s="200"/>
      <c r="Z216" s="213"/>
      <c r="AA216" s="200"/>
      <c r="AB216" s="200"/>
      <c r="AC216" s="210"/>
      <c r="AD216" s="210"/>
      <c r="AP216" s="80"/>
    </row>
    <row r="217" spans="1:42" x14ac:dyDescent="0.25">
      <c r="H217" s="200"/>
      <c r="I217" s="200"/>
      <c r="J217" s="213"/>
      <c r="K217" s="213"/>
      <c r="L217" s="200"/>
      <c r="M217" s="200"/>
      <c r="N217" s="210"/>
      <c r="O217" s="210"/>
      <c r="P217" s="200"/>
      <c r="Q217" s="200"/>
      <c r="R217" s="200"/>
      <c r="Y217" s="200"/>
      <c r="Z217" s="213"/>
      <c r="AA217" s="200"/>
      <c r="AB217" s="200"/>
      <c r="AC217" s="210"/>
      <c r="AD217" s="210"/>
      <c r="AP217" s="80"/>
    </row>
    <row r="218" spans="1:42" x14ac:dyDescent="0.25">
      <c r="A218" s="202"/>
      <c r="C218" s="154"/>
      <c r="F218" s="252"/>
      <c r="H218" s="252"/>
      <c r="I218" s="252"/>
      <c r="J218" s="214"/>
      <c r="K218" s="214"/>
      <c r="L218" s="252"/>
      <c r="M218" s="252"/>
      <c r="N218" s="210"/>
      <c r="O218" s="210"/>
      <c r="P218" s="200"/>
      <c r="Q218" s="200"/>
      <c r="R218" s="200"/>
      <c r="T218" s="154"/>
      <c r="V218" s="200"/>
      <c r="Y218" s="200"/>
      <c r="Z218" s="214"/>
      <c r="AA218" s="200"/>
      <c r="AB218" s="200"/>
      <c r="AC218" s="210"/>
      <c r="AD218" s="210"/>
      <c r="AE218" s="200"/>
      <c r="AF218" s="200"/>
      <c r="AG218" s="209"/>
      <c r="AH218" s="201"/>
      <c r="AI218" s="200"/>
      <c r="AJ218" s="200"/>
      <c r="AK218" s="209"/>
      <c r="AL218" s="200"/>
      <c r="AM218" s="210"/>
      <c r="AN218" s="210"/>
      <c r="AP218" s="80"/>
    </row>
    <row r="219" spans="1:42" x14ac:dyDescent="0.25">
      <c r="F219" s="252"/>
      <c r="H219" s="317"/>
      <c r="I219" s="317"/>
      <c r="J219" s="317"/>
      <c r="K219" s="317"/>
      <c r="R219" s="200"/>
      <c r="V219" s="200"/>
      <c r="Z219" s="317"/>
      <c r="AP219" s="80"/>
    </row>
    <row r="220" spans="1:42" x14ac:dyDescent="0.25">
      <c r="A220" s="202"/>
      <c r="C220" s="154"/>
      <c r="F220" s="252"/>
      <c r="H220" s="252"/>
      <c r="I220" s="252"/>
      <c r="J220" s="300"/>
      <c r="K220" s="300"/>
      <c r="L220" s="200"/>
      <c r="M220" s="200"/>
      <c r="N220" s="210"/>
      <c r="O220" s="210"/>
      <c r="P220" s="200"/>
      <c r="Q220" s="200"/>
      <c r="R220" s="200"/>
      <c r="T220" s="154"/>
      <c r="V220" s="200"/>
      <c r="Y220" s="200"/>
      <c r="Z220" s="300"/>
      <c r="AA220" s="200"/>
      <c r="AB220" s="200"/>
      <c r="AC220" s="210"/>
      <c r="AD220" s="210"/>
      <c r="AE220" s="200"/>
      <c r="AF220" s="200"/>
      <c r="AG220" s="209"/>
      <c r="AH220" s="201"/>
      <c r="AI220" s="200"/>
      <c r="AJ220" s="200"/>
      <c r="AK220" s="209"/>
      <c r="AL220" s="200"/>
      <c r="AM220" s="210"/>
      <c r="AN220" s="210"/>
      <c r="AP220" s="80"/>
    </row>
    <row r="221" spans="1:42" x14ac:dyDescent="0.25">
      <c r="F221" s="252"/>
      <c r="H221" s="317"/>
      <c r="I221" s="317"/>
      <c r="J221" s="317"/>
      <c r="K221" s="317"/>
      <c r="R221" s="200"/>
      <c r="V221" s="200"/>
      <c r="Z221" s="317"/>
      <c r="AP221" s="80"/>
    </row>
    <row r="222" spans="1:42" x14ac:dyDescent="0.25">
      <c r="A222" s="202"/>
      <c r="C222" s="154"/>
      <c r="F222" s="252"/>
      <c r="H222" s="252"/>
      <c r="I222" s="252"/>
      <c r="J222" s="320"/>
      <c r="K222" s="320"/>
      <c r="L222" s="200"/>
      <c r="M222" s="200"/>
      <c r="N222" s="210"/>
      <c r="O222" s="210"/>
      <c r="P222" s="200"/>
      <c r="Q222" s="200"/>
      <c r="R222" s="200"/>
      <c r="T222" s="154"/>
      <c r="V222" s="200"/>
      <c r="Y222" s="200"/>
      <c r="Z222" s="304"/>
      <c r="AA222" s="200"/>
      <c r="AB222" s="200"/>
      <c r="AC222" s="210"/>
      <c r="AD222" s="210"/>
      <c r="AE222" s="200"/>
      <c r="AF222" s="200"/>
      <c r="AG222" s="209"/>
      <c r="AH222" s="201"/>
      <c r="AI222" s="200"/>
      <c r="AJ222" s="200"/>
      <c r="AK222" s="209"/>
      <c r="AL222" s="200"/>
      <c r="AM222" s="210"/>
      <c r="AN222" s="210"/>
      <c r="AP222" s="80"/>
    </row>
    <row r="223" spans="1:42" x14ac:dyDescent="0.25">
      <c r="F223" s="211"/>
      <c r="H223" s="211"/>
      <c r="I223" s="211"/>
      <c r="J223" s="305"/>
      <c r="K223" s="305"/>
      <c r="L223" s="211"/>
      <c r="M223" s="211"/>
      <c r="N223" s="211"/>
      <c r="O223" s="211"/>
      <c r="P223" s="211"/>
      <c r="Q223" s="211"/>
      <c r="R223" s="211"/>
      <c r="S223" s="200"/>
      <c r="V223" s="211"/>
      <c r="Y223" s="211"/>
      <c r="Z223" s="305"/>
      <c r="AA223" s="211"/>
      <c r="AB223" s="211"/>
      <c r="AC223" s="211"/>
      <c r="AD223" s="211"/>
      <c r="AE223" s="211"/>
      <c r="AF223" s="211"/>
      <c r="AI223" s="211"/>
      <c r="AJ223" s="211"/>
      <c r="AK223" s="212"/>
      <c r="AL223" s="211"/>
      <c r="AP223" s="80"/>
    </row>
    <row r="224" spans="1:42" x14ac:dyDescent="0.25">
      <c r="A224" s="202"/>
      <c r="D224" s="154"/>
      <c r="E224" s="154"/>
      <c r="F224" s="200"/>
      <c r="H224" s="200"/>
      <c r="I224" s="200"/>
      <c r="J224" s="213"/>
      <c r="K224" s="213"/>
      <c r="L224" s="200"/>
      <c r="M224" s="200"/>
      <c r="N224" s="210"/>
      <c r="O224" s="210"/>
      <c r="P224" s="252"/>
      <c r="Q224" s="252"/>
      <c r="R224" s="200"/>
      <c r="S224" s="200"/>
      <c r="U224" s="154"/>
      <c r="V224" s="200"/>
      <c r="Y224" s="200"/>
      <c r="Z224" s="213"/>
      <c r="AA224" s="200"/>
      <c r="AB224" s="200"/>
      <c r="AC224" s="210"/>
      <c r="AD224" s="210"/>
      <c r="AE224" s="200"/>
      <c r="AF224" s="200"/>
      <c r="AG224" s="209"/>
      <c r="AH224" s="201"/>
      <c r="AI224" s="252"/>
      <c r="AJ224" s="252"/>
      <c r="AK224" s="209"/>
      <c r="AL224" s="200"/>
      <c r="AM224" s="210"/>
      <c r="AN224" s="210"/>
      <c r="AP224" s="80"/>
    </row>
    <row r="225" spans="1:42" x14ac:dyDescent="0.25">
      <c r="F225" s="211"/>
      <c r="H225" s="211"/>
      <c r="I225" s="211"/>
      <c r="J225" s="305"/>
      <c r="K225" s="305"/>
      <c r="L225" s="211"/>
      <c r="M225" s="211"/>
      <c r="N225" s="211"/>
      <c r="O225" s="211"/>
      <c r="P225" s="211"/>
      <c r="Q225" s="211"/>
      <c r="R225" s="211"/>
      <c r="S225" s="200"/>
      <c r="V225" s="211"/>
      <c r="Y225" s="211"/>
      <c r="Z225" s="305"/>
      <c r="AA225" s="211"/>
      <c r="AB225" s="211"/>
      <c r="AC225" s="211"/>
      <c r="AD225" s="211"/>
      <c r="AE225" s="211"/>
      <c r="AF225" s="211"/>
      <c r="AI225" s="211"/>
      <c r="AJ225" s="211"/>
      <c r="AK225" s="212"/>
      <c r="AL225" s="211"/>
      <c r="AP225" s="80"/>
    </row>
    <row r="226" spans="1:42" x14ac:dyDescent="0.25">
      <c r="R226" s="200"/>
      <c r="AP226" s="80"/>
    </row>
    <row r="227" spans="1:42" x14ac:dyDescent="0.25">
      <c r="F227" s="200"/>
      <c r="H227" s="200"/>
      <c r="I227" s="200"/>
      <c r="J227" s="213"/>
      <c r="K227" s="213"/>
      <c r="L227" s="200"/>
      <c r="M227" s="200"/>
      <c r="N227" s="200"/>
      <c r="O227" s="200"/>
      <c r="P227" s="200"/>
      <c r="Q227" s="200"/>
      <c r="R227" s="200"/>
      <c r="V227" s="200"/>
      <c r="Y227" s="200"/>
      <c r="Z227" s="213"/>
      <c r="AA227" s="200"/>
      <c r="AB227" s="200"/>
      <c r="AC227" s="200"/>
      <c r="AD227" s="200"/>
      <c r="AP227" s="80"/>
    </row>
    <row r="228" spans="1:42" x14ac:dyDescent="0.25">
      <c r="C228" s="154"/>
      <c r="F228" s="200"/>
      <c r="H228" s="200"/>
      <c r="I228" s="200"/>
      <c r="J228" s="213"/>
      <c r="K228" s="213"/>
      <c r="L228" s="200"/>
      <c r="M228" s="200"/>
      <c r="N228" s="200"/>
      <c r="O228" s="200"/>
      <c r="P228" s="200"/>
      <c r="Q228" s="200"/>
      <c r="R228" s="200"/>
      <c r="T228" s="154"/>
      <c r="V228" s="200"/>
      <c r="Y228" s="200"/>
      <c r="Z228" s="213"/>
      <c r="AA228" s="200"/>
      <c r="AB228" s="200"/>
      <c r="AC228" s="200"/>
      <c r="AD228" s="200"/>
      <c r="AP228" s="80"/>
    </row>
    <row r="229" spans="1:42" x14ac:dyDescent="0.25">
      <c r="C229" s="154"/>
      <c r="T229" s="154"/>
      <c r="AP229" s="80"/>
    </row>
    <row r="230" spans="1:42" x14ac:dyDescent="0.25">
      <c r="A230" s="154"/>
      <c r="AP230" s="80"/>
    </row>
    <row r="231" spans="1:42" x14ac:dyDescent="0.25">
      <c r="AP231" s="80"/>
    </row>
    <row r="232" spans="1:42" x14ac:dyDescent="0.25">
      <c r="J232" s="202"/>
      <c r="K232" s="202"/>
      <c r="Z232" s="202"/>
      <c r="AP232" s="80"/>
    </row>
    <row r="233" spans="1:42" x14ac:dyDescent="0.25">
      <c r="H233" s="154"/>
      <c r="I233" s="154"/>
      <c r="Y233" s="154"/>
    </row>
    <row r="234" spans="1:42" x14ac:dyDescent="0.25">
      <c r="J234" s="202"/>
      <c r="K234" s="202"/>
      <c r="Z234" s="202"/>
    </row>
    <row r="235" spans="1:42" x14ac:dyDescent="0.25">
      <c r="L235" s="154"/>
      <c r="M235" s="154"/>
      <c r="AA235" s="154"/>
      <c r="AB235" s="154"/>
    </row>
    <row r="236" spans="1:42" x14ac:dyDescent="0.25">
      <c r="A236" s="202"/>
      <c r="R236" s="154"/>
      <c r="AK236" s="297"/>
      <c r="AL236" s="154"/>
    </row>
    <row r="237" spans="1:42" x14ac:dyDescent="0.25">
      <c r="A237" s="202"/>
      <c r="R237" s="154"/>
      <c r="AK237" s="297"/>
      <c r="AL237" s="154"/>
    </row>
    <row r="238" spans="1:42" x14ac:dyDescent="0.25">
      <c r="A238" s="154"/>
      <c r="R238" s="154"/>
      <c r="AK238" s="297"/>
      <c r="AL238" s="154"/>
    </row>
    <row r="239" spans="1:42" x14ac:dyDescent="0.25">
      <c r="L239" s="154"/>
      <c r="M239" s="154"/>
      <c r="R239" s="202"/>
      <c r="AA239" s="154"/>
      <c r="AB239" s="154"/>
      <c r="AK239" s="209"/>
      <c r="AL239" s="202"/>
    </row>
    <row r="240" spans="1:42" x14ac:dyDescent="0.25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208"/>
      <c r="AH240" s="102"/>
      <c r="AI240" s="102"/>
      <c r="AJ240" s="102"/>
      <c r="AK240" s="208"/>
      <c r="AL240" s="102"/>
      <c r="AM240" s="102"/>
      <c r="AN240" s="102"/>
    </row>
    <row r="241" spans="1:40" x14ac:dyDescent="0.25">
      <c r="L241" s="103"/>
      <c r="M241" s="103"/>
      <c r="N241" s="103"/>
      <c r="O241" s="103"/>
      <c r="R241" s="103"/>
      <c r="AA241" s="103"/>
      <c r="AB241" s="103"/>
      <c r="AC241" s="103"/>
      <c r="AD241" s="103"/>
      <c r="AE241" s="103"/>
      <c r="AF241" s="103"/>
      <c r="AG241" s="185"/>
      <c r="AH241" s="103"/>
      <c r="AK241" s="185"/>
      <c r="AL241" s="103"/>
      <c r="AM241" s="103"/>
      <c r="AN241" s="103"/>
    </row>
    <row r="242" spans="1:40" x14ac:dyDescent="0.25">
      <c r="L242" s="103"/>
      <c r="M242" s="103"/>
      <c r="N242" s="103"/>
      <c r="O242" s="103"/>
      <c r="R242" s="103"/>
      <c r="Z242" s="103"/>
      <c r="AA242" s="103"/>
      <c r="AB242" s="103"/>
      <c r="AC242" s="103"/>
      <c r="AD242" s="103"/>
      <c r="AE242" s="103"/>
      <c r="AF242" s="103"/>
      <c r="AG242" s="185"/>
      <c r="AH242" s="103"/>
      <c r="AK242" s="185"/>
      <c r="AL242" s="103"/>
      <c r="AM242" s="103"/>
      <c r="AN242" s="103"/>
    </row>
    <row r="243" spans="1:40" x14ac:dyDescent="0.25">
      <c r="A243" s="103"/>
      <c r="C243" s="103"/>
      <c r="D243" s="103"/>
      <c r="E243" s="103"/>
      <c r="F243" s="103"/>
      <c r="J243" s="103"/>
      <c r="K243" s="103"/>
      <c r="L243" s="103"/>
      <c r="M243" s="103"/>
      <c r="N243" s="103"/>
      <c r="O243" s="103"/>
      <c r="P243" s="103"/>
      <c r="Q243" s="103"/>
      <c r="R243" s="103"/>
      <c r="T243" s="103"/>
      <c r="U243" s="103"/>
      <c r="V243" s="103"/>
      <c r="Z243" s="103"/>
      <c r="AA243" s="103"/>
      <c r="AB243" s="103"/>
      <c r="AC243" s="103"/>
      <c r="AD243" s="103"/>
      <c r="AE243" s="103"/>
      <c r="AF243" s="103"/>
      <c r="AG243" s="185"/>
      <c r="AH243" s="103"/>
      <c r="AI243" s="103"/>
      <c r="AJ243" s="103"/>
      <c r="AK243" s="185"/>
      <c r="AL243" s="103"/>
      <c r="AM243" s="103"/>
      <c r="AN243" s="103"/>
    </row>
    <row r="244" spans="1:40" x14ac:dyDescent="0.25">
      <c r="A244" s="103"/>
      <c r="C244" s="103"/>
      <c r="D244" s="103"/>
      <c r="E244" s="103"/>
      <c r="F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T244" s="103"/>
      <c r="U244" s="103"/>
      <c r="V244" s="103"/>
      <c r="Y244" s="103"/>
      <c r="Z244" s="103"/>
      <c r="AA244" s="103"/>
      <c r="AB244" s="103"/>
      <c r="AC244" s="103"/>
      <c r="AD244" s="103"/>
      <c r="AE244" s="103"/>
      <c r="AF244" s="103"/>
      <c r="AG244" s="185"/>
      <c r="AH244" s="103"/>
      <c r="AI244" s="103"/>
      <c r="AJ244" s="103"/>
      <c r="AK244" s="185"/>
      <c r="AL244" s="103"/>
      <c r="AM244" s="103"/>
      <c r="AN244" s="103"/>
    </row>
    <row r="245" spans="1:40" x14ac:dyDescent="0.25">
      <c r="C245" s="103"/>
      <c r="D245" s="103"/>
      <c r="E245" s="103"/>
      <c r="F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T245" s="103"/>
      <c r="U245" s="103"/>
      <c r="V245" s="103"/>
      <c r="Y245" s="103"/>
      <c r="Z245" s="103"/>
      <c r="AA245" s="103"/>
      <c r="AB245" s="103"/>
      <c r="AC245" s="103"/>
      <c r="AD245" s="103"/>
      <c r="AE245" s="103"/>
      <c r="AF245" s="103"/>
      <c r="AG245" s="185"/>
      <c r="AH245" s="103"/>
      <c r="AI245" s="103"/>
      <c r="AJ245" s="103"/>
      <c r="AK245" s="185"/>
      <c r="AL245" s="103"/>
      <c r="AM245" s="103"/>
      <c r="AN245" s="103"/>
    </row>
    <row r="246" spans="1:40" x14ac:dyDescent="0.25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208"/>
      <c r="AH246" s="102"/>
      <c r="AI246" s="102"/>
      <c r="AJ246" s="102"/>
      <c r="AK246" s="208"/>
      <c r="AL246" s="102"/>
      <c r="AM246" s="102"/>
      <c r="AN246" s="102"/>
    </row>
    <row r="247" spans="1:40" x14ac:dyDescent="0.25"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Y247" s="103"/>
      <c r="Z247" s="103"/>
      <c r="AA247" s="103"/>
      <c r="AB247" s="103"/>
      <c r="AC247" s="103"/>
      <c r="AD247" s="103"/>
      <c r="AE247" s="103"/>
      <c r="AF247" s="103"/>
      <c r="AG247" s="185"/>
      <c r="AH247" s="103"/>
      <c r="AI247" s="103"/>
      <c r="AJ247" s="103"/>
      <c r="AK247" s="185"/>
      <c r="AL247" s="103"/>
      <c r="AM247" s="103"/>
      <c r="AN247" s="103"/>
    </row>
    <row r="248" spans="1:40" x14ac:dyDescent="0.25">
      <c r="A248" s="202"/>
      <c r="C248" s="154"/>
      <c r="D248" s="154"/>
      <c r="E248" s="154"/>
      <c r="T248" s="154"/>
      <c r="U248" s="154"/>
    </row>
    <row r="249" spans="1:40" x14ac:dyDescent="0.25">
      <c r="A249" s="202"/>
      <c r="D249" s="154"/>
      <c r="E249" s="154"/>
      <c r="U249" s="154"/>
    </row>
    <row r="251" spans="1:40" x14ac:dyDescent="0.25">
      <c r="A251" s="202"/>
      <c r="C251" s="154"/>
      <c r="F251" s="200"/>
      <c r="J251" s="215"/>
      <c r="K251" s="215"/>
      <c r="L251" s="200"/>
      <c r="M251" s="200"/>
      <c r="R251" s="200"/>
      <c r="T251" s="154"/>
      <c r="V251" s="200"/>
      <c r="Z251" s="215"/>
      <c r="AA251" s="200"/>
      <c r="AB251" s="200"/>
      <c r="AK251" s="209"/>
      <c r="AL251" s="200"/>
    </row>
    <row r="252" spans="1:40" x14ac:dyDescent="0.25">
      <c r="F252" s="200"/>
      <c r="R252" s="200"/>
      <c r="V252" s="200"/>
      <c r="AK252" s="209"/>
      <c r="AL252" s="200"/>
    </row>
    <row r="253" spans="1:40" x14ac:dyDescent="0.25">
      <c r="A253" s="202"/>
      <c r="C253" s="154"/>
      <c r="F253" s="252"/>
      <c r="H253" s="252"/>
      <c r="I253" s="252"/>
      <c r="J253" s="300"/>
      <c r="K253" s="300"/>
      <c r="L253" s="200"/>
      <c r="M253" s="200"/>
      <c r="N253" s="210"/>
      <c r="O253" s="210"/>
      <c r="P253" s="200"/>
      <c r="Q253" s="200"/>
      <c r="R253" s="200"/>
      <c r="T253" s="154"/>
      <c r="V253" s="200"/>
      <c r="Y253" s="200"/>
      <c r="Z253" s="300"/>
      <c r="AA253" s="200"/>
      <c r="AB253" s="200"/>
      <c r="AC253" s="210"/>
      <c r="AD253" s="210"/>
      <c r="AE253" s="200"/>
      <c r="AF253" s="200"/>
      <c r="AG253" s="209"/>
      <c r="AH253" s="201"/>
      <c r="AI253" s="200"/>
      <c r="AJ253" s="200"/>
      <c r="AK253" s="209"/>
      <c r="AL253" s="200"/>
      <c r="AM253" s="210"/>
      <c r="AN253" s="210"/>
    </row>
    <row r="254" spans="1:40" x14ac:dyDescent="0.25">
      <c r="A254" s="202"/>
      <c r="C254" s="154"/>
      <c r="F254" s="252"/>
      <c r="H254" s="317"/>
      <c r="I254" s="317"/>
      <c r="J254" s="300"/>
      <c r="K254" s="300"/>
      <c r="L254" s="200"/>
      <c r="M254" s="200"/>
      <c r="N254" s="210"/>
      <c r="O254" s="210"/>
      <c r="P254" s="200"/>
      <c r="Q254" s="200"/>
      <c r="R254" s="200"/>
      <c r="T254" s="154"/>
      <c r="V254" s="200"/>
      <c r="Y254" s="200"/>
      <c r="Z254" s="300"/>
      <c r="AA254" s="200"/>
      <c r="AB254" s="200"/>
      <c r="AC254" s="210"/>
      <c r="AD254" s="210"/>
      <c r="AE254" s="200"/>
      <c r="AF254" s="200"/>
      <c r="AG254" s="209"/>
      <c r="AH254" s="201"/>
      <c r="AI254" s="200"/>
      <c r="AJ254" s="200"/>
      <c r="AK254" s="209"/>
      <c r="AL254" s="200"/>
      <c r="AM254" s="210"/>
      <c r="AN254" s="210"/>
    </row>
    <row r="255" spans="1:40" x14ac:dyDescent="0.25">
      <c r="F255" s="211"/>
      <c r="H255" s="200"/>
      <c r="I255" s="200"/>
      <c r="J255" s="305"/>
      <c r="K255" s="305"/>
      <c r="L255" s="211"/>
      <c r="M255" s="211"/>
      <c r="N255" s="211"/>
      <c r="O255" s="211"/>
      <c r="P255" s="211"/>
      <c r="Q255" s="211"/>
      <c r="R255" s="211"/>
      <c r="V255" s="211"/>
      <c r="Y255" s="200"/>
      <c r="Z255" s="305"/>
      <c r="AA255" s="211"/>
      <c r="AB255" s="211"/>
      <c r="AC255" s="211"/>
      <c r="AD255" s="211"/>
      <c r="AE255" s="211"/>
      <c r="AF255" s="211"/>
      <c r="AI255" s="211"/>
      <c r="AJ255" s="211"/>
      <c r="AK255" s="212"/>
      <c r="AL255" s="211"/>
    </row>
    <row r="256" spans="1:40" x14ac:dyDescent="0.25">
      <c r="A256" s="202"/>
      <c r="C256" s="154"/>
      <c r="F256" s="200"/>
      <c r="H256" s="200"/>
      <c r="I256" s="200"/>
      <c r="J256" s="213"/>
      <c r="K256" s="213"/>
      <c r="L256" s="200"/>
      <c r="M256" s="200"/>
      <c r="N256" s="210"/>
      <c r="O256" s="210"/>
      <c r="P256" s="200"/>
      <c r="Q256" s="200"/>
      <c r="R256" s="200"/>
      <c r="T256" s="154"/>
      <c r="V256" s="200"/>
      <c r="Y256" s="200"/>
      <c r="Z256" s="213"/>
      <c r="AA256" s="200"/>
      <c r="AB256" s="200"/>
      <c r="AC256" s="210"/>
      <c r="AD256" s="210"/>
      <c r="AE256" s="200"/>
      <c r="AF256" s="200"/>
      <c r="AG256" s="209"/>
      <c r="AH256" s="201"/>
      <c r="AI256" s="200"/>
      <c r="AJ256" s="200"/>
      <c r="AK256" s="209"/>
      <c r="AL256" s="200"/>
      <c r="AM256" s="210"/>
      <c r="AN256" s="210"/>
    </row>
    <row r="257" spans="1:40" x14ac:dyDescent="0.25">
      <c r="F257" s="211"/>
      <c r="H257" s="200"/>
      <c r="I257" s="200"/>
      <c r="J257" s="305"/>
      <c r="K257" s="305"/>
      <c r="L257" s="211"/>
      <c r="M257" s="211"/>
      <c r="N257" s="211"/>
      <c r="O257" s="211"/>
      <c r="P257" s="211"/>
      <c r="Q257" s="211"/>
      <c r="R257" s="211"/>
      <c r="V257" s="211"/>
      <c r="Y257" s="200"/>
      <c r="Z257" s="305"/>
      <c r="AA257" s="211"/>
      <c r="AB257" s="211"/>
      <c r="AC257" s="211"/>
      <c r="AD257" s="211"/>
      <c r="AE257" s="211"/>
      <c r="AF257" s="211"/>
      <c r="AI257" s="211"/>
      <c r="AJ257" s="211"/>
      <c r="AK257" s="212"/>
      <c r="AL257" s="211"/>
    </row>
    <row r="258" spans="1:40" x14ac:dyDescent="0.25">
      <c r="F258" s="200"/>
      <c r="R258" s="200"/>
      <c r="V258" s="200"/>
      <c r="AK258" s="209"/>
      <c r="AL258" s="200"/>
    </row>
    <row r="259" spans="1:40" x14ac:dyDescent="0.25">
      <c r="A259" s="202"/>
      <c r="C259" s="154"/>
      <c r="F259" s="200"/>
      <c r="R259" s="200"/>
      <c r="T259" s="154"/>
      <c r="V259" s="200"/>
      <c r="AK259" s="209"/>
      <c r="AL259" s="200"/>
    </row>
    <row r="260" spans="1:40" x14ac:dyDescent="0.25">
      <c r="F260" s="200"/>
      <c r="R260" s="200"/>
      <c r="V260" s="200"/>
      <c r="AK260" s="209"/>
      <c r="AL260" s="200"/>
    </row>
    <row r="261" spans="1:40" x14ac:dyDescent="0.25">
      <c r="A261" s="202"/>
      <c r="C261" s="154"/>
      <c r="F261" s="200"/>
      <c r="H261" s="252"/>
      <c r="I261" s="252"/>
      <c r="J261" s="320"/>
      <c r="K261" s="320"/>
      <c r="L261" s="200"/>
      <c r="M261" s="200"/>
      <c r="N261" s="210"/>
      <c r="O261" s="210"/>
      <c r="P261" s="252"/>
      <c r="Q261" s="252"/>
      <c r="R261" s="200"/>
      <c r="T261" s="154"/>
      <c r="V261" s="200"/>
      <c r="Y261" s="200"/>
      <c r="Z261" s="304"/>
      <c r="AA261" s="200"/>
      <c r="AB261" s="200"/>
      <c r="AC261" s="210"/>
      <c r="AD261" s="210"/>
      <c r="AE261" s="200"/>
      <c r="AF261" s="200"/>
      <c r="AG261" s="209"/>
      <c r="AH261" s="201"/>
      <c r="AI261" s="252"/>
      <c r="AJ261" s="252"/>
      <c r="AK261" s="209"/>
      <c r="AL261" s="200"/>
      <c r="AM261" s="210"/>
      <c r="AN261" s="210"/>
    </row>
    <row r="262" spans="1:40" x14ac:dyDescent="0.25">
      <c r="F262" s="211"/>
      <c r="H262" s="211"/>
      <c r="I262" s="211"/>
      <c r="J262" s="305"/>
      <c r="K262" s="305"/>
      <c r="L262" s="211"/>
      <c r="M262" s="211"/>
      <c r="N262" s="211"/>
      <c r="O262" s="211"/>
      <c r="P262" s="211"/>
      <c r="Q262" s="211"/>
      <c r="R262" s="211"/>
      <c r="V262" s="211"/>
      <c r="Y262" s="211"/>
      <c r="Z262" s="305"/>
      <c r="AA262" s="211"/>
      <c r="AB262" s="211"/>
      <c r="AC262" s="211"/>
      <c r="AD262" s="211"/>
      <c r="AE262" s="211"/>
      <c r="AF262" s="211"/>
      <c r="AI262" s="211"/>
      <c r="AJ262" s="211"/>
      <c r="AK262" s="212"/>
      <c r="AL262" s="211"/>
    </row>
    <row r="264" spans="1:40" x14ac:dyDescent="0.25">
      <c r="A264" s="202"/>
      <c r="C264" s="154"/>
      <c r="F264" s="200"/>
      <c r="H264" s="200"/>
      <c r="I264" s="200"/>
      <c r="J264" s="215"/>
      <c r="K264" s="215"/>
      <c r="L264" s="200"/>
      <c r="M264" s="200"/>
      <c r="N264" s="210"/>
      <c r="O264" s="210"/>
      <c r="P264" s="200"/>
      <c r="Q264" s="200"/>
      <c r="R264" s="200"/>
      <c r="T264" s="154"/>
      <c r="V264" s="200"/>
      <c r="Y264" s="200"/>
      <c r="Z264" s="215"/>
      <c r="AA264" s="200"/>
      <c r="AB264" s="200"/>
      <c r="AC264" s="210"/>
      <c r="AD264" s="210"/>
      <c r="AE264" s="200"/>
      <c r="AF264" s="200"/>
      <c r="AG264" s="209"/>
      <c r="AH264" s="201"/>
      <c r="AI264" s="200"/>
      <c r="AJ264" s="200"/>
      <c r="AK264" s="209"/>
      <c r="AL264" s="200"/>
      <c r="AM264" s="210"/>
      <c r="AN264" s="210"/>
    </row>
    <row r="265" spans="1:40" x14ac:dyDescent="0.25">
      <c r="F265" s="211"/>
      <c r="H265" s="211"/>
      <c r="I265" s="211"/>
      <c r="J265" s="305"/>
      <c r="K265" s="305"/>
      <c r="L265" s="211"/>
      <c r="M265" s="211"/>
      <c r="N265" s="211"/>
      <c r="O265" s="211"/>
      <c r="P265" s="211"/>
      <c r="Q265" s="211"/>
      <c r="R265" s="211"/>
      <c r="V265" s="211"/>
      <c r="Y265" s="211"/>
      <c r="Z265" s="305"/>
      <c r="AA265" s="211"/>
      <c r="AB265" s="211"/>
      <c r="AC265" s="211"/>
      <c r="AD265" s="211"/>
      <c r="AE265" s="211"/>
      <c r="AF265" s="211"/>
      <c r="AI265" s="211"/>
      <c r="AJ265" s="211"/>
      <c r="AK265" s="212"/>
      <c r="AL265" s="211"/>
    </row>
    <row r="266" spans="1:40" x14ac:dyDescent="0.25">
      <c r="R266" s="200"/>
      <c r="AG266" s="209"/>
      <c r="AH266" s="200"/>
    </row>
    <row r="267" spans="1:40" x14ac:dyDescent="0.25">
      <c r="F267" s="200"/>
      <c r="H267" s="200"/>
      <c r="I267" s="200"/>
      <c r="J267" s="213"/>
      <c r="K267" s="213"/>
      <c r="L267" s="200"/>
      <c r="M267" s="200"/>
      <c r="N267" s="200"/>
      <c r="O267" s="200"/>
      <c r="P267" s="200"/>
      <c r="Q267" s="200"/>
      <c r="R267" s="200"/>
      <c r="V267" s="200"/>
      <c r="Y267" s="200"/>
      <c r="Z267" s="213"/>
      <c r="AA267" s="200"/>
      <c r="AB267" s="200"/>
      <c r="AC267" s="200"/>
      <c r="AD267" s="200"/>
      <c r="AE267" s="200"/>
      <c r="AF267" s="200"/>
      <c r="AG267" s="209"/>
      <c r="AH267" s="200"/>
    </row>
    <row r="268" spans="1:40" x14ac:dyDescent="0.25">
      <c r="C268" s="154"/>
      <c r="F268" s="200"/>
      <c r="H268" s="200"/>
      <c r="I268" s="200"/>
      <c r="J268" s="213"/>
      <c r="K268" s="213"/>
      <c r="L268" s="200"/>
      <c r="M268" s="200"/>
      <c r="N268" s="200"/>
      <c r="O268" s="200"/>
      <c r="P268" s="200"/>
      <c r="Q268" s="200"/>
      <c r="R268" s="200"/>
      <c r="T268" s="154"/>
      <c r="V268" s="200"/>
      <c r="Y268" s="200"/>
      <c r="Z268" s="213"/>
      <c r="AA268" s="200"/>
      <c r="AB268" s="200"/>
      <c r="AC268" s="200"/>
      <c r="AD268" s="200"/>
      <c r="AE268" s="200"/>
      <c r="AF268" s="200"/>
      <c r="AG268" s="209"/>
      <c r="AH268" s="200"/>
    </row>
    <row r="269" spans="1:40" x14ac:dyDescent="0.25">
      <c r="A269" s="154"/>
    </row>
    <row r="271" spans="1:40" x14ac:dyDescent="0.25">
      <c r="J271" s="202"/>
      <c r="K271" s="202"/>
      <c r="Z271" s="202"/>
    </row>
    <row r="272" spans="1:40" x14ac:dyDescent="0.25">
      <c r="H272" s="154"/>
      <c r="I272" s="154"/>
      <c r="Y272" s="154"/>
    </row>
    <row r="273" spans="1:40" x14ac:dyDescent="0.25">
      <c r="J273" s="202"/>
      <c r="K273" s="202"/>
      <c r="Z273" s="202"/>
    </row>
    <row r="274" spans="1:40" x14ac:dyDescent="0.25">
      <c r="L274" s="154"/>
      <c r="M274" s="154"/>
      <c r="AA274" s="154"/>
      <c r="AB274" s="154"/>
    </row>
    <row r="275" spans="1:40" x14ac:dyDescent="0.25">
      <c r="A275" s="202"/>
      <c r="R275" s="154"/>
      <c r="AK275" s="297"/>
      <c r="AL275" s="154"/>
    </row>
    <row r="276" spans="1:40" x14ac:dyDescent="0.25">
      <c r="A276" s="202"/>
      <c r="R276" s="154"/>
      <c r="AK276" s="297"/>
      <c r="AL276" s="154"/>
    </row>
    <row r="277" spans="1:40" x14ac:dyDescent="0.25">
      <c r="A277" s="154"/>
      <c r="R277" s="154"/>
      <c r="AK277" s="297"/>
      <c r="AL277" s="154"/>
    </row>
    <row r="278" spans="1:40" x14ac:dyDescent="0.25">
      <c r="L278" s="154"/>
      <c r="M278" s="154"/>
      <c r="R278" s="202"/>
      <c r="AA278" s="154"/>
      <c r="AB278" s="154"/>
      <c r="AK278" s="209"/>
      <c r="AL278" s="202"/>
    </row>
    <row r="279" spans="1:40" x14ac:dyDescent="0.2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208"/>
      <c r="AH279" s="102"/>
      <c r="AI279" s="102"/>
      <c r="AJ279" s="102"/>
      <c r="AK279" s="208"/>
      <c r="AL279" s="102"/>
      <c r="AM279" s="102"/>
      <c r="AN279" s="102"/>
    </row>
    <row r="280" spans="1:40" x14ac:dyDescent="0.25">
      <c r="L280" s="103"/>
      <c r="M280" s="103"/>
      <c r="N280" s="103"/>
      <c r="O280" s="103"/>
      <c r="R280" s="103"/>
      <c r="AA280" s="103"/>
      <c r="AB280" s="103"/>
      <c r="AC280" s="103"/>
      <c r="AD280" s="103"/>
      <c r="AE280" s="103"/>
      <c r="AF280" s="103"/>
      <c r="AG280" s="185"/>
      <c r="AH280" s="103"/>
      <c r="AK280" s="185"/>
      <c r="AL280" s="103"/>
      <c r="AM280" s="103"/>
      <c r="AN280" s="103"/>
    </row>
    <row r="281" spans="1:40" x14ac:dyDescent="0.25">
      <c r="L281" s="103"/>
      <c r="M281" s="103"/>
      <c r="N281" s="103"/>
      <c r="O281" s="103"/>
      <c r="R281" s="103"/>
      <c r="Z281" s="103"/>
      <c r="AA281" s="103"/>
      <c r="AB281" s="103"/>
      <c r="AC281" s="103"/>
      <c r="AD281" s="103"/>
      <c r="AE281" s="103"/>
      <c r="AF281" s="103"/>
      <c r="AG281" s="185"/>
      <c r="AH281" s="103"/>
      <c r="AK281" s="185"/>
      <c r="AL281" s="103"/>
      <c r="AM281" s="103"/>
      <c r="AN281" s="103"/>
    </row>
    <row r="282" spans="1:40" x14ac:dyDescent="0.25">
      <c r="A282" s="103"/>
      <c r="C282" s="103"/>
      <c r="D282" s="103"/>
      <c r="E282" s="103"/>
      <c r="F282" s="103"/>
      <c r="J282" s="103"/>
      <c r="K282" s="103"/>
      <c r="L282" s="103"/>
      <c r="M282" s="103"/>
      <c r="N282" s="103"/>
      <c r="O282" s="103"/>
      <c r="P282" s="103"/>
      <c r="Q282" s="103"/>
      <c r="R282" s="103"/>
      <c r="T282" s="103"/>
      <c r="U282" s="103"/>
      <c r="V282" s="103"/>
      <c r="Z282" s="103"/>
      <c r="AA282" s="103"/>
      <c r="AB282" s="103"/>
      <c r="AC282" s="103"/>
      <c r="AD282" s="103"/>
      <c r="AE282" s="103"/>
      <c r="AF282" s="103"/>
      <c r="AG282" s="185"/>
      <c r="AH282" s="103"/>
      <c r="AI282" s="103"/>
      <c r="AJ282" s="103"/>
      <c r="AK282" s="185"/>
      <c r="AL282" s="103"/>
      <c r="AM282" s="103"/>
      <c r="AN282" s="103"/>
    </row>
    <row r="283" spans="1:40" x14ac:dyDescent="0.25">
      <c r="A283" s="103"/>
      <c r="C283" s="103"/>
      <c r="D283" s="103"/>
      <c r="E283" s="103"/>
      <c r="F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T283" s="103"/>
      <c r="U283" s="103"/>
      <c r="V283" s="103"/>
      <c r="Y283" s="103"/>
      <c r="Z283" s="103"/>
      <c r="AA283" s="103"/>
      <c r="AB283" s="103"/>
      <c r="AC283" s="103"/>
      <c r="AD283" s="103"/>
      <c r="AE283" s="103"/>
      <c r="AF283" s="103"/>
      <c r="AG283" s="185"/>
      <c r="AH283" s="103"/>
      <c r="AI283" s="103"/>
      <c r="AJ283" s="103"/>
      <c r="AK283" s="185"/>
      <c r="AL283" s="103"/>
      <c r="AM283" s="103"/>
      <c r="AN283" s="103"/>
    </row>
    <row r="284" spans="1:40" x14ac:dyDescent="0.25">
      <c r="C284" s="103"/>
      <c r="D284" s="103"/>
      <c r="E284" s="103"/>
      <c r="F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T284" s="103"/>
      <c r="U284" s="103"/>
      <c r="V284" s="103"/>
      <c r="Y284" s="103"/>
      <c r="Z284" s="103"/>
      <c r="AA284" s="103"/>
      <c r="AB284" s="103"/>
      <c r="AC284" s="103"/>
      <c r="AD284" s="103"/>
      <c r="AE284" s="103"/>
      <c r="AF284" s="103"/>
      <c r="AG284" s="185"/>
      <c r="AH284" s="103"/>
      <c r="AI284" s="103"/>
      <c r="AJ284" s="103"/>
      <c r="AK284" s="185"/>
      <c r="AL284" s="103"/>
      <c r="AM284" s="103"/>
      <c r="AN284" s="103"/>
    </row>
    <row r="285" spans="1:40" x14ac:dyDescent="0.25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208"/>
      <c r="AH285" s="102"/>
      <c r="AI285" s="102"/>
      <c r="AJ285" s="102"/>
      <c r="AK285" s="208"/>
      <c r="AL285" s="102"/>
      <c r="AM285" s="102"/>
      <c r="AN285" s="102"/>
    </row>
    <row r="286" spans="1:40" x14ac:dyDescent="0.25"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Y286" s="103"/>
      <c r="Z286" s="103"/>
      <c r="AA286" s="103"/>
      <c r="AB286" s="103"/>
      <c r="AC286" s="103"/>
      <c r="AD286" s="103"/>
      <c r="AE286" s="103"/>
      <c r="AF286" s="103"/>
      <c r="AG286" s="185"/>
      <c r="AH286" s="103"/>
      <c r="AI286" s="103"/>
      <c r="AJ286" s="103"/>
      <c r="AK286" s="185"/>
      <c r="AL286" s="103"/>
      <c r="AM286" s="103"/>
      <c r="AN286" s="103"/>
    </row>
    <row r="287" spans="1:40" x14ac:dyDescent="0.25">
      <c r="A287" s="202"/>
      <c r="C287" s="154"/>
      <c r="D287" s="154"/>
      <c r="E287" s="154"/>
      <c r="T287" s="154"/>
      <c r="U287" s="154"/>
    </row>
    <row r="288" spans="1:40" x14ac:dyDescent="0.25">
      <c r="A288" s="202"/>
      <c r="C288" s="154"/>
      <c r="T288" s="154"/>
    </row>
    <row r="290" spans="1:40" x14ac:dyDescent="0.25">
      <c r="A290" s="202"/>
      <c r="C290" s="154"/>
      <c r="F290" s="252"/>
      <c r="H290" s="252"/>
      <c r="I290" s="252"/>
      <c r="J290" s="300"/>
      <c r="K290" s="300"/>
      <c r="L290" s="200"/>
      <c r="M290" s="200"/>
      <c r="N290" s="210"/>
      <c r="O290" s="210"/>
      <c r="P290" s="202"/>
      <c r="Q290" s="202"/>
      <c r="R290" s="200"/>
      <c r="T290" s="154"/>
      <c r="V290" s="200"/>
      <c r="Y290" s="252"/>
      <c r="Z290" s="300"/>
      <c r="AA290" s="200"/>
      <c r="AB290" s="200"/>
      <c r="AC290" s="210"/>
      <c r="AD290" s="210"/>
      <c r="AE290" s="200"/>
      <c r="AF290" s="200"/>
      <c r="AG290" s="209"/>
      <c r="AH290" s="201"/>
      <c r="AI290" s="202"/>
      <c r="AJ290" s="202"/>
      <c r="AK290" s="209"/>
      <c r="AL290" s="200"/>
      <c r="AM290" s="210"/>
      <c r="AN290" s="210"/>
    </row>
    <row r="291" spans="1:40" x14ac:dyDescent="0.25">
      <c r="F291" s="211"/>
      <c r="H291" s="200"/>
      <c r="I291" s="200"/>
      <c r="J291" s="305"/>
      <c r="K291" s="305"/>
      <c r="L291" s="211"/>
      <c r="M291" s="211"/>
      <c r="N291" s="211"/>
      <c r="O291" s="211"/>
      <c r="P291" s="211"/>
      <c r="Q291" s="211"/>
      <c r="R291" s="211"/>
      <c r="V291" s="211"/>
      <c r="Y291" s="200"/>
      <c r="Z291" s="305"/>
      <c r="AA291" s="211"/>
      <c r="AB291" s="211"/>
      <c r="AC291" s="211"/>
      <c r="AD291" s="211"/>
      <c r="AE291" s="211"/>
      <c r="AF291" s="211"/>
      <c r="AI291" s="211"/>
      <c r="AJ291" s="211"/>
      <c r="AK291" s="212"/>
      <c r="AL291" s="211"/>
      <c r="AM291" s="210"/>
      <c r="AN291" s="210"/>
    </row>
    <row r="292" spans="1:40" x14ac:dyDescent="0.25">
      <c r="A292" s="202"/>
      <c r="C292" s="154"/>
      <c r="F292" s="252"/>
      <c r="H292" s="252"/>
      <c r="I292" s="252"/>
      <c r="J292" s="328"/>
      <c r="K292" s="328"/>
      <c r="L292" s="200"/>
      <c r="M292" s="200"/>
      <c r="N292" s="210"/>
      <c r="O292" s="210"/>
      <c r="P292" s="200"/>
      <c r="Q292" s="200"/>
      <c r="R292" s="200"/>
      <c r="S292" s="200"/>
      <c r="T292" s="154"/>
      <c r="V292" s="252"/>
      <c r="Y292" s="252"/>
      <c r="Z292" s="328"/>
      <c r="AA292" s="200"/>
      <c r="AB292" s="200"/>
      <c r="AC292" s="210"/>
      <c r="AD292" s="210"/>
      <c r="AE292" s="200"/>
      <c r="AF292" s="200"/>
      <c r="AG292" s="209"/>
      <c r="AH292" s="210"/>
      <c r="AI292" s="200"/>
      <c r="AJ292" s="200"/>
      <c r="AK292" s="209"/>
      <c r="AL292" s="200"/>
      <c r="AM292" s="210"/>
      <c r="AN292" s="210"/>
    </row>
    <row r="293" spans="1:40" x14ac:dyDescent="0.25">
      <c r="A293" s="202"/>
      <c r="C293" s="154"/>
      <c r="F293" s="252"/>
      <c r="H293" s="252"/>
      <c r="I293" s="252"/>
      <c r="J293" s="300"/>
      <c r="K293" s="300"/>
      <c r="L293" s="200"/>
      <c r="M293" s="200"/>
      <c r="N293" s="210"/>
      <c r="O293" s="210"/>
      <c r="P293" s="200"/>
      <c r="Q293" s="200"/>
      <c r="R293" s="200"/>
      <c r="T293" s="154"/>
      <c r="V293" s="252"/>
      <c r="Y293" s="200"/>
      <c r="Z293" s="300"/>
      <c r="AA293" s="200"/>
      <c r="AB293" s="200"/>
      <c r="AC293" s="210"/>
      <c r="AD293" s="210"/>
      <c r="AE293" s="200"/>
      <c r="AF293" s="200"/>
      <c r="AG293" s="209"/>
      <c r="AH293" s="201"/>
      <c r="AI293" s="200"/>
      <c r="AJ293" s="200"/>
      <c r="AK293" s="209"/>
      <c r="AL293" s="200"/>
      <c r="AM293" s="210"/>
      <c r="AN293" s="210"/>
    </row>
    <row r="294" spans="1:40" x14ac:dyDescent="0.25">
      <c r="A294" s="202"/>
      <c r="C294" s="154"/>
      <c r="F294" s="252"/>
      <c r="H294" s="252"/>
      <c r="I294" s="252"/>
      <c r="J294" s="300"/>
      <c r="K294" s="300"/>
      <c r="L294" s="200"/>
      <c r="M294" s="200"/>
      <c r="N294" s="210"/>
      <c r="O294" s="210"/>
      <c r="P294" s="200"/>
      <c r="Q294" s="200"/>
      <c r="R294" s="200"/>
      <c r="T294" s="154"/>
      <c r="V294" s="252"/>
      <c r="Y294" s="200"/>
      <c r="Z294" s="300"/>
      <c r="AA294" s="200"/>
      <c r="AB294" s="200"/>
      <c r="AC294" s="210"/>
      <c r="AD294" s="210"/>
      <c r="AE294" s="200"/>
      <c r="AF294" s="200"/>
      <c r="AG294" s="209"/>
      <c r="AH294" s="201"/>
      <c r="AI294" s="200"/>
      <c r="AJ294" s="200"/>
      <c r="AK294" s="209"/>
      <c r="AL294" s="200"/>
      <c r="AM294" s="210"/>
      <c r="AN294" s="210"/>
    </row>
    <row r="295" spans="1:40" x14ac:dyDescent="0.25">
      <c r="F295" s="211"/>
      <c r="H295" s="211"/>
      <c r="I295" s="211"/>
      <c r="J295" s="305"/>
      <c r="K295" s="305"/>
      <c r="L295" s="211"/>
      <c r="M295" s="211"/>
      <c r="N295" s="211"/>
      <c r="O295" s="211"/>
      <c r="P295" s="211"/>
      <c r="Q295" s="211"/>
      <c r="R295" s="211"/>
      <c r="V295" s="211"/>
      <c r="Y295" s="211"/>
      <c r="Z295" s="305"/>
      <c r="AA295" s="211"/>
      <c r="AB295" s="211"/>
      <c r="AC295" s="211"/>
      <c r="AD295" s="211"/>
      <c r="AE295" s="211"/>
      <c r="AF295" s="211"/>
      <c r="AI295" s="211"/>
      <c r="AJ295" s="211"/>
      <c r="AK295" s="212"/>
      <c r="AL295" s="211"/>
      <c r="AM295" s="210"/>
      <c r="AN295" s="210"/>
    </row>
    <row r="296" spans="1:40" x14ac:dyDescent="0.25">
      <c r="A296" s="202"/>
      <c r="C296" s="154"/>
      <c r="F296" s="200"/>
      <c r="H296" s="200"/>
      <c r="I296" s="200"/>
      <c r="J296" s="213"/>
      <c r="K296" s="213"/>
      <c r="L296" s="200"/>
      <c r="M296" s="200"/>
      <c r="N296" s="210"/>
      <c r="O296" s="210"/>
      <c r="P296" s="200"/>
      <c r="Q296" s="200"/>
      <c r="R296" s="200"/>
      <c r="T296" s="154"/>
      <c r="V296" s="200"/>
      <c r="Y296" s="200"/>
      <c r="Z296" s="213"/>
      <c r="AA296" s="200"/>
      <c r="AB296" s="200"/>
      <c r="AC296" s="210"/>
      <c r="AD296" s="210"/>
      <c r="AE296" s="200"/>
      <c r="AF296" s="200"/>
      <c r="AG296" s="209"/>
      <c r="AH296" s="201"/>
      <c r="AI296" s="200"/>
      <c r="AJ296" s="200"/>
      <c r="AK296" s="209"/>
      <c r="AL296" s="200"/>
      <c r="AM296" s="210"/>
      <c r="AN296" s="210"/>
    </row>
    <row r="297" spans="1:40" x14ac:dyDescent="0.25">
      <c r="F297" s="211"/>
      <c r="H297" s="211"/>
      <c r="I297" s="211"/>
      <c r="J297" s="305"/>
      <c r="K297" s="305"/>
      <c r="L297" s="211"/>
      <c r="M297" s="211"/>
      <c r="N297" s="211"/>
      <c r="O297" s="211"/>
      <c r="P297" s="211"/>
      <c r="Q297" s="211"/>
      <c r="R297" s="211"/>
      <c r="V297" s="211"/>
      <c r="Y297" s="211"/>
      <c r="Z297" s="305"/>
      <c r="AA297" s="211"/>
      <c r="AB297" s="211"/>
      <c r="AC297" s="211"/>
      <c r="AD297" s="211"/>
      <c r="AE297" s="211"/>
      <c r="AF297" s="211"/>
      <c r="AI297" s="211"/>
      <c r="AJ297" s="211"/>
      <c r="AK297" s="212"/>
      <c r="AL297" s="211"/>
      <c r="AM297" s="210"/>
      <c r="AN297" s="210"/>
    </row>
    <row r="298" spans="1:40" x14ac:dyDescent="0.25">
      <c r="A298" s="202"/>
      <c r="C298" s="154"/>
      <c r="F298" s="200"/>
      <c r="H298" s="200"/>
      <c r="I298" s="200"/>
      <c r="J298" s="213"/>
      <c r="K298" s="213"/>
      <c r="L298" s="200"/>
      <c r="M298" s="200"/>
      <c r="N298" s="210"/>
      <c r="O298" s="210"/>
      <c r="P298" s="200"/>
      <c r="Q298" s="200"/>
      <c r="R298" s="200"/>
      <c r="T298" s="154"/>
      <c r="V298" s="200"/>
      <c r="Y298" s="200"/>
      <c r="Z298" s="213"/>
      <c r="AA298" s="200"/>
      <c r="AB298" s="200"/>
      <c r="AC298" s="210"/>
      <c r="AD298" s="210"/>
      <c r="AE298" s="200"/>
      <c r="AF298" s="200"/>
      <c r="AG298" s="209"/>
      <c r="AH298" s="201"/>
      <c r="AI298" s="200"/>
      <c r="AJ298" s="200"/>
      <c r="AK298" s="209"/>
      <c r="AL298" s="200"/>
      <c r="AM298" s="210"/>
      <c r="AN298" s="210"/>
    </row>
    <row r="299" spans="1:40" x14ac:dyDescent="0.25">
      <c r="A299" s="202"/>
      <c r="C299" s="154"/>
      <c r="F299" s="200"/>
      <c r="H299" s="252"/>
      <c r="I299" s="252"/>
      <c r="J299" s="320"/>
      <c r="K299" s="320"/>
      <c r="L299" s="200"/>
      <c r="M299" s="200"/>
      <c r="N299" s="210"/>
      <c r="O299" s="210"/>
      <c r="P299" s="200"/>
      <c r="Q299" s="200"/>
      <c r="R299" s="200"/>
      <c r="T299" s="154"/>
      <c r="V299" s="200"/>
      <c r="Y299" s="200"/>
      <c r="Z299" s="304"/>
      <c r="AA299" s="200"/>
      <c r="AB299" s="200"/>
      <c r="AC299" s="210"/>
      <c r="AD299" s="210"/>
      <c r="AE299" s="200"/>
      <c r="AF299" s="200"/>
      <c r="AG299" s="209"/>
      <c r="AH299" s="201"/>
      <c r="AI299" s="200"/>
      <c r="AJ299" s="200"/>
      <c r="AK299" s="209"/>
      <c r="AL299" s="200"/>
      <c r="AM299" s="210"/>
      <c r="AN299" s="210"/>
    </row>
    <row r="300" spans="1:40" x14ac:dyDescent="0.25">
      <c r="F300" s="211"/>
      <c r="H300" s="211"/>
      <c r="I300" s="211"/>
      <c r="J300" s="305"/>
      <c r="K300" s="305"/>
      <c r="L300" s="211"/>
      <c r="M300" s="211"/>
      <c r="N300" s="211"/>
      <c r="O300" s="211"/>
      <c r="P300" s="211"/>
      <c r="Q300" s="211"/>
      <c r="R300" s="211"/>
      <c r="V300" s="211"/>
      <c r="Y300" s="211"/>
      <c r="Z300" s="305"/>
      <c r="AA300" s="211"/>
      <c r="AB300" s="211"/>
      <c r="AC300" s="211"/>
      <c r="AD300" s="211"/>
      <c r="AE300" s="211"/>
      <c r="AF300" s="211"/>
      <c r="AI300" s="211"/>
      <c r="AJ300" s="211"/>
      <c r="AK300" s="212"/>
      <c r="AL300" s="211"/>
      <c r="AM300" s="210"/>
      <c r="AN300" s="210"/>
    </row>
    <row r="302" spans="1:40" x14ac:dyDescent="0.25">
      <c r="A302" s="202"/>
      <c r="C302" s="154"/>
      <c r="F302" s="200"/>
      <c r="H302" s="200"/>
      <c r="I302" s="200"/>
      <c r="J302" s="305"/>
      <c r="K302" s="305"/>
      <c r="L302" s="200"/>
      <c r="M302" s="200"/>
      <c r="N302" s="210"/>
      <c r="O302" s="210"/>
      <c r="P302" s="200"/>
      <c r="Q302" s="200"/>
      <c r="R302" s="200"/>
      <c r="S302" s="200"/>
      <c r="T302" s="154"/>
      <c r="V302" s="200"/>
      <c r="Y302" s="200"/>
      <c r="Z302" s="305"/>
      <c r="AA302" s="200"/>
      <c r="AB302" s="200"/>
      <c r="AC302" s="210"/>
      <c r="AD302" s="210"/>
      <c r="AE302" s="200"/>
      <c r="AF302" s="200"/>
      <c r="AG302" s="209"/>
      <c r="AH302" s="210"/>
      <c r="AI302" s="200"/>
      <c r="AJ302" s="200"/>
      <c r="AK302" s="209"/>
      <c r="AL302" s="200"/>
      <c r="AM302" s="210"/>
      <c r="AN302" s="210"/>
    </row>
    <row r="303" spans="1:40" x14ac:dyDescent="0.25">
      <c r="F303" s="211"/>
      <c r="H303" s="211"/>
      <c r="I303" s="211"/>
      <c r="J303" s="305"/>
      <c r="K303" s="305"/>
      <c r="L303" s="211"/>
      <c r="M303" s="211"/>
      <c r="N303" s="211"/>
      <c r="O303" s="211"/>
      <c r="P303" s="211"/>
      <c r="Q303" s="211"/>
      <c r="R303" s="211"/>
      <c r="S303" s="200"/>
      <c r="V303" s="211"/>
      <c r="Y303" s="211"/>
      <c r="Z303" s="305"/>
      <c r="AA303" s="211"/>
      <c r="AB303" s="211"/>
      <c r="AC303" s="211"/>
      <c r="AD303" s="211"/>
      <c r="AE303" s="211"/>
      <c r="AF303" s="211"/>
      <c r="AI303" s="211"/>
      <c r="AJ303" s="211"/>
      <c r="AK303" s="212"/>
      <c r="AL303" s="211"/>
      <c r="AM303" s="210"/>
      <c r="AN303" s="210"/>
    </row>
    <row r="304" spans="1:40" x14ac:dyDescent="0.25">
      <c r="A304" s="202"/>
      <c r="C304" s="154"/>
      <c r="F304" s="252"/>
      <c r="H304" s="252"/>
      <c r="I304" s="252"/>
      <c r="J304" s="305"/>
      <c r="K304" s="305"/>
      <c r="L304" s="200"/>
      <c r="M304" s="200"/>
      <c r="N304" s="210"/>
      <c r="O304" s="210"/>
      <c r="P304" s="200"/>
      <c r="Q304" s="200"/>
      <c r="R304" s="200"/>
      <c r="S304" s="200"/>
      <c r="T304" s="154"/>
      <c r="V304" s="252"/>
      <c r="Y304" s="252"/>
      <c r="Z304" s="305"/>
      <c r="AA304" s="200"/>
      <c r="AB304" s="200"/>
      <c r="AC304" s="210"/>
      <c r="AD304" s="210"/>
      <c r="AE304" s="200"/>
      <c r="AF304" s="200"/>
      <c r="AI304" s="200"/>
      <c r="AJ304" s="200"/>
      <c r="AK304" s="209"/>
      <c r="AL304" s="200"/>
      <c r="AM304" s="210"/>
      <c r="AN304" s="210"/>
    </row>
    <row r="306" spans="1:40" x14ac:dyDescent="0.25">
      <c r="A306" s="202"/>
      <c r="C306" s="154"/>
      <c r="F306" s="252"/>
      <c r="H306" s="252"/>
      <c r="I306" s="252"/>
      <c r="J306" s="300"/>
      <c r="K306" s="300"/>
      <c r="L306" s="200"/>
      <c r="M306" s="200"/>
      <c r="N306" s="210"/>
      <c r="O306" s="210"/>
      <c r="P306" s="202"/>
      <c r="Q306" s="202"/>
      <c r="R306" s="200"/>
      <c r="T306" s="154"/>
      <c r="V306" s="200"/>
      <c r="Y306" s="252"/>
      <c r="Z306" s="300"/>
      <c r="AA306" s="200"/>
      <c r="AB306" s="200"/>
      <c r="AC306" s="210"/>
      <c r="AD306" s="210"/>
      <c r="AE306" s="200"/>
      <c r="AF306" s="200"/>
      <c r="AG306" s="209"/>
      <c r="AH306" s="201"/>
      <c r="AI306" s="202"/>
      <c r="AJ306" s="202"/>
      <c r="AK306" s="209"/>
      <c r="AL306" s="200"/>
      <c r="AM306" s="210"/>
      <c r="AN306" s="210"/>
    </row>
    <row r="307" spans="1:40" x14ac:dyDescent="0.25">
      <c r="F307" s="211"/>
      <c r="H307" s="200"/>
      <c r="I307" s="200"/>
      <c r="J307" s="305"/>
      <c r="K307" s="305"/>
      <c r="L307" s="211"/>
      <c r="M307" s="211"/>
      <c r="N307" s="211"/>
      <c r="O307" s="211"/>
      <c r="P307" s="211"/>
      <c r="Q307" s="211"/>
      <c r="R307" s="211"/>
      <c r="V307" s="211"/>
      <c r="Y307" s="200"/>
      <c r="Z307" s="305"/>
      <c r="AA307" s="211"/>
      <c r="AB307" s="211"/>
      <c r="AC307" s="211"/>
      <c r="AD307" s="211"/>
      <c r="AE307" s="211"/>
      <c r="AF307" s="211"/>
      <c r="AI307" s="211"/>
      <c r="AJ307" s="211"/>
      <c r="AK307" s="212"/>
      <c r="AL307" s="211"/>
      <c r="AM307" s="210"/>
      <c r="AN307" s="210"/>
    </row>
    <row r="308" spans="1:40" x14ac:dyDescent="0.25">
      <c r="A308" s="202"/>
      <c r="C308" s="154"/>
      <c r="F308" s="252"/>
      <c r="H308" s="252"/>
      <c r="I308" s="252"/>
      <c r="J308" s="328"/>
      <c r="K308" s="328"/>
      <c r="L308" s="200"/>
      <c r="M308" s="200"/>
      <c r="N308" s="210"/>
      <c r="O308" s="210"/>
      <c r="P308" s="200"/>
      <c r="Q308" s="200"/>
      <c r="R308" s="200"/>
      <c r="S308" s="200"/>
      <c r="T308" s="154"/>
      <c r="V308" s="252"/>
      <c r="Y308" s="252"/>
      <c r="Z308" s="328"/>
      <c r="AA308" s="200"/>
      <c r="AB308" s="200"/>
      <c r="AC308" s="210"/>
      <c r="AD308" s="210"/>
      <c r="AE308" s="200"/>
      <c r="AF308" s="200"/>
      <c r="AG308" s="209"/>
      <c r="AH308" s="210"/>
      <c r="AI308" s="200"/>
      <c r="AJ308" s="200"/>
      <c r="AK308" s="209"/>
      <c r="AL308" s="200"/>
      <c r="AM308" s="210"/>
      <c r="AN308" s="210"/>
    </row>
    <row r="309" spans="1:40" x14ac:dyDescent="0.25">
      <c r="A309" s="202"/>
      <c r="C309" s="154"/>
      <c r="F309" s="252"/>
      <c r="H309" s="252"/>
      <c r="I309" s="252"/>
      <c r="J309" s="300"/>
      <c r="K309" s="300"/>
      <c r="L309" s="200"/>
      <c r="M309" s="200"/>
      <c r="N309" s="210"/>
      <c r="O309" s="210"/>
      <c r="P309" s="200"/>
      <c r="Q309" s="200"/>
      <c r="R309" s="200"/>
      <c r="T309" s="154"/>
      <c r="V309" s="252"/>
      <c r="Y309" s="200"/>
      <c r="Z309" s="300"/>
      <c r="AA309" s="200"/>
      <c r="AB309" s="200"/>
      <c r="AC309" s="210"/>
      <c r="AD309" s="210"/>
      <c r="AE309" s="200"/>
      <c r="AF309" s="200"/>
      <c r="AG309" s="209"/>
      <c r="AH309" s="201"/>
      <c r="AI309" s="200"/>
      <c r="AJ309" s="200"/>
      <c r="AK309" s="209"/>
      <c r="AL309" s="200"/>
      <c r="AM309" s="210"/>
      <c r="AN309" s="210"/>
    </row>
    <row r="310" spans="1:40" x14ac:dyDescent="0.25">
      <c r="A310" s="202"/>
      <c r="C310" s="154"/>
      <c r="F310" s="252"/>
      <c r="H310" s="252"/>
      <c r="I310" s="252"/>
      <c r="J310" s="300"/>
      <c r="K310" s="300"/>
      <c r="L310" s="200"/>
      <c r="M310" s="200"/>
      <c r="N310" s="210"/>
      <c r="O310" s="210"/>
      <c r="P310" s="200"/>
      <c r="Q310" s="200"/>
      <c r="R310" s="200"/>
      <c r="T310" s="154"/>
      <c r="V310" s="252"/>
      <c r="Y310" s="200"/>
      <c r="Z310" s="300"/>
      <c r="AA310" s="200"/>
      <c r="AB310" s="200"/>
      <c r="AC310" s="210"/>
      <c r="AD310" s="210"/>
      <c r="AE310" s="200"/>
      <c r="AF310" s="200"/>
      <c r="AG310" s="209"/>
      <c r="AH310" s="201"/>
      <c r="AI310" s="200"/>
      <c r="AJ310" s="200"/>
      <c r="AK310" s="209"/>
      <c r="AL310" s="200"/>
      <c r="AM310" s="210"/>
      <c r="AN310" s="210"/>
    </row>
    <row r="311" spans="1:40" x14ac:dyDescent="0.25">
      <c r="F311" s="211"/>
      <c r="H311" s="211"/>
      <c r="I311" s="211"/>
      <c r="J311" s="305"/>
      <c r="K311" s="305"/>
      <c r="L311" s="211"/>
      <c r="M311" s="211"/>
      <c r="N311" s="211"/>
      <c r="O311" s="211"/>
      <c r="P311" s="211"/>
      <c r="Q311" s="211"/>
      <c r="R311" s="211"/>
      <c r="V311" s="211"/>
      <c r="Y311" s="211"/>
      <c r="Z311" s="305"/>
      <c r="AA311" s="211"/>
      <c r="AB311" s="211"/>
      <c r="AC311" s="211"/>
      <c r="AD311" s="211"/>
      <c r="AE311" s="211"/>
      <c r="AF311" s="211"/>
      <c r="AI311" s="211"/>
      <c r="AJ311" s="211"/>
      <c r="AK311" s="212"/>
      <c r="AL311" s="211"/>
      <c r="AM311" s="210"/>
      <c r="AN311" s="210"/>
    </row>
    <row r="312" spans="1:40" x14ac:dyDescent="0.25">
      <c r="A312" s="202"/>
      <c r="C312" s="154"/>
      <c r="F312" s="200"/>
      <c r="H312" s="200"/>
      <c r="I312" s="200"/>
      <c r="J312" s="213"/>
      <c r="K312" s="213"/>
      <c r="L312" s="200"/>
      <c r="M312" s="200"/>
      <c r="N312" s="210"/>
      <c r="O312" s="210"/>
      <c r="P312" s="200"/>
      <c r="Q312" s="200"/>
      <c r="R312" s="200"/>
      <c r="T312" s="154"/>
      <c r="V312" s="200"/>
      <c r="Y312" s="200"/>
      <c r="Z312" s="213"/>
      <c r="AA312" s="200"/>
      <c r="AB312" s="200"/>
      <c r="AC312" s="210"/>
      <c r="AD312" s="210"/>
      <c r="AE312" s="200"/>
      <c r="AF312" s="200"/>
      <c r="AG312" s="209"/>
      <c r="AH312" s="201"/>
      <c r="AI312" s="200"/>
      <c r="AJ312" s="200"/>
      <c r="AK312" s="209"/>
      <c r="AL312" s="200"/>
      <c r="AM312" s="210"/>
      <c r="AN312" s="210"/>
    </row>
    <row r="313" spans="1:40" x14ac:dyDescent="0.25">
      <c r="F313" s="211"/>
      <c r="H313" s="211"/>
      <c r="I313" s="211"/>
      <c r="J313" s="305"/>
      <c r="K313" s="305"/>
      <c r="L313" s="211"/>
      <c r="M313" s="211"/>
      <c r="N313" s="211"/>
      <c r="O313" s="211"/>
      <c r="P313" s="211"/>
      <c r="Q313" s="211"/>
      <c r="R313" s="211"/>
      <c r="V313" s="211"/>
      <c r="Y313" s="211"/>
      <c r="Z313" s="305"/>
      <c r="AA313" s="211"/>
      <c r="AB313" s="211"/>
      <c r="AC313" s="211"/>
      <c r="AD313" s="211"/>
      <c r="AE313" s="211"/>
      <c r="AF313" s="211"/>
      <c r="AI313" s="211"/>
      <c r="AJ313" s="211"/>
      <c r="AK313" s="212"/>
      <c r="AL313" s="211"/>
      <c r="AM313" s="210"/>
      <c r="AN313" s="210"/>
    </row>
    <row r="314" spans="1:40" x14ac:dyDescent="0.25">
      <c r="A314" s="202"/>
      <c r="C314" s="154"/>
      <c r="F314" s="200"/>
      <c r="H314" s="200"/>
      <c r="I314" s="200"/>
      <c r="J314" s="213"/>
      <c r="K314" s="213"/>
      <c r="L314" s="200"/>
      <c r="M314" s="200"/>
      <c r="N314" s="210"/>
      <c r="O314" s="210"/>
      <c r="P314" s="200"/>
      <c r="Q314" s="200"/>
      <c r="R314" s="200"/>
      <c r="T314" s="154"/>
      <c r="V314" s="200"/>
      <c r="Y314" s="200"/>
      <c r="Z314" s="213"/>
      <c r="AA314" s="200"/>
      <c r="AB314" s="200"/>
      <c r="AC314" s="210"/>
      <c r="AD314" s="210"/>
      <c r="AE314" s="200"/>
      <c r="AF314" s="200"/>
      <c r="AG314" s="209"/>
      <c r="AH314" s="201"/>
      <c r="AI314" s="200"/>
      <c r="AJ314" s="200"/>
      <c r="AK314" s="209"/>
      <c r="AL314" s="200"/>
      <c r="AM314" s="210"/>
      <c r="AN314" s="210"/>
    </row>
    <row r="315" spans="1:40" x14ac:dyDescent="0.25">
      <c r="A315" s="202"/>
      <c r="C315" s="154"/>
      <c r="F315" s="200"/>
      <c r="H315" s="252"/>
      <c r="I315" s="252"/>
      <c r="J315" s="320"/>
      <c r="K315" s="320"/>
      <c r="L315" s="200"/>
      <c r="M315" s="200"/>
      <c r="N315" s="210"/>
      <c r="O315" s="210"/>
      <c r="P315" s="200"/>
      <c r="Q315" s="200"/>
      <c r="R315" s="200"/>
      <c r="T315" s="154"/>
      <c r="V315" s="200"/>
      <c r="Y315" s="200"/>
      <c r="Z315" s="304"/>
      <c r="AA315" s="200"/>
      <c r="AB315" s="200"/>
      <c r="AC315" s="210"/>
      <c r="AD315" s="210"/>
      <c r="AE315" s="200"/>
      <c r="AF315" s="200"/>
      <c r="AG315" s="209"/>
      <c r="AH315" s="201"/>
      <c r="AI315" s="200"/>
      <c r="AJ315" s="200"/>
      <c r="AK315" s="209"/>
      <c r="AL315" s="200"/>
      <c r="AM315" s="210"/>
      <c r="AN315" s="210"/>
    </row>
    <row r="316" spans="1:40" x14ac:dyDescent="0.25">
      <c r="F316" s="211"/>
      <c r="H316" s="211"/>
      <c r="I316" s="211"/>
      <c r="J316" s="305"/>
      <c r="K316" s="305"/>
      <c r="L316" s="211"/>
      <c r="M316" s="211"/>
      <c r="N316" s="211"/>
      <c r="O316" s="211"/>
      <c r="P316" s="211"/>
      <c r="Q316" s="211"/>
      <c r="R316" s="211"/>
      <c r="V316" s="211"/>
      <c r="Y316" s="211"/>
      <c r="Z316" s="305"/>
      <c r="AA316" s="211"/>
      <c r="AB316" s="211"/>
      <c r="AC316" s="211"/>
      <c r="AD316" s="211"/>
      <c r="AE316" s="211"/>
      <c r="AF316" s="211"/>
      <c r="AI316" s="211"/>
      <c r="AJ316" s="211"/>
      <c r="AK316" s="212"/>
      <c r="AL316" s="211"/>
      <c r="AM316" s="210"/>
      <c r="AN316" s="210"/>
    </row>
    <row r="318" spans="1:40" x14ac:dyDescent="0.25">
      <c r="A318" s="202"/>
      <c r="C318" s="154"/>
      <c r="F318" s="200"/>
      <c r="H318" s="200"/>
      <c r="I318" s="200"/>
      <c r="J318" s="305"/>
      <c r="K318" s="305"/>
      <c r="L318" s="200"/>
      <c r="M318" s="200"/>
      <c r="N318" s="210"/>
      <c r="O318" s="210"/>
      <c r="P318" s="200"/>
      <c r="Q318" s="200"/>
      <c r="R318" s="200"/>
      <c r="S318" s="200"/>
      <c r="T318" s="154"/>
      <c r="V318" s="200"/>
      <c r="Y318" s="200"/>
      <c r="Z318" s="305"/>
      <c r="AA318" s="200"/>
      <c r="AB318" s="200"/>
      <c r="AC318" s="210"/>
      <c r="AD318" s="210"/>
      <c r="AE318" s="200"/>
      <c r="AF318" s="200"/>
      <c r="AG318" s="209"/>
      <c r="AH318" s="210"/>
      <c r="AI318" s="200"/>
      <c r="AJ318" s="200"/>
      <c r="AK318" s="209"/>
      <c r="AL318" s="200"/>
      <c r="AM318" s="210"/>
      <c r="AN318" s="210"/>
    </row>
    <row r="319" spans="1:40" x14ac:dyDescent="0.25">
      <c r="F319" s="211"/>
      <c r="H319" s="211"/>
      <c r="I319" s="211"/>
      <c r="J319" s="305"/>
      <c r="K319" s="305"/>
      <c r="L319" s="211"/>
      <c r="M319" s="211"/>
      <c r="N319" s="211"/>
      <c r="O319" s="211"/>
      <c r="P319" s="211"/>
      <c r="Q319" s="211"/>
      <c r="R319" s="211"/>
      <c r="S319" s="200"/>
      <c r="V319" s="211"/>
      <c r="Y319" s="211"/>
      <c r="Z319" s="305"/>
      <c r="AA319" s="211"/>
      <c r="AB319" s="211"/>
      <c r="AC319" s="211"/>
      <c r="AD319" s="211"/>
      <c r="AE319" s="211"/>
      <c r="AF319" s="211"/>
      <c r="AI319" s="211"/>
      <c r="AJ319" s="211"/>
      <c r="AK319" s="212"/>
      <c r="AL319" s="211"/>
      <c r="AM319" s="210"/>
      <c r="AN319" s="210"/>
    </row>
    <row r="320" spans="1:40" x14ac:dyDescent="0.25">
      <c r="A320" s="202"/>
      <c r="C320" s="154"/>
      <c r="T320" s="154"/>
    </row>
    <row r="321" spans="1:40" x14ac:dyDescent="0.25">
      <c r="A321" s="202"/>
      <c r="C321" s="154"/>
      <c r="F321" s="200"/>
      <c r="H321" s="200"/>
      <c r="I321" s="200"/>
      <c r="L321" s="200"/>
      <c r="M321" s="200"/>
      <c r="N321" s="210"/>
      <c r="O321" s="210"/>
      <c r="P321" s="252"/>
      <c r="Q321" s="252"/>
      <c r="R321" s="200"/>
      <c r="T321" s="154"/>
      <c r="V321" s="200"/>
      <c r="Y321" s="200"/>
      <c r="AA321" s="200"/>
      <c r="AB321" s="200"/>
      <c r="AC321" s="210"/>
      <c r="AD321" s="210"/>
      <c r="AE321" s="200"/>
      <c r="AF321" s="200"/>
      <c r="AG321" s="209"/>
      <c r="AH321" s="210"/>
      <c r="AI321" s="252"/>
      <c r="AJ321" s="252"/>
      <c r="AK321" s="209"/>
      <c r="AL321" s="200"/>
      <c r="AM321" s="210"/>
      <c r="AN321" s="210"/>
    </row>
    <row r="322" spans="1:40" x14ac:dyDescent="0.25">
      <c r="F322" s="211"/>
      <c r="H322" s="211"/>
      <c r="I322" s="211"/>
      <c r="J322" s="305"/>
      <c r="K322" s="305"/>
      <c r="L322" s="211"/>
      <c r="M322" s="211"/>
      <c r="N322" s="211"/>
      <c r="O322" s="211"/>
      <c r="P322" s="211"/>
      <c r="Q322" s="211"/>
      <c r="R322" s="211"/>
      <c r="V322" s="211"/>
      <c r="Y322" s="211"/>
      <c r="Z322" s="305"/>
      <c r="AA322" s="211"/>
      <c r="AB322" s="211"/>
      <c r="AC322" s="211"/>
      <c r="AD322" s="211"/>
      <c r="AE322" s="211"/>
      <c r="AF322" s="211"/>
      <c r="AI322" s="211"/>
      <c r="AJ322" s="211"/>
      <c r="AK322" s="212"/>
      <c r="AL322" s="211"/>
    </row>
    <row r="324" spans="1:40" x14ac:dyDescent="0.25">
      <c r="C324" s="154"/>
      <c r="L324" s="200"/>
      <c r="M324" s="200"/>
      <c r="N324" s="200"/>
      <c r="O324" s="200"/>
      <c r="P324" s="200"/>
      <c r="Q324" s="200"/>
      <c r="R324" s="200"/>
      <c r="S324" s="200"/>
      <c r="T324" s="154"/>
      <c r="AA324" s="200"/>
      <c r="AB324" s="200"/>
      <c r="AC324" s="200"/>
      <c r="AD324" s="200"/>
      <c r="AI324" s="200"/>
      <c r="AJ324" s="200"/>
      <c r="AK324" s="209"/>
      <c r="AL324" s="200"/>
    </row>
    <row r="325" spans="1:40" x14ac:dyDescent="0.25">
      <c r="A325" s="154"/>
    </row>
    <row r="326" spans="1:40" x14ac:dyDescent="0.25">
      <c r="J326" s="202"/>
      <c r="K326" s="202"/>
      <c r="Z326" s="202"/>
    </row>
    <row r="327" spans="1:40" x14ac:dyDescent="0.25">
      <c r="H327" s="154"/>
      <c r="I327" s="154"/>
      <c r="Y327" s="154"/>
    </row>
    <row r="328" spans="1:40" x14ac:dyDescent="0.25">
      <c r="J328" s="202"/>
      <c r="K328" s="202"/>
      <c r="Z328" s="202"/>
    </row>
    <row r="329" spans="1:40" x14ac:dyDescent="0.25">
      <c r="L329" s="154"/>
      <c r="M329" s="154"/>
      <c r="AA329" s="154"/>
      <c r="AB329" s="154"/>
    </row>
    <row r="330" spans="1:40" x14ac:dyDescent="0.25">
      <c r="A330" s="202"/>
      <c r="R330" s="154"/>
      <c r="AK330" s="297"/>
      <c r="AL330" s="154"/>
    </row>
    <row r="331" spans="1:40" x14ac:dyDescent="0.25">
      <c r="A331" s="202"/>
      <c r="R331" s="154"/>
      <c r="AK331" s="297"/>
      <c r="AL331" s="154"/>
    </row>
    <row r="332" spans="1:40" x14ac:dyDescent="0.25">
      <c r="A332" s="154"/>
      <c r="R332" s="154"/>
      <c r="AK332" s="297"/>
      <c r="AL332" s="154"/>
    </row>
    <row r="333" spans="1:40" x14ac:dyDescent="0.25">
      <c r="L333" s="154"/>
      <c r="M333" s="154"/>
      <c r="R333" s="202"/>
      <c r="AA333" s="154"/>
      <c r="AB333" s="154"/>
      <c r="AK333" s="209"/>
      <c r="AL333" s="202"/>
    </row>
    <row r="334" spans="1:40" x14ac:dyDescent="0.25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208"/>
      <c r="AH334" s="102"/>
      <c r="AI334" s="102"/>
      <c r="AJ334" s="102"/>
      <c r="AK334" s="208"/>
      <c r="AL334" s="102"/>
      <c r="AM334" s="102"/>
      <c r="AN334" s="102"/>
    </row>
    <row r="335" spans="1:40" x14ac:dyDescent="0.25">
      <c r="L335" s="103"/>
      <c r="M335" s="103"/>
      <c r="N335" s="103"/>
      <c r="O335" s="103"/>
      <c r="R335" s="103"/>
      <c r="AA335" s="103"/>
      <c r="AB335" s="103"/>
      <c r="AC335" s="103"/>
      <c r="AD335" s="103"/>
      <c r="AE335" s="103"/>
      <c r="AF335" s="103"/>
      <c r="AG335" s="185"/>
      <c r="AH335" s="103"/>
      <c r="AK335" s="185"/>
      <c r="AL335" s="103"/>
      <c r="AM335" s="103"/>
      <c r="AN335" s="103"/>
    </row>
    <row r="336" spans="1:40" x14ac:dyDescent="0.25">
      <c r="L336" s="103"/>
      <c r="M336" s="103"/>
      <c r="N336" s="103"/>
      <c r="O336" s="103"/>
      <c r="R336" s="103"/>
      <c r="Z336" s="103"/>
      <c r="AA336" s="103"/>
      <c r="AB336" s="103"/>
      <c r="AC336" s="103"/>
      <c r="AD336" s="103"/>
      <c r="AE336" s="103"/>
      <c r="AF336" s="103"/>
      <c r="AG336" s="185"/>
      <c r="AH336" s="103"/>
      <c r="AK336" s="185"/>
      <c r="AL336" s="103"/>
      <c r="AM336" s="103"/>
      <c r="AN336" s="103"/>
    </row>
    <row r="337" spans="1:40" x14ac:dyDescent="0.25">
      <c r="A337" s="103"/>
      <c r="C337" s="103"/>
      <c r="D337" s="103"/>
      <c r="E337" s="103"/>
      <c r="F337" s="103"/>
      <c r="J337" s="103"/>
      <c r="K337" s="103"/>
      <c r="L337" s="103"/>
      <c r="M337" s="103"/>
      <c r="N337" s="103"/>
      <c r="O337" s="103"/>
      <c r="P337" s="103"/>
      <c r="Q337" s="103"/>
      <c r="R337" s="103"/>
      <c r="T337" s="103"/>
      <c r="U337" s="103"/>
      <c r="V337" s="103"/>
      <c r="Z337" s="103"/>
      <c r="AA337" s="103"/>
      <c r="AB337" s="103"/>
      <c r="AC337" s="103"/>
      <c r="AD337" s="103"/>
      <c r="AE337" s="103"/>
      <c r="AF337" s="103"/>
      <c r="AG337" s="185"/>
      <c r="AH337" s="103"/>
      <c r="AI337" s="103"/>
      <c r="AJ337" s="103"/>
      <c r="AK337" s="185"/>
      <c r="AL337" s="103"/>
      <c r="AM337" s="103"/>
      <c r="AN337" s="103"/>
    </row>
    <row r="338" spans="1:40" x14ac:dyDescent="0.25">
      <c r="A338" s="103"/>
      <c r="C338" s="103"/>
      <c r="D338" s="103"/>
      <c r="E338" s="103"/>
      <c r="F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T338" s="103"/>
      <c r="U338" s="103"/>
      <c r="V338" s="103"/>
      <c r="Y338" s="103"/>
      <c r="Z338" s="103"/>
      <c r="AA338" s="103"/>
      <c r="AB338" s="103"/>
      <c r="AC338" s="103"/>
      <c r="AD338" s="103"/>
      <c r="AE338" s="103"/>
      <c r="AF338" s="103"/>
      <c r="AG338" s="185"/>
      <c r="AH338" s="103"/>
      <c r="AI338" s="103"/>
      <c r="AJ338" s="103"/>
      <c r="AK338" s="185"/>
      <c r="AL338" s="103"/>
      <c r="AM338" s="103"/>
      <c r="AN338" s="103"/>
    </row>
    <row r="339" spans="1:40" x14ac:dyDescent="0.25">
      <c r="C339" s="103"/>
      <c r="D339" s="103"/>
      <c r="E339" s="103"/>
      <c r="F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T339" s="103"/>
      <c r="U339" s="103"/>
      <c r="V339" s="103"/>
      <c r="Y339" s="103"/>
      <c r="Z339" s="103"/>
      <c r="AA339" s="103"/>
      <c r="AB339" s="103"/>
      <c r="AC339" s="103"/>
      <c r="AD339" s="103"/>
      <c r="AE339" s="103"/>
      <c r="AF339" s="103"/>
      <c r="AG339" s="185"/>
      <c r="AH339" s="103"/>
      <c r="AI339" s="103"/>
      <c r="AJ339" s="103"/>
      <c r="AK339" s="185"/>
      <c r="AL339" s="103"/>
      <c r="AM339" s="103"/>
      <c r="AN339" s="103"/>
    </row>
    <row r="340" spans="1:40" x14ac:dyDescent="0.25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208"/>
      <c r="AH340" s="102"/>
      <c r="AI340" s="102"/>
      <c r="AJ340" s="102"/>
      <c r="AK340" s="208"/>
      <c r="AL340" s="102"/>
      <c r="AM340" s="102"/>
      <c r="AN340" s="102"/>
    </row>
    <row r="341" spans="1:40" x14ac:dyDescent="0.25"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Y341" s="103"/>
      <c r="Z341" s="103"/>
      <c r="AA341" s="103"/>
      <c r="AB341" s="103"/>
      <c r="AC341" s="103"/>
      <c r="AD341" s="103"/>
      <c r="AE341" s="103"/>
      <c r="AF341" s="103"/>
      <c r="AG341" s="185"/>
      <c r="AH341" s="103"/>
      <c r="AI341" s="103"/>
      <c r="AJ341" s="103"/>
      <c r="AK341" s="185"/>
      <c r="AL341" s="103"/>
      <c r="AM341" s="103"/>
      <c r="AN341" s="103"/>
    </row>
    <row r="342" spans="1:40" x14ac:dyDescent="0.25">
      <c r="A342" s="202"/>
      <c r="C342" s="154"/>
      <c r="D342" s="154"/>
      <c r="E342" s="154"/>
      <c r="T342" s="154"/>
      <c r="U342" s="154"/>
    </row>
    <row r="343" spans="1:40" x14ac:dyDescent="0.25">
      <c r="D343" s="154"/>
      <c r="E343" s="154"/>
      <c r="U343" s="154"/>
    </row>
    <row r="345" spans="1:40" x14ac:dyDescent="0.25">
      <c r="A345" s="202"/>
      <c r="C345" s="154"/>
      <c r="T345" s="154"/>
    </row>
    <row r="346" spans="1:40" x14ac:dyDescent="0.25">
      <c r="A346" s="202"/>
      <c r="C346" s="154"/>
      <c r="F346" s="252"/>
      <c r="H346" s="252"/>
      <c r="I346" s="252"/>
      <c r="J346" s="329"/>
      <c r="K346" s="329"/>
      <c r="L346" s="200"/>
      <c r="M346" s="200"/>
      <c r="N346" s="210"/>
      <c r="O346" s="210"/>
      <c r="P346" s="200"/>
      <c r="Q346" s="200"/>
      <c r="R346" s="200"/>
      <c r="T346" s="154"/>
      <c r="V346" s="252"/>
      <c r="W346" s="200"/>
      <c r="X346" s="200"/>
      <c r="Y346" s="252"/>
      <c r="Z346" s="329"/>
      <c r="AA346" s="200"/>
      <c r="AB346" s="200"/>
      <c r="AC346" s="210"/>
      <c r="AD346" s="210"/>
      <c r="AE346" s="200"/>
      <c r="AF346" s="200"/>
      <c r="AG346" s="209"/>
      <c r="AH346" s="201"/>
      <c r="AI346" s="200"/>
      <c r="AJ346" s="200"/>
      <c r="AK346" s="209"/>
      <c r="AL346" s="200"/>
      <c r="AM346" s="210"/>
      <c r="AN346" s="210"/>
    </row>
    <row r="347" spans="1:40" x14ac:dyDescent="0.25">
      <c r="A347" s="202"/>
      <c r="C347" s="154"/>
      <c r="F347" s="200"/>
      <c r="H347" s="200"/>
      <c r="I347" s="200"/>
      <c r="J347" s="305"/>
      <c r="K347" s="305"/>
      <c r="L347" s="200"/>
      <c r="M347" s="200"/>
      <c r="N347" s="210"/>
      <c r="O347" s="210"/>
      <c r="P347" s="200"/>
      <c r="Q347" s="200"/>
      <c r="R347" s="200"/>
      <c r="T347" s="154"/>
      <c r="V347" s="252"/>
      <c r="W347" s="200"/>
      <c r="X347" s="200"/>
      <c r="Y347" s="252"/>
      <c r="Z347" s="305"/>
      <c r="AA347" s="200"/>
      <c r="AB347" s="200"/>
      <c r="AC347" s="210"/>
      <c r="AD347" s="210"/>
      <c r="AE347" s="200"/>
      <c r="AF347" s="200"/>
      <c r="AG347" s="209"/>
      <c r="AH347" s="201"/>
      <c r="AI347" s="200"/>
      <c r="AJ347" s="200"/>
      <c r="AK347" s="209"/>
      <c r="AL347" s="200"/>
      <c r="AM347" s="210"/>
      <c r="AN347" s="210"/>
    </row>
    <row r="348" spans="1:40" x14ac:dyDescent="0.25">
      <c r="A348" s="202"/>
      <c r="C348" s="154"/>
      <c r="F348" s="252"/>
      <c r="H348" s="252"/>
      <c r="I348" s="252"/>
      <c r="J348" s="329"/>
      <c r="K348" s="329"/>
      <c r="L348" s="200"/>
      <c r="M348" s="200"/>
      <c r="N348" s="210"/>
      <c r="O348" s="210"/>
      <c r="P348" s="200"/>
      <c r="Q348" s="200"/>
      <c r="R348" s="200"/>
      <c r="T348" s="154"/>
      <c r="V348" s="252"/>
      <c r="W348" s="200"/>
      <c r="X348" s="200"/>
      <c r="Y348" s="252"/>
      <c r="Z348" s="329"/>
      <c r="AA348" s="200"/>
      <c r="AB348" s="200"/>
      <c r="AC348" s="210"/>
      <c r="AD348" s="210"/>
      <c r="AE348" s="200"/>
      <c r="AF348" s="200"/>
      <c r="AG348" s="209"/>
      <c r="AH348" s="201"/>
      <c r="AI348" s="200"/>
      <c r="AJ348" s="200"/>
      <c r="AK348" s="209"/>
      <c r="AL348" s="200"/>
      <c r="AM348" s="210"/>
      <c r="AN348" s="210"/>
    </row>
    <row r="349" spans="1:40" x14ac:dyDescent="0.25">
      <c r="A349" s="202"/>
      <c r="C349" s="154"/>
      <c r="F349" s="252"/>
      <c r="H349" s="252"/>
      <c r="I349" s="252"/>
      <c r="J349" s="329"/>
      <c r="K349" s="329"/>
      <c r="L349" s="200"/>
      <c r="M349" s="200"/>
      <c r="N349" s="210"/>
      <c r="O349" s="210"/>
      <c r="P349" s="200"/>
      <c r="Q349" s="200"/>
      <c r="R349" s="200"/>
      <c r="T349" s="154"/>
      <c r="V349" s="252"/>
      <c r="W349" s="200"/>
      <c r="X349" s="200"/>
      <c r="Y349" s="252"/>
      <c r="Z349" s="329"/>
      <c r="AA349" s="200"/>
      <c r="AB349" s="200"/>
      <c r="AC349" s="210"/>
      <c r="AD349" s="210"/>
      <c r="AE349" s="200"/>
      <c r="AF349" s="200"/>
      <c r="AG349" s="209"/>
      <c r="AH349" s="201"/>
      <c r="AI349" s="200"/>
      <c r="AJ349" s="200"/>
      <c r="AK349" s="209"/>
      <c r="AL349" s="200"/>
      <c r="AM349" s="210"/>
      <c r="AN349" s="210"/>
    </row>
    <row r="350" spans="1:40" x14ac:dyDescent="0.25">
      <c r="A350" s="202"/>
      <c r="C350" s="154"/>
      <c r="F350" s="252"/>
      <c r="H350" s="252"/>
      <c r="I350" s="252"/>
      <c r="J350" s="329"/>
      <c r="K350" s="329"/>
      <c r="L350" s="200"/>
      <c r="M350" s="200"/>
      <c r="N350" s="210"/>
      <c r="O350" s="210"/>
      <c r="P350" s="200"/>
      <c r="Q350" s="200"/>
      <c r="R350" s="200"/>
      <c r="T350" s="154"/>
      <c r="V350" s="252"/>
      <c r="W350" s="200"/>
      <c r="X350" s="200"/>
      <c r="Y350" s="252"/>
      <c r="Z350" s="329"/>
      <c r="AA350" s="200"/>
      <c r="AB350" s="200"/>
      <c r="AC350" s="210"/>
      <c r="AD350" s="210"/>
      <c r="AE350" s="200"/>
      <c r="AF350" s="200"/>
      <c r="AG350" s="209"/>
      <c r="AH350" s="201"/>
      <c r="AI350" s="200"/>
      <c r="AJ350" s="200"/>
      <c r="AK350" s="209"/>
      <c r="AL350" s="200"/>
      <c r="AM350" s="210"/>
      <c r="AN350" s="210"/>
    </row>
    <row r="351" spans="1:40" x14ac:dyDescent="0.25">
      <c r="A351" s="202"/>
      <c r="C351" s="154"/>
      <c r="F351" s="200"/>
      <c r="H351" s="200"/>
      <c r="I351" s="200"/>
      <c r="J351" s="329"/>
      <c r="K351" s="329"/>
      <c r="L351" s="200"/>
      <c r="M351" s="200"/>
      <c r="N351" s="210"/>
      <c r="O351" s="210"/>
      <c r="P351" s="200"/>
      <c r="Q351" s="200"/>
      <c r="R351" s="200"/>
      <c r="T351" s="154"/>
      <c r="V351" s="252"/>
      <c r="W351" s="200"/>
      <c r="X351" s="200"/>
      <c r="Y351" s="252"/>
      <c r="Z351" s="329"/>
      <c r="AA351" s="200"/>
      <c r="AB351" s="200"/>
      <c r="AC351" s="210"/>
      <c r="AD351" s="210"/>
      <c r="AE351" s="200"/>
      <c r="AF351" s="200"/>
      <c r="AG351" s="209"/>
      <c r="AH351" s="201"/>
      <c r="AI351" s="200"/>
      <c r="AJ351" s="200"/>
      <c r="AK351" s="209"/>
      <c r="AL351" s="200"/>
      <c r="AM351" s="210"/>
      <c r="AN351" s="210"/>
    </row>
    <row r="352" spans="1:40" x14ac:dyDescent="0.25">
      <c r="A352" s="202"/>
      <c r="C352" s="154"/>
      <c r="F352" s="200"/>
      <c r="H352" s="200"/>
      <c r="I352" s="200"/>
      <c r="J352" s="329"/>
      <c r="K352" s="329"/>
      <c r="L352" s="200"/>
      <c r="M352" s="200"/>
      <c r="N352" s="210"/>
      <c r="O352" s="210"/>
      <c r="P352" s="200"/>
      <c r="Q352" s="200"/>
      <c r="R352" s="200"/>
      <c r="T352" s="154"/>
      <c r="V352" s="252"/>
      <c r="W352" s="200"/>
      <c r="X352" s="200"/>
      <c r="Y352" s="252"/>
      <c r="Z352" s="329"/>
      <c r="AA352" s="200"/>
      <c r="AB352" s="200"/>
      <c r="AC352" s="210"/>
      <c r="AD352" s="210"/>
      <c r="AE352" s="200"/>
      <c r="AF352" s="200"/>
      <c r="AG352" s="209"/>
      <c r="AH352" s="201"/>
      <c r="AI352" s="200"/>
      <c r="AJ352" s="200"/>
      <c r="AK352" s="209"/>
      <c r="AL352" s="200"/>
      <c r="AM352" s="210"/>
      <c r="AN352" s="210"/>
    </row>
    <row r="353" spans="1:40" x14ac:dyDescent="0.25">
      <c r="F353" s="331"/>
      <c r="H353" s="332"/>
      <c r="I353" s="332"/>
      <c r="J353" s="329"/>
      <c r="K353" s="329"/>
      <c r="L353" s="331"/>
      <c r="M353" s="331"/>
      <c r="N353" s="211"/>
      <c r="O353" s="211"/>
      <c r="P353" s="331"/>
      <c r="Q353" s="331"/>
      <c r="R353" s="331"/>
      <c r="V353" s="331"/>
      <c r="W353" s="200"/>
      <c r="X353" s="200"/>
      <c r="Y353" s="331"/>
      <c r="Z353" s="329"/>
      <c r="AA353" s="331"/>
      <c r="AB353" s="331"/>
      <c r="AC353" s="333"/>
      <c r="AD353" s="333"/>
      <c r="AE353" s="331"/>
      <c r="AF353" s="331"/>
      <c r="AG353" s="209"/>
      <c r="AH353" s="201"/>
      <c r="AI353" s="331"/>
      <c r="AJ353" s="331"/>
      <c r="AK353" s="208"/>
      <c r="AL353" s="331"/>
      <c r="AM353" s="210"/>
      <c r="AN353" s="210"/>
    </row>
    <row r="354" spans="1:40" x14ac:dyDescent="0.25">
      <c r="A354" s="202"/>
      <c r="C354" s="154"/>
      <c r="F354" s="200"/>
      <c r="H354" s="200"/>
      <c r="I354" s="200"/>
      <c r="J354" s="329"/>
      <c r="K354" s="329"/>
      <c r="L354" s="200"/>
      <c r="M354" s="200"/>
      <c r="N354" s="201"/>
      <c r="O354" s="201"/>
      <c r="P354" s="200"/>
      <c r="Q354" s="200"/>
      <c r="R354" s="200"/>
      <c r="T354" s="103"/>
      <c r="V354" s="200"/>
      <c r="W354" s="200"/>
      <c r="X354" s="200"/>
      <c r="Y354" s="200"/>
      <c r="Z354" s="329"/>
      <c r="AA354" s="200"/>
      <c r="AB354" s="200"/>
      <c r="AC354" s="201"/>
      <c r="AD354" s="201"/>
      <c r="AE354" s="200"/>
      <c r="AF354" s="200"/>
      <c r="AG354" s="209"/>
      <c r="AH354" s="201"/>
      <c r="AI354" s="200"/>
      <c r="AJ354" s="200"/>
      <c r="AK354" s="209"/>
      <c r="AL354" s="200"/>
      <c r="AM354" s="210"/>
      <c r="AN354" s="210"/>
    </row>
    <row r="355" spans="1:40" x14ac:dyDescent="0.25">
      <c r="F355" s="102"/>
      <c r="H355" s="102"/>
      <c r="I355" s="102"/>
      <c r="L355" s="102"/>
      <c r="M355" s="102"/>
      <c r="N355" s="333"/>
      <c r="O355" s="333"/>
      <c r="P355" s="331"/>
      <c r="Q355" s="331"/>
      <c r="R355" s="331"/>
      <c r="V355" s="331"/>
      <c r="Y355" s="331"/>
      <c r="Z355" s="305"/>
      <c r="AA355" s="331"/>
      <c r="AB355" s="331"/>
      <c r="AC355" s="331"/>
      <c r="AD355" s="331"/>
      <c r="AE355" s="331"/>
      <c r="AF355" s="331"/>
      <c r="AI355" s="331"/>
      <c r="AJ355" s="331"/>
      <c r="AK355" s="208"/>
      <c r="AL355" s="331"/>
      <c r="AM355" s="333"/>
      <c r="AN355" s="333"/>
    </row>
    <row r="356" spans="1:40" x14ac:dyDescent="0.25">
      <c r="AI356" s="202"/>
      <c r="AJ356" s="202"/>
    </row>
    <row r="360" spans="1:40" x14ac:dyDescent="0.25">
      <c r="N360" s="200"/>
      <c r="O360" s="200"/>
      <c r="P360" s="200"/>
      <c r="Q360" s="200"/>
      <c r="R360" s="200"/>
      <c r="V360" s="200"/>
      <c r="Y360" s="200"/>
      <c r="Z360" s="213"/>
      <c r="AA360" s="200"/>
      <c r="AB360" s="200"/>
      <c r="AC360" s="210"/>
      <c r="AD360" s="210"/>
      <c r="AE360" s="200"/>
      <c r="AF360" s="200"/>
      <c r="AG360" s="209"/>
      <c r="AH360" s="201"/>
      <c r="AI360" s="200"/>
      <c r="AJ360" s="200"/>
      <c r="AK360" s="209"/>
      <c r="AL360" s="200"/>
      <c r="AM360" s="210"/>
      <c r="AN360" s="210"/>
    </row>
    <row r="361" spans="1:40" x14ac:dyDescent="0.25">
      <c r="A361" s="202"/>
      <c r="C361" s="154"/>
      <c r="D361" s="154"/>
      <c r="E361" s="154"/>
      <c r="J361" s="334"/>
      <c r="K361" s="334"/>
      <c r="T361" s="154"/>
      <c r="U361" s="154"/>
      <c r="Z361" s="334"/>
      <c r="AE361" s="200"/>
      <c r="AF361" s="200"/>
      <c r="AI361" s="200"/>
      <c r="AJ361" s="200"/>
      <c r="AK361" s="209"/>
      <c r="AL361" s="200"/>
      <c r="AM361" s="210"/>
      <c r="AN361" s="210"/>
    </row>
    <row r="362" spans="1:40" x14ac:dyDescent="0.25">
      <c r="D362" s="154"/>
      <c r="E362" s="154"/>
      <c r="F362" s="200"/>
      <c r="H362" s="200"/>
      <c r="I362" s="200"/>
      <c r="J362" s="329"/>
      <c r="K362" s="329"/>
      <c r="L362" s="200"/>
      <c r="M362" s="200"/>
      <c r="N362" s="210"/>
      <c r="O362" s="210"/>
      <c r="P362" s="200"/>
      <c r="Q362" s="200"/>
      <c r="R362" s="200"/>
      <c r="U362" s="154"/>
      <c r="V362" s="200"/>
      <c r="Y362" s="200"/>
      <c r="Z362" s="329"/>
      <c r="AA362" s="200"/>
      <c r="AB362" s="200"/>
      <c r="AC362" s="210"/>
      <c r="AD362" s="210"/>
      <c r="AE362" s="200"/>
      <c r="AF362" s="200"/>
      <c r="AG362" s="209"/>
      <c r="AH362" s="201"/>
      <c r="AI362" s="200"/>
      <c r="AJ362" s="200"/>
      <c r="AK362" s="209"/>
      <c r="AL362" s="200"/>
      <c r="AM362" s="210"/>
      <c r="AN362" s="210"/>
    </row>
    <row r="363" spans="1:40" x14ac:dyDescent="0.25">
      <c r="F363" s="200"/>
      <c r="H363" s="200"/>
      <c r="I363" s="200"/>
      <c r="J363" s="305"/>
      <c r="K363" s="305"/>
      <c r="L363" s="200"/>
      <c r="M363" s="200"/>
      <c r="N363" s="200"/>
      <c r="O363" s="200"/>
      <c r="P363" s="200"/>
      <c r="Q363" s="200"/>
      <c r="R363" s="200"/>
      <c r="V363" s="200"/>
      <c r="Y363" s="200"/>
      <c r="Z363" s="305"/>
      <c r="AA363" s="200"/>
      <c r="AB363" s="200"/>
      <c r="AC363" s="200"/>
      <c r="AD363" s="200"/>
      <c r="AE363" s="200"/>
      <c r="AF363" s="200"/>
      <c r="AG363" s="209"/>
      <c r="AH363" s="201"/>
      <c r="AI363" s="252"/>
      <c r="AJ363" s="252"/>
      <c r="AK363" s="209"/>
      <c r="AL363" s="200"/>
      <c r="AM363" s="210"/>
      <c r="AN363" s="210"/>
    </row>
    <row r="364" spans="1:40" x14ac:dyDescent="0.25">
      <c r="A364" s="202"/>
      <c r="C364" s="154"/>
      <c r="F364" s="252"/>
      <c r="H364" s="252"/>
      <c r="I364" s="252"/>
      <c r="J364" s="304"/>
      <c r="K364" s="304"/>
      <c r="L364" s="200"/>
      <c r="M364" s="200"/>
      <c r="N364" s="210"/>
      <c r="O364" s="210"/>
      <c r="P364" s="200"/>
      <c r="Q364" s="200"/>
      <c r="R364" s="200"/>
      <c r="T364" s="154"/>
      <c r="V364" s="252"/>
      <c r="Y364" s="252"/>
      <c r="Z364" s="304"/>
      <c r="AA364" s="200"/>
      <c r="AB364" s="200"/>
      <c r="AC364" s="210"/>
      <c r="AD364" s="210"/>
      <c r="AE364" s="200"/>
      <c r="AF364" s="200"/>
      <c r="AG364" s="209"/>
      <c r="AH364" s="201"/>
      <c r="AI364" s="200"/>
      <c r="AJ364" s="200"/>
      <c r="AK364" s="209"/>
      <c r="AL364" s="200"/>
      <c r="AM364" s="210"/>
      <c r="AN364" s="210"/>
    </row>
    <row r="365" spans="1:40" x14ac:dyDescent="0.25">
      <c r="F365" s="102"/>
      <c r="H365" s="102"/>
      <c r="I365" s="102"/>
      <c r="L365" s="102"/>
      <c r="M365" s="102"/>
      <c r="N365" s="102"/>
      <c r="O365" s="102"/>
      <c r="P365" s="102"/>
      <c r="Q365" s="102"/>
      <c r="R365" s="102"/>
      <c r="V365" s="102"/>
      <c r="Y365" s="102"/>
      <c r="AA365" s="102"/>
      <c r="AB365" s="102"/>
      <c r="AC365" s="102"/>
      <c r="AD365" s="102"/>
      <c r="AE365" s="102"/>
      <c r="AF365" s="102"/>
      <c r="AG365" s="208"/>
      <c r="AH365" s="102"/>
      <c r="AI365" s="102"/>
      <c r="AJ365" s="102"/>
      <c r="AK365" s="208"/>
      <c r="AL365" s="102"/>
      <c r="AM365" s="102"/>
      <c r="AN365" s="102"/>
    </row>
    <row r="366" spans="1:40" x14ac:dyDescent="0.25">
      <c r="A366" s="202"/>
      <c r="C366" s="103"/>
      <c r="F366" s="252"/>
      <c r="H366" s="252"/>
      <c r="I366" s="252"/>
      <c r="J366" s="300"/>
      <c r="K366" s="300"/>
      <c r="L366" s="252"/>
      <c r="M366" s="252"/>
      <c r="N366" s="210"/>
      <c r="O366" s="210"/>
      <c r="P366" s="252"/>
      <c r="Q366" s="252"/>
      <c r="R366" s="252"/>
      <c r="T366" s="103"/>
      <c r="V366" s="200"/>
      <c r="Y366" s="200"/>
      <c r="Z366" s="213"/>
      <c r="AA366" s="200"/>
      <c r="AB366" s="200"/>
      <c r="AC366" s="210"/>
      <c r="AD366" s="210"/>
      <c r="AE366" s="202"/>
      <c r="AF366" s="202"/>
      <c r="AG366" s="209"/>
      <c r="AH366" s="201"/>
      <c r="AI366" s="200"/>
      <c r="AJ366" s="200"/>
      <c r="AK366" s="209"/>
      <c r="AL366" s="200"/>
      <c r="AM366" s="210"/>
      <c r="AN366" s="210"/>
    </row>
    <row r="367" spans="1:40" x14ac:dyDescent="0.25">
      <c r="F367" s="331"/>
      <c r="H367" s="331"/>
      <c r="I367" s="331"/>
      <c r="J367" s="305"/>
      <c r="K367" s="305"/>
      <c r="L367" s="331"/>
      <c r="M367" s="331"/>
      <c r="N367" s="331"/>
      <c r="O367" s="331"/>
      <c r="P367" s="331"/>
      <c r="Q367" s="331"/>
      <c r="R367" s="331"/>
      <c r="V367" s="102"/>
      <c r="Y367" s="102"/>
      <c r="AA367" s="102"/>
      <c r="AB367" s="102"/>
      <c r="AC367" s="102"/>
      <c r="AD367" s="102"/>
      <c r="AE367" s="102"/>
      <c r="AF367" s="102"/>
      <c r="AG367" s="208"/>
      <c r="AH367" s="102"/>
      <c r="AI367" s="102"/>
      <c r="AJ367" s="102"/>
      <c r="AK367" s="208"/>
      <c r="AL367" s="102"/>
      <c r="AM367" s="102"/>
      <c r="AN367" s="102"/>
    </row>
    <row r="368" spans="1:40" x14ac:dyDescent="0.25">
      <c r="F368" s="252"/>
      <c r="H368" s="252"/>
      <c r="I368" s="252"/>
      <c r="J368" s="328"/>
      <c r="K368" s="328"/>
      <c r="L368" s="200"/>
      <c r="M368" s="200"/>
      <c r="N368" s="210"/>
      <c r="O368" s="210"/>
      <c r="P368" s="200"/>
      <c r="Q368" s="200"/>
      <c r="R368" s="200"/>
    </row>
    <row r="369" spans="1:40" x14ac:dyDescent="0.25">
      <c r="A369" s="154"/>
      <c r="F369" s="252"/>
      <c r="H369" s="252"/>
      <c r="I369" s="252"/>
      <c r="J369" s="300"/>
      <c r="K369" s="300"/>
      <c r="L369" s="200"/>
      <c r="M369" s="200"/>
      <c r="N369" s="210"/>
      <c r="O369" s="210"/>
      <c r="P369" s="200"/>
      <c r="Q369" s="200"/>
      <c r="R369" s="200"/>
    </row>
    <row r="370" spans="1:40" x14ac:dyDescent="0.25">
      <c r="F370" s="252"/>
      <c r="H370" s="252"/>
      <c r="I370" s="252"/>
      <c r="J370" s="300"/>
      <c r="K370" s="300"/>
      <c r="L370" s="200"/>
      <c r="M370" s="200"/>
      <c r="N370" s="210"/>
      <c r="O370" s="210"/>
      <c r="P370" s="200"/>
      <c r="Q370" s="200"/>
      <c r="R370" s="200"/>
    </row>
    <row r="371" spans="1:40" x14ac:dyDescent="0.25">
      <c r="A371" s="154"/>
    </row>
    <row r="373" spans="1:40" x14ac:dyDescent="0.25">
      <c r="J373" s="202"/>
      <c r="K373" s="202"/>
      <c r="Z373" s="202"/>
    </row>
    <row r="374" spans="1:40" x14ac:dyDescent="0.25">
      <c r="H374" s="154"/>
      <c r="I374" s="154"/>
      <c r="Y374" s="154"/>
    </row>
    <row r="375" spans="1:40" x14ac:dyDescent="0.25">
      <c r="J375" s="202"/>
      <c r="K375" s="202"/>
      <c r="Z375" s="202"/>
    </row>
    <row r="376" spans="1:40" x14ac:dyDescent="0.25">
      <c r="L376" s="154"/>
      <c r="M376" s="154"/>
      <c r="AA376" s="154"/>
      <c r="AB376" s="154"/>
    </row>
    <row r="377" spans="1:40" x14ac:dyDescent="0.25">
      <c r="A377" s="202"/>
      <c r="R377" s="154"/>
      <c r="AK377" s="297"/>
      <c r="AL377" s="154"/>
    </row>
    <row r="378" spans="1:40" x14ac:dyDescent="0.25">
      <c r="A378" s="202"/>
      <c r="R378" s="154"/>
      <c r="AK378" s="297"/>
      <c r="AL378" s="154"/>
    </row>
    <row r="379" spans="1:40" x14ac:dyDescent="0.25">
      <c r="A379" s="154"/>
      <c r="R379" s="154"/>
      <c r="AK379" s="297"/>
      <c r="AL379" s="154"/>
    </row>
    <row r="380" spans="1:40" x14ac:dyDescent="0.25">
      <c r="L380" s="154"/>
      <c r="M380" s="154"/>
      <c r="R380" s="202"/>
      <c r="AA380" s="154"/>
      <c r="AB380" s="154"/>
      <c r="AK380" s="209"/>
      <c r="AL380" s="202"/>
    </row>
    <row r="381" spans="1:40" x14ac:dyDescent="0.25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208"/>
      <c r="AH381" s="102"/>
      <c r="AI381" s="102"/>
      <c r="AJ381" s="102"/>
      <c r="AK381" s="208"/>
      <c r="AL381" s="102"/>
      <c r="AM381" s="102"/>
      <c r="AN381" s="102"/>
    </row>
    <row r="382" spans="1:40" x14ac:dyDescent="0.25">
      <c r="L382" s="103"/>
      <c r="M382" s="103"/>
      <c r="N382" s="103"/>
      <c r="O382" s="103"/>
      <c r="R382" s="103"/>
      <c r="AA382" s="103"/>
      <c r="AB382" s="103"/>
      <c r="AC382" s="103"/>
      <c r="AD382" s="103"/>
      <c r="AE382" s="103"/>
      <c r="AF382" s="103"/>
      <c r="AG382" s="185"/>
      <c r="AH382" s="103"/>
      <c r="AK382" s="185"/>
      <c r="AL382" s="103"/>
      <c r="AM382" s="103"/>
      <c r="AN382" s="103"/>
    </row>
    <row r="383" spans="1:40" x14ac:dyDescent="0.25">
      <c r="L383" s="103"/>
      <c r="M383" s="103"/>
      <c r="N383" s="103"/>
      <c r="O383" s="103"/>
      <c r="R383" s="103"/>
      <c r="Z383" s="103"/>
      <c r="AA383" s="103"/>
      <c r="AB383" s="103"/>
      <c r="AC383" s="103"/>
      <c r="AD383" s="103"/>
      <c r="AE383" s="103"/>
      <c r="AF383" s="103"/>
      <c r="AG383" s="185"/>
      <c r="AH383" s="103"/>
      <c r="AK383" s="185"/>
      <c r="AL383" s="103"/>
      <c r="AM383" s="103"/>
      <c r="AN383" s="103"/>
    </row>
    <row r="384" spans="1:40" x14ac:dyDescent="0.25">
      <c r="A384" s="103"/>
      <c r="C384" s="103"/>
      <c r="D384" s="103"/>
      <c r="E384" s="103"/>
      <c r="F384" s="103"/>
      <c r="J384" s="103"/>
      <c r="K384" s="103"/>
      <c r="L384" s="103"/>
      <c r="M384" s="103"/>
      <c r="N384" s="103"/>
      <c r="O384" s="103"/>
      <c r="P384" s="103"/>
      <c r="Q384" s="103"/>
      <c r="R384" s="103"/>
      <c r="T384" s="103"/>
      <c r="U384" s="103"/>
      <c r="V384" s="103"/>
      <c r="Z384" s="103"/>
      <c r="AA384" s="103"/>
      <c r="AB384" s="103"/>
      <c r="AC384" s="103"/>
      <c r="AD384" s="103"/>
      <c r="AE384" s="103"/>
      <c r="AF384" s="103"/>
      <c r="AG384" s="185"/>
      <c r="AH384" s="103"/>
      <c r="AI384" s="103"/>
      <c r="AJ384" s="103"/>
      <c r="AK384" s="185"/>
      <c r="AL384" s="103"/>
      <c r="AM384" s="103"/>
      <c r="AN384" s="103"/>
    </row>
    <row r="385" spans="1:40" x14ac:dyDescent="0.25">
      <c r="A385" s="103"/>
      <c r="C385" s="103"/>
      <c r="D385" s="103"/>
      <c r="E385" s="103"/>
      <c r="F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T385" s="103"/>
      <c r="U385" s="103"/>
      <c r="V385" s="103"/>
      <c r="Y385" s="103"/>
      <c r="Z385" s="103"/>
      <c r="AA385" s="103"/>
      <c r="AB385" s="103"/>
      <c r="AC385" s="103"/>
      <c r="AD385" s="103"/>
      <c r="AE385" s="103"/>
      <c r="AF385" s="103"/>
      <c r="AG385" s="185"/>
      <c r="AH385" s="103"/>
      <c r="AI385" s="103"/>
      <c r="AJ385" s="103"/>
      <c r="AK385" s="185"/>
      <c r="AL385" s="103"/>
      <c r="AM385" s="103"/>
      <c r="AN385" s="103"/>
    </row>
    <row r="386" spans="1:40" x14ac:dyDescent="0.25">
      <c r="C386" s="103"/>
      <c r="D386" s="103"/>
      <c r="E386" s="103"/>
      <c r="F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T386" s="103"/>
      <c r="U386" s="103"/>
      <c r="V386" s="103"/>
      <c r="Y386" s="103"/>
      <c r="Z386" s="103"/>
      <c r="AA386" s="103"/>
      <c r="AB386" s="103"/>
      <c r="AC386" s="103"/>
      <c r="AD386" s="103"/>
      <c r="AE386" s="103"/>
      <c r="AF386" s="103"/>
      <c r="AG386" s="185"/>
      <c r="AH386" s="103"/>
      <c r="AI386" s="103"/>
      <c r="AJ386" s="103"/>
      <c r="AK386" s="185"/>
      <c r="AL386" s="103"/>
      <c r="AM386" s="103"/>
      <c r="AN386" s="103"/>
    </row>
    <row r="387" spans="1:40" x14ac:dyDescent="0.2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208"/>
      <c r="AH387" s="102"/>
      <c r="AI387" s="102"/>
      <c r="AJ387" s="102"/>
      <c r="AK387" s="208"/>
      <c r="AL387" s="102"/>
      <c r="AM387" s="102"/>
      <c r="AN387" s="102"/>
    </row>
    <row r="388" spans="1:40" x14ac:dyDescent="0.25"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Y388" s="103"/>
      <c r="Z388" s="103"/>
      <c r="AA388" s="103"/>
      <c r="AB388" s="103"/>
      <c r="AC388" s="103"/>
      <c r="AD388" s="103"/>
      <c r="AE388" s="103"/>
      <c r="AF388" s="103"/>
      <c r="AG388" s="185"/>
      <c r="AH388" s="103"/>
      <c r="AI388" s="103"/>
      <c r="AJ388" s="103"/>
      <c r="AK388" s="185"/>
      <c r="AL388" s="103"/>
      <c r="AM388" s="103"/>
      <c r="AN388" s="103"/>
    </row>
    <row r="389" spans="1:40" x14ac:dyDescent="0.25">
      <c r="A389" s="202"/>
      <c r="C389" s="154"/>
      <c r="D389" s="154"/>
      <c r="E389" s="154"/>
      <c r="T389" s="154"/>
      <c r="U389" s="154"/>
    </row>
    <row r="391" spans="1:40" x14ac:dyDescent="0.25">
      <c r="A391" s="202"/>
      <c r="C391" s="154"/>
      <c r="T391" s="154"/>
    </row>
    <row r="392" spans="1:40" x14ac:dyDescent="0.25">
      <c r="A392" s="202"/>
      <c r="C392" s="154"/>
      <c r="F392" s="252"/>
      <c r="H392" s="252"/>
      <c r="I392" s="252"/>
      <c r="J392" s="305"/>
      <c r="K392" s="305"/>
      <c r="L392" s="200"/>
      <c r="M392" s="200"/>
      <c r="N392" s="210"/>
      <c r="O392" s="210"/>
      <c r="P392" s="200"/>
      <c r="Q392" s="200"/>
      <c r="R392" s="200"/>
      <c r="T392" s="154"/>
      <c r="V392" s="252"/>
      <c r="Y392" s="252"/>
      <c r="Z392" s="305"/>
      <c r="AA392" s="200"/>
      <c r="AB392" s="200"/>
      <c r="AC392" s="210"/>
      <c r="AD392" s="210"/>
      <c r="AE392" s="200"/>
      <c r="AF392" s="200"/>
      <c r="AG392" s="209"/>
      <c r="AH392" s="201"/>
      <c r="AI392" s="200"/>
      <c r="AJ392" s="200"/>
      <c r="AK392" s="209"/>
      <c r="AL392" s="200"/>
      <c r="AM392" s="210"/>
      <c r="AN392" s="210"/>
    </row>
    <row r="393" spans="1:40" x14ac:dyDescent="0.25">
      <c r="A393" s="202"/>
      <c r="C393" s="154"/>
      <c r="T393" s="154"/>
    </row>
    <row r="394" spans="1:40" x14ac:dyDescent="0.25">
      <c r="A394" s="202"/>
      <c r="C394" s="154"/>
      <c r="F394" s="252"/>
      <c r="H394" s="252"/>
      <c r="I394" s="252"/>
      <c r="J394" s="329"/>
      <c r="K394" s="329"/>
      <c r="L394" s="200"/>
      <c r="M394" s="200"/>
      <c r="N394" s="210"/>
      <c r="O394" s="210"/>
      <c r="P394" s="200"/>
      <c r="Q394" s="200"/>
      <c r="R394" s="200"/>
      <c r="T394" s="154"/>
      <c r="V394" s="200"/>
      <c r="Y394" s="200"/>
      <c r="Z394" s="329"/>
      <c r="AA394" s="200"/>
      <c r="AB394" s="200"/>
      <c r="AC394" s="210"/>
      <c r="AD394" s="210"/>
      <c r="AE394" s="200"/>
      <c r="AF394" s="200"/>
      <c r="AG394" s="209"/>
      <c r="AH394" s="201"/>
      <c r="AI394" s="200"/>
      <c r="AJ394" s="200"/>
      <c r="AK394" s="209"/>
      <c r="AL394" s="200"/>
      <c r="AM394" s="210"/>
      <c r="AN394" s="210"/>
    </row>
    <row r="395" spans="1:40" x14ac:dyDescent="0.25">
      <c r="A395" s="202"/>
      <c r="C395" s="154"/>
      <c r="F395" s="252"/>
      <c r="H395" s="252"/>
      <c r="I395" s="252"/>
      <c r="J395" s="329"/>
      <c r="K395" s="329"/>
      <c r="L395" s="200"/>
      <c r="M395" s="200"/>
      <c r="N395" s="210"/>
      <c r="O395" s="210"/>
      <c r="P395" s="200"/>
      <c r="Q395" s="200"/>
      <c r="R395" s="200"/>
      <c r="T395" s="154"/>
      <c r="V395" s="200"/>
      <c r="Y395" s="200"/>
      <c r="Z395" s="329"/>
      <c r="AA395" s="200"/>
      <c r="AB395" s="200"/>
      <c r="AC395" s="210"/>
      <c r="AD395" s="210"/>
      <c r="AE395" s="200"/>
      <c r="AF395" s="200"/>
      <c r="AG395" s="209"/>
      <c r="AH395" s="201"/>
      <c r="AI395" s="200"/>
      <c r="AJ395" s="200"/>
      <c r="AK395" s="209"/>
      <c r="AL395" s="200"/>
      <c r="AM395" s="210"/>
      <c r="AN395" s="210"/>
    </row>
    <row r="396" spans="1:40" x14ac:dyDescent="0.25">
      <c r="A396" s="202"/>
      <c r="C396" s="154"/>
      <c r="F396" s="252"/>
      <c r="H396" s="252"/>
      <c r="I396" s="252"/>
      <c r="J396" s="329"/>
      <c r="K396" s="329"/>
      <c r="L396" s="200"/>
      <c r="M396" s="200"/>
      <c r="N396" s="210"/>
      <c r="O396" s="210"/>
      <c r="P396" s="200"/>
      <c r="Q396" s="200"/>
      <c r="R396" s="200"/>
      <c r="T396" s="154"/>
      <c r="V396" s="200"/>
      <c r="Y396" s="200"/>
      <c r="Z396" s="329"/>
      <c r="AA396" s="200"/>
      <c r="AB396" s="200"/>
      <c r="AC396" s="210"/>
      <c r="AD396" s="210"/>
      <c r="AE396" s="200"/>
      <c r="AF396" s="200"/>
      <c r="AG396" s="209"/>
      <c r="AH396" s="201"/>
      <c r="AI396" s="200"/>
      <c r="AJ396" s="200"/>
      <c r="AK396" s="209"/>
      <c r="AL396" s="200"/>
      <c r="AM396" s="210"/>
      <c r="AN396" s="210"/>
    </row>
    <row r="397" spans="1:40" x14ac:dyDescent="0.25">
      <c r="A397" s="202"/>
      <c r="C397" s="154"/>
      <c r="F397" s="252"/>
      <c r="H397" s="252"/>
      <c r="I397" s="252"/>
      <c r="J397" s="329"/>
      <c r="K397" s="329"/>
      <c r="L397" s="200"/>
      <c r="M397" s="200"/>
      <c r="N397" s="210"/>
      <c r="O397" s="210"/>
      <c r="P397" s="200"/>
      <c r="Q397" s="200"/>
      <c r="R397" s="200"/>
      <c r="T397" s="154"/>
      <c r="V397" s="200"/>
      <c r="Y397" s="200"/>
      <c r="Z397" s="329"/>
      <c r="AA397" s="200"/>
      <c r="AB397" s="200"/>
      <c r="AC397" s="210"/>
      <c r="AD397" s="210"/>
      <c r="AE397" s="200"/>
      <c r="AF397" s="200"/>
      <c r="AG397" s="209"/>
      <c r="AH397" s="201"/>
      <c r="AI397" s="200"/>
      <c r="AJ397" s="200"/>
      <c r="AK397" s="209"/>
      <c r="AL397" s="200"/>
      <c r="AM397" s="210"/>
      <c r="AN397" s="210"/>
    </row>
    <row r="398" spans="1:40" x14ac:dyDescent="0.25">
      <c r="A398" s="202"/>
      <c r="C398" s="154"/>
      <c r="J398" s="334"/>
      <c r="K398" s="334"/>
      <c r="T398" s="154"/>
      <c r="Z398" s="334"/>
    </row>
    <row r="399" spans="1:40" x14ac:dyDescent="0.25">
      <c r="A399" s="202"/>
      <c r="C399" s="154"/>
      <c r="F399" s="252"/>
      <c r="H399" s="252"/>
      <c r="I399" s="252"/>
      <c r="J399" s="329"/>
      <c r="K399" s="329"/>
      <c r="L399" s="200"/>
      <c r="M399" s="200"/>
      <c r="N399" s="210"/>
      <c r="O399" s="210"/>
      <c r="P399" s="200"/>
      <c r="Q399" s="200"/>
      <c r="R399" s="200"/>
      <c r="T399" s="154"/>
      <c r="V399" s="200"/>
      <c r="Y399" s="200"/>
      <c r="Z399" s="329"/>
      <c r="AA399" s="200"/>
      <c r="AB399" s="200"/>
      <c r="AC399" s="210"/>
      <c r="AD399" s="210"/>
      <c r="AE399" s="200"/>
      <c r="AF399" s="200"/>
      <c r="AG399" s="209"/>
      <c r="AH399" s="201"/>
      <c r="AI399" s="200"/>
      <c r="AJ399" s="200"/>
      <c r="AK399" s="209"/>
      <c r="AL399" s="200"/>
      <c r="AM399" s="210"/>
      <c r="AN399" s="210"/>
    </row>
    <row r="400" spans="1:40" x14ac:dyDescent="0.25">
      <c r="A400" s="202"/>
      <c r="C400" s="154"/>
      <c r="F400" s="252"/>
      <c r="H400" s="252"/>
      <c r="I400" s="252"/>
      <c r="J400" s="329"/>
      <c r="K400" s="329"/>
      <c r="L400" s="200"/>
      <c r="M400" s="200"/>
      <c r="N400" s="210"/>
      <c r="O400" s="210"/>
      <c r="P400" s="200"/>
      <c r="Q400" s="200"/>
      <c r="R400" s="200"/>
      <c r="T400" s="154"/>
      <c r="V400" s="200"/>
      <c r="Y400" s="200"/>
      <c r="Z400" s="329"/>
      <c r="AA400" s="200"/>
      <c r="AB400" s="200"/>
      <c r="AC400" s="210"/>
      <c r="AD400" s="210"/>
      <c r="AE400" s="200"/>
      <c r="AF400" s="200"/>
      <c r="AG400" s="209"/>
      <c r="AH400" s="201"/>
      <c r="AI400" s="200"/>
      <c r="AJ400" s="200"/>
      <c r="AK400" s="209"/>
      <c r="AL400" s="200"/>
      <c r="AM400" s="210"/>
      <c r="AN400" s="210"/>
    </row>
    <row r="401" spans="1:40" x14ac:dyDescent="0.25">
      <c r="A401" s="202"/>
      <c r="C401" s="154"/>
      <c r="F401" s="252"/>
      <c r="H401" s="252"/>
      <c r="I401" s="252"/>
      <c r="J401" s="329"/>
      <c r="K401" s="329"/>
      <c r="L401" s="200"/>
      <c r="M401" s="200"/>
      <c r="N401" s="210"/>
      <c r="O401" s="210"/>
      <c r="P401" s="200"/>
      <c r="Q401" s="200"/>
      <c r="R401" s="200"/>
      <c r="T401" s="154"/>
      <c r="V401" s="200"/>
      <c r="Y401" s="200"/>
      <c r="Z401" s="329"/>
      <c r="AA401" s="200"/>
      <c r="AB401" s="200"/>
      <c r="AC401" s="210"/>
      <c r="AD401" s="210"/>
      <c r="AE401" s="200"/>
      <c r="AF401" s="200"/>
      <c r="AG401" s="209"/>
      <c r="AH401" s="201"/>
      <c r="AI401" s="200"/>
      <c r="AJ401" s="200"/>
      <c r="AK401" s="209"/>
      <c r="AL401" s="200"/>
      <c r="AM401" s="210"/>
      <c r="AN401" s="210"/>
    </row>
    <row r="402" spans="1:40" x14ac:dyDescent="0.25">
      <c r="A402" s="202"/>
      <c r="C402" s="154"/>
      <c r="J402" s="334"/>
      <c r="K402" s="334"/>
      <c r="T402" s="154"/>
      <c r="Z402" s="334"/>
    </row>
    <row r="403" spans="1:40" x14ac:dyDescent="0.25">
      <c r="A403" s="202"/>
      <c r="C403" s="154"/>
      <c r="F403" s="252"/>
      <c r="H403" s="252"/>
      <c r="I403" s="252"/>
      <c r="J403" s="329"/>
      <c r="K403" s="329"/>
      <c r="L403" s="200"/>
      <c r="M403" s="200"/>
      <c r="N403" s="210"/>
      <c r="O403" s="210"/>
      <c r="P403" s="200"/>
      <c r="Q403" s="200"/>
      <c r="R403" s="200"/>
      <c r="T403" s="154"/>
      <c r="V403" s="200"/>
      <c r="Y403" s="200"/>
      <c r="Z403" s="329"/>
      <c r="AA403" s="200"/>
      <c r="AB403" s="200"/>
      <c r="AC403" s="210"/>
      <c r="AD403" s="210"/>
      <c r="AE403" s="200"/>
      <c r="AF403" s="200"/>
      <c r="AG403" s="209"/>
      <c r="AH403" s="201"/>
      <c r="AI403" s="200"/>
      <c r="AJ403" s="200"/>
      <c r="AK403" s="209"/>
      <c r="AL403" s="200"/>
      <c r="AM403" s="210"/>
      <c r="AN403" s="210"/>
    </row>
    <row r="404" spans="1:40" x14ac:dyDescent="0.25">
      <c r="A404" s="202"/>
      <c r="C404" s="154"/>
      <c r="F404" s="252"/>
      <c r="H404" s="252"/>
      <c r="I404" s="252"/>
      <c r="J404" s="329"/>
      <c r="K404" s="329"/>
      <c r="L404" s="200"/>
      <c r="M404" s="200"/>
      <c r="N404" s="210"/>
      <c r="O404" s="210"/>
      <c r="P404" s="200"/>
      <c r="Q404" s="200"/>
      <c r="R404" s="200"/>
      <c r="T404" s="154"/>
      <c r="V404" s="200"/>
      <c r="Y404" s="200"/>
      <c r="Z404" s="329"/>
      <c r="AA404" s="200"/>
      <c r="AB404" s="200"/>
      <c r="AC404" s="210"/>
      <c r="AD404" s="210"/>
      <c r="AE404" s="200"/>
      <c r="AF404" s="200"/>
      <c r="AG404" s="209"/>
      <c r="AH404" s="201"/>
      <c r="AI404" s="200"/>
      <c r="AJ404" s="200"/>
      <c r="AK404" s="209"/>
      <c r="AL404" s="200"/>
      <c r="AM404" s="210"/>
      <c r="AN404" s="210"/>
    </row>
    <row r="405" spans="1:40" x14ac:dyDescent="0.25">
      <c r="A405" s="202"/>
      <c r="C405" s="154"/>
      <c r="J405" s="334"/>
      <c r="K405" s="334"/>
      <c r="T405" s="154"/>
      <c r="Z405" s="334"/>
    </row>
    <row r="406" spans="1:40" x14ac:dyDescent="0.25">
      <c r="A406" s="202"/>
      <c r="C406" s="154"/>
      <c r="F406" s="252"/>
      <c r="H406" s="252"/>
      <c r="I406" s="252"/>
      <c r="J406" s="329"/>
      <c r="K406" s="329"/>
      <c r="L406" s="200"/>
      <c r="M406" s="200"/>
      <c r="N406" s="210"/>
      <c r="O406" s="210"/>
      <c r="P406" s="200"/>
      <c r="Q406" s="200"/>
      <c r="R406" s="200"/>
      <c r="T406" s="154"/>
      <c r="V406" s="200"/>
      <c r="Y406" s="200"/>
      <c r="Z406" s="329"/>
      <c r="AA406" s="200"/>
      <c r="AB406" s="200"/>
      <c r="AC406" s="210"/>
      <c r="AD406" s="210"/>
      <c r="AE406" s="200"/>
      <c r="AF406" s="200"/>
      <c r="AG406" s="209"/>
      <c r="AH406" s="201"/>
      <c r="AI406" s="200"/>
      <c r="AJ406" s="200"/>
      <c r="AK406" s="209"/>
      <c r="AL406" s="200"/>
      <c r="AM406" s="210"/>
      <c r="AN406" s="210"/>
    </row>
    <row r="407" spans="1:40" x14ac:dyDescent="0.25">
      <c r="A407" s="202"/>
      <c r="C407" s="154"/>
      <c r="F407" s="252"/>
      <c r="H407" s="252"/>
      <c r="I407" s="252"/>
      <c r="J407" s="329"/>
      <c r="K407" s="329"/>
      <c r="L407" s="200"/>
      <c r="M407" s="200"/>
      <c r="N407" s="210"/>
      <c r="O407" s="210"/>
      <c r="P407" s="200"/>
      <c r="Q407" s="200"/>
      <c r="R407" s="200"/>
      <c r="T407" s="154"/>
      <c r="V407" s="200"/>
      <c r="Y407" s="200"/>
      <c r="Z407" s="329"/>
      <c r="AA407" s="200"/>
      <c r="AB407" s="200"/>
      <c r="AC407" s="210"/>
      <c r="AD407" s="210"/>
      <c r="AE407" s="200"/>
      <c r="AF407" s="200"/>
      <c r="AG407" s="209"/>
      <c r="AH407" s="201"/>
      <c r="AI407" s="200"/>
      <c r="AJ407" s="200"/>
      <c r="AK407" s="209"/>
      <c r="AL407" s="200"/>
      <c r="AM407" s="210"/>
      <c r="AN407" s="210"/>
    </row>
    <row r="408" spans="1:40" x14ac:dyDescent="0.25">
      <c r="A408" s="202"/>
      <c r="C408" s="154"/>
      <c r="F408" s="252"/>
      <c r="H408" s="252"/>
      <c r="I408" s="252"/>
      <c r="J408" s="329"/>
      <c r="K408" s="329"/>
      <c r="L408" s="200"/>
      <c r="M408" s="200"/>
      <c r="N408" s="210"/>
      <c r="O408" s="210"/>
      <c r="P408" s="200"/>
      <c r="Q408" s="200"/>
      <c r="R408" s="200"/>
      <c r="T408" s="154"/>
      <c r="V408" s="200"/>
      <c r="Y408" s="200"/>
      <c r="Z408" s="329"/>
      <c r="AA408" s="200"/>
      <c r="AB408" s="200"/>
      <c r="AC408" s="210"/>
      <c r="AD408" s="210"/>
      <c r="AE408" s="200"/>
      <c r="AF408" s="200"/>
      <c r="AG408" s="209"/>
      <c r="AH408" s="201"/>
      <c r="AI408" s="200"/>
      <c r="AJ408" s="200"/>
      <c r="AK408" s="209"/>
      <c r="AL408" s="200"/>
      <c r="AM408" s="210"/>
      <c r="AN408" s="210"/>
    </row>
    <row r="409" spans="1:40" x14ac:dyDescent="0.25">
      <c r="F409" s="211"/>
      <c r="H409" s="211"/>
      <c r="I409" s="211"/>
      <c r="J409" s="329"/>
      <c r="K409" s="329"/>
      <c r="L409" s="211"/>
      <c r="M409" s="211"/>
      <c r="N409" s="211"/>
      <c r="O409" s="211"/>
      <c r="P409" s="211"/>
      <c r="Q409" s="211"/>
      <c r="R409" s="211"/>
      <c r="V409" s="211"/>
      <c r="Y409" s="211"/>
      <c r="Z409" s="329"/>
      <c r="AA409" s="211"/>
      <c r="AB409" s="211"/>
      <c r="AC409" s="211"/>
      <c r="AD409" s="211"/>
      <c r="AE409" s="211"/>
      <c r="AF409" s="211"/>
      <c r="AI409" s="211"/>
      <c r="AJ409" s="211"/>
      <c r="AK409" s="212"/>
      <c r="AL409" s="211"/>
    </row>
    <row r="410" spans="1:40" x14ac:dyDescent="0.25">
      <c r="A410" s="202"/>
      <c r="C410" s="103"/>
      <c r="F410" s="200"/>
      <c r="H410" s="200"/>
      <c r="I410" s="200"/>
      <c r="J410" s="334"/>
      <c r="K410" s="334"/>
      <c r="L410" s="200"/>
      <c r="M410" s="200"/>
      <c r="N410" s="201"/>
      <c r="O410" s="201"/>
      <c r="P410" s="200"/>
      <c r="Q410" s="200"/>
      <c r="R410" s="200"/>
      <c r="T410" s="103"/>
      <c r="V410" s="200"/>
      <c r="Y410" s="200"/>
      <c r="Z410" s="334"/>
      <c r="AA410" s="200"/>
      <c r="AB410" s="200"/>
      <c r="AC410" s="200"/>
      <c r="AD410" s="200"/>
      <c r="AE410" s="200"/>
      <c r="AF410" s="200"/>
      <c r="AG410" s="209"/>
      <c r="AH410" s="201"/>
      <c r="AI410" s="200"/>
      <c r="AJ410" s="200"/>
      <c r="AK410" s="209"/>
      <c r="AL410" s="200"/>
      <c r="AM410" s="210"/>
      <c r="AN410" s="210"/>
    </row>
    <row r="411" spans="1:40" x14ac:dyDescent="0.25">
      <c r="F411" s="211"/>
      <c r="H411" s="211"/>
      <c r="I411" s="211"/>
      <c r="J411" s="329"/>
      <c r="K411" s="329"/>
      <c r="L411" s="211"/>
      <c r="M411" s="211"/>
      <c r="N411" s="211"/>
      <c r="O411" s="211"/>
      <c r="P411" s="211"/>
      <c r="Q411" s="211"/>
      <c r="R411" s="211"/>
      <c r="V411" s="211"/>
      <c r="Y411" s="211"/>
      <c r="Z411" s="329"/>
      <c r="AA411" s="211"/>
      <c r="AB411" s="211"/>
      <c r="AC411" s="211"/>
      <c r="AD411" s="211"/>
      <c r="AE411" s="211"/>
      <c r="AF411" s="211"/>
      <c r="AI411" s="211"/>
      <c r="AJ411" s="211"/>
      <c r="AK411" s="212"/>
      <c r="AL411" s="211"/>
    </row>
    <row r="412" spans="1:40" x14ac:dyDescent="0.25">
      <c r="A412" s="202"/>
      <c r="C412" s="154"/>
      <c r="J412" s="334"/>
      <c r="K412" s="334"/>
      <c r="T412" s="154"/>
      <c r="Z412" s="334"/>
    </row>
    <row r="413" spans="1:40" x14ac:dyDescent="0.25">
      <c r="A413" s="202"/>
      <c r="C413" s="154"/>
      <c r="J413" s="334"/>
      <c r="K413" s="334"/>
      <c r="T413" s="154"/>
      <c r="Z413" s="334"/>
    </row>
    <row r="414" spans="1:40" x14ac:dyDescent="0.25">
      <c r="A414" s="202"/>
      <c r="C414" s="154"/>
      <c r="F414" s="252"/>
      <c r="H414" s="252"/>
      <c r="I414" s="252"/>
      <c r="J414" s="329"/>
      <c r="K414" s="329"/>
      <c r="L414" s="200"/>
      <c r="M414" s="200"/>
      <c r="N414" s="210"/>
      <c r="O414" s="210"/>
      <c r="P414" s="200"/>
      <c r="Q414" s="200"/>
      <c r="R414" s="200"/>
      <c r="T414" s="154"/>
      <c r="V414" s="200"/>
      <c r="Y414" s="200"/>
      <c r="Z414" s="329"/>
      <c r="AA414" s="200"/>
      <c r="AB414" s="200"/>
      <c r="AC414" s="210"/>
      <c r="AD414" s="210"/>
      <c r="AE414" s="200"/>
      <c r="AF414" s="200"/>
      <c r="AG414" s="209"/>
      <c r="AH414" s="201"/>
      <c r="AI414" s="200"/>
      <c r="AJ414" s="200"/>
      <c r="AK414" s="209"/>
      <c r="AL414" s="200"/>
      <c r="AM414" s="210"/>
      <c r="AN414" s="210"/>
    </row>
    <row r="415" spans="1:40" x14ac:dyDescent="0.25">
      <c r="A415" s="202"/>
      <c r="C415" s="154"/>
      <c r="F415" s="252"/>
      <c r="H415" s="252"/>
      <c r="I415" s="252"/>
      <c r="J415" s="329"/>
      <c r="K415" s="329"/>
      <c r="L415" s="200"/>
      <c r="M415" s="200"/>
      <c r="N415" s="210"/>
      <c r="O415" s="210"/>
      <c r="P415" s="200"/>
      <c r="Q415" s="200"/>
      <c r="R415" s="200"/>
      <c r="T415" s="154"/>
      <c r="V415" s="200"/>
      <c r="Y415" s="200"/>
      <c r="Z415" s="329"/>
      <c r="AA415" s="200"/>
      <c r="AB415" s="200"/>
      <c r="AC415" s="210"/>
      <c r="AD415" s="210"/>
      <c r="AE415" s="200"/>
      <c r="AF415" s="200"/>
      <c r="AG415" s="209"/>
      <c r="AH415" s="201"/>
      <c r="AI415" s="200"/>
      <c r="AJ415" s="200"/>
      <c r="AK415" s="209"/>
      <c r="AL415" s="200"/>
      <c r="AM415" s="210"/>
      <c r="AN415" s="210"/>
    </row>
    <row r="416" spans="1:40" x14ac:dyDescent="0.25">
      <c r="A416" s="202"/>
      <c r="C416" s="154"/>
      <c r="F416" s="252"/>
      <c r="H416" s="252"/>
      <c r="I416" s="252"/>
      <c r="J416" s="329"/>
      <c r="K416" s="329"/>
      <c r="L416" s="200"/>
      <c r="M416" s="200"/>
      <c r="N416" s="210"/>
      <c r="O416" s="210"/>
      <c r="P416" s="200"/>
      <c r="Q416" s="200"/>
      <c r="R416" s="200"/>
      <c r="T416" s="154"/>
      <c r="V416" s="200"/>
      <c r="Y416" s="200"/>
      <c r="Z416" s="329"/>
      <c r="AA416" s="200"/>
      <c r="AB416" s="200"/>
      <c r="AC416" s="210"/>
      <c r="AD416" s="210"/>
      <c r="AE416" s="200"/>
      <c r="AF416" s="200"/>
      <c r="AG416" s="209"/>
      <c r="AH416" s="201"/>
      <c r="AI416" s="200"/>
      <c r="AJ416" s="200"/>
      <c r="AK416" s="209"/>
      <c r="AL416" s="200"/>
      <c r="AM416" s="210"/>
      <c r="AN416" s="210"/>
    </row>
    <row r="417" spans="1:40" x14ac:dyDescent="0.25">
      <c r="A417" s="202"/>
      <c r="C417" s="154"/>
      <c r="F417" s="252"/>
      <c r="H417" s="252"/>
      <c r="I417" s="252"/>
      <c r="J417" s="329"/>
      <c r="K417" s="329"/>
      <c r="L417" s="200"/>
      <c r="M417" s="200"/>
      <c r="N417" s="210"/>
      <c r="O417" s="210"/>
      <c r="P417" s="200"/>
      <c r="Q417" s="200"/>
      <c r="R417" s="200"/>
      <c r="T417" s="154"/>
      <c r="V417" s="200"/>
      <c r="Y417" s="200"/>
      <c r="Z417" s="329"/>
      <c r="AA417" s="200"/>
      <c r="AB417" s="200"/>
      <c r="AC417" s="210"/>
      <c r="AD417" s="210"/>
      <c r="AE417" s="200"/>
      <c r="AF417" s="200"/>
      <c r="AG417" s="209"/>
      <c r="AH417" s="201"/>
      <c r="AI417" s="200"/>
      <c r="AJ417" s="200"/>
      <c r="AK417" s="209"/>
      <c r="AL417" s="200"/>
      <c r="AM417" s="210"/>
      <c r="AN417" s="210"/>
    </row>
    <row r="418" spans="1:40" x14ac:dyDescent="0.25">
      <c r="A418" s="202"/>
      <c r="C418" s="154"/>
      <c r="F418" s="252"/>
      <c r="H418" s="252"/>
      <c r="I418" s="252"/>
      <c r="J418" s="329"/>
      <c r="K418" s="329"/>
      <c r="L418" s="200"/>
      <c r="M418" s="200"/>
      <c r="N418" s="210"/>
      <c r="O418" s="210"/>
      <c r="P418" s="200"/>
      <c r="Q418" s="200"/>
      <c r="R418" s="200"/>
      <c r="T418" s="154"/>
      <c r="V418" s="200"/>
      <c r="Y418" s="200"/>
      <c r="Z418" s="329"/>
      <c r="AA418" s="200"/>
      <c r="AB418" s="200"/>
      <c r="AC418" s="210"/>
      <c r="AD418" s="210"/>
      <c r="AE418" s="200"/>
      <c r="AF418" s="200"/>
      <c r="AG418" s="209"/>
      <c r="AH418" s="201"/>
      <c r="AI418" s="200"/>
      <c r="AJ418" s="200"/>
      <c r="AK418" s="209"/>
      <c r="AL418" s="200"/>
      <c r="AM418" s="210"/>
      <c r="AN418" s="210"/>
    </row>
    <row r="419" spans="1:40" x14ac:dyDescent="0.25">
      <c r="A419" s="202"/>
      <c r="C419" s="154"/>
      <c r="F419" s="252"/>
      <c r="H419" s="252"/>
      <c r="I419" s="252"/>
      <c r="J419" s="329"/>
      <c r="K419" s="329"/>
      <c r="L419" s="200"/>
      <c r="M419" s="200"/>
      <c r="N419" s="210"/>
      <c r="O419" s="210"/>
      <c r="P419" s="200"/>
      <c r="Q419" s="200"/>
      <c r="R419" s="200"/>
      <c r="T419" s="154"/>
      <c r="V419" s="200"/>
      <c r="Y419" s="200"/>
      <c r="Z419" s="329"/>
      <c r="AA419" s="200"/>
      <c r="AB419" s="200"/>
      <c r="AC419" s="210"/>
      <c r="AD419" s="210"/>
      <c r="AE419" s="200"/>
      <c r="AF419" s="200"/>
      <c r="AG419" s="209"/>
      <c r="AH419" s="201"/>
      <c r="AI419" s="200"/>
      <c r="AJ419" s="200"/>
      <c r="AK419" s="209"/>
      <c r="AL419" s="200"/>
      <c r="AM419" s="210"/>
      <c r="AN419" s="210"/>
    </row>
    <row r="420" spans="1:40" x14ac:dyDescent="0.25">
      <c r="A420" s="202"/>
      <c r="C420" s="154"/>
      <c r="F420" s="252"/>
      <c r="H420" s="252"/>
      <c r="I420" s="252"/>
      <c r="J420" s="329"/>
      <c r="K420" s="329"/>
      <c r="L420" s="200"/>
      <c r="M420" s="200"/>
      <c r="N420" s="210"/>
      <c r="O420" s="210"/>
      <c r="P420" s="200"/>
      <c r="Q420" s="200"/>
      <c r="R420" s="200"/>
      <c r="T420" s="154"/>
      <c r="V420" s="200"/>
      <c r="Y420" s="200"/>
      <c r="Z420" s="329"/>
      <c r="AA420" s="200"/>
      <c r="AB420" s="200"/>
      <c r="AC420" s="210"/>
      <c r="AD420" s="210"/>
      <c r="AE420" s="200"/>
      <c r="AF420" s="200"/>
      <c r="AG420" s="209"/>
      <c r="AH420" s="201"/>
      <c r="AI420" s="200"/>
      <c r="AJ420" s="200"/>
      <c r="AK420" s="209"/>
      <c r="AL420" s="200"/>
      <c r="AM420" s="210"/>
      <c r="AN420" s="210"/>
    </row>
    <row r="421" spans="1:40" x14ac:dyDescent="0.25">
      <c r="A421" s="202"/>
      <c r="C421" s="154"/>
      <c r="J421" s="334"/>
      <c r="K421" s="334"/>
      <c r="T421" s="154"/>
      <c r="Z421" s="334"/>
    </row>
    <row r="422" spans="1:40" x14ac:dyDescent="0.25">
      <c r="A422" s="202"/>
      <c r="C422" s="154"/>
      <c r="F422" s="252"/>
      <c r="H422" s="252"/>
      <c r="I422" s="252"/>
      <c r="J422" s="329"/>
      <c r="K422" s="329"/>
      <c r="L422" s="200"/>
      <c r="M422" s="200"/>
      <c r="N422" s="210"/>
      <c r="O422" s="210"/>
      <c r="P422" s="200"/>
      <c r="Q422" s="200"/>
      <c r="R422" s="200"/>
      <c r="T422" s="154"/>
      <c r="V422" s="200"/>
      <c r="Y422" s="200"/>
      <c r="Z422" s="329"/>
      <c r="AA422" s="200"/>
      <c r="AB422" s="200"/>
      <c r="AC422" s="210"/>
      <c r="AD422" s="210"/>
      <c r="AE422" s="200"/>
      <c r="AF422" s="200"/>
      <c r="AG422" s="209"/>
      <c r="AH422" s="201"/>
      <c r="AI422" s="200"/>
      <c r="AJ422" s="200"/>
      <c r="AK422" s="209"/>
      <c r="AL422" s="200"/>
      <c r="AM422" s="210"/>
      <c r="AN422" s="210"/>
    </row>
    <row r="423" spans="1:40" x14ac:dyDescent="0.25">
      <c r="A423" s="202"/>
      <c r="C423" s="154"/>
      <c r="F423" s="252"/>
      <c r="H423" s="252"/>
      <c r="I423" s="252"/>
      <c r="J423" s="329"/>
      <c r="K423" s="329"/>
      <c r="L423" s="200"/>
      <c r="M423" s="200"/>
      <c r="N423" s="210"/>
      <c r="O423" s="210"/>
      <c r="P423" s="200"/>
      <c r="Q423" s="200"/>
      <c r="R423" s="200"/>
      <c r="T423" s="154"/>
      <c r="V423" s="200"/>
      <c r="Y423" s="200"/>
      <c r="Z423" s="329"/>
      <c r="AA423" s="200"/>
      <c r="AB423" s="200"/>
      <c r="AC423" s="210"/>
      <c r="AD423" s="210"/>
      <c r="AE423" s="200"/>
      <c r="AF423" s="200"/>
      <c r="AG423" s="209"/>
      <c r="AH423" s="201"/>
      <c r="AI423" s="200"/>
      <c r="AJ423" s="200"/>
      <c r="AK423" s="209"/>
      <c r="AL423" s="200"/>
      <c r="AM423" s="210"/>
      <c r="AN423" s="210"/>
    </row>
    <row r="424" spans="1:40" x14ac:dyDescent="0.25">
      <c r="A424" s="202"/>
      <c r="C424" s="154"/>
      <c r="F424" s="252"/>
      <c r="H424" s="252"/>
      <c r="I424" s="252"/>
      <c r="J424" s="329"/>
      <c r="K424" s="329"/>
      <c r="L424" s="200"/>
      <c r="M424" s="200"/>
      <c r="N424" s="210"/>
      <c r="O424" s="210"/>
      <c r="P424" s="200"/>
      <c r="Q424" s="200"/>
      <c r="R424" s="200"/>
      <c r="T424" s="154"/>
      <c r="V424" s="200"/>
      <c r="Y424" s="200"/>
      <c r="Z424" s="329"/>
      <c r="AA424" s="200"/>
      <c r="AB424" s="200"/>
      <c r="AC424" s="210"/>
      <c r="AD424" s="210"/>
      <c r="AE424" s="200"/>
      <c r="AF424" s="200"/>
      <c r="AG424" s="209"/>
      <c r="AH424" s="201"/>
      <c r="AI424" s="200"/>
      <c r="AJ424" s="200"/>
      <c r="AK424" s="209"/>
      <c r="AL424" s="200"/>
      <c r="AM424" s="210"/>
      <c r="AN424" s="210"/>
    </row>
    <row r="425" spans="1:40" x14ac:dyDescent="0.25">
      <c r="A425" s="202"/>
      <c r="C425" s="154"/>
      <c r="F425" s="252"/>
      <c r="H425" s="252"/>
      <c r="I425" s="252"/>
      <c r="J425" s="329"/>
      <c r="K425" s="329"/>
      <c r="L425" s="200"/>
      <c r="M425" s="200"/>
      <c r="N425" s="210"/>
      <c r="O425" s="210"/>
      <c r="P425" s="200"/>
      <c r="Q425" s="200"/>
      <c r="R425" s="200"/>
      <c r="T425" s="154"/>
      <c r="V425" s="200"/>
      <c r="Y425" s="200"/>
      <c r="Z425" s="329"/>
      <c r="AA425" s="200"/>
      <c r="AB425" s="200"/>
      <c r="AC425" s="210"/>
      <c r="AD425" s="210"/>
      <c r="AE425" s="200"/>
      <c r="AF425" s="200"/>
      <c r="AG425" s="209"/>
      <c r="AH425" s="201"/>
      <c r="AI425" s="200"/>
      <c r="AJ425" s="200"/>
      <c r="AK425" s="209"/>
      <c r="AL425" s="200"/>
      <c r="AM425" s="210"/>
      <c r="AN425" s="210"/>
    </row>
    <row r="426" spans="1:40" x14ac:dyDescent="0.25">
      <c r="A426" s="202"/>
      <c r="C426" s="154"/>
      <c r="J426" s="334"/>
      <c r="K426" s="334"/>
      <c r="T426" s="154"/>
      <c r="Z426" s="334"/>
    </row>
    <row r="427" spans="1:40" x14ac:dyDescent="0.25">
      <c r="A427" s="202"/>
      <c r="C427" s="154"/>
      <c r="F427" s="252"/>
      <c r="H427" s="252"/>
      <c r="I427" s="252"/>
      <c r="J427" s="329"/>
      <c r="K427" s="329"/>
      <c r="L427" s="200"/>
      <c r="M427" s="200"/>
      <c r="N427" s="210"/>
      <c r="O427" s="210"/>
      <c r="P427" s="200"/>
      <c r="Q427" s="200"/>
      <c r="R427" s="200"/>
      <c r="T427" s="154"/>
      <c r="V427" s="200"/>
      <c r="Y427" s="200"/>
      <c r="Z427" s="329"/>
      <c r="AA427" s="200"/>
      <c r="AB427" s="200"/>
      <c r="AC427" s="210"/>
      <c r="AD427" s="210"/>
      <c r="AE427" s="200"/>
      <c r="AF427" s="200"/>
      <c r="AG427" s="209"/>
      <c r="AH427" s="201"/>
      <c r="AI427" s="200"/>
      <c r="AJ427" s="200"/>
      <c r="AK427" s="209"/>
      <c r="AL427" s="200"/>
      <c r="AM427" s="210"/>
      <c r="AN427" s="210"/>
    </row>
    <row r="428" spans="1:40" x14ac:dyDescent="0.25">
      <c r="A428" s="202"/>
      <c r="C428" s="154"/>
      <c r="F428" s="252"/>
      <c r="H428" s="252"/>
      <c r="I428" s="252"/>
      <c r="J428" s="329"/>
      <c r="K428" s="329"/>
      <c r="L428" s="200"/>
      <c r="M428" s="200"/>
      <c r="N428" s="210"/>
      <c r="O428" s="210"/>
      <c r="P428" s="200"/>
      <c r="Q428" s="200"/>
      <c r="R428" s="200"/>
      <c r="T428" s="154"/>
      <c r="V428" s="200"/>
      <c r="Y428" s="200"/>
      <c r="Z428" s="329"/>
      <c r="AA428" s="200"/>
      <c r="AB428" s="200"/>
      <c r="AC428" s="210"/>
      <c r="AD428" s="210"/>
      <c r="AE428" s="200"/>
      <c r="AF428" s="200"/>
      <c r="AG428" s="209"/>
      <c r="AH428" s="201"/>
      <c r="AI428" s="200"/>
      <c r="AJ428" s="200"/>
      <c r="AK428" s="209"/>
      <c r="AL428" s="200"/>
      <c r="AM428" s="210"/>
      <c r="AN428" s="210"/>
    </row>
    <row r="429" spans="1:40" x14ac:dyDescent="0.25">
      <c r="A429" s="202"/>
      <c r="C429" s="154"/>
      <c r="F429" s="252"/>
      <c r="H429" s="252"/>
      <c r="I429" s="252"/>
      <c r="J429" s="329"/>
      <c r="K429" s="329"/>
      <c r="L429" s="200"/>
      <c r="M429" s="200"/>
      <c r="N429" s="210"/>
      <c r="O429" s="210"/>
      <c r="P429" s="200"/>
      <c r="Q429" s="200"/>
      <c r="R429" s="200"/>
      <c r="T429" s="154"/>
      <c r="V429" s="200"/>
      <c r="Y429" s="200"/>
      <c r="Z429" s="329"/>
      <c r="AA429" s="200"/>
      <c r="AB429" s="200"/>
      <c r="AC429" s="210"/>
      <c r="AD429" s="210"/>
      <c r="AE429" s="200"/>
      <c r="AF429" s="200"/>
      <c r="AG429" s="209"/>
      <c r="AH429" s="201"/>
      <c r="AI429" s="200"/>
      <c r="AJ429" s="200"/>
      <c r="AK429" s="209"/>
      <c r="AL429" s="200"/>
      <c r="AM429" s="210"/>
      <c r="AN429" s="210"/>
    </row>
    <row r="430" spans="1:40" x14ac:dyDescent="0.25">
      <c r="A430" s="202"/>
      <c r="C430" s="154"/>
      <c r="F430" s="252"/>
      <c r="H430" s="252"/>
      <c r="I430" s="252"/>
      <c r="J430" s="329"/>
      <c r="K430" s="329"/>
      <c r="L430" s="200"/>
      <c r="M430" s="200"/>
      <c r="N430" s="210"/>
      <c r="O430" s="210"/>
      <c r="P430" s="200"/>
      <c r="Q430" s="200"/>
      <c r="R430" s="200"/>
      <c r="T430" s="154"/>
      <c r="V430" s="200"/>
      <c r="Y430" s="200"/>
      <c r="Z430" s="329"/>
      <c r="AA430" s="200"/>
      <c r="AB430" s="200"/>
      <c r="AC430" s="210"/>
      <c r="AD430" s="210"/>
      <c r="AE430" s="200"/>
      <c r="AF430" s="200"/>
      <c r="AG430" s="209"/>
      <c r="AH430" s="201"/>
      <c r="AI430" s="200"/>
      <c r="AJ430" s="200"/>
      <c r="AK430" s="209"/>
      <c r="AL430" s="200"/>
      <c r="AM430" s="210"/>
      <c r="AN430" s="210"/>
    </row>
    <row r="431" spans="1:40" x14ac:dyDescent="0.25">
      <c r="A431" s="202"/>
      <c r="C431" s="154"/>
      <c r="F431" s="252"/>
      <c r="H431" s="252"/>
      <c r="I431" s="252"/>
      <c r="J431" s="329"/>
      <c r="K431" s="329"/>
      <c r="L431" s="200"/>
      <c r="M431" s="200"/>
      <c r="N431" s="210"/>
      <c r="O431" s="210"/>
      <c r="P431" s="200"/>
      <c r="Q431" s="200"/>
      <c r="R431" s="200"/>
      <c r="T431" s="154"/>
      <c r="V431" s="200"/>
      <c r="Y431" s="200"/>
      <c r="Z431" s="329"/>
      <c r="AA431" s="200"/>
      <c r="AB431" s="200"/>
      <c r="AC431" s="210"/>
      <c r="AD431" s="210"/>
      <c r="AE431" s="200"/>
      <c r="AF431" s="200"/>
      <c r="AG431" s="209"/>
      <c r="AH431" s="201"/>
      <c r="AI431" s="200"/>
      <c r="AJ431" s="200"/>
      <c r="AK431" s="209"/>
      <c r="AL431" s="200"/>
      <c r="AM431" s="210"/>
      <c r="AN431" s="210"/>
    </row>
    <row r="432" spans="1:40" x14ac:dyDescent="0.25">
      <c r="F432" s="211"/>
      <c r="H432" s="211"/>
      <c r="I432" s="211"/>
      <c r="J432" s="305"/>
      <c r="K432" s="305"/>
      <c r="L432" s="211"/>
      <c r="M432" s="211"/>
      <c r="N432" s="211"/>
      <c r="O432" s="211"/>
      <c r="P432" s="211"/>
      <c r="Q432" s="211"/>
      <c r="R432" s="211"/>
      <c r="V432" s="211"/>
      <c r="Y432" s="211"/>
      <c r="Z432" s="329"/>
      <c r="AA432" s="211"/>
      <c r="AB432" s="211"/>
      <c r="AC432" s="211"/>
      <c r="AD432" s="211"/>
      <c r="AE432" s="211"/>
      <c r="AF432" s="211"/>
      <c r="AI432" s="211"/>
      <c r="AJ432" s="211"/>
      <c r="AK432" s="212"/>
      <c r="AL432" s="211"/>
    </row>
    <row r="433" spans="1:40" x14ac:dyDescent="0.25">
      <c r="A433" s="202"/>
      <c r="C433" s="154"/>
      <c r="F433" s="200"/>
      <c r="H433" s="200"/>
      <c r="I433" s="200"/>
      <c r="L433" s="200"/>
      <c r="M433" s="200"/>
      <c r="N433" s="201"/>
      <c r="O433" s="201"/>
      <c r="P433" s="200"/>
      <c r="Q433" s="200"/>
      <c r="R433" s="200"/>
      <c r="T433" s="154"/>
      <c r="V433" s="200"/>
      <c r="Y433" s="200"/>
      <c r="AA433" s="200"/>
      <c r="AB433" s="200"/>
      <c r="AC433" s="210"/>
      <c r="AD433" s="210"/>
      <c r="AE433" s="200"/>
      <c r="AF433" s="200"/>
      <c r="AG433" s="209"/>
      <c r="AH433" s="201"/>
      <c r="AI433" s="200"/>
      <c r="AJ433" s="200"/>
      <c r="AK433" s="209"/>
      <c r="AL433" s="200"/>
      <c r="AM433" s="210"/>
      <c r="AN433" s="210"/>
    </row>
    <row r="434" spans="1:40" x14ac:dyDescent="0.25">
      <c r="F434" s="211"/>
      <c r="H434" s="211"/>
      <c r="I434" s="211"/>
      <c r="J434" s="305"/>
      <c r="K434" s="305"/>
      <c r="L434" s="211"/>
      <c r="M434" s="211"/>
      <c r="N434" s="211"/>
      <c r="O434" s="211"/>
      <c r="P434" s="211"/>
      <c r="Q434" s="211"/>
      <c r="R434" s="211"/>
      <c r="V434" s="211"/>
      <c r="Y434" s="211"/>
      <c r="Z434" s="305"/>
      <c r="AA434" s="211"/>
      <c r="AB434" s="211"/>
      <c r="AC434" s="211"/>
      <c r="AD434" s="211"/>
      <c r="AE434" s="211"/>
      <c r="AF434" s="211"/>
      <c r="AI434" s="211"/>
      <c r="AJ434" s="211"/>
      <c r="AK434" s="212"/>
      <c r="AL434" s="211"/>
    </row>
    <row r="435" spans="1:40" x14ac:dyDescent="0.25">
      <c r="A435" s="202"/>
      <c r="C435" s="154"/>
      <c r="T435" s="154"/>
    </row>
    <row r="436" spans="1:40" x14ac:dyDescent="0.25">
      <c r="A436" s="202"/>
      <c r="C436" s="154"/>
      <c r="F436" s="252"/>
      <c r="H436" s="252"/>
      <c r="I436" s="252"/>
      <c r="J436" s="300"/>
      <c r="K436" s="300"/>
      <c r="L436" s="200"/>
      <c r="M436" s="200"/>
      <c r="N436" s="210"/>
      <c r="O436" s="210"/>
      <c r="P436" s="200"/>
      <c r="Q436" s="200"/>
      <c r="R436" s="200"/>
      <c r="T436" s="154"/>
      <c r="V436" s="200"/>
      <c r="Y436" s="200"/>
      <c r="Z436" s="300"/>
      <c r="AA436" s="200"/>
      <c r="AB436" s="200"/>
      <c r="AC436" s="210"/>
      <c r="AD436" s="210"/>
      <c r="AE436" s="200"/>
      <c r="AF436" s="200"/>
      <c r="AG436" s="209"/>
      <c r="AH436" s="201"/>
      <c r="AI436" s="200"/>
      <c r="AJ436" s="200"/>
      <c r="AK436" s="209"/>
      <c r="AL436" s="200"/>
      <c r="AM436" s="210"/>
      <c r="AN436" s="210"/>
    </row>
    <row r="437" spans="1:40" x14ac:dyDescent="0.25">
      <c r="A437" s="202"/>
      <c r="C437" s="154"/>
      <c r="F437" s="252"/>
      <c r="H437" s="252"/>
      <c r="I437" s="252"/>
      <c r="J437" s="300"/>
      <c r="K437" s="300"/>
      <c r="L437" s="200"/>
      <c r="M437" s="200"/>
      <c r="N437" s="210"/>
      <c r="O437" s="210"/>
      <c r="P437" s="200"/>
      <c r="Q437" s="200"/>
      <c r="R437" s="200"/>
      <c r="T437" s="154"/>
      <c r="V437" s="200"/>
      <c r="Y437" s="200"/>
      <c r="Z437" s="300"/>
      <c r="AA437" s="200"/>
      <c r="AB437" s="200"/>
      <c r="AC437" s="210"/>
      <c r="AD437" s="210"/>
      <c r="AE437" s="200"/>
      <c r="AF437" s="200"/>
      <c r="AG437" s="209"/>
      <c r="AH437" s="201"/>
      <c r="AI437" s="200"/>
      <c r="AJ437" s="200"/>
      <c r="AK437" s="209"/>
      <c r="AL437" s="200"/>
      <c r="AM437" s="210"/>
      <c r="AN437" s="210"/>
    </row>
    <row r="438" spans="1:40" x14ac:dyDescent="0.25">
      <c r="F438" s="211"/>
      <c r="H438" s="200"/>
      <c r="I438" s="200"/>
      <c r="J438" s="305"/>
      <c r="K438" s="305"/>
      <c r="L438" s="211"/>
      <c r="M438" s="211"/>
      <c r="N438" s="211"/>
      <c r="O438" s="211"/>
      <c r="P438" s="211"/>
      <c r="Q438" s="211"/>
      <c r="R438" s="211"/>
      <c r="V438" s="211"/>
      <c r="Y438" s="200"/>
      <c r="Z438" s="305"/>
      <c r="AA438" s="211"/>
      <c r="AB438" s="211"/>
      <c r="AC438" s="211"/>
      <c r="AD438" s="211"/>
      <c r="AE438" s="211"/>
      <c r="AF438" s="211"/>
      <c r="AI438" s="211"/>
      <c r="AJ438" s="211"/>
      <c r="AK438" s="212"/>
      <c r="AL438" s="211"/>
    </row>
    <row r="439" spans="1:40" x14ac:dyDescent="0.25">
      <c r="F439" s="200"/>
      <c r="H439" s="200"/>
      <c r="I439" s="200"/>
      <c r="J439" s="305"/>
      <c r="K439" s="305"/>
      <c r="L439" s="200"/>
      <c r="M439" s="200"/>
      <c r="N439" s="200"/>
      <c r="O439" s="200"/>
      <c r="P439" s="200"/>
      <c r="Q439" s="200"/>
      <c r="R439" s="200"/>
      <c r="V439" s="200"/>
      <c r="Y439" s="200"/>
      <c r="Z439" s="305"/>
      <c r="AA439" s="200"/>
      <c r="AB439" s="200"/>
      <c r="AC439" s="200"/>
      <c r="AD439" s="200"/>
      <c r="AE439" s="200"/>
      <c r="AF439" s="200"/>
      <c r="AI439" s="200"/>
      <c r="AJ439" s="200"/>
      <c r="AK439" s="209"/>
      <c r="AL439" s="200"/>
    </row>
    <row r="440" spans="1:40" x14ac:dyDescent="0.25">
      <c r="A440" s="202"/>
      <c r="C440" s="154"/>
      <c r="F440" s="200"/>
      <c r="H440" s="200"/>
      <c r="I440" s="200"/>
      <c r="L440" s="200"/>
      <c r="M440" s="200"/>
      <c r="N440" s="210"/>
      <c r="O440" s="210"/>
      <c r="P440" s="200"/>
      <c r="Q440" s="200"/>
      <c r="R440" s="200"/>
      <c r="T440" s="154"/>
      <c r="V440" s="200"/>
      <c r="Y440" s="200"/>
      <c r="AA440" s="200"/>
      <c r="AB440" s="200"/>
      <c r="AC440" s="210"/>
      <c r="AD440" s="210"/>
      <c r="AE440" s="200"/>
      <c r="AF440" s="200"/>
      <c r="AG440" s="209"/>
      <c r="AH440" s="201"/>
      <c r="AI440" s="252"/>
      <c r="AJ440" s="252"/>
      <c r="AK440" s="209"/>
      <c r="AL440" s="200"/>
      <c r="AM440" s="210"/>
      <c r="AN440" s="210"/>
    </row>
    <row r="441" spans="1:40" x14ac:dyDescent="0.25">
      <c r="F441" s="211"/>
      <c r="H441" s="211"/>
      <c r="I441" s="211"/>
      <c r="J441" s="305"/>
      <c r="K441" s="305"/>
      <c r="L441" s="211"/>
      <c r="M441" s="211"/>
      <c r="N441" s="211"/>
      <c r="O441" s="211"/>
      <c r="P441" s="211"/>
      <c r="Q441" s="211"/>
      <c r="R441" s="211"/>
      <c r="V441" s="211"/>
      <c r="Y441" s="211"/>
      <c r="Z441" s="305"/>
      <c r="AA441" s="211"/>
      <c r="AB441" s="211"/>
      <c r="AC441" s="211"/>
      <c r="AD441" s="211"/>
      <c r="AE441" s="211"/>
      <c r="AF441" s="211"/>
      <c r="AI441" s="211"/>
      <c r="AJ441" s="211"/>
      <c r="AK441" s="212"/>
      <c r="AL441" s="211"/>
    </row>
    <row r="443" spans="1:40" x14ac:dyDescent="0.25">
      <c r="A443" s="154"/>
      <c r="T443" s="154"/>
    </row>
    <row r="444" spans="1:40" x14ac:dyDescent="0.25">
      <c r="A444" s="154"/>
      <c r="T444" s="154"/>
    </row>
    <row r="445" spans="1:40" x14ac:dyDescent="0.25">
      <c r="A445" s="154"/>
      <c r="T445" s="154"/>
    </row>
    <row r="446" spans="1:40" x14ac:dyDescent="0.25">
      <c r="A446" s="154"/>
      <c r="T446" s="154"/>
    </row>
    <row r="447" spans="1:40" x14ac:dyDescent="0.25">
      <c r="A447" s="154"/>
      <c r="T447" s="154"/>
    </row>
    <row r="448" spans="1:40" x14ac:dyDescent="0.25">
      <c r="A448" s="154"/>
      <c r="T448" s="154"/>
    </row>
    <row r="449" spans="1:40" x14ac:dyDescent="0.25">
      <c r="A449" s="154"/>
      <c r="T449" s="154"/>
    </row>
    <row r="450" spans="1:40" x14ac:dyDescent="0.25">
      <c r="A450" s="154"/>
      <c r="T450" s="154"/>
    </row>
    <row r="451" spans="1:40" x14ac:dyDescent="0.25">
      <c r="A451" s="154"/>
      <c r="T451" s="154"/>
    </row>
    <row r="453" spans="1:40" x14ac:dyDescent="0.25">
      <c r="A453" s="154"/>
    </row>
    <row r="454" spans="1:40" x14ac:dyDescent="0.25">
      <c r="J454" s="202"/>
      <c r="K454" s="202"/>
      <c r="Z454" s="202"/>
    </row>
    <row r="455" spans="1:40" x14ac:dyDescent="0.25">
      <c r="H455" s="154"/>
      <c r="I455" s="154"/>
      <c r="Y455" s="154"/>
    </row>
    <row r="456" spans="1:40" x14ac:dyDescent="0.25">
      <c r="J456" s="202"/>
      <c r="K456" s="202"/>
      <c r="Z456" s="202"/>
    </row>
    <row r="457" spans="1:40" x14ac:dyDescent="0.25">
      <c r="L457" s="154"/>
      <c r="M457" s="154"/>
      <c r="AA457" s="154"/>
      <c r="AB457" s="154"/>
    </row>
    <row r="458" spans="1:40" x14ac:dyDescent="0.25">
      <c r="A458" s="202"/>
      <c r="R458" s="154"/>
      <c r="AK458" s="297"/>
      <c r="AL458" s="154"/>
    </row>
    <row r="459" spans="1:40" x14ac:dyDescent="0.25">
      <c r="A459" s="202"/>
      <c r="R459" s="154"/>
      <c r="AK459" s="297"/>
      <c r="AL459" s="154"/>
    </row>
    <row r="460" spans="1:40" x14ac:dyDescent="0.25">
      <c r="A460" s="154"/>
      <c r="R460" s="154"/>
      <c r="AK460" s="297"/>
      <c r="AL460" s="154"/>
    </row>
    <row r="461" spans="1:40" x14ac:dyDescent="0.25">
      <c r="L461" s="154"/>
      <c r="M461" s="154"/>
      <c r="R461" s="202"/>
      <c r="AA461" s="154"/>
      <c r="AB461" s="154"/>
      <c r="AK461" s="209"/>
      <c r="AL461" s="202"/>
    </row>
    <row r="462" spans="1:40" x14ac:dyDescent="0.2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208"/>
      <c r="AH462" s="102"/>
      <c r="AI462" s="102"/>
      <c r="AJ462" s="102"/>
      <c r="AK462" s="208"/>
      <c r="AL462" s="102"/>
      <c r="AM462" s="102"/>
      <c r="AN462" s="102"/>
    </row>
    <row r="463" spans="1:40" x14ac:dyDescent="0.25">
      <c r="L463" s="103"/>
      <c r="M463" s="103"/>
      <c r="N463" s="103"/>
      <c r="O463" s="103"/>
      <c r="R463" s="103"/>
      <c r="AA463" s="103"/>
      <c r="AB463" s="103"/>
      <c r="AC463" s="103"/>
      <c r="AD463" s="103"/>
      <c r="AE463" s="103"/>
      <c r="AF463" s="103"/>
      <c r="AG463" s="185"/>
      <c r="AH463" s="103"/>
      <c r="AK463" s="185"/>
      <c r="AL463" s="103"/>
      <c r="AM463" s="103"/>
      <c r="AN463" s="103"/>
    </row>
    <row r="464" spans="1:40" x14ac:dyDescent="0.25">
      <c r="L464" s="103"/>
      <c r="M464" s="103"/>
      <c r="N464" s="103"/>
      <c r="O464" s="103"/>
      <c r="R464" s="103"/>
      <c r="Z464" s="103"/>
      <c r="AA464" s="103"/>
      <c r="AB464" s="103"/>
      <c r="AC464" s="103"/>
      <c r="AD464" s="103"/>
      <c r="AE464" s="103"/>
      <c r="AF464" s="103"/>
      <c r="AG464" s="185"/>
      <c r="AH464" s="103"/>
      <c r="AK464" s="185"/>
      <c r="AL464" s="103"/>
      <c r="AM464" s="103"/>
      <c r="AN464" s="103"/>
    </row>
    <row r="465" spans="1:40" x14ac:dyDescent="0.25">
      <c r="A465" s="103"/>
      <c r="C465" s="103"/>
      <c r="D465" s="103"/>
      <c r="E465" s="103"/>
      <c r="F465" s="103"/>
      <c r="J465" s="103"/>
      <c r="K465" s="103"/>
      <c r="L465" s="103"/>
      <c r="M465" s="103"/>
      <c r="N465" s="103"/>
      <c r="O465" s="103"/>
      <c r="P465" s="103"/>
      <c r="Q465" s="103"/>
      <c r="R465" s="103"/>
      <c r="T465" s="103"/>
      <c r="U465" s="103"/>
      <c r="V465" s="103"/>
      <c r="Z465" s="103"/>
      <c r="AA465" s="103"/>
      <c r="AB465" s="103"/>
      <c r="AC465" s="103"/>
      <c r="AD465" s="103"/>
      <c r="AE465" s="103"/>
      <c r="AF465" s="103"/>
      <c r="AG465" s="185"/>
      <c r="AH465" s="103"/>
      <c r="AI465" s="103"/>
      <c r="AJ465" s="103"/>
      <c r="AK465" s="185"/>
      <c r="AL465" s="103"/>
      <c r="AM465" s="103"/>
      <c r="AN465" s="103"/>
    </row>
    <row r="466" spans="1:40" x14ac:dyDescent="0.25">
      <c r="A466" s="103"/>
      <c r="C466" s="103"/>
      <c r="D466" s="103"/>
      <c r="E466" s="103"/>
      <c r="F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T466" s="103"/>
      <c r="U466" s="103"/>
      <c r="V466" s="103"/>
      <c r="Y466" s="103"/>
      <c r="Z466" s="103"/>
      <c r="AA466" s="103"/>
      <c r="AB466" s="103"/>
      <c r="AC466" s="103"/>
      <c r="AD466" s="103"/>
      <c r="AE466" s="103"/>
      <c r="AF466" s="103"/>
      <c r="AG466" s="185"/>
      <c r="AH466" s="103"/>
      <c r="AI466" s="103"/>
      <c r="AJ466" s="103"/>
      <c r="AK466" s="185"/>
      <c r="AL466" s="103"/>
      <c r="AM466" s="103"/>
      <c r="AN466" s="103"/>
    </row>
    <row r="467" spans="1:40" x14ac:dyDescent="0.25">
      <c r="C467" s="103"/>
      <c r="D467" s="103"/>
      <c r="E467" s="103"/>
      <c r="F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T467" s="103"/>
      <c r="U467" s="103"/>
      <c r="V467" s="103"/>
      <c r="Y467" s="103"/>
      <c r="Z467" s="103"/>
      <c r="AA467" s="103"/>
      <c r="AB467" s="103"/>
      <c r="AC467" s="103"/>
      <c r="AD467" s="103"/>
      <c r="AE467" s="103"/>
      <c r="AF467" s="103"/>
      <c r="AG467" s="185"/>
      <c r="AH467" s="103"/>
      <c r="AI467" s="103"/>
      <c r="AJ467" s="103"/>
      <c r="AK467" s="185"/>
      <c r="AL467" s="103"/>
      <c r="AM467" s="103"/>
      <c r="AN467" s="103"/>
    </row>
    <row r="468" spans="1:40" x14ac:dyDescent="0.2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208"/>
      <c r="AH468" s="102"/>
      <c r="AI468" s="102"/>
      <c r="AJ468" s="102"/>
      <c r="AK468" s="208"/>
      <c r="AL468" s="102"/>
      <c r="AM468" s="102"/>
      <c r="AN468" s="102"/>
    </row>
    <row r="469" spans="1:40" x14ac:dyDescent="0.25"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Y469" s="103"/>
      <c r="Z469" s="103"/>
      <c r="AA469" s="103"/>
      <c r="AB469" s="103"/>
      <c r="AC469" s="103"/>
      <c r="AD469" s="103"/>
      <c r="AE469" s="103"/>
      <c r="AF469" s="103"/>
      <c r="AG469" s="185"/>
      <c r="AH469" s="103"/>
      <c r="AI469" s="103"/>
      <c r="AJ469" s="103"/>
      <c r="AK469" s="185"/>
      <c r="AL469" s="103"/>
      <c r="AM469" s="103"/>
      <c r="AN469" s="103"/>
    </row>
    <row r="470" spans="1:40" x14ac:dyDescent="0.25">
      <c r="A470" s="202"/>
      <c r="C470" s="154"/>
      <c r="D470" s="154"/>
      <c r="E470" s="154"/>
      <c r="T470" s="154"/>
      <c r="U470" s="154"/>
    </row>
    <row r="471" spans="1:40" x14ac:dyDescent="0.25">
      <c r="A471" s="202"/>
      <c r="D471" s="154"/>
      <c r="E471" s="154"/>
      <c r="U471" s="154"/>
    </row>
    <row r="473" spans="1:40" x14ac:dyDescent="0.25">
      <c r="A473" s="202"/>
      <c r="C473" s="154"/>
      <c r="F473" s="200"/>
      <c r="J473" s="215"/>
      <c r="K473" s="215"/>
      <c r="L473" s="200"/>
      <c r="M473" s="200"/>
      <c r="R473" s="200"/>
      <c r="T473" s="154"/>
      <c r="V473" s="200"/>
      <c r="Z473" s="215"/>
      <c r="AA473" s="200"/>
      <c r="AB473" s="200"/>
      <c r="AG473" s="209"/>
      <c r="AH473" s="200"/>
      <c r="AK473" s="209"/>
      <c r="AL473" s="200"/>
    </row>
    <row r="474" spans="1:40" x14ac:dyDescent="0.25">
      <c r="A474" s="202"/>
      <c r="C474" s="154"/>
      <c r="F474" s="200"/>
      <c r="R474" s="200"/>
      <c r="T474" s="154"/>
      <c r="V474" s="200"/>
      <c r="AG474" s="209"/>
      <c r="AH474" s="200"/>
      <c r="AK474" s="209"/>
      <c r="AL474" s="200"/>
    </row>
    <row r="475" spans="1:40" x14ac:dyDescent="0.25">
      <c r="AI475" s="200"/>
      <c r="AJ475" s="200"/>
      <c r="AK475" s="209"/>
      <c r="AL475" s="200"/>
      <c r="AM475" s="210"/>
      <c r="AN475" s="210"/>
    </row>
    <row r="476" spans="1:40" x14ac:dyDescent="0.25">
      <c r="A476" s="202"/>
      <c r="C476" s="154"/>
      <c r="F476" s="252"/>
      <c r="H476" s="252"/>
      <c r="I476" s="252"/>
      <c r="J476" s="328"/>
      <c r="K476" s="328"/>
      <c r="L476" s="200"/>
      <c r="M476" s="200"/>
      <c r="N476" s="210"/>
      <c r="O476" s="210"/>
      <c r="P476" s="200"/>
      <c r="Q476" s="200"/>
      <c r="R476" s="200"/>
      <c r="T476" s="154"/>
      <c r="V476" s="200"/>
      <c r="Y476" s="200"/>
      <c r="Z476" s="328"/>
      <c r="AA476" s="200"/>
      <c r="AB476" s="200"/>
      <c r="AC476" s="210"/>
      <c r="AD476" s="210"/>
      <c r="AE476" s="200"/>
      <c r="AF476" s="200"/>
      <c r="AG476" s="209"/>
      <c r="AH476" s="201"/>
      <c r="AI476" s="200"/>
      <c r="AJ476" s="200"/>
      <c r="AK476" s="209"/>
      <c r="AL476" s="200"/>
      <c r="AM476" s="210"/>
      <c r="AN476" s="210"/>
    </row>
    <row r="477" spans="1:40" x14ac:dyDescent="0.25">
      <c r="F477" s="200"/>
      <c r="H477" s="200"/>
      <c r="I477" s="200"/>
      <c r="J477" s="213"/>
      <c r="K477" s="213"/>
      <c r="L477" s="200"/>
      <c r="M477" s="200"/>
      <c r="P477" s="200"/>
      <c r="Q477" s="200"/>
      <c r="R477" s="200"/>
      <c r="V477" s="200"/>
      <c r="Y477" s="200"/>
      <c r="Z477" s="213"/>
      <c r="AA477" s="200"/>
      <c r="AB477" s="200"/>
      <c r="AI477" s="200"/>
      <c r="AJ477" s="200"/>
      <c r="AK477" s="209"/>
      <c r="AL477" s="200"/>
      <c r="AM477" s="210"/>
      <c r="AN477" s="210"/>
    </row>
    <row r="478" spans="1:40" x14ac:dyDescent="0.25">
      <c r="F478" s="200"/>
      <c r="R478" s="200"/>
      <c r="V478" s="200"/>
      <c r="AK478" s="209"/>
      <c r="AL478" s="200"/>
      <c r="AM478" s="210"/>
      <c r="AN478" s="210"/>
    </row>
    <row r="479" spans="1:40" x14ac:dyDescent="0.25">
      <c r="A479" s="202"/>
      <c r="C479" s="154"/>
      <c r="F479" s="200"/>
      <c r="J479" s="215"/>
      <c r="K479" s="215"/>
      <c r="L479" s="200"/>
      <c r="M479" s="200"/>
      <c r="N479" s="210"/>
      <c r="O479" s="210"/>
      <c r="R479" s="200"/>
      <c r="T479" s="154"/>
      <c r="V479" s="200"/>
      <c r="Z479" s="215"/>
      <c r="AA479" s="200"/>
      <c r="AB479" s="200"/>
      <c r="AC479" s="210"/>
      <c r="AD479" s="210"/>
      <c r="AK479" s="209"/>
      <c r="AL479" s="200"/>
      <c r="AM479" s="210"/>
      <c r="AN479" s="210"/>
    </row>
    <row r="480" spans="1:40" x14ac:dyDescent="0.25">
      <c r="A480" s="202"/>
      <c r="C480" s="154"/>
      <c r="F480" s="200"/>
      <c r="H480" s="200"/>
      <c r="I480" s="200"/>
      <c r="J480" s="215"/>
      <c r="K480" s="215"/>
      <c r="L480" s="200"/>
      <c r="M480" s="200"/>
      <c r="N480" s="210"/>
      <c r="O480" s="210"/>
      <c r="P480" s="200"/>
      <c r="Q480" s="200"/>
      <c r="R480" s="200"/>
      <c r="T480" s="154"/>
      <c r="V480" s="200"/>
      <c r="Y480" s="200"/>
      <c r="Z480" s="215"/>
      <c r="AA480" s="200"/>
      <c r="AB480" s="200"/>
      <c r="AC480" s="210"/>
      <c r="AD480" s="210"/>
      <c r="AI480" s="200"/>
      <c r="AJ480" s="200"/>
      <c r="AK480" s="209"/>
      <c r="AL480" s="200"/>
      <c r="AM480" s="210"/>
      <c r="AN480" s="210"/>
    </row>
    <row r="481" spans="1:40" x14ac:dyDescent="0.25">
      <c r="A481" s="202"/>
      <c r="C481" s="154"/>
      <c r="T481" s="154"/>
      <c r="AM481" s="210"/>
      <c r="AN481" s="210"/>
    </row>
    <row r="482" spans="1:40" x14ac:dyDescent="0.25">
      <c r="A482" s="202"/>
      <c r="C482" s="154"/>
      <c r="T482" s="154"/>
      <c r="AM482" s="210"/>
      <c r="AN482" s="210"/>
    </row>
    <row r="483" spans="1:40" x14ac:dyDescent="0.25">
      <c r="AM483" s="210"/>
      <c r="AN483" s="210"/>
    </row>
    <row r="484" spans="1:40" x14ac:dyDescent="0.25">
      <c r="A484" s="202"/>
      <c r="C484" s="154"/>
      <c r="F484" s="252"/>
      <c r="H484" s="252"/>
      <c r="I484" s="252"/>
      <c r="J484" s="328"/>
      <c r="K484" s="328"/>
      <c r="L484" s="200"/>
      <c r="M484" s="200"/>
      <c r="N484" s="210"/>
      <c r="O484" s="210"/>
      <c r="P484" s="200"/>
      <c r="Q484" s="200"/>
      <c r="R484" s="200"/>
      <c r="T484" s="154"/>
      <c r="V484" s="200"/>
      <c r="Y484" s="200"/>
      <c r="Z484" s="328"/>
      <c r="AA484" s="200"/>
      <c r="AB484" s="200"/>
      <c r="AC484" s="210"/>
      <c r="AD484" s="210"/>
      <c r="AE484" s="200"/>
      <c r="AF484" s="200"/>
      <c r="AG484" s="209"/>
      <c r="AH484" s="201"/>
      <c r="AI484" s="200"/>
      <c r="AJ484" s="200"/>
      <c r="AK484" s="209"/>
      <c r="AL484" s="200"/>
      <c r="AM484" s="210"/>
      <c r="AN484" s="210"/>
    </row>
    <row r="485" spans="1:40" x14ac:dyDescent="0.25">
      <c r="F485" s="211"/>
      <c r="H485" s="211"/>
      <c r="I485" s="211"/>
      <c r="J485" s="305"/>
      <c r="K485" s="305"/>
      <c r="L485" s="211"/>
      <c r="M485" s="211"/>
      <c r="N485" s="211"/>
      <c r="O485" s="211"/>
      <c r="P485" s="211"/>
      <c r="Q485" s="211"/>
      <c r="R485" s="211"/>
      <c r="V485" s="211"/>
      <c r="Y485" s="211"/>
      <c r="Z485" s="305"/>
      <c r="AA485" s="211"/>
      <c r="AB485" s="211"/>
      <c r="AC485" s="211"/>
      <c r="AD485" s="211"/>
      <c r="AE485" s="211"/>
      <c r="AF485" s="211"/>
      <c r="AI485" s="211"/>
      <c r="AJ485" s="211"/>
      <c r="AK485" s="212"/>
      <c r="AL485" s="211"/>
      <c r="AM485" s="210"/>
      <c r="AN485" s="210"/>
    </row>
    <row r="486" spans="1:40" x14ac:dyDescent="0.25">
      <c r="H486" s="200"/>
      <c r="I486" s="200"/>
      <c r="Y486" s="200"/>
      <c r="AM486" s="210"/>
      <c r="AN486" s="210"/>
    </row>
    <row r="487" spans="1:40" x14ac:dyDescent="0.25">
      <c r="A487" s="202"/>
      <c r="C487" s="154"/>
      <c r="F487" s="200"/>
      <c r="H487" s="200"/>
      <c r="I487" s="200"/>
      <c r="L487" s="200"/>
      <c r="M487" s="200"/>
      <c r="N487" s="210"/>
      <c r="O487" s="210"/>
      <c r="P487" s="252"/>
      <c r="Q487" s="252"/>
      <c r="R487" s="200"/>
      <c r="T487" s="154"/>
      <c r="V487" s="200"/>
      <c r="Y487" s="200"/>
      <c r="AA487" s="200"/>
      <c r="AB487" s="200"/>
      <c r="AC487" s="210"/>
      <c r="AD487" s="210"/>
      <c r="AE487" s="200"/>
      <c r="AF487" s="200"/>
      <c r="AG487" s="209"/>
      <c r="AH487" s="201"/>
      <c r="AI487" s="252"/>
      <c r="AJ487" s="252"/>
      <c r="AK487" s="209"/>
      <c r="AL487" s="200"/>
      <c r="AM487" s="210"/>
      <c r="AN487" s="210"/>
    </row>
    <row r="488" spans="1:40" x14ac:dyDescent="0.25">
      <c r="F488" s="211"/>
      <c r="H488" s="211"/>
      <c r="I488" s="211"/>
      <c r="J488" s="305"/>
      <c r="K488" s="305"/>
      <c r="L488" s="211"/>
      <c r="M488" s="211"/>
      <c r="N488" s="211"/>
      <c r="O488" s="211"/>
      <c r="P488" s="211"/>
      <c r="Q488" s="211"/>
      <c r="R488" s="211"/>
      <c r="V488" s="211"/>
      <c r="Y488" s="211"/>
      <c r="Z488" s="305"/>
      <c r="AA488" s="211"/>
      <c r="AB488" s="211"/>
      <c r="AC488" s="211"/>
      <c r="AD488" s="211"/>
      <c r="AE488" s="211"/>
      <c r="AF488" s="211"/>
      <c r="AI488" s="211"/>
      <c r="AJ488" s="211"/>
      <c r="AK488" s="212"/>
      <c r="AL488" s="211"/>
      <c r="AM488" s="210"/>
      <c r="AN488" s="210"/>
    </row>
    <row r="490" spans="1:40" x14ac:dyDescent="0.25">
      <c r="F490" s="200"/>
      <c r="H490" s="200"/>
      <c r="I490" s="200"/>
      <c r="J490" s="213"/>
      <c r="K490" s="213"/>
      <c r="L490" s="200"/>
      <c r="M490" s="200"/>
      <c r="N490" s="200"/>
      <c r="O490" s="200"/>
      <c r="P490" s="200"/>
      <c r="Q490" s="200"/>
      <c r="R490" s="200"/>
      <c r="V490" s="200"/>
      <c r="Y490" s="200"/>
      <c r="Z490" s="213"/>
      <c r="AA490" s="200"/>
      <c r="AB490" s="200"/>
      <c r="AC490" s="200"/>
      <c r="AD490" s="200"/>
      <c r="AE490" s="200"/>
      <c r="AF490" s="200"/>
      <c r="AG490" s="209"/>
      <c r="AH490" s="200"/>
      <c r="AI490" s="200"/>
      <c r="AJ490" s="200"/>
      <c r="AK490" s="209"/>
      <c r="AL490" s="200"/>
    </row>
    <row r="491" spans="1:40" x14ac:dyDescent="0.25">
      <c r="A491" s="154"/>
    </row>
    <row r="492" spans="1:40" x14ac:dyDescent="0.25">
      <c r="J492" s="202"/>
      <c r="K492" s="202"/>
      <c r="Z492" s="202"/>
    </row>
    <row r="493" spans="1:40" x14ac:dyDescent="0.25">
      <c r="H493" s="154"/>
      <c r="I493" s="154"/>
      <c r="Y493" s="154"/>
    </row>
    <row r="494" spans="1:40" x14ac:dyDescent="0.25">
      <c r="J494" s="202"/>
      <c r="K494" s="202"/>
      <c r="Z494" s="202"/>
    </row>
    <row r="495" spans="1:40" x14ac:dyDescent="0.25">
      <c r="L495" s="154"/>
      <c r="M495" s="154"/>
      <c r="AA495" s="154"/>
      <c r="AB495" s="154"/>
    </row>
    <row r="496" spans="1:40" x14ac:dyDescent="0.25">
      <c r="A496" s="202"/>
      <c r="R496" s="154"/>
      <c r="AK496" s="297"/>
      <c r="AL496" s="154"/>
    </row>
    <row r="497" spans="1:40" x14ac:dyDescent="0.25">
      <c r="A497" s="202"/>
      <c r="R497" s="154"/>
      <c r="AK497" s="297"/>
      <c r="AL497" s="154"/>
    </row>
    <row r="498" spans="1:40" x14ac:dyDescent="0.25">
      <c r="A498" s="154"/>
      <c r="R498" s="154"/>
      <c r="AK498" s="297"/>
      <c r="AL498" s="154"/>
    </row>
    <row r="499" spans="1:40" x14ac:dyDescent="0.25">
      <c r="L499" s="154"/>
      <c r="M499" s="154"/>
      <c r="R499" s="202"/>
      <c r="AA499" s="154"/>
      <c r="AB499" s="154"/>
      <c r="AK499" s="209"/>
      <c r="AL499" s="202"/>
    </row>
    <row r="500" spans="1:40" x14ac:dyDescent="0.25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208"/>
      <c r="AH500" s="102"/>
      <c r="AI500" s="102"/>
      <c r="AJ500" s="102"/>
      <c r="AK500" s="208"/>
      <c r="AL500" s="102"/>
      <c r="AM500" s="102"/>
      <c r="AN500" s="102"/>
    </row>
    <row r="501" spans="1:40" x14ac:dyDescent="0.25">
      <c r="L501" s="103"/>
      <c r="M501" s="103"/>
      <c r="N501" s="103"/>
      <c r="O501" s="103"/>
      <c r="R501" s="103"/>
      <c r="AA501" s="103"/>
      <c r="AB501" s="103"/>
      <c r="AC501" s="103"/>
      <c r="AD501" s="103"/>
      <c r="AE501" s="103"/>
      <c r="AF501" s="103"/>
      <c r="AG501" s="185"/>
      <c r="AH501" s="103"/>
      <c r="AK501" s="185"/>
      <c r="AL501" s="103"/>
      <c r="AM501" s="103"/>
      <c r="AN501" s="103"/>
    </row>
    <row r="502" spans="1:40" x14ac:dyDescent="0.25">
      <c r="L502" s="103"/>
      <c r="M502" s="103"/>
      <c r="N502" s="103"/>
      <c r="O502" s="103"/>
      <c r="R502" s="103"/>
      <c r="Z502" s="103"/>
      <c r="AA502" s="103"/>
      <c r="AB502" s="103"/>
      <c r="AC502" s="103"/>
      <c r="AD502" s="103"/>
      <c r="AE502" s="103"/>
      <c r="AF502" s="103"/>
      <c r="AG502" s="185"/>
      <c r="AH502" s="103"/>
      <c r="AK502" s="185"/>
      <c r="AL502" s="103"/>
      <c r="AM502" s="103"/>
      <c r="AN502" s="103"/>
    </row>
    <row r="503" spans="1:40" x14ac:dyDescent="0.25">
      <c r="A503" s="103"/>
      <c r="C503" s="103"/>
      <c r="D503" s="103"/>
      <c r="E503" s="103"/>
      <c r="F503" s="103"/>
      <c r="J503" s="103"/>
      <c r="K503" s="103"/>
      <c r="L503" s="103"/>
      <c r="M503" s="103"/>
      <c r="N503" s="103"/>
      <c r="O503" s="103"/>
      <c r="P503" s="103"/>
      <c r="Q503" s="103"/>
      <c r="R503" s="103"/>
      <c r="T503" s="103"/>
      <c r="U503" s="103"/>
      <c r="V503" s="103"/>
      <c r="Z503" s="103"/>
      <c r="AA503" s="103"/>
      <c r="AB503" s="103"/>
      <c r="AC503" s="103"/>
      <c r="AD503" s="103"/>
      <c r="AE503" s="103"/>
      <c r="AF503" s="103"/>
      <c r="AG503" s="185"/>
      <c r="AH503" s="103"/>
      <c r="AI503" s="103"/>
      <c r="AJ503" s="103"/>
      <c r="AK503" s="185"/>
      <c r="AL503" s="103"/>
      <c r="AM503" s="103"/>
      <c r="AN503" s="103"/>
    </row>
    <row r="504" spans="1:40" x14ac:dyDescent="0.25">
      <c r="A504" s="103"/>
      <c r="C504" s="103"/>
      <c r="D504" s="103"/>
      <c r="E504" s="103"/>
      <c r="F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T504" s="103"/>
      <c r="U504" s="103"/>
      <c r="V504" s="103"/>
      <c r="Y504" s="103"/>
      <c r="Z504" s="103"/>
      <c r="AA504" s="103"/>
      <c r="AB504" s="103"/>
      <c r="AC504" s="103"/>
      <c r="AD504" s="103"/>
      <c r="AE504" s="103"/>
      <c r="AF504" s="103"/>
      <c r="AG504" s="185"/>
      <c r="AH504" s="103"/>
      <c r="AI504" s="103"/>
      <c r="AJ504" s="103"/>
      <c r="AK504" s="185"/>
      <c r="AL504" s="103"/>
      <c r="AM504" s="103"/>
      <c r="AN504" s="103"/>
    </row>
    <row r="505" spans="1:40" x14ac:dyDescent="0.25">
      <c r="C505" s="103"/>
      <c r="D505" s="103"/>
      <c r="E505" s="103"/>
      <c r="F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T505" s="103"/>
      <c r="U505" s="103"/>
      <c r="V505" s="103"/>
      <c r="Y505" s="103"/>
      <c r="Z505" s="103"/>
      <c r="AA505" s="103"/>
      <c r="AB505" s="103"/>
      <c r="AC505" s="103"/>
      <c r="AD505" s="103"/>
      <c r="AE505" s="103"/>
      <c r="AF505" s="103"/>
      <c r="AG505" s="185"/>
      <c r="AH505" s="103"/>
      <c r="AI505" s="103"/>
      <c r="AJ505" s="103"/>
      <c r="AK505" s="185"/>
      <c r="AL505" s="103"/>
      <c r="AM505" s="103"/>
      <c r="AN505" s="103"/>
    </row>
    <row r="506" spans="1:40" x14ac:dyDescent="0.25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208"/>
      <c r="AH506" s="102"/>
      <c r="AI506" s="102"/>
      <c r="AJ506" s="102"/>
      <c r="AK506" s="208"/>
      <c r="AL506" s="102"/>
      <c r="AM506" s="102"/>
      <c r="AN506" s="102"/>
    </row>
    <row r="507" spans="1:40" x14ac:dyDescent="0.25"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Y507" s="103"/>
      <c r="Z507" s="103"/>
      <c r="AA507" s="103"/>
      <c r="AB507" s="103"/>
      <c r="AC507" s="103"/>
      <c r="AD507" s="103"/>
      <c r="AE507" s="103"/>
      <c r="AF507" s="103"/>
      <c r="AG507" s="185"/>
      <c r="AH507" s="103"/>
      <c r="AI507" s="103"/>
      <c r="AJ507" s="103"/>
      <c r="AK507" s="185"/>
      <c r="AL507" s="103"/>
      <c r="AM507" s="103"/>
      <c r="AN507" s="103"/>
    </row>
    <row r="508" spans="1:40" x14ac:dyDescent="0.25">
      <c r="A508" s="202"/>
      <c r="C508" s="154"/>
      <c r="D508" s="154"/>
      <c r="E508" s="154"/>
      <c r="T508" s="154"/>
      <c r="U508" s="154"/>
      <c r="V508" s="200"/>
      <c r="W508" s="200"/>
      <c r="X508" s="200"/>
      <c r="Y508" s="200"/>
      <c r="Z508" s="328"/>
    </row>
    <row r="510" spans="1:40" x14ac:dyDescent="0.25">
      <c r="A510" s="202"/>
      <c r="C510" s="154"/>
      <c r="T510" s="154"/>
      <c r="V510" s="200"/>
      <c r="W510" s="200"/>
      <c r="X510" s="200"/>
      <c r="Y510" s="200"/>
      <c r="Z510" s="328"/>
    </row>
    <row r="511" spans="1:40" x14ac:dyDescent="0.25">
      <c r="A511" s="202"/>
      <c r="C511" s="154"/>
      <c r="F511" s="252"/>
      <c r="H511" s="252"/>
      <c r="I511" s="252"/>
      <c r="J511" s="329"/>
      <c r="K511" s="329"/>
      <c r="L511" s="200"/>
      <c r="M511" s="200"/>
      <c r="N511" s="210"/>
      <c r="O511" s="210"/>
      <c r="P511" s="200"/>
      <c r="Q511" s="200"/>
      <c r="R511" s="200"/>
      <c r="T511" s="154"/>
      <c r="V511" s="200"/>
      <c r="W511" s="200"/>
      <c r="X511" s="200"/>
      <c r="Y511" s="200"/>
      <c r="Z511" s="329"/>
      <c r="AA511" s="200"/>
      <c r="AB511" s="200"/>
      <c r="AC511" s="210"/>
      <c r="AD511" s="210"/>
      <c r="AE511" s="200"/>
      <c r="AF511" s="200"/>
      <c r="AG511" s="209"/>
      <c r="AH511" s="201"/>
      <c r="AI511" s="200"/>
      <c r="AJ511" s="200"/>
      <c r="AK511" s="209"/>
      <c r="AL511" s="200"/>
      <c r="AM511" s="210"/>
      <c r="AN511" s="210"/>
    </row>
    <row r="512" spans="1:40" x14ac:dyDescent="0.25">
      <c r="A512" s="202"/>
      <c r="C512" s="154"/>
      <c r="F512" s="252"/>
      <c r="H512" s="252"/>
      <c r="I512" s="252"/>
      <c r="J512" s="329"/>
      <c r="K512" s="329"/>
      <c r="L512" s="200"/>
      <c r="M512" s="200"/>
      <c r="N512" s="210"/>
      <c r="O512" s="210"/>
      <c r="P512" s="200"/>
      <c r="Q512" s="200"/>
      <c r="R512" s="200"/>
      <c r="T512" s="154"/>
      <c r="V512" s="200"/>
      <c r="W512" s="200"/>
      <c r="X512" s="200"/>
      <c r="Y512" s="200"/>
      <c r="Z512" s="329"/>
      <c r="AA512" s="200"/>
      <c r="AB512" s="200"/>
      <c r="AC512" s="210"/>
      <c r="AD512" s="210"/>
      <c r="AE512" s="200"/>
      <c r="AF512" s="200"/>
      <c r="AG512" s="209"/>
      <c r="AH512" s="201"/>
      <c r="AI512" s="200"/>
      <c r="AJ512" s="200"/>
      <c r="AK512" s="209"/>
      <c r="AL512" s="200"/>
      <c r="AM512" s="210"/>
      <c r="AN512" s="210"/>
    </row>
    <row r="513" spans="1:40" x14ac:dyDescent="0.25">
      <c r="A513" s="202"/>
      <c r="C513" s="154"/>
      <c r="F513" s="252"/>
      <c r="H513" s="252"/>
      <c r="I513" s="252"/>
      <c r="J513" s="329"/>
      <c r="K513" s="329"/>
      <c r="L513" s="200"/>
      <c r="M513" s="200"/>
      <c r="N513" s="210"/>
      <c r="O513" s="210"/>
      <c r="P513" s="200"/>
      <c r="Q513" s="200"/>
      <c r="R513" s="200"/>
      <c r="T513" s="154"/>
      <c r="V513" s="200"/>
      <c r="W513" s="200"/>
      <c r="X513" s="200"/>
      <c r="Y513" s="200"/>
      <c r="Z513" s="329"/>
      <c r="AA513" s="200"/>
      <c r="AB513" s="200"/>
      <c r="AC513" s="210"/>
      <c r="AD513" s="210"/>
      <c r="AE513" s="200"/>
      <c r="AF513" s="200"/>
      <c r="AG513" s="209"/>
      <c r="AH513" s="201"/>
      <c r="AI513" s="200"/>
      <c r="AJ513" s="200"/>
      <c r="AK513" s="209"/>
      <c r="AL513" s="200"/>
      <c r="AM513" s="210"/>
      <c r="AN513" s="210"/>
    </row>
    <row r="514" spans="1:40" x14ac:dyDescent="0.25">
      <c r="A514" s="202"/>
      <c r="C514" s="154"/>
      <c r="F514" s="252"/>
      <c r="H514" s="252"/>
      <c r="I514" s="252"/>
      <c r="J514" s="329"/>
      <c r="K514" s="329"/>
      <c r="L514" s="200"/>
      <c r="M514" s="200"/>
      <c r="N514" s="210"/>
      <c r="O514" s="210"/>
      <c r="P514" s="200"/>
      <c r="Q514" s="200"/>
      <c r="R514" s="200"/>
      <c r="T514" s="154"/>
      <c r="V514" s="200"/>
      <c r="W514" s="200"/>
      <c r="X514" s="200"/>
      <c r="Y514" s="200"/>
      <c r="Z514" s="329"/>
      <c r="AA514" s="200"/>
      <c r="AB514" s="200"/>
      <c r="AC514" s="210"/>
      <c r="AD514" s="210"/>
      <c r="AE514" s="200"/>
      <c r="AF514" s="200"/>
      <c r="AG514" s="209"/>
      <c r="AH514" s="201"/>
      <c r="AI514" s="200"/>
      <c r="AJ514" s="200"/>
      <c r="AK514" s="209"/>
      <c r="AL514" s="200"/>
      <c r="AM514" s="210"/>
      <c r="AN514" s="210"/>
    </row>
    <row r="515" spans="1:40" x14ac:dyDescent="0.25">
      <c r="J515" s="334"/>
      <c r="K515" s="334"/>
      <c r="V515" s="200"/>
      <c r="W515" s="200"/>
      <c r="X515" s="200"/>
      <c r="Y515" s="200"/>
      <c r="Z515" s="329"/>
    </row>
    <row r="516" spans="1:40" x14ac:dyDescent="0.25">
      <c r="A516" s="202"/>
      <c r="C516" s="154"/>
      <c r="F516" s="252"/>
      <c r="H516" s="252"/>
      <c r="I516" s="252"/>
      <c r="J516" s="329"/>
      <c r="K516" s="329"/>
      <c r="L516" s="200"/>
      <c r="M516" s="200"/>
      <c r="N516" s="210"/>
      <c r="O516" s="210"/>
      <c r="P516" s="200"/>
      <c r="Q516" s="200"/>
      <c r="R516" s="200"/>
      <c r="T516" s="154"/>
      <c r="V516" s="200"/>
      <c r="W516" s="200"/>
      <c r="X516" s="200"/>
      <c r="Y516" s="200"/>
      <c r="Z516" s="329"/>
      <c r="AA516" s="200"/>
      <c r="AB516" s="200"/>
      <c r="AC516" s="210"/>
      <c r="AD516" s="210"/>
      <c r="AE516" s="200"/>
      <c r="AF516" s="200"/>
      <c r="AG516" s="209"/>
      <c r="AH516" s="201"/>
      <c r="AI516" s="200"/>
      <c r="AJ516" s="200"/>
      <c r="AK516" s="209"/>
      <c r="AL516" s="200"/>
      <c r="AM516" s="201"/>
      <c r="AN516" s="201"/>
    </row>
    <row r="517" spans="1:40" x14ac:dyDescent="0.25">
      <c r="A517" s="202"/>
      <c r="C517" s="154"/>
      <c r="J517" s="334"/>
      <c r="K517" s="334"/>
      <c r="T517" s="154"/>
      <c r="V517" s="200"/>
      <c r="W517" s="200"/>
      <c r="X517" s="200"/>
      <c r="Y517" s="200"/>
      <c r="Z517" s="329"/>
    </row>
    <row r="518" spans="1:40" x14ac:dyDescent="0.25">
      <c r="A518" s="202"/>
      <c r="C518" s="154"/>
      <c r="F518" s="252"/>
      <c r="H518" s="252"/>
      <c r="I518" s="252"/>
      <c r="J518" s="329"/>
      <c r="K518" s="329"/>
      <c r="L518" s="200"/>
      <c r="M518" s="200"/>
      <c r="N518" s="210"/>
      <c r="O518" s="210"/>
      <c r="P518" s="200"/>
      <c r="Q518" s="200"/>
      <c r="R518" s="200"/>
      <c r="T518" s="154"/>
      <c r="V518" s="200"/>
      <c r="W518" s="200"/>
      <c r="X518" s="200"/>
      <c r="Y518" s="200"/>
      <c r="Z518" s="329"/>
      <c r="AA518" s="200"/>
      <c r="AB518" s="200"/>
      <c r="AC518" s="210"/>
      <c r="AD518" s="210"/>
      <c r="AE518" s="200"/>
      <c r="AF518" s="200"/>
      <c r="AG518" s="209"/>
      <c r="AH518" s="201"/>
      <c r="AI518" s="200"/>
      <c r="AJ518" s="200"/>
      <c r="AK518" s="209"/>
      <c r="AL518" s="200"/>
      <c r="AM518" s="201"/>
      <c r="AN518" s="201"/>
    </row>
    <row r="519" spans="1:40" x14ac:dyDescent="0.25">
      <c r="J519" s="334"/>
      <c r="K519" s="334"/>
      <c r="Z519" s="334"/>
    </row>
    <row r="520" spans="1:40" x14ac:dyDescent="0.25">
      <c r="A520" s="202"/>
      <c r="C520" s="154"/>
      <c r="J520" s="334"/>
      <c r="K520" s="334"/>
      <c r="T520" s="154"/>
      <c r="V520" s="200"/>
      <c r="W520" s="200"/>
      <c r="X520" s="200"/>
      <c r="Y520" s="200"/>
      <c r="Z520" s="329"/>
    </row>
    <row r="521" spans="1:40" x14ac:dyDescent="0.25">
      <c r="A521" s="202"/>
      <c r="C521" s="154"/>
      <c r="F521" s="252"/>
      <c r="H521" s="252"/>
      <c r="I521" s="252"/>
      <c r="J521" s="329"/>
      <c r="K521" s="329"/>
      <c r="L521" s="200"/>
      <c r="M521" s="200"/>
      <c r="N521" s="210"/>
      <c r="O521" s="210"/>
      <c r="P521" s="200"/>
      <c r="Q521" s="200"/>
      <c r="R521" s="200"/>
      <c r="T521" s="154"/>
      <c r="V521" s="200"/>
      <c r="W521" s="200"/>
      <c r="X521" s="200"/>
      <c r="Y521" s="200"/>
      <c r="Z521" s="329"/>
      <c r="AA521" s="200"/>
      <c r="AB521" s="200"/>
      <c r="AC521" s="210"/>
      <c r="AD521" s="210"/>
      <c r="AE521" s="200"/>
      <c r="AF521" s="200"/>
      <c r="AG521" s="209"/>
      <c r="AH521" s="201"/>
      <c r="AI521" s="200"/>
      <c r="AJ521" s="200"/>
      <c r="AK521" s="209"/>
      <c r="AL521" s="200"/>
      <c r="AM521" s="201"/>
      <c r="AN521" s="201"/>
    </row>
    <row r="522" spans="1:40" x14ac:dyDescent="0.25">
      <c r="A522" s="202"/>
      <c r="C522" s="154"/>
      <c r="F522" s="252"/>
      <c r="H522" s="252"/>
      <c r="I522" s="252"/>
      <c r="J522" s="329"/>
      <c r="K522" s="329"/>
      <c r="L522" s="200"/>
      <c r="M522" s="200"/>
      <c r="N522" s="210"/>
      <c r="O522" s="210"/>
      <c r="P522" s="200"/>
      <c r="Q522" s="200"/>
      <c r="R522" s="200"/>
      <c r="T522" s="154"/>
      <c r="V522" s="200"/>
      <c r="W522" s="200"/>
      <c r="X522" s="200"/>
      <c r="Y522" s="200"/>
      <c r="Z522" s="329"/>
      <c r="AA522" s="200"/>
      <c r="AB522" s="200"/>
      <c r="AC522" s="210"/>
      <c r="AD522" s="210"/>
      <c r="AE522" s="200"/>
      <c r="AF522" s="200"/>
      <c r="AG522" s="209"/>
      <c r="AH522" s="201"/>
      <c r="AI522" s="200"/>
      <c r="AJ522" s="200"/>
      <c r="AK522" s="209"/>
      <c r="AL522" s="200"/>
      <c r="AM522" s="201"/>
      <c r="AN522" s="201"/>
    </row>
    <row r="523" spans="1:40" x14ac:dyDescent="0.25">
      <c r="F523" s="211"/>
      <c r="H523" s="211"/>
      <c r="I523" s="211"/>
      <c r="J523" s="329"/>
      <c r="K523" s="329"/>
      <c r="L523" s="211"/>
      <c r="M523" s="211"/>
      <c r="N523" s="211"/>
      <c r="O523" s="211"/>
      <c r="P523" s="211"/>
      <c r="Q523" s="211"/>
      <c r="R523" s="211"/>
      <c r="V523" s="211"/>
      <c r="Y523" s="211"/>
      <c r="Z523" s="305"/>
      <c r="AA523" s="211"/>
      <c r="AB523" s="211"/>
      <c r="AC523" s="211"/>
      <c r="AD523" s="211"/>
      <c r="AE523" s="211"/>
      <c r="AF523" s="211"/>
      <c r="AI523" s="211"/>
      <c r="AJ523" s="211"/>
      <c r="AK523" s="212"/>
      <c r="AL523" s="211"/>
    </row>
    <row r="524" spans="1:40" x14ac:dyDescent="0.25">
      <c r="A524" s="202"/>
      <c r="C524" s="154"/>
      <c r="F524" s="200"/>
      <c r="H524" s="200"/>
      <c r="I524" s="200"/>
      <c r="L524" s="200"/>
      <c r="M524" s="200"/>
      <c r="N524" s="210"/>
      <c r="O524" s="210"/>
      <c r="P524" s="252"/>
      <c r="Q524" s="252"/>
      <c r="R524" s="200"/>
      <c r="T524" s="154"/>
      <c r="V524" s="200"/>
      <c r="W524" s="200"/>
      <c r="X524" s="200"/>
      <c r="Y524" s="200"/>
      <c r="Z524" s="328"/>
      <c r="AA524" s="200"/>
      <c r="AB524" s="200"/>
      <c r="AC524" s="210"/>
      <c r="AD524" s="210"/>
      <c r="AE524" s="200"/>
      <c r="AF524" s="200"/>
      <c r="AG524" s="209"/>
      <c r="AH524" s="201"/>
      <c r="AI524" s="252"/>
      <c r="AJ524" s="252"/>
      <c r="AK524" s="209"/>
      <c r="AL524" s="200"/>
      <c r="AM524" s="201"/>
      <c r="AN524" s="201"/>
    </row>
    <row r="525" spans="1:40" x14ac:dyDescent="0.25">
      <c r="F525" s="211"/>
      <c r="H525" s="211"/>
      <c r="I525" s="211"/>
      <c r="J525" s="305"/>
      <c r="K525" s="305"/>
      <c r="L525" s="211"/>
      <c r="M525" s="211"/>
      <c r="N525" s="211"/>
      <c r="O525" s="211"/>
      <c r="P525" s="211"/>
      <c r="Q525" s="211"/>
      <c r="R525" s="211"/>
      <c r="V525" s="211"/>
      <c r="Y525" s="211"/>
      <c r="Z525" s="305"/>
      <c r="AA525" s="211"/>
      <c r="AB525" s="211"/>
      <c r="AC525" s="211"/>
      <c r="AD525" s="211"/>
      <c r="AE525" s="211"/>
      <c r="AF525" s="211"/>
      <c r="AI525" s="211"/>
      <c r="AJ525" s="211"/>
      <c r="AK525" s="212"/>
      <c r="AL525" s="211"/>
    </row>
    <row r="527" spans="1:40" x14ac:dyDescent="0.25">
      <c r="C527" s="202"/>
      <c r="T527" s="202"/>
    </row>
    <row r="528" spans="1:40" x14ac:dyDescent="0.25">
      <c r="A528" s="154"/>
    </row>
    <row r="529" spans="1:40" x14ac:dyDescent="0.25">
      <c r="J529" s="202"/>
      <c r="K529" s="202"/>
      <c r="Z529" s="202"/>
    </row>
    <row r="530" spans="1:40" x14ac:dyDescent="0.25">
      <c r="H530" s="154"/>
      <c r="I530" s="154"/>
      <c r="Y530" s="154"/>
    </row>
    <row r="531" spans="1:40" x14ac:dyDescent="0.25">
      <c r="J531" s="202"/>
      <c r="K531" s="202"/>
      <c r="Z531" s="202"/>
    </row>
    <row r="532" spans="1:40" x14ac:dyDescent="0.25">
      <c r="L532" s="154"/>
      <c r="M532" s="154"/>
      <c r="AA532" s="154"/>
      <c r="AB532" s="154"/>
    </row>
    <row r="533" spans="1:40" x14ac:dyDescent="0.25">
      <c r="A533" s="202"/>
      <c r="R533" s="154"/>
      <c r="AK533" s="297"/>
      <c r="AL533" s="154"/>
    </row>
    <row r="534" spans="1:40" x14ac:dyDescent="0.25">
      <c r="A534" s="202"/>
      <c r="R534" s="154"/>
      <c r="AK534" s="297"/>
      <c r="AL534" s="154"/>
    </row>
    <row r="535" spans="1:40" x14ac:dyDescent="0.25">
      <c r="A535" s="154"/>
      <c r="R535" s="154"/>
      <c r="AK535" s="297"/>
      <c r="AL535" s="154"/>
    </row>
    <row r="536" spans="1:40" x14ac:dyDescent="0.25">
      <c r="L536" s="154"/>
      <c r="M536" s="154"/>
      <c r="R536" s="202"/>
      <c r="AA536" s="154"/>
      <c r="AB536" s="154"/>
      <c r="AK536" s="209"/>
      <c r="AL536" s="202"/>
    </row>
    <row r="537" spans="1:40" x14ac:dyDescent="0.2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208"/>
      <c r="AH537" s="102"/>
      <c r="AI537" s="102"/>
      <c r="AJ537" s="102"/>
      <c r="AK537" s="208"/>
      <c r="AL537" s="102"/>
      <c r="AM537" s="102"/>
      <c r="AN537" s="102"/>
    </row>
    <row r="538" spans="1:40" x14ac:dyDescent="0.25">
      <c r="L538" s="103"/>
      <c r="M538" s="103"/>
      <c r="N538" s="103"/>
      <c r="O538" s="103"/>
      <c r="R538" s="103"/>
      <c r="AA538" s="103"/>
      <c r="AB538" s="103"/>
      <c r="AC538" s="103"/>
      <c r="AD538" s="103"/>
      <c r="AE538" s="103"/>
      <c r="AF538" s="103"/>
      <c r="AG538" s="185"/>
      <c r="AH538" s="103"/>
      <c r="AK538" s="185"/>
      <c r="AL538" s="103"/>
      <c r="AM538" s="103"/>
      <c r="AN538" s="103"/>
    </row>
    <row r="539" spans="1:40" x14ac:dyDescent="0.25">
      <c r="L539" s="103"/>
      <c r="M539" s="103"/>
      <c r="N539" s="103"/>
      <c r="O539" s="103"/>
      <c r="R539" s="103"/>
      <c r="Z539" s="103"/>
      <c r="AA539" s="103"/>
      <c r="AB539" s="103"/>
      <c r="AC539" s="103"/>
      <c r="AD539" s="103"/>
      <c r="AE539" s="103"/>
      <c r="AF539" s="103"/>
      <c r="AG539" s="185"/>
      <c r="AH539" s="103"/>
      <c r="AK539" s="185"/>
      <c r="AL539" s="103"/>
      <c r="AM539" s="103"/>
      <c r="AN539" s="103"/>
    </row>
    <row r="540" spans="1:40" x14ac:dyDescent="0.25">
      <c r="A540" s="103"/>
      <c r="C540" s="103"/>
      <c r="D540" s="103"/>
      <c r="E540" s="103"/>
      <c r="F540" s="103"/>
      <c r="J540" s="103"/>
      <c r="K540" s="103"/>
      <c r="L540" s="103"/>
      <c r="M540" s="103"/>
      <c r="N540" s="103"/>
      <c r="O540" s="103"/>
      <c r="P540" s="103"/>
      <c r="Q540" s="103"/>
      <c r="R540" s="103"/>
      <c r="T540" s="103"/>
      <c r="U540" s="103"/>
      <c r="V540" s="103"/>
      <c r="Z540" s="103"/>
      <c r="AA540" s="103"/>
      <c r="AB540" s="103"/>
      <c r="AC540" s="103"/>
      <c r="AD540" s="103"/>
      <c r="AE540" s="103"/>
      <c r="AF540" s="103"/>
      <c r="AG540" s="185"/>
      <c r="AH540" s="103"/>
      <c r="AI540" s="103"/>
      <c r="AJ540" s="103"/>
      <c r="AK540" s="185"/>
      <c r="AL540" s="103"/>
      <c r="AM540" s="103"/>
      <c r="AN540" s="103"/>
    </row>
    <row r="541" spans="1:40" x14ac:dyDescent="0.25">
      <c r="A541" s="103"/>
      <c r="C541" s="103"/>
      <c r="D541" s="103"/>
      <c r="E541" s="103"/>
      <c r="F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T541" s="103"/>
      <c r="U541" s="103"/>
      <c r="V541" s="103"/>
      <c r="Y541" s="103"/>
      <c r="Z541" s="103"/>
      <c r="AA541" s="103"/>
      <c r="AB541" s="103"/>
      <c r="AC541" s="103"/>
      <c r="AD541" s="103"/>
      <c r="AE541" s="103"/>
      <c r="AF541" s="103"/>
      <c r="AG541" s="185"/>
      <c r="AH541" s="103"/>
      <c r="AI541" s="103"/>
      <c r="AJ541" s="103"/>
      <c r="AK541" s="185"/>
      <c r="AL541" s="103"/>
      <c r="AM541" s="103"/>
      <c r="AN541" s="103"/>
    </row>
    <row r="542" spans="1:40" x14ac:dyDescent="0.25">
      <c r="C542" s="103"/>
      <c r="D542" s="103"/>
      <c r="E542" s="103"/>
      <c r="F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T542" s="103"/>
      <c r="U542" s="103"/>
      <c r="V542" s="103"/>
      <c r="Y542" s="103"/>
      <c r="Z542" s="103"/>
      <c r="AA542" s="103"/>
      <c r="AB542" s="103"/>
      <c r="AC542" s="103"/>
      <c r="AD542" s="103"/>
      <c r="AE542" s="103"/>
      <c r="AF542" s="103"/>
      <c r="AG542" s="185"/>
      <c r="AH542" s="103"/>
      <c r="AI542" s="103"/>
      <c r="AJ542" s="103"/>
      <c r="AK542" s="185"/>
      <c r="AL542" s="103"/>
      <c r="AM542" s="103"/>
      <c r="AN542" s="103"/>
    </row>
    <row r="543" spans="1:40" x14ac:dyDescent="0.25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208"/>
      <c r="AH543" s="102"/>
      <c r="AI543" s="102"/>
      <c r="AJ543" s="102"/>
      <c r="AK543" s="208"/>
      <c r="AL543" s="102"/>
      <c r="AM543" s="102"/>
      <c r="AN543" s="102"/>
    </row>
    <row r="544" spans="1:40" x14ac:dyDescent="0.25"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Y544" s="103"/>
      <c r="Z544" s="103"/>
      <c r="AA544" s="103"/>
      <c r="AB544" s="103"/>
      <c r="AC544" s="103"/>
      <c r="AD544" s="103"/>
      <c r="AE544" s="103"/>
      <c r="AF544" s="103"/>
      <c r="AG544" s="185"/>
      <c r="AH544" s="103"/>
      <c r="AI544" s="103"/>
      <c r="AJ544" s="103"/>
      <c r="AK544" s="185"/>
      <c r="AL544" s="103"/>
      <c r="AM544" s="103"/>
      <c r="AN544" s="103"/>
    </row>
    <row r="545" spans="1:40" x14ac:dyDescent="0.25">
      <c r="A545" s="202"/>
      <c r="C545" s="154"/>
      <c r="D545" s="154"/>
      <c r="E545" s="154"/>
      <c r="T545" s="154"/>
      <c r="U545" s="154"/>
    </row>
    <row r="547" spans="1:40" x14ac:dyDescent="0.25">
      <c r="A547" s="202"/>
      <c r="C547" s="154"/>
      <c r="T547" s="154"/>
    </row>
    <row r="548" spans="1:40" x14ac:dyDescent="0.25">
      <c r="A548" s="202"/>
      <c r="C548" s="154"/>
      <c r="T548" s="154"/>
    </row>
    <row r="549" spans="1:40" x14ac:dyDescent="0.25">
      <c r="A549" s="202"/>
      <c r="C549" s="154"/>
      <c r="F549" s="252"/>
      <c r="H549" s="252"/>
      <c r="I549" s="252"/>
      <c r="J549" s="329"/>
      <c r="K549" s="329"/>
      <c r="L549" s="200"/>
      <c r="M549" s="200"/>
      <c r="N549" s="210"/>
      <c r="O549" s="210"/>
      <c r="P549" s="200"/>
      <c r="Q549" s="200"/>
      <c r="R549" s="200"/>
      <c r="T549" s="154"/>
      <c r="V549" s="200"/>
      <c r="W549" s="200"/>
      <c r="X549" s="200"/>
      <c r="Y549" s="200"/>
      <c r="Z549" s="329"/>
      <c r="AA549" s="200"/>
      <c r="AB549" s="200"/>
      <c r="AC549" s="210"/>
      <c r="AD549" s="210"/>
      <c r="AE549" s="200"/>
      <c r="AF549" s="200"/>
      <c r="AG549" s="209"/>
      <c r="AH549" s="201"/>
      <c r="AI549" s="200"/>
      <c r="AJ549" s="200"/>
      <c r="AK549" s="209"/>
      <c r="AL549" s="200"/>
      <c r="AM549" s="201"/>
      <c r="AN549" s="201"/>
    </row>
    <row r="550" spans="1:40" x14ac:dyDescent="0.25">
      <c r="A550" s="202"/>
      <c r="C550" s="154"/>
      <c r="F550" s="200"/>
      <c r="H550" s="200"/>
      <c r="I550" s="200"/>
      <c r="J550" s="334"/>
      <c r="K550" s="334"/>
      <c r="L550" s="200"/>
      <c r="M550" s="200"/>
      <c r="N550" s="210"/>
      <c r="O550" s="210"/>
      <c r="P550" s="200"/>
      <c r="Q550" s="200"/>
      <c r="R550" s="200"/>
      <c r="T550" s="154"/>
      <c r="V550" s="200"/>
      <c r="W550" s="200"/>
      <c r="X550" s="200"/>
      <c r="Y550" s="200"/>
      <c r="Z550" s="334"/>
      <c r="AA550" s="200"/>
      <c r="AB550" s="200"/>
      <c r="AC550" s="210"/>
      <c r="AD550" s="210"/>
      <c r="AE550" s="200"/>
      <c r="AF550" s="200"/>
      <c r="AG550" s="209"/>
      <c r="AH550" s="201"/>
      <c r="AI550" s="200"/>
      <c r="AJ550" s="200"/>
      <c r="AK550" s="209"/>
      <c r="AL550" s="200"/>
      <c r="AM550" s="201"/>
      <c r="AN550" s="201"/>
    </row>
    <row r="551" spans="1:40" x14ac:dyDescent="0.25">
      <c r="A551" s="202"/>
      <c r="C551" s="154"/>
      <c r="F551" s="200"/>
      <c r="H551" s="200"/>
      <c r="I551" s="200"/>
      <c r="J551" s="334"/>
      <c r="K551" s="334"/>
      <c r="L551" s="200"/>
      <c r="M551" s="200"/>
      <c r="N551" s="210"/>
      <c r="O551" s="210"/>
      <c r="P551" s="200"/>
      <c r="Q551" s="200"/>
      <c r="R551" s="200"/>
      <c r="T551" s="154"/>
      <c r="V551" s="200"/>
      <c r="W551" s="200"/>
      <c r="X551" s="200"/>
      <c r="Y551" s="200"/>
      <c r="Z551" s="334"/>
      <c r="AA551" s="200"/>
      <c r="AB551" s="200"/>
      <c r="AC551" s="210"/>
      <c r="AD551" s="210"/>
      <c r="AE551" s="200"/>
      <c r="AF551" s="200"/>
      <c r="AG551" s="209"/>
      <c r="AH551" s="201"/>
      <c r="AI551" s="200"/>
      <c r="AJ551" s="200"/>
      <c r="AK551" s="209"/>
      <c r="AL551" s="200"/>
      <c r="AM551" s="201"/>
      <c r="AN551" s="201"/>
    </row>
    <row r="552" spans="1:40" x14ac:dyDescent="0.25">
      <c r="A552" s="202"/>
      <c r="C552" s="154"/>
      <c r="F552" s="200"/>
      <c r="H552" s="200"/>
      <c r="I552" s="200"/>
      <c r="J552" s="334"/>
      <c r="K552" s="334"/>
      <c r="T552" s="154"/>
      <c r="V552" s="200"/>
      <c r="Z552" s="334"/>
    </row>
    <row r="553" spans="1:40" x14ac:dyDescent="0.25">
      <c r="A553" s="202"/>
      <c r="C553" s="154"/>
      <c r="F553" s="252"/>
      <c r="H553" s="252"/>
      <c r="I553" s="252"/>
      <c r="J553" s="329"/>
      <c r="K553" s="329"/>
      <c r="L553" s="200"/>
      <c r="M553" s="200"/>
      <c r="N553" s="210"/>
      <c r="O553" s="210"/>
      <c r="P553" s="200"/>
      <c r="Q553" s="200"/>
      <c r="R553" s="200"/>
      <c r="T553" s="154"/>
      <c r="V553" s="200"/>
      <c r="W553" s="200"/>
      <c r="X553" s="200"/>
      <c r="Y553" s="200"/>
      <c r="Z553" s="329"/>
      <c r="AA553" s="200"/>
      <c r="AB553" s="200"/>
      <c r="AC553" s="210"/>
      <c r="AD553" s="210"/>
      <c r="AE553" s="200"/>
      <c r="AF553" s="200"/>
      <c r="AG553" s="209"/>
      <c r="AH553" s="201"/>
      <c r="AI553" s="200"/>
      <c r="AJ553" s="200"/>
      <c r="AK553" s="209"/>
      <c r="AL553" s="200"/>
      <c r="AM553" s="201"/>
      <c r="AN553" s="201"/>
    </row>
    <row r="554" spans="1:40" x14ac:dyDescent="0.25">
      <c r="A554" s="202"/>
      <c r="C554" s="154"/>
      <c r="F554" s="200"/>
      <c r="H554" s="200"/>
      <c r="I554" s="200"/>
      <c r="J554" s="334"/>
      <c r="K554" s="334"/>
      <c r="T554" s="154"/>
      <c r="V554" s="200"/>
      <c r="W554" s="200"/>
      <c r="X554" s="200"/>
      <c r="Y554" s="200"/>
      <c r="Z554" s="334"/>
      <c r="AC554" s="210"/>
      <c r="AD554" s="210"/>
      <c r="AE554" s="200"/>
      <c r="AF554" s="200"/>
      <c r="AG554" s="209"/>
      <c r="AH554" s="201"/>
      <c r="AI554" s="200"/>
      <c r="AJ554" s="200"/>
      <c r="AK554" s="209"/>
      <c r="AL554" s="200"/>
      <c r="AM554" s="201"/>
      <c r="AN554" s="201"/>
    </row>
    <row r="555" spans="1:40" x14ac:dyDescent="0.25">
      <c r="A555" s="202"/>
      <c r="C555" s="154"/>
      <c r="F555" s="252"/>
      <c r="H555" s="252"/>
      <c r="I555" s="252"/>
      <c r="J555" s="329"/>
      <c r="K555" s="329"/>
      <c r="L555" s="200"/>
      <c r="M555" s="200"/>
      <c r="N555" s="210"/>
      <c r="O555" s="210"/>
      <c r="P555" s="200"/>
      <c r="Q555" s="200"/>
      <c r="R555" s="200"/>
      <c r="T555" s="154"/>
      <c r="V555" s="200"/>
      <c r="W555" s="200"/>
      <c r="X555" s="200"/>
      <c r="Y555" s="200"/>
      <c r="Z555" s="329"/>
      <c r="AA555" s="200"/>
      <c r="AB555" s="200"/>
      <c r="AC555" s="210"/>
      <c r="AD555" s="210"/>
      <c r="AE555" s="200"/>
      <c r="AF555" s="200"/>
      <c r="AG555" s="209"/>
      <c r="AH555" s="201"/>
      <c r="AI555" s="200"/>
      <c r="AJ555" s="200"/>
      <c r="AK555" s="209"/>
      <c r="AL555" s="200"/>
      <c r="AM555" s="201"/>
      <c r="AN555" s="201"/>
    </row>
    <row r="556" spans="1:40" x14ac:dyDescent="0.25">
      <c r="A556" s="202"/>
      <c r="C556" s="154"/>
      <c r="F556" s="200"/>
      <c r="H556" s="200"/>
      <c r="I556" s="200"/>
      <c r="J556" s="334"/>
      <c r="K556" s="334"/>
      <c r="L556" s="200"/>
      <c r="M556" s="200"/>
      <c r="N556" s="210"/>
      <c r="O556" s="210"/>
      <c r="P556" s="200"/>
      <c r="Q556" s="200"/>
      <c r="R556" s="200"/>
      <c r="T556" s="154"/>
      <c r="V556" s="200"/>
      <c r="W556" s="200"/>
      <c r="X556" s="200"/>
      <c r="Y556" s="200"/>
      <c r="Z556" s="334"/>
      <c r="AA556" s="200"/>
      <c r="AB556" s="200"/>
      <c r="AC556" s="210"/>
      <c r="AD556" s="210"/>
      <c r="AE556" s="200"/>
      <c r="AF556" s="200"/>
      <c r="AG556" s="209"/>
      <c r="AH556" s="201"/>
      <c r="AI556" s="200"/>
      <c r="AJ556" s="200"/>
      <c r="AK556" s="209"/>
      <c r="AL556" s="200"/>
      <c r="AM556" s="201"/>
      <c r="AN556" s="201"/>
    </row>
    <row r="557" spans="1:40" x14ac:dyDescent="0.25">
      <c r="F557" s="200"/>
      <c r="H557" s="200"/>
      <c r="I557" s="200"/>
      <c r="J557" s="334"/>
      <c r="K557" s="334"/>
      <c r="Z557" s="334"/>
    </row>
    <row r="558" spans="1:40" x14ac:dyDescent="0.25">
      <c r="A558" s="202"/>
      <c r="C558" s="154"/>
      <c r="F558" s="200"/>
      <c r="H558" s="252"/>
      <c r="I558" s="252"/>
      <c r="J558" s="329"/>
      <c r="K558" s="329"/>
      <c r="L558" s="200"/>
      <c r="M558" s="200"/>
      <c r="N558" s="210"/>
      <c r="O558" s="210"/>
      <c r="P558" s="200"/>
      <c r="Q558" s="200"/>
      <c r="R558" s="200"/>
      <c r="T558" s="154"/>
      <c r="V558" s="200"/>
      <c r="W558" s="200"/>
      <c r="X558" s="200"/>
      <c r="Y558" s="200"/>
      <c r="Z558" s="329"/>
      <c r="AA558" s="200"/>
      <c r="AB558" s="200"/>
      <c r="AC558" s="210"/>
      <c r="AD558" s="210"/>
      <c r="AE558" s="200"/>
      <c r="AF558" s="200"/>
      <c r="AG558" s="209"/>
      <c r="AH558" s="201"/>
      <c r="AI558" s="200"/>
      <c r="AJ558" s="200"/>
      <c r="AK558" s="209"/>
      <c r="AL558" s="200"/>
      <c r="AM558" s="201"/>
      <c r="AN558" s="201"/>
    </row>
    <row r="559" spans="1:40" x14ac:dyDescent="0.25">
      <c r="F559" s="211"/>
      <c r="H559" s="211"/>
      <c r="I559" s="211"/>
      <c r="J559" s="329"/>
      <c r="K559" s="329"/>
      <c r="L559" s="211"/>
      <c r="M559" s="211"/>
      <c r="N559" s="211"/>
      <c r="O559" s="211"/>
      <c r="P559" s="211"/>
      <c r="Q559" s="211"/>
      <c r="R559" s="211"/>
      <c r="V559" s="211"/>
      <c r="Y559" s="211"/>
      <c r="Z559" s="329"/>
      <c r="AA559" s="211"/>
      <c r="AB559" s="211"/>
      <c r="AC559" s="211"/>
      <c r="AD559" s="211"/>
      <c r="AE559" s="211"/>
      <c r="AF559" s="211"/>
      <c r="AI559" s="211"/>
      <c r="AJ559" s="211"/>
      <c r="AK559" s="212"/>
      <c r="AL559" s="211"/>
    </row>
    <row r="560" spans="1:40" x14ac:dyDescent="0.25">
      <c r="A560" s="202"/>
      <c r="C560" s="154"/>
      <c r="F560" s="200"/>
      <c r="H560" s="200"/>
      <c r="I560" s="200"/>
      <c r="J560" s="334"/>
      <c r="K560" s="334"/>
      <c r="L560" s="200"/>
      <c r="M560" s="200"/>
      <c r="N560" s="202"/>
      <c r="O560" s="202"/>
      <c r="P560" s="200"/>
      <c r="Q560" s="200"/>
      <c r="R560" s="200"/>
      <c r="T560" s="154"/>
      <c r="V560" s="200"/>
      <c r="Y560" s="200"/>
      <c r="Z560" s="334"/>
      <c r="AA560" s="200"/>
      <c r="AB560" s="200"/>
      <c r="AC560" s="201"/>
      <c r="AD560" s="201"/>
      <c r="AE560" s="200"/>
      <c r="AF560" s="200"/>
      <c r="AG560" s="209"/>
      <c r="AH560" s="201"/>
      <c r="AI560" s="200"/>
      <c r="AJ560" s="200"/>
      <c r="AK560" s="209"/>
      <c r="AL560" s="200"/>
      <c r="AM560" s="201"/>
      <c r="AN560" s="201"/>
    </row>
    <row r="561" spans="1:40" x14ac:dyDescent="0.25">
      <c r="F561" s="211"/>
      <c r="H561" s="211"/>
      <c r="I561" s="211"/>
      <c r="J561" s="329"/>
      <c r="K561" s="329"/>
      <c r="L561" s="211"/>
      <c r="M561" s="211"/>
      <c r="N561" s="211"/>
      <c r="O561" s="211"/>
      <c r="P561" s="211"/>
      <c r="Q561" s="211"/>
      <c r="R561" s="211"/>
      <c r="V561" s="211"/>
      <c r="Y561" s="211"/>
      <c r="Z561" s="329"/>
      <c r="AA561" s="211"/>
      <c r="AB561" s="211"/>
      <c r="AC561" s="211"/>
      <c r="AD561" s="211"/>
      <c r="AE561" s="211"/>
      <c r="AF561" s="211"/>
      <c r="AI561" s="211"/>
      <c r="AJ561" s="211"/>
      <c r="AK561" s="212"/>
      <c r="AL561" s="211"/>
    </row>
    <row r="562" spans="1:40" x14ac:dyDescent="0.25">
      <c r="J562" s="334"/>
      <c r="K562" s="334"/>
      <c r="Z562" s="334"/>
    </row>
    <row r="563" spans="1:40" x14ac:dyDescent="0.25">
      <c r="A563" s="202"/>
      <c r="C563" s="154"/>
      <c r="J563" s="334"/>
      <c r="K563" s="334"/>
      <c r="T563" s="154"/>
      <c r="Z563" s="334"/>
    </row>
    <row r="564" spans="1:40" x14ac:dyDescent="0.25">
      <c r="A564" s="202"/>
      <c r="C564" s="154"/>
      <c r="J564" s="334"/>
      <c r="K564" s="334"/>
      <c r="T564" s="154"/>
      <c r="Z564" s="334"/>
    </row>
    <row r="565" spans="1:40" x14ac:dyDescent="0.25">
      <c r="A565" s="202"/>
      <c r="C565" s="154"/>
      <c r="F565" s="252"/>
      <c r="H565" s="252"/>
      <c r="I565" s="252"/>
      <c r="J565" s="329"/>
      <c r="K565" s="329"/>
      <c r="L565" s="200"/>
      <c r="M565" s="200"/>
      <c r="N565" s="210"/>
      <c r="O565" s="210"/>
      <c r="P565" s="200"/>
      <c r="Q565" s="200"/>
      <c r="R565" s="200"/>
      <c r="T565" s="154"/>
      <c r="V565" s="200"/>
      <c r="W565" s="200"/>
      <c r="X565" s="200"/>
      <c r="Y565" s="200"/>
      <c r="Z565" s="329"/>
      <c r="AA565" s="200"/>
      <c r="AB565" s="200"/>
      <c r="AC565" s="210"/>
      <c r="AD565" s="210"/>
      <c r="AE565" s="200"/>
      <c r="AF565" s="200"/>
      <c r="AG565" s="209"/>
      <c r="AH565" s="201"/>
      <c r="AI565" s="200"/>
      <c r="AJ565" s="200"/>
      <c r="AK565" s="209"/>
      <c r="AL565" s="200"/>
      <c r="AM565" s="201"/>
      <c r="AN565" s="201"/>
    </row>
    <row r="566" spans="1:40" x14ac:dyDescent="0.25">
      <c r="A566" s="202"/>
      <c r="C566" s="154"/>
      <c r="J566" s="334"/>
      <c r="K566" s="334"/>
      <c r="T566" s="154"/>
      <c r="Z566" s="334"/>
    </row>
    <row r="567" spans="1:40" x14ac:dyDescent="0.25">
      <c r="A567" s="202"/>
      <c r="C567" s="154"/>
      <c r="F567" s="252"/>
      <c r="H567" s="252"/>
      <c r="I567" s="252"/>
      <c r="J567" s="329"/>
      <c r="K567" s="329"/>
      <c r="L567" s="200"/>
      <c r="M567" s="200"/>
      <c r="N567" s="210"/>
      <c r="O567" s="210"/>
      <c r="P567" s="200"/>
      <c r="Q567" s="200"/>
      <c r="R567" s="200"/>
      <c r="T567" s="154"/>
      <c r="V567" s="200"/>
      <c r="W567" s="200"/>
      <c r="X567" s="200"/>
      <c r="Y567" s="200"/>
      <c r="Z567" s="329"/>
      <c r="AA567" s="200"/>
      <c r="AB567" s="200"/>
      <c r="AC567" s="210"/>
      <c r="AD567" s="210"/>
      <c r="AE567" s="200"/>
      <c r="AF567" s="200"/>
      <c r="AG567" s="209"/>
      <c r="AH567" s="201"/>
      <c r="AI567" s="200"/>
      <c r="AJ567" s="200"/>
      <c r="AK567" s="209"/>
      <c r="AL567" s="200"/>
      <c r="AM567" s="201"/>
      <c r="AN567" s="201"/>
    </row>
    <row r="568" spans="1:40" x14ac:dyDescent="0.25">
      <c r="F568" s="211"/>
      <c r="H568" s="211"/>
      <c r="I568" s="211"/>
      <c r="J568" s="329"/>
      <c r="K568" s="329"/>
      <c r="L568" s="211"/>
      <c r="M568" s="211"/>
      <c r="N568" s="211"/>
      <c r="O568" s="211"/>
      <c r="P568" s="211"/>
      <c r="Q568" s="211"/>
      <c r="R568" s="211"/>
      <c r="V568" s="211"/>
      <c r="Y568" s="211"/>
      <c r="Z568" s="329"/>
      <c r="AA568" s="211"/>
      <c r="AB568" s="211"/>
      <c r="AC568" s="211"/>
      <c r="AD568" s="211"/>
      <c r="AE568" s="211"/>
      <c r="AF568" s="211"/>
      <c r="AI568" s="211"/>
      <c r="AJ568" s="211"/>
      <c r="AK568" s="212"/>
      <c r="AL568" s="211"/>
    </row>
    <row r="569" spans="1:40" x14ac:dyDescent="0.25">
      <c r="A569" s="202"/>
      <c r="C569" s="154"/>
      <c r="F569" s="200"/>
      <c r="H569" s="200"/>
      <c r="I569" s="200"/>
      <c r="J569" s="334"/>
      <c r="K569" s="334"/>
      <c r="L569" s="200"/>
      <c r="M569" s="200"/>
      <c r="N569" s="201"/>
      <c r="O569" s="201"/>
      <c r="P569" s="200"/>
      <c r="Q569" s="200"/>
      <c r="R569" s="200"/>
      <c r="T569" s="154"/>
      <c r="V569" s="200"/>
      <c r="Y569" s="200"/>
      <c r="Z569" s="334"/>
      <c r="AA569" s="200"/>
      <c r="AB569" s="200"/>
      <c r="AC569" s="201"/>
      <c r="AD569" s="201"/>
      <c r="AE569" s="200"/>
      <c r="AF569" s="200"/>
      <c r="AG569" s="209"/>
      <c r="AH569" s="201"/>
      <c r="AI569" s="200"/>
      <c r="AJ569" s="200"/>
      <c r="AK569" s="209"/>
      <c r="AL569" s="200"/>
      <c r="AM569" s="201"/>
      <c r="AN569" s="201"/>
    </row>
    <row r="570" spans="1:40" x14ac:dyDescent="0.25">
      <c r="F570" s="211"/>
      <c r="H570" s="211"/>
      <c r="I570" s="211"/>
      <c r="J570" s="329"/>
      <c r="K570" s="329"/>
      <c r="L570" s="211"/>
      <c r="M570" s="211"/>
      <c r="N570" s="211"/>
      <c r="O570" s="211"/>
      <c r="P570" s="211"/>
      <c r="Q570" s="211"/>
      <c r="R570" s="211"/>
      <c r="V570" s="211"/>
      <c r="Y570" s="211"/>
      <c r="Z570" s="305"/>
      <c r="AA570" s="211"/>
      <c r="AB570" s="211"/>
      <c r="AC570" s="211"/>
      <c r="AD570" s="211"/>
      <c r="AE570" s="211"/>
      <c r="AF570" s="211"/>
      <c r="AI570" s="211"/>
      <c r="AJ570" s="211"/>
      <c r="AK570" s="212"/>
      <c r="AL570" s="211"/>
    </row>
    <row r="571" spans="1:40" x14ac:dyDescent="0.25">
      <c r="J571" s="334"/>
      <c r="K571" s="334"/>
    </row>
    <row r="572" spans="1:40" x14ac:dyDescent="0.25">
      <c r="A572" s="202"/>
      <c r="C572" s="154"/>
      <c r="F572" s="200"/>
      <c r="H572" s="200"/>
      <c r="I572" s="200"/>
      <c r="J572" s="334"/>
      <c r="K572" s="334"/>
      <c r="L572" s="200"/>
      <c r="M572" s="200"/>
      <c r="N572" s="210"/>
      <c r="O572" s="210"/>
      <c r="P572" s="252"/>
      <c r="Q572" s="252"/>
      <c r="R572" s="200"/>
      <c r="T572" s="154"/>
      <c r="V572" s="200"/>
      <c r="Y572" s="200"/>
      <c r="AA572" s="200"/>
      <c r="AB572" s="200"/>
      <c r="AC572" s="201"/>
      <c r="AD572" s="201"/>
      <c r="AE572" s="200"/>
      <c r="AF572" s="200"/>
      <c r="AG572" s="209"/>
      <c r="AH572" s="201"/>
      <c r="AI572" s="252"/>
      <c r="AJ572" s="252"/>
      <c r="AK572" s="209"/>
      <c r="AL572" s="200"/>
      <c r="AM572" s="201"/>
      <c r="AN572" s="201"/>
    </row>
    <row r="573" spans="1:40" x14ac:dyDescent="0.25">
      <c r="F573" s="211"/>
      <c r="H573" s="211"/>
      <c r="I573" s="211"/>
      <c r="J573" s="329"/>
      <c r="K573" s="329"/>
      <c r="L573" s="211"/>
      <c r="M573" s="211"/>
      <c r="N573" s="211"/>
      <c r="O573" s="211"/>
      <c r="P573" s="211"/>
      <c r="Q573" s="211"/>
      <c r="R573" s="211"/>
      <c r="V573" s="211"/>
      <c r="Y573" s="211"/>
      <c r="Z573" s="305"/>
      <c r="AA573" s="211"/>
      <c r="AB573" s="211"/>
      <c r="AC573" s="211"/>
      <c r="AD573" s="211"/>
      <c r="AE573" s="211"/>
      <c r="AF573" s="211"/>
      <c r="AI573" s="211"/>
      <c r="AJ573" s="211"/>
      <c r="AK573" s="212"/>
      <c r="AL573" s="211"/>
    </row>
    <row r="575" spans="1:40" x14ac:dyDescent="0.25">
      <c r="C575" s="202"/>
      <c r="T575" s="202"/>
    </row>
    <row r="576" spans="1:40" x14ac:dyDescent="0.25">
      <c r="A576" s="154"/>
    </row>
    <row r="577" spans="1:40" x14ac:dyDescent="0.25">
      <c r="J577" s="202"/>
      <c r="K577" s="202"/>
      <c r="Z577" s="202"/>
    </row>
    <row r="578" spans="1:40" x14ac:dyDescent="0.25">
      <c r="H578" s="154"/>
      <c r="I578" s="154"/>
      <c r="Y578" s="154"/>
    </row>
    <row r="579" spans="1:40" x14ac:dyDescent="0.25">
      <c r="J579" s="202"/>
      <c r="K579" s="202"/>
      <c r="Z579" s="202"/>
    </row>
    <row r="580" spans="1:40" x14ac:dyDescent="0.25">
      <c r="L580" s="154"/>
      <c r="M580" s="154"/>
      <c r="AA580" s="154"/>
      <c r="AB580" s="154"/>
    </row>
    <row r="581" spans="1:40" x14ac:dyDescent="0.25">
      <c r="A581" s="202"/>
      <c r="R581" s="154"/>
      <c r="AK581" s="297"/>
      <c r="AL581" s="154"/>
    </row>
    <row r="582" spans="1:40" x14ac:dyDescent="0.25">
      <c r="A582" s="202"/>
      <c r="R582" s="154"/>
      <c r="AK582" s="297"/>
      <c r="AL582" s="154"/>
    </row>
    <row r="583" spans="1:40" x14ac:dyDescent="0.25">
      <c r="A583" s="154"/>
      <c r="R583" s="154"/>
      <c r="AK583" s="297"/>
      <c r="AL583" s="154"/>
    </row>
    <row r="584" spans="1:40" x14ac:dyDescent="0.25">
      <c r="L584" s="154"/>
      <c r="M584" s="154"/>
      <c r="R584" s="202"/>
      <c r="AA584" s="154"/>
      <c r="AB584" s="154"/>
      <c r="AK584" s="209"/>
      <c r="AL584" s="202"/>
    </row>
    <row r="585" spans="1:40" x14ac:dyDescent="0.25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208"/>
      <c r="AH585" s="102"/>
      <c r="AI585" s="102"/>
      <c r="AJ585" s="102"/>
      <c r="AK585" s="208"/>
      <c r="AL585" s="102"/>
      <c r="AM585" s="102"/>
      <c r="AN585" s="102"/>
    </row>
    <row r="586" spans="1:40" x14ac:dyDescent="0.25">
      <c r="L586" s="103"/>
      <c r="M586" s="103"/>
      <c r="N586" s="103"/>
      <c r="O586" s="103"/>
      <c r="R586" s="103"/>
      <c r="AA586" s="103"/>
      <c r="AB586" s="103"/>
      <c r="AC586" s="103"/>
      <c r="AD586" s="103"/>
      <c r="AE586" s="103"/>
      <c r="AF586" s="103"/>
      <c r="AG586" s="185"/>
      <c r="AH586" s="103"/>
      <c r="AK586" s="185"/>
      <c r="AL586" s="103"/>
      <c r="AM586" s="103"/>
      <c r="AN586" s="103"/>
    </row>
    <row r="587" spans="1:40" x14ac:dyDescent="0.25">
      <c r="L587" s="103"/>
      <c r="M587" s="103"/>
      <c r="N587" s="103"/>
      <c r="O587" s="103"/>
      <c r="R587" s="103"/>
      <c r="Z587" s="103"/>
      <c r="AA587" s="103"/>
      <c r="AB587" s="103"/>
      <c r="AC587" s="103"/>
      <c r="AD587" s="103"/>
      <c r="AE587" s="103"/>
      <c r="AF587" s="103"/>
      <c r="AG587" s="185"/>
      <c r="AH587" s="103"/>
      <c r="AK587" s="185"/>
      <c r="AL587" s="103"/>
      <c r="AM587" s="103"/>
      <c r="AN587" s="103"/>
    </row>
    <row r="588" spans="1:40" x14ac:dyDescent="0.25">
      <c r="A588" s="103"/>
      <c r="C588" s="103"/>
      <c r="D588" s="103"/>
      <c r="E588" s="103"/>
      <c r="F588" s="103"/>
      <c r="J588" s="103"/>
      <c r="K588" s="103"/>
      <c r="L588" s="103"/>
      <c r="M588" s="103"/>
      <c r="N588" s="103"/>
      <c r="O588" s="103"/>
      <c r="P588" s="103"/>
      <c r="Q588" s="103"/>
      <c r="R588" s="103"/>
      <c r="T588" s="103"/>
      <c r="U588" s="103"/>
      <c r="V588" s="103"/>
      <c r="Z588" s="103"/>
      <c r="AA588" s="103"/>
      <c r="AB588" s="103"/>
      <c r="AC588" s="103"/>
      <c r="AD588" s="103"/>
      <c r="AE588" s="103"/>
      <c r="AF588" s="103"/>
      <c r="AG588" s="185"/>
      <c r="AH588" s="103"/>
      <c r="AI588" s="103"/>
      <c r="AJ588" s="103"/>
      <c r="AK588" s="185"/>
      <c r="AL588" s="103"/>
      <c r="AM588" s="103"/>
      <c r="AN588" s="103"/>
    </row>
    <row r="589" spans="1:40" x14ac:dyDescent="0.25">
      <c r="A589" s="103"/>
      <c r="C589" s="103"/>
      <c r="D589" s="103"/>
      <c r="E589" s="103"/>
      <c r="F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T589" s="103"/>
      <c r="U589" s="103"/>
      <c r="V589" s="103"/>
      <c r="Y589" s="103"/>
      <c r="Z589" s="103"/>
      <c r="AA589" s="103"/>
      <c r="AB589" s="103"/>
      <c r="AC589" s="103"/>
      <c r="AD589" s="103"/>
      <c r="AE589" s="103"/>
      <c r="AF589" s="103"/>
      <c r="AG589" s="185"/>
      <c r="AH589" s="103"/>
      <c r="AI589" s="103"/>
      <c r="AJ589" s="103"/>
      <c r="AK589" s="185"/>
      <c r="AL589" s="103"/>
      <c r="AM589" s="103"/>
      <c r="AN589" s="103"/>
    </row>
    <row r="590" spans="1:40" x14ac:dyDescent="0.25">
      <c r="C590" s="103"/>
      <c r="D590" s="103"/>
      <c r="E590" s="103"/>
      <c r="F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T590" s="103"/>
      <c r="U590" s="103"/>
      <c r="V590" s="103"/>
      <c r="Y590" s="103"/>
      <c r="Z590" s="103"/>
      <c r="AA590" s="103"/>
      <c r="AB590" s="103"/>
      <c r="AC590" s="103"/>
      <c r="AD590" s="103"/>
      <c r="AE590" s="103"/>
      <c r="AF590" s="103"/>
      <c r="AG590" s="185"/>
      <c r="AH590" s="103"/>
      <c r="AI590" s="103"/>
      <c r="AJ590" s="103"/>
      <c r="AK590" s="185"/>
      <c r="AL590" s="103"/>
      <c r="AM590" s="103"/>
      <c r="AN590" s="103"/>
    </row>
    <row r="591" spans="1:40" x14ac:dyDescent="0.25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208"/>
      <c r="AH591" s="102"/>
      <c r="AI591" s="102"/>
      <c r="AJ591" s="102"/>
      <c r="AK591" s="208"/>
      <c r="AL591" s="102"/>
      <c r="AM591" s="102"/>
      <c r="AN591" s="102"/>
    </row>
    <row r="592" spans="1:40" x14ac:dyDescent="0.25"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Y592" s="103"/>
      <c r="Z592" s="103"/>
      <c r="AA592" s="103"/>
      <c r="AB592" s="103"/>
      <c r="AC592" s="103"/>
      <c r="AD592" s="103"/>
      <c r="AE592" s="103"/>
      <c r="AF592" s="103"/>
      <c r="AG592" s="185"/>
      <c r="AH592" s="103"/>
      <c r="AI592" s="103"/>
      <c r="AJ592" s="103"/>
      <c r="AK592" s="185"/>
      <c r="AL592" s="103"/>
      <c r="AM592" s="103"/>
      <c r="AN592" s="103"/>
    </row>
    <row r="593" spans="1:40" x14ac:dyDescent="0.25">
      <c r="A593" s="202"/>
      <c r="C593" s="154"/>
      <c r="D593" s="154"/>
      <c r="E593" s="154"/>
      <c r="T593" s="154"/>
      <c r="U593" s="154"/>
    </row>
    <row r="595" spans="1:40" x14ac:dyDescent="0.25">
      <c r="A595" s="202"/>
      <c r="C595" s="154"/>
      <c r="D595" s="154"/>
      <c r="E595" s="154"/>
      <c r="T595" s="154"/>
      <c r="U595" s="154"/>
    </row>
    <row r="596" spans="1:40" x14ac:dyDescent="0.25">
      <c r="A596" s="202"/>
      <c r="C596" s="154"/>
      <c r="T596" s="154"/>
    </row>
    <row r="597" spans="1:40" x14ac:dyDescent="0.25">
      <c r="A597" s="202"/>
      <c r="C597" s="154"/>
      <c r="T597" s="154"/>
    </row>
    <row r="598" spans="1:40" x14ac:dyDescent="0.25">
      <c r="A598" s="202"/>
      <c r="C598" s="154"/>
      <c r="F598" s="252"/>
      <c r="H598" s="252"/>
      <c r="I598" s="252"/>
      <c r="J598" s="329"/>
      <c r="K598" s="329"/>
      <c r="L598" s="200"/>
      <c r="M598" s="200"/>
      <c r="N598" s="210"/>
      <c r="O598" s="210"/>
      <c r="P598" s="200"/>
      <c r="Q598" s="200"/>
      <c r="R598" s="200"/>
      <c r="T598" s="154"/>
      <c r="V598" s="200"/>
      <c r="W598" s="200"/>
      <c r="X598" s="200"/>
      <c r="Y598" s="200"/>
      <c r="Z598" s="329"/>
      <c r="AA598" s="200"/>
      <c r="AB598" s="200"/>
      <c r="AC598" s="210"/>
      <c r="AD598" s="210"/>
      <c r="AE598" s="200"/>
      <c r="AF598" s="200"/>
      <c r="AG598" s="209"/>
      <c r="AH598" s="201"/>
      <c r="AI598" s="200"/>
      <c r="AJ598" s="200"/>
      <c r="AK598" s="209"/>
      <c r="AL598" s="200"/>
      <c r="AM598" s="210"/>
      <c r="AN598" s="210"/>
    </row>
    <row r="599" spans="1:40" x14ac:dyDescent="0.25">
      <c r="A599" s="202"/>
      <c r="C599" s="154"/>
      <c r="J599" s="334"/>
      <c r="K599" s="334"/>
      <c r="T599" s="154"/>
      <c r="V599" s="200"/>
      <c r="W599" s="200"/>
      <c r="X599" s="200"/>
      <c r="Y599" s="200"/>
      <c r="Z599" s="329"/>
    </row>
    <row r="600" spans="1:40" x14ac:dyDescent="0.25">
      <c r="A600" s="202"/>
      <c r="C600" s="154"/>
      <c r="F600" s="252"/>
      <c r="H600" s="252"/>
      <c r="I600" s="252"/>
      <c r="J600" s="329"/>
      <c r="K600" s="329"/>
      <c r="L600" s="200"/>
      <c r="M600" s="200"/>
      <c r="N600" s="210"/>
      <c r="O600" s="210"/>
      <c r="P600" s="200"/>
      <c r="Q600" s="200"/>
      <c r="R600" s="200"/>
      <c r="T600" s="154"/>
      <c r="V600" s="200"/>
      <c r="W600" s="200"/>
      <c r="X600" s="200"/>
      <c r="Y600" s="200"/>
      <c r="Z600" s="329"/>
      <c r="AA600" s="200"/>
      <c r="AB600" s="200"/>
      <c r="AC600" s="210"/>
      <c r="AD600" s="210"/>
      <c r="AE600" s="200"/>
      <c r="AF600" s="200"/>
      <c r="AG600" s="209"/>
      <c r="AH600" s="201"/>
      <c r="AI600" s="200"/>
      <c r="AJ600" s="200"/>
      <c r="AK600" s="209"/>
      <c r="AL600" s="200"/>
      <c r="AM600" s="210"/>
      <c r="AN600" s="210"/>
    </row>
    <row r="601" spans="1:40" x14ac:dyDescent="0.25">
      <c r="A601" s="202"/>
      <c r="C601" s="154"/>
      <c r="J601" s="334"/>
      <c r="K601" s="334"/>
      <c r="T601" s="154"/>
      <c r="V601" s="200"/>
      <c r="W601" s="200"/>
      <c r="X601" s="200"/>
      <c r="Y601" s="200"/>
      <c r="Z601" s="329"/>
    </row>
    <row r="602" spans="1:40" x14ac:dyDescent="0.25">
      <c r="A602" s="202"/>
      <c r="C602" s="154"/>
      <c r="F602" s="252"/>
      <c r="H602" s="252"/>
      <c r="I602" s="252"/>
      <c r="J602" s="329"/>
      <c r="K602" s="329"/>
      <c r="L602" s="200"/>
      <c r="M602" s="200"/>
      <c r="N602" s="210"/>
      <c r="O602" s="210"/>
      <c r="P602" s="200"/>
      <c r="Q602" s="200"/>
      <c r="R602" s="200"/>
      <c r="T602" s="154"/>
      <c r="V602" s="200"/>
      <c r="W602" s="200"/>
      <c r="X602" s="200"/>
      <c r="Y602" s="200"/>
      <c r="Z602" s="329"/>
      <c r="AA602" s="200"/>
      <c r="AB602" s="200"/>
      <c r="AC602" s="210"/>
      <c r="AD602" s="210"/>
      <c r="AE602" s="200"/>
      <c r="AF602" s="200"/>
      <c r="AG602" s="209"/>
      <c r="AH602" s="201"/>
      <c r="AI602" s="200"/>
      <c r="AJ602" s="200"/>
      <c r="AK602" s="209"/>
      <c r="AL602" s="200"/>
      <c r="AM602" s="210"/>
      <c r="AN602" s="210"/>
    </row>
    <row r="603" spans="1:40" x14ac:dyDescent="0.25">
      <c r="A603" s="202"/>
      <c r="C603" s="154"/>
      <c r="J603" s="334"/>
      <c r="K603" s="334"/>
      <c r="T603" s="154"/>
      <c r="V603" s="200"/>
      <c r="W603" s="200"/>
      <c r="X603" s="200"/>
      <c r="Y603" s="200"/>
      <c r="Z603" s="329"/>
    </row>
    <row r="604" spans="1:40" x14ac:dyDescent="0.25">
      <c r="A604" s="202"/>
      <c r="C604" s="154"/>
      <c r="F604" s="252"/>
      <c r="H604" s="252"/>
      <c r="I604" s="252"/>
      <c r="J604" s="329"/>
      <c r="K604" s="329"/>
      <c r="L604" s="200"/>
      <c r="M604" s="200"/>
      <c r="N604" s="210"/>
      <c r="O604" s="210"/>
      <c r="P604" s="200"/>
      <c r="Q604" s="200"/>
      <c r="R604" s="200"/>
      <c r="T604" s="154"/>
      <c r="V604" s="200"/>
      <c r="W604" s="200"/>
      <c r="X604" s="200"/>
      <c r="Y604" s="200"/>
      <c r="Z604" s="329"/>
      <c r="AA604" s="200"/>
      <c r="AB604" s="200"/>
      <c r="AC604" s="210"/>
      <c r="AD604" s="210"/>
      <c r="AE604" s="200"/>
      <c r="AF604" s="200"/>
      <c r="AG604" s="209"/>
      <c r="AH604" s="201"/>
      <c r="AI604" s="200"/>
      <c r="AJ604" s="200"/>
      <c r="AK604" s="209"/>
      <c r="AL604" s="200"/>
      <c r="AM604" s="210"/>
      <c r="AN604" s="210"/>
    </row>
    <row r="605" spans="1:40" x14ac:dyDescent="0.25">
      <c r="A605" s="202"/>
      <c r="C605" s="154"/>
      <c r="J605" s="334"/>
      <c r="K605" s="334"/>
      <c r="T605" s="154"/>
      <c r="V605" s="200"/>
      <c r="W605" s="200"/>
      <c r="X605" s="200"/>
      <c r="Y605" s="200"/>
      <c r="Z605" s="329"/>
    </row>
    <row r="606" spans="1:40" x14ac:dyDescent="0.25">
      <c r="A606" s="202"/>
      <c r="C606" s="154"/>
      <c r="F606" s="252"/>
      <c r="H606" s="252"/>
      <c r="I606" s="252"/>
      <c r="J606" s="329"/>
      <c r="K606" s="329"/>
      <c r="L606" s="200"/>
      <c r="M606" s="200"/>
      <c r="N606" s="210"/>
      <c r="O606" s="210"/>
      <c r="P606" s="200"/>
      <c r="Q606" s="200"/>
      <c r="R606" s="200"/>
      <c r="T606" s="154"/>
      <c r="V606" s="200"/>
      <c r="W606" s="200"/>
      <c r="X606" s="200"/>
      <c r="Y606" s="200"/>
      <c r="Z606" s="329"/>
      <c r="AA606" s="200"/>
      <c r="AB606" s="200"/>
      <c r="AC606" s="210"/>
      <c r="AD606" s="210"/>
      <c r="AE606" s="200"/>
      <c r="AF606" s="200"/>
      <c r="AG606" s="209"/>
      <c r="AH606" s="201"/>
      <c r="AI606" s="200"/>
      <c r="AJ606" s="200"/>
      <c r="AK606" s="209"/>
      <c r="AL606" s="200"/>
      <c r="AM606" s="210"/>
      <c r="AN606" s="210"/>
    </row>
    <row r="607" spans="1:40" x14ac:dyDescent="0.25">
      <c r="A607" s="202"/>
      <c r="C607" s="154"/>
      <c r="J607" s="334"/>
      <c r="K607" s="334"/>
      <c r="T607" s="154"/>
      <c r="V607" s="200"/>
      <c r="W607" s="200"/>
      <c r="X607" s="200"/>
      <c r="Y607" s="200"/>
      <c r="Z607" s="329"/>
    </row>
    <row r="608" spans="1:40" x14ac:dyDescent="0.25">
      <c r="A608" s="202"/>
      <c r="C608" s="154"/>
      <c r="F608" s="252"/>
      <c r="H608" s="252"/>
      <c r="I608" s="252"/>
      <c r="J608" s="329"/>
      <c r="K608" s="329"/>
      <c r="L608" s="200"/>
      <c r="M608" s="200"/>
      <c r="N608" s="210"/>
      <c r="O608" s="210"/>
      <c r="P608" s="200"/>
      <c r="Q608" s="200"/>
      <c r="R608" s="200"/>
      <c r="T608" s="154"/>
      <c r="V608" s="200"/>
      <c r="W608" s="200"/>
      <c r="X608" s="200"/>
      <c r="Y608" s="200"/>
      <c r="Z608" s="329"/>
      <c r="AA608" s="200"/>
      <c r="AB608" s="200"/>
      <c r="AC608" s="210"/>
      <c r="AD608" s="210"/>
      <c r="AE608" s="200"/>
      <c r="AF608" s="200"/>
      <c r="AG608" s="209"/>
      <c r="AH608" s="201"/>
      <c r="AI608" s="200"/>
      <c r="AJ608" s="200"/>
      <c r="AK608" s="209"/>
      <c r="AL608" s="200"/>
      <c r="AM608" s="210"/>
      <c r="AN608" s="210"/>
    </row>
    <row r="609" spans="1:40" x14ac:dyDescent="0.25">
      <c r="F609" s="211"/>
      <c r="H609" s="211"/>
      <c r="I609" s="211"/>
      <c r="J609" s="329"/>
      <c r="K609" s="329"/>
      <c r="L609" s="211"/>
      <c r="M609" s="211"/>
      <c r="N609" s="211"/>
      <c r="O609" s="211"/>
      <c r="P609" s="211"/>
      <c r="Q609" s="211"/>
      <c r="R609" s="211"/>
      <c r="V609" s="211"/>
      <c r="Y609" s="211"/>
      <c r="Z609" s="329"/>
      <c r="AA609" s="211"/>
      <c r="AB609" s="211"/>
      <c r="AC609" s="211"/>
      <c r="AD609" s="211"/>
      <c r="AE609" s="211"/>
      <c r="AF609" s="211"/>
      <c r="AI609" s="211"/>
      <c r="AJ609" s="211"/>
      <c r="AK609" s="212"/>
      <c r="AL609" s="211"/>
      <c r="AM609" s="210"/>
      <c r="AN609" s="210"/>
    </row>
    <row r="610" spans="1:40" x14ac:dyDescent="0.25">
      <c r="A610" s="202"/>
      <c r="C610" s="154"/>
      <c r="F610" s="200"/>
      <c r="H610" s="200"/>
      <c r="I610" s="200"/>
      <c r="J610" s="334"/>
      <c r="K610" s="334"/>
      <c r="L610" s="200"/>
      <c r="M610" s="200"/>
      <c r="N610" s="210"/>
      <c r="O610" s="210"/>
      <c r="P610" s="252"/>
      <c r="Q610" s="252"/>
      <c r="R610" s="200"/>
      <c r="T610" s="154"/>
      <c r="V610" s="200"/>
      <c r="W610" s="200"/>
      <c r="X610" s="200"/>
      <c r="Y610" s="200"/>
      <c r="Z610" s="329"/>
      <c r="AA610" s="200"/>
      <c r="AB610" s="200"/>
      <c r="AC610" s="210"/>
      <c r="AD610" s="210"/>
      <c r="AE610" s="200"/>
      <c r="AF610" s="200"/>
      <c r="AG610" s="209"/>
      <c r="AH610" s="201"/>
      <c r="AI610" s="252"/>
      <c r="AJ610" s="252"/>
      <c r="AK610" s="209"/>
      <c r="AL610" s="200"/>
      <c r="AM610" s="210"/>
      <c r="AN610" s="210"/>
    </row>
    <row r="611" spans="1:40" x14ac:dyDescent="0.25">
      <c r="F611" s="211"/>
      <c r="H611" s="211"/>
      <c r="I611" s="211"/>
      <c r="J611" s="329"/>
      <c r="K611" s="329"/>
      <c r="L611" s="211"/>
      <c r="M611" s="211"/>
      <c r="N611" s="211"/>
      <c r="O611" s="211"/>
      <c r="P611" s="211"/>
      <c r="Q611" s="211"/>
      <c r="R611" s="211"/>
      <c r="V611" s="211"/>
      <c r="Y611" s="211"/>
      <c r="Z611" s="329"/>
      <c r="AA611" s="211"/>
      <c r="AB611" s="211"/>
      <c r="AC611" s="211"/>
      <c r="AD611" s="211"/>
      <c r="AE611" s="211"/>
      <c r="AF611" s="211"/>
      <c r="AI611" s="211"/>
      <c r="AJ611" s="211"/>
      <c r="AK611" s="212"/>
      <c r="AL611" s="211"/>
    </row>
    <row r="612" spans="1:40" x14ac:dyDescent="0.25">
      <c r="A612" s="202"/>
      <c r="C612" s="154"/>
      <c r="D612" s="154"/>
      <c r="E612" s="154"/>
      <c r="J612" s="334"/>
      <c r="K612" s="334"/>
      <c r="T612" s="154"/>
      <c r="U612" s="154"/>
      <c r="V612" s="200"/>
      <c r="W612" s="200"/>
      <c r="X612" s="200"/>
      <c r="Y612" s="200"/>
      <c r="Z612" s="329"/>
    </row>
    <row r="613" spans="1:40" x14ac:dyDescent="0.25">
      <c r="A613" s="202"/>
      <c r="C613" s="154"/>
      <c r="J613" s="334"/>
      <c r="K613" s="334"/>
      <c r="T613" s="154"/>
      <c r="V613" s="200"/>
      <c r="W613" s="200"/>
      <c r="X613" s="200"/>
      <c r="Y613" s="200"/>
      <c r="Z613" s="329"/>
    </row>
    <row r="614" spans="1:40" x14ac:dyDescent="0.25">
      <c r="A614" s="202"/>
      <c r="C614" s="154"/>
      <c r="J614" s="334"/>
      <c r="K614" s="334"/>
      <c r="T614" s="154"/>
      <c r="V614" s="200"/>
      <c r="W614" s="200"/>
      <c r="X614" s="200"/>
      <c r="Y614" s="200"/>
      <c r="Z614" s="329"/>
    </row>
    <row r="615" spans="1:40" x14ac:dyDescent="0.25">
      <c r="A615" s="202"/>
      <c r="C615" s="154"/>
      <c r="F615" s="252"/>
      <c r="H615" s="252"/>
      <c r="I615" s="252"/>
      <c r="J615" s="329"/>
      <c r="K615" s="329"/>
      <c r="L615" s="200"/>
      <c r="M615" s="200"/>
      <c r="N615" s="210"/>
      <c r="O615" s="210"/>
      <c r="P615" s="200"/>
      <c r="Q615" s="200"/>
      <c r="R615" s="200"/>
      <c r="T615" s="154"/>
      <c r="V615" s="200"/>
      <c r="W615" s="200"/>
      <c r="X615" s="200"/>
      <c r="Y615" s="200"/>
      <c r="Z615" s="329"/>
      <c r="AA615" s="200"/>
      <c r="AB615" s="200"/>
      <c r="AC615" s="210"/>
      <c r="AD615" s="210"/>
      <c r="AE615" s="200"/>
      <c r="AF615" s="200"/>
      <c r="AG615" s="209"/>
      <c r="AH615" s="201"/>
      <c r="AI615" s="200"/>
      <c r="AJ615" s="200"/>
      <c r="AK615" s="209"/>
      <c r="AL615" s="200"/>
      <c r="AM615" s="210"/>
      <c r="AN615" s="210"/>
    </row>
    <row r="616" spans="1:40" x14ac:dyDescent="0.25">
      <c r="A616" s="202"/>
      <c r="C616" s="154"/>
      <c r="J616" s="334"/>
      <c r="K616" s="334"/>
      <c r="T616" s="154"/>
      <c r="V616" s="200"/>
      <c r="W616" s="200"/>
      <c r="X616" s="200"/>
      <c r="Y616" s="200"/>
      <c r="Z616" s="329"/>
    </row>
    <row r="617" spans="1:40" x14ac:dyDescent="0.25">
      <c r="A617" s="202"/>
      <c r="C617" s="154"/>
      <c r="F617" s="252"/>
      <c r="H617" s="252"/>
      <c r="I617" s="252"/>
      <c r="J617" s="329"/>
      <c r="K617" s="329"/>
      <c r="L617" s="200"/>
      <c r="M617" s="200"/>
      <c r="N617" s="210"/>
      <c r="O617" s="210"/>
      <c r="P617" s="200"/>
      <c r="Q617" s="200"/>
      <c r="R617" s="200"/>
      <c r="T617" s="154"/>
      <c r="V617" s="200"/>
      <c r="W617" s="200"/>
      <c r="X617" s="200"/>
      <c r="Y617" s="200"/>
      <c r="Z617" s="329"/>
      <c r="AA617" s="200"/>
      <c r="AB617" s="200"/>
      <c r="AC617" s="210"/>
      <c r="AD617" s="210"/>
      <c r="AE617" s="200"/>
      <c r="AF617" s="200"/>
      <c r="AG617" s="209"/>
      <c r="AH617" s="201"/>
      <c r="AI617" s="200"/>
      <c r="AJ617" s="200"/>
      <c r="AK617" s="209"/>
      <c r="AL617" s="200"/>
      <c r="AM617" s="210"/>
      <c r="AN617" s="210"/>
    </row>
    <row r="618" spans="1:40" x14ac:dyDescent="0.25">
      <c r="F618" s="211"/>
      <c r="H618" s="211"/>
      <c r="I618" s="211"/>
      <c r="J618" s="329"/>
      <c r="K618" s="329"/>
      <c r="L618" s="211"/>
      <c r="M618" s="211"/>
      <c r="N618" s="211"/>
      <c r="O618" s="211"/>
      <c r="P618" s="211"/>
      <c r="Q618" s="211"/>
      <c r="R618" s="211"/>
      <c r="V618" s="211"/>
      <c r="Y618" s="211"/>
      <c r="Z618" s="305"/>
      <c r="AA618" s="211"/>
      <c r="AB618" s="211"/>
      <c r="AC618" s="211"/>
      <c r="AD618" s="211"/>
      <c r="AE618" s="211"/>
      <c r="AF618" s="211"/>
      <c r="AI618" s="211"/>
      <c r="AJ618" s="211"/>
      <c r="AK618" s="212"/>
      <c r="AL618" s="211"/>
    </row>
    <row r="619" spans="1:40" x14ac:dyDescent="0.25">
      <c r="A619" s="202"/>
      <c r="C619" s="154"/>
      <c r="F619" s="200"/>
      <c r="H619" s="200"/>
      <c r="I619" s="200"/>
      <c r="L619" s="200"/>
      <c r="M619" s="200"/>
      <c r="N619" s="210"/>
      <c r="O619" s="210"/>
      <c r="P619" s="252"/>
      <c r="Q619" s="252"/>
      <c r="R619" s="200"/>
      <c r="T619" s="154"/>
      <c r="V619" s="200"/>
      <c r="W619" s="200"/>
      <c r="X619" s="200"/>
      <c r="Y619" s="200"/>
      <c r="Z619" s="328"/>
      <c r="AA619" s="200"/>
      <c r="AB619" s="200"/>
      <c r="AC619" s="210"/>
      <c r="AD619" s="210"/>
      <c r="AE619" s="200"/>
      <c r="AF619" s="200"/>
      <c r="AG619" s="209"/>
      <c r="AH619" s="201"/>
      <c r="AI619" s="252"/>
      <c r="AJ619" s="252"/>
      <c r="AK619" s="209"/>
      <c r="AL619" s="200"/>
      <c r="AM619" s="210"/>
      <c r="AN619" s="210"/>
    </row>
    <row r="620" spans="1:40" x14ac:dyDescent="0.25">
      <c r="F620" s="211"/>
      <c r="H620" s="211"/>
      <c r="I620" s="211"/>
      <c r="J620" s="305"/>
      <c r="K620" s="305"/>
      <c r="L620" s="211"/>
      <c r="M620" s="211"/>
      <c r="N620" s="211"/>
      <c r="O620" s="211"/>
      <c r="P620" s="211"/>
      <c r="Q620" s="211"/>
      <c r="R620" s="211"/>
      <c r="V620" s="211"/>
      <c r="Y620" s="211"/>
      <c r="Z620" s="305"/>
      <c r="AA620" s="211"/>
      <c r="AB620" s="211"/>
      <c r="AC620" s="211"/>
      <c r="AD620" s="211"/>
      <c r="AE620" s="211"/>
      <c r="AF620" s="211"/>
      <c r="AI620" s="211"/>
      <c r="AJ620" s="211"/>
      <c r="AK620" s="212"/>
      <c r="AL620" s="211"/>
    </row>
    <row r="621" spans="1:40" x14ac:dyDescent="0.25">
      <c r="A621" s="202"/>
      <c r="C621" s="154"/>
      <c r="D621" s="154"/>
      <c r="E621" s="154"/>
      <c r="T621" s="154"/>
      <c r="U621" s="154"/>
      <c r="V621" s="200"/>
      <c r="W621" s="200"/>
      <c r="X621" s="200"/>
      <c r="Y621" s="200"/>
      <c r="Z621" s="328"/>
    </row>
    <row r="622" spans="1:40" x14ac:dyDescent="0.25">
      <c r="A622" s="202"/>
      <c r="C622" s="154"/>
      <c r="T622" s="154"/>
      <c r="V622" s="200"/>
      <c r="W622" s="200"/>
      <c r="X622" s="200"/>
      <c r="Y622" s="200"/>
      <c r="Z622" s="328"/>
    </row>
    <row r="623" spans="1:40" x14ac:dyDescent="0.25">
      <c r="A623" s="202"/>
      <c r="C623" s="154"/>
      <c r="F623" s="252"/>
      <c r="H623" s="252"/>
      <c r="I623" s="252"/>
      <c r="J623" s="328"/>
      <c r="K623" s="328"/>
      <c r="L623" s="200"/>
      <c r="M623" s="200"/>
      <c r="N623" s="210"/>
      <c r="O623" s="210"/>
      <c r="P623" s="200"/>
      <c r="Q623" s="200"/>
      <c r="R623" s="200"/>
      <c r="T623" s="154"/>
      <c r="V623" s="200"/>
      <c r="W623" s="200"/>
      <c r="X623" s="200"/>
      <c r="Y623" s="200"/>
      <c r="Z623" s="328"/>
      <c r="AA623" s="200"/>
      <c r="AB623" s="200"/>
      <c r="AC623" s="210"/>
      <c r="AD623" s="210"/>
      <c r="AE623" s="200"/>
      <c r="AF623" s="200"/>
      <c r="AG623" s="209"/>
      <c r="AH623" s="201"/>
      <c r="AI623" s="200"/>
      <c r="AJ623" s="200"/>
      <c r="AK623" s="209"/>
      <c r="AL623" s="200"/>
      <c r="AM623" s="210"/>
      <c r="AN623" s="210"/>
    </row>
    <row r="624" spans="1:40" x14ac:dyDescent="0.25">
      <c r="A624" s="202"/>
      <c r="C624" s="154"/>
      <c r="T624" s="154"/>
      <c r="V624" s="200"/>
      <c r="W624" s="200"/>
      <c r="X624" s="200"/>
      <c r="Y624" s="200"/>
      <c r="Z624" s="328"/>
    </row>
    <row r="625" spans="1:40" x14ac:dyDescent="0.25">
      <c r="A625" s="202"/>
      <c r="C625" s="154"/>
      <c r="F625" s="252"/>
      <c r="H625" s="252"/>
      <c r="I625" s="252"/>
      <c r="J625" s="328"/>
      <c r="K625" s="328"/>
      <c r="L625" s="200"/>
      <c r="M625" s="200"/>
      <c r="N625" s="210"/>
      <c r="O625" s="210"/>
      <c r="P625" s="200"/>
      <c r="Q625" s="200"/>
      <c r="R625" s="200"/>
      <c r="T625" s="154"/>
      <c r="V625" s="200"/>
      <c r="W625" s="200"/>
      <c r="X625" s="200"/>
      <c r="Y625" s="200"/>
      <c r="Z625" s="328"/>
      <c r="AA625" s="200"/>
      <c r="AB625" s="200"/>
      <c r="AC625" s="210"/>
      <c r="AD625" s="210"/>
      <c r="AE625" s="200"/>
      <c r="AF625" s="200"/>
      <c r="AG625" s="209"/>
      <c r="AH625" s="201"/>
      <c r="AI625" s="200"/>
      <c r="AJ625" s="200"/>
      <c r="AK625" s="209"/>
      <c r="AL625" s="200"/>
      <c r="AM625" s="210"/>
      <c r="AN625" s="210"/>
    </row>
    <row r="626" spans="1:40" x14ac:dyDescent="0.25">
      <c r="A626" s="202"/>
      <c r="C626" s="154"/>
      <c r="T626" s="154"/>
      <c r="V626" s="200"/>
      <c r="W626" s="200"/>
      <c r="X626" s="200"/>
      <c r="Y626" s="200"/>
      <c r="Z626" s="328"/>
    </row>
    <row r="627" spans="1:40" x14ac:dyDescent="0.25">
      <c r="A627" s="202"/>
      <c r="C627" s="154"/>
      <c r="F627" s="252"/>
      <c r="H627" s="252"/>
      <c r="I627" s="252"/>
      <c r="J627" s="328"/>
      <c r="K627" s="328"/>
      <c r="L627" s="200"/>
      <c r="M627" s="200"/>
      <c r="N627" s="210"/>
      <c r="O627" s="210"/>
      <c r="P627" s="200"/>
      <c r="Q627" s="200"/>
      <c r="R627" s="200"/>
      <c r="T627" s="154"/>
      <c r="V627" s="200"/>
      <c r="W627" s="200"/>
      <c r="X627" s="200"/>
      <c r="Y627" s="200"/>
      <c r="Z627" s="328"/>
      <c r="AA627" s="200"/>
      <c r="AB627" s="200"/>
      <c r="AC627" s="210"/>
      <c r="AD627" s="210"/>
      <c r="AE627" s="200"/>
      <c r="AF627" s="200"/>
      <c r="AG627" s="209"/>
      <c r="AH627" s="201"/>
      <c r="AI627" s="200"/>
      <c r="AJ627" s="200"/>
      <c r="AK627" s="209"/>
      <c r="AL627" s="200"/>
      <c r="AM627" s="210"/>
      <c r="AN627" s="210"/>
    </row>
    <row r="628" spans="1:40" x14ac:dyDescent="0.25">
      <c r="A628" s="202"/>
      <c r="C628" s="154"/>
      <c r="T628" s="154"/>
      <c r="V628" s="200"/>
      <c r="W628" s="200"/>
      <c r="X628" s="200"/>
      <c r="Y628" s="200"/>
      <c r="Z628" s="328"/>
    </row>
    <row r="629" spans="1:40" x14ac:dyDescent="0.25">
      <c r="A629" s="202"/>
      <c r="C629" s="154"/>
      <c r="F629" s="252"/>
      <c r="H629" s="252"/>
      <c r="I629" s="252"/>
      <c r="J629" s="328"/>
      <c r="K629" s="328"/>
      <c r="L629" s="200"/>
      <c r="M629" s="200"/>
      <c r="N629" s="210"/>
      <c r="O629" s="210"/>
      <c r="P629" s="200"/>
      <c r="Q629" s="200"/>
      <c r="R629" s="200"/>
      <c r="T629" s="154"/>
      <c r="V629" s="200"/>
      <c r="W629" s="200"/>
      <c r="X629" s="200"/>
      <c r="Y629" s="200"/>
      <c r="Z629" s="328"/>
      <c r="AA629" s="200"/>
      <c r="AB629" s="200"/>
      <c r="AC629" s="210"/>
      <c r="AD629" s="210"/>
      <c r="AE629" s="200"/>
      <c r="AF629" s="200"/>
      <c r="AG629" s="209"/>
      <c r="AH629" s="201"/>
      <c r="AI629" s="200"/>
      <c r="AJ629" s="200"/>
      <c r="AK629" s="209"/>
      <c r="AL629" s="200"/>
      <c r="AM629" s="210"/>
      <c r="AN629" s="210"/>
    </row>
    <row r="630" spans="1:40" x14ac:dyDescent="0.25">
      <c r="F630" s="211"/>
      <c r="H630" s="211"/>
      <c r="I630" s="211"/>
      <c r="J630" s="305"/>
      <c r="K630" s="305"/>
      <c r="L630" s="211"/>
      <c r="M630" s="211"/>
      <c r="N630" s="211"/>
      <c r="O630" s="211"/>
      <c r="P630" s="211"/>
      <c r="Q630" s="211"/>
      <c r="R630" s="211"/>
      <c r="V630" s="211"/>
      <c r="Y630" s="211"/>
      <c r="Z630" s="305"/>
      <c r="AA630" s="211"/>
      <c r="AB630" s="211"/>
      <c r="AC630" s="211"/>
      <c r="AD630" s="211"/>
      <c r="AE630" s="211"/>
      <c r="AF630" s="211"/>
      <c r="AI630" s="211"/>
      <c r="AJ630" s="211"/>
      <c r="AK630" s="212"/>
      <c r="AL630" s="211"/>
    </row>
    <row r="631" spans="1:40" x14ac:dyDescent="0.25">
      <c r="A631" s="202"/>
      <c r="C631" s="154"/>
      <c r="F631" s="200"/>
      <c r="H631" s="200"/>
      <c r="I631" s="200"/>
      <c r="L631" s="200"/>
      <c r="M631" s="200"/>
      <c r="N631" s="210"/>
      <c r="O631" s="210"/>
      <c r="P631" s="252"/>
      <c r="Q631" s="252"/>
      <c r="R631" s="200"/>
      <c r="T631" s="154"/>
      <c r="V631" s="200"/>
      <c r="W631" s="200"/>
      <c r="X631" s="200"/>
      <c r="Y631" s="200"/>
      <c r="Z631" s="328"/>
      <c r="AA631" s="200"/>
      <c r="AB631" s="200"/>
      <c r="AC631" s="210"/>
      <c r="AD631" s="210"/>
      <c r="AE631" s="200"/>
      <c r="AF631" s="200"/>
      <c r="AG631" s="209"/>
      <c r="AH631" s="201"/>
      <c r="AI631" s="252"/>
      <c r="AJ631" s="252"/>
      <c r="AK631" s="209"/>
      <c r="AL631" s="200"/>
      <c r="AM631" s="210"/>
      <c r="AN631" s="210"/>
    </row>
    <row r="632" spans="1:40" x14ac:dyDescent="0.25">
      <c r="F632" s="211"/>
      <c r="H632" s="211"/>
      <c r="I632" s="211"/>
      <c r="J632" s="305"/>
      <c r="K632" s="305"/>
      <c r="L632" s="211"/>
      <c r="M632" s="211"/>
      <c r="N632" s="211"/>
      <c r="O632" s="211"/>
      <c r="P632" s="211"/>
      <c r="Q632" s="211"/>
      <c r="R632" s="211"/>
      <c r="V632" s="211"/>
      <c r="Y632" s="211"/>
      <c r="Z632" s="305"/>
      <c r="AA632" s="211"/>
      <c r="AB632" s="211"/>
      <c r="AC632" s="211"/>
      <c r="AD632" s="211"/>
      <c r="AE632" s="211"/>
      <c r="AF632" s="211"/>
      <c r="AI632" s="211"/>
      <c r="AJ632" s="211"/>
      <c r="AK632" s="212"/>
      <c r="AL632" s="211"/>
    </row>
    <row r="633" spans="1:40" x14ac:dyDescent="0.25">
      <c r="A633" s="202"/>
      <c r="C633" s="154"/>
      <c r="F633" s="200"/>
      <c r="H633" s="200"/>
      <c r="I633" s="200"/>
      <c r="L633" s="200"/>
      <c r="M633" s="200"/>
      <c r="N633" s="210"/>
      <c r="O633" s="210"/>
      <c r="P633" s="200"/>
      <c r="Q633" s="200"/>
      <c r="R633" s="200"/>
      <c r="T633" s="154"/>
      <c r="V633" s="200"/>
      <c r="W633" s="200"/>
      <c r="X633" s="200"/>
      <c r="Y633" s="200"/>
      <c r="AA633" s="200"/>
      <c r="AB633" s="200"/>
      <c r="AC633" s="210"/>
      <c r="AD633" s="210"/>
      <c r="AE633" s="200"/>
      <c r="AF633" s="200"/>
      <c r="AG633" s="209"/>
      <c r="AH633" s="201"/>
      <c r="AI633" s="200"/>
      <c r="AJ633" s="200"/>
      <c r="AK633" s="209"/>
      <c r="AL633" s="200"/>
      <c r="AM633" s="201"/>
      <c r="AN633" s="201"/>
    </row>
    <row r="634" spans="1:40" x14ac:dyDescent="0.25">
      <c r="F634" s="211"/>
      <c r="H634" s="211"/>
      <c r="I634" s="211"/>
      <c r="J634" s="305"/>
      <c r="K634" s="305"/>
      <c r="L634" s="211"/>
      <c r="M634" s="211"/>
      <c r="N634" s="211"/>
      <c r="O634" s="211"/>
      <c r="P634" s="211"/>
      <c r="Q634" s="211"/>
      <c r="R634" s="211"/>
      <c r="V634" s="211"/>
      <c r="Y634" s="211"/>
      <c r="Z634" s="305"/>
      <c r="AA634" s="211"/>
      <c r="AB634" s="211"/>
      <c r="AC634" s="211"/>
      <c r="AD634" s="211"/>
      <c r="AE634" s="211"/>
      <c r="AF634" s="211"/>
      <c r="AI634" s="211"/>
      <c r="AJ634" s="211"/>
      <c r="AK634" s="212"/>
      <c r="AL634" s="211"/>
    </row>
    <row r="636" spans="1:40" x14ac:dyDescent="0.25">
      <c r="C636" s="202"/>
      <c r="T636" s="202"/>
    </row>
    <row r="637" spans="1:40" x14ac:dyDescent="0.25">
      <c r="A637" s="154"/>
    </row>
    <row r="638" spans="1:40" x14ac:dyDescent="0.25">
      <c r="J638" s="202"/>
      <c r="K638" s="202"/>
      <c r="Z638" s="202"/>
    </row>
    <row r="639" spans="1:40" x14ac:dyDescent="0.25">
      <c r="H639" s="154"/>
      <c r="I639" s="154"/>
      <c r="Y639" s="154"/>
    </row>
    <row r="640" spans="1:40" x14ac:dyDescent="0.25">
      <c r="J640" s="202"/>
      <c r="K640" s="202"/>
      <c r="Z640" s="202"/>
    </row>
    <row r="641" spans="1:40" x14ac:dyDescent="0.25">
      <c r="L641" s="154"/>
      <c r="M641" s="154"/>
      <c r="AA641" s="154"/>
      <c r="AB641" s="154"/>
    </row>
    <row r="642" spans="1:40" x14ac:dyDescent="0.25">
      <c r="A642" s="202"/>
      <c r="R642" s="154"/>
      <c r="AK642" s="297"/>
      <c r="AL642" s="154"/>
    </row>
    <row r="643" spans="1:40" x14ac:dyDescent="0.25">
      <c r="A643" s="202"/>
      <c r="R643" s="154"/>
      <c r="AK643" s="297"/>
      <c r="AL643" s="154"/>
    </row>
    <row r="644" spans="1:40" x14ac:dyDescent="0.25">
      <c r="A644" s="154"/>
      <c r="R644" s="154"/>
      <c r="AK644" s="297"/>
      <c r="AL644" s="154"/>
    </row>
    <row r="645" spans="1:40" x14ac:dyDescent="0.25">
      <c r="L645" s="154"/>
      <c r="M645" s="154"/>
      <c r="R645" s="202"/>
      <c r="AA645" s="154"/>
      <c r="AB645" s="154"/>
      <c r="AK645" s="209"/>
      <c r="AL645" s="202"/>
    </row>
    <row r="646" spans="1:40" x14ac:dyDescent="0.25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208"/>
      <c r="AH646" s="102"/>
      <c r="AI646" s="102"/>
      <c r="AJ646" s="102"/>
      <c r="AK646" s="208"/>
      <c r="AL646" s="102"/>
      <c r="AM646" s="102"/>
      <c r="AN646" s="102"/>
    </row>
    <row r="647" spans="1:40" x14ac:dyDescent="0.25">
      <c r="L647" s="103"/>
      <c r="M647" s="103"/>
      <c r="N647" s="103"/>
      <c r="O647" s="103"/>
      <c r="R647" s="103"/>
      <c r="AA647" s="103"/>
      <c r="AB647" s="103"/>
      <c r="AC647" s="103"/>
      <c r="AD647" s="103"/>
      <c r="AE647" s="103"/>
      <c r="AF647" s="103"/>
      <c r="AG647" s="185"/>
      <c r="AH647" s="103"/>
      <c r="AK647" s="185"/>
      <c r="AL647" s="103"/>
      <c r="AM647" s="103"/>
      <c r="AN647" s="103"/>
    </row>
    <row r="648" spans="1:40" x14ac:dyDescent="0.25">
      <c r="L648" s="103"/>
      <c r="M648" s="103"/>
      <c r="N648" s="103"/>
      <c r="O648" s="103"/>
      <c r="R648" s="103"/>
      <c r="Z648" s="103"/>
      <c r="AA648" s="103"/>
      <c r="AB648" s="103"/>
      <c r="AC648" s="103"/>
      <c r="AD648" s="103"/>
      <c r="AE648" s="103"/>
      <c r="AF648" s="103"/>
      <c r="AG648" s="185"/>
      <c r="AH648" s="103"/>
      <c r="AK648" s="185"/>
      <c r="AL648" s="103"/>
      <c r="AM648" s="103"/>
      <c r="AN648" s="103"/>
    </row>
    <row r="649" spans="1:40" x14ac:dyDescent="0.25">
      <c r="A649" s="103"/>
      <c r="C649" s="103"/>
      <c r="D649" s="103"/>
      <c r="E649" s="103"/>
      <c r="F649" s="103"/>
      <c r="J649" s="103"/>
      <c r="K649" s="103"/>
      <c r="L649" s="103"/>
      <c r="M649" s="103"/>
      <c r="N649" s="103"/>
      <c r="O649" s="103"/>
      <c r="P649" s="103"/>
      <c r="Q649" s="103"/>
      <c r="R649" s="103"/>
      <c r="T649" s="103"/>
      <c r="U649" s="103"/>
      <c r="V649" s="103"/>
      <c r="Z649" s="103"/>
      <c r="AA649" s="103"/>
      <c r="AB649" s="103"/>
      <c r="AC649" s="103"/>
      <c r="AD649" s="103"/>
      <c r="AE649" s="103"/>
      <c r="AF649" s="103"/>
      <c r="AG649" s="185"/>
      <c r="AH649" s="103"/>
      <c r="AI649" s="103"/>
      <c r="AJ649" s="103"/>
      <c r="AK649" s="185"/>
      <c r="AL649" s="103"/>
      <c r="AM649" s="103"/>
      <c r="AN649" s="103"/>
    </row>
    <row r="650" spans="1:40" x14ac:dyDescent="0.25">
      <c r="A650" s="103"/>
      <c r="C650" s="103"/>
      <c r="D650" s="103"/>
      <c r="E650" s="103"/>
      <c r="F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T650" s="103"/>
      <c r="U650" s="103"/>
      <c r="V650" s="103"/>
      <c r="Y650" s="103"/>
      <c r="Z650" s="103"/>
      <c r="AA650" s="103"/>
      <c r="AB650" s="103"/>
      <c r="AC650" s="103"/>
      <c r="AD650" s="103"/>
      <c r="AE650" s="103"/>
      <c r="AF650" s="103"/>
      <c r="AG650" s="185"/>
      <c r="AH650" s="103"/>
      <c r="AI650" s="103"/>
      <c r="AJ650" s="103"/>
      <c r="AK650" s="185"/>
      <c r="AL650" s="103"/>
      <c r="AM650" s="103"/>
      <c r="AN650" s="103"/>
    </row>
    <row r="651" spans="1:40" x14ac:dyDescent="0.25">
      <c r="C651" s="103"/>
      <c r="D651" s="103"/>
      <c r="E651" s="103"/>
      <c r="F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T651" s="103"/>
      <c r="U651" s="103"/>
      <c r="V651" s="103"/>
      <c r="Y651" s="103"/>
      <c r="Z651" s="103"/>
      <c r="AA651" s="103"/>
      <c r="AB651" s="103"/>
      <c r="AC651" s="103"/>
      <c r="AD651" s="103"/>
      <c r="AE651" s="103"/>
      <c r="AF651" s="103"/>
      <c r="AG651" s="185"/>
      <c r="AH651" s="103"/>
      <c r="AI651" s="103"/>
      <c r="AJ651" s="103"/>
      <c r="AK651" s="185"/>
      <c r="AL651" s="103"/>
      <c r="AM651" s="103"/>
      <c r="AN651" s="103"/>
    </row>
    <row r="652" spans="1:40" x14ac:dyDescent="0.25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208"/>
      <c r="AH652" s="102"/>
      <c r="AI652" s="102"/>
      <c r="AJ652" s="102"/>
      <c r="AK652" s="208"/>
      <c r="AL652" s="102"/>
      <c r="AM652" s="102"/>
      <c r="AN652" s="102"/>
    </row>
    <row r="653" spans="1:40" x14ac:dyDescent="0.25"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Y653" s="103"/>
      <c r="Z653" s="103"/>
      <c r="AA653" s="103"/>
      <c r="AB653" s="103"/>
      <c r="AC653" s="103"/>
      <c r="AD653" s="103"/>
      <c r="AE653" s="103"/>
      <c r="AF653" s="103"/>
      <c r="AG653" s="185"/>
      <c r="AH653" s="103"/>
      <c r="AI653" s="103"/>
      <c r="AJ653" s="103"/>
      <c r="AK653" s="185"/>
      <c r="AL653" s="103"/>
      <c r="AM653" s="103"/>
      <c r="AN653" s="103"/>
    </row>
    <row r="654" spans="1:40" x14ac:dyDescent="0.25">
      <c r="A654" s="202"/>
      <c r="C654" s="154"/>
      <c r="D654" s="154"/>
      <c r="E654" s="154"/>
      <c r="F654" s="200"/>
      <c r="H654" s="200"/>
      <c r="I654" s="200"/>
      <c r="J654" s="213"/>
      <c r="K654" s="213"/>
      <c r="L654" s="200"/>
      <c r="M654" s="200"/>
      <c r="N654" s="213"/>
      <c r="O654" s="213"/>
      <c r="P654" s="200"/>
      <c r="Q654" s="200"/>
      <c r="R654" s="200"/>
      <c r="T654" s="154"/>
      <c r="U654" s="154"/>
      <c r="V654" s="200"/>
      <c r="Y654" s="200"/>
      <c r="Z654" s="213"/>
      <c r="AA654" s="200"/>
      <c r="AB654" s="200"/>
      <c r="AC654" s="213"/>
      <c r="AD654" s="213"/>
      <c r="AE654" s="200"/>
      <c r="AF654" s="200"/>
      <c r="AG654" s="209"/>
      <c r="AH654" s="201"/>
      <c r="AI654" s="200"/>
      <c r="AJ654" s="200"/>
      <c r="AK654" s="209"/>
      <c r="AL654" s="200"/>
      <c r="AM654" s="210"/>
      <c r="AN654" s="210"/>
    </row>
    <row r="655" spans="1:40" x14ac:dyDescent="0.25">
      <c r="F655" s="211"/>
      <c r="H655" s="211"/>
      <c r="I655" s="211"/>
      <c r="J655" s="305"/>
      <c r="K655" s="305"/>
      <c r="L655" s="211"/>
      <c r="M655" s="211"/>
      <c r="N655" s="211"/>
      <c r="O655" s="211"/>
      <c r="P655" s="211"/>
      <c r="Q655" s="211"/>
      <c r="R655" s="211"/>
      <c r="V655" s="211"/>
      <c r="Y655" s="211"/>
      <c r="Z655" s="305"/>
      <c r="AA655" s="211"/>
      <c r="AB655" s="211"/>
      <c r="AC655" s="211"/>
      <c r="AD655" s="211"/>
      <c r="AE655" s="211"/>
      <c r="AF655" s="211"/>
      <c r="AI655" s="211"/>
      <c r="AJ655" s="211"/>
      <c r="AK655" s="212"/>
      <c r="AL655" s="211"/>
      <c r="AM655" s="210"/>
      <c r="AN655" s="210"/>
    </row>
    <row r="656" spans="1:40" x14ac:dyDescent="0.25">
      <c r="A656" s="202"/>
      <c r="C656" s="154"/>
      <c r="F656" s="200"/>
      <c r="H656" s="200"/>
      <c r="I656" s="200"/>
      <c r="J656" s="213"/>
      <c r="K656" s="213"/>
      <c r="L656" s="200"/>
      <c r="M656" s="200"/>
      <c r="N656" s="213"/>
      <c r="O656" s="213"/>
      <c r="P656" s="200"/>
      <c r="Q656" s="200"/>
      <c r="R656" s="200"/>
      <c r="T656" s="154"/>
      <c r="V656" s="200"/>
      <c r="Y656" s="200"/>
      <c r="Z656" s="213"/>
      <c r="AA656" s="200"/>
      <c r="AB656" s="200"/>
      <c r="AC656" s="213"/>
      <c r="AD656" s="213"/>
      <c r="AE656" s="200"/>
      <c r="AF656" s="200"/>
      <c r="AG656" s="209"/>
      <c r="AH656" s="201"/>
      <c r="AI656" s="200"/>
      <c r="AJ656" s="200"/>
      <c r="AK656" s="209"/>
      <c r="AL656" s="200"/>
      <c r="AM656" s="210"/>
      <c r="AN656" s="210"/>
    </row>
    <row r="657" spans="1:40" x14ac:dyDescent="0.25">
      <c r="F657" s="200"/>
      <c r="H657" s="200"/>
      <c r="I657" s="200"/>
      <c r="J657" s="213"/>
      <c r="K657" s="213"/>
      <c r="L657" s="200"/>
      <c r="M657" s="200"/>
      <c r="N657" s="213"/>
      <c r="O657" s="213"/>
      <c r="P657" s="200"/>
      <c r="Q657" s="200"/>
      <c r="R657" s="200"/>
      <c r="V657" s="200"/>
      <c r="Y657" s="200"/>
      <c r="Z657" s="213"/>
      <c r="AA657" s="200"/>
      <c r="AB657" s="200"/>
      <c r="AC657" s="213"/>
      <c r="AD657" s="213"/>
      <c r="AG657" s="209"/>
      <c r="AH657" s="201"/>
      <c r="AI657" s="200"/>
      <c r="AJ657" s="200"/>
      <c r="AK657" s="209"/>
      <c r="AL657" s="200"/>
      <c r="AM657" s="210"/>
      <c r="AN657" s="210"/>
    </row>
    <row r="658" spans="1:40" x14ac:dyDescent="0.25">
      <c r="A658" s="202"/>
      <c r="C658" s="154"/>
      <c r="D658" s="154"/>
      <c r="E658" s="154"/>
      <c r="F658" s="200"/>
      <c r="H658" s="200"/>
      <c r="I658" s="200"/>
      <c r="J658" s="213"/>
      <c r="K658" s="213"/>
      <c r="L658" s="200"/>
      <c r="M658" s="200"/>
      <c r="N658" s="213"/>
      <c r="O658" s="213"/>
      <c r="P658" s="200"/>
      <c r="Q658" s="200"/>
      <c r="R658" s="200"/>
      <c r="T658" s="154"/>
      <c r="U658" s="154"/>
      <c r="V658" s="200"/>
      <c r="Y658" s="200"/>
      <c r="Z658" s="213"/>
      <c r="AA658" s="200"/>
      <c r="AB658" s="200"/>
      <c r="AC658" s="213"/>
      <c r="AD658" s="213"/>
      <c r="AE658" s="200"/>
      <c r="AF658" s="200"/>
      <c r="AG658" s="209"/>
      <c r="AH658" s="201"/>
      <c r="AI658" s="200"/>
      <c r="AJ658" s="200"/>
      <c r="AK658" s="209"/>
      <c r="AL658" s="200"/>
      <c r="AM658" s="210"/>
      <c r="AN658" s="210"/>
    </row>
    <row r="659" spans="1:40" x14ac:dyDescent="0.25">
      <c r="A659" s="202"/>
      <c r="C659" s="154"/>
      <c r="D659" s="154"/>
      <c r="E659" s="154"/>
      <c r="F659" s="200"/>
      <c r="H659" s="200"/>
      <c r="I659" s="200"/>
      <c r="J659" s="213"/>
      <c r="K659" s="213"/>
      <c r="L659" s="200"/>
      <c r="M659" s="200"/>
      <c r="N659" s="213"/>
      <c r="O659" s="213"/>
      <c r="P659" s="200"/>
      <c r="Q659" s="200"/>
      <c r="R659" s="200"/>
      <c r="T659" s="154"/>
      <c r="U659" s="154"/>
      <c r="V659" s="200"/>
      <c r="Y659" s="200"/>
      <c r="Z659" s="213"/>
      <c r="AA659" s="200"/>
      <c r="AB659" s="200"/>
      <c r="AC659" s="213"/>
      <c r="AD659" s="213"/>
      <c r="AE659" s="200"/>
      <c r="AF659" s="200"/>
      <c r="AG659" s="209"/>
      <c r="AH659" s="201"/>
      <c r="AI659" s="200"/>
      <c r="AJ659" s="200"/>
      <c r="AK659" s="209"/>
      <c r="AL659" s="200"/>
      <c r="AM659" s="210"/>
      <c r="AN659" s="210"/>
    </row>
    <row r="660" spans="1:40" x14ac:dyDescent="0.25">
      <c r="A660" s="202"/>
      <c r="C660" s="154"/>
      <c r="D660" s="154"/>
      <c r="E660" s="154"/>
      <c r="F660" s="200"/>
      <c r="H660" s="200"/>
      <c r="I660" s="200"/>
      <c r="J660" s="213"/>
      <c r="K660" s="213"/>
      <c r="L660" s="200"/>
      <c r="M660" s="200"/>
      <c r="N660" s="213"/>
      <c r="O660" s="213"/>
      <c r="P660" s="200"/>
      <c r="Q660" s="200"/>
      <c r="R660" s="200"/>
      <c r="T660" s="154"/>
      <c r="U660" s="154"/>
      <c r="V660" s="200"/>
      <c r="Y660" s="200"/>
      <c r="Z660" s="213"/>
      <c r="AA660" s="200"/>
      <c r="AB660" s="200"/>
      <c r="AC660" s="213"/>
      <c r="AD660" s="213"/>
      <c r="AE660" s="200"/>
      <c r="AF660" s="200"/>
      <c r="AG660" s="209"/>
      <c r="AH660" s="201"/>
      <c r="AI660" s="200"/>
      <c r="AJ660" s="200"/>
      <c r="AK660" s="209"/>
      <c r="AL660" s="200"/>
      <c r="AM660" s="210"/>
      <c r="AN660" s="210"/>
    </row>
    <row r="661" spans="1:40" x14ac:dyDescent="0.25">
      <c r="A661" s="202"/>
      <c r="C661" s="154"/>
      <c r="D661" s="154"/>
      <c r="E661" s="154"/>
      <c r="F661" s="200"/>
      <c r="H661" s="200"/>
      <c r="I661" s="200"/>
      <c r="J661" s="213"/>
      <c r="K661" s="213"/>
      <c r="L661" s="200"/>
      <c r="M661" s="200"/>
      <c r="N661" s="213"/>
      <c r="O661" s="213"/>
      <c r="P661" s="200"/>
      <c r="Q661" s="200"/>
      <c r="R661" s="200"/>
      <c r="T661" s="154"/>
      <c r="U661" s="154"/>
      <c r="V661" s="200"/>
      <c r="Y661" s="200"/>
      <c r="Z661" s="213"/>
      <c r="AA661" s="200"/>
      <c r="AB661" s="200"/>
      <c r="AC661" s="213"/>
      <c r="AD661" s="213"/>
      <c r="AE661" s="200"/>
      <c r="AF661" s="200"/>
      <c r="AG661" s="209"/>
      <c r="AH661" s="201"/>
      <c r="AI661" s="200"/>
      <c r="AJ661" s="200"/>
      <c r="AK661" s="209"/>
      <c r="AL661" s="200"/>
      <c r="AM661" s="210"/>
      <c r="AN661" s="210"/>
    </row>
    <row r="662" spans="1:40" x14ac:dyDescent="0.25">
      <c r="A662" s="202"/>
      <c r="C662" s="154"/>
      <c r="D662" s="154"/>
      <c r="E662" s="154"/>
      <c r="F662" s="200"/>
      <c r="H662" s="200"/>
      <c r="I662" s="200"/>
      <c r="J662" s="213"/>
      <c r="K662" s="213"/>
      <c r="L662" s="200"/>
      <c r="M662" s="200"/>
      <c r="N662" s="213"/>
      <c r="O662" s="213"/>
      <c r="P662" s="200"/>
      <c r="Q662" s="200"/>
      <c r="R662" s="200"/>
      <c r="T662" s="154"/>
      <c r="U662" s="154"/>
      <c r="V662" s="200"/>
      <c r="Y662" s="200"/>
      <c r="Z662" s="213"/>
      <c r="AA662" s="200"/>
      <c r="AB662" s="200"/>
      <c r="AC662" s="213"/>
      <c r="AD662" s="213"/>
      <c r="AE662" s="200"/>
      <c r="AF662" s="200"/>
      <c r="AG662" s="209"/>
      <c r="AH662" s="201"/>
      <c r="AI662" s="200"/>
      <c r="AJ662" s="200"/>
      <c r="AK662" s="209"/>
      <c r="AL662" s="200"/>
      <c r="AM662" s="210"/>
      <c r="AN662" s="210"/>
    </row>
    <row r="663" spans="1:40" x14ac:dyDescent="0.25">
      <c r="A663" s="202"/>
      <c r="C663" s="154"/>
      <c r="D663" s="154"/>
      <c r="E663" s="154"/>
      <c r="F663" s="200"/>
      <c r="H663" s="200"/>
      <c r="I663" s="200"/>
      <c r="J663" s="213"/>
      <c r="K663" s="213"/>
      <c r="L663" s="200"/>
      <c r="M663" s="200"/>
      <c r="N663" s="213"/>
      <c r="O663" s="213"/>
      <c r="P663" s="200"/>
      <c r="Q663" s="200"/>
      <c r="R663" s="200"/>
      <c r="T663" s="154"/>
      <c r="U663" s="154"/>
      <c r="V663" s="200"/>
      <c r="Y663" s="200"/>
      <c r="Z663" s="213"/>
      <c r="AA663" s="200"/>
      <c r="AB663" s="200"/>
      <c r="AC663" s="213"/>
      <c r="AD663" s="213"/>
      <c r="AE663" s="200"/>
      <c r="AF663" s="200"/>
      <c r="AG663" s="209"/>
      <c r="AH663" s="201"/>
      <c r="AI663" s="200"/>
      <c r="AJ663" s="200"/>
      <c r="AK663" s="209"/>
      <c r="AL663" s="200"/>
      <c r="AM663" s="210"/>
      <c r="AN663" s="210"/>
    </row>
    <row r="664" spans="1:40" x14ac:dyDescent="0.25">
      <c r="F664" s="211"/>
      <c r="H664" s="211"/>
      <c r="I664" s="211"/>
      <c r="J664" s="305"/>
      <c r="K664" s="305"/>
      <c r="L664" s="211"/>
      <c r="M664" s="211"/>
      <c r="N664" s="211"/>
      <c r="O664" s="211"/>
      <c r="P664" s="211"/>
      <c r="Q664" s="211"/>
      <c r="R664" s="211"/>
      <c r="V664" s="211"/>
      <c r="Y664" s="211"/>
      <c r="Z664" s="305"/>
      <c r="AA664" s="211"/>
      <c r="AB664" s="211"/>
      <c r="AC664" s="211"/>
      <c r="AD664" s="211"/>
      <c r="AE664" s="211"/>
      <c r="AF664" s="211"/>
      <c r="AI664" s="211"/>
      <c r="AJ664" s="211"/>
      <c r="AK664" s="212"/>
      <c r="AL664" s="211"/>
      <c r="AM664" s="210"/>
      <c r="AN664" s="210"/>
    </row>
    <row r="665" spans="1:40" x14ac:dyDescent="0.25">
      <c r="A665" s="202"/>
      <c r="C665" s="154"/>
      <c r="F665" s="200"/>
      <c r="H665" s="200"/>
      <c r="I665" s="200"/>
      <c r="J665" s="213"/>
      <c r="K665" s="213"/>
      <c r="L665" s="200"/>
      <c r="M665" s="200"/>
      <c r="N665" s="213"/>
      <c r="O665" s="213"/>
      <c r="P665" s="200"/>
      <c r="Q665" s="200"/>
      <c r="R665" s="200"/>
      <c r="T665" s="154"/>
      <c r="V665" s="200"/>
      <c r="Y665" s="200"/>
      <c r="Z665" s="213"/>
      <c r="AA665" s="200"/>
      <c r="AB665" s="200"/>
      <c r="AC665" s="213"/>
      <c r="AD665" s="213"/>
      <c r="AE665" s="200"/>
      <c r="AF665" s="200"/>
      <c r="AG665" s="209"/>
      <c r="AH665" s="201"/>
      <c r="AI665" s="200"/>
      <c r="AJ665" s="200"/>
      <c r="AK665" s="209"/>
      <c r="AL665" s="200"/>
      <c r="AM665" s="210"/>
      <c r="AN665" s="210"/>
    </row>
    <row r="666" spans="1:40" x14ac:dyDescent="0.25">
      <c r="F666" s="200"/>
      <c r="H666" s="200"/>
      <c r="I666" s="200"/>
      <c r="J666" s="213"/>
      <c r="K666" s="213"/>
      <c r="L666" s="200"/>
      <c r="M666" s="200"/>
      <c r="N666" s="213"/>
      <c r="O666" s="213"/>
      <c r="P666" s="200"/>
      <c r="Q666" s="200"/>
      <c r="R666" s="200"/>
      <c r="V666" s="200"/>
      <c r="Y666" s="200"/>
      <c r="Z666" s="213"/>
      <c r="AA666" s="200"/>
      <c r="AB666" s="200"/>
      <c r="AC666" s="213"/>
      <c r="AD666" s="213"/>
      <c r="AG666" s="209"/>
      <c r="AH666" s="201"/>
      <c r="AI666" s="200"/>
      <c r="AJ666" s="200"/>
      <c r="AK666" s="209"/>
      <c r="AL666" s="200"/>
      <c r="AM666" s="210"/>
      <c r="AN666" s="210"/>
    </row>
    <row r="667" spans="1:40" x14ac:dyDescent="0.25">
      <c r="A667" s="202"/>
      <c r="C667" s="154"/>
      <c r="D667" s="154"/>
      <c r="E667" s="154"/>
      <c r="F667" s="200"/>
      <c r="H667" s="200"/>
      <c r="I667" s="200"/>
      <c r="J667" s="213"/>
      <c r="K667" s="213"/>
      <c r="L667" s="200"/>
      <c r="M667" s="200"/>
      <c r="N667" s="213"/>
      <c r="O667" s="213"/>
      <c r="P667" s="200"/>
      <c r="Q667" s="200"/>
      <c r="R667" s="200"/>
      <c r="T667" s="154"/>
      <c r="U667" s="154"/>
      <c r="V667" s="200"/>
      <c r="Y667" s="200"/>
      <c r="Z667" s="213"/>
      <c r="AA667" s="200"/>
      <c r="AB667" s="200"/>
      <c r="AC667" s="213"/>
      <c r="AD667" s="213"/>
      <c r="AE667" s="200"/>
      <c r="AF667" s="200"/>
      <c r="AG667" s="209"/>
      <c r="AH667" s="201"/>
      <c r="AI667" s="200"/>
      <c r="AJ667" s="200"/>
      <c r="AK667" s="209"/>
      <c r="AL667" s="200"/>
      <c r="AM667" s="210"/>
      <c r="AN667" s="210"/>
    </row>
    <row r="668" spans="1:40" x14ac:dyDescent="0.25">
      <c r="F668" s="211"/>
      <c r="H668" s="211"/>
      <c r="I668" s="211"/>
      <c r="J668" s="305"/>
      <c r="K668" s="305"/>
      <c r="L668" s="211"/>
      <c r="M668" s="211"/>
      <c r="N668" s="211"/>
      <c r="O668" s="211"/>
      <c r="P668" s="211"/>
      <c r="Q668" s="211"/>
      <c r="R668" s="211"/>
      <c r="V668" s="211"/>
      <c r="Y668" s="211"/>
      <c r="Z668" s="305"/>
      <c r="AA668" s="211"/>
      <c r="AB668" s="211"/>
      <c r="AC668" s="211"/>
      <c r="AD668" s="211"/>
      <c r="AE668" s="211"/>
      <c r="AF668" s="211"/>
      <c r="AI668" s="211"/>
      <c r="AJ668" s="211"/>
      <c r="AK668" s="212"/>
      <c r="AL668" s="211"/>
      <c r="AM668" s="210"/>
      <c r="AN668" s="210"/>
    </row>
    <row r="669" spans="1:40" x14ac:dyDescent="0.25">
      <c r="A669" s="202"/>
      <c r="C669" s="154"/>
      <c r="F669" s="200"/>
      <c r="H669" s="200"/>
      <c r="I669" s="200"/>
      <c r="J669" s="213"/>
      <c r="K669" s="213"/>
      <c r="L669" s="200"/>
      <c r="M669" s="200"/>
      <c r="N669" s="213"/>
      <c r="O669" s="213"/>
      <c r="P669" s="200"/>
      <c r="Q669" s="200"/>
      <c r="R669" s="200"/>
      <c r="T669" s="154"/>
      <c r="V669" s="200"/>
      <c r="Y669" s="200"/>
      <c r="Z669" s="213"/>
      <c r="AA669" s="200"/>
      <c r="AB669" s="200"/>
      <c r="AC669" s="213"/>
      <c r="AD669" s="213"/>
      <c r="AE669" s="200"/>
      <c r="AF669" s="200"/>
      <c r="AG669" s="209"/>
      <c r="AH669" s="201"/>
      <c r="AI669" s="200"/>
      <c r="AJ669" s="200"/>
      <c r="AK669" s="209"/>
      <c r="AL669" s="200"/>
      <c r="AM669" s="210"/>
      <c r="AN669" s="210"/>
    </row>
    <row r="670" spans="1:40" x14ac:dyDescent="0.25">
      <c r="F670" s="200"/>
      <c r="H670" s="200"/>
      <c r="I670" s="200"/>
      <c r="J670" s="213"/>
      <c r="K670" s="213"/>
      <c r="L670" s="200"/>
      <c r="M670" s="200"/>
      <c r="N670" s="213"/>
      <c r="O670" s="213"/>
      <c r="P670" s="200"/>
      <c r="Q670" s="200"/>
      <c r="R670" s="200"/>
      <c r="V670" s="200"/>
      <c r="Y670" s="200"/>
      <c r="Z670" s="213"/>
      <c r="AA670" s="200"/>
      <c r="AB670" s="200"/>
      <c r="AC670" s="213"/>
      <c r="AD670" s="213"/>
      <c r="AG670" s="209"/>
      <c r="AH670" s="201"/>
      <c r="AI670" s="200"/>
      <c r="AJ670" s="200"/>
      <c r="AK670" s="209"/>
      <c r="AL670" s="200"/>
      <c r="AM670" s="210"/>
      <c r="AN670" s="210"/>
    </row>
    <row r="671" spans="1:40" x14ac:dyDescent="0.25">
      <c r="A671" s="202"/>
      <c r="C671" s="154"/>
      <c r="D671" s="154"/>
      <c r="E671" s="154"/>
      <c r="F671" s="200"/>
      <c r="H671" s="200"/>
      <c r="I671" s="200"/>
      <c r="J671" s="213"/>
      <c r="K671" s="213"/>
      <c r="L671" s="200"/>
      <c r="M671" s="200"/>
      <c r="N671" s="213"/>
      <c r="O671" s="213"/>
      <c r="P671" s="200"/>
      <c r="Q671" s="200"/>
      <c r="R671" s="200"/>
      <c r="T671" s="154"/>
      <c r="U671" s="154"/>
      <c r="V671" s="200"/>
      <c r="Y671" s="200"/>
      <c r="Z671" s="213"/>
      <c r="AA671" s="200"/>
      <c r="AB671" s="200"/>
      <c r="AC671" s="213"/>
      <c r="AD671" s="213"/>
      <c r="AE671" s="200"/>
      <c r="AF671" s="200"/>
      <c r="AG671" s="209"/>
      <c r="AH671" s="201"/>
      <c r="AI671" s="200"/>
      <c r="AJ671" s="200"/>
      <c r="AK671" s="209"/>
      <c r="AL671" s="200"/>
      <c r="AM671" s="210"/>
      <c r="AN671" s="210"/>
    </row>
    <row r="672" spans="1:40" x14ac:dyDescent="0.25">
      <c r="A672" s="202"/>
      <c r="C672" s="154"/>
      <c r="D672" s="154"/>
      <c r="E672" s="154"/>
      <c r="F672" s="200"/>
      <c r="G672" s="200"/>
      <c r="H672" s="200"/>
      <c r="I672" s="200"/>
      <c r="J672" s="213"/>
      <c r="K672" s="213"/>
      <c r="L672" s="200"/>
      <c r="M672" s="200"/>
      <c r="N672" s="213"/>
      <c r="O672" s="213"/>
      <c r="P672" s="200"/>
      <c r="Q672" s="200"/>
      <c r="R672" s="200"/>
      <c r="T672" s="154"/>
      <c r="U672" s="154"/>
      <c r="V672" s="200"/>
      <c r="W672" s="200"/>
      <c r="X672" s="200"/>
      <c r="Y672" s="200"/>
      <c r="Z672" s="213"/>
      <c r="AA672" s="200"/>
      <c r="AB672" s="200"/>
      <c r="AC672" s="213"/>
      <c r="AD672" s="213"/>
      <c r="AE672" s="200"/>
      <c r="AF672" s="200"/>
      <c r="AG672" s="209"/>
      <c r="AH672" s="201"/>
      <c r="AI672" s="200"/>
      <c r="AJ672" s="200"/>
      <c r="AK672" s="209"/>
      <c r="AL672" s="200"/>
      <c r="AM672" s="210"/>
      <c r="AN672" s="210"/>
    </row>
    <row r="673" spans="1:40" x14ac:dyDescent="0.25">
      <c r="A673" s="202"/>
      <c r="C673" s="154"/>
      <c r="D673" s="154"/>
      <c r="E673" s="154"/>
      <c r="F673" s="200"/>
      <c r="G673" s="200"/>
      <c r="H673" s="200"/>
      <c r="I673" s="200"/>
      <c r="J673" s="213"/>
      <c r="K673" s="213"/>
      <c r="L673" s="200"/>
      <c r="M673" s="200"/>
      <c r="N673" s="213"/>
      <c r="O673" s="213"/>
      <c r="P673" s="200"/>
      <c r="Q673" s="200"/>
      <c r="R673" s="200"/>
      <c r="T673" s="154"/>
      <c r="U673" s="154"/>
      <c r="V673" s="200"/>
      <c r="W673" s="200"/>
      <c r="X673" s="200"/>
      <c r="Y673" s="200"/>
      <c r="Z673" s="213"/>
      <c r="AA673" s="200"/>
      <c r="AB673" s="200"/>
      <c r="AC673" s="213"/>
      <c r="AD673" s="213"/>
      <c r="AE673" s="200"/>
      <c r="AF673" s="200"/>
      <c r="AG673" s="209"/>
      <c r="AH673" s="201"/>
      <c r="AI673" s="200"/>
      <c r="AJ673" s="200"/>
      <c r="AK673" s="209"/>
      <c r="AL673" s="200"/>
      <c r="AM673" s="210"/>
      <c r="AN673" s="210"/>
    </row>
    <row r="674" spans="1:40" x14ac:dyDescent="0.25">
      <c r="A674" s="202"/>
      <c r="C674" s="154"/>
      <c r="D674" s="154"/>
      <c r="E674" s="154"/>
      <c r="F674" s="200"/>
      <c r="H674" s="200"/>
      <c r="I674" s="200"/>
      <c r="J674" s="213"/>
      <c r="K674" s="213"/>
      <c r="L674" s="200"/>
      <c r="M674" s="200"/>
      <c r="N674" s="213"/>
      <c r="O674" s="213"/>
      <c r="P674" s="200"/>
      <c r="Q674" s="200"/>
      <c r="R674" s="200"/>
      <c r="T674" s="154"/>
      <c r="U674" s="154"/>
      <c r="V674" s="200"/>
      <c r="Y674" s="200"/>
      <c r="Z674" s="213"/>
      <c r="AA674" s="200"/>
      <c r="AB674" s="200"/>
      <c r="AC674" s="213"/>
      <c r="AD674" s="213"/>
      <c r="AE674" s="200"/>
      <c r="AF674" s="200"/>
      <c r="AG674" s="209"/>
      <c r="AH674" s="201"/>
      <c r="AI674" s="200"/>
      <c r="AJ674" s="200"/>
      <c r="AK674" s="209"/>
      <c r="AL674" s="200"/>
      <c r="AM674" s="210"/>
      <c r="AN674" s="210"/>
    </row>
    <row r="675" spans="1:40" x14ac:dyDescent="0.25">
      <c r="A675" s="202"/>
      <c r="C675" s="154"/>
      <c r="D675" s="154"/>
      <c r="E675" s="154"/>
      <c r="F675" s="200"/>
      <c r="H675" s="200"/>
      <c r="I675" s="200"/>
      <c r="J675" s="213"/>
      <c r="K675" s="213"/>
      <c r="L675" s="200"/>
      <c r="M675" s="200"/>
      <c r="N675" s="213"/>
      <c r="O675" s="213"/>
      <c r="P675" s="200"/>
      <c r="Q675" s="200"/>
      <c r="R675" s="200"/>
      <c r="T675" s="154"/>
      <c r="U675" s="154"/>
      <c r="V675" s="200"/>
      <c r="Y675" s="200"/>
      <c r="Z675" s="213"/>
      <c r="AA675" s="200"/>
      <c r="AB675" s="200"/>
      <c r="AC675" s="213"/>
      <c r="AD675" s="213"/>
      <c r="AE675" s="200"/>
      <c r="AF675" s="200"/>
      <c r="AG675" s="209"/>
      <c r="AH675" s="201"/>
      <c r="AI675" s="200"/>
      <c r="AJ675" s="200"/>
      <c r="AK675" s="209"/>
      <c r="AL675" s="200"/>
      <c r="AM675" s="210"/>
      <c r="AN675" s="210"/>
    </row>
    <row r="676" spans="1:40" x14ac:dyDescent="0.25">
      <c r="A676" s="202"/>
      <c r="C676" s="154"/>
      <c r="D676" s="154"/>
      <c r="E676" s="154"/>
      <c r="F676" s="200"/>
      <c r="H676" s="200"/>
      <c r="I676" s="200"/>
      <c r="J676" s="213"/>
      <c r="K676" s="213"/>
      <c r="L676" s="200"/>
      <c r="M676" s="200"/>
      <c r="N676" s="213"/>
      <c r="O676" s="213"/>
      <c r="P676" s="200"/>
      <c r="Q676" s="200"/>
      <c r="R676" s="200"/>
      <c r="T676" s="154"/>
      <c r="U676" s="154"/>
      <c r="V676" s="200"/>
      <c r="Y676" s="200"/>
      <c r="Z676" s="213"/>
      <c r="AA676" s="200"/>
      <c r="AB676" s="200"/>
      <c r="AC676" s="213"/>
      <c r="AD676" s="213"/>
      <c r="AE676" s="200"/>
      <c r="AF676" s="200"/>
      <c r="AG676" s="209"/>
      <c r="AH676" s="201"/>
      <c r="AI676" s="200"/>
      <c r="AJ676" s="200"/>
      <c r="AK676" s="209"/>
      <c r="AL676" s="200"/>
      <c r="AM676" s="210"/>
      <c r="AN676" s="210"/>
    </row>
    <row r="677" spans="1:40" x14ac:dyDescent="0.25">
      <c r="A677" s="202"/>
      <c r="C677" s="154"/>
      <c r="D677" s="154"/>
      <c r="E677" s="154"/>
      <c r="F677" s="200"/>
      <c r="H677" s="200"/>
      <c r="I677" s="200"/>
      <c r="J677" s="213"/>
      <c r="K677" s="213"/>
      <c r="L677" s="200"/>
      <c r="M677" s="200"/>
      <c r="N677" s="213"/>
      <c r="O677" s="213"/>
      <c r="P677" s="200"/>
      <c r="Q677" s="200"/>
      <c r="R677" s="200"/>
      <c r="T677" s="154"/>
      <c r="U677" s="154"/>
      <c r="V677" s="200"/>
      <c r="Y677" s="200"/>
      <c r="Z677" s="213"/>
      <c r="AA677" s="200"/>
      <c r="AB677" s="200"/>
      <c r="AC677" s="213"/>
      <c r="AD677" s="213"/>
      <c r="AE677" s="200"/>
      <c r="AF677" s="200"/>
      <c r="AG677" s="209"/>
      <c r="AH677" s="201"/>
      <c r="AI677" s="200"/>
      <c r="AJ677" s="200"/>
      <c r="AK677" s="209"/>
      <c r="AL677" s="200"/>
      <c r="AM677" s="210"/>
      <c r="AN677" s="210"/>
    </row>
    <row r="678" spans="1:40" x14ac:dyDescent="0.25">
      <c r="F678" s="211"/>
      <c r="H678" s="211"/>
      <c r="I678" s="211"/>
      <c r="J678" s="305"/>
      <c r="K678" s="305"/>
      <c r="L678" s="211"/>
      <c r="M678" s="211"/>
      <c r="N678" s="211"/>
      <c r="O678" s="211"/>
      <c r="P678" s="211"/>
      <c r="Q678" s="211"/>
      <c r="R678" s="211"/>
      <c r="V678" s="211"/>
      <c r="Y678" s="211"/>
      <c r="Z678" s="305"/>
      <c r="AA678" s="211"/>
      <c r="AB678" s="211"/>
      <c r="AC678" s="211"/>
      <c r="AD678" s="211"/>
      <c r="AE678" s="211"/>
      <c r="AF678" s="211"/>
      <c r="AI678" s="211"/>
      <c r="AJ678" s="211"/>
      <c r="AK678" s="212"/>
      <c r="AL678" s="211"/>
      <c r="AM678" s="210"/>
      <c r="AN678" s="210"/>
    </row>
    <row r="679" spans="1:40" x14ac:dyDescent="0.25">
      <c r="A679" s="202"/>
      <c r="C679" s="154"/>
      <c r="F679" s="200"/>
      <c r="H679" s="200"/>
      <c r="I679" s="200"/>
      <c r="J679" s="213"/>
      <c r="K679" s="213"/>
      <c r="L679" s="200"/>
      <c r="M679" s="200"/>
      <c r="N679" s="213"/>
      <c r="O679" s="213"/>
      <c r="P679" s="200"/>
      <c r="Q679" s="200"/>
      <c r="R679" s="200"/>
      <c r="T679" s="154"/>
      <c r="V679" s="200"/>
      <c r="Y679" s="200"/>
      <c r="Z679" s="213"/>
      <c r="AA679" s="200"/>
      <c r="AB679" s="200"/>
      <c r="AC679" s="213"/>
      <c r="AD679" s="213"/>
      <c r="AE679" s="200"/>
      <c r="AF679" s="200"/>
      <c r="AG679" s="209"/>
      <c r="AH679" s="201"/>
      <c r="AI679" s="200"/>
      <c r="AJ679" s="200"/>
      <c r="AK679" s="209"/>
      <c r="AL679" s="200"/>
      <c r="AM679" s="210"/>
      <c r="AN679" s="210"/>
    </row>
    <row r="680" spans="1:40" x14ac:dyDescent="0.25">
      <c r="V680" s="200"/>
      <c r="Y680" s="200"/>
      <c r="Z680" s="305"/>
      <c r="AA680" s="200"/>
      <c r="AB680" s="200"/>
      <c r="AC680" s="200"/>
      <c r="AD680" s="200"/>
      <c r="AE680" s="200"/>
      <c r="AF680" s="200"/>
      <c r="AI680" s="200"/>
      <c r="AJ680" s="200"/>
      <c r="AK680" s="209"/>
      <c r="AL680" s="200"/>
      <c r="AM680" s="210"/>
      <c r="AN680" s="210"/>
    </row>
    <row r="681" spans="1:40" x14ac:dyDescent="0.25">
      <c r="A681" s="202"/>
      <c r="C681" s="154"/>
      <c r="D681" s="154"/>
      <c r="E681" s="154"/>
      <c r="L681" s="200"/>
      <c r="M681" s="200"/>
      <c r="N681" s="213"/>
      <c r="O681" s="213"/>
      <c r="P681" s="202"/>
      <c r="Q681" s="202"/>
      <c r="R681" s="200"/>
      <c r="T681" s="154"/>
      <c r="U681" s="154"/>
      <c r="AA681" s="200"/>
      <c r="AB681" s="200"/>
      <c r="AC681" s="213"/>
      <c r="AD681" s="213"/>
      <c r="AE681" s="200"/>
      <c r="AF681" s="200"/>
      <c r="AG681" s="209"/>
      <c r="AH681" s="201"/>
      <c r="AI681" s="202"/>
      <c r="AJ681" s="202"/>
      <c r="AK681" s="209"/>
      <c r="AL681" s="200"/>
      <c r="AM681" s="210"/>
      <c r="AN681" s="210"/>
    </row>
    <row r="682" spans="1:40" x14ac:dyDescent="0.25">
      <c r="A682" s="202"/>
      <c r="D682" s="154"/>
      <c r="E682" s="154"/>
      <c r="F682" s="252"/>
      <c r="H682" s="252"/>
      <c r="I682" s="252"/>
      <c r="J682" s="213"/>
      <c r="K682" s="213"/>
      <c r="L682" s="200"/>
      <c r="M682" s="200"/>
      <c r="N682" s="213"/>
      <c r="O682" s="213"/>
      <c r="P682" s="252"/>
      <c r="Q682" s="252"/>
      <c r="R682" s="200"/>
      <c r="U682" s="154"/>
      <c r="V682" s="200"/>
      <c r="Y682" s="200"/>
      <c r="Z682" s="213"/>
      <c r="AA682" s="200"/>
      <c r="AB682" s="200"/>
      <c r="AC682" s="213"/>
      <c r="AD682" s="213"/>
      <c r="AE682" s="200"/>
      <c r="AF682" s="200"/>
      <c r="AG682" s="209"/>
      <c r="AH682" s="201"/>
      <c r="AI682" s="200"/>
      <c r="AJ682" s="200"/>
      <c r="AK682" s="209"/>
      <c r="AL682" s="200"/>
      <c r="AM682" s="210"/>
      <c r="AN682" s="210"/>
    </row>
    <row r="683" spans="1:40" x14ac:dyDescent="0.25">
      <c r="F683" s="211"/>
      <c r="H683" s="211"/>
      <c r="I683" s="211"/>
      <c r="J683" s="305"/>
      <c r="K683" s="305"/>
      <c r="L683" s="211"/>
      <c r="M683" s="211"/>
      <c r="N683" s="211"/>
      <c r="O683" s="211"/>
      <c r="P683" s="211"/>
      <c r="Q683" s="211"/>
      <c r="R683" s="211"/>
      <c r="V683" s="211"/>
      <c r="Y683" s="211"/>
      <c r="Z683" s="305"/>
      <c r="AA683" s="211"/>
      <c r="AB683" s="211"/>
      <c r="AC683" s="211"/>
      <c r="AD683" s="211"/>
      <c r="AE683" s="211"/>
      <c r="AF683" s="211"/>
      <c r="AI683" s="211"/>
      <c r="AJ683" s="211"/>
      <c r="AK683" s="212"/>
      <c r="AL683" s="211"/>
      <c r="AM683" s="210"/>
      <c r="AN683" s="210"/>
    </row>
    <row r="684" spans="1:40" x14ac:dyDescent="0.25">
      <c r="A684" s="202"/>
      <c r="C684" s="154"/>
      <c r="F684" s="200"/>
      <c r="H684" s="200"/>
      <c r="I684" s="200"/>
      <c r="J684" s="213"/>
      <c r="K684" s="213"/>
      <c r="L684" s="200"/>
      <c r="M684" s="200"/>
      <c r="N684" s="213"/>
      <c r="O684" s="213"/>
      <c r="P684" s="200"/>
      <c r="Q684" s="200"/>
      <c r="R684" s="200"/>
      <c r="T684" s="154"/>
      <c r="V684" s="200"/>
      <c r="Y684" s="200"/>
      <c r="Z684" s="213"/>
      <c r="AA684" s="200"/>
      <c r="AB684" s="200"/>
      <c r="AC684" s="213"/>
      <c r="AD684" s="213"/>
      <c r="AE684" s="200"/>
      <c r="AF684" s="200"/>
      <c r="AG684" s="209"/>
      <c r="AH684" s="201"/>
      <c r="AI684" s="200"/>
      <c r="AJ684" s="200"/>
      <c r="AK684" s="209"/>
      <c r="AL684" s="200"/>
      <c r="AM684" s="210"/>
      <c r="AN684" s="210"/>
    </row>
    <row r="685" spans="1:40" x14ac:dyDescent="0.25">
      <c r="F685" s="200"/>
      <c r="H685" s="200"/>
      <c r="I685" s="200"/>
      <c r="J685" s="213"/>
      <c r="K685" s="213"/>
      <c r="L685" s="200"/>
      <c r="M685" s="200"/>
      <c r="N685" s="213"/>
      <c r="O685" s="213"/>
      <c r="P685" s="200"/>
      <c r="Q685" s="200"/>
      <c r="R685" s="200"/>
      <c r="V685" s="200"/>
      <c r="Y685" s="200"/>
      <c r="Z685" s="213"/>
      <c r="AA685" s="200"/>
      <c r="AB685" s="200"/>
      <c r="AC685" s="213"/>
      <c r="AD685" s="213"/>
      <c r="AG685" s="209"/>
      <c r="AH685" s="201"/>
      <c r="AI685" s="200"/>
      <c r="AJ685" s="200"/>
      <c r="AK685" s="209"/>
      <c r="AL685" s="200"/>
      <c r="AM685" s="210"/>
      <c r="AN685" s="210"/>
    </row>
    <row r="686" spans="1:40" x14ac:dyDescent="0.25">
      <c r="A686" s="202"/>
      <c r="D686" s="154"/>
      <c r="E686" s="154"/>
      <c r="F686" s="200"/>
      <c r="H686" s="200"/>
      <c r="I686" s="200"/>
      <c r="J686" s="213"/>
      <c r="K686" s="213"/>
      <c r="L686" s="252"/>
      <c r="M686" s="252"/>
      <c r="N686" s="213"/>
      <c r="O686" s="213"/>
      <c r="P686" s="200"/>
      <c r="Q686" s="200"/>
      <c r="R686" s="200"/>
      <c r="U686" s="154"/>
      <c r="V686" s="200"/>
      <c r="Y686" s="200"/>
      <c r="Z686" s="213"/>
      <c r="AA686" s="252"/>
      <c r="AB686" s="252"/>
      <c r="AC686" s="213"/>
      <c r="AD686" s="213"/>
      <c r="AE686" s="200"/>
      <c r="AF686" s="200"/>
      <c r="AG686" s="209"/>
      <c r="AH686" s="201"/>
      <c r="AI686" s="200"/>
      <c r="AJ686" s="200"/>
      <c r="AK686" s="209"/>
      <c r="AL686" s="200"/>
      <c r="AM686" s="210"/>
      <c r="AN686" s="210"/>
    </row>
    <row r="687" spans="1:40" x14ac:dyDescent="0.25">
      <c r="A687" s="202"/>
      <c r="D687" s="154"/>
      <c r="E687" s="154"/>
      <c r="F687" s="200"/>
      <c r="H687" s="200"/>
      <c r="I687" s="200"/>
      <c r="J687" s="213"/>
      <c r="K687" s="213"/>
      <c r="L687" s="252"/>
      <c r="M687" s="252"/>
      <c r="N687" s="213"/>
      <c r="O687" s="213"/>
      <c r="P687" s="200"/>
      <c r="Q687" s="200"/>
      <c r="R687" s="200"/>
      <c r="U687" s="154"/>
      <c r="V687" s="200"/>
      <c r="Y687" s="200"/>
      <c r="Z687" s="213"/>
      <c r="AA687" s="252"/>
      <c r="AB687" s="252"/>
      <c r="AC687" s="213"/>
      <c r="AD687" s="213"/>
      <c r="AE687" s="200"/>
      <c r="AF687" s="200"/>
      <c r="AG687" s="209"/>
      <c r="AH687" s="201"/>
      <c r="AI687" s="200"/>
      <c r="AJ687" s="200"/>
      <c r="AK687" s="209"/>
      <c r="AL687" s="200"/>
      <c r="AM687" s="210"/>
      <c r="AN687" s="210"/>
    </row>
    <row r="688" spans="1:40" x14ac:dyDescent="0.25">
      <c r="A688" s="202"/>
      <c r="D688" s="154"/>
      <c r="E688" s="154"/>
      <c r="F688" s="200"/>
      <c r="H688" s="200"/>
      <c r="I688" s="200"/>
      <c r="J688" s="213"/>
      <c r="K688" s="213"/>
      <c r="L688" s="252"/>
      <c r="M688" s="252"/>
      <c r="N688" s="213"/>
      <c r="O688" s="213"/>
      <c r="P688" s="200"/>
      <c r="Q688" s="200"/>
      <c r="R688" s="200"/>
      <c r="U688" s="154"/>
      <c r="V688" s="200"/>
      <c r="Y688" s="200"/>
      <c r="Z688" s="213"/>
      <c r="AA688" s="252"/>
      <c r="AB688" s="252"/>
      <c r="AC688" s="213"/>
      <c r="AD688" s="213"/>
      <c r="AE688" s="200"/>
      <c r="AF688" s="200"/>
      <c r="AG688" s="209"/>
      <c r="AH688" s="201"/>
      <c r="AI688" s="200"/>
      <c r="AJ688" s="200"/>
      <c r="AK688" s="209"/>
      <c r="AL688" s="200"/>
      <c r="AM688" s="210"/>
      <c r="AN688" s="210"/>
    </row>
    <row r="689" spans="1:40" x14ac:dyDescent="0.25">
      <c r="F689" s="211"/>
      <c r="H689" s="211"/>
      <c r="I689" s="211"/>
      <c r="J689" s="305"/>
      <c r="K689" s="305"/>
      <c r="L689" s="211"/>
      <c r="M689" s="211"/>
      <c r="N689" s="211"/>
      <c r="O689" s="211"/>
      <c r="P689" s="211"/>
      <c r="Q689" s="211"/>
      <c r="R689" s="211"/>
      <c r="V689" s="211"/>
      <c r="Y689" s="211"/>
      <c r="Z689" s="305"/>
      <c r="AA689" s="211"/>
      <c r="AB689" s="211"/>
      <c r="AC689" s="211"/>
      <c r="AD689" s="211"/>
      <c r="AE689" s="211"/>
      <c r="AF689" s="211"/>
      <c r="AI689" s="211"/>
      <c r="AJ689" s="211"/>
      <c r="AK689" s="212"/>
      <c r="AL689" s="211"/>
      <c r="AM689" s="210"/>
      <c r="AN689" s="210"/>
    </row>
    <row r="690" spans="1:40" x14ac:dyDescent="0.25">
      <c r="A690" s="202"/>
      <c r="C690" s="154"/>
      <c r="F690" s="200"/>
      <c r="H690" s="200"/>
      <c r="I690" s="200"/>
      <c r="J690" s="213"/>
      <c r="K690" s="213"/>
      <c r="L690" s="200"/>
      <c r="M690" s="200"/>
      <c r="N690" s="213"/>
      <c r="O690" s="213"/>
      <c r="P690" s="200"/>
      <c r="Q690" s="200"/>
      <c r="R690" s="200"/>
      <c r="T690" s="154"/>
      <c r="V690" s="200"/>
      <c r="Y690" s="200"/>
      <c r="Z690" s="213"/>
      <c r="AA690" s="200"/>
      <c r="AB690" s="200"/>
      <c r="AC690" s="213"/>
      <c r="AD690" s="213"/>
      <c r="AE690" s="200"/>
      <c r="AF690" s="200"/>
      <c r="AG690" s="209"/>
      <c r="AH690" s="201"/>
      <c r="AI690" s="200"/>
      <c r="AJ690" s="200"/>
      <c r="AK690" s="209"/>
      <c r="AL690" s="200"/>
      <c r="AM690" s="210"/>
      <c r="AN690" s="210"/>
    </row>
    <row r="691" spans="1:40" x14ac:dyDescent="0.25">
      <c r="F691" s="200"/>
      <c r="H691" s="200"/>
      <c r="I691" s="200"/>
      <c r="J691" s="213"/>
      <c r="K691" s="213"/>
      <c r="L691" s="200"/>
      <c r="M691" s="200"/>
      <c r="N691" s="213"/>
      <c r="O691" s="213"/>
      <c r="P691" s="200"/>
      <c r="Q691" s="200"/>
      <c r="R691" s="200"/>
      <c r="V691" s="200"/>
      <c r="Y691" s="200"/>
      <c r="Z691" s="213"/>
      <c r="AA691" s="200"/>
      <c r="AB691" s="200"/>
      <c r="AC691" s="213"/>
      <c r="AD691" s="213"/>
      <c r="AG691" s="209"/>
      <c r="AH691" s="201"/>
      <c r="AI691" s="200"/>
      <c r="AJ691" s="200"/>
      <c r="AK691" s="209"/>
      <c r="AL691" s="200"/>
      <c r="AM691" s="210"/>
      <c r="AN691" s="210"/>
    </row>
    <row r="692" spans="1:40" x14ac:dyDescent="0.25">
      <c r="A692" s="202"/>
      <c r="C692" s="154"/>
      <c r="F692" s="200"/>
      <c r="H692" s="200"/>
      <c r="I692" s="200"/>
      <c r="J692" s="213"/>
      <c r="K692" s="213"/>
      <c r="L692" s="200"/>
      <c r="M692" s="200"/>
      <c r="N692" s="213"/>
      <c r="O692" s="213"/>
      <c r="P692" s="200"/>
      <c r="Q692" s="200"/>
      <c r="R692" s="200"/>
      <c r="T692" s="154"/>
      <c r="V692" s="200"/>
      <c r="Y692" s="200"/>
      <c r="Z692" s="213"/>
      <c r="AA692" s="200"/>
      <c r="AB692" s="200"/>
      <c r="AC692" s="213"/>
      <c r="AD692" s="213"/>
      <c r="AE692" s="200"/>
      <c r="AF692" s="200"/>
      <c r="AG692" s="209"/>
      <c r="AH692" s="201"/>
      <c r="AI692" s="200"/>
      <c r="AJ692" s="200"/>
      <c r="AK692" s="209"/>
      <c r="AL692" s="200"/>
      <c r="AM692" s="210"/>
      <c r="AN692" s="210"/>
    </row>
    <row r="693" spans="1:40" x14ac:dyDescent="0.25">
      <c r="F693" s="211"/>
      <c r="H693" s="211"/>
      <c r="I693" s="211"/>
      <c r="J693" s="305"/>
      <c r="K693" s="305"/>
      <c r="L693" s="211"/>
      <c r="M693" s="211"/>
      <c r="N693" s="211"/>
      <c r="O693" s="211"/>
      <c r="P693" s="211"/>
      <c r="Q693" s="211"/>
      <c r="R693" s="211"/>
      <c r="V693" s="211"/>
      <c r="Y693" s="211"/>
      <c r="Z693" s="305"/>
      <c r="AA693" s="211"/>
      <c r="AB693" s="211"/>
      <c r="AC693" s="211"/>
      <c r="AD693" s="211"/>
      <c r="AE693" s="211"/>
      <c r="AF693" s="211"/>
      <c r="AI693" s="211"/>
      <c r="AJ693" s="211"/>
      <c r="AK693" s="212"/>
      <c r="AL693" s="211"/>
    </row>
    <row r="695" spans="1:40" x14ac:dyDescent="0.25">
      <c r="C695" s="154"/>
      <c r="L695" s="200"/>
      <c r="M695" s="200"/>
      <c r="P695" s="200"/>
      <c r="Q695" s="200"/>
      <c r="R695" s="200"/>
      <c r="T695" s="154"/>
    </row>
    <row r="696" spans="1:40" x14ac:dyDescent="0.25">
      <c r="A696" s="154"/>
      <c r="L696" s="200"/>
      <c r="M696" s="200"/>
      <c r="P696" s="200"/>
      <c r="Q696" s="200"/>
      <c r="R696" s="200"/>
    </row>
    <row r="697" spans="1:40" x14ac:dyDescent="0.25">
      <c r="L697" s="200"/>
      <c r="M697" s="200"/>
      <c r="P697" s="200"/>
      <c r="Q697" s="200"/>
      <c r="R697" s="200"/>
    </row>
    <row r="698" spans="1:40" x14ac:dyDescent="0.25">
      <c r="L698" s="200"/>
      <c r="M698" s="200"/>
      <c r="P698" s="200"/>
      <c r="Q698" s="200"/>
      <c r="R698" s="200"/>
    </row>
    <row r="699" spans="1:40" x14ac:dyDescent="0.25">
      <c r="L699" s="200"/>
      <c r="M699" s="200"/>
      <c r="P699" s="200"/>
      <c r="Q699" s="200"/>
      <c r="R699" s="200"/>
    </row>
    <row r="700" spans="1:40" x14ac:dyDescent="0.25">
      <c r="L700" s="200"/>
      <c r="M700" s="200"/>
      <c r="P700" s="200"/>
      <c r="Q700" s="200"/>
      <c r="R700" s="200"/>
    </row>
    <row r="701" spans="1:40" x14ac:dyDescent="0.25">
      <c r="L701" s="200"/>
      <c r="M701" s="200"/>
      <c r="P701" s="200"/>
      <c r="Q701" s="200"/>
      <c r="R701" s="200"/>
    </row>
    <row r="734" spans="49:49" x14ac:dyDescent="0.25">
      <c r="AW734" s="200"/>
    </row>
    <row r="735" spans="49:49" x14ac:dyDescent="0.25">
      <c r="AW735" s="200"/>
    </row>
    <row r="736" spans="49:49" x14ac:dyDescent="0.25">
      <c r="AW736" s="200"/>
    </row>
    <row r="737" spans="49:49" x14ac:dyDescent="0.25">
      <c r="AW737" s="200"/>
    </row>
    <row r="738" spans="49:49" x14ac:dyDescent="0.25">
      <c r="AW738" s="200"/>
    </row>
    <row r="739" spans="49:49" x14ac:dyDescent="0.25">
      <c r="AW739" s="200"/>
    </row>
    <row r="742" spans="49:49" x14ac:dyDescent="0.25">
      <c r="AW742" s="200"/>
    </row>
    <row r="743" spans="49:49" x14ac:dyDescent="0.25">
      <c r="AW743" s="200"/>
    </row>
    <row r="744" spans="49:49" x14ac:dyDescent="0.25">
      <c r="AW744" s="200"/>
    </row>
    <row r="745" spans="49:49" x14ac:dyDescent="0.25">
      <c r="AW745" s="200"/>
    </row>
    <row r="746" spans="49:49" x14ac:dyDescent="0.25">
      <c r="AW746" s="200"/>
    </row>
    <row r="747" spans="49:49" x14ac:dyDescent="0.25">
      <c r="AW747" s="200"/>
    </row>
    <row r="748" spans="49:49" x14ac:dyDescent="0.25">
      <c r="AW748" s="200"/>
    </row>
    <row r="749" spans="49:49" x14ac:dyDescent="0.25">
      <c r="AW749" s="200"/>
    </row>
    <row r="752" spans="49:49" x14ac:dyDescent="0.25">
      <c r="AW752" s="200"/>
    </row>
    <row r="753" spans="49:51" x14ac:dyDescent="0.25">
      <c r="AW753" s="200"/>
    </row>
    <row r="756" spans="49:51" x14ac:dyDescent="0.25">
      <c r="AW756" s="200"/>
    </row>
    <row r="757" spans="49:51" x14ac:dyDescent="0.25">
      <c r="AW757" s="200"/>
    </row>
    <row r="758" spans="49:51" x14ac:dyDescent="0.25">
      <c r="AW758" s="200"/>
    </row>
    <row r="759" spans="49:51" x14ac:dyDescent="0.25">
      <c r="AW759" s="200"/>
    </row>
    <row r="765" spans="49:51" x14ac:dyDescent="0.25">
      <c r="AY765" s="202"/>
    </row>
    <row r="766" spans="49:51" x14ac:dyDescent="0.25">
      <c r="AY766" s="202"/>
    </row>
    <row r="767" spans="49:51" x14ac:dyDescent="0.25">
      <c r="AY767" s="154"/>
    </row>
    <row r="768" spans="49:51" x14ac:dyDescent="0.25">
      <c r="AY768" s="154"/>
    </row>
    <row r="769" spans="45:69" x14ac:dyDescent="0.25">
      <c r="AS769" s="202"/>
      <c r="BD769" s="154"/>
    </row>
    <row r="770" spans="45:69" x14ac:dyDescent="0.25">
      <c r="AS770" s="202"/>
      <c r="BD770" s="154"/>
    </row>
    <row r="771" spans="45:69" x14ac:dyDescent="0.25">
      <c r="AS771" s="154"/>
      <c r="BD771" s="154"/>
    </row>
    <row r="772" spans="45:69" x14ac:dyDescent="0.25">
      <c r="BD772" s="202"/>
    </row>
    <row r="773" spans="45:69" x14ac:dyDescent="0.25"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</row>
    <row r="774" spans="45:69" x14ac:dyDescent="0.25">
      <c r="AX774" s="154"/>
    </row>
    <row r="775" spans="45:69" x14ac:dyDescent="0.25">
      <c r="AX775" s="102"/>
      <c r="AY775" s="102"/>
      <c r="AZ775" s="102"/>
      <c r="BA775" s="102"/>
      <c r="BC775" s="103"/>
      <c r="BD775" s="103"/>
    </row>
    <row r="776" spans="45:69" x14ac:dyDescent="0.25">
      <c r="AV776" s="103"/>
      <c r="AW776" s="103"/>
      <c r="AZ776" s="103"/>
      <c r="BA776" s="103"/>
      <c r="BC776" s="103"/>
      <c r="BD776" s="103"/>
      <c r="BE776" s="103"/>
      <c r="BG776" s="102"/>
      <c r="BH776" s="154"/>
      <c r="BK776" s="102"/>
      <c r="BM776" s="102"/>
      <c r="BN776" s="154"/>
      <c r="BQ776" s="102"/>
    </row>
    <row r="777" spans="45:69" x14ac:dyDescent="0.25"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H777" s="103"/>
      <c r="BI777" s="103"/>
      <c r="BJ777" s="103"/>
      <c r="BN777" s="103"/>
      <c r="BO777" s="103"/>
      <c r="BP777" s="103"/>
    </row>
    <row r="778" spans="45:69" x14ac:dyDescent="0.25">
      <c r="AS778" s="103"/>
      <c r="AU778" s="154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G778" s="103"/>
      <c r="BH778" s="103"/>
      <c r="BI778" s="103"/>
      <c r="BJ778" s="103"/>
      <c r="BK778" s="103"/>
      <c r="BM778" s="103"/>
      <c r="BN778" s="103"/>
      <c r="BO778" s="103"/>
      <c r="BP778" s="103"/>
      <c r="BQ778" s="103"/>
    </row>
    <row r="779" spans="45:69" x14ac:dyDescent="0.25">
      <c r="AS779" s="103"/>
      <c r="AU779" s="154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G779" s="103"/>
      <c r="BH779" s="103"/>
      <c r="BI779" s="103"/>
      <c r="BJ779" s="103"/>
      <c r="BK779" s="103"/>
      <c r="BM779" s="103"/>
      <c r="BN779" s="103"/>
      <c r="BO779" s="103"/>
      <c r="BP779" s="103"/>
      <c r="BQ779" s="103"/>
    </row>
    <row r="780" spans="45:69" x14ac:dyDescent="0.25"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G780" s="102"/>
      <c r="BH780" s="102"/>
      <c r="BI780" s="102"/>
      <c r="BJ780" s="102"/>
      <c r="BK780" s="102"/>
      <c r="BM780" s="102"/>
      <c r="BN780" s="102"/>
      <c r="BO780" s="102"/>
      <c r="BP780" s="102"/>
      <c r="BQ780" s="102"/>
    </row>
    <row r="781" spans="45:69" x14ac:dyDescent="0.25"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</row>
    <row r="782" spans="45:69" x14ac:dyDescent="0.25">
      <c r="AS782" s="202"/>
      <c r="AU782" s="154"/>
      <c r="AV782" s="103"/>
      <c r="AY782" s="213"/>
    </row>
    <row r="783" spans="45:69" x14ac:dyDescent="0.25">
      <c r="AS783" s="202"/>
      <c r="AV783" s="103"/>
      <c r="AW783" s="200"/>
      <c r="AX783" s="334"/>
      <c r="AY783" s="334"/>
      <c r="AZ783" s="334"/>
      <c r="BA783" s="210"/>
      <c r="BB783" s="334"/>
      <c r="BC783" s="213"/>
      <c r="BD783" s="213"/>
      <c r="BE783" s="210"/>
      <c r="BG783" s="334"/>
      <c r="BH783" s="334"/>
      <c r="BI783" s="334"/>
      <c r="BJ783" s="334"/>
      <c r="BK783" s="334"/>
      <c r="BM783" s="334"/>
      <c r="BN783" s="334"/>
      <c r="BO783" s="334"/>
      <c r="BP783" s="334"/>
      <c r="BQ783" s="334"/>
    </row>
    <row r="784" spans="45:69" x14ac:dyDescent="0.25">
      <c r="AS784" s="202"/>
      <c r="AV784" s="103"/>
      <c r="AW784" s="200"/>
      <c r="AX784" s="334"/>
      <c r="AY784" s="334"/>
      <c r="AZ784" s="334"/>
      <c r="BA784" s="210"/>
      <c r="BB784" s="334"/>
      <c r="BC784" s="213"/>
      <c r="BD784" s="213"/>
      <c r="BE784" s="210"/>
      <c r="BG784" s="334"/>
      <c r="BH784" s="334"/>
      <c r="BI784" s="334"/>
      <c r="BJ784" s="334"/>
      <c r="BK784" s="334"/>
      <c r="BM784" s="334"/>
      <c r="BN784" s="334"/>
      <c r="BO784" s="334"/>
      <c r="BP784" s="334"/>
      <c r="BQ784" s="334"/>
    </row>
    <row r="785" spans="45:69" x14ac:dyDescent="0.25">
      <c r="AS785" s="202"/>
      <c r="AV785" s="103"/>
      <c r="AW785" s="200"/>
      <c r="AX785" s="334"/>
      <c r="AY785" s="334"/>
      <c r="AZ785" s="334"/>
      <c r="BA785" s="210"/>
      <c r="BB785" s="334"/>
      <c r="BC785" s="213"/>
      <c r="BD785" s="213"/>
      <c r="BE785" s="210"/>
      <c r="BG785" s="334"/>
      <c r="BH785" s="334"/>
      <c r="BI785" s="334"/>
      <c r="BJ785" s="334"/>
      <c r="BK785" s="334"/>
      <c r="BM785" s="334"/>
      <c r="BN785" s="334"/>
      <c r="BO785" s="334"/>
      <c r="BP785" s="334"/>
      <c r="BQ785" s="334"/>
    </row>
    <row r="786" spans="45:69" x14ac:dyDescent="0.25">
      <c r="AS786" s="202"/>
      <c r="AV786" s="103"/>
      <c r="AW786" s="200"/>
      <c r="AX786" s="334"/>
      <c r="AY786" s="334"/>
      <c r="AZ786" s="334"/>
      <c r="BA786" s="210"/>
      <c r="BB786" s="334"/>
      <c r="BC786" s="213"/>
      <c r="BD786" s="213"/>
      <c r="BE786" s="210"/>
      <c r="BG786" s="334"/>
      <c r="BH786" s="334"/>
      <c r="BI786" s="334"/>
      <c r="BJ786" s="334"/>
      <c r="BK786" s="334"/>
      <c r="BM786" s="334"/>
      <c r="BN786" s="334"/>
      <c r="BO786" s="334"/>
      <c r="BP786" s="334"/>
      <c r="BQ786" s="334"/>
    </row>
    <row r="787" spans="45:69" x14ac:dyDescent="0.25">
      <c r="AS787" s="202"/>
      <c r="AV787" s="103"/>
      <c r="AW787" s="200"/>
      <c r="AX787" s="334"/>
      <c r="AY787" s="334"/>
      <c r="AZ787" s="334"/>
      <c r="BA787" s="210"/>
      <c r="BB787" s="334"/>
      <c r="BC787" s="213"/>
      <c r="BD787" s="213"/>
      <c r="BE787" s="210"/>
      <c r="BG787" s="334"/>
      <c r="BH787" s="334"/>
      <c r="BI787" s="334"/>
      <c r="BJ787" s="334"/>
      <c r="BK787" s="334"/>
      <c r="BM787" s="334"/>
      <c r="BN787" s="334"/>
      <c r="BO787" s="334"/>
      <c r="BP787" s="334"/>
      <c r="BQ787" s="334"/>
    </row>
    <row r="788" spans="45:69" x14ac:dyDescent="0.25">
      <c r="AS788" s="202"/>
      <c r="AV788" s="103"/>
      <c r="AW788" s="200"/>
      <c r="AX788" s="334"/>
      <c r="AY788" s="334"/>
      <c r="AZ788" s="334"/>
      <c r="BA788" s="210"/>
      <c r="BB788" s="334"/>
      <c r="BC788" s="213"/>
      <c r="BD788" s="213"/>
      <c r="BE788" s="210"/>
      <c r="BG788" s="334"/>
      <c r="BH788" s="334"/>
      <c r="BI788" s="334"/>
      <c r="BJ788" s="334"/>
      <c r="BK788" s="334"/>
      <c r="BM788" s="334"/>
      <c r="BN788" s="334"/>
      <c r="BO788" s="334"/>
      <c r="BP788" s="334"/>
      <c r="BQ788" s="334"/>
    </row>
    <row r="789" spans="45:69" x14ac:dyDescent="0.25">
      <c r="AS789" s="202"/>
      <c r="AV789" s="103"/>
      <c r="AW789" s="200"/>
      <c r="AX789" s="334"/>
      <c r="AY789" s="334"/>
      <c r="AZ789" s="334"/>
      <c r="BA789" s="210"/>
      <c r="BB789" s="334"/>
      <c r="BC789" s="213"/>
      <c r="BD789" s="213"/>
      <c r="BE789" s="210"/>
      <c r="BG789" s="334"/>
      <c r="BH789" s="334"/>
      <c r="BI789" s="334"/>
      <c r="BJ789" s="334"/>
      <c r="BK789" s="334"/>
      <c r="BM789" s="334"/>
      <c r="BN789" s="334"/>
      <c r="BO789" s="334"/>
      <c r="BP789" s="334"/>
      <c r="BQ789" s="334"/>
    </row>
    <row r="790" spans="45:69" x14ac:dyDescent="0.25">
      <c r="AY790" s="213"/>
      <c r="AZ790" s="334"/>
      <c r="BA790" s="210"/>
      <c r="BB790" s="334"/>
      <c r="BC790" s="213"/>
      <c r="BD790" s="213"/>
      <c r="BE790" s="210"/>
      <c r="BK790" s="334"/>
      <c r="BQ790" s="334"/>
    </row>
    <row r="791" spans="45:69" x14ac:dyDescent="0.25">
      <c r="AS791" s="202"/>
      <c r="AV791" s="103"/>
      <c r="AY791" s="213"/>
      <c r="AZ791" s="334"/>
      <c r="BA791" s="210"/>
      <c r="BB791" s="334"/>
      <c r="BC791" s="213"/>
      <c r="BD791" s="213"/>
      <c r="BE791" s="210"/>
      <c r="BK791" s="334"/>
      <c r="BQ791" s="334"/>
    </row>
    <row r="792" spans="45:69" x14ac:dyDescent="0.25">
      <c r="AS792" s="202"/>
      <c r="AV792" s="103"/>
      <c r="AW792" s="200"/>
      <c r="AX792" s="334"/>
      <c r="AY792" s="334"/>
      <c r="AZ792" s="334"/>
      <c r="BA792" s="210"/>
      <c r="BB792" s="334"/>
      <c r="BC792" s="213"/>
      <c r="BD792" s="213"/>
      <c r="BE792" s="210"/>
      <c r="BG792" s="334"/>
      <c r="BH792" s="334"/>
      <c r="BI792" s="334"/>
      <c r="BJ792" s="334"/>
      <c r="BK792" s="334"/>
      <c r="BM792" s="334"/>
      <c r="BN792" s="334"/>
      <c r="BO792" s="334"/>
      <c r="BP792" s="334"/>
      <c r="BQ792" s="334"/>
    </row>
    <row r="793" spans="45:69" x14ac:dyDescent="0.25">
      <c r="AS793" s="202"/>
      <c r="AV793" s="103"/>
      <c r="AW793" s="200"/>
      <c r="AX793" s="334"/>
      <c r="AY793" s="334"/>
      <c r="AZ793" s="334"/>
      <c r="BA793" s="210"/>
      <c r="BB793" s="334"/>
      <c r="BC793" s="213"/>
      <c r="BD793" s="213"/>
      <c r="BE793" s="210"/>
      <c r="BG793" s="334"/>
      <c r="BH793" s="334"/>
      <c r="BI793" s="334"/>
      <c r="BJ793" s="334"/>
      <c r="BK793" s="334"/>
      <c r="BM793" s="334"/>
      <c r="BN793" s="334"/>
      <c r="BO793" s="334"/>
      <c r="BP793" s="334"/>
      <c r="BQ793" s="334"/>
    </row>
    <row r="794" spans="45:69" x14ac:dyDescent="0.25">
      <c r="AS794" s="202"/>
      <c r="AV794" s="103"/>
      <c r="AW794" s="200"/>
      <c r="AX794" s="334"/>
      <c r="AY794" s="334"/>
      <c r="AZ794" s="334"/>
      <c r="BA794" s="210"/>
      <c r="BB794" s="334"/>
      <c r="BC794" s="213"/>
      <c r="BD794" s="213"/>
      <c r="BE794" s="210"/>
      <c r="BG794" s="334"/>
      <c r="BH794" s="334"/>
      <c r="BI794" s="334"/>
      <c r="BJ794" s="334"/>
      <c r="BK794" s="334"/>
      <c r="BM794" s="334"/>
      <c r="BN794" s="334"/>
      <c r="BO794" s="334"/>
      <c r="BP794" s="334"/>
      <c r="BQ794" s="334"/>
    </row>
    <row r="795" spans="45:69" x14ac:dyDescent="0.25">
      <c r="AS795" s="202"/>
      <c r="AV795" s="103"/>
      <c r="AW795" s="200"/>
      <c r="AX795" s="334"/>
      <c r="AY795" s="334"/>
      <c r="AZ795" s="334"/>
      <c r="BA795" s="210"/>
      <c r="BB795" s="334"/>
      <c r="BC795" s="213"/>
      <c r="BD795" s="213"/>
      <c r="BE795" s="210"/>
      <c r="BG795" s="334"/>
      <c r="BH795" s="334"/>
      <c r="BI795" s="334"/>
      <c r="BJ795" s="334"/>
      <c r="BK795" s="334"/>
      <c r="BM795" s="334"/>
      <c r="BN795" s="334"/>
      <c r="BO795" s="334"/>
      <c r="BP795" s="334"/>
      <c r="BQ795" s="334"/>
    </row>
    <row r="796" spans="45:69" x14ac:dyDescent="0.25">
      <c r="AS796" s="202"/>
      <c r="AV796" s="103"/>
      <c r="AW796" s="200"/>
      <c r="AX796" s="334"/>
      <c r="AY796" s="334"/>
      <c r="AZ796" s="334"/>
      <c r="BA796" s="210"/>
      <c r="BB796" s="334"/>
      <c r="BC796" s="213"/>
      <c r="BD796" s="213"/>
      <c r="BE796" s="210"/>
      <c r="BG796" s="334"/>
      <c r="BH796" s="334"/>
      <c r="BI796" s="334"/>
      <c r="BJ796" s="334"/>
      <c r="BK796" s="334"/>
      <c r="BM796" s="334"/>
      <c r="BN796" s="334"/>
      <c r="BO796" s="334"/>
      <c r="BP796" s="334"/>
      <c r="BQ796" s="334"/>
    </row>
    <row r="797" spans="45:69" x14ac:dyDescent="0.25">
      <c r="AS797" s="202"/>
      <c r="AV797" s="103"/>
      <c r="AW797" s="200"/>
      <c r="AX797" s="334"/>
      <c r="AY797" s="334"/>
      <c r="AZ797" s="334"/>
      <c r="BA797" s="210"/>
      <c r="BB797" s="334"/>
      <c r="BC797" s="213"/>
      <c r="BD797" s="213"/>
      <c r="BE797" s="210"/>
      <c r="BG797" s="334"/>
      <c r="BH797" s="334"/>
      <c r="BI797" s="334"/>
      <c r="BJ797" s="334"/>
      <c r="BK797" s="334"/>
      <c r="BM797" s="334"/>
      <c r="BN797" s="334"/>
      <c r="BO797" s="334"/>
      <c r="BP797" s="334"/>
      <c r="BQ797" s="334"/>
    </row>
    <row r="798" spans="45:69" x14ac:dyDescent="0.25">
      <c r="AS798" s="202"/>
      <c r="AV798" s="103"/>
      <c r="AW798" s="200"/>
      <c r="AX798" s="334"/>
      <c r="AY798" s="334"/>
      <c r="AZ798" s="334"/>
      <c r="BA798" s="210"/>
      <c r="BB798" s="334"/>
      <c r="BC798" s="213"/>
      <c r="BD798" s="213"/>
      <c r="BE798" s="210"/>
      <c r="BG798" s="334"/>
      <c r="BH798" s="334"/>
      <c r="BI798" s="334"/>
      <c r="BJ798" s="334"/>
      <c r="BK798" s="334"/>
      <c r="BM798" s="334"/>
      <c r="BN798" s="334"/>
      <c r="BO798" s="334"/>
      <c r="BP798" s="334"/>
      <c r="BQ798" s="334"/>
    </row>
    <row r="799" spans="45:69" x14ac:dyDescent="0.25">
      <c r="AS799" s="202"/>
      <c r="AV799" s="103"/>
      <c r="AW799" s="200"/>
      <c r="AX799" s="334"/>
      <c r="AY799" s="334"/>
      <c r="AZ799" s="334"/>
      <c r="BA799" s="210"/>
      <c r="BB799" s="334"/>
      <c r="BC799" s="213"/>
      <c r="BD799" s="213"/>
      <c r="BE799" s="210"/>
      <c r="BG799" s="334"/>
      <c r="BH799" s="334"/>
      <c r="BI799" s="334"/>
      <c r="BJ799" s="334"/>
      <c r="BK799" s="334"/>
      <c r="BM799" s="334"/>
      <c r="BN799" s="334"/>
      <c r="BO799" s="334"/>
      <c r="BP799" s="334"/>
      <c r="BQ799" s="334"/>
    </row>
    <row r="800" spans="45:69" x14ac:dyDescent="0.25">
      <c r="AY800" s="213"/>
      <c r="AZ800" s="334"/>
      <c r="BA800" s="210"/>
      <c r="BB800" s="334"/>
      <c r="BC800" s="213"/>
      <c r="BD800" s="213"/>
      <c r="BE800" s="210"/>
      <c r="BK800" s="334"/>
      <c r="BQ800" s="334"/>
    </row>
    <row r="801" spans="45:75" x14ac:dyDescent="0.25">
      <c r="AU801" s="154"/>
      <c r="AZ801" s="334"/>
      <c r="BB801" s="334"/>
      <c r="BG801" s="334"/>
      <c r="BH801" s="334"/>
      <c r="BJ801" s="334"/>
      <c r="BK801" s="334"/>
    </row>
    <row r="802" spans="45:75" x14ac:dyDescent="0.25">
      <c r="AZ802" s="334"/>
      <c r="BB802" s="334"/>
    </row>
    <row r="803" spans="45:75" x14ac:dyDescent="0.25">
      <c r="AS803" s="154"/>
      <c r="AZ803" s="334"/>
      <c r="BB803" s="334"/>
      <c r="BI803" s="334"/>
    </row>
    <row r="804" spans="45:75" x14ac:dyDescent="0.25">
      <c r="AY804" s="202"/>
      <c r="AZ804" s="334"/>
      <c r="BB804" s="334"/>
    </row>
    <row r="805" spans="45:75" x14ac:dyDescent="0.25">
      <c r="AY805" s="334"/>
      <c r="BB805" s="334"/>
    </row>
    <row r="806" spans="45:75" x14ac:dyDescent="0.25">
      <c r="AY806" s="154"/>
      <c r="AZ806" s="334"/>
      <c r="BB806" s="334"/>
    </row>
    <row r="807" spans="45:75" x14ac:dyDescent="0.25">
      <c r="AY807" s="154"/>
      <c r="AZ807" s="334"/>
      <c r="BB807" s="334"/>
    </row>
    <row r="808" spans="45:75" x14ac:dyDescent="0.25">
      <c r="AS808" s="202"/>
      <c r="AZ808" s="334"/>
      <c r="BB808" s="334"/>
      <c r="BD808" s="154"/>
    </row>
    <row r="809" spans="45:75" x14ac:dyDescent="0.25">
      <c r="AS809" s="202"/>
      <c r="AZ809" s="334"/>
      <c r="BB809" s="334"/>
      <c r="BD809" s="154"/>
    </row>
    <row r="810" spans="45:75" x14ac:dyDescent="0.25">
      <c r="AS810" s="154"/>
      <c r="AZ810" s="334"/>
      <c r="BB810" s="334"/>
      <c r="BD810" s="154"/>
    </row>
    <row r="811" spans="45:75" x14ac:dyDescent="0.25">
      <c r="AZ811" s="334"/>
      <c r="BB811" s="334"/>
      <c r="BD811" s="202"/>
    </row>
    <row r="812" spans="45:75" x14ac:dyDescent="0.25">
      <c r="AS812" s="102"/>
      <c r="AT812" s="102"/>
      <c r="AU812" s="102"/>
      <c r="AV812" s="102"/>
      <c r="AW812" s="102"/>
      <c r="AX812" s="102"/>
      <c r="AY812" s="102"/>
      <c r="AZ812" s="335"/>
      <c r="BA812" s="102"/>
      <c r="BB812" s="335"/>
      <c r="BC812" s="102"/>
      <c r="BD812" s="102"/>
      <c r="BE812" s="102"/>
    </row>
    <row r="813" spans="45:75" x14ac:dyDescent="0.25">
      <c r="AX813" s="154"/>
      <c r="AZ813" s="334"/>
      <c r="BB813" s="334"/>
    </row>
    <row r="814" spans="45:75" x14ac:dyDescent="0.25">
      <c r="AX814" s="102"/>
      <c r="AY814" s="102"/>
      <c r="AZ814" s="335"/>
      <c r="BA814" s="102"/>
      <c r="BB814" s="334"/>
      <c r="BC814" s="103"/>
      <c r="BD814" s="103"/>
    </row>
    <row r="815" spans="45:75" x14ac:dyDescent="0.25">
      <c r="AV815" s="103"/>
      <c r="AW815" s="103"/>
      <c r="AZ815" s="336"/>
      <c r="BA815" s="103"/>
      <c r="BB815" s="334"/>
      <c r="BC815" s="103"/>
      <c r="BD815" s="103"/>
      <c r="BE815" s="103"/>
      <c r="BG815" s="102"/>
      <c r="BH815" s="102"/>
      <c r="BI815" s="154"/>
      <c r="BM815" s="102"/>
      <c r="BN815" s="102"/>
      <c r="BP815" s="102"/>
      <c r="BQ815" s="102"/>
      <c r="BR815" s="154"/>
      <c r="BV815" s="102"/>
      <c r="BW815" s="102"/>
    </row>
    <row r="816" spans="45:75" x14ac:dyDescent="0.25">
      <c r="AV816" s="103"/>
      <c r="AW816" s="103"/>
      <c r="AX816" s="103"/>
      <c r="AY816" s="103"/>
      <c r="AZ816" s="336"/>
      <c r="BA816" s="103"/>
      <c r="BB816" s="336"/>
      <c r="BC816" s="103"/>
      <c r="BD816" s="103"/>
      <c r="BE816" s="103"/>
      <c r="BH816" s="103"/>
      <c r="BI816" s="103"/>
      <c r="BJ816" s="103"/>
      <c r="BK816" s="103"/>
      <c r="BL816" s="103"/>
      <c r="BM816" s="103"/>
      <c r="BQ816" s="103"/>
      <c r="BR816" s="103"/>
      <c r="BS816" s="103"/>
      <c r="BT816" s="103"/>
      <c r="BU816" s="103"/>
      <c r="BV816" s="103"/>
    </row>
    <row r="817" spans="45:75" x14ac:dyDescent="0.25">
      <c r="AS817" s="103"/>
      <c r="AU817" s="154"/>
      <c r="AV817" s="103"/>
      <c r="AW817" s="103"/>
      <c r="AX817" s="103"/>
      <c r="AY817" s="103"/>
      <c r="AZ817" s="336"/>
      <c r="BA817" s="103"/>
      <c r="BB817" s="336"/>
      <c r="BC817" s="103"/>
      <c r="BD817" s="103"/>
      <c r="BE817" s="103"/>
      <c r="BG817" s="103"/>
      <c r="BH817" s="103"/>
      <c r="BI817" s="103"/>
      <c r="BJ817" s="103"/>
      <c r="BK817" s="103"/>
      <c r="BL817" s="103"/>
      <c r="BM817" s="103"/>
      <c r="BN817" s="103"/>
      <c r="BP817" s="103"/>
      <c r="BQ817" s="103"/>
      <c r="BR817" s="103"/>
      <c r="BS817" s="103"/>
      <c r="BT817" s="103"/>
      <c r="BU817" s="103"/>
      <c r="BV817" s="103"/>
      <c r="BW817" s="103"/>
    </row>
    <row r="818" spans="45:75" x14ac:dyDescent="0.25">
      <c r="AS818" s="103"/>
      <c r="AU818" s="154"/>
      <c r="AV818" s="103"/>
      <c r="AW818" s="103"/>
      <c r="AX818" s="103"/>
      <c r="AY818" s="103"/>
      <c r="AZ818" s="336"/>
      <c r="BA818" s="103"/>
      <c r="BB818" s="336"/>
      <c r="BC818" s="103"/>
      <c r="BD818" s="103"/>
      <c r="BE818" s="103"/>
      <c r="BG818" s="103"/>
      <c r="BH818" s="103"/>
      <c r="BI818" s="103"/>
      <c r="BJ818" s="103"/>
      <c r="BK818" s="103"/>
      <c r="BL818" s="103"/>
      <c r="BM818" s="103"/>
      <c r="BN818" s="103"/>
      <c r="BP818" s="103"/>
      <c r="BQ818" s="103"/>
      <c r="BR818" s="103"/>
      <c r="BS818" s="103"/>
      <c r="BT818" s="103"/>
      <c r="BU818" s="103"/>
      <c r="BV818" s="103"/>
      <c r="BW818" s="103"/>
    </row>
    <row r="819" spans="45:75" x14ac:dyDescent="0.25">
      <c r="AS819" s="102"/>
      <c r="AT819" s="102"/>
      <c r="AU819" s="102"/>
      <c r="AV819" s="102"/>
      <c r="AW819" s="102"/>
      <c r="AX819" s="102"/>
      <c r="AY819" s="102"/>
      <c r="AZ819" s="335"/>
      <c r="BA819" s="102"/>
      <c r="BB819" s="335"/>
      <c r="BC819" s="102"/>
      <c r="BD819" s="102"/>
      <c r="BE819" s="102"/>
      <c r="BG819" s="102"/>
      <c r="BH819" s="102"/>
      <c r="BI819" s="102"/>
      <c r="BJ819" s="102"/>
      <c r="BK819" s="102"/>
      <c r="BL819" s="102"/>
      <c r="BM819" s="102"/>
      <c r="BN819" s="102"/>
      <c r="BP819" s="102"/>
      <c r="BQ819" s="102"/>
      <c r="BR819" s="102"/>
      <c r="BS819" s="102"/>
      <c r="BT819" s="102"/>
      <c r="BU819" s="102"/>
      <c r="BV819" s="102"/>
      <c r="BW819" s="102"/>
    </row>
    <row r="820" spans="45:75" x14ac:dyDescent="0.25">
      <c r="AV820" s="103"/>
      <c r="AW820" s="103"/>
      <c r="AX820" s="103"/>
      <c r="AY820" s="103"/>
      <c r="AZ820" s="336"/>
      <c r="BA820" s="103"/>
      <c r="BB820" s="336"/>
      <c r="BC820" s="103"/>
      <c r="BD820" s="103"/>
      <c r="BE820" s="103"/>
      <c r="BG820" s="334"/>
      <c r="BH820" s="334"/>
      <c r="BI820" s="334"/>
      <c r="BJ820" s="334"/>
      <c r="BK820" s="334"/>
      <c r="BL820" s="334"/>
      <c r="BM820" s="334"/>
      <c r="BN820" s="334"/>
      <c r="BO820" s="334"/>
      <c r="BP820" s="334"/>
      <c r="BQ820" s="334"/>
      <c r="BR820" s="334"/>
      <c r="BS820" s="334"/>
      <c r="BT820" s="334"/>
      <c r="BU820" s="334"/>
      <c r="BV820" s="334"/>
      <c r="BW820" s="334"/>
    </row>
    <row r="821" spans="45:75" x14ac:dyDescent="0.25">
      <c r="AS821" s="202"/>
      <c r="AU821" s="154"/>
      <c r="AV821" s="202"/>
      <c r="AW821" s="200"/>
      <c r="AX821" s="334"/>
      <c r="AY821" s="334"/>
      <c r="AZ821" s="334"/>
      <c r="BA821" s="201"/>
      <c r="BB821" s="334"/>
      <c r="BC821" s="334"/>
      <c r="BD821" s="334"/>
      <c r="BE821" s="201"/>
      <c r="BG821" s="334"/>
      <c r="BH821" s="334"/>
      <c r="BI821" s="334"/>
      <c r="BJ821" s="334"/>
      <c r="BK821" s="334"/>
      <c r="BL821" s="334"/>
      <c r="BM821" s="334"/>
      <c r="BN821" s="334"/>
      <c r="BO821" s="334"/>
      <c r="BP821" s="334"/>
      <c r="BQ821" s="334"/>
      <c r="BR821" s="334"/>
      <c r="BS821" s="334"/>
      <c r="BT821" s="334"/>
      <c r="BU821" s="334"/>
      <c r="BV821" s="334"/>
      <c r="BW821" s="334"/>
    </row>
    <row r="822" spans="45:75" x14ac:dyDescent="0.25">
      <c r="AS822" s="202"/>
      <c r="AV822" s="202"/>
      <c r="AW822" s="200"/>
      <c r="AX822" s="334"/>
      <c r="AY822" s="334"/>
      <c r="AZ822" s="334"/>
      <c r="BA822" s="201"/>
      <c r="BB822" s="334"/>
      <c r="BC822" s="334"/>
      <c r="BD822" s="334"/>
      <c r="BE822" s="201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  <c r="BR822" s="334"/>
      <c r="BS822" s="334"/>
      <c r="BT822" s="334"/>
      <c r="BU822" s="334"/>
      <c r="BV822" s="334"/>
      <c r="BW822" s="334"/>
    </row>
    <row r="823" spans="45:75" x14ac:dyDescent="0.25">
      <c r="AS823" s="202"/>
      <c r="AV823" s="202"/>
      <c r="AW823" s="200"/>
      <c r="AX823" s="334"/>
      <c r="AY823" s="334"/>
      <c r="AZ823" s="334"/>
      <c r="BA823" s="201"/>
      <c r="BB823" s="334"/>
      <c r="BC823" s="334"/>
      <c r="BD823" s="334"/>
      <c r="BE823" s="201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  <c r="BT823" s="334"/>
      <c r="BU823" s="334"/>
      <c r="BV823" s="334"/>
      <c r="BW823" s="334"/>
    </row>
    <row r="824" spans="45:75" x14ac:dyDescent="0.25">
      <c r="AS824" s="202"/>
      <c r="AV824" s="202"/>
      <c r="AW824" s="200"/>
      <c r="AX824" s="334"/>
      <c r="AY824" s="334"/>
      <c r="AZ824" s="334"/>
      <c r="BA824" s="201"/>
      <c r="BB824" s="334"/>
      <c r="BC824" s="334"/>
      <c r="BD824" s="334"/>
      <c r="BE824" s="201"/>
      <c r="BG824" s="334"/>
      <c r="BH824" s="334"/>
      <c r="BI824" s="334"/>
      <c r="BJ824" s="334"/>
      <c r="BK824" s="334"/>
      <c r="BL824" s="334"/>
      <c r="BM824" s="334"/>
      <c r="BN824" s="334"/>
      <c r="BO824" s="334"/>
      <c r="BP824" s="334"/>
      <c r="BQ824" s="334"/>
      <c r="BR824" s="334"/>
      <c r="BS824" s="334"/>
      <c r="BT824" s="334"/>
      <c r="BU824" s="334"/>
      <c r="BV824" s="334"/>
      <c r="BW824" s="334"/>
    </row>
    <row r="825" spans="45:75" x14ac:dyDescent="0.25">
      <c r="AS825" s="202"/>
      <c r="AV825" s="202"/>
      <c r="AW825" s="200"/>
      <c r="AX825" s="334"/>
      <c r="AY825" s="334"/>
      <c r="AZ825" s="334"/>
      <c r="BA825" s="201"/>
      <c r="BB825" s="334"/>
      <c r="BC825" s="334"/>
      <c r="BD825" s="334"/>
      <c r="BE825" s="201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  <c r="BR825" s="334"/>
      <c r="BS825" s="334"/>
      <c r="BT825" s="334"/>
      <c r="BU825" s="334"/>
      <c r="BV825" s="334"/>
      <c r="BW825" s="334"/>
    </row>
    <row r="826" spans="45:75" x14ac:dyDescent="0.25">
      <c r="AS826" s="202"/>
      <c r="AV826" s="202"/>
      <c r="AW826" s="200"/>
      <c r="AX826" s="334"/>
      <c r="AY826" s="334"/>
      <c r="AZ826" s="334"/>
      <c r="BA826" s="201"/>
      <c r="BB826" s="334"/>
      <c r="BC826" s="334"/>
      <c r="BD826" s="334"/>
      <c r="BE826" s="201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  <c r="BT826" s="334"/>
      <c r="BU826" s="334"/>
      <c r="BV826" s="334"/>
      <c r="BW826" s="334"/>
    </row>
    <row r="827" spans="45:75" x14ac:dyDescent="0.25">
      <c r="AS827" s="202"/>
      <c r="AV827" s="202"/>
      <c r="AW827" s="200"/>
      <c r="AX827" s="334"/>
      <c r="AY827" s="334"/>
      <c r="AZ827" s="334"/>
      <c r="BA827" s="201"/>
      <c r="BB827" s="334"/>
      <c r="BC827" s="334"/>
      <c r="BD827" s="334"/>
      <c r="BE827" s="201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  <c r="BT827" s="334"/>
      <c r="BU827" s="334"/>
      <c r="BV827" s="334"/>
      <c r="BW827" s="334"/>
    </row>
    <row r="828" spans="45:75" x14ac:dyDescent="0.25">
      <c r="AS828" s="202"/>
      <c r="AV828" s="202"/>
      <c r="AW828" s="200"/>
      <c r="AX828" s="334"/>
      <c r="AY828" s="334"/>
      <c r="AZ828" s="334"/>
      <c r="BA828" s="201"/>
      <c r="BB828" s="334"/>
      <c r="BC828" s="334"/>
      <c r="BD828" s="334"/>
      <c r="BE828" s="201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  <c r="BT828" s="334"/>
      <c r="BU828" s="334"/>
      <c r="BV828" s="334"/>
      <c r="BW828" s="334"/>
    </row>
    <row r="829" spans="45:75" x14ac:dyDescent="0.25">
      <c r="AS829" s="202"/>
      <c r="AV829" s="202"/>
      <c r="AW829" s="200"/>
      <c r="AX829" s="334"/>
      <c r="AY829" s="334"/>
      <c r="AZ829" s="334"/>
      <c r="BA829" s="201"/>
      <c r="BB829" s="334"/>
      <c r="BC829" s="334"/>
      <c r="BD829" s="334"/>
      <c r="BE829" s="201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  <c r="BT829" s="334"/>
      <c r="BU829" s="334"/>
      <c r="BV829" s="334"/>
      <c r="BW829" s="334"/>
    </row>
    <row r="830" spans="45:75" x14ac:dyDescent="0.25">
      <c r="AS830" s="202"/>
      <c r="AV830" s="202"/>
      <c r="AW830" s="200"/>
      <c r="AX830" s="334"/>
      <c r="AY830" s="334"/>
      <c r="AZ830" s="334"/>
      <c r="BA830" s="201"/>
      <c r="BB830" s="334"/>
      <c r="BC830" s="334"/>
      <c r="BD830" s="334"/>
      <c r="BE830" s="201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  <c r="BT830" s="334"/>
      <c r="BU830" s="334"/>
      <c r="BV830" s="334"/>
      <c r="BW830" s="334"/>
    </row>
    <row r="831" spans="45:75" x14ac:dyDescent="0.25">
      <c r="AS831" s="202"/>
      <c r="AV831" s="202"/>
      <c r="AW831" s="200"/>
      <c r="AX831" s="334"/>
      <c r="AY831" s="334"/>
      <c r="AZ831" s="334"/>
      <c r="BA831" s="201"/>
      <c r="BB831" s="334"/>
      <c r="BC831" s="334"/>
      <c r="BD831" s="334"/>
      <c r="BE831" s="201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  <c r="BT831" s="334"/>
      <c r="BU831" s="334"/>
      <c r="BV831" s="334"/>
      <c r="BW831" s="334"/>
    </row>
    <row r="832" spans="45:75" x14ac:dyDescent="0.25">
      <c r="AS832" s="202"/>
      <c r="AV832" s="202"/>
      <c r="AW832" s="200"/>
      <c r="AX832" s="334"/>
      <c r="AY832" s="334"/>
      <c r="AZ832" s="334"/>
      <c r="BA832" s="201"/>
      <c r="BB832" s="334"/>
      <c r="BC832" s="334"/>
      <c r="BD832" s="334"/>
      <c r="BE832" s="201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  <c r="BT832" s="334"/>
      <c r="BU832" s="334"/>
      <c r="BV832" s="334"/>
      <c r="BW832" s="334"/>
    </row>
    <row r="833" spans="45:75" x14ac:dyDescent="0.25">
      <c r="AS833" s="202"/>
      <c r="AV833" s="202"/>
      <c r="AW833" s="200"/>
      <c r="AX833" s="334"/>
      <c r="AY833" s="334"/>
      <c r="AZ833" s="334"/>
      <c r="BA833" s="201"/>
      <c r="BB833" s="334"/>
      <c r="BC833" s="334"/>
      <c r="BD833" s="334"/>
      <c r="BE833" s="201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  <c r="BT833" s="334"/>
      <c r="BU833" s="334"/>
      <c r="BV833" s="334"/>
      <c r="BW833" s="334"/>
    </row>
    <row r="834" spans="45:75" x14ac:dyDescent="0.25">
      <c r="AS834" s="202"/>
      <c r="AV834" s="202"/>
      <c r="AW834" s="200"/>
      <c r="AX834" s="334"/>
      <c r="AY834" s="334"/>
      <c r="AZ834" s="334"/>
      <c r="BA834" s="201"/>
      <c r="BB834" s="334"/>
      <c r="BC834" s="334"/>
      <c r="BD834" s="334"/>
      <c r="BE834" s="201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  <c r="BT834" s="334"/>
      <c r="BU834" s="334"/>
      <c r="BV834" s="334"/>
      <c r="BW834" s="334"/>
    </row>
    <row r="835" spans="45:75" x14ac:dyDescent="0.25">
      <c r="AS835" s="202"/>
      <c r="AV835" s="202"/>
      <c r="AW835" s="200"/>
      <c r="AX835" s="334"/>
      <c r="AY835" s="334"/>
      <c r="AZ835" s="334"/>
      <c r="BA835" s="201"/>
      <c r="BB835" s="334"/>
      <c r="BC835" s="334"/>
      <c r="BD835" s="334"/>
      <c r="BE835" s="201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  <c r="BT835" s="334"/>
      <c r="BU835" s="334"/>
      <c r="BV835" s="334"/>
      <c r="BW835" s="334"/>
    </row>
    <row r="836" spans="45:75" x14ac:dyDescent="0.25">
      <c r="AS836" s="202"/>
      <c r="AV836" s="202"/>
      <c r="AW836" s="200"/>
      <c r="AX836" s="334"/>
      <c r="AY836" s="334"/>
      <c r="AZ836" s="334"/>
      <c r="BA836" s="201"/>
      <c r="BB836" s="334"/>
      <c r="BC836" s="334"/>
      <c r="BD836" s="334"/>
      <c r="BE836" s="201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  <c r="BT836" s="334"/>
      <c r="BU836" s="334"/>
      <c r="BV836" s="334"/>
      <c r="BW836" s="334"/>
    </row>
    <row r="837" spans="45:75" x14ac:dyDescent="0.25">
      <c r="AS837" s="202"/>
      <c r="AV837" s="202"/>
      <c r="AW837" s="200"/>
      <c r="AX837" s="334"/>
      <c r="AY837" s="334"/>
      <c r="AZ837" s="334"/>
      <c r="BA837" s="201"/>
      <c r="BB837" s="334"/>
      <c r="BC837" s="334"/>
      <c r="BD837" s="334"/>
      <c r="BE837" s="201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  <c r="BT837" s="334"/>
      <c r="BU837" s="334"/>
      <c r="BV837" s="334"/>
      <c r="BW837" s="334"/>
    </row>
    <row r="838" spans="45:75" x14ac:dyDescent="0.25">
      <c r="AS838" s="202"/>
      <c r="AV838" s="202"/>
      <c r="AW838" s="200"/>
      <c r="AX838" s="334"/>
      <c r="AY838" s="334"/>
      <c r="AZ838" s="334"/>
      <c r="BA838" s="201"/>
      <c r="BB838" s="334"/>
      <c r="BC838" s="334"/>
      <c r="BD838" s="334"/>
      <c r="BE838" s="201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  <c r="BT838" s="334"/>
      <c r="BU838" s="334"/>
      <c r="BV838" s="334"/>
      <c r="BW838" s="334"/>
    </row>
    <row r="839" spans="45:75" x14ac:dyDescent="0.25">
      <c r="AS839" s="202"/>
      <c r="AV839" s="202"/>
      <c r="AW839" s="200"/>
      <c r="AX839" s="334"/>
      <c r="AY839" s="334"/>
      <c r="AZ839" s="334"/>
      <c r="BA839" s="201"/>
      <c r="BB839" s="334"/>
      <c r="BC839" s="334"/>
      <c r="BD839" s="334"/>
      <c r="BE839" s="201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  <c r="BT839" s="334"/>
      <c r="BU839" s="334"/>
      <c r="BV839" s="334"/>
      <c r="BW839" s="334"/>
    </row>
    <row r="840" spans="45:75" x14ac:dyDescent="0.25">
      <c r="AS840" s="202"/>
      <c r="AV840" s="202"/>
      <c r="AW840" s="200"/>
      <c r="AX840" s="334"/>
      <c r="AY840" s="334"/>
      <c r="AZ840" s="334"/>
      <c r="BA840" s="201"/>
      <c r="BB840" s="334"/>
      <c r="BC840" s="334"/>
      <c r="BD840" s="334"/>
      <c r="BE840" s="201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  <c r="BT840" s="334"/>
      <c r="BU840" s="334"/>
      <c r="BV840" s="334"/>
      <c r="BW840" s="334"/>
    </row>
    <row r="841" spans="45:75" x14ac:dyDescent="0.25">
      <c r="AS841" s="202"/>
      <c r="AV841" s="202"/>
      <c r="AW841" s="200"/>
      <c r="AX841" s="334"/>
      <c r="AY841" s="334"/>
      <c r="AZ841" s="334"/>
      <c r="BA841" s="201"/>
      <c r="BB841" s="334"/>
      <c r="BC841" s="334"/>
      <c r="BD841" s="334"/>
      <c r="BE841" s="201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  <c r="BT841" s="334"/>
      <c r="BU841" s="334"/>
      <c r="BV841" s="334"/>
      <c r="BW841" s="334"/>
    </row>
    <row r="842" spans="45:75" x14ac:dyDescent="0.25">
      <c r="AW842" s="200"/>
      <c r="AX842" s="334"/>
      <c r="AY842" s="334"/>
      <c r="AZ842" s="334"/>
      <c r="BA842" s="201"/>
      <c r="BB842" s="334"/>
      <c r="BC842" s="334"/>
      <c r="BD842" s="334"/>
      <c r="BE842" s="201"/>
      <c r="BG842" s="102"/>
      <c r="BH842" s="102"/>
      <c r="BI842" s="154"/>
      <c r="BM842" s="102"/>
      <c r="BN842" s="102"/>
      <c r="BO842" s="334"/>
      <c r="BP842" s="102"/>
      <c r="BQ842" s="102"/>
      <c r="BR842" s="154"/>
      <c r="BV842" s="102"/>
      <c r="BW842" s="102"/>
    </row>
    <row r="843" spans="45:75" x14ac:dyDescent="0.25">
      <c r="AS843" s="202"/>
      <c r="AU843" s="154"/>
      <c r="AV843" s="103"/>
      <c r="AW843" s="200"/>
      <c r="AX843" s="334"/>
      <c r="AY843" s="334"/>
      <c r="AZ843" s="334"/>
      <c r="BA843" s="201"/>
      <c r="BB843" s="334"/>
      <c r="BC843" s="334"/>
      <c r="BD843" s="334"/>
      <c r="BE843" s="201"/>
      <c r="BG843" s="336"/>
      <c r="BH843" s="334"/>
      <c r="BI843" s="334"/>
      <c r="BJ843" s="334"/>
      <c r="BK843" s="336"/>
      <c r="BL843" s="337"/>
      <c r="BM843" s="334"/>
      <c r="BN843" s="336"/>
      <c r="BO843" s="334"/>
      <c r="BP843" s="336"/>
      <c r="BQ843" s="334"/>
      <c r="BR843" s="334"/>
      <c r="BS843" s="334"/>
      <c r="BT843" s="336"/>
      <c r="BU843" s="337"/>
      <c r="BV843" s="334"/>
      <c r="BW843" s="336"/>
    </row>
    <row r="844" spans="45:75" x14ac:dyDescent="0.25">
      <c r="AS844" s="202"/>
      <c r="AV844" s="103"/>
      <c r="AW844" s="200"/>
      <c r="AX844" s="334"/>
      <c r="AY844" s="334"/>
      <c r="AZ844" s="334"/>
      <c r="BA844" s="201"/>
      <c r="BB844" s="334"/>
      <c r="BC844" s="334"/>
      <c r="BD844" s="334"/>
      <c r="BE844" s="201"/>
      <c r="BG844" s="334"/>
      <c r="BH844" s="334"/>
      <c r="BI844" s="334"/>
      <c r="BJ844" s="334"/>
      <c r="BK844" s="334"/>
      <c r="BL844" s="337"/>
      <c r="BM844" s="334"/>
      <c r="BN844" s="334"/>
      <c r="BO844" s="334"/>
      <c r="BP844" s="334"/>
      <c r="BQ844" s="334"/>
      <c r="BR844" s="334"/>
      <c r="BS844" s="334"/>
      <c r="BT844" s="334"/>
      <c r="BU844" s="337"/>
      <c r="BV844" s="334"/>
      <c r="BW844" s="334"/>
    </row>
    <row r="845" spans="45:75" x14ac:dyDescent="0.25">
      <c r="AS845" s="202"/>
      <c r="AV845" s="103"/>
      <c r="AW845" s="200"/>
      <c r="AX845" s="334"/>
      <c r="AY845" s="334"/>
      <c r="AZ845" s="334"/>
      <c r="BA845" s="201"/>
      <c r="BB845" s="334"/>
      <c r="BC845" s="334"/>
      <c r="BD845" s="334"/>
      <c r="BE845" s="201"/>
      <c r="BG845" s="334"/>
      <c r="BH845" s="334"/>
      <c r="BI845" s="334"/>
      <c r="BJ845" s="334"/>
      <c r="BK845" s="334"/>
      <c r="BL845" s="337"/>
      <c r="BM845" s="334"/>
      <c r="BN845" s="334"/>
      <c r="BO845" s="334"/>
      <c r="BP845" s="334"/>
      <c r="BQ845" s="334"/>
      <c r="BR845" s="334"/>
      <c r="BS845" s="334"/>
      <c r="BT845" s="334"/>
      <c r="BU845" s="337"/>
      <c r="BV845" s="334"/>
      <c r="BW845" s="334"/>
    </row>
    <row r="846" spans="45:75" x14ac:dyDescent="0.25">
      <c r="AS846" s="202"/>
      <c r="AV846" s="103"/>
      <c r="AW846" s="200"/>
      <c r="AX846" s="334"/>
      <c r="AY846" s="334"/>
      <c r="AZ846" s="334"/>
      <c r="BA846" s="201"/>
      <c r="BB846" s="334"/>
      <c r="BC846" s="334"/>
      <c r="BD846" s="334"/>
      <c r="BE846" s="201"/>
      <c r="BG846" s="334"/>
      <c r="BH846" s="334"/>
      <c r="BI846" s="334"/>
      <c r="BJ846" s="334"/>
      <c r="BK846" s="334"/>
      <c r="BL846" s="337"/>
      <c r="BM846" s="334"/>
      <c r="BN846" s="334"/>
      <c r="BO846" s="334"/>
      <c r="BP846" s="334"/>
      <c r="BQ846" s="334"/>
      <c r="BR846" s="334"/>
      <c r="BS846" s="334"/>
      <c r="BT846" s="334"/>
      <c r="BU846" s="337"/>
      <c r="BV846" s="334"/>
      <c r="BW846" s="334"/>
    </row>
    <row r="847" spans="45:75" x14ac:dyDescent="0.25">
      <c r="AX847" s="334"/>
      <c r="AY847" s="334"/>
      <c r="AZ847" s="334"/>
      <c r="BA847" s="201"/>
      <c r="BB847" s="334"/>
      <c r="BC847" s="334"/>
      <c r="BD847" s="334"/>
      <c r="BE847" s="201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  <c r="BT847" s="334"/>
      <c r="BU847" s="334"/>
      <c r="BV847" s="334"/>
    </row>
    <row r="848" spans="45:75" x14ac:dyDescent="0.25">
      <c r="AU848" s="154"/>
    </row>
    <row r="849" spans="45:74" x14ac:dyDescent="0.25">
      <c r="AU849" s="154"/>
      <c r="AZ849" s="334"/>
      <c r="BA849" s="201"/>
      <c r="BB849" s="334"/>
      <c r="BC849" s="334"/>
      <c r="BD849" s="334"/>
      <c r="BE849" s="201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  <c r="BR849" s="334"/>
      <c r="BS849" s="334"/>
      <c r="BT849" s="334"/>
      <c r="BU849" s="334"/>
      <c r="BV849" s="334"/>
    </row>
    <row r="850" spans="45:74" x14ac:dyDescent="0.25">
      <c r="AS850" s="154"/>
      <c r="AZ850" s="334"/>
      <c r="BB850" s="334"/>
    </row>
    <row r="851" spans="45:74" x14ac:dyDescent="0.25">
      <c r="AY851" s="202"/>
      <c r="AZ851" s="334"/>
      <c r="BB851" s="334"/>
      <c r="BO851" s="334"/>
      <c r="BP851" s="334"/>
      <c r="BQ851" s="334"/>
      <c r="BR851" s="334"/>
      <c r="BS851" s="334"/>
      <c r="BT851" s="334"/>
      <c r="BU851" s="334"/>
      <c r="BV851" s="334"/>
    </row>
    <row r="852" spans="45:74" x14ac:dyDescent="0.25">
      <c r="AY852" s="334"/>
      <c r="AZ852" s="334"/>
      <c r="BB852" s="334"/>
      <c r="BO852" s="334"/>
      <c r="BP852" s="334"/>
      <c r="BQ852" s="334"/>
      <c r="BR852" s="334"/>
      <c r="BS852" s="334"/>
      <c r="BT852" s="334"/>
      <c r="BU852" s="334"/>
      <c r="BV852" s="334"/>
    </row>
    <row r="853" spans="45:74" x14ac:dyDescent="0.25">
      <c r="AY853" s="154"/>
      <c r="AZ853" s="334"/>
      <c r="BB853" s="334"/>
      <c r="BO853" s="334"/>
      <c r="BP853" s="334"/>
      <c r="BQ853" s="334"/>
      <c r="BR853" s="334"/>
      <c r="BS853" s="334"/>
      <c r="BT853" s="334"/>
      <c r="BU853" s="334"/>
      <c r="BV853" s="334"/>
    </row>
    <row r="854" spans="45:74" x14ac:dyDescent="0.25">
      <c r="AY854" s="154"/>
      <c r="AZ854" s="334"/>
      <c r="BB854" s="334"/>
      <c r="BO854" s="334"/>
      <c r="BP854" s="334"/>
      <c r="BQ854" s="334"/>
      <c r="BR854" s="334"/>
      <c r="BS854" s="334"/>
      <c r="BT854" s="334"/>
      <c r="BU854" s="334"/>
      <c r="BV854" s="334"/>
    </row>
    <row r="855" spans="45:74" x14ac:dyDescent="0.25">
      <c r="AS855" s="202"/>
      <c r="AZ855" s="334"/>
      <c r="BB855" s="334"/>
      <c r="BD855" s="154"/>
      <c r="BO855" s="334"/>
      <c r="BP855" s="334"/>
      <c r="BQ855" s="334"/>
      <c r="BR855" s="334"/>
      <c r="BS855" s="334"/>
      <c r="BT855" s="334"/>
      <c r="BU855" s="334"/>
      <c r="BV855" s="334"/>
    </row>
    <row r="856" spans="45:74" x14ac:dyDescent="0.25">
      <c r="AS856" s="202"/>
      <c r="AZ856" s="334"/>
      <c r="BB856" s="334"/>
      <c r="BD856" s="154"/>
      <c r="BO856" s="334"/>
      <c r="BP856" s="334"/>
      <c r="BQ856" s="334"/>
      <c r="BR856" s="334"/>
      <c r="BS856" s="334"/>
      <c r="BT856" s="334"/>
      <c r="BU856" s="334"/>
      <c r="BV856" s="334"/>
    </row>
    <row r="857" spans="45:74" x14ac:dyDescent="0.25">
      <c r="AS857" s="154"/>
      <c r="AZ857" s="334"/>
      <c r="BB857" s="334"/>
      <c r="BD857" s="154"/>
      <c r="BO857" s="334"/>
      <c r="BP857" s="334"/>
      <c r="BQ857" s="334"/>
      <c r="BR857" s="334"/>
      <c r="BS857" s="334"/>
      <c r="BT857" s="334"/>
      <c r="BU857" s="334"/>
      <c r="BV857" s="334"/>
    </row>
    <row r="858" spans="45:74" x14ac:dyDescent="0.25">
      <c r="AZ858" s="334"/>
      <c r="BB858" s="334"/>
      <c r="BD858" s="202"/>
      <c r="BO858" s="334"/>
      <c r="BP858" s="334"/>
      <c r="BQ858" s="334"/>
      <c r="BR858" s="334"/>
      <c r="BS858" s="334"/>
      <c r="BT858" s="334"/>
      <c r="BU858" s="334"/>
      <c r="BV858" s="334"/>
    </row>
    <row r="859" spans="45:74" x14ac:dyDescent="0.25">
      <c r="AS859" s="102"/>
      <c r="AT859" s="102"/>
      <c r="AU859" s="102"/>
      <c r="AV859" s="102"/>
      <c r="AW859" s="102"/>
      <c r="AX859" s="102"/>
      <c r="AY859" s="102"/>
      <c r="AZ859" s="335"/>
      <c r="BA859" s="102"/>
      <c r="BB859" s="335"/>
      <c r="BC859" s="102"/>
      <c r="BD859" s="102"/>
      <c r="BE859" s="102"/>
      <c r="BO859" s="334"/>
      <c r="BP859" s="334"/>
      <c r="BQ859" s="334"/>
      <c r="BR859" s="334"/>
      <c r="BS859" s="334"/>
      <c r="BT859" s="334"/>
      <c r="BU859" s="334"/>
      <c r="BV859" s="334"/>
    </row>
    <row r="860" spans="45:74" x14ac:dyDescent="0.25">
      <c r="AX860" s="154"/>
      <c r="AZ860" s="334"/>
      <c r="BB860" s="334"/>
      <c r="BO860" s="334"/>
      <c r="BP860" s="334"/>
      <c r="BQ860" s="334"/>
      <c r="BR860" s="334"/>
      <c r="BS860" s="334"/>
      <c r="BT860" s="334"/>
      <c r="BU860" s="334"/>
      <c r="BV860" s="334"/>
    </row>
    <row r="861" spans="45:74" x14ac:dyDescent="0.25">
      <c r="AX861" s="102"/>
      <c r="AY861" s="102"/>
      <c r="AZ861" s="335"/>
      <c r="BA861" s="102"/>
      <c r="BB861" s="334"/>
      <c r="BC861" s="103"/>
      <c r="BD861" s="103"/>
      <c r="BO861" s="334"/>
      <c r="BP861" s="334"/>
      <c r="BQ861" s="334"/>
      <c r="BR861" s="334"/>
      <c r="BS861" s="334"/>
      <c r="BT861" s="334"/>
      <c r="BU861" s="334"/>
      <c r="BV861" s="334"/>
    </row>
    <row r="862" spans="45:74" x14ac:dyDescent="0.25">
      <c r="AV862" s="103"/>
      <c r="AW862" s="103"/>
      <c r="AZ862" s="336"/>
      <c r="BA862" s="103"/>
      <c r="BB862" s="334"/>
      <c r="BC862" s="103"/>
      <c r="BD862" s="103"/>
      <c r="BE862" s="103"/>
      <c r="BG862" s="102"/>
      <c r="BH862" s="154"/>
      <c r="BK862" s="102"/>
      <c r="BM862" s="102"/>
      <c r="BN862" s="154"/>
      <c r="BQ862" s="102"/>
    </row>
    <row r="863" spans="45:74" x14ac:dyDescent="0.25">
      <c r="AV863" s="103"/>
      <c r="AW863" s="103"/>
      <c r="AX863" s="103"/>
      <c r="AY863" s="103"/>
      <c r="AZ863" s="336"/>
      <c r="BA863" s="103"/>
      <c r="BB863" s="336"/>
      <c r="BC863" s="103"/>
      <c r="BD863" s="103"/>
      <c r="BE863" s="103"/>
      <c r="BH863" s="103"/>
      <c r="BI863" s="103"/>
      <c r="BN863" s="103"/>
      <c r="BO863" s="103"/>
    </row>
    <row r="864" spans="45:74" x14ac:dyDescent="0.25">
      <c r="AS864" s="103"/>
      <c r="AU864" s="154"/>
      <c r="AV864" s="103"/>
      <c r="AW864" s="103"/>
      <c r="AX864" s="103"/>
      <c r="AY864" s="103"/>
      <c r="AZ864" s="336"/>
      <c r="BA864" s="103"/>
      <c r="BB864" s="336"/>
      <c r="BC864" s="103"/>
      <c r="BD864" s="103"/>
      <c r="BE864" s="103"/>
      <c r="BG864" s="103"/>
      <c r="BH864" s="103"/>
      <c r="BI864" s="103"/>
      <c r="BJ864" s="103"/>
      <c r="BK864" s="103"/>
      <c r="BM864" s="103"/>
      <c r="BN864" s="103"/>
      <c r="BO864" s="103"/>
      <c r="BP864" s="103"/>
      <c r="BQ864" s="103"/>
    </row>
    <row r="865" spans="45:71" x14ac:dyDescent="0.25">
      <c r="AS865" s="103"/>
      <c r="AU865" s="154"/>
      <c r="AV865" s="103"/>
      <c r="AW865" s="103"/>
      <c r="AX865" s="103"/>
      <c r="AY865" s="103"/>
      <c r="AZ865" s="336"/>
      <c r="BA865" s="103"/>
      <c r="BB865" s="336"/>
      <c r="BC865" s="103"/>
      <c r="BD865" s="103"/>
      <c r="BE865" s="103"/>
      <c r="BG865" s="103"/>
      <c r="BH865" s="103"/>
      <c r="BI865" s="103"/>
      <c r="BJ865" s="103"/>
      <c r="BK865" s="103"/>
      <c r="BM865" s="103"/>
      <c r="BN865" s="103"/>
      <c r="BO865" s="103"/>
      <c r="BP865" s="103"/>
      <c r="BQ865" s="103"/>
    </row>
    <row r="866" spans="45:71" x14ac:dyDescent="0.25">
      <c r="AS866" s="102"/>
      <c r="AT866" s="102"/>
      <c r="AU866" s="102"/>
      <c r="AV866" s="102"/>
      <c r="AW866" s="102"/>
      <c r="AX866" s="102"/>
      <c r="AY866" s="102"/>
      <c r="AZ866" s="335"/>
      <c r="BA866" s="102"/>
      <c r="BB866" s="335"/>
      <c r="BC866" s="102"/>
      <c r="BD866" s="102"/>
      <c r="BE866" s="102"/>
      <c r="BG866" s="102"/>
      <c r="BH866" s="102"/>
      <c r="BI866" s="102"/>
      <c r="BJ866" s="102"/>
      <c r="BK866" s="102"/>
      <c r="BM866" s="102"/>
      <c r="BN866" s="102"/>
      <c r="BO866" s="102"/>
      <c r="BP866" s="102"/>
      <c r="BQ866" s="102"/>
    </row>
    <row r="867" spans="45:71" x14ac:dyDescent="0.25">
      <c r="AV867" s="103"/>
      <c r="AW867" s="103"/>
      <c r="AX867" s="103"/>
      <c r="AY867" s="103"/>
      <c r="AZ867" s="336"/>
      <c r="BA867" s="103"/>
      <c r="BB867" s="336"/>
      <c r="BC867" s="103"/>
      <c r="BD867" s="103"/>
      <c r="BE867" s="103"/>
      <c r="BG867" s="334"/>
      <c r="BH867" s="334"/>
      <c r="BI867" s="334"/>
      <c r="BJ867" s="334"/>
      <c r="BK867" s="334"/>
      <c r="BL867" s="334"/>
      <c r="BM867" s="334"/>
      <c r="BN867" s="334"/>
      <c r="BO867" s="334"/>
      <c r="BP867" s="334"/>
      <c r="BQ867" s="334"/>
    </row>
    <row r="868" spans="45:71" x14ac:dyDescent="0.25">
      <c r="AS868" s="202"/>
      <c r="AT868" s="154"/>
      <c r="AV868" s="200"/>
      <c r="AW868" s="200"/>
      <c r="AX868" s="334"/>
      <c r="AY868" s="334"/>
      <c r="AZ868" s="334"/>
      <c r="BA868" s="201"/>
      <c r="BB868" s="334"/>
      <c r="BC868" s="334"/>
      <c r="BD868" s="334"/>
      <c r="BE868" s="201"/>
      <c r="BG868" s="334"/>
      <c r="BH868" s="334"/>
      <c r="BI868" s="334"/>
      <c r="BJ868" s="334"/>
      <c r="BK868" s="334"/>
      <c r="BL868" s="334"/>
      <c r="BM868" s="334"/>
      <c r="BN868" s="334"/>
      <c r="BO868" s="334"/>
      <c r="BP868" s="334"/>
      <c r="BQ868" s="334"/>
      <c r="BR868" s="334"/>
      <c r="BS868" s="334"/>
    </row>
    <row r="869" spans="45:71" x14ac:dyDescent="0.25">
      <c r="AS869" s="202"/>
      <c r="AV869" s="200"/>
      <c r="AW869" s="200"/>
      <c r="AX869" s="334"/>
      <c r="AY869" s="334"/>
      <c r="AZ869" s="334"/>
      <c r="BA869" s="201"/>
      <c r="BB869" s="334"/>
      <c r="BC869" s="334"/>
      <c r="BD869" s="334"/>
      <c r="BE869" s="201"/>
      <c r="BG869" s="334"/>
      <c r="BH869" s="334"/>
      <c r="BI869" s="334"/>
      <c r="BJ869" s="334"/>
      <c r="BK869" s="334"/>
      <c r="BL869" s="334"/>
      <c r="BM869" s="334"/>
      <c r="BN869" s="334"/>
      <c r="BO869" s="334"/>
      <c r="BP869" s="334"/>
      <c r="BQ869" s="334"/>
      <c r="BR869" s="334"/>
      <c r="BS869" s="334"/>
    </row>
    <row r="870" spans="45:71" x14ac:dyDescent="0.25">
      <c r="AS870" s="202"/>
      <c r="AV870" s="200"/>
      <c r="AW870" s="200"/>
      <c r="AX870" s="334"/>
      <c r="AY870" s="334"/>
      <c r="AZ870" s="334"/>
      <c r="BA870" s="201"/>
      <c r="BB870" s="334"/>
      <c r="BC870" s="334"/>
      <c r="BD870" s="334"/>
      <c r="BE870" s="201"/>
      <c r="BG870" s="334"/>
      <c r="BH870" s="334"/>
      <c r="BI870" s="334"/>
      <c r="BJ870" s="334"/>
      <c r="BK870" s="334"/>
      <c r="BL870" s="334"/>
      <c r="BM870" s="334"/>
      <c r="BN870" s="334"/>
      <c r="BO870" s="334"/>
      <c r="BP870" s="334"/>
      <c r="BQ870" s="334"/>
      <c r="BR870" s="334"/>
      <c r="BS870" s="334"/>
    </row>
    <row r="871" spans="45:71" x14ac:dyDescent="0.25">
      <c r="AS871" s="202"/>
      <c r="AV871" s="200"/>
      <c r="AW871" s="200"/>
      <c r="AX871" s="334"/>
      <c r="AY871" s="334"/>
      <c r="AZ871" s="334"/>
      <c r="BA871" s="201"/>
      <c r="BB871" s="334"/>
      <c r="BC871" s="334"/>
      <c r="BD871" s="334"/>
      <c r="BE871" s="201"/>
      <c r="BG871" s="334"/>
      <c r="BH871" s="334"/>
      <c r="BI871" s="334"/>
      <c r="BJ871" s="334"/>
      <c r="BK871" s="334"/>
      <c r="BL871" s="334"/>
      <c r="BM871" s="334"/>
      <c r="BN871" s="334"/>
      <c r="BO871" s="334"/>
      <c r="BP871" s="334"/>
      <c r="BQ871" s="334"/>
      <c r="BR871" s="334"/>
      <c r="BS871" s="334"/>
    </row>
    <row r="872" spans="45:71" x14ac:dyDescent="0.25">
      <c r="AS872" s="202"/>
      <c r="AV872" s="200"/>
      <c r="AW872" s="200"/>
      <c r="AX872" s="334"/>
      <c r="AY872" s="334"/>
      <c r="AZ872" s="334"/>
      <c r="BA872" s="201"/>
      <c r="BB872" s="334"/>
      <c r="BC872" s="334"/>
      <c r="BD872" s="334"/>
      <c r="BE872" s="201"/>
      <c r="BG872" s="334"/>
      <c r="BH872" s="334"/>
      <c r="BI872" s="334"/>
      <c r="BJ872" s="334"/>
      <c r="BK872" s="334"/>
      <c r="BL872" s="334"/>
      <c r="BM872" s="334"/>
      <c r="BN872" s="334"/>
      <c r="BO872" s="334"/>
      <c r="BP872" s="334"/>
      <c r="BQ872" s="334"/>
      <c r="BR872" s="334"/>
      <c r="BS872" s="334"/>
    </row>
    <row r="873" spans="45:71" x14ac:dyDescent="0.25">
      <c r="AS873" s="202"/>
      <c r="AV873" s="200"/>
      <c r="AW873" s="200"/>
      <c r="AX873" s="334"/>
      <c r="AY873" s="334"/>
      <c r="AZ873" s="334"/>
      <c r="BA873" s="201"/>
      <c r="BB873" s="334"/>
      <c r="BC873" s="334"/>
      <c r="BD873" s="334"/>
      <c r="BE873" s="201"/>
      <c r="BG873" s="334"/>
      <c r="BH873" s="334"/>
      <c r="BI873" s="334"/>
      <c r="BJ873" s="334"/>
      <c r="BK873" s="334"/>
      <c r="BL873" s="334"/>
      <c r="BM873" s="334"/>
      <c r="BN873" s="334"/>
      <c r="BO873" s="334"/>
      <c r="BP873" s="334"/>
      <c r="BQ873" s="334"/>
      <c r="BR873" s="334"/>
      <c r="BS873" s="334"/>
    </row>
    <row r="874" spans="45:71" x14ac:dyDescent="0.25">
      <c r="AS874" s="202"/>
      <c r="AV874" s="200"/>
      <c r="AW874" s="200"/>
      <c r="AX874" s="334"/>
      <c r="AY874" s="334"/>
      <c r="AZ874" s="334"/>
      <c r="BA874" s="201"/>
      <c r="BB874" s="334"/>
      <c r="BC874" s="334"/>
      <c r="BD874" s="334"/>
      <c r="BE874" s="201"/>
      <c r="BG874" s="334"/>
      <c r="BH874" s="334"/>
      <c r="BI874" s="334"/>
      <c r="BJ874" s="334"/>
      <c r="BK874" s="334"/>
      <c r="BL874" s="334"/>
      <c r="BM874" s="334"/>
      <c r="BN874" s="334"/>
      <c r="BO874" s="334"/>
      <c r="BP874" s="334"/>
      <c r="BQ874" s="334"/>
      <c r="BR874" s="334"/>
      <c r="BS874" s="334"/>
    </row>
    <row r="875" spans="45:71" x14ac:dyDescent="0.25">
      <c r="AS875" s="202"/>
      <c r="AV875" s="200"/>
      <c r="AW875" s="200"/>
      <c r="AX875" s="334"/>
      <c r="AY875" s="334"/>
      <c r="AZ875" s="334"/>
      <c r="BA875" s="201"/>
      <c r="BB875" s="334"/>
      <c r="BC875" s="334"/>
      <c r="BD875" s="334"/>
      <c r="BE875" s="201"/>
      <c r="BG875" s="334"/>
      <c r="BH875" s="334"/>
      <c r="BI875" s="334"/>
      <c r="BJ875" s="334"/>
      <c r="BK875" s="334"/>
      <c r="BL875" s="334"/>
      <c r="BM875" s="334"/>
      <c r="BN875" s="334"/>
      <c r="BO875" s="334"/>
      <c r="BP875" s="334"/>
      <c r="BQ875" s="334"/>
      <c r="BR875" s="334"/>
      <c r="BS875" s="334"/>
    </row>
    <row r="876" spans="45:71" x14ac:dyDescent="0.25">
      <c r="AS876" s="202"/>
      <c r="AV876" s="200"/>
      <c r="AW876" s="200"/>
      <c r="AX876" s="334"/>
      <c r="AY876" s="334"/>
      <c r="AZ876" s="334"/>
      <c r="BA876" s="201"/>
      <c r="BB876" s="334"/>
      <c r="BC876" s="334"/>
      <c r="BD876" s="334"/>
      <c r="BE876" s="201"/>
      <c r="BG876" s="334"/>
      <c r="BH876" s="334"/>
      <c r="BI876" s="334"/>
      <c r="BJ876" s="334"/>
      <c r="BK876" s="334"/>
      <c r="BL876" s="334"/>
      <c r="BM876" s="334"/>
      <c r="BN876" s="334"/>
      <c r="BO876" s="334"/>
      <c r="BP876" s="334"/>
      <c r="BQ876" s="334"/>
      <c r="BR876" s="334"/>
      <c r="BS876" s="334"/>
    </row>
    <row r="877" spans="45:71" x14ac:dyDescent="0.25">
      <c r="AS877" s="202"/>
      <c r="AV877" s="200"/>
      <c r="AW877" s="200"/>
      <c r="AX877" s="334"/>
      <c r="AY877" s="334"/>
      <c r="AZ877" s="334"/>
      <c r="BA877" s="201"/>
      <c r="BB877" s="334"/>
      <c r="BC877" s="334"/>
      <c r="BD877" s="334"/>
      <c r="BE877" s="201"/>
      <c r="BG877" s="334"/>
      <c r="BH877" s="334"/>
      <c r="BI877" s="334"/>
      <c r="BJ877" s="334"/>
      <c r="BK877" s="334"/>
      <c r="BL877" s="334"/>
      <c r="BM877" s="334"/>
      <c r="BN877" s="334"/>
      <c r="BO877" s="334"/>
      <c r="BP877" s="334"/>
      <c r="BQ877" s="334"/>
      <c r="BR877" s="334"/>
      <c r="BS877" s="334"/>
    </row>
    <row r="878" spans="45:71" x14ac:dyDescent="0.25">
      <c r="AS878" s="202"/>
      <c r="AV878" s="200"/>
      <c r="AW878" s="200"/>
      <c r="AX878" s="334"/>
      <c r="AY878" s="334"/>
      <c r="AZ878" s="334"/>
      <c r="BA878" s="201"/>
      <c r="BB878" s="334"/>
      <c r="BC878" s="334"/>
      <c r="BD878" s="334"/>
      <c r="BE878" s="201"/>
      <c r="BG878" s="334"/>
      <c r="BH878" s="334"/>
      <c r="BI878" s="334"/>
      <c r="BJ878" s="334"/>
      <c r="BK878" s="334"/>
      <c r="BL878" s="334"/>
      <c r="BM878" s="334"/>
      <c r="BN878" s="334"/>
      <c r="BO878" s="334"/>
      <c r="BP878" s="334"/>
      <c r="BQ878" s="334"/>
      <c r="BR878" s="334"/>
      <c r="BS878" s="334"/>
    </row>
    <row r="879" spans="45:71" x14ac:dyDescent="0.25">
      <c r="AS879" s="202"/>
      <c r="AV879" s="200"/>
      <c r="AW879" s="200"/>
      <c r="AX879" s="334"/>
      <c r="AY879" s="334"/>
      <c r="AZ879" s="334"/>
      <c r="BA879" s="201"/>
      <c r="BB879" s="334"/>
      <c r="BC879" s="334"/>
      <c r="BD879" s="334"/>
      <c r="BE879" s="201"/>
      <c r="BG879" s="334"/>
      <c r="BH879" s="334"/>
      <c r="BI879" s="334"/>
      <c r="BJ879" s="334"/>
      <c r="BK879" s="334"/>
      <c r="BL879" s="334"/>
      <c r="BM879" s="334"/>
      <c r="BN879" s="334"/>
      <c r="BO879" s="334"/>
      <c r="BP879" s="334"/>
      <c r="BQ879" s="334"/>
      <c r="BR879" s="334"/>
      <c r="BS879" s="334"/>
    </row>
    <row r="880" spans="45:71" x14ac:dyDescent="0.25">
      <c r="AS880" s="202"/>
      <c r="AV880" s="200"/>
      <c r="AW880" s="200"/>
      <c r="AX880" s="334"/>
      <c r="AY880" s="334"/>
      <c r="AZ880" s="334"/>
      <c r="BA880" s="201"/>
      <c r="BB880" s="334"/>
      <c r="BC880" s="334"/>
      <c r="BD880" s="334"/>
      <c r="BE880" s="201"/>
      <c r="BG880" s="334"/>
      <c r="BH880" s="334"/>
      <c r="BI880" s="334"/>
      <c r="BJ880" s="334"/>
      <c r="BK880" s="334"/>
      <c r="BL880" s="334"/>
      <c r="BM880" s="334"/>
      <c r="BN880" s="334"/>
      <c r="BO880" s="334"/>
      <c r="BP880" s="334"/>
      <c r="BQ880" s="334"/>
      <c r="BR880" s="334"/>
      <c r="BS880" s="334"/>
    </row>
    <row r="881" spans="45:71" x14ac:dyDescent="0.25">
      <c r="AS881" s="202"/>
      <c r="AV881" s="200"/>
      <c r="AW881" s="200"/>
      <c r="AX881" s="334"/>
      <c r="AY881" s="334"/>
      <c r="AZ881" s="334"/>
      <c r="BA881" s="201"/>
      <c r="BB881" s="334"/>
      <c r="BC881" s="334"/>
      <c r="BD881" s="334"/>
      <c r="BE881" s="201"/>
      <c r="BG881" s="334"/>
      <c r="BH881" s="334"/>
      <c r="BI881" s="334"/>
      <c r="BJ881" s="334"/>
      <c r="BK881" s="334"/>
      <c r="BL881" s="334"/>
      <c r="BM881" s="334"/>
      <c r="BN881" s="334"/>
      <c r="BO881" s="334"/>
      <c r="BP881" s="334"/>
      <c r="BQ881" s="334"/>
      <c r="BR881" s="334"/>
      <c r="BS881" s="334"/>
    </row>
    <row r="882" spans="45:71" x14ac:dyDescent="0.25">
      <c r="AS882" s="202"/>
      <c r="AV882" s="200"/>
      <c r="AW882" s="200"/>
      <c r="AX882" s="334"/>
      <c r="AY882" s="334"/>
      <c r="AZ882" s="334"/>
      <c r="BA882" s="201"/>
      <c r="BB882" s="334"/>
      <c r="BC882" s="334"/>
      <c r="BD882" s="334"/>
      <c r="BE882" s="201"/>
      <c r="BG882" s="334"/>
      <c r="BH882" s="334"/>
      <c r="BI882" s="334"/>
      <c r="BJ882" s="334"/>
      <c r="BK882" s="334"/>
      <c r="BL882" s="334"/>
      <c r="BM882" s="334"/>
      <c r="BN882" s="334"/>
      <c r="BO882" s="334"/>
      <c r="BP882" s="334"/>
      <c r="BQ882" s="334"/>
      <c r="BR882" s="334"/>
      <c r="BS882" s="334"/>
    </row>
    <row r="883" spans="45:71" x14ac:dyDescent="0.25">
      <c r="AS883" s="202"/>
      <c r="AV883" s="200"/>
      <c r="AW883" s="200"/>
      <c r="AX883" s="334"/>
      <c r="AY883" s="334"/>
      <c r="AZ883" s="334"/>
      <c r="BA883" s="201"/>
      <c r="BB883" s="334"/>
      <c r="BC883" s="334"/>
      <c r="BD883" s="334"/>
      <c r="BE883" s="201"/>
      <c r="BG883" s="334"/>
      <c r="BH883" s="334"/>
      <c r="BI883" s="334"/>
      <c r="BJ883" s="334"/>
      <c r="BK883" s="334"/>
      <c r="BL883" s="334"/>
      <c r="BM883" s="334"/>
      <c r="BN883" s="334"/>
      <c r="BO883" s="334"/>
      <c r="BP883" s="334"/>
      <c r="BQ883" s="334"/>
      <c r="BR883" s="334"/>
      <c r="BS883" s="334"/>
    </row>
    <row r="884" spans="45:71" x14ac:dyDescent="0.25">
      <c r="AS884" s="202"/>
      <c r="AV884" s="200"/>
      <c r="AW884" s="200"/>
      <c r="AX884" s="334"/>
      <c r="AY884" s="334"/>
      <c r="AZ884" s="334"/>
      <c r="BA884" s="201"/>
      <c r="BB884" s="334"/>
      <c r="BC884" s="334"/>
      <c r="BD884" s="334"/>
      <c r="BE884" s="201"/>
      <c r="BG884" s="334"/>
      <c r="BH884" s="334"/>
      <c r="BI884" s="334"/>
      <c r="BJ884" s="334"/>
      <c r="BK884" s="334"/>
      <c r="BL884" s="334"/>
      <c r="BM884" s="334"/>
      <c r="BN884" s="334"/>
      <c r="BO884" s="334"/>
      <c r="BP884" s="334"/>
      <c r="BQ884" s="334"/>
      <c r="BR884" s="334"/>
      <c r="BS884" s="334"/>
    </row>
    <row r="885" spans="45:71" x14ac:dyDescent="0.25">
      <c r="AS885" s="202"/>
      <c r="AV885" s="200"/>
      <c r="AW885" s="200"/>
      <c r="AX885" s="334"/>
      <c r="AY885" s="334"/>
      <c r="AZ885" s="334"/>
      <c r="BA885" s="201"/>
      <c r="BB885" s="334"/>
      <c r="BC885" s="334"/>
      <c r="BD885" s="334"/>
      <c r="BE885" s="201"/>
      <c r="BG885" s="334"/>
      <c r="BH885" s="334"/>
      <c r="BI885" s="334"/>
      <c r="BJ885" s="334"/>
      <c r="BK885" s="334"/>
      <c r="BL885" s="334"/>
      <c r="BM885" s="334"/>
      <c r="BN885" s="334"/>
      <c r="BO885" s="334"/>
      <c r="BP885" s="334"/>
      <c r="BQ885" s="334"/>
      <c r="BR885" s="334"/>
      <c r="BS885" s="334"/>
    </row>
    <row r="886" spans="45:71" x14ac:dyDescent="0.25">
      <c r="AZ886" s="334"/>
      <c r="BB886" s="334"/>
      <c r="BC886" s="334"/>
      <c r="BD886" s="334"/>
      <c r="BG886" s="334"/>
      <c r="BH886" s="334"/>
      <c r="BI886" s="334"/>
      <c r="BJ886" s="334"/>
      <c r="BK886" s="334"/>
      <c r="BL886" s="334"/>
      <c r="BM886" s="334"/>
      <c r="BN886" s="334"/>
      <c r="BO886" s="334"/>
      <c r="BP886" s="334"/>
      <c r="BQ886" s="334"/>
      <c r="BR886" s="334"/>
      <c r="BS886" s="334"/>
    </row>
    <row r="887" spans="45:71" x14ac:dyDescent="0.25">
      <c r="AS887" s="202"/>
      <c r="AT887" s="154"/>
      <c r="AV887" s="200"/>
      <c r="AW887" s="200"/>
      <c r="AX887" s="334"/>
      <c r="AY887" s="334"/>
      <c r="AZ887" s="334"/>
      <c r="BA887" s="201"/>
      <c r="BB887" s="334"/>
      <c r="BC887" s="334"/>
      <c r="BD887" s="334"/>
      <c r="BE887" s="201"/>
    </row>
    <row r="888" spans="45:71" x14ac:dyDescent="0.25">
      <c r="AS888" s="202"/>
      <c r="AV888" s="200"/>
      <c r="AW888" s="200"/>
      <c r="AX888" s="334"/>
      <c r="AY888" s="334"/>
      <c r="AZ888" s="334"/>
      <c r="BA888" s="201"/>
      <c r="BB888" s="334"/>
      <c r="BC888" s="334"/>
      <c r="BD888" s="334"/>
      <c r="BE888" s="201"/>
    </row>
    <row r="889" spans="45:71" x14ac:dyDescent="0.25">
      <c r="AS889" s="202"/>
      <c r="AV889" s="200"/>
      <c r="AW889" s="200"/>
      <c r="AX889" s="334"/>
      <c r="AY889" s="334"/>
      <c r="AZ889" s="334"/>
      <c r="BA889" s="201"/>
      <c r="BB889" s="334"/>
      <c r="BC889" s="334"/>
      <c r="BD889" s="334"/>
      <c r="BE889" s="201"/>
    </row>
    <row r="890" spans="45:71" x14ac:dyDescent="0.25">
      <c r="AS890" s="202"/>
      <c r="AV890" s="200"/>
      <c r="AW890" s="200"/>
      <c r="AX890" s="334"/>
      <c r="AY890" s="334"/>
      <c r="AZ890" s="334"/>
      <c r="BA890" s="201"/>
      <c r="BB890" s="334"/>
      <c r="BC890" s="334"/>
      <c r="BD890" s="334"/>
      <c r="BE890" s="201"/>
    </row>
    <row r="891" spans="45:71" x14ac:dyDescent="0.25">
      <c r="AS891" s="202"/>
      <c r="AV891" s="200"/>
      <c r="AW891" s="200"/>
      <c r="AX891" s="334"/>
      <c r="AY891" s="334"/>
      <c r="AZ891" s="334"/>
      <c r="BA891" s="201"/>
      <c r="BB891" s="334"/>
      <c r="BC891" s="334"/>
      <c r="BD891" s="334"/>
      <c r="BE891" s="201"/>
    </row>
    <row r="892" spans="45:71" x14ac:dyDescent="0.25">
      <c r="AS892" s="202"/>
      <c r="AV892" s="200"/>
      <c r="AW892" s="200"/>
      <c r="AX892" s="334"/>
      <c r="AY892" s="334"/>
      <c r="AZ892" s="334"/>
      <c r="BA892" s="201"/>
      <c r="BB892" s="334"/>
      <c r="BC892" s="334"/>
      <c r="BD892" s="334"/>
      <c r="BE892" s="201"/>
    </row>
    <row r="893" spans="45:71" x14ac:dyDescent="0.25">
      <c r="AS893" s="202"/>
      <c r="AV893" s="200"/>
      <c r="AW893" s="200"/>
      <c r="AX893" s="334"/>
      <c r="AY893" s="334"/>
      <c r="AZ893" s="334"/>
      <c r="BA893" s="201"/>
      <c r="BB893" s="334"/>
      <c r="BC893" s="334"/>
      <c r="BD893" s="334"/>
      <c r="BE893" s="201"/>
    </row>
    <row r="894" spans="45:71" x14ac:dyDescent="0.25">
      <c r="AS894" s="202"/>
      <c r="AV894" s="200"/>
      <c r="AW894" s="200"/>
      <c r="AX894" s="334"/>
      <c r="AY894" s="334"/>
      <c r="AZ894" s="334"/>
      <c r="BA894" s="201"/>
      <c r="BB894" s="334"/>
      <c r="BC894" s="334"/>
      <c r="BD894" s="334"/>
      <c r="BE894" s="201"/>
    </row>
    <row r="895" spans="45:71" x14ac:dyDescent="0.25">
      <c r="AS895" s="202"/>
      <c r="AV895" s="200"/>
      <c r="AW895" s="200"/>
      <c r="AX895" s="334"/>
      <c r="AY895" s="334"/>
      <c r="AZ895" s="334"/>
      <c r="BA895" s="201"/>
      <c r="BB895" s="334"/>
      <c r="BC895" s="334"/>
      <c r="BD895" s="334"/>
      <c r="BE895" s="201"/>
    </row>
    <row r="896" spans="45:71" x14ac:dyDescent="0.25">
      <c r="AS896" s="202"/>
      <c r="AV896" s="200"/>
      <c r="AW896" s="200"/>
      <c r="AX896" s="334"/>
      <c r="AY896" s="334"/>
      <c r="AZ896" s="334"/>
      <c r="BA896" s="201"/>
      <c r="BB896" s="334"/>
      <c r="BC896" s="334"/>
      <c r="BD896" s="334"/>
      <c r="BE896" s="201"/>
    </row>
    <row r="897" spans="45:57" x14ac:dyDescent="0.25">
      <c r="AS897" s="202"/>
      <c r="AV897" s="200"/>
      <c r="AW897" s="200"/>
      <c r="AX897" s="334"/>
      <c r="AY897" s="334"/>
      <c r="AZ897" s="334"/>
      <c r="BA897" s="201"/>
      <c r="BB897" s="334"/>
      <c r="BC897" s="334"/>
      <c r="BD897" s="334"/>
      <c r="BE897" s="201"/>
    </row>
    <row r="898" spans="45:57" x14ac:dyDescent="0.25">
      <c r="AS898" s="202"/>
      <c r="AV898" s="200"/>
      <c r="AW898" s="200"/>
      <c r="AX898" s="334"/>
      <c r="AY898" s="334"/>
      <c r="AZ898" s="334"/>
      <c r="BA898" s="201"/>
      <c r="BB898" s="334"/>
      <c r="BC898" s="334"/>
      <c r="BD898" s="334"/>
      <c r="BE898" s="201"/>
    </row>
    <row r="899" spans="45:57" x14ac:dyDescent="0.25">
      <c r="AS899" s="202"/>
      <c r="AV899" s="200"/>
      <c r="AW899" s="200"/>
      <c r="AX899" s="334"/>
      <c r="AY899" s="334"/>
      <c r="AZ899" s="334"/>
      <c r="BA899" s="201"/>
      <c r="BB899" s="334"/>
      <c r="BC899" s="334"/>
      <c r="BD899" s="334"/>
      <c r="BE899" s="201"/>
    </row>
    <row r="900" spans="45:57" x14ac:dyDescent="0.25">
      <c r="AS900" s="202"/>
      <c r="AV900" s="200"/>
      <c r="AW900" s="200"/>
      <c r="AX900" s="334"/>
      <c r="AY900" s="334"/>
      <c r="AZ900" s="334"/>
      <c r="BA900" s="201"/>
      <c r="BB900" s="334"/>
      <c r="BC900" s="334"/>
      <c r="BD900" s="334"/>
      <c r="BE900" s="201"/>
    </row>
    <row r="901" spans="45:57" x14ac:dyDescent="0.25">
      <c r="AS901" s="202"/>
      <c r="AV901" s="200"/>
      <c r="AW901" s="200"/>
      <c r="AX901" s="334"/>
      <c r="AY901" s="334"/>
      <c r="AZ901" s="334"/>
      <c r="BA901" s="201"/>
      <c r="BB901" s="334"/>
      <c r="BC901" s="334"/>
      <c r="BD901" s="334"/>
      <c r="BE901" s="201"/>
    </row>
    <row r="902" spans="45:57" x14ac:dyDescent="0.25">
      <c r="AS902" s="202"/>
      <c r="AV902" s="200"/>
      <c r="AW902" s="200"/>
      <c r="AX902" s="334"/>
      <c r="AY902" s="334"/>
      <c r="AZ902" s="334"/>
      <c r="BA902" s="201"/>
      <c r="BB902" s="334"/>
      <c r="BC902" s="334"/>
      <c r="BD902" s="334"/>
      <c r="BE902" s="201"/>
    </row>
    <row r="903" spans="45:57" x14ac:dyDescent="0.25">
      <c r="AS903" s="202"/>
      <c r="AV903" s="200"/>
      <c r="AW903" s="200"/>
      <c r="AX903" s="334"/>
      <c r="AY903" s="334"/>
      <c r="AZ903" s="334"/>
      <c r="BA903" s="201"/>
      <c r="BB903" s="334"/>
      <c r="BC903" s="334"/>
      <c r="BD903" s="334"/>
      <c r="BE903" s="201"/>
    </row>
    <row r="904" spans="45:57" x14ac:dyDescent="0.25">
      <c r="AS904" s="202"/>
      <c r="AV904" s="200"/>
      <c r="AW904" s="200"/>
      <c r="AX904" s="334"/>
      <c r="AY904" s="334"/>
      <c r="AZ904" s="334"/>
      <c r="BA904" s="201"/>
      <c r="BB904" s="334"/>
      <c r="BC904" s="334"/>
      <c r="BD904" s="334"/>
      <c r="BE904" s="201"/>
    </row>
    <row r="905" spans="45:57" x14ac:dyDescent="0.25">
      <c r="BB905" s="334"/>
    </row>
    <row r="906" spans="45:57" x14ac:dyDescent="0.25">
      <c r="AU906" s="154"/>
      <c r="BB906" s="334"/>
    </row>
    <row r="907" spans="45:57" x14ac:dyDescent="0.25">
      <c r="AU907" s="154"/>
    </row>
    <row r="908" spans="45:57" x14ac:dyDescent="0.25">
      <c r="AU908" s="154"/>
      <c r="BB908" s="334"/>
    </row>
    <row r="909" spans="45:57" x14ac:dyDescent="0.25">
      <c r="AS909" s="154"/>
      <c r="AZ909" s="334"/>
      <c r="BB909" s="334"/>
    </row>
    <row r="910" spans="45:57" x14ac:dyDescent="0.25">
      <c r="AY910" s="202"/>
      <c r="AZ910" s="334"/>
      <c r="BB910" s="334"/>
    </row>
    <row r="911" spans="45:57" x14ac:dyDescent="0.25">
      <c r="AY911" s="334"/>
      <c r="AZ911" s="334"/>
      <c r="BB911" s="334"/>
    </row>
    <row r="912" spans="45:57" x14ac:dyDescent="0.25">
      <c r="AY912" s="154"/>
      <c r="AZ912" s="334"/>
      <c r="BB912" s="334"/>
    </row>
    <row r="913" spans="45:57" x14ac:dyDescent="0.25">
      <c r="AY913" s="154"/>
      <c r="AZ913" s="334"/>
      <c r="BB913" s="334"/>
    </row>
    <row r="914" spans="45:57" x14ac:dyDescent="0.25">
      <c r="AS914" s="202"/>
      <c r="AZ914" s="334"/>
      <c r="BB914" s="334"/>
      <c r="BD914" s="154"/>
    </row>
    <row r="915" spans="45:57" x14ac:dyDescent="0.25">
      <c r="AS915" s="202"/>
      <c r="AZ915" s="334"/>
      <c r="BB915" s="334"/>
      <c r="BD915" s="154"/>
    </row>
    <row r="916" spans="45:57" x14ac:dyDescent="0.25">
      <c r="AS916" s="154"/>
      <c r="AZ916" s="334"/>
      <c r="BB916" s="334"/>
      <c r="BD916" s="154"/>
    </row>
    <row r="917" spans="45:57" x14ac:dyDescent="0.25">
      <c r="AZ917" s="334"/>
      <c r="BB917" s="334"/>
      <c r="BD917" s="202"/>
    </row>
    <row r="918" spans="45:57" x14ac:dyDescent="0.25">
      <c r="AS918" s="102"/>
      <c r="AT918" s="102"/>
      <c r="AU918" s="102"/>
      <c r="AV918" s="102"/>
      <c r="AW918" s="102"/>
      <c r="AX918" s="102"/>
      <c r="AY918" s="102"/>
      <c r="AZ918" s="335"/>
      <c r="BA918" s="102"/>
      <c r="BB918" s="335"/>
      <c r="BC918" s="102"/>
      <c r="BD918" s="102"/>
      <c r="BE918" s="102"/>
    </row>
    <row r="919" spans="45:57" x14ac:dyDescent="0.25">
      <c r="AX919" s="154"/>
      <c r="AZ919" s="334"/>
      <c r="BB919" s="334"/>
    </row>
    <row r="920" spans="45:57" x14ac:dyDescent="0.25">
      <c r="AX920" s="102"/>
      <c r="AY920" s="102"/>
      <c r="AZ920" s="335"/>
      <c r="BA920" s="102"/>
      <c r="BB920" s="334"/>
      <c r="BC920" s="103"/>
      <c r="BD920" s="103"/>
    </row>
    <row r="921" spans="45:57" x14ac:dyDescent="0.25">
      <c r="AV921" s="103"/>
      <c r="AW921" s="103"/>
      <c r="AZ921" s="336"/>
      <c r="BA921" s="103"/>
      <c r="BB921" s="334"/>
      <c r="BC921" s="103"/>
      <c r="BD921" s="103"/>
      <c r="BE921" s="103"/>
    </row>
    <row r="922" spans="45:57" x14ac:dyDescent="0.25">
      <c r="AV922" s="103"/>
      <c r="AW922" s="103"/>
      <c r="AX922" s="103"/>
      <c r="AY922" s="103"/>
      <c r="AZ922" s="336"/>
      <c r="BA922" s="103"/>
      <c r="BB922" s="336"/>
      <c r="BC922" s="103"/>
      <c r="BD922" s="103"/>
      <c r="BE922" s="103"/>
    </row>
    <row r="923" spans="45:57" x14ac:dyDescent="0.25">
      <c r="AS923" s="103"/>
      <c r="AU923" s="154"/>
      <c r="AV923" s="103"/>
      <c r="AW923" s="103"/>
      <c r="AX923" s="103"/>
      <c r="AY923" s="103"/>
      <c r="AZ923" s="336"/>
      <c r="BA923" s="103"/>
      <c r="BB923" s="336"/>
      <c r="BC923" s="103"/>
      <c r="BD923" s="103"/>
      <c r="BE923" s="103"/>
    </row>
    <row r="924" spans="45:57" x14ac:dyDescent="0.25">
      <c r="AS924" s="103"/>
      <c r="AU924" s="154"/>
      <c r="AV924" s="103"/>
      <c r="AW924" s="103"/>
      <c r="AX924" s="103"/>
      <c r="AY924" s="103"/>
      <c r="AZ924" s="336"/>
      <c r="BA924" s="103"/>
      <c r="BB924" s="336"/>
      <c r="BC924" s="103"/>
      <c r="BD924" s="103"/>
      <c r="BE924" s="103"/>
    </row>
    <row r="925" spans="45:57" x14ac:dyDescent="0.25">
      <c r="AS925" s="102"/>
      <c r="AT925" s="102"/>
      <c r="AU925" s="102"/>
      <c r="AV925" s="102"/>
      <c r="AW925" s="102"/>
      <c r="AX925" s="102"/>
      <c r="AY925" s="102"/>
      <c r="AZ925" s="335"/>
      <c r="BA925" s="102"/>
      <c r="BB925" s="335"/>
      <c r="BC925" s="102"/>
      <c r="BD925" s="102"/>
      <c r="BE925" s="102"/>
    </row>
    <row r="926" spans="45:57" x14ac:dyDescent="0.25">
      <c r="AV926" s="103"/>
      <c r="AW926" s="103"/>
      <c r="AX926" s="103"/>
      <c r="AY926" s="103"/>
      <c r="AZ926" s="336"/>
      <c r="BA926" s="103"/>
      <c r="BB926" s="336"/>
      <c r="BC926" s="103"/>
      <c r="BD926" s="103"/>
      <c r="BE926" s="103"/>
    </row>
    <row r="927" spans="45:57" x14ac:dyDescent="0.25">
      <c r="AS927" s="202"/>
      <c r="AT927" s="154"/>
      <c r="AV927" s="200"/>
      <c r="AW927" s="200"/>
      <c r="AX927" s="334"/>
      <c r="AY927" s="334"/>
      <c r="AZ927" s="334"/>
      <c r="BA927" s="201"/>
      <c r="BB927" s="334"/>
      <c r="BC927" s="334"/>
      <c r="BD927" s="334"/>
      <c r="BE927" s="201"/>
    </row>
    <row r="928" spans="45:57" x14ac:dyDescent="0.25">
      <c r="AS928" s="202"/>
      <c r="AV928" s="200"/>
      <c r="AW928" s="200"/>
      <c r="AX928" s="334"/>
      <c r="AY928" s="334"/>
      <c r="AZ928" s="334"/>
      <c r="BA928" s="201"/>
      <c r="BB928" s="334"/>
      <c r="BC928" s="334"/>
      <c r="BD928" s="334"/>
      <c r="BE928" s="201"/>
    </row>
    <row r="929" spans="45:57" x14ac:dyDescent="0.25">
      <c r="AS929" s="202"/>
      <c r="AV929" s="200"/>
      <c r="AW929" s="200"/>
      <c r="AX929" s="334"/>
      <c r="AY929" s="334"/>
      <c r="AZ929" s="334"/>
      <c r="BA929" s="201"/>
      <c r="BB929" s="334"/>
      <c r="BC929" s="334"/>
      <c r="BD929" s="334"/>
      <c r="BE929" s="201"/>
    </row>
    <row r="930" spans="45:57" x14ac:dyDescent="0.25">
      <c r="AS930" s="202"/>
      <c r="AV930" s="200"/>
      <c r="AW930" s="200"/>
      <c r="AX930" s="334"/>
      <c r="AY930" s="334"/>
      <c r="AZ930" s="334"/>
      <c r="BA930" s="201"/>
      <c r="BB930" s="334"/>
      <c r="BC930" s="334"/>
      <c r="BD930" s="334"/>
      <c r="BE930" s="201"/>
    </row>
    <row r="931" spans="45:57" x14ac:dyDescent="0.25">
      <c r="AS931" s="202"/>
      <c r="AV931" s="200"/>
      <c r="AW931" s="200"/>
      <c r="AX931" s="334"/>
      <c r="AY931" s="334"/>
      <c r="AZ931" s="334"/>
      <c r="BA931" s="201"/>
      <c r="BB931" s="334"/>
      <c r="BC931" s="334"/>
      <c r="BD931" s="334"/>
      <c r="BE931" s="201"/>
    </row>
    <row r="932" spans="45:57" x14ac:dyDescent="0.25">
      <c r="AS932" s="202"/>
      <c r="AV932" s="200"/>
      <c r="AW932" s="200"/>
      <c r="AX932" s="334"/>
      <c r="AY932" s="334"/>
      <c r="AZ932" s="334"/>
      <c r="BA932" s="201"/>
      <c r="BB932" s="334"/>
      <c r="BC932" s="334"/>
      <c r="BD932" s="334"/>
      <c r="BE932" s="201"/>
    </row>
    <row r="933" spans="45:57" x14ac:dyDescent="0.25">
      <c r="AS933" s="202"/>
      <c r="AV933" s="200"/>
      <c r="AW933" s="200"/>
      <c r="AX933" s="334"/>
      <c r="AY933" s="334"/>
      <c r="AZ933" s="334"/>
      <c r="BA933" s="201"/>
      <c r="BB933" s="334"/>
      <c r="BC933" s="334"/>
      <c r="BD933" s="334"/>
      <c r="BE933" s="201"/>
    </row>
    <row r="934" spans="45:57" x14ac:dyDescent="0.25">
      <c r="AS934" s="202"/>
      <c r="AV934" s="200"/>
      <c r="AW934" s="200"/>
      <c r="AX934" s="334"/>
      <c r="AY934" s="334"/>
      <c r="AZ934" s="334"/>
      <c r="BA934" s="201"/>
      <c r="BB934" s="334"/>
      <c r="BC934" s="334"/>
      <c r="BD934" s="334"/>
      <c r="BE934" s="201"/>
    </row>
    <row r="935" spans="45:57" x14ac:dyDescent="0.25">
      <c r="AS935" s="202"/>
      <c r="AV935" s="200"/>
      <c r="AW935" s="200"/>
      <c r="AX935" s="334"/>
      <c r="AY935" s="334"/>
      <c r="AZ935" s="334"/>
      <c r="BA935" s="201"/>
      <c r="BB935" s="334"/>
      <c r="BC935" s="334"/>
      <c r="BD935" s="334"/>
      <c r="BE935" s="201"/>
    </row>
    <row r="936" spans="45:57" x14ac:dyDescent="0.25">
      <c r="AS936" s="202"/>
      <c r="AV936" s="200"/>
      <c r="AW936" s="200"/>
      <c r="AX936" s="334"/>
      <c r="AY936" s="334"/>
      <c r="AZ936" s="334"/>
      <c r="BA936" s="201"/>
      <c r="BB936" s="334"/>
      <c r="BC936" s="334"/>
      <c r="BD936" s="334"/>
      <c r="BE936" s="201"/>
    </row>
    <row r="937" spans="45:57" x14ac:dyDescent="0.25">
      <c r="AV937" s="200"/>
      <c r="AW937" s="200"/>
      <c r="BB937" s="334"/>
    </row>
    <row r="938" spans="45:57" x14ac:dyDescent="0.25">
      <c r="AS938" s="202"/>
      <c r="AT938" s="154"/>
      <c r="AV938" s="200"/>
      <c r="AW938" s="200"/>
      <c r="AX938" s="334"/>
      <c r="AY938" s="334"/>
      <c r="AZ938" s="334"/>
      <c r="BA938" s="201"/>
      <c r="BB938" s="334"/>
      <c r="BC938" s="334"/>
      <c r="BD938" s="334"/>
      <c r="BE938" s="201"/>
    </row>
    <row r="939" spans="45:57" x14ac:dyDescent="0.25">
      <c r="AS939" s="202"/>
      <c r="AV939" s="200"/>
      <c r="AW939" s="200"/>
      <c r="AX939" s="334"/>
      <c r="AY939" s="334"/>
      <c r="AZ939" s="334"/>
      <c r="BA939" s="201"/>
      <c r="BB939" s="334"/>
      <c r="BC939" s="334"/>
      <c r="BD939" s="334"/>
      <c r="BE939" s="201"/>
    </row>
    <row r="940" spans="45:57" x14ac:dyDescent="0.25">
      <c r="AS940" s="202"/>
      <c r="AV940" s="200"/>
      <c r="AW940" s="200"/>
      <c r="AX940" s="334"/>
      <c r="AY940" s="334"/>
      <c r="AZ940" s="334"/>
      <c r="BA940" s="201"/>
      <c r="BB940" s="334"/>
      <c r="BC940" s="334"/>
      <c r="BD940" s="334"/>
      <c r="BE940" s="201"/>
    </row>
    <row r="941" spans="45:57" x14ac:dyDescent="0.25">
      <c r="AS941" s="202"/>
      <c r="AV941" s="200"/>
      <c r="AW941" s="200"/>
      <c r="AX941" s="334"/>
      <c r="AY941" s="334"/>
      <c r="AZ941" s="334"/>
      <c r="BA941" s="201"/>
      <c r="BB941" s="334"/>
      <c r="BC941" s="334"/>
      <c r="BD941" s="334"/>
      <c r="BE941" s="201"/>
    </row>
    <row r="942" spans="45:57" x14ac:dyDescent="0.25">
      <c r="AS942" s="202"/>
      <c r="AV942" s="200"/>
      <c r="AW942" s="200"/>
      <c r="AX942" s="334"/>
      <c r="AY942" s="334"/>
      <c r="AZ942" s="334"/>
      <c r="BA942" s="201"/>
      <c r="BB942" s="334"/>
      <c r="BC942" s="334"/>
      <c r="BD942" s="334"/>
      <c r="BE942" s="201"/>
    </row>
    <row r="943" spans="45:57" x14ac:dyDescent="0.25">
      <c r="AS943" s="202"/>
      <c r="AV943" s="200"/>
      <c r="AW943" s="200"/>
      <c r="AX943" s="334"/>
      <c r="AY943" s="334"/>
      <c r="AZ943" s="334"/>
      <c r="BA943" s="201"/>
      <c r="BB943" s="334"/>
      <c r="BC943" s="334"/>
      <c r="BD943" s="334"/>
      <c r="BE943" s="201"/>
    </row>
    <row r="944" spans="45:57" x14ac:dyDescent="0.25">
      <c r="AS944" s="202"/>
      <c r="AV944" s="200"/>
      <c r="AW944" s="200"/>
      <c r="AX944" s="334"/>
      <c r="AY944" s="334"/>
      <c r="AZ944" s="334"/>
      <c r="BA944" s="201"/>
      <c r="BB944" s="334"/>
      <c r="BC944" s="334"/>
      <c r="BD944" s="334"/>
      <c r="BE944" s="201"/>
    </row>
    <row r="945" spans="45:57" x14ac:dyDescent="0.25">
      <c r="AS945" s="202"/>
      <c r="AV945" s="200"/>
      <c r="AW945" s="200"/>
      <c r="AX945" s="334"/>
      <c r="AY945" s="334"/>
      <c r="AZ945" s="334"/>
      <c r="BA945" s="201"/>
      <c r="BB945" s="334"/>
      <c r="BC945" s="334"/>
      <c r="BD945" s="334"/>
      <c r="BE945" s="201"/>
    </row>
    <row r="946" spans="45:57" x14ac:dyDescent="0.25">
      <c r="AS946" s="202"/>
      <c r="AV946" s="200"/>
      <c r="AW946" s="200"/>
      <c r="AX946" s="334"/>
      <c r="AY946" s="334"/>
      <c r="AZ946" s="334"/>
      <c r="BA946" s="201"/>
      <c r="BB946" s="334"/>
      <c r="BC946" s="334"/>
      <c r="BD946" s="334"/>
      <c r="BE946" s="201"/>
    </row>
    <row r="947" spans="45:57" x14ac:dyDescent="0.25">
      <c r="AS947" s="202"/>
      <c r="AV947" s="200"/>
      <c r="AW947" s="200"/>
      <c r="AX947" s="334"/>
      <c r="AY947" s="334"/>
      <c r="AZ947" s="334"/>
      <c r="BA947" s="201"/>
      <c r="BB947" s="334"/>
      <c r="BC947" s="334"/>
      <c r="BD947" s="334"/>
      <c r="BE947" s="201"/>
    </row>
    <row r="949" spans="45:57" x14ac:dyDescent="0.25">
      <c r="AU949" s="154"/>
    </row>
    <row r="950" spans="45:57" x14ac:dyDescent="0.25">
      <c r="AU950" s="154"/>
    </row>
    <row r="951" spans="45:57" x14ac:dyDescent="0.25">
      <c r="AU951" s="154"/>
    </row>
    <row r="952" spans="45:57" x14ac:dyDescent="0.25">
      <c r="AS952" s="154"/>
    </row>
    <row r="973" spans="52:71" x14ac:dyDescent="0.25">
      <c r="AZ973" s="334"/>
      <c r="BB973" s="334"/>
      <c r="BC973" s="334"/>
      <c r="BD973" s="334"/>
      <c r="BG973" s="334"/>
      <c r="BH973" s="334"/>
      <c r="BI973" s="334"/>
      <c r="BJ973" s="334"/>
      <c r="BK973" s="334"/>
      <c r="BL973" s="334"/>
      <c r="BM973" s="334"/>
      <c r="BN973" s="334"/>
      <c r="BO973" s="334"/>
      <c r="BP973" s="334"/>
      <c r="BQ973" s="334"/>
      <c r="BR973" s="334"/>
      <c r="BS973" s="334"/>
    </row>
    <row r="974" spans="52:71" x14ac:dyDescent="0.25">
      <c r="AZ974" s="334"/>
      <c r="BB974" s="334"/>
      <c r="BC974" s="334"/>
      <c r="BD974" s="334"/>
      <c r="BG974" s="334"/>
      <c r="BH974" s="334"/>
      <c r="BI974" s="334"/>
      <c r="BJ974" s="334"/>
      <c r="BK974" s="334"/>
      <c r="BL974" s="334"/>
      <c r="BM974" s="334"/>
      <c r="BN974" s="334"/>
      <c r="BO974" s="334"/>
      <c r="BP974" s="334"/>
      <c r="BQ974" s="334"/>
      <c r="BR974" s="334"/>
      <c r="BS974" s="334"/>
    </row>
    <row r="975" spans="52:71" x14ac:dyDescent="0.25">
      <c r="AZ975" s="334"/>
      <c r="BB975" s="334"/>
      <c r="BC975" s="334"/>
      <c r="BD975" s="334"/>
      <c r="BG975" s="334"/>
      <c r="BH975" s="334"/>
      <c r="BI975" s="334"/>
      <c r="BJ975" s="334"/>
      <c r="BK975" s="334"/>
      <c r="BL975" s="334"/>
      <c r="BM975" s="334"/>
      <c r="BN975" s="334"/>
      <c r="BO975" s="334"/>
      <c r="BP975" s="334"/>
      <c r="BQ975" s="334"/>
      <c r="BR975" s="334"/>
      <c r="BS975" s="334"/>
    </row>
    <row r="976" spans="52:71" x14ac:dyDescent="0.25">
      <c r="AZ976" s="334"/>
      <c r="BB976" s="334"/>
      <c r="BC976" s="334"/>
      <c r="BD976" s="334"/>
      <c r="BG976" s="334"/>
      <c r="BH976" s="334"/>
      <c r="BI976" s="334"/>
      <c r="BJ976" s="334"/>
      <c r="BK976" s="334"/>
      <c r="BL976" s="334"/>
      <c r="BM976" s="334"/>
      <c r="BN976" s="334"/>
      <c r="BO976" s="334"/>
      <c r="BP976" s="334"/>
      <c r="BQ976" s="334"/>
      <c r="BR976" s="334"/>
      <c r="BS976" s="334"/>
    </row>
    <row r="977" spans="52:71" x14ac:dyDescent="0.25">
      <c r="AZ977" s="334"/>
      <c r="BB977" s="334"/>
      <c r="BC977" s="334"/>
      <c r="BD977" s="334"/>
      <c r="BG977" s="334"/>
      <c r="BH977" s="334"/>
      <c r="BI977" s="334"/>
      <c r="BJ977" s="334"/>
      <c r="BK977" s="334"/>
      <c r="BL977" s="334"/>
      <c r="BM977" s="334"/>
      <c r="BN977" s="334"/>
      <c r="BO977" s="334"/>
      <c r="BP977" s="334"/>
      <c r="BQ977" s="334"/>
      <c r="BR977" s="334"/>
      <c r="BS977" s="334"/>
    </row>
    <row r="978" spans="52:71" x14ac:dyDescent="0.25">
      <c r="AZ978" s="334"/>
      <c r="BB978" s="334"/>
      <c r="BC978" s="334"/>
      <c r="BD978" s="334"/>
      <c r="BG978" s="334"/>
      <c r="BH978" s="334"/>
      <c r="BI978" s="334"/>
      <c r="BJ978" s="334"/>
      <c r="BK978" s="334"/>
      <c r="BL978" s="334"/>
      <c r="BM978" s="334"/>
      <c r="BN978" s="334"/>
      <c r="BO978" s="334"/>
      <c r="BP978" s="334"/>
      <c r="BQ978" s="334"/>
      <c r="BR978" s="334"/>
      <c r="BS978" s="334"/>
    </row>
    <row r="979" spans="52:71" x14ac:dyDescent="0.25">
      <c r="AZ979" s="334"/>
      <c r="BB979" s="334"/>
      <c r="BC979" s="334"/>
      <c r="BD979" s="334"/>
      <c r="BG979" s="334"/>
      <c r="BH979" s="334"/>
      <c r="BI979" s="334"/>
      <c r="BJ979" s="334"/>
      <c r="BK979" s="334"/>
      <c r="BL979" s="334"/>
      <c r="BM979" s="334"/>
      <c r="BN979" s="334"/>
      <c r="BO979" s="334"/>
      <c r="BP979" s="334"/>
      <c r="BQ979" s="334"/>
      <c r="BR979" s="334"/>
      <c r="BS979" s="334"/>
    </row>
    <row r="980" spans="52:71" x14ac:dyDescent="0.25">
      <c r="AZ980" s="334"/>
      <c r="BB980" s="334"/>
      <c r="BC980" s="334"/>
      <c r="BD980" s="334"/>
      <c r="BG980" s="334"/>
      <c r="BH980" s="334"/>
      <c r="BI980" s="334"/>
      <c r="BJ980" s="334"/>
      <c r="BK980" s="334"/>
      <c r="BL980" s="334"/>
      <c r="BM980" s="334"/>
      <c r="BN980" s="334"/>
      <c r="BO980" s="334"/>
      <c r="BP980" s="334"/>
      <c r="BQ980" s="334"/>
      <c r="BR980" s="334"/>
      <c r="BS980" s="334"/>
    </row>
    <row r="981" spans="52:71" x14ac:dyDescent="0.25">
      <c r="AZ981" s="334"/>
      <c r="BB981" s="334"/>
      <c r="BC981" s="334"/>
      <c r="BD981" s="334"/>
      <c r="BG981" s="334"/>
      <c r="BH981" s="334"/>
      <c r="BI981" s="334"/>
      <c r="BJ981" s="334"/>
      <c r="BK981" s="334"/>
      <c r="BL981" s="334"/>
      <c r="BM981" s="334"/>
      <c r="BN981" s="334"/>
      <c r="BO981" s="334"/>
      <c r="BP981" s="334"/>
      <c r="BQ981" s="334"/>
      <c r="BR981" s="334"/>
      <c r="BS981" s="334"/>
    </row>
    <row r="982" spans="52:71" x14ac:dyDescent="0.25">
      <c r="AZ982" s="334"/>
      <c r="BB982" s="334"/>
      <c r="BC982" s="334"/>
      <c r="BD982" s="334"/>
      <c r="BG982" s="334"/>
      <c r="BH982" s="334"/>
      <c r="BI982" s="334"/>
      <c r="BJ982" s="334"/>
      <c r="BK982" s="334"/>
      <c r="BL982" s="334"/>
      <c r="BM982" s="334"/>
      <c r="BN982" s="334"/>
      <c r="BO982" s="334"/>
      <c r="BP982" s="334"/>
      <c r="BQ982" s="334"/>
      <c r="BR982" s="334"/>
      <c r="BS982" s="334"/>
    </row>
    <row r="983" spans="52:71" x14ac:dyDescent="0.25">
      <c r="AZ983" s="334"/>
      <c r="BB983" s="334"/>
      <c r="BC983" s="334"/>
      <c r="BD983" s="334"/>
      <c r="BG983" s="334"/>
      <c r="BH983" s="334"/>
      <c r="BI983" s="334"/>
      <c r="BJ983" s="334"/>
      <c r="BK983" s="334"/>
      <c r="BL983" s="334"/>
      <c r="BM983" s="334"/>
      <c r="BN983" s="334"/>
      <c r="BO983" s="334"/>
      <c r="BP983" s="334"/>
      <c r="BQ983" s="334"/>
      <c r="BR983" s="334"/>
      <c r="BS983" s="334"/>
    </row>
    <row r="984" spans="52:71" x14ac:dyDescent="0.25">
      <c r="AZ984" s="334"/>
      <c r="BB984" s="334"/>
      <c r="BC984" s="334"/>
      <c r="BD984" s="334"/>
      <c r="BG984" s="334"/>
      <c r="BH984" s="334"/>
      <c r="BI984" s="334"/>
      <c r="BJ984" s="334"/>
      <c r="BK984" s="334"/>
      <c r="BL984" s="334"/>
      <c r="BM984" s="334"/>
      <c r="BN984" s="334"/>
      <c r="BO984" s="334"/>
      <c r="BP984" s="334"/>
      <c r="BQ984" s="334"/>
      <c r="BR984" s="334"/>
      <c r="BS984" s="334"/>
    </row>
    <row r="985" spans="52:71" x14ac:dyDescent="0.25">
      <c r="AZ985" s="334"/>
      <c r="BG985" s="334"/>
      <c r="BH985" s="334"/>
      <c r="BI985" s="334"/>
      <c r="BJ985" s="334"/>
      <c r="BK985" s="334"/>
      <c r="BL985" s="334"/>
      <c r="BM985" s="334"/>
      <c r="BN985" s="334"/>
      <c r="BO985" s="334"/>
      <c r="BP985" s="334"/>
      <c r="BQ985" s="334"/>
      <c r="BR985" s="334"/>
      <c r="BS985" s="334"/>
    </row>
    <row r="986" spans="52:71" x14ac:dyDescent="0.25">
      <c r="AZ986" s="334"/>
      <c r="BG986" s="334"/>
      <c r="BH986" s="334"/>
      <c r="BI986" s="334"/>
      <c r="BJ986" s="334"/>
      <c r="BK986" s="334"/>
      <c r="BL986" s="334"/>
      <c r="BM986" s="334"/>
      <c r="BN986" s="334"/>
      <c r="BO986" s="334"/>
      <c r="BP986" s="334"/>
      <c r="BQ986" s="334"/>
      <c r="BR986" s="334"/>
      <c r="BS986" s="334"/>
    </row>
    <row r="987" spans="52:71" x14ac:dyDescent="0.25">
      <c r="AZ987" s="334"/>
      <c r="BG987" s="334"/>
      <c r="BH987" s="334"/>
      <c r="BI987" s="334"/>
      <c r="BJ987" s="334"/>
      <c r="BK987" s="334"/>
      <c r="BL987" s="334"/>
      <c r="BM987" s="334"/>
      <c r="BN987" s="334"/>
      <c r="BO987" s="334"/>
      <c r="BP987" s="334"/>
      <c r="BQ987" s="334"/>
      <c r="BR987" s="334"/>
      <c r="BS987" s="334"/>
    </row>
    <row r="988" spans="52:71" x14ac:dyDescent="0.25">
      <c r="AZ988" s="334"/>
      <c r="BG988" s="334"/>
      <c r="BH988" s="334"/>
      <c r="BI988" s="334"/>
      <c r="BJ988" s="334"/>
      <c r="BK988" s="334"/>
      <c r="BL988" s="334"/>
      <c r="BM988" s="334"/>
      <c r="BN988" s="334"/>
      <c r="BO988" s="334"/>
      <c r="BP988" s="334"/>
      <c r="BQ988" s="334"/>
      <c r="BR988" s="334"/>
      <c r="BS988" s="334"/>
    </row>
    <row r="989" spans="52:71" x14ac:dyDescent="0.25">
      <c r="AZ989" s="334"/>
      <c r="BG989" s="334"/>
      <c r="BH989" s="334"/>
      <c r="BI989" s="334"/>
      <c r="BJ989" s="334"/>
      <c r="BK989" s="334"/>
      <c r="BL989" s="334"/>
      <c r="BM989" s="334"/>
      <c r="BN989" s="334"/>
      <c r="BO989" s="334"/>
      <c r="BP989" s="334"/>
      <c r="BQ989" s="334"/>
      <c r="BR989" s="334"/>
      <c r="BS989" s="334"/>
    </row>
    <row r="990" spans="52:71" x14ac:dyDescent="0.25">
      <c r="AZ990" s="334"/>
      <c r="BG990" s="334"/>
      <c r="BH990" s="334"/>
      <c r="BI990" s="334"/>
      <c r="BJ990" s="334"/>
      <c r="BK990" s="334"/>
      <c r="BL990" s="334"/>
      <c r="BM990" s="334"/>
      <c r="BN990" s="334"/>
      <c r="BO990" s="334"/>
      <c r="BP990" s="334"/>
      <c r="BQ990" s="334"/>
      <c r="BR990" s="334"/>
      <c r="BS990" s="334"/>
    </row>
    <row r="991" spans="52:71" x14ac:dyDescent="0.25">
      <c r="AZ991" s="334"/>
      <c r="BG991" s="334"/>
      <c r="BH991" s="334"/>
      <c r="BI991" s="334"/>
      <c r="BJ991" s="334"/>
      <c r="BK991" s="334"/>
      <c r="BL991" s="334"/>
      <c r="BM991" s="334"/>
      <c r="BN991" s="334"/>
      <c r="BO991" s="334"/>
      <c r="BP991" s="334"/>
      <c r="BQ991" s="334"/>
      <c r="BR991" s="334"/>
      <c r="BS991" s="334"/>
    </row>
    <row r="992" spans="52:71" x14ac:dyDescent="0.25">
      <c r="AZ992" s="334"/>
    </row>
    <row r="993" spans="1:52" x14ac:dyDescent="0.25">
      <c r="AZ993" s="334"/>
    </row>
    <row r="1007" spans="1:52" x14ac:dyDescent="0.25">
      <c r="A1007" s="154"/>
    </row>
    <row r="1010" spans="1:28" x14ac:dyDescent="0.25">
      <c r="Y1010" s="154"/>
    </row>
    <row r="1011" spans="1:28" x14ac:dyDescent="0.25">
      <c r="A1011" s="154"/>
      <c r="H1011" s="154"/>
      <c r="I1011" s="154"/>
    </row>
    <row r="1012" spans="1:28" x14ac:dyDescent="0.25">
      <c r="A1012" s="154"/>
      <c r="V1012" s="103"/>
      <c r="AA1012" s="103"/>
      <c r="AB1012" s="103"/>
    </row>
    <row r="1013" spans="1:28" x14ac:dyDescent="0.25">
      <c r="A1013" s="154"/>
      <c r="V1013" s="102"/>
      <c r="AA1013" s="102"/>
      <c r="AB1013" s="102"/>
    </row>
    <row r="1014" spans="1:28" x14ac:dyDescent="0.25">
      <c r="A1014" s="154"/>
      <c r="U1014" s="154"/>
      <c r="AA1014" s="103"/>
      <c r="AB1014" s="103"/>
    </row>
    <row r="1015" spans="1:28" x14ac:dyDescent="0.25">
      <c r="A1015" s="154"/>
    </row>
    <row r="1016" spans="1:28" x14ac:dyDescent="0.25">
      <c r="A1016" s="154"/>
      <c r="U1016" s="154"/>
      <c r="AA1016" s="103"/>
      <c r="AB1016" s="103"/>
    </row>
    <row r="1017" spans="1:28" x14ac:dyDescent="0.25">
      <c r="A1017" s="154"/>
    </row>
    <row r="1018" spans="1:28" x14ac:dyDescent="0.25">
      <c r="A1018" s="154"/>
      <c r="U1018" s="154"/>
      <c r="V1018" s="338"/>
      <c r="AA1018" s="103"/>
      <c r="AB1018" s="103"/>
    </row>
    <row r="1019" spans="1:28" x14ac:dyDescent="0.25">
      <c r="A1019" s="154"/>
    </row>
    <row r="1020" spans="1:28" x14ac:dyDescent="0.25">
      <c r="A1020" s="154"/>
      <c r="U1020" s="154"/>
      <c r="AA1020" s="103"/>
      <c r="AB1020" s="103"/>
    </row>
    <row r="1021" spans="1:28" x14ac:dyDescent="0.25">
      <c r="A1021" s="154"/>
    </row>
    <row r="1022" spans="1:28" x14ac:dyDescent="0.25">
      <c r="A1022" s="154"/>
      <c r="U1022" s="154"/>
      <c r="AA1022" s="103"/>
      <c r="AB1022" s="103"/>
    </row>
    <row r="1023" spans="1:28" x14ac:dyDescent="0.25">
      <c r="A1023" s="154"/>
    </row>
    <row r="1024" spans="1:28" x14ac:dyDescent="0.25">
      <c r="A1024" s="154"/>
    </row>
    <row r="1025" spans="1:9" x14ac:dyDescent="0.25">
      <c r="A1025" s="154"/>
    </row>
    <row r="1026" spans="1:9" x14ac:dyDescent="0.25">
      <c r="A1026" s="154"/>
    </row>
    <row r="1027" spans="1:9" x14ac:dyDescent="0.25">
      <c r="A1027" s="154"/>
    </row>
    <row r="1028" spans="1:9" x14ac:dyDescent="0.25">
      <c r="A1028" s="154"/>
    </row>
    <row r="1029" spans="1:9" x14ac:dyDescent="0.25">
      <c r="A1029" s="154"/>
    </row>
    <row r="1030" spans="1:9" x14ac:dyDescent="0.25">
      <c r="A1030" s="154"/>
    </row>
    <row r="1031" spans="1:9" x14ac:dyDescent="0.25">
      <c r="A1031" s="154"/>
    </row>
    <row r="1032" spans="1:9" x14ac:dyDescent="0.25">
      <c r="A1032" s="154"/>
    </row>
    <row r="1033" spans="1:9" x14ac:dyDescent="0.25">
      <c r="A1033" s="154"/>
      <c r="H1033" s="154"/>
      <c r="I1033" s="154"/>
    </row>
    <row r="1036" spans="1:9" x14ac:dyDescent="0.25">
      <c r="A1036" s="154"/>
    </row>
    <row r="1039" spans="1:9" x14ac:dyDescent="0.25">
      <c r="A1039" s="154"/>
    </row>
    <row r="1042" spans="1:1" x14ac:dyDescent="0.25">
      <c r="A1042" s="154"/>
    </row>
    <row r="1043" spans="1:1" x14ac:dyDescent="0.25">
      <c r="A1043" s="154"/>
    </row>
    <row r="1044" spans="1:1" x14ac:dyDescent="0.25">
      <c r="A1044" s="154"/>
    </row>
    <row r="1045" spans="1:1" x14ac:dyDescent="0.25">
      <c r="A1045" s="154"/>
    </row>
    <row r="1046" spans="1:1" x14ac:dyDescent="0.25">
      <c r="A1046" s="154"/>
    </row>
    <row r="1047" spans="1:1" x14ac:dyDescent="0.25">
      <c r="A1047" s="154"/>
    </row>
    <row r="1048" spans="1:1" x14ac:dyDescent="0.25">
      <c r="A1048" s="154"/>
    </row>
    <row r="1049" spans="1:1" x14ac:dyDescent="0.25">
      <c r="A1049" s="154"/>
    </row>
    <row r="1050" spans="1:1" x14ac:dyDescent="0.25">
      <c r="A1050" s="154"/>
    </row>
    <row r="1051" spans="1:1" x14ac:dyDescent="0.25">
      <c r="A1051" s="154"/>
    </row>
    <row r="1052" spans="1:1" x14ac:dyDescent="0.25">
      <c r="A1052" s="154"/>
    </row>
    <row r="1053" spans="1:1" x14ac:dyDescent="0.25">
      <c r="A1053" s="154"/>
    </row>
    <row r="1054" spans="1:1" x14ac:dyDescent="0.25">
      <c r="A1054" s="154"/>
    </row>
    <row r="1055" spans="1:1" x14ac:dyDescent="0.25">
      <c r="A1055" s="154"/>
    </row>
    <row r="1056" spans="1:1" x14ac:dyDescent="0.25">
      <c r="A1056" s="154"/>
    </row>
    <row r="1057" spans="1:1" x14ac:dyDescent="0.25">
      <c r="A1057" s="154"/>
    </row>
    <row r="1058" spans="1:1" x14ac:dyDescent="0.25">
      <c r="A1058" s="154"/>
    </row>
    <row r="1059" spans="1:1" x14ac:dyDescent="0.25">
      <c r="A1059" s="154"/>
    </row>
    <row r="1060" spans="1:1" x14ac:dyDescent="0.25">
      <c r="A1060" s="154"/>
    </row>
    <row r="1061" spans="1:1" x14ac:dyDescent="0.25">
      <c r="A1061" s="154"/>
    </row>
    <row r="1062" spans="1:1" x14ac:dyDescent="0.25">
      <c r="A1062" s="154"/>
    </row>
    <row r="1063" spans="1:1" x14ac:dyDescent="0.25">
      <c r="A1063" s="154"/>
    </row>
    <row r="1064" spans="1:1" x14ac:dyDescent="0.25">
      <c r="A1064" s="154"/>
    </row>
    <row r="1065" spans="1:1" x14ac:dyDescent="0.25">
      <c r="A1065" s="154"/>
    </row>
    <row r="1066" spans="1:1" x14ac:dyDescent="0.25">
      <c r="A1066" s="154"/>
    </row>
    <row r="1067" spans="1:1" x14ac:dyDescent="0.25">
      <c r="A1067" s="154"/>
    </row>
    <row r="1068" spans="1:1" x14ac:dyDescent="0.25">
      <c r="A1068" s="154"/>
    </row>
    <row r="1069" spans="1:1" x14ac:dyDescent="0.25">
      <c r="A1069" s="154"/>
    </row>
    <row r="1070" spans="1:1" x14ac:dyDescent="0.25">
      <c r="A1070" s="154"/>
    </row>
    <row r="1071" spans="1:1" x14ac:dyDescent="0.25">
      <c r="A1071" s="154"/>
    </row>
    <row r="1072" spans="1:1" x14ac:dyDescent="0.25">
      <c r="A1072" s="154"/>
    </row>
    <row r="1073" spans="1:1" x14ac:dyDescent="0.25">
      <c r="A1073" s="154"/>
    </row>
    <row r="1074" spans="1:1" x14ac:dyDescent="0.25">
      <c r="A1074" s="154"/>
    </row>
    <row r="1075" spans="1:1" x14ac:dyDescent="0.25">
      <c r="A1075" s="154"/>
    </row>
    <row r="1076" spans="1:1" x14ac:dyDescent="0.25">
      <c r="A1076" s="154"/>
    </row>
    <row r="1081" spans="1:1" x14ac:dyDescent="0.25">
      <c r="A1081" s="154"/>
    </row>
    <row r="1082" spans="1:1" x14ac:dyDescent="0.25">
      <c r="A1082" s="154"/>
    </row>
    <row r="1085" spans="1:1" x14ac:dyDescent="0.25">
      <c r="A1085" s="154"/>
    </row>
    <row r="1087" spans="1:1" x14ac:dyDescent="0.25">
      <c r="A1087" s="154"/>
    </row>
    <row r="1089" spans="1:1" x14ac:dyDescent="0.25">
      <c r="A1089" s="154"/>
    </row>
    <row r="1091" spans="1:1" x14ac:dyDescent="0.25">
      <c r="A1091" s="154"/>
    </row>
    <row r="1094" spans="1:1" x14ac:dyDescent="0.25">
      <c r="A1094" s="154"/>
    </row>
    <row r="1095" spans="1:1" x14ac:dyDescent="0.25">
      <c r="A1095" s="154"/>
    </row>
    <row r="1096" spans="1:1" x14ac:dyDescent="0.25">
      <c r="A1096" s="154"/>
    </row>
    <row r="1097" spans="1:1" x14ac:dyDescent="0.25">
      <c r="A1097" s="154"/>
    </row>
    <row r="1098" spans="1:1" x14ac:dyDescent="0.25">
      <c r="A1098" s="154"/>
    </row>
    <row r="1099" spans="1:1" x14ac:dyDescent="0.25">
      <c r="A1099" s="154"/>
    </row>
    <row r="1100" spans="1:1" x14ac:dyDescent="0.25">
      <c r="A1100" s="154"/>
    </row>
    <row r="1101" spans="1:1" x14ac:dyDescent="0.25">
      <c r="A1101" s="154"/>
    </row>
  </sheetData>
  <customSheetViews>
    <customSheetView guid="{195DF303-1BBD-4236-94B5-47432850B006}" scale="75" fitToPage="1" showRuler="0">
      <pane xSplit="9.9418604651162799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"/>
      <headerFooter alignWithMargins="0"/>
    </customSheetView>
    <customSheetView guid="{0C49E549-011E-46F4-A82E-2CC8951A9C1E}" scale="75" fitToPage="1" showRuler="0">
      <pane xSplit="11.181818181818182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2"/>
      <headerFooter alignWithMargins="0"/>
    </customSheetView>
    <customSheetView guid="{4BC93440-BA85-4935-A8C9-66DC6AE5DE5E}" scale="75" fitToPage="1" showRuler="0" topLeftCell="Z90">
      <selection activeCell="AM99" sqref="AM9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4"/>
      <headerFooter alignWithMargins="0"/>
    </customSheetView>
    <customSheetView guid="{2EA35095-1ADC-4CC7-8C3C-B487D65FA247}" scale="75" fitToPage="1" showRuler="0">
      <pane xSplit="17.961290322580645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5"/>
      <headerFooter alignWithMargins="0"/>
    </customSheetView>
    <customSheetView guid="{8FC77C99-DBF7-40B8-99B8-01B75826CDCB}" scale="75" fitToPage="1" showRuler="0">
      <pane xSplit="19.114285714285714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6"/>
      <headerFooter alignWithMargins="0"/>
    </customSheetView>
    <customSheetView guid="{8FB94551-8874-4095-B8FB-5316E0D2FD2C}" scale="75" fitToPage="1" showRuler="0">
      <pane xSplit="19.114285714285714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7"/>
      <headerFooter alignWithMargins="0"/>
    </customSheetView>
    <customSheetView guid="{6B3D5C27-2FDE-4561-9575-1E98BFB869D0}" scale="75" fitToPage="1" showRuler="0" topLeftCell="B3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1" orientation="landscape" r:id="rId8"/>
      <headerFooter alignWithMargins="0"/>
    </customSheetView>
    <customSheetView guid="{0BC1F393-8A13-47D5-BC6C-0C99615B5AB9}" scale="75" fitToPage="1" showRuler="0" topLeftCell="B2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9"/>
      <headerFooter alignWithMargins="0"/>
    </customSheetView>
    <customSheetView guid="{18BDED73-BFA0-442E-87EC-CED86EE4CF94}" scale="75" fitToPage="1" showRuler="0" topLeftCell="K87">
      <selection activeCell="AA100" sqref="AA10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0"/>
      <headerFooter alignWithMargins="0"/>
    </customSheetView>
    <customSheetView guid="{35F19056-2E6F-4935-B863-78836FE990BF}" scale="75" fitToPage="1" showRuler="0" topLeftCell="A7">
      <selection activeCell="J35" sqref="J35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1"/>
      <headerFooter alignWithMargins="0"/>
    </customSheetView>
    <customSheetView guid="{F562D92E-120C-4AE9-9663-89E64D41DC53}" scale="75" fitToPage="1" topLeftCell="W85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2"/>
      <headerFooter alignWithMargins="0"/>
    </customSheetView>
  </customSheetViews>
  <phoneticPr fontId="9" type="noConversion"/>
  <printOptions horizontalCentered="1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STAFF-DR-01-053(B) Attachment
Page &amp;P of &amp;N</oddHeader>
    <oddFooter>Page &amp;P</oddFooter>
  </headerFooter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B4F9D769397A4B9CC6B02A2352A1B6" ma:contentTypeVersion="2" ma:contentTypeDescription="Create a new document." ma:contentTypeScope="" ma:versionID="32a6c64bc67fd6dc23ce6e169db15490">
  <xsd:schema xmlns:xsd="http://www.w3.org/2001/XMLSchema" xmlns:xs="http://www.w3.org/2001/XMLSchema" xmlns:p="http://schemas.microsoft.com/office/2006/metadata/properties" xmlns:ns2="ace8dc78-f72f-446e-be2b-b93d2c0549dc" targetNamespace="http://schemas.microsoft.com/office/2006/metadata/properties" ma:root="true" ma:fieldsID="2cc048f8f59d8d8f6098479745d20e00" ns2:_="">
    <xsd:import namespace="ace8dc78-f72f-446e-be2b-b93d2c0549dc"/>
    <xsd:element name="properties">
      <xsd:complexType>
        <xsd:sequence>
          <xsd:element name="documentManagement">
            <xsd:complexType>
              <xsd:all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e8dc78-f72f-446e-be2b-b93d2c0549dc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ace8dc78-f72f-446e-be2b-b93d2c0549dc" xsi:nil="true"/>
  </documentManagement>
</p:properties>
</file>

<file path=customXml/itemProps1.xml><?xml version="1.0" encoding="utf-8"?>
<ds:datastoreItem xmlns:ds="http://schemas.openxmlformats.org/officeDocument/2006/customXml" ds:itemID="{1B73DEFE-9CA3-4426-A322-10D392AE78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e8dc78-f72f-446e-be2b-b93d2c0549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C23ADB-FA53-48E0-9A32-ED571AD373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0AF671-A883-42FB-BAFC-01B12EB6451F}">
  <ds:schemaRefs>
    <ds:schemaRef ds:uri="http://schemas.microsoft.com/office/2006/documentManagement/types"/>
    <ds:schemaRef ds:uri="http://purl.org/dc/terms/"/>
    <ds:schemaRef ds:uri="http://purl.org/dc/elements/1.1/"/>
    <ds:schemaRef ds:uri="http://purl.org/dc/dcmitype/"/>
    <ds:schemaRef ds:uri="http://www.w3.org/XML/1998/namespace"/>
    <ds:schemaRef ds:uri="ace8dc78-f72f-446e-be2b-b93d2c0549dc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326</vt:i4>
      </vt:variant>
    </vt:vector>
  </HeadingPairs>
  <TitlesOfParts>
    <vt:vector size="358" baseType="lpstr">
      <vt:lpstr>INPUT</vt:lpstr>
      <vt:lpstr>PRINT</vt:lpstr>
      <vt:lpstr>SCH M</vt:lpstr>
      <vt:lpstr>SCH M-2.1</vt:lpstr>
      <vt:lpstr>SCH M-2.2</vt:lpstr>
      <vt:lpstr>SCH M-2.3</vt:lpstr>
      <vt:lpstr>Rate RS</vt:lpstr>
      <vt:lpstr>Rate DS</vt:lpstr>
      <vt:lpstr>Rate DT-Pri</vt:lpstr>
      <vt:lpstr>Rate DT-Sec</vt:lpstr>
      <vt:lpstr>Rate EH</vt:lpstr>
      <vt:lpstr>Rate SP GSFL</vt:lpstr>
      <vt:lpstr>Rate DP</vt:lpstr>
      <vt:lpstr>Rate TT</vt:lpstr>
      <vt:lpstr>Rate DT RTPM-P</vt:lpstr>
      <vt:lpstr>Rate DT RTP-P</vt:lpstr>
      <vt:lpstr>Rate DT RTPM-S</vt:lpstr>
      <vt:lpstr>Rate DT RTP-S</vt:lpstr>
      <vt:lpstr>Rate DS RTPM</vt:lpstr>
      <vt:lpstr>Rate DS RTP</vt:lpstr>
      <vt:lpstr>Rate TT RTPM</vt:lpstr>
      <vt:lpstr>Rate TT RTP</vt:lpstr>
      <vt:lpstr>Rate SL</vt:lpstr>
      <vt:lpstr>Rate TL</vt:lpstr>
      <vt:lpstr>Rate UOLS</vt:lpstr>
      <vt:lpstr>Rate OL</vt:lpstr>
      <vt:lpstr>Rate NSU</vt:lpstr>
      <vt:lpstr>Rate NSP</vt:lpstr>
      <vt:lpstr>Rate SC</vt:lpstr>
      <vt:lpstr>Rate SE</vt:lpstr>
      <vt:lpstr>SCH N</vt:lpstr>
      <vt:lpstr>BILL CALC</vt:lpstr>
      <vt:lpstr>CASE_NO</vt:lpstr>
      <vt:lpstr>CUR_BASE_FUEL</vt:lpstr>
      <vt:lpstr>CUR_DCI</vt:lpstr>
      <vt:lpstr>CUR_DCI_DIST</vt:lpstr>
      <vt:lpstr>CUR_DCI_DP</vt:lpstr>
      <vt:lpstr>CUR_DCI_DTP</vt:lpstr>
      <vt:lpstr>CUR_DCI_DTS</vt:lpstr>
      <vt:lpstr>CUR_DCI_EH</vt:lpstr>
      <vt:lpstr>CUR_DCI_GSFL</vt:lpstr>
      <vt:lpstr>CUR_DCI_SL</vt:lpstr>
      <vt:lpstr>CUR_DCI_SP</vt:lpstr>
      <vt:lpstr>CUR_DP_CST</vt:lpstr>
      <vt:lpstr>CUR_DP_DEMAND</vt:lpstr>
      <vt:lpstr>CUR_DP_KWH1</vt:lpstr>
      <vt:lpstr>CUR_DP_KWH2</vt:lpstr>
      <vt:lpstr>CUR_DP_LMR</vt:lpstr>
      <vt:lpstr>'Rate DT RTP-S'!CUR_DP_RTP_COM</vt:lpstr>
      <vt:lpstr>CUR_DP_RTP_COM</vt:lpstr>
      <vt:lpstr>'Rate DT RTP-S'!CUR_DP_RTP_CUST</vt:lpstr>
      <vt:lpstr>CUR_DP_RTP_CUST</vt:lpstr>
      <vt:lpstr>'Rate DT RTP-S'!CUR_DP_RTP_KWH1</vt:lpstr>
      <vt:lpstr>CUR_DP_RTP_KWH1</vt:lpstr>
      <vt:lpstr>'Rate DT RTP-S'!CUR_DP_RTP_KWH2</vt:lpstr>
      <vt:lpstr>CUR_DP_RTP_KWH2</vt:lpstr>
      <vt:lpstr>CUR_DS_CST_1</vt:lpstr>
      <vt:lpstr>CUR_DS_CST_2</vt:lpstr>
      <vt:lpstr>CUR_DS_DEM_1</vt:lpstr>
      <vt:lpstr>CUR_DS_DEM_3</vt:lpstr>
      <vt:lpstr>CUR_DS_KWH_1</vt:lpstr>
      <vt:lpstr>CUR_DS_KWH_2</vt:lpstr>
      <vt:lpstr>CUR_DS_KWH_3</vt:lpstr>
      <vt:lpstr>CUR_DS_LMR</vt:lpstr>
      <vt:lpstr>'Rate DS RTP'!CUR_DS_RTP</vt:lpstr>
      <vt:lpstr>CUR_DS_RTP</vt:lpstr>
      <vt:lpstr>'Rate DS RTP'!CUR_DS_RTP_COM</vt:lpstr>
      <vt:lpstr>CUR_DS_RTP_COM</vt:lpstr>
      <vt:lpstr>'Rate DS RTP'!CUR_DS_RTP_CUST</vt:lpstr>
      <vt:lpstr>CUR_DS_RTP_CUST</vt:lpstr>
      <vt:lpstr>'Rate DS RTP'!CUR_DS_RTP_KWH1</vt:lpstr>
      <vt:lpstr>CUR_DS_RTP_KWH1</vt:lpstr>
      <vt:lpstr>'Rate DS RTP'!CUR_DS_RTP_KWH2</vt:lpstr>
      <vt:lpstr>CUR_DS_RTP_KWH2</vt:lpstr>
      <vt:lpstr>CUR_DT_DISC</vt:lpstr>
      <vt:lpstr>CUR_DT_DISC1</vt:lpstr>
      <vt:lpstr>CUR_DT_PRI</vt:lpstr>
      <vt:lpstr>'Rate DT RTP-P'!CUR_DT_RTP_COM</vt:lpstr>
      <vt:lpstr>CUR_DT_RTP_COM</vt:lpstr>
      <vt:lpstr>'Rate DT RTP-P'!CUR_DT_RTP_CUST</vt:lpstr>
      <vt:lpstr>CUR_DT_RTP_CUST</vt:lpstr>
      <vt:lpstr>'Rate DT RTP-P'!CUR_DT_RTP_KWH1</vt:lpstr>
      <vt:lpstr>CUR_DT_RTP_KWH1</vt:lpstr>
      <vt:lpstr>'Rate DT RTP-P'!CUR_DT_RTP_KWH2</vt:lpstr>
      <vt:lpstr>CUR_DT_RTP_KWH2</vt:lpstr>
      <vt:lpstr>'Rate DT RTP-P'!CUR_DT_RTP_P</vt:lpstr>
      <vt:lpstr>CUR_DT_RTP_P</vt:lpstr>
      <vt:lpstr>'Rate DT RTP-S'!CUR_DT_RTP_S</vt:lpstr>
      <vt:lpstr>CUR_DT_RTP_S</vt:lpstr>
      <vt:lpstr>CUR_DT_SEC</vt:lpstr>
      <vt:lpstr>CUR_DT_SEC_CST1</vt:lpstr>
      <vt:lpstr>CUR_DT_SEC_CST3</vt:lpstr>
      <vt:lpstr>CUR_DT_SEC_DEMOFF</vt:lpstr>
      <vt:lpstr>CUR_DT_SEC_DEMON</vt:lpstr>
      <vt:lpstr>CUR_DT_SEC_SUMKWH</vt:lpstr>
      <vt:lpstr>CUR_DT_SEC_WINKWH</vt:lpstr>
      <vt:lpstr>CUR_DT_SEC_WINOFF</vt:lpstr>
      <vt:lpstr>CUR_DT_SEC_WINON</vt:lpstr>
      <vt:lpstr>CUR_DT_SUM_E_OFF</vt:lpstr>
      <vt:lpstr>CUR_DT_SUM_E_ON</vt:lpstr>
      <vt:lpstr>CUR_DT_SUM_PEAK_ON</vt:lpstr>
      <vt:lpstr>CUR_DT_SUM_PK_OFF</vt:lpstr>
      <vt:lpstr>CUR_DT_WIN_E_ON</vt:lpstr>
      <vt:lpstr>CUR_DT_WIN_PEAK_ON</vt:lpstr>
      <vt:lpstr>CUR_DT_WIN_PK_OFF</vt:lpstr>
      <vt:lpstr>CUR_EH_CST_1</vt:lpstr>
      <vt:lpstr>CUR_EH_CST_2</vt:lpstr>
      <vt:lpstr>CUR_EH_CST_3</vt:lpstr>
      <vt:lpstr>CUR_EH_KWH_1</vt:lpstr>
      <vt:lpstr>CUR_ESM</vt:lpstr>
      <vt:lpstr>CUR_FAC</vt:lpstr>
      <vt:lpstr>CUR_FTR_DIST</vt:lpstr>
      <vt:lpstr>CUR_FTR_DP</vt:lpstr>
      <vt:lpstr>CUR_FTR_DTP</vt:lpstr>
      <vt:lpstr>CUR_FTR_DTS</vt:lpstr>
      <vt:lpstr>CUR_FTR_EH</vt:lpstr>
      <vt:lpstr>CUR_FTR_GSFL</vt:lpstr>
      <vt:lpstr>CUR_FTR_RES</vt:lpstr>
      <vt:lpstr>CUR_FTR_SL</vt:lpstr>
      <vt:lpstr>CUR_FTR_SP</vt:lpstr>
      <vt:lpstr>CUR_FTR_TT</vt:lpstr>
      <vt:lpstr>CUR_RS_CUST</vt:lpstr>
      <vt:lpstr>CUR_RS_ENERGY</vt:lpstr>
      <vt:lpstr>CUR_TT_KWH</vt:lpstr>
      <vt:lpstr>'Rate TT RTP'!CUR_TT_RTP</vt:lpstr>
      <vt:lpstr>CUR_TT_RTP</vt:lpstr>
      <vt:lpstr>'Rate TT RTP'!CUR_TT_RTP_COM</vt:lpstr>
      <vt:lpstr>CUR_TT_RTP_COM</vt:lpstr>
      <vt:lpstr>'Rate TT RTP'!CUR_TT_RTP_CUST</vt:lpstr>
      <vt:lpstr>CUR_TT_RTP_CUST</vt:lpstr>
      <vt:lpstr>'Rate TT RTP'!CUR_TT_RTP_KWH1</vt:lpstr>
      <vt:lpstr>CUR_TT_RTP_KWH1</vt:lpstr>
      <vt:lpstr>'Rate TT RTP'!CUR_TT_RTP_KWH2</vt:lpstr>
      <vt:lpstr>CUR_TT_RTP_KWH2</vt:lpstr>
      <vt:lpstr>CUR_TT_SUM_CST</vt:lpstr>
      <vt:lpstr>CUR_TT_SUM_PEAK</vt:lpstr>
      <vt:lpstr>CUR_TT_SUM_PK_OFF</vt:lpstr>
      <vt:lpstr>CUR_TT_WIN_CST</vt:lpstr>
      <vt:lpstr>CUR_TT_WIN_PEAK</vt:lpstr>
      <vt:lpstr>CUR_TT_WIN_PK_OFF</vt:lpstr>
      <vt:lpstr>DATA_PERIOD</vt:lpstr>
      <vt:lpstr>DATE</vt:lpstr>
      <vt:lpstr>DCI_Name</vt:lpstr>
      <vt:lpstr>DS_MSRE</vt:lpstr>
      <vt:lpstr>DSM_DIST</vt:lpstr>
      <vt:lpstr>DSM_RES</vt:lpstr>
      <vt:lpstr>DSM_RS_CUST</vt:lpstr>
      <vt:lpstr>DSM_TRANS</vt:lpstr>
      <vt:lpstr>DSMR_Name</vt:lpstr>
      <vt:lpstr>ESM_Name</vt:lpstr>
      <vt:lpstr>FAC_Name</vt:lpstr>
      <vt:lpstr>FTR_Name</vt:lpstr>
      <vt:lpstr>HEA_Name</vt:lpstr>
      <vt:lpstr>LT_COS_RATE</vt:lpstr>
      <vt:lpstr>LT_MSRE</vt:lpstr>
      <vt:lpstr>NAME</vt:lpstr>
      <vt:lpstr>'Rate DP'!Print_Area</vt:lpstr>
      <vt:lpstr>'Rate DS'!Print_Area</vt:lpstr>
      <vt:lpstr>'Rate DS RTP'!Print_Area</vt:lpstr>
      <vt:lpstr>'Rate DS RTPM'!Print_Area</vt:lpstr>
      <vt:lpstr>'Rate DT RTPM-P'!Print_Area</vt:lpstr>
      <vt:lpstr>'Rate DT RTPM-S'!Print_Area</vt:lpstr>
      <vt:lpstr>'Rate DT RTP-P'!Print_Area</vt:lpstr>
      <vt:lpstr>'Rate DT RTP-S'!Print_Area</vt:lpstr>
      <vt:lpstr>'Rate DT-Pri'!Print_Area</vt:lpstr>
      <vt:lpstr>'Rate DT-Sec'!Print_Area</vt:lpstr>
      <vt:lpstr>'Rate EH'!Print_Area</vt:lpstr>
      <vt:lpstr>'Rate NSP'!Print_Area</vt:lpstr>
      <vt:lpstr>'Rate NSU'!Print_Area</vt:lpstr>
      <vt:lpstr>'Rate OL'!Print_Area</vt:lpstr>
      <vt:lpstr>'Rate RS'!Print_Area</vt:lpstr>
      <vt:lpstr>'Rate SC'!Print_Area</vt:lpstr>
      <vt:lpstr>'Rate SE'!Print_Area</vt:lpstr>
      <vt:lpstr>'Rate SL'!Print_Area</vt:lpstr>
      <vt:lpstr>'Rate SP GSFL'!Print_Area</vt:lpstr>
      <vt:lpstr>'Rate TL'!Print_Area</vt:lpstr>
      <vt:lpstr>'Rate TT'!Print_Area</vt:lpstr>
      <vt:lpstr>'Rate TT RTP'!Print_Area</vt:lpstr>
      <vt:lpstr>'Rate TT RTPM'!Print_Area</vt:lpstr>
      <vt:lpstr>'Rate UOLS'!Print_Area</vt:lpstr>
      <vt:lpstr>'SCH M'!Print_Area</vt:lpstr>
      <vt:lpstr>'SCH M-2.1'!Print_Area</vt:lpstr>
      <vt:lpstr>'SCH M-2.2'!Print_Area</vt:lpstr>
      <vt:lpstr>'SCH M-2.3'!Print_Area</vt:lpstr>
      <vt:lpstr>'SCH N'!Print_Area</vt:lpstr>
      <vt:lpstr>PRO_BASE_FUEL</vt:lpstr>
      <vt:lpstr>PRO_DCI</vt:lpstr>
      <vt:lpstr>PRO_DCI_DIST</vt:lpstr>
      <vt:lpstr>PRO_DCI_DP</vt:lpstr>
      <vt:lpstr>PRO_DCI_DTP</vt:lpstr>
      <vt:lpstr>PRO_DCI_DTS</vt:lpstr>
      <vt:lpstr>PRO_DCI_EH</vt:lpstr>
      <vt:lpstr>PRO_DCI_GSFL</vt:lpstr>
      <vt:lpstr>PRO_DCI_SL</vt:lpstr>
      <vt:lpstr>PRO_DCI_SP</vt:lpstr>
      <vt:lpstr>PRO_DP_CST</vt:lpstr>
      <vt:lpstr>PRO_DP_DEMAND</vt:lpstr>
      <vt:lpstr>PRO_DP_KWH1</vt:lpstr>
      <vt:lpstr>PRO_DP_KWH2</vt:lpstr>
      <vt:lpstr>PRO_DP_LMR</vt:lpstr>
      <vt:lpstr>'Rate DT RTP-S'!PRO_DP_RTP_COM</vt:lpstr>
      <vt:lpstr>PRO_DP_RTP_COM</vt:lpstr>
      <vt:lpstr>'Rate DT RTP-S'!PRO_DP_RTP_CUST</vt:lpstr>
      <vt:lpstr>PRO_DP_RTP_CUST</vt:lpstr>
      <vt:lpstr>'Rate DT RTP-S'!PRO_DP_RTP_KWH1</vt:lpstr>
      <vt:lpstr>PRO_DP_RTP_KWH1</vt:lpstr>
      <vt:lpstr>'Rate DT RTP-S'!PRO_DP_RTP_KWH2</vt:lpstr>
      <vt:lpstr>PRO_DP_RTP_KWH2</vt:lpstr>
      <vt:lpstr>PRO_DS_CST_1</vt:lpstr>
      <vt:lpstr>PRO_DS_CST_2</vt:lpstr>
      <vt:lpstr>PRO_DS_DEM_1</vt:lpstr>
      <vt:lpstr>PRO_DS_DEM_3</vt:lpstr>
      <vt:lpstr>PRO_DS_KWH_1</vt:lpstr>
      <vt:lpstr>PRO_DS_KWH_2</vt:lpstr>
      <vt:lpstr>PRO_DS_KWH_3</vt:lpstr>
      <vt:lpstr>PRO_DS_LMR</vt:lpstr>
      <vt:lpstr>PRO_DS_MSRE</vt:lpstr>
      <vt:lpstr>'Rate DS RTP'!PRO_DS_RTP_COM</vt:lpstr>
      <vt:lpstr>PRO_DS_RTP_COM</vt:lpstr>
      <vt:lpstr>'Rate DS RTP'!PRO_DS_RTP_CUST</vt:lpstr>
      <vt:lpstr>PRO_DS_RTP_CUST</vt:lpstr>
      <vt:lpstr>'Rate DS RTP'!PRO_DS_RTP_KWH1</vt:lpstr>
      <vt:lpstr>PRO_DS_RTP_KWH1</vt:lpstr>
      <vt:lpstr>'Rate DS RTP'!PRO_DS_RTP_KWH2</vt:lpstr>
      <vt:lpstr>PRO_DS_RTP_KWH2</vt:lpstr>
      <vt:lpstr>PRO_DSM_DIST</vt:lpstr>
      <vt:lpstr>PRO_DSM_RES</vt:lpstr>
      <vt:lpstr>PRO_DSM_TRANS</vt:lpstr>
      <vt:lpstr>PRO_DT_DEMOFF</vt:lpstr>
      <vt:lpstr>PRO_DT_DEMON</vt:lpstr>
      <vt:lpstr>PRO_DT_DISC</vt:lpstr>
      <vt:lpstr>PRO_DT_DISC1</vt:lpstr>
      <vt:lpstr>PRO_DT_PRI</vt:lpstr>
      <vt:lpstr>'Rate DT RTP-P'!PRO_DT_RTP_COM</vt:lpstr>
      <vt:lpstr>PRO_DT_RTP_COM</vt:lpstr>
      <vt:lpstr>'Rate DT RTP-P'!PRO_DT_RTP_CUST</vt:lpstr>
      <vt:lpstr>PRO_DT_RTP_CUST</vt:lpstr>
      <vt:lpstr>'Rate DT RTP-P'!PRO_DT_RTP_KWH1</vt:lpstr>
      <vt:lpstr>PRO_DT_RTP_KWH1</vt:lpstr>
      <vt:lpstr>'Rate DT RTP-P'!PRO_DT_RTP_KWH2</vt:lpstr>
      <vt:lpstr>PRO_DT_RTP_KWH2</vt:lpstr>
      <vt:lpstr>PRO_DT_SEC_CST</vt:lpstr>
      <vt:lpstr>PRO_DT_SEC_CST3</vt:lpstr>
      <vt:lpstr>PRO_DT_SEC_DEMWINON</vt:lpstr>
      <vt:lpstr>PRO_DT_SEC_SUMKWH</vt:lpstr>
      <vt:lpstr>PRO_DT_SEC_WINKWH</vt:lpstr>
      <vt:lpstr>PRO_DT_SEC_WINOFF</vt:lpstr>
      <vt:lpstr>PRO_DT_SUM_E_OFF</vt:lpstr>
      <vt:lpstr>PRO_DT_SUM_E_ON</vt:lpstr>
      <vt:lpstr>PRO_DT_SUM_PEAK</vt:lpstr>
      <vt:lpstr>PRO_DT_SUM_PK_OFF</vt:lpstr>
      <vt:lpstr>PRO_DT_WIN_E_OFF</vt:lpstr>
      <vt:lpstr>PRO_DT_WIN_E_ON</vt:lpstr>
      <vt:lpstr>PRO_DT_WIN_PEAK</vt:lpstr>
      <vt:lpstr>PRO_DT_WIN_PK_OFF</vt:lpstr>
      <vt:lpstr>PRO_EH_CST_1</vt:lpstr>
      <vt:lpstr>PRO_EH_CST_2</vt:lpstr>
      <vt:lpstr>PRO_EH_CST_3</vt:lpstr>
      <vt:lpstr>PRO_EH_KWH_1</vt:lpstr>
      <vt:lpstr>PRO_ESM</vt:lpstr>
      <vt:lpstr>PRO_FAC</vt:lpstr>
      <vt:lpstr>PRO_FTR_DIST</vt:lpstr>
      <vt:lpstr>PRO_FTR_DP</vt:lpstr>
      <vt:lpstr>PRO_FTR_DTP</vt:lpstr>
      <vt:lpstr>PRO_FTR_DTS</vt:lpstr>
      <vt:lpstr>PRO_FTR_EH</vt:lpstr>
      <vt:lpstr>PRO_FTR_GSFL</vt:lpstr>
      <vt:lpstr>PRO_FTR_RES</vt:lpstr>
      <vt:lpstr>PRO_FTR_SL</vt:lpstr>
      <vt:lpstr>PRO_FTR_SP</vt:lpstr>
      <vt:lpstr>PRO_FTR_TT</vt:lpstr>
      <vt:lpstr>PRO_LT_MSRE</vt:lpstr>
      <vt:lpstr>PRO_PSM</vt:lpstr>
      <vt:lpstr>PRO_RS_CUST</vt:lpstr>
      <vt:lpstr>PRO_RS_ENERGY</vt:lpstr>
      <vt:lpstr>PRO_RS_MSRE</vt:lpstr>
      <vt:lpstr>PRO_SUM_TT_ON_KWH</vt:lpstr>
      <vt:lpstr>PRO_TT_MSRE</vt:lpstr>
      <vt:lpstr>PRO_TT_OFF</vt:lpstr>
      <vt:lpstr>'Rate TT RTP'!PRO_TT_RTP_COM</vt:lpstr>
      <vt:lpstr>PRO_TT_RTP_COM</vt:lpstr>
      <vt:lpstr>'Rate TT RTP'!PRO_TT_RTP_CUST</vt:lpstr>
      <vt:lpstr>PRO_TT_RTP_CUST</vt:lpstr>
      <vt:lpstr>'Rate TT RTP'!PRO_TT_RTP_KWH1</vt:lpstr>
      <vt:lpstr>PRO_TT_RTP_KWH1</vt:lpstr>
      <vt:lpstr>'Rate TT RTP'!PRO_TT_RTP_KWH2</vt:lpstr>
      <vt:lpstr>PRO_TT_RTP_KWH2</vt:lpstr>
      <vt:lpstr>PRO_TT_SUM_CST</vt:lpstr>
      <vt:lpstr>PRO_TT_SUM_PEAK</vt:lpstr>
      <vt:lpstr>PRO_TT_SUM_PK_OFF</vt:lpstr>
      <vt:lpstr>PRO_TT_WIN_CST</vt:lpstr>
      <vt:lpstr>PRO_TT_WIN_PEAK</vt:lpstr>
      <vt:lpstr>PRO_TT_WIN_PK_OFF</vt:lpstr>
      <vt:lpstr>PRO_WIN_TT_ON_KWH</vt:lpstr>
      <vt:lpstr>PSM_Name</vt:lpstr>
      <vt:lpstr>RS_MSRE</vt:lpstr>
      <vt:lpstr>RS_PSM</vt:lpstr>
      <vt:lpstr>SCH_M</vt:lpstr>
      <vt:lpstr>SCH_M_2.1</vt:lpstr>
      <vt:lpstr>SCH_M_2.2PG1</vt:lpstr>
      <vt:lpstr>SCH_M_2.2PG10</vt:lpstr>
      <vt:lpstr>SCH_M_2.2PG11</vt:lpstr>
      <vt:lpstr>SCH_M_2.2PG12</vt:lpstr>
      <vt:lpstr>'Rate TT RTP'!SCH_M_2.2PG13</vt:lpstr>
      <vt:lpstr>SCH_M_2.2PG13</vt:lpstr>
      <vt:lpstr>SCH_M_2.2PG14</vt:lpstr>
      <vt:lpstr>SCH_M_2.2PG15</vt:lpstr>
      <vt:lpstr>SCH_M_2.2PG16</vt:lpstr>
      <vt:lpstr>SCH_M_2.2PG17</vt:lpstr>
      <vt:lpstr>SCH_M_2.2PG18</vt:lpstr>
      <vt:lpstr>SCH_M_2.2PG19</vt:lpstr>
      <vt:lpstr>SCH_M_2.2PG2</vt:lpstr>
      <vt:lpstr>SCH_M_2.2PG20</vt:lpstr>
      <vt:lpstr>SCH_M_2.2PG21</vt:lpstr>
      <vt:lpstr>SCH_M_2.2PG22</vt:lpstr>
      <vt:lpstr>SCH_M_2.2PG23</vt:lpstr>
      <vt:lpstr>SCH_M_2.2PG3</vt:lpstr>
      <vt:lpstr>SCH_M_2.2PG4</vt:lpstr>
      <vt:lpstr>SCH_M_2.2PG5</vt:lpstr>
      <vt:lpstr>SCH_M_2.2PG6</vt:lpstr>
      <vt:lpstr>SCH_M_2.2PG7</vt:lpstr>
      <vt:lpstr>SCH_M_2.2PG8</vt:lpstr>
      <vt:lpstr>SCH_M_2.2PG9</vt:lpstr>
      <vt:lpstr>SCH_M_2.3PG1</vt:lpstr>
      <vt:lpstr>SCH_M_2.3PG10</vt:lpstr>
      <vt:lpstr>SCH_M_2.3PG11</vt:lpstr>
      <vt:lpstr>SCH_M_2.3PG12</vt:lpstr>
      <vt:lpstr>'Rate TT RTP'!SCH_M_2.3PG13</vt:lpstr>
      <vt:lpstr>SCH_M_2.3PG13</vt:lpstr>
      <vt:lpstr>SCH_M_2.3PG14</vt:lpstr>
      <vt:lpstr>SCH_M_2.3PG15</vt:lpstr>
      <vt:lpstr>SCH_M_2.3PG16</vt:lpstr>
      <vt:lpstr>SCH_M_2.3PG17</vt:lpstr>
      <vt:lpstr>SCH_M_2.3PG18</vt:lpstr>
      <vt:lpstr>SCH_M_2.3PG19</vt:lpstr>
      <vt:lpstr>SCH_M_2.3PG2</vt:lpstr>
      <vt:lpstr>SCH_M_2.3PG20</vt:lpstr>
      <vt:lpstr>SCH_M_2.3PG21</vt:lpstr>
      <vt:lpstr>SCH_M_2.3PG22</vt:lpstr>
      <vt:lpstr>SCH_M_2.3PG23</vt:lpstr>
      <vt:lpstr>SCH_M_2.3PG3</vt:lpstr>
      <vt:lpstr>SCH_M_2.3PG4</vt:lpstr>
      <vt:lpstr>SCH_M_2.3PG5</vt:lpstr>
      <vt:lpstr>SCH_M_2.3PG6</vt:lpstr>
      <vt:lpstr>SCH_M_2.3PG7</vt:lpstr>
      <vt:lpstr>SCH_M_2.3PG8</vt:lpstr>
      <vt:lpstr>SCH_M_2.3PG9</vt:lpstr>
      <vt:lpstr>SCH_N_1</vt:lpstr>
      <vt:lpstr>SCH_N_2</vt:lpstr>
      <vt:lpstr>SCH_N_3</vt:lpstr>
      <vt:lpstr>SCH_N_4</vt:lpstr>
      <vt:lpstr>SCH_N_5</vt:lpstr>
      <vt:lpstr>SERVICE</vt:lpstr>
      <vt:lpstr>TIME</vt:lpstr>
      <vt:lpstr>TITLE</vt:lpstr>
      <vt:lpstr>TT_MSRE</vt:lpstr>
      <vt:lpstr>TYPE</vt:lpstr>
      <vt:lpstr>WIT</vt:lpstr>
    </vt:vector>
  </TitlesOfParts>
  <Company>CINERGY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RAA</dc:creator>
  <cp:lastModifiedBy>Gates, Debbie</cp:lastModifiedBy>
  <cp:lastPrinted>2017-09-14T16:03:58Z</cp:lastPrinted>
  <dcterms:created xsi:type="dcterms:W3CDTF">1998-01-02T15:10:02Z</dcterms:created>
  <dcterms:modified xsi:type="dcterms:W3CDTF">2017-09-15T21:54:39Z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0x010100EFB4F9D769397A4B9CC6B02A2352A1B6</vt:lpwstr>
  </property>
</Properties>
</file>